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STUDENTS" sheetId="2" r:id="rId6"/>
    <sheet state="hidden" name="Log" sheetId="3" r:id="rId7"/>
    <sheet state="visible" name="ATTENDANCE_INPUT" sheetId="4" r:id="rId8"/>
    <sheet state="hidden" name="DATE_ANOMALIES" sheetId="5" r:id="rId9"/>
    <sheet state="hidden" name="Pivot Table 1" sheetId="6" r:id="rId10"/>
    <sheet state="visible" name="ATTENDANCE_LOG" sheetId="7" r:id="rId11"/>
    <sheet state="visible" name="sheet2" sheetId="8" r:id="rId12"/>
    <sheet state="hidden" name="backupsheet2" sheetId="9" r:id="rId13"/>
    <sheet state="hidden" name="Copy of sheet2 1" sheetId="10" r:id="rId14"/>
    <sheet state="visible" name="Copy of sheet2" sheetId="11" r:id="rId15"/>
    <sheet state="visible" name="PROGRESS" sheetId="12" r:id="rId16"/>
    <sheet state="hidden" name="LEVEL_HELPER" sheetId="13" r:id="rId17"/>
    <sheet state="hidden" name="CLASS_DATES" sheetId="14" r:id="rId18"/>
    <sheet state="hidden" name="PIC" sheetId="15" r:id="rId19"/>
    <sheet state="hidden" name="COURSE_PLAN" sheetId="16" r:id="rId20"/>
  </sheets>
  <definedNames>
    <definedName hidden="1" localSheetId="1" name="_xlnm._FilterDatabase">STUDENTS!$A$2:$Y$306</definedName>
    <definedName hidden="1" localSheetId="3" name="_xlnm._FilterDatabase">ATTENDANCE_INPUT!$A$1:$V$543</definedName>
    <definedName hidden="1" localSheetId="7" name="_xlnm._FilterDatabase">sheet2!$A$1:$R$543</definedName>
    <definedName hidden="1" localSheetId="8" name="_xlnm._FilterDatabase">backupsheet2!$A$1:$M$544</definedName>
    <definedName hidden="1" localSheetId="9" name="_xlnm._FilterDatabase">'Copy of sheet2 1'!$A$1:$O$543</definedName>
    <definedName hidden="1" localSheetId="10" name="_xlnm._FilterDatabase">'Copy of sheet2'!$Q$1:$U$1581</definedName>
  </definedNames>
  <calcPr/>
  <pivotCaches>
    <pivotCache cacheId="0" r:id="rId21"/>
    <pivotCache cacheId="1" r:id="rId22"/>
    <pivotCache cacheId="2" r:id="rId23"/>
    <pivotCache cacheId="3" r:id="rId24"/>
    <pivotCache cacheId="4" r:id="rId25"/>
    <pivotCache cacheId="5" r:id="rId26"/>
    <pivotCache cacheId="6" r:id="rId27"/>
    <pivotCache cacheId="7" r:id="rId28"/>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tc={eff83310-ebb8-445c-9150-5cc617264e0f}</author>
  </authors>
  <commentList>
    <comment authorId="0" xr:uid="{eff83310-ebb8-445c-9150-5cc617264e0f}" ref="A1">
      <text>
        <t xml:space="preserve">[Threaded comment]
 Your version of Excel allows you to read this threaded comment; however, any edits to it will get removed if the file is opened in a newer version of Excel. Learn more: https://go.microsoft.com/fwlink/?linkid=870924
Comment:
	Chị giúp e fill EMP CODE của các bạn nì nha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Lay course cua buoi hoc Present gan nhat trong ATTENDANCE_LOG
Cong thuc: =IFERROR(INDEX(ATTENDANCE_LOG!B:B, MATCH(1, (A2=ATTENDANCE_LOG!C:C)*(H2=ATTENDANCE_LOG!F:F), 0)), "")</t>
      </text>
    </comment>
    <comment authorId="0" ref="J2">
      <text>
        <t xml:space="preserve">Ngay Present gan nhat trong ATTENDANCE_LOG
Cong thuc: =IFERROR(MAXIFS(ATTENDANCE_LOG!F:F, ATTENDANCE_LOG!C:C, A2, ATTENDANCE_LOG!G:G, "Present"), "")</t>
      </text>
    </comment>
    <comment authorId="0" ref="K2">
      <text>
        <t xml:space="preserve">So ngay ke tu Last Active
Cong thuc: =IF(H2="", "", TODAY()-H2)</t>
      </text>
    </comment>
    <comment authorId="0" ref="L2">
      <text>
        <t xml:space="preserve">Flag "Possibly Dropped" neu &gt; 20 ngay khong di hoc
Cong thuc: =IF(AND(ISNUMBER(I2), I2&gt;20), "⚠ Possibly Dropped",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[Threaded comment]
 Your version of Excel allows you to read this threaded comment; however, any edits to it will get removed if the file is opened in a newer version of Excel. Learn more: https://go.microsoft.com/fwlink/?linkid=870924
Comment:
	Chị giúp e fill EMP CODE của các bạn nì nha
</t>
      </text>
    </comment>
    <comment authorId="0" ref="F18">
      <text>
        <t xml:space="preserve">[Threaded comment]
 Your version of Excel allows you to read this threaded comment; however, any edits to it will get removed if the file is opened in a newer version of Excel. Learn more: https://go.microsoft.com/fwlink/?linkid=870924
Comment:
	Chị giúp e fill EMP CODE của các bạn nì nha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Tu dong lookup Full Name tu STUDENTS theo Emp Code
Cong thuc: =IFERROR(VLOOKUP(A2&amp;"", STUDENTS!A:B, 2, 0), "")</t>
      </text>
    </comment>
    <comment authorId="0" ref="D1">
      <text>
        <t xml:space="preserve">Tu dong lookup PIC tu PIC sheet theo Class Code
Cong thuc: =IFERROR(VLOOKUP(C2, PIC!A:B, 2, 0),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AUTO-GENERATED by Apps Script.
Khong nhap tay vao sheet nay.
Data tu ATTENDANCE_INPUT duoc unpivot bang script.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Level Gain = Final Level - Entrance Level (so)
Vi du: Pre-Intermediate (2.5) -&gt; Intermediate (4.0) = +1.5
Cong thuc: =IFERROR(VLOOKUP(I2, LEVEL_HELPER!A:B, 2, 0) - VLOOKUP(H2, LEVEL_HELPER!A:B, 2, 0), "")</t>
      </text>
    </comment>
  </commentList>
</comments>
</file>

<file path=xl/sharedStrings.xml><?xml version="1.0" encoding="utf-8"?>
<sst xmlns="http://schemas.openxmlformats.org/spreadsheetml/2006/main" count="52108" uniqueCount="999">
  <si>
    <t>📊  ENGLISH CLASS MANAGEMENT — DASHBOARD</t>
  </si>
  <si>
    <t>All metrics auto-calculate from STUDENTS, ENROLLMENTS &amp; ATTENDANCE_LOG.  Yellow cells = inputs you can change.</t>
  </si>
  <si>
    <t xml:space="preserve">  ▎  SECTION 1 — OVERVIEW</t>
  </si>
  <si>
    <t>ACTIVE STUDENTS</t>
  </si>
  <si>
    <t>OVERALL ATTENDANCE RATE</t>
  </si>
  <si>
    <t>AT RISK</t>
  </si>
  <si>
    <t>POSSIBLY DROPPED</t>
  </si>
  <si>
    <t>flagged for follow-up</t>
  </si>
  <si>
    <t>inactive &gt; 30 days</t>
  </si>
  <si>
    <t>INACTIVE</t>
  </si>
  <si>
    <t>WAITING FOR CLASS</t>
  </si>
  <si>
    <t>completed or stopped</t>
  </si>
  <si>
    <t>pending placement</t>
  </si>
  <si>
    <t xml:space="preserve">  ▎  SECTION 2 — ACTIVE STUDENTS BY COURSE</t>
  </si>
  <si>
    <t>Course Name</t>
  </si>
  <si>
    <t>Active</t>
  </si>
  <si>
    <t>Inactive</t>
  </si>
  <si>
    <t>Waiting</t>
  </si>
  <si>
    <t>Total</t>
  </si>
  <si>
    <t>% of Active</t>
  </si>
  <si>
    <t>Bar</t>
  </si>
  <si>
    <t>Communication 1</t>
  </si>
  <si>
    <t>Communication 2</t>
  </si>
  <si>
    <t>Communication 3</t>
  </si>
  <si>
    <t>Business English</t>
  </si>
  <si>
    <t>Foundation</t>
  </si>
  <si>
    <t>Extension of Foundation</t>
  </si>
  <si>
    <t>TOTAL</t>
  </si>
  <si>
    <t xml:space="preserve">  ▎  SECTION 3 — WHY STUDENTS GO INACTIVE</t>
  </si>
  <si>
    <t>Drop Reason</t>
  </si>
  <si>
    <t>Count</t>
  </si>
  <si>
    <t>%</t>
  </si>
  <si>
    <t>Inactive Classification</t>
  </si>
  <si>
    <t>High workload</t>
  </si>
  <si>
    <t>Completed (no continuation)</t>
  </si>
  <si>
    <t>Prefer different learning format</t>
  </si>
  <si>
    <t>Discontinued mid-course</t>
  </si>
  <si>
    <t>Learning goal achieved</t>
  </si>
  <si>
    <t>Business EL, chờ xếp lớp</t>
  </si>
  <si>
    <t>Team restructuring</t>
  </si>
  <si>
    <t>BE, chờ xếp lớp</t>
  </si>
  <si>
    <t>Maternity leave</t>
  </si>
  <si>
    <t>Resign</t>
  </si>
  <si>
    <t xml:space="preserve">  ▎  SECTION 4 — CLASS PROGRESS</t>
  </si>
  <si>
    <t>Class Code</t>
  </si>
  <si>
    <t>PIC</t>
  </si>
  <si>
    <t>Sessions Done</t>
  </si>
  <si>
    <t>Expected</t>
  </si>
  <si>
    <t>Progress %</t>
  </si>
  <si>
    <t>Progress Bar</t>
  </si>
  <si>
    <t>Status</t>
  </si>
  <si>
    <t>EL001</t>
  </si>
  <si>
    <t>EL002</t>
  </si>
  <si>
    <t>EL003</t>
  </si>
  <si>
    <t>EL004</t>
  </si>
  <si>
    <t>EL005</t>
  </si>
  <si>
    <t>EL006</t>
  </si>
  <si>
    <t>EL007</t>
  </si>
  <si>
    <t>EL008</t>
  </si>
  <si>
    <t>EL009</t>
  </si>
  <si>
    <t>EL010</t>
  </si>
  <si>
    <t>EL011</t>
  </si>
  <si>
    <t>EL012</t>
  </si>
  <si>
    <t>EL013</t>
  </si>
  <si>
    <t>EL014</t>
  </si>
  <si>
    <t>EL015</t>
  </si>
  <si>
    <t>EL016</t>
  </si>
  <si>
    <t>EL017</t>
  </si>
  <si>
    <t>EL018</t>
  </si>
  <si>
    <t>EL019</t>
  </si>
  <si>
    <t>EL020</t>
  </si>
  <si>
    <t>EL021</t>
  </si>
  <si>
    <t>EL022</t>
  </si>
  <si>
    <t>EL023</t>
  </si>
  <si>
    <t>EL024</t>
  </si>
  <si>
    <t>EL025</t>
  </si>
  <si>
    <t>EL026</t>
  </si>
  <si>
    <t>EL027</t>
  </si>
  <si>
    <t>EL028</t>
  </si>
  <si>
    <t>EL029</t>
  </si>
  <si>
    <t>EL030</t>
  </si>
  <si>
    <t>EL031</t>
  </si>
  <si>
    <t>EL032</t>
  </si>
  <si>
    <t>EL033</t>
  </si>
  <si>
    <t>EL034</t>
  </si>
  <si>
    <t>EL035</t>
  </si>
  <si>
    <t>EL037</t>
  </si>
  <si>
    <t>EL038</t>
  </si>
  <si>
    <t>EL039</t>
  </si>
  <si>
    <t>EL040</t>
  </si>
  <si>
    <t>EL041</t>
  </si>
  <si>
    <t>EL042</t>
  </si>
  <si>
    <t>EL043</t>
  </si>
  <si>
    <t>EL044</t>
  </si>
  <si>
    <t>EL045</t>
  </si>
  <si>
    <t>EL049</t>
  </si>
  <si>
    <t>EL050</t>
  </si>
  <si>
    <t>EL051</t>
  </si>
  <si>
    <t xml:space="preserve">  ▎  SECTION 5 — LOOK UP A CLASS</t>
  </si>
  <si>
    <t xml:space="preserve">  Enter Class Code →</t>
  </si>
  <si>
    <t xml:space="preserve">  PIC</t>
  </si>
  <si>
    <t xml:space="preserve">  Total Enrollments</t>
  </si>
  <si>
    <t xml:space="preserve">  Sessions Logged</t>
  </si>
  <si>
    <t xml:space="preserve">  Sessions Present</t>
  </si>
  <si>
    <t xml:space="preserve">  Sessions Absent</t>
  </si>
  <si>
    <t xml:space="preserve">  Class Attendance Rate</t>
  </si>
  <si>
    <t xml:space="preserve">  ▎  SECTION 6 — LOOK UP A STUDENT</t>
  </si>
  <si>
    <t xml:space="preserve">  Enter Emp Code →</t>
  </si>
  <si>
    <t>227047</t>
  </si>
  <si>
    <t xml:space="preserve">  Full Name</t>
  </si>
  <si>
    <t xml:space="preserve">  Status</t>
  </si>
  <si>
    <t xml:space="preserve">  Current Course</t>
  </si>
  <si>
    <t xml:space="preserve">  Last Active Date</t>
  </si>
  <si>
    <t xml:space="preserve">  Days Since Active</t>
  </si>
  <si>
    <t xml:space="preserve">  Drop Flag</t>
  </si>
  <si>
    <t xml:space="preserve">  At Risk Flag</t>
  </si>
  <si>
    <t xml:space="preserve">  Sessions Attended</t>
  </si>
  <si>
    <t xml:space="preserve">  Sessions Missed</t>
  </si>
  <si>
    <t xml:space="preserve">  Personal Attendance Rate</t>
  </si>
  <si>
    <t>Input</t>
  </si>
  <si>
    <t>Formula</t>
  </si>
  <si>
    <t>Left</t>
  </si>
  <si>
    <t>Resgined</t>
  </si>
  <si>
    <t>Emp Code</t>
  </si>
  <si>
    <t>Full Name</t>
  </si>
  <si>
    <t>BU</t>
  </si>
  <si>
    <t>ROLE</t>
  </si>
  <si>
    <t>Current Course</t>
  </si>
  <si>
    <t>Entrance Level</t>
  </si>
  <si>
    <t>Current Level</t>
  </si>
  <si>
    <t>Last Active Date</t>
  </si>
  <si>
    <t>Days Since Active</t>
  </si>
  <si>
    <t>Drop Flag
(&lt;30 days is safe)</t>
  </si>
  <si>
    <t>Define of drop
(not inc. resign)</t>
  </si>
  <si>
    <t>Drop reason</t>
  </si>
  <si>
    <t>Remark</t>
  </si>
  <si>
    <t>203746</t>
  </si>
  <si>
    <t>BẠCH NAM MINH TRÍ</t>
  </si>
  <si>
    <t>213817</t>
  </si>
  <si>
    <t>Bui Duy Tan</t>
  </si>
  <si>
    <t>247037</t>
  </si>
  <si>
    <t>BÙI HUỲNH TRUNG TÍN</t>
  </si>
  <si>
    <t>212007</t>
  </si>
  <si>
    <t>BÙI MINH NHẬT</t>
  </si>
  <si>
    <t>193479</t>
  </si>
  <si>
    <t>BÙI NGỌC QUỐC</t>
  </si>
  <si>
    <t>High workload / Can't arrange time</t>
  </si>
  <si>
    <t>237226</t>
  </si>
  <si>
    <t>CHU KHÁNH LINH</t>
  </si>
  <si>
    <t>213856</t>
  </si>
  <si>
    <t>Chu Thị Lệ Quỳnh</t>
  </si>
  <si>
    <t>247423</t>
  </si>
  <si>
    <t>CHUNG QUANG PHƯƠNG</t>
  </si>
  <si>
    <t>213881</t>
  </si>
  <si>
    <t>ĐẶNG GIA LỘC</t>
  </si>
  <si>
    <t>213811</t>
  </si>
  <si>
    <t>ĐẶNG QUỐC MẠNH</t>
  </si>
  <si>
    <t>227125</t>
  </si>
  <si>
    <t>ĐẶNG QUỐC VIỆT</t>
  </si>
  <si>
    <t>173272</t>
  </si>
  <si>
    <t>ĐÀO SỸ THỜI</t>
  </si>
  <si>
    <t>183322</t>
  </si>
  <si>
    <t>ĐÀO TRUNG HIẾU</t>
  </si>
  <si>
    <t>257134</t>
  </si>
  <si>
    <t>ĐINH QUỐC HUẤN</t>
  </si>
  <si>
    <t>213863</t>
  </si>
  <si>
    <t>ĐINH TIẾN ĐẠT</t>
  </si>
  <si>
    <t>247389</t>
  </si>
  <si>
    <t>ĐINH TRƯƠNG THANH TUYỀN</t>
  </si>
  <si>
    <t>4/2026: Chờ khóa Com3</t>
  </si>
  <si>
    <t>247300</t>
  </si>
  <si>
    <t>ĐỖ CHÂU BỬU</t>
  </si>
  <si>
    <t>Ungroup team</t>
  </si>
  <si>
    <t>203765</t>
  </si>
  <si>
    <t>ĐỖ GIA KHÁNH</t>
  </si>
  <si>
    <t>Waiting for class</t>
  </si>
  <si>
    <t>247026</t>
  </si>
  <si>
    <t>ĐỖ HOÀNG MINH HUY</t>
  </si>
  <si>
    <t>Attend English center / 1-1 course</t>
  </si>
  <si>
    <t>Prefer other learning methods</t>
  </si>
  <si>
    <t>237239</t>
  </si>
  <si>
    <t>ĐỖ NGỌC THÀNH</t>
  </si>
  <si>
    <t>237006</t>
  </si>
  <si>
    <t>ĐỖ THANH TÙNG</t>
  </si>
  <si>
    <t>227183</t>
  </si>
  <si>
    <t>ĐỖ VŨ GIA LONG</t>
  </si>
  <si>
    <t>213835</t>
  </si>
  <si>
    <t>ĐOÀN ANH MINH</t>
  </si>
  <si>
    <t>247390</t>
  </si>
  <si>
    <t>ĐOÀN KHÁNH NGUYÊN</t>
  </si>
  <si>
    <t>237222</t>
  </si>
  <si>
    <t>ĐOÀN NHẬT QUANG</t>
  </si>
  <si>
    <t>213954</t>
  </si>
  <si>
    <t>ĐOÀN QUANG TUẤN</t>
  </si>
  <si>
    <t>183332</t>
  </si>
  <si>
    <t>ĐOÀN QUỐC HẢI</t>
  </si>
  <si>
    <t>247196</t>
  </si>
  <si>
    <t>ĐOÀN TRẦN BÁ ĐẠT</t>
  </si>
  <si>
    <t>237227</t>
  </si>
  <si>
    <t>DƯƠNG HOÀNG LONG</t>
  </si>
  <si>
    <t>247230</t>
  </si>
  <si>
    <t>DƯƠNG LÊ XUÂN KHANG</t>
  </si>
  <si>
    <t>193579</t>
  </si>
  <si>
    <t>ĐƯỜNG QUANG HUY</t>
  </si>
  <si>
    <t>242009</t>
  </si>
  <si>
    <t>DƯƠNG THỊ HƯƠNG LAN</t>
  </si>
  <si>
    <t>247063</t>
  </si>
  <si>
    <t>GIANG KHIẾT ĐÌNH</t>
  </si>
  <si>
    <t>193588</t>
  </si>
  <si>
    <t>HÀ TRẦN TUẤN ANH</t>
  </si>
  <si>
    <t>247359</t>
  </si>
  <si>
    <t>HỒ HUỲNH THÔNG</t>
  </si>
  <si>
    <t>227130</t>
  </si>
  <si>
    <t>HỒ MẠNH DŨNG</t>
  </si>
  <si>
    <t>227224</t>
  </si>
  <si>
    <t>HOÀNG ĐĂNG TRIỆU</t>
  </si>
  <si>
    <t>247184</t>
  </si>
  <si>
    <t>HOÀNG MINH DUY</t>
  </si>
  <si>
    <t>227023</t>
  </si>
  <si>
    <t>HOÀNG NAM VƯƠNG</t>
  </si>
  <si>
    <t>213893</t>
  </si>
  <si>
    <t>HOÀNG NGỌC THẲNG</t>
  </si>
  <si>
    <t>232002</t>
  </si>
  <si>
    <t>HOÀNG NHƯ QUỲNH</t>
  </si>
  <si>
    <t>213901</t>
  </si>
  <si>
    <t>HOÀNG TIẾN DŨNG</t>
  </si>
  <si>
    <t>183431</t>
  </si>
  <si>
    <t>HOÀNG XUÂN MẪN</t>
  </si>
  <si>
    <t>237043</t>
  </si>
  <si>
    <t>HUỲNH BỬU BỬU</t>
  </si>
  <si>
    <t>247190</t>
  </si>
  <si>
    <t>HUỲNH NGUYÊN KHANG</t>
  </si>
  <si>
    <t>247161</t>
  </si>
  <si>
    <t>HUỲNH NHẬT DUY</t>
  </si>
  <si>
    <t>227244</t>
  </si>
  <si>
    <t>HUỲNH PHÚC TRƯỜNG</t>
  </si>
  <si>
    <t>Final test on Apr 24, need to ask if they'll continue</t>
  </si>
  <si>
    <t>237235</t>
  </si>
  <si>
    <t>HUỲNH TẤN LỘC</t>
  </si>
  <si>
    <t>237117</t>
  </si>
  <si>
    <t>HUỲNH TẤN PHÁT</t>
  </si>
  <si>
    <t>193445</t>
  </si>
  <si>
    <t>HUỲNH THỊ BẢO YẾN</t>
  </si>
  <si>
    <t>213815</t>
  </si>
  <si>
    <t>HUỲNH TRẦN HẢI LONG</t>
  </si>
  <si>
    <t>193499</t>
  </si>
  <si>
    <t>HUỲNH TUẤN KHANH</t>
  </si>
  <si>
    <t>237008</t>
  </si>
  <si>
    <t>LẠC MINH HOÀNG</t>
  </si>
  <si>
    <t>237238</t>
  </si>
  <si>
    <t>LẠI MINH HIẾU</t>
  </si>
  <si>
    <t>203748</t>
  </si>
  <si>
    <t>LÂM MINH HOÀNG</t>
  </si>
  <si>
    <t>213859</t>
  </si>
  <si>
    <t>LÂM THỊ YẾN NHI</t>
  </si>
  <si>
    <t>193584</t>
  </si>
  <si>
    <t>LÂM VĂN TIẾN</t>
  </si>
  <si>
    <t>173286</t>
  </si>
  <si>
    <t>LÊ ANH TIẾN</t>
  </si>
  <si>
    <t>227200</t>
  </si>
  <si>
    <t>LÊ CÔNG DUY</t>
  </si>
  <si>
    <t>143071</t>
  </si>
  <si>
    <t>LÊ ĐẮC CƯỜNG</t>
  </si>
  <si>
    <t>203780</t>
  </si>
  <si>
    <t>LÊ HOÀNG NGUYỄN</t>
  </si>
  <si>
    <t>193534</t>
  </si>
  <si>
    <t>LÊ HỒNG QUÂN</t>
  </si>
  <si>
    <t>247185</t>
  </si>
  <si>
    <t>LÊ MINH DUY</t>
  </si>
  <si>
    <t>213844</t>
  </si>
  <si>
    <t>LÊ MINH HY</t>
  </si>
  <si>
    <t>193536</t>
  </si>
  <si>
    <t>LÊ MINH PHƯỚC</t>
  </si>
  <si>
    <t>213929</t>
  </si>
  <si>
    <t>LE MINH TRUONG</t>
  </si>
  <si>
    <t>213898</t>
  </si>
  <si>
    <t>LÊ NGỌC TRUNG HIẾU</t>
  </si>
  <si>
    <t>213854</t>
  </si>
  <si>
    <t>LÊ NHẬT</t>
  </si>
  <si>
    <t>213975</t>
  </si>
  <si>
    <t>LÊ NHẬT LINH</t>
  </si>
  <si>
    <t>247225</t>
  </si>
  <si>
    <t>LÊ PHƯỚC THIỆN</t>
  </si>
  <si>
    <t>LÊ THANH SƠN</t>
  </si>
  <si>
    <t>227116</t>
  </si>
  <si>
    <t>LÊ THẾ PHƯƠNG</t>
  </si>
  <si>
    <t>257133</t>
  </si>
  <si>
    <t>Le Thi Diem Phuong</t>
  </si>
  <si>
    <t>237056</t>
  </si>
  <si>
    <t>LÊ THỊ DIỄM QUYÊN</t>
  </si>
  <si>
    <t>173246</t>
  </si>
  <si>
    <t>LÊ THỊ HOÀNG KIM</t>
  </si>
  <si>
    <t>222010</t>
  </si>
  <si>
    <t>LÊ THỊ LAN ANH</t>
  </si>
  <si>
    <t>227160</t>
  </si>
  <si>
    <t>LÊ THỊ LAN HƯƠNG</t>
  </si>
  <si>
    <t>173230</t>
  </si>
  <si>
    <t>LÊ THỊ THU HIỀN</t>
  </si>
  <si>
    <t>183422</t>
  </si>
  <si>
    <t>LÊ TRẦN XUÂN LÃNH</t>
  </si>
  <si>
    <t>213889</t>
  </si>
  <si>
    <t>LÊ TRIỆU HUẤN</t>
  </si>
  <si>
    <t>227058</t>
  </si>
  <si>
    <t>LE VAN DONG TAM</t>
  </si>
  <si>
    <t>No further need to continue the course</t>
  </si>
  <si>
    <t>113024</t>
  </si>
  <si>
    <t>LÊ VĂN SƠN</t>
  </si>
  <si>
    <t>237169</t>
  </si>
  <si>
    <t>LƯƠNG ANH TUẤN</t>
  </si>
  <si>
    <t>163188</t>
  </si>
  <si>
    <t>LƯƠNG CÔNG KỲ</t>
  </si>
  <si>
    <t>193519</t>
  </si>
  <si>
    <t>LƯƠNG MINH QUÂN</t>
  </si>
  <si>
    <t>237206</t>
  </si>
  <si>
    <t>LƯƠNG TRÀ VY</t>
  </si>
  <si>
    <t>133051</t>
  </si>
  <si>
    <t>LÝ KHÁNH LONG</t>
  </si>
  <si>
    <t>193443</t>
  </si>
  <si>
    <t>LÝ THỊ BÉ XÍU</t>
  </si>
  <si>
    <t>143079</t>
  </si>
  <si>
    <t>LÝ THỊ DIỄM MY</t>
  </si>
  <si>
    <t>247080</t>
  </si>
  <si>
    <t>MAI THỊ THÙY TRANG</t>
  </si>
  <si>
    <t>247357</t>
  </si>
  <si>
    <t>NGÔ MINH HIẾU</t>
  </si>
  <si>
    <t>247265</t>
  </si>
  <si>
    <t>NGÔ THỤY THANH NHƯ</t>
  </si>
  <si>
    <t>Above the team's level</t>
  </si>
  <si>
    <t>247200</t>
  </si>
  <si>
    <t>NGÔ TRỌNG NGHĨA</t>
  </si>
  <si>
    <t>193447</t>
  </si>
  <si>
    <t>NGUYỄN ANH ĐỨC</t>
  </si>
  <si>
    <t>237157</t>
  </si>
  <si>
    <t>NGUYỄN BÁ NGỌC</t>
  </si>
  <si>
    <t>227080</t>
  </si>
  <si>
    <t>NGUYỄN BÁ PHI NHẬT</t>
  </si>
  <si>
    <t>247378</t>
  </si>
  <si>
    <t>NGUYỄN BẢO ĐẠT</t>
  </si>
  <si>
    <t>257045</t>
  </si>
  <si>
    <t>NGUYỄN BẢO DUY</t>
  </si>
  <si>
    <t>247078</t>
  </si>
  <si>
    <t>NGUYỄN CÔNG ĐOÀN</t>
  </si>
  <si>
    <t>193451</t>
  </si>
  <si>
    <t>NGUYỄN CÔNG HẬU</t>
  </si>
  <si>
    <t>237035</t>
  </si>
  <si>
    <t>Nguyễn Đặng Khương Duy (Dustin)</t>
  </si>
  <si>
    <t>237237</t>
  </si>
  <si>
    <t>NGUYỄN ĐẶNG NGỌC MINH</t>
  </si>
  <si>
    <t>242001</t>
  </si>
  <si>
    <t>NGUYỄN ĐẠT THỊNH</t>
  </si>
  <si>
    <t>247054</t>
  </si>
  <si>
    <t>NGUYỄN DOÃN NAM</t>
  </si>
  <si>
    <t>227141</t>
  </si>
  <si>
    <t>NGUYỄN ĐÔNG HỒ</t>
  </si>
  <si>
    <t>Prefer different format</t>
  </si>
  <si>
    <t>213805</t>
  </si>
  <si>
    <t>NGUYỄN ĐỨC ANH</t>
  </si>
  <si>
    <t>247198</t>
  </si>
  <si>
    <t>NGUYỄN ĐỨC NHẬT</t>
  </si>
  <si>
    <t>247413</t>
  </si>
  <si>
    <t>NGUYỄN ĐỨC TIẾN</t>
  </si>
  <si>
    <t>153116</t>
  </si>
  <si>
    <t>NGUYEN DUY PHONG</t>
  </si>
  <si>
    <t>133067</t>
  </si>
  <si>
    <t>NGUYEN DUY PHU</t>
  </si>
  <si>
    <t>183382</t>
  </si>
  <si>
    <t>NGUYỄN DUY PHÚ</t>
  </si>
  <si>
    <t>4/2025: Chờ ghép lớp BE</t>
  </si>
  <si>
    <t>203664</t>
  </si>
  <si>
    <t>Nguyễn Hà Vi (V)</t>
  </si>
  <si>
    <t>193633</t>
  </si>
  <si>
    <t>Nguyen Hoai Nam</t>
  </si>
  <si>
    <t>227218</t>
  </si>
  <si>
    <t>NGUYỄN HOÀNG BẢO TRÂN</t>
  </si>
  <si>
    <t>183440</t>
  </si>
  <si>
    <t>NGUYỄN HOÀNG GIANG</t>
  </si>
  <si>
    <t>227153</t>
  </si>
  <si>
    <t>NGUYỄN HOÀNG HẠ UYÊN</t>
  </si>
  <si>
    <t>Đã re-study 2 lần nhưng vẫn ở level Foundation</t>
  </si>
  <si>
    <t>227055</t>
  </si>
  <si>
    <t>NGUYỄN HOÀNG PHÚC</t>
  </si>
  <si>
    <t>Vợ sinh ngay ngày thi Final nên không có kết quả =&gt; không join Com2 được cùng team</t>
  </si>
  <si>
    <t>227081</t>
  </si>
  <si>
    <t>247313</t>
  </si>
  <si>
    <t>Nguyễn Hồng Mỹ</t>
  </si>
  <si>
    <t>247082</t>
  </si>
  <si>
    <t>NGUYEN HUU DUY</t>
  </si>
  <si>
    <t>247379</t>
  </si>
  <si>
    <t>NGUYỄN HỮU NGHỊ</t>
  </si>
  <si>
    <t>237110</t>
  </si>
  <si>
    <t>Nguyễn Hữu Phước</t>
  </si>
  <si>
    <t>217001</t>
  </si>
  <si>
    <t>NGUYỄN HỮU TRƯỜNG</t>
  </si>
  <si>
    <t>227103</t>
  </si>
  <si>
    <t>NGUYỄN HUỲNH SƠN</t>
  </si>
  <si>
    <t>247106</t>
  </si>
  <si>
    <t>NGUYỄN KHÁNH UYÊN</t>
  </si>
  <si>
    <t>237183</t>
  </si>
  <si>
    <t>NGUYỄN LÊ HOÀNG VĂN</t>
  </si>
  <si>
    <t>247298</t>
  </si>
  <si>
    <t>NGUYỄN LÊ KHOA</t>
  </si>
  <si>
    <t>227048</t>
  </si>
  <si>
    <t>NGUYỄN LÝ KHÁNH HUY</t>
  </si>
  <si>
    <t>213810</t>
  </si>
  <si>
    <t>NGUYỄN MINH DUY</t>
  </si>
  <si>
    <t>237072</t>
  </si>
  <si>
    <t>NGUYỄN MINH LIÊN</t>
  </si>
  <si>
    <t>247172</t>
  </si>
  <si>
    <t>NGUYỄN MINH QUÂN</t>
  </si>
  <si>
    <t>237201</t>
  </si>
  <si>
    <t>NGUYỄN MINH QUANG</t>
  </si>
  <si>
    <t>247187</t>
  </si>
  <si>
    <t>NGUYỄN MINH THƯ</t>
  </si>
  <si>
    <t>227177</t>
  </si>
  <si>
    <t>NGUYỄN NGỌC HOÀNG BẢO TRÂN</t>
  </si>
  <si>
    <t>247264</t>
  </si>
  <si>
    <t>NGUYỄN NGỌC NGUYỆT NGÂN</t>
  </si>
  <si>
    <t>213947</t>
  </si>
  <si>
    <t>NGUYỄN NGỌC PHƯƠNG NHI</t>
  </si>
  <si>
    <t>227035</t>
  </si>
  <si>
    <t>NGUYỄN NHẬT HÀO</t>
  </si>
  <si>
    <t>227214</t>
  </si>
  <si>
    <t>NGUYỄN PHAN THẾ VINH</t>
  </si>
  <si>
    <t>227225</t>
  </si>
  <si>
    <t>NGUYỄN PHI LONG</t>
  </si>
  <si>
    <t>247332</t>
  </si>
  <si>
    <t>NGUYỄN PHÚC THANH TOÀN</t>
  </si>
  <si>
    <t>257036</t>
  </si>
  <si>
    <t>NGUYỄN PHÚC VINH</t>
  </si>
  <si>
    <t>173232</t>
  </si>
  <si>
    <t>NGUYỄN QUANG ĐỨC</t>
  </si>
  <si>
    <t>193613</t>
  </si>
  <si>
    <t>NGUYỄN QUANG TRUNG</t>
  </si>
  <si>
    <t>203790</t>
  </si>
  <si>
    <t>213974</t>
  </si>
  <si>
    <t>NGUYỄN QUÍ EM</t>
  </si>
  <si>
    <t>247114</t>
  </si>
  <si>
    <t>NGUYỄN QUỐC DUY</t>
  </si>
  <si>
    <t>213936</t>
  </si>
  <si>
    <t>NGUYỄN QUỐC TUẤN</t>
  </si>
  <si>
    <t>237061</t>
  </si>
  <si>
    <t>NGUYỄN TẤN HUY</t>
  </si>
  <si>
    <t>213914</t>
  </si>
  <si>
    <t>NGUYỄN TẤN PHÁT</t>
  </si>
  <si>
    <t>Đã complete Com1, stop 5/2025 và giờ quay lại học</t>
  </si>
  <si>
    <t>183421</t>
  </si>
  <si>
    <t>NGUYỄN TẤT ĐẠT</t>
  </si>
  <si>
    <t>193632</t>
  </si>
  <si>
    <t>NGUYỄN THÁI SƠN</t>
  </si>
  <si>
    <t>213857</t>
  </si>
  <si>
    <t>NGUYỄN THÀNH NHÂN</t>
  </si>
  <si>
    <t>237158</t>
  </si>
  <si>
    <t>NGUYỄN THÀNH PHI</t>
  </si>
  <si>
    <t>247097</t>
  </si>
  <si>
    <t>NGUYỄN THÀNH PHƯỚC</t>
  </si>
  <si>
    <t>173231</t>
  </si>
  <si>
    <t>NGUYỄN THANH TÙNG</t>
  </si>
  <si>
    <t>237049</t>
  </si>
  <si>
    <t>NGUYỄN THẢO QUỲNH NHƯ</t>
  </si>
  <si>
    <t>247062</t>
  </si>
  <si>
    <t>NGUYỄN THẾ ANH</t>
  </si>
  <si>
    <t>247415</t>
  </si>
  <si>
    <t>NGUYỄN THỊ HIỀN NI</t>
  </si>
  <si>
    <t>213968</t>
  </si>
  <si>
    <t>NGUYỄN THỊ HOÀNG OANH</t>
  </si>
  <si>
    <t>Class rule violation</t>
  </si>
  <si>
    <t>247043</t>
  </si>
  <si>
    <t>NGUYỄN THỊ HỒNG ĐÀO</t>
  </si>
  <si>
    <t>247064</t>
  </si>
  <si>
    <t>NGUYỄN THỊ KIM OANH</t>
  </si>
  <si>
    <t>183330</t>
  </si>
  <si>
    <t>NGUYỄN THỊ KIM TRANG</t>
  </si>
  <si>
    <t>247416</t>
  </si>
  <si>
    <t>NGUYỄN THỊ LOAN</t>
  </si>
  <si>
    <t>227122</t>
  </si>
  <si>
    <t>NGUYỄN THỊ NGỌC DUNG</t>
  </si>
  <si>
    <t>237023</t>
  </si>
  <si>
    <t>NGUYỄN THỊ NGỌC LỮ</t>
  </si>
  <si>
    <t>237103</t>
  </si>
  <si>
    <t>NGUYỄN THỊ THÙY LINH</t>
  </si>
  <si>
    <t>222014</t>
  </si>
  <si>
    <t>NGUYỄN THỊ THÙY TRANG</t>
  </si>
  <si>
    <t>193548</t>
  </si>
  <si>
    <t>NGUYỄN THIÊN ÂN</t>
  </si>
  <si>
    <t>237207</t>
  </si>
  <si>
    <t>NGUYỄN THÙY GIANG</t>
  </si>
  <si>
    <t>247263</t>
  </si>
  <si>
    <t>NGUYỄN TRẦN HOÀI MỸ</t>
  </si>
  <si>
    <t>227170</t>
  </si>
  <si>
    <t>NGUYỄN TRẦN LỆ DUYÊN</t>
  </si>
  <si>
    <t>193607</t>
  </si>
  <si>
    <t>NGUYỄN TRẦN MINH NGHĨA</t>
  </si>
  <si>
    <t>247085</t>
  </si>
  <si>
    <t>NGUYỄN TRẦN NGỌC HƯNG</t>
  </si>
  <si>
    <t>247083</t>
  </si>
  <si>
    <t>NGUYỄN TRANG QUỲNH NHƯ</t>
  </si>
  <si>
    <t>237182</t>
  </si>
  <si>
    <t>NGUYỄN TRỌNG BÌNH NGUYÊN</t>
  </si>
  <si>
    <t>247178</t>
  </si>
  <si>
    <t>NGUYỄN TRÚC DUYÊN</t>
  </si>
  <si>
    <t>153139</t>
  </si>
  <si>
    <t>NGUYEN TRUNG NGHIA</t>
  </si>
  <si>
    <t>227131</t>
  </si>
  <si>
    <t>NGUYỄN TRƯƠNG BẢO QUYÊN</t>
  </si>
  <si>
    <t>247207</t>
  </si>
  <si>
    <t>NGUYỄN VĂN ĐỨC</t>
  </si>
  <si>
    <t>247156</t>
  </si>
  <si>
    <t>NGUYỄN VĂN HOÀNG</t>
  </si>
  <si>
    <t>247088</t>
  </si>
  <si>
    <t>NGUYỄN VĂN HÙNG</t>
  </si>
  <si>
    <t>193529</t>
  </si>
  <si>
    <t>NGUYỄN VĂN MẠNH CƯỜNG</t>
  </si>
  <si>
    <t>247098</t>
  </si>
  <si>
    <t>NGUYỄN VĂN TÀI</t>
  </si>
  <si>
    <t>213895</t>
  </si>
  <si>
    <t>NGUYỄN VĂN THÁI</t>
  </si>
  <si>
    <t>227091</t>
  </si>
  <si>
    <t>NGUYỄN VŨ LUÂN</t>
  </si>
  <si>
    <t>213991</t>
  </si>
  <si>
    <t>ÔNG HOÀI THỊNH</t>
  </si>
  <si>
    <t>227008</t>
  </si>
  <si>
    <t>PHẠM ĐỨC ÁO</t>
  </si>
  <si>
    <t>247036</t>
  </si>
  <si>
    <t>PHẠM HỒ LƯỢNG</t>
  </si>
  <si>
    <t>237156</t>
  </si>
  <si>
    <t>PHẠM HOÀNG THÁI SƠN</t>
  </si>
  <si>
    <t>213808</t>
  </si>
  <si>
    <t>PHẠM HỒNG THIÊN TÀI</t>
  </si>
  <si>
    <t>193523</t>
  </si>
  <si>
    <t>PHẠM HỮU TUẤN</t>
  </si>
  <si>
    <t>247119</t>
  </si>
  <si>
    <t>PHẠM HUY HOÀNG</t>
  </si>
  <si>
    <t>237129</t>
  </si>
  <si>
    <t>PHẠM HUỲNH TÂN</t>
  </si>
  <si>
    <t>247405</t>
  </si>
  <si>
    <t>PHẠM LÊ HOÀI PHƯƠNG</t>
  </si>
  <si>
    <t>247147</t>
  </si>
  <si>
    <t>PHẠM LÊ QUỲNH HƯƠNG</t>
  </si>
  <si>
    <t>203701</t>
  </si>
  <si>
    <t>PHẠM MAI NHẬT</t>
  </si>
  <si>
    <t>5/2025: Chờ lớp Business English</t>
  </si>
  <si>
    <t>227220</t>
  </si>
  <si>
    <t>PHẠM NGỌC ANH DUYÊN</t>
  </si>
  <si>
    <t>247065</t>
  </si>
  <si>
    <t>Phạm Ngọc Hưng (Zero)</t>
  </si>
  <si>
    <t>193496</t>
  </si>
  <si>
    <t>PHẠM NGUYỄN TRƯỜNG BẢO</t>
  </si>
  <si>
    <t>227092</t>
  </si>
  <si>
    <t>PHẠM THỊ BÍCH THÚY</t>
  </si>
  <si>
    <t>183324</t>
  </si>
  <si>
    <t>PHẠM THỊ OANH THƠ</t>
  </si>
  <si>
    <t>193550</t>
  </si>
  <si>
    <t>PHẠM TƯỜNG NHÂN</t>
  </si>
  <si>
    <t>183427</t>
  </si>
  <si>
    <t>PHAN CÔNG TOẠI</t>
  </si>
  <si>
    <t>3/2026: Chờ ghép lớp Com 3</t>
  </si>
  <si>
    <t>183432</t>
  </si>
  <si>
    <t>PHAN ĐÌNH MINH NHẬT</t>
  </si>
  <si>
    <t>193490</t>
  </si>
  <si>
    <t>PHAN GIA LỘC</t>
  </si>
  <si>
    <t>247360</t>
  </si>
  <si>
    <t>PHAN HỮU CƯỜNG</t>
  </si>
  <si>
    <t>247203</t>
  </si>
  <si>
    <t>PHAN HUY NHÂN</t>
  </si>
  <si>
    <t>242006</t>
  </si>
  <si>
    <t>PHAN LÊ HỒNG LEL</t>
  </si>
  <si>
    <t>143084</t>
  </si>
  <si>
    <t>PHAN QUỐC BÌNH</t>
  </si>
  <si>
    <t>203759</t>
  </si>
  <si>
    <t>PHAN THẾ AN</t>
  </si>
  <si>
    <t>247183</t>
  </si>
  <si>
    <t>PHAN THU THẢO</t>
  </si>
  <si>
    <t>227064</t>
  </si>
  <si>
    <t>PHÙNG ĐÌNH HUY</t>
  </si>
  <si>
    <t>173268</t>
  </si>
  <si>
    <t>PHÙNG QUANG THÀNH</t>
  </si>
  <si>
    <t>203693</t>
  </si>
  <si>
    <t>QUÁCH NHẬT TRUNG</t>
  </si>
  <si>
    <t>Chờ xếp lớp BE</t>
  </si>
  <si>
    <t>183379</t>
  </si>
  <si>
    <t>Tạ Phạm Minh Chương (Chivas)</t>
  </si>
  <si>
    <t>227101</t>
  </si>
  <si>
    <t>Tạ Thiên Phước (Noah)</t>
  </si>
  <si>
    <t>247038</t>
  </si>
  <si>
    <t>TĂNG HOÀNG YẾN</t>
  </si>
  <si>
    <t>193495</t>
  </si>
  <si>
    <t>THẠCH THÁI HUY</t>
  </si>
  <si>
    <t>247245</t>
  </si>
  <si>
    <t>THÁI NHẬT TÂN</t>
  </si>
  <si>
    <t>247127</t>
  </si>
  <si>
    <t>THÁI TRẦN HỒNG PHÚC</t>
  </si>
  <si>
    <t>247086</t>
  </si>
  <si>
    <t>THỚI PHI LONG</t>
  </si>
  <si>
    <t>213876</t>
  </si>
  <si>
    <t>TÔ DIỆP THIÊN ANH</t>
  </si>
  <si>
    <t>227069</t>
  </si>
  <si>
    <t>TÔ PHƯỚC THÁI</t>
  </si>
  <si>
    <t>247262</t>
  </si>
  <si>
    <t>TÔN THÀNH AN</t>
  </si>
  <si>
    <t>193516</t>
  </si>
  <si>
    <t>TRẦN ANH DUY</t>
  </si>
  <si>
    <t>247163</t>
  </si>
  <si>
    <t>TRẦN ĐÌNH AN</t>
  </si>
  <si>
    <t>193526</t>
  </si>
  <si>
    <t>TRẦN ĐÌNH CHIẾN</t>
  </si>
  <si>
    <t>247192</t>
  </si>
  <si>
    <t>TRẦN ĐỨC LỢI</t>
  </si>
  <si>
    <t>227112</t>
  </si>
  <si>
    <t>TRẦN ĐỨC NAM</t>
  </si>
  <si>
    <t>247102</t>
  </si>
  <si>
    <t>TRẦN ĐỨC VINH</t>
  </si>
  <si>
    <t>247234</t>
  </si>
  <si>
    <t>TRẦN DƯƠNG HOÀN MỸ</t>
  </si>
  <si>
    <t>193530</t>
  </si>
  <si>
    <t>Trần Hùng Cường (Ethan)</t>
  </si>
  <si>
    <t>237246</t>
  </si>
  <si>
    <t>TRẦN HƯƠNG QUỲNH</t>
  </si>
  <si>
    <t>237130</t>
  </si>
  <si>
    <t>TRẦN KHANG</t>
  </si>
  <si>
    <t>237230</t>
  </si>
  <si>
    <t>TRẦN KIM HẰNG</t>
  </si>
  <si>
    <t>203764</t>
  </si>
  <si>
    <t>TRẦN MINH TRIẾT</t>
  </si>
  <si>
    <t>227097</t>
  </si>
  <si>
    <t>TRẦN MINH TRUNG</t>
  </si>
  <si>
    <t>247191</t>
  </si>
  <si>
    <t>TRẦN NGỌC PHƯỚC HOÀNG</t>
  </si>
  <si>
    <t>247260</t>
  </si>
  <si>
    <t>TRẦN NHƯ TRÂM ANH</t>
  </si>
  <si>
    <t>213935</t>
  </si>
  <si>
    <t>TRẦN NHỰT DUY</t>
  </si>
  <si>
    <t>247377</t>
  </si>
  <si>
    <t>TRẦN NHỰT TÂN</t>
  </si>
  <si>
    <t>213861</t>
  </si>
  <si>
    <t>TRẦN QUANG ĐẠO</t>
  </si>
  <si>
    <t>247412</t>
  </si>
  <si>
    <t>TRẦN QUANG TỐNG</t>
  </si>
  <si>
    <t>213870</t>
  </si>
  <si>
    <t>Trần Quốc Hiệp</t>
  </si>
  <si>
    <t>227024</t>
  </si>
  <si>
    <t>TRẦN QUỐC VIỆT</t>
  </si>
  <si>
    <t>213851</t>
  </si>
  <si>
    <t>TRẦN THANH ĐIỀN</t>
  </si>
  <si>
    <t>183400</t>
  </si>
  <si>
    <t>TRẦN THANH HIẾU</t>
  </si>
  <si>
    <t>247076</t>
  </si>
  <si>
    <t>TRẦN THẾ ANH</t>
  </si>
  <si>
    <t>242003</t>
  </si>
  <si>
    <t>TRẦN THỊ ÁNH NGUYỆT</t>
  </si>
  <si>
    <t>237147</t>
  </si>
  <si>
    <t>TRẦN THỊ HOÀI THƯƠNG</t>
  </si>
  <si>
    <t>227144</t>
  </si>
  <si>
    <t>TRẦN THỊ HOÀN MỸ</t>
  </si>
  <si>
    <t>257132</t>
  </si>
  <si>
    <t>Tran Thi Huyen Tran</t>
  </si>
  <si>
    <t>193620</t>
  </si>
  <si>
    <t>TRẦN THỊ HUỲNH NHƯ</t>
  </si>
  <si>
    <t>237050</t>
  </si>
  <si>
    <t>TRẦN THỊ THANH NGA</t>
  </si>
  <si>
    <t>227148</t>
  </si>
  <si>
    <t>TRẦN THỊ THÙY DUNG</t>
  </si>
  <si>
    <t>247122</t>
  </si>
  <si>
    <t>TRẦN THỊ YẾN</t>
  </si>
  <si>
    <t>237160</t>
  </si>
  <si>
    <t>Trần Tuấn Kiệt</t>
  </si>
  <si>
    <t>237161</t>
  </si>
  <si>
    <t>TRẦN VĂN HÀ</t>
  </si>
  <si>
    <t>247358</t>
  </si>
  <si>
    <t>TRẦN VĨNH PHÚC</t>
  </si>
  <si>
    <t>183423</t>
  </si>
  <si>
    <t>TRẦN VĨNH THUẬN</t>
  </si>
  <si>
    <t>247223</t>
  </si>
  <si>
    <t>TRẦN XUÂN KHOA</t>
  </si>
  <si>
    <t>193511</t>
  </si>
  <si>
    <t>Trang Duy Thông</t>
  </si>
  <si>
    <t>247388</t>
  </si>
  <si>
    <t>TRANG KỲ ANH</t>
  </si>
  <si>
    <t>247195</t>
  </si>
  <si>
    <t>TRƯƠNG ĐĂNG QUANG</t>
  </si>
  <si>
    <t>227063</t>
  </si>
  <si>
    <t>TRƯƠNG ĐÌNH ÁNH</t>
  </si>
  <si>
    <t>213946</t>
  </si>
  <si>
    <t>TRƯƠNG NHỰT MINH THƯ</t>
  </si>
  <si>
    <t>183340</t>
  </si>
  <si>
    <t>TRƯƠNG TRUNG THIÊN</t>
  </si>
  <si>
    <t>237245</t>
  </si>
  <si>
    <t>TỪ NGUYỄN MINH NHẬT</t>
  </si>
  <si>
    <t>193547</t>
  </si>
  <si>
    <t>VĂN TÂN LỢI</t>
  </si>
  <si>
    <t>247079</t>
  </si>
  <si>
    <t>VÕ CAO TRÍ</t>
  </si>
  <si>
    <t>213916</t>
  </si>
  <si>
    <t>VÕ CHÍ ĐẠI</t>
  </si>
  <si>
    <t>237196</t>
  </si>
  <si>
    <t>VÕ CHÍ THIỆN</t>
  </si>
  <si>
    <t>237097</t>
  </si>
  <si>
    <t>VÕ ĐỒNG ĐỨC DUY</t>
  </si>
  <si>
    <t>213891</t>
  </si>
  <si>
    <t>VÕ DUY KIỆT</t>
  </si>
  <si>
    <t>247384</t>
  </si>
  <si>
    <t>VÕ NGUYỄN DUY ANH</t>
  </si>
  <si>
    <t>247199</t>
  </si>
  <si>
    <t>VÕ PHÚ PHÁT</t>
  </si>
  <si>
    <t>247146</t>
  </si>
  <si>
    <t>VÕ QUỐC THIÊN</t>
  </si>
  <si>
    <t>163215</t>
  </si>
  <si>
    <t>VÕ THỊ HƯƠNG GIANG</t>
  </si>
  <si>
    <t>237101</t>
  </si>
  <si>
    <t>VÕ THỊ THU HƯƠNG</t>
  </si>
  <si>
    <t>227188</t>
  </si>
  <si>
    <t>VÕ THỊ TUYẾT HỒNG</t>
  </si>
  <si>
    <t>193544</t>
  </si>
  <si>
    <t>VŨ ANH THƯ</t>
  </si>
  <si>
    <t>227240</t>
  </si>
  <si>
    <t>VŨ ANH TÚ</t>
  </si>
  <si>
    <t>227032</t>
  </si>
  <si>
    <t>VŨ NHẬT MINH TRƯỜNG</t>
  </si>
  <si>
    <t>213938</t>
  </si>
  <si>
    <t>VŨ THANH THẢO</t>
  </si>
  <si>
    <t>227104</t>
  </si>
  <si>
    <t>VŨ THỊ HỒNG LIÊN</t>
  </si>
  <si>
    <t>227155</t>
  </si>
  <si>
    <t>VŨ TÚ ANH</t>
  </si>
  <si>
    <t>TRẦN THỊ NI NA</t>
  </si>
  <si>
    <t>Nguyễn Quốc Thái</t>
  </si>
  <si>
    <t>153138</t>
  </si>
  <si>
    <t>Nguyễn Đình Mạnh</t>
  </si>
  <si>
    <t>193522</t>
  </si>
  <si>
    <t>Đinh Bộ Lĩnh</t>
  </si>
  <si>
    <t>237070</t>
  </si>
  <si>
    <t>Cao Ngọc Nguyên</t>
  </si>
  <si>
    <t>203757</t>
  </si>
  <si>
    <t>Trần Hoàng Tuấn</t>
  </si>
  <si>
    <t>213911</t>
  </si>
  <si>
    <t>Hồ Phạm Sĩ Hùng</t>
  </si>
  <si>
    <t>203791</t>
  </si>
  <si>
    <t>Trương Quốc Quy</t>
  </si>
  <si>
    <t>237031</t>
  </si>
  <si>
    <t>Nguyễn Ngọc Thạch</t>
  </si>
  <si>
    <t>203713</t>
  </si>
  <si>
    <t>Bùi Quang Khôi</t>
  </si>
  <si>
    <t>213874</t>
  </si>
  <si>
    <t>Nguyễn Hoàng Hải</t>
  </si>
  <si>
    <t>203725</t>
  </si>
  <si>
    <t>Đặng Thanh Túc</t>
  </si>
  <si>
    <t>227005</t>
  </si>
  <si>
    <t>Ngô Thị Huyền Trang (Joyce)</t>
  </si>
  <si>
    <t>213813</t>
  </si>
  <si>
    <t>Lê Trọng Ân</t>
  </si>
  <si>
    <t>203786</t>
  </si>
  <si>
    <t>Trần Ánh Tuyết (Taylor)</t>
  </si>
  <si>
    <t>257121</t>
  </si>
  <si>
    <t>Nguyễn Kim Khánh (Annie)</t>
  </si>
  <si>
    <t>257135</t>
  </si>
  <si>
    <t>Lê Tuyết Ngân</t>
  </si>
  <si>
    <t>257059</t>
  </si>
  <si>
    <t>Nguyễn Ngọc Hào</t>
  </si>
  <si>
    <t>Sheet</t>
  </si>
  <si>
    <t>Column</t>
  </si>
  <si>
    <t>Row</t>
  </si>
  <si>
    <t xml:space="preserve">Phúc's </t>
  </si>
  <si>
    <t>Hào's</t>
  </si>
  <si>
    <t>Solved</t>
  </si>
  <si>
    <t>Hao Note</t>
  </si>
  <si>
    <t>Student</t>
  </si>
  <si>
    <t>Row 145, tên "Vũ Tú Anh"</t>
  </si>
  <si>
    <t>Suppose: đang học bth, và học lớp Business EL
As in file: at risk of dropping &amp; học Communication 2
=&gt; check thử xem trong data đổ qua có vde hay là công thức có vde he</t>
  </si>
  <si>
    <t>Đã update nha c. Nhập liệu sai ở Sheet Attendance_input về năm (2025 và 2026)</t>
  </si>
  <si>
    <t>x</t>
  </si>
  <si>
    <t>Lam sao de xac dinh 3 criteria nay</t>
  </si>
  <si>
    <t>Status gồm 3 loại: Active, Inactive, Waiting for class
1. Active = những bạn vẫn đang theo học
2. Inactive = những bạn Resigned (col O) + đã Dropped (col M)
3. Waiting for class = đang chờ xếp lớp (gồm: chưa join lần nào + đã join vài lớp &amp; chưa có lớp phù hợp)
=&gt; Ý completed có thể nằm ở cả 2 cột: Active (đã complete khóa trước &amp; đang join khóa sau) &amp; Inactive (complete khóa và ko học tiếp)</t>
  </si>
  <si>
    <t>needs to add some more columns for tracking (inactive status, level &amp; course)</t>
  </si>
  <si>
    <t>Nhóm columns về Inactive status:
Col L: record who dropped
col M: record drop reason
col N: record member who resigned
Nhóm columns về ghi nhận level &amp; các khóa đã join:</t>
  </si>
  <si>
    <t>Completed</t>
  </si>
  <si>
    <t>missing information of trainees (row 205 - 326 of Eng Training_Editing \ Master data)</t>
  </si>
  <si>
    <t>từ row 205 - 326, những data nào trùng với ds của H, c đã add các dữ liệu l/quan inactive rồi. Những cái nào ko trùng để T3 c làm tiếp</t>
  </si>
  <si>
    <t xml:space="preserve">Dropped </t>
  </si>
  <si>
    <t>Không thể Vlookup giữa 2 sheet "Students" &amp; "Left"; vì có thể bạn dừng học trước khi bạn resign (data left chỉ gồm emp. code &amp; full name, ko biết chính xác tgian bạn nghỉ) =&gt; prefer nhập tay</t>
  </si>
  <si>
    <t>212007        BÙI MINH NHẬT</t>
  </si>
  <si>
    <t>212007        BÙI MINH NHẬT đã ngừng join từ 2025 nhưng trong data 2026 vẫn còn
=&gt; Suggest: Cột A &amp; B của "Student" là cố định ko đổi. Cách sắp xếp trong sheet nên cấu trúc như sau để dễ track bugs: 
- Chia là 2 phần: Active &amp; Inactive (VD: Active từ row 2 -&gt; xx, Inactive từ row xx+1 -&gt; yy)
- Trong phần Active, xếp các bạn đang active có cùng Class code lại sát nhau để tiện theo dõi
=&gt; Chị chỉnh tay các dòng của Nhật, e add công thức vào sau nhé
=&gt; Structure như c suggest c tạm xếp; e recheck</t>
  </si>
  <si>
    <t>Update ve entrance level va current level</t>
  </si>
  <si>
    <t xml:space="preserve">Status, PIC, Last Active date </t>
  </si>
  <si>
    <t>183427        PHAN CÔNG TOẠI bạn này trc thuộc lớp của Cường Nguyễn. Sau khi lớp thi final ngày 3 Mar &amp; ngưng ko học tiếp thì chỉ có mình bạn join cùng lớp anh Lãnh Lê (last join của bạn là 1 Apr nhưng công thức dừng ở 3 Mar 
=&gt; Chị chỉnh tay các dòng của Toại, e add công thức vào sau nhé</t>
  </si>
  <si>
    <t>EL046</t>
  </si>
  <si>
    <t>thai nguyen 1</t>
  </si>
  <si>
    <t>Row 90</t>
  </si>
  <si>
    <t>213881        ĐẶNG GIA LỘC last update của bạn là ở PIC Liên Nguyễn nhưng vẫn record là Quân Nguyên
=&gt; Chị chỉnh tay các dòng của bạn, e add công thức vào sau nhé</t>
  </si>
  <si>
    <t>Row 141</t>
  </si>
  <si>
    <t>227058        LE VAN DONG TAM (giống Đặng Gia Lộc)</t>
  </si>
  <si>
    <t>Lanh Le Lớp này vẫn đang học; ngày học gần nhất là 1/4 (ở file attendance check) nhưng mà file đang ghi nhận là Inactive và last active day là 23/1 
=&gt; Chị đã chỉnh tay lại, em add công thức vào sau nhé</t>
  </si>
  <si>
    <t>All row</t>
  </si>
  <si>
    <t xml:space="preserve">Vlookup_value bị nhảy 1 dòng =&gt; Data ko chính xác
=&gt; Chị đã chỉnh để tiện add thông tin về Inactived </t>
  </si>
  <si>
    <t>capnhat lop</t>
  </si>
  <si>
    <t>Có 2 lớp phải check tay, nếu xài công thức như hiện tại sẽ khó theo dõi:
1. Anh To: Vừa thi xong hôm t6 tuần rồi =&gt; phải note lại để nhớ mà check kết quả level các bạn để còn xếp lớp &amp; hỏi xem các bạn có muốn tiếp tục ko. Đồng thời recheck những người đang chờ ráp lớp xem có ai phù hợp ghép chung lớp Anh To ko
2. Hùng Nguyễn: Thi xong từ cuối háng 3 nhưng muốn nghỉ 1 tháng 4 &amp; đầu tháng 5 mới bắt đầu học tiếp</t>
  </si>
  <si>
    <t>EL047</t>
  </si>
  <si>
    <t>thai nguyen 2</t>
  </si>
  <si>
    <t>At risk</t>
  </si>
  <si>
    <t>Chưa thấy đc sự tương quan giữa 2 sheet "At Risk" &amp; "Drop Flag"</t>
  </si>
  <si>
    <t>"Dashboard" &amp; "Data_Quality_Check"</t>
  </si>
  <si>
    <t xml:space="preserve">Có vẻ cấu trúc của 2 sheet này giống nhau nhưng số liệu lệch nhiều </t>
  </si>
  <si>
    <t>EL048</t>
  </si>
  <si>
    <t xml:space="preserve">Trang ngo 6th </t>
  </si>
  <si>
    <t>PIC, Course_Plan, Level_Helper</t>
  </si>
  <si>
    <t>Đ/v các sheet có ít dữ liệu như 3 sheet này thì có thể ráp vào 1 sheet không? Để đỡ chuyển qua/lại giữa các sheet</t>
  </si>
  <si>
    <t>Attendance Log</t>
  </si>
  <si>
    <t>C hiểu cách lấy data của Attendance_Log; nhưng c chưa rõ mục tiêu của sheet này có thể giúp gì cho mình nhiều lắm</t>
  </si>
  <si>
    <t>1st</t>
  </si>
  <si>
    <t>2nd</t>
  </si>
  <si>
    <t>3rd</t>
  </si>
  <si>
    <t>4th</t>
  </si>
  <si>
    <t>5th</t>
  </si>
  <si>
    <t>6th</t>
  </si>
  <si>
    <t>All</t>
  </si>
  <si>
    <t>C cần 1 sheet tổng hợp mô tả linkage giữa các sheet với nhau trong file; để lỡ có vde gì thì còn cross-check nhanh đc
Gợi ý 1 số cột: 
Op1: Sheet name | Purpose | Main content | Input from | Output to | Key logic / link field | Owner
Op2: Sheet name | Purpose | Input | Output | Key link</t>
  </si>
  <si>
    <t>Trần Thị Kiều Anh</t>
  </si>
  <si>
    <t>A</t>
  </si>
  <si>
    <t>Nguyễn Thị Thùy Linh</t>
  </si>
  <si>
    <t>7th</t>
  </si>
  <si>
    <t>8th</t>
  </si>
  <si>
    <t>Nguyen Tran Minh Nghia</t>
  </si>
  <si>
    <t>9th</t>
  </si>
  <si>
    <t>10th</t>
  </si>
  <si>
    <t>11th</t>
  </si>
  <si>
    <t>12th</t>
  </si>
  <si>
    <t>13th</t>
  </si>
  <si>
    <t>14th</t>
  </si>
  <si>
    <t>15th</t>
  </si>
  <si>
    <t>16th_Final</t>
  </si>
  <si>
    <t xml:space="preserve"> </t>
  </si>
  <si>
    <t>Thao Vu 1</t>
  </si>
  <si>
    <t>Loại</t>
  </si>
  <si>
    <t>Cell</t>
  </si>
  <si>
    <t>Class/Course</t>
  </si>
  <si>
    <t>Chi tiết</t>
  </si>
  <si>
    <t>B - Typo năm</t>
  </si>
  <si>
    <t>G144</t>
  </si>
  <si>
    <t>EL014/Communication 1</t>
  </si>
  <si>
    <t>Ghi 12/30/2024 (năm 2024) — đa số bạn cùng buổi ghi năm 2025</t>
  </si>
  <si>
    <t>COUNTUNIQUE của Class Code</t>
  </si>
  <si>
    <t>COUNTUNIQUE của Emp Code</t>
  </si>
  <si>
    <t>Tổng cộng</t>
  </si>
  <si>
    <t>Session Order</t>
  </si>
  <si>
    <t>Date</t>
  </si>
  <si>
    <t>Absent</t>
  </si>
  <si>
    <t>Anh Vu</t>
  </si>
  <si>
    <t>Present</t>
  </si>
  <si>
    <t>Buu Do 1</t>
  </si>
  <si>
    <t>Buu Do 2</t>
  </si>
  <si>
    <t>Cuong Nguyen</t>
  </si>
  <si>
    <t>Duc Nguyen</t>
  </si>
  <si>
    <t>Dat Nguyen</t>
  </si>
  <si>
    <t>Nhat Nguyen</t>
  </si>
  <si>
    <t>Hung Nguyen</t>
  </si>
  <si>
    <t>Huong Le</t>
  </si>
  <si>
    <t>Huy Tran 1</t>
  </si>
  <si>
    <t>Huy Tran 2</t>
  </si>
  <si>
    <t>Huyen Vo</t>
  </si>
  <si>
    <t>Lanh Le</t>
  </si>
  <si>
    <t>Thao Vu 2</t>
  </si>
  <si>
    <t>Minh Nguyen</t>
  </si>
  <si>
    <t>Nhat Bui</t>
  </si>
  <si>
    <t>Nhat Phan 1</t>
  </si>
  <si>
    <t>Nhat Phan 2</t>
  </si>
  <si>
    <t>Qui Em</t>
  </si>
  <si>
    <t>Tan Tran</t>
  </si>
  <si>
    <t>Thien Truong</t>
  </si>
  <si>
    <t>Ky Luong</t>
  </si>
  <si>
    <t>Dung Hoang</t>
  </si>
  <si>
    <t>Anh To</t>
  </si>
  <si>
    <t>My Tran</t>
  </si>
  <si>
    <t>Vinh Nguyen</t>
  </si>
  <si>
    <t>Yen Tran 1</t>
  </si>
  <si>
    <t>Yen Tran 2</t>
  </si>
  <si>
    <t>Yen Tran 3</t>
  </si>
  <si>
    <t>Tai Nguyen</t>
  </si>
  <si>
    <t>Tai Pham</t>
  </si>
  <si>
    <t>Anh Ha</t>
  </si>
  <si>
    <t>Thuong Tran</t>
  </si>
  <si>
    <t>Van Nguyen</t>
  </si>
  <si>
    <t>Quan Nguyen</t>
  </si>
  <si>
    <t>My Nguyen</t>
  </si>
  <si>
    <t>Huy Nguyen</t>
  </si>
  <si>
    <t>Thanh Phung</t>
  </si>
  <si>
    <t>Phu Nguyen</t>
  </si>
  <si>
    <t>Vinh Tran</t>
  </si>
  <si>
    <t>Liên Nguyễn</t>
  </si>
  <si>
    <t>Quyen Nguyen</t>
  </si>
  <si>
    <t>Phuoc Ta</t>
  </si>
  <si>
    <t>Phung Nguyen</t>
  </si>
  <si>
    <t>Nam Nguyen</t>
  </si>
  <si>
    <t>Trang Nguyen</t>
  </si>
  <si>
    <t>Thai Nguyen 1</t>
  </si>
  <si>
    <t>Thai Nguyen 2</t>
  </si>
  <si>
    <t>Trang Ngo</t>
  </si>
  <si>
    <t>Final Level</t>
  </si>
  <si>
    <t>start date</t>
  </si>
  <si>
    <t>First Class Start Date</t>
  </si>
  <si>
    <t xml:space="preserve">Entrance Numeric </t>
  </si>
  <si>
    <t>Final Numeric</t>
  </si>
  <si>
    <t>Role</t>
  </si>
  <si>
    <t>First Entrance Numeric</t>
  </si>
  <si>
    <t>Best Final Numeric</t>
  </si>
  <si>
    <t>Entrance Group (Overall)</t>
  </si>
  <si>
    <t>Final Group (Overall)</t>
  </si>
  <si>
    <t>Progress Category Overall</t>
  </si>
  <si>
    <t>Is_Unique_Row</t>
  </si>
  <si>
    <t>Emp Code
(unique)</t>
  </si>
  <si>
    <r>
      <rPr>
        <rFont val="Arial"/>
        <b/>
        <color rgb="FFFFFFFF"/>
        <sz val="11.0"/>
      </rPr>
      <t xml:space="preserve">Role
</t>
    </r>
    <r>
      <rPr>
        <rFont val="Arial"/>
        <b val="0"/>
        <color rgb="FFFFFFFF"/>
        <sz val="11.0"/>
      </rPr>
      <t>(unique)</t>
    </r>
  </si>
  <si>
    <t>Group Role</t>
  </si>
  <si>
    <r>
      <rPr>
        <rFont val="Arial"/>
        <b/>
        <color rgb="FFFFFFFF"/>
        <sz val="11.0"/>
      </rPr>
      <t xml:space="preserve">BU
</t>
    </r>
    <r>
      <rPr>
        <rFont val="Arial"/>
        <b val="0"/>
        <color rgb="FFFFFFFF"/>
        <sz val="11.0"/>
      </rPr>
      <t>(unique)</t>
    </r>
  </si>
  <si>
    <t>COUNTA của Emp Code
(unique)</t>
  </si>
  <si>
    <t>BU
(unique)</t>
  </si>
  <si>
    <t>COUNTUNIQUE của Full Name</t>
  </si>
  <si>
    <r>
      <rPr>
        <rFont val="Arial"/>
        <color rgb="FFFFFFFF"/>
        <sz val="11.0"/>
      </rPr>
      <t xml:space="preserve">Emp Code
</t>
    </r>
    <r>
      <rPr>
        <rFont val="Arial"/>
        <color rgb="FFFFFFFF"/>
        <sz val="9.0"/>
      </rPr>
      <t>(Active, uniques)</t>
    </r>
  </si>
  <si>
    <r>
      <rPr>
        <rFont val="Arial"/>
        <b/>
        <color rgb="FFFFFFFF"/>
        <sz val="11.0"/>
      </rPr>
      <t xml:space="preserve">Role
</t>
    </r>
    <r>
      <rPr>
        <rFont val="Arial"/>
        <b val="0"/>
        <color rgb="FFFFFFFF"/>
        <sz val="11.0"/>
      </rPr>
      <t>(unique)</t>
    </r>
  </si>
  <si>
    <r>
      <rPr>
        <rFont val="Arial"/>
        <b/>
        <color rgb="FFFFFFFF"/>
        <sz val="11.0"/>
      </rPr>
      <t xml:space="preserve">BU
</t>
    </r>
    <r>
      <rPr>
        <rFont val="Arial"/>
        <b val="0"/>
        <color rgb="FFFFFFFF"/>
        <sz val="11.0"/>
      </rPr>
      <t>(unique)</t>
    </r>
  </si>
  <si>
    <t>COUNTA của Emp Code
(Active, uniques)</t>
  </si>
  <si>
    <t>Pre-Intermediate</t>
  </si>
  <si>
    <t>Pre-Intermediate 1</t>
  </si>
  <si>
    <t>QC</t>
  </si>
  <si>
    <t>POC</t>
  </si>
  <si>
    <t>BSG</t>
  </si>
  <si>
    <t>CHORUS</t>
  </si>
  <si>
    <t>LBU</t>
  </si>
  <si>
    <t>MOC</t>
  </si>
  <si>
    <t>ONC</t>
  </si>
  <si>
    <t>TBU</t>
  </si>
  <si>
    <t>Beginner</t>
  </si>
  <si>
    <t>BA, BC</t>
  </si>
  <si>
    <t>Beginner 2</t>
  </si>
  <si>
    <t>DEV, TA</t>
  </si>
  <si>
    <t>GSD</t>
  </si>
  <si>
    <t>Intermediate</t>
  </si>
  <si>
    <t>HR, GA, Mgt</t>
  </si>
  <si>
    <t xml:space="preserve">PPO, SM, IM </t>
  </si>
  <si>
    <t>Pre-Intermediate 2</t>
  </si>
  <si>
    <t>UI/UX, Des</t>
  </si>
  <si>
    <t>Beginner 3</t>
  </si>
  <si>
    <t>Intermediate 2</t>
  </si>
  <si>
    <t>All participants</t>
  </si>
  <si>
    <t>Active participants</t>
  </si>
  <si>
    <t>Intermediate 1</t>
  </si>
  <si>
    <t>SM</t>
  </si>
  <si>
    <t>DEV</t>
  </si>
  <si>
    <t>TA</t>
  </si>
  <si>
    <t>UI/UX</t>
  </si>
  <si>
    <t>213820</t>
  </si>
  <si>
    <t>BA</t>
  </si>
  <si>
    <t>HR</t>
  </si>
  <si>
    <t>Admin</t>
  </si>
  <si>
    <t>Upper-Intermediate</t>
  </si>
  <si>
    <t>Designer</t>
  </si>
  <si>
    <t>-</t>
  </si>
  <si>
    <t>Pre-Intermediate 3</t>
  </si>
  <si>
    <t>193470</t>
  </si>
  <si>
    <t>Management</t>
  </si>
  <si>
    <t>PPO</t>
  </si>
  <si>
    <t>BC</t>
  </si>
  <si>
    <t>Not Placement</t>
  </si>
  <si>
    <t>IM</t>
  </si>
  <si>
    <r>
      <rPr>
        <rFont val="Arial"/>
        <b/>
        <color rgb="FFFFFFFF"/>
        <sz val="11.0"/>
      </rPr>
      <t xml:space="preserve">Role
</t>
    </r>
    <r>
      <rPr>
        <rFont val="Arial"/>
        <b val="0"/>
        <color rgb="FFFFFFFF"/>
        <sz val="11.0"/>
      </rPr>
      <t>(unique)</t>
    </r>
  </si>
  <si>
    <r>
      <rPr>
        <rFont val="Arial"/>
        <b/>
        <color rgb="FFFFFFFF"/>
        <sz val="11.0"/>
      </rPr>
      <t xml:space="preserve">BU
</t>
    </r>
    <r>
      <rPr>
        <rFont val="Arial"/>
        <b val="0"/>
        <color rgb="FFFFFFFF"/>
        <sz val="11.0"/>
      </rPr>
      <t>(unique)</t>
    </r>
  </si>
  <si>
    <r>
      <rPr>
        <rFont val="Arial"/>
        <color rgb="FFFFFFFF"/>
        <sz val="11.0"/>
      </rPr>
      <t xml:space="preserve">Emp Code
</t>
    </r>
    <r>
      <rPr>
        <rFont val="Arial"/>
        <color rgb="FFFFFFFF"/>
        <sz val="9.0"/>
      </rPr>
      <t>(Active, uniques)</t>
    </r>
  </si>
  <si>
    <r>
      <rPr>
        <rFont val="Arial"/>
        <b/>
        <color rgb="FFFFFFFF"/>
        <sz val="11.0"/>
      </rPr>
      <t xml:space="preserve">Role
</t>
    </r>
    <r>
      <rPr>
        <rFont val="Arial"/>
        <b val="0"/>
        <color rgb="FFFFFFFF"/>
        <sz val="11.0"/>
      </rPr>
      <t>(unique)</t>
    </r>
  </si>
  <si>
    <r>
      <rPr>
        <rFont val="Arial"/>
        <b/>
        <color rgb="FFFFFFFF"/>
        <sz val="11.0"/>
      </rPr>
      <t xml:space="preserve">BU
</t>
    </r>
    <r>
      <rPr>
        <rFont val="Arial"/>
        <b val="0"/>
        <color rgb="FFFFFFFF"/>
        <sz val="11.0"/>
      </rPr>
      <t>(unique)</t>
    </r>
  </si>
  <si>
    <t>Level Gain</t>
  </si>
  <si>
    <t>Entrance Group</t>
  </si>
  <si>
    <t>Final Group</t>
  </si>
  <si>
    <t>Progress Category</t>
  </si>
  <si>
    <t>CFS</t>
  </si>
  <si>
    <t>CHC</t>
  </si>
  <si>
    <t>--</t>
  </si>
  <si>
    <r>
      <rPr>
        <rFont val="Arial"/>
        <b/>
        <color rgb="FFFFFFFF"/>
        <sz val="11.0"/>
      </rPr>
      <t xml:space="preserve">Role
</t>
    </r>
    <r>
      <rPr>
        <rFont val="Arial"/>
        <b val="0"/>
        <color rgb="FFFFFFFF"/>
        <sz val="11.0"/>
      </rPr>
      <t>(unique)</t>
    </r>
  </si>
  <si>
    <r>
      <rPr>
        <rFont val="Arial"/>
        <b/>
        <color rgb="FFFFFFFF"/>
        <sz val="11.0"/>
      </rPr>
      <t xml:space="preserve">BU
</t>
    </r>
    <r>
      <rPr>
        <rFont val="Arial"/>
        <b val="0"/>
        <color rgb="FFFFFFFF"/>
        <sz val="11.0"/>
      </rPr>
      <t>(unique)</t>
    </r>
  </si>
  <si>
    <t>Not tested yet</t>
  </si>
  <si>
    <t>Regressed</t>
  </si>
  <si>
    <t>No Progress</t>
  </si>
  <si>
    <t>Minor Improvement</t>
  </si>
  <si>
    <t>Lv1→Lv2</t>
  </si>
  <si>
    <t>Lv2→Lv3</t>
  </si>
  <si>
    <t>Lv3→Lv4</t>
  </si>
  <si>
    <t>Lv1→Lv3</t>
  </si>
  <si>
    <t>% of Total</t>
  </si>
  <si>
    <t>Validation</t>
  </si>
  <si>
    <t>Total Emp</t>
  </si>
  <si>
    <t>Level Name</t>
  </si>
  <si>
    <t>Numeric Value</t>
  </si>
  <si>
    <t>lv1</t>
  </si>
  <si>
    <t>&lt;=2</t>
  </si>
  <si>
    <t>lv2</t>
  </si>
  <si>
    <t>&lt;=4</t>
  </si>
  <si>
    <t>lv3</t>
  </si>
  <si>
    <t>&lt;=5.5</t>
  </si>
  <si>
    <t>lv4</t>
  </si>
  <si>
    <t>Advanced</t>
  </si>
  <si>
    <t>&gt;5.5</t>
  </si>
  <si>
    <t>EL036</t>
  </si>
  <si>
    <t>Ky Phuc</t>
  </si>
  <si>
    <t>Expected Sessions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</si>
</sst>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0.0%"/>
    <numFmt numFmtId="165" formatCode="#,##0;(#,##0);-"/>
    <numFmt numFmtId="166" formatCode="yyyy-mm-dd hh:mm"/>
    <numFmt numFmtId="167" formatCode="M/d/yyyy"/>
    <numFmt numFmtId="168" formatCode="d mmm h:mm"/>
    <numFmt numFmtId="169" formatCode="yyyy&quot;-&quot;mm&quot;-&quot;dd&quot; &quot;hh&quot;:&quot;mm"/>
  </numFmts>
  <fonts count="44">
    <font>
      <sz val="11.0"/>
      <color theme="1"/>
      <name val="Calibri"/>
      <scheme val="minor"/>
    </font>
    <font>
      <b/>
      <sz val="18.0"/>
      <color rgb="FFFFFFFF"/>
      <name val="Arial"/>
    </font>
    <font>
      <i/>
      <color rgb="FF666666"/>
      <name val="Arial"/>
    </font>
    <font>
      <sz val="11.0"/>
      <color theme="1"/>
      <name val="Calibri"/>
    </font>
    <font>
      <b/>
      <sz val="12.0"/>
      <color rgb="FFFFFFFF"/>
      <name val="Arial"/>
    </font>
    <font>
      <color rgb="FF666666"/>
      <name val="Arial"/>
    </font>
    <font>
      <b/>
      <sz val="20.0"/>
      <color rgb="FF1F4E79"/>
      <name val="Arial"/>
    </font>
    <font>
      <b/>
      <sz val="20.0"/>
      <color rgb="FF1D9E75"/>
      <name val="Arial"/>
    </font>
    <font>
      <b/>
      <sz val="20.0"/>
      <color rgb="FFBA7517"/>
      <name val="Arial"/>
    </font>
    <font>
      <b/>
      <sz val="20.0"/>
      <color rgb="FFC00000"/>
      <name val="Arial"/>
    </font>
    <font>
      <color theme="1"/>
      <name val="Calibri"/>
      <scheme val="minor"/>
    </font>
    <font>
      <b/>
      <sz val="11.0"/>
      <color rgb="FFFFFFFF"/>
      <name val="Arial"/>
    </font>
    <font/>
    <font>
      <color theme="1"/>
      <name val="Arial"/>
    </font>
    <font>
      <b/>
      <color rgb="FF2E75B6"/>
      <name val="Arial"/>
    </font>
    <font>
      <b/>
      <color theme="1"/>
      <name val="Arial"/>
    </font>
    <font>
      <b/>
      <color rgb="FF7030A0"/>
      <name val="Arial"/>
    </font>
    <font>
      <b/>
      <sz val="11.0"/>
      <color rgb="FF1F4E79"/>
      <name val="Arial"/>
    </font>
    <font>
      <i/>
      <sz val="9.0"/>
      <color rgb="FF999999"/>
      <name val="Arial"/>
    </font>
    <font>
      <i/>
      <sz val="10.0"/>
      <color rgb="FF999999"/>
      <name val="Arial"/>
    </font>
    <font>
      <sz val="10.0"/>
      <color theme="1"/>
      <name val="Arial"/>
    </font>
    <font>
      <sz val="10.0"/>
      <color rgb="FFFF0000"/>
      <name val="Var(--font-mono)"/>
    </font>
    <font>
      <color theme="1"/>
      <name val="Calibri"/>
    </font>
    <font>
      <sz val="10.0"/>
      <color rgb="FFFF0000"/>
      <name val="Calibri"/>
    </font>
    <font>
      <b/>
      <color rgb="FF0000FF"/>
      <name val="Calibri"/>
    </font>
    <font>
      <b/>
      <sz val="11.0"/>
      <color theme="1"/>
      <name val="Calibri"/>
    </font>
    <font>
      <b/>
      <color theme="1"/>
      <name val="Calibri"/>
    </font>
    <font>
      <color rgb="FF0000FF"/>
      <name val="Calibri"/>
    </font>
    <font>
      <color rgb="FFCC0000"/>
      <name val="Calibri"/>
    </font>
    <font>
      <b/>
      <color rgb="FFFFFFFF"/>
      <name val="Arial"/>
    </font>
    <font>
      <b/>
      <sz val="9.0"/>
      <color theme="1"/>
      <name val="Arial"/>
    </font>
    <font>
      <b/>
      <color rgb="FFDE1873"/>
      <name val="Calibri"/>
    </font>
    <font>
      <color rgb="FFDE1873"/>
      <name val="Calibri"/>
    </font>
    <font>
      <sz val="9.0"/>
      <color theme="1"/>
      <name val="Arial"/>
    </font>
    <font>
      <b/>
      <sz val="10.0"/>
      <color theme="1"/>
      <name val="Arial"/>
    </font>
    <font>
      <b/>
      <color theme="1"/>
      <name val="Calibri"/>
      <scheme val="minor"/>
    </font>
    <font>
      <sz val="11.0"/>
      <color rgb="FFFFFFFF"/>
      <name val="Arial"/>
    </font>
    <font>
      <b/>
      <color rgb="FF0000FF"/>
      <name val="Calibri"/>
      <scheme val="minor"/>
    </font>
    <font>
      <b/>
      <sz val="12.0"/>
      <color rgb="FF0000FF"/>
      <name val="Calibri"/>
      <scheme val="minor"/>
    </font>
    <font>
      <color rgb="FF0000FF"/>
      <name val="Calibri"/>
      <scheme val="minor"/>
    </font>
    <font>
      <b/>
      <color rgb="FF1F1F1F"/>
      <name val="&quot;Google Sans Text&quot;"/>
    </font>
    <font>
      <color rgb="FF000000"/>
      <name val="Calibri"/>
      <scheme val="minor"/>
    </font>
    <font>
      <color rgb="FF000000"/>
      <name val="&quot;Google Sans Text&quot;"/>
    </font>
    <font>
      <color rgb="FF1F1F1F"/>
      <name val="&quot;Google Sans Text&quot;"/>
    </font>
  </fonts>
  <fills count="28">
    <fill>
      <patternFill patternType="none"/>
    </fill>
    <fill>
      <patternFill patternType="lightGray"/>
    </fill>
    <fill>
      <patternFill patternType="solid">
        <fgColor rgb="FF1F4E79"/>
        <bgColor rgb="FF1F4E79"/>
      </patternFill>
    </fill>
    <fill>
      <patternFill patternType="solid">
        <fgColor rgb="FFF2F2F2"/>
        <bgColor rgb="FFF2F2F2"/>
      </patternFill>
    </fill>
    <fill>
      <patternFill patternType="solid">
        <fgColor rgb="FF2E75B6"/>
        <bgColor rgb="FF2E75B6"/>
      </patternFill>
    </fill>
    <fill>
      <patternFill patternType="solid">
        <fgColor rgb="FF548235"/>
        <bgColor rgb="FF548235"/>
      </patternFill>
    </fill>
    <fill>
      <patternFill patternType="solid">
        <fgColor rgb="FF305496"/>
        <bgColor rgb="FF305496"/>
      </patternFill>
    </fill>
    <fill>
      <patternFill patternType="solid">
        <fgColor rgb="FFF8F8F8"/>
        <bgColor rgb="FFF8F8F8"/>
      </patternFill>
    </fill>
    <fill>
      <patternFill patternType="solid">
        <fgColor rgb="FFD9E1F2"/>
        <bgColor rgb="FFD9E1F2"/>
      </patternFill>
    </fill>
    <fill>
      <patternFill patternType="solid">
        <fgColor rgb="FFC55A11"/>
        <bgColor rgb="FFC55A11"/>
      </patternFill>
    </fill>
    <fill>
      <patternFill patternType="solid">
        <fgColor rgb="FFFCE4D6"/>
        <bgColor rgb="FFFCE4D6"/>
      </patternFill>
    </fill>
    <fill>
      <patternFill patternType="solid">
        <fgColor rgb="FF7030A0"/>
        <bgColor rgb="FF7030A0"/>
      </patternFill>
    </fill>
    <fill>
      <patternFill patternType="solid">
        <fgColor rgb="FFDDEBF7"/>
        <bgColor rgb="FFDDEBF7"/>
      </patternFill>
    </fill>
    <fill>
      <patternFill patternType="solid">
        <fgColor rgb="FFC6EFCE"/>
        <bgColor rgb="FFC6EFCE"/>
      </patternFill>
    </fill>
    <fill>
      <patternFill patternType="solid">
        <fgColor rgb="FFFFEB9C"/>
        <bgColor rgb="FFFFEB9C"/>
      </patternFill>
    </fill>
    <fill>
      <patternFill patternType="solid">
        <fgColor rgb="FFFFF2CC"/>
        <bgColor rgb="FFFFF2CC"/>
      </patternFill>
    </fill>
    <fill>
      <patternFill patternType="solid">
        <fgColor rgb="FFFAFAFA"/>
        <bgColor rgb="FFFAFAFA"/>
      </patternFill>
    </fill>
    <fill>
      <patternFill patternType="solid">
        <fgColor rgb="FFF6F8F9"/>
        <bgColor rgb="FFF6F8F9"/>
      </patternFill>
    </fill>
    <fill>
      <patternFill patternType="solid">
        <fgColor rgb="FFFFFFFF"/>
        <bgColor rgb="FFFFFFFF"/>
      </patternFill>
    </fill>
    <fill>
      <patternFill patternType="solid">
        <fgColor rgb="FF6AA84F"/>
        <bgColor rgb="FF6AA84F"/>
      </patternFill>
    </fill>
    <fill>
      <patternFill patternType="solid">
        <fgColor rgb="FF000000"/>
        <bgColor rgb="FF000000"/>
      </patternFill>
    </fill>
    <fill>
      <patternFill patternType="solid">
        <fgColor rgb="FFD5A6BD"/>
        <bgColor rgb="FFD5A6BD"/>
      </patternFill>
    </fill>
    <fill>
      <patternFill patternType="solid">
        <fgColor rgb="FFC27BA0"/>
        <bgColor rgb="FFC27BA0"/>
      </patternFill>
    </fill>
    <fill>
      <patternFill patternType="solid">
        <fgColor rgb="FF0000FF"/>
        <bgColor rgb="FF0000FF"/>
      </patternFill>
    </fill>
    <fill>
      <patternFill patternType="solid">
        <fgColor rgb="FF4472C4"/>
        <bgColor rgb="FF4472C4"/>
      </patternFill>
    </fill>
    <fill>
      <patternFill patternType="solid">
        <fgColor rgb="FFDEEBF7"/>
        <bgColor rgb="FFDEEBF7"/>
      </patternFill>
    </fill>
    <fill>
      <patternFill patternType="solid">
        <fgColor rgb="FFF4CCCC"/>
        <bgColor rgb="FFF4CCCC"/>
      </patternFill>
    </fill>
    <fill>
      <patternFill patternType="solid">
        <fgColor rgb="FFFCE4EC"/>
        <bgColor rgb="FFFCE4EC"/>
      </patternFill>
    </fill>
  </fills>
  <borders count="6">
    <border/>
    <border>
      <left style="thin">
        <color rgb="FFD9D9D9"/>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CCCCCC"/>
      </left>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2" fontId="1" numFmtId="0" xfId="0" applyFill="1" applyFont="1"/>
    <xf borderId="0" fillId="3" fontId="2" numFmtId="0" xfId="0" applyFill="1" applyFont="1"/>
    <xf borderId="0" fillId="0" fontId="3" numFmtId="0" xfId="0" applyAlignment="1" applyFont="1">
      <alignment horizontal="left" vertical="bottom"/>
    </xf>
    <xf borderId="0" fillId="4" fontId="4" numFmtId="0" xfId="0" applyAlignment="1" applyFill="1" applyFont="1">
      <alignment horizontal="left"/>
    </xf>
    <xf borderId="0" fillId="3" fontId="5" numFmtId="0" xfId="0" applyAlignment="1" applyFont="1">
      <alignment horizontal="left"/>
    </xf>
    <xf borderId="0" fillId="3" fontId="6" numFmtId="3" xfId="0" applyAlignment="1" applyFont="1" applyNumberFormat="1">
      <alignment horizontal="left"/>
    </xf>
    <xf borderId="0" fillId="3" fontId="7" numFmtId="164" xfId="0" applyAlignment="1" applyFont="1" applyNumberFormat="1">
      <alignment horizontal="left"/>
    </xf>
    <xf borderId="0" fillId="3" fontId="8" numFmtId="3" xfId="0" applyAlignment="1" applyFont="1" applyNumberFormat="1">
      <alignment horizontal="left"/>
    </xf>
    <xf borderId="0" fillId="3" fontId="9" numFmtId="3" xfId="0" applyAlignment="1" applyFont="1" applyNumberFormat="1">
      <alignment horizontal="left"/>
    </xf>
    <xf borderId="0" fillId="3" fontId="2" numFmtId="0" xfId="0" applyAlignment="1" applyFont="1">
      <alignment horizontal="left"/>
    </xf>
    <xf borderId="0" fillId="0" fontId="3" numFmtId="0" xfId="0" applyAlignment="1" applyFont="1">
      <alignment vertical="bottom"/>
    </xf>
    <xf borderId="0" fillId="5" fontId="4" numFmtId="0" xfId="0" applyFill="1" applyFont="1"/>
    <xf borderId="0" fillId="0" fontId="10" numFmtId="0" xfId="0" applyAlignment="1" applyFont="1">
      <alignment readingOrder="0"/>
    </xf>
    <xf borderId="0" fillId="0" fontId="10" numFmtId="9" xfId="0" applyFont="1" applyNumberFormat="1"/>
    <xf borderId="1" fillId="6" fontId="11" numFmtId="0" xfId="0" applyAlignment="1" applyBorder="1" applyFill="1" applyFont="1">
      <alignment horizontal="center" shrinkToFit="0" wrapText="1"/>
    </xf>
    <xf borderId="2" fillId="6" fontId="11" numFmtId="0" xfId="0" applyAlignment="1" applyBorder="1" applyFont="1">
      <alignment horizontal="center" shrinkToFit="0" wrapText="1"/>
    </xf>
    <xf borderId="3" fillId="0" fontId="12" numFmtId="0" xfId="0" applyBorder="1" applyFont="1"/>
    <xf borderId="1" fillId="0" fontId="13" numFmtId="0" xfId="0" applyAlignment="1" applyBorder="1" applyFont="1">
      <alignment shrinkToFit="0" wrapText="1"/>
    </xf>
    <xf borderId="1" fillId="0" fontId="13" numFmtId="165" xfId="0" applyAlignment="1" applyBorder="1" applyFont="1" applyNumberFormat="1">
      <alignment horizontal="center" shrinkToFit="0" wrapText="1"/>
    </xf>
    <xf borderId="1" fillId="0" fontId="13" numFmtId="164" xfId="0" applyAlignment="1" applyBorder="1" applyFont="1" applyNumberFormat="1">
      <alignment horizontal="center" shrinkToFit="0" wrapText="1"/>
    </xf>
    <xf borderId="2" fillId="0" fontId="14" numFmtId="0" xfId="0" applyBorder="1" applyFont="1"/>
    <xf borderId="1" fillId="7" fontId="13" numFmtId="0" xfId="0" applyAlignment="1" applyBorder="1" applyFill="1" applyFont="1">
      <alignment shrinkToFit="0" wrapText="1"/>
    </xf>
    <xf borderId="1" fillId="7" fontId="13" numFmtId="165" xfId="0" applyAlignment="1" applyBorder="1" applyFont="1" applyNumberFormat="1">
      <alignment horizontal="center" shrinkToFit="0" wrapText="1"/>
    </xf>
    <xf borderId="1" fillId="7" fontId="13" numFmtId="164" xfId="0" applyAlignment="1" applyBorder="1" applyFont="1" applyNumberFormat="1">
      <alignment horizontal="center" shrinkToFit="0" wrapText="1"/>
    </xf>
    <xf borderId="2" fillId="7" fontId="14" numFmtId="0" xfId="0" applyBorder="1" applyFont="1"/>
    <xf borderId="1" fillId="8" fontId="15" numFmtId="0" xfId="0" applyAlignment="1" applyBorder="1" applyFill="1" applyFont="1">
      <alignment shrinkToFit="0" wrapText="1"/>
    </xf>
    <xf borderId="1" fillId="8" fontId="15" numFmtId="165" xfId="0" applyAlignment="1" applyBorder="1" applyFont="1" applyNumberFormat="1">
      <alignment horizontal="center" shrinkToFit="0" wrapText="1"/>
    </xf>
    <xf borderId="1" fillId="8" fontId="15" numFmtId="164" xfId="0" applyAlignment="1" applyBorder="1" applyFont="1" applyNumberFormat="1">
      <alignment horizontal="center" shrinkToFit="0" wrapText="1"/>
    </xf>
    <xf borderId="2" fillId="8" fontId="3" numFmtId="0" xfId="0" applyAlignment="1" applyBorder="1" applyFont="1">
      <alignment vertical="bottom"/>
    </xf>
    <xf borderId="0" fillId="9" fontId="4" numFmtId="0" xfId="0" applyFill="1" applyFont="1"/>
    <xf borderId="2" fillId="0" fontId="13" numFmtId="164" xfId="0" applyAlignment="1" applyBorder="1" applyFont="1" applyNumberFormat="1">
      <alignment horizontal="center" shrinkToFit="0" wrapText="1"/>
    </xf>
    <xf borderId="2" fillId="7" fontId="13" numFmtId="164" xfId="0" applyAlignment="1" applyBorder="1" applyFont="1" applyNumberFormat="1">
      <alignment horizontal="center" shrinkToFit="0" wrapText="1"/>
    </xf>
    <xf borderId="1" fillId="0" fontId="3" numFmtId="0" xfId="0" applyAlignment="1" applyBorder="1" applyFont="1">
      <alignment vertical="bottom"/>
    </xf>
    <xf borderId="1" fillId="0" fontId="13" numFmtId="0" xfId="0" applyAlignment="1" applyBorder="1" applyFont="1">
      <alignment readingOrder="0" shrinkToFit="0" wrapText="1"/>
    </xf>
    <xf borderId="1" fillId="10" fontId="15" numFmtId="0" xfId="0" applyAlignment="1" applyBorder="1" applyFill="1" applyFont="1">
      <alignment shrinkToFit="0" wrapText="1"/>
    </xf>
    <xf borderId="1" fillId="10" fontId="15" numFmtId="165" xfId="0" applyAlignment="1" applyBorder="1" applyFont="1" applyNumberFormat="1">
      <alignment horizontal="center" shrinkToFit="0" wrapText="1"/>
    </xf>
    <xf borderId="2" fillId="10" fontId="15" numFmtId="164" xfId="0" applyAlignment="1" applyBorder="1" applyFont="1" applyNumberFormat="1">
      <alignment horizontal="center" shrinkToFit="0" wrapText="1"/>
    </xf>
    <xf borderId="0" fillId="11" fontId="4" numFmtId="0" xfId="0" applyFill="1" applyFont="1"/>
    <xf borderId="1" fillId="0" fontId="13" numFmtId="0" xfId="0" applyAlignment="1" applyBorder="1" applyFont="1">
      <alignment horizontal="center" shrinkToFit="0" wrapText="1"/>
    </xf>
    <xf borderId="1" fillId="0" fontId="16" numFmtId="0" xfId="0" applyBorder="1" applyFont="1"/>
    <xf borderId="1" fillId="12" fontId="13" numFmtId="0" xfId="0" applyAlignment="1" applyBorder="1" applyFill="1" applyFont="1">
      <alignment shrinkToFit="0" wrapText="1"/>
    </xf>
    <xf borderId="1" fillId="7" fontId="13" numFmtId="0" xfId="0" applyAlignment="1" applyBorder="1" applyFont="1">
      <alignment horizontal="center" shrinkToFit="0" wrapText="1"/>
    </xf>
    <xf borderId="1" fillId="7" fontId="16" numFmtId="0" xfId="0" applyBorder="1" applyFont="1"/>
    <xf borderId="1" fillId="13" fontId="13" numFmtId="0" xfId="0" applyAlignment="1" applyBorder="1" applyFill="1" applyFont="1">
      <alignment shrinkToFit="0" wrapText="1"/>
    </xf>
    <xf borderId="1" fillId="14" fontId="13" numFmtId="0" xfId="0" applyAlignment="1" applyBorder="1" applyFill="1" applyFont="1">
      <alignment shrinkToFit="0" wrapText="1"/>
    </xf>
    <xf borderId="0" fillId="4" fontId="4" numFmtId="0" xfId="0" applyFont="1"/>
    <xf borderId="0" fillId="0" fontId="15" numFmtId="0" xfId="0" applyAlignment="1" applyFont="1">
      <alignment horizontal="right"/>
    </xf>
    <xf borderId="1" fillId="15" fontId="17" numFmtId="0" xfId="0" applyAlignment="1" applyBorder="1" applyFill="1" applyFont="1">
      <alignment horizontal="center" readingOrder="0" shrinkToFit="0" wrapText="1"/>
    </xf>
    <xf borderId="1" fillId="16" fontId="13" numFmtId="0" xfId="0" applyAlignment="1" applyBorder="1" applyFill="1" applyFont="1">
      <alignment shrinkToFit="0" wrapText="1"/>
    </xf>
    <xf borderId="1" fillId="0" fontId="15" numFmtId="0" xfId="0" applyAlignment="1" applyBorder="1" applyFont="1">
      <alignment horizontal="center" shrinkToFit="0" wrapText="1"/>
    </xf>
    <xf borderId="1" fillId="0" fontId="15" numFmtId="165" xfId="0" applyAlignment="1" applyBorder="1" applyFont="1" applyNumberFormat="1">
      <alignment horizontal="center" shrinkToFit="0" wrapText="1"/>
    </xf>
    <xf borderId="1" fillId="0" fontId="15" numFmtId="164" xfId="0" applyAlignment="1" applyBorder="1" applyFont="1" applyNumberFormat="1">
      <alignment horizontal="center" shrinkToFit="0" wrapText="1"/>
    </xf>
    <xf borderId="1" fillId="15" fontId="17" numFmtId="0" xfId="0" applyAlignment="1" applyBorder="1" applyFont="1">
      <alignment horizontal="center" shrinkToFit="0" wrapText="1"/>
    </xf>
    <xf borderId="1" fillId="0" fontId="15" numFmtId="166" xfId="0" applyAlignment="1" applyBorder="1" applyFont="1" applyNumberFormat="1">
      <alignment horizontal="center" shrinkToFit="0" wrapText="1"/>
    </xf>
    <xf borderId="1" fillId="0" fontId="3" numFmtId="0" xfId="0" applyAlignment="1" applyBorder="1" applyFont="1">
      <alignment horizontal="center"/>
    </xf>
    <xf borderId="4" fillId="17" fontId="18" numFmtId="49" xfId="0" applyAlignment="1" applyBorder="1" applyFill="1" applyFont="1" applyNumberFormat="1">
      <alignment horizontal="center" shrinkToFit="0" vertical="center" wrapText="1"/>
    </xf>
    <xf borderId="4" fillId="17" fontId="18" numFmtId="0" xfId="0" applyAlignment="1" applyBorder="1" applyFont="1">
      <alignment horizontal="center" shrinkToFit="0" vertical="center" wrapText="1"/>
    </xf>
    <xf borderId="4" fillId="17" fontId="19" numFmtId="49" xfId="0" applyAlignment="1" applyBorder="1" applyFont="1" applyNumberFormat="1">
      <alignment horizontal="center" shrinkToFit="0" vertical="center" wrapText="1"/>
    </xf>
    <xf borderId="4" fillId="18" fontId="3" numFmtId="0" xfId="0" applyAlignment="1" applyBorder="1" applyFill="1" applyFont="1">
      <alignment horizontal="center" vertical="center"/>
    </xf>
    <xf borderId="4" fillId="0" fontId="10" numFmtId="0" xfId="0" applyBorder="1" applyFont="1"/>
    <xf borderId="4" fillId="19" fontId="11" numFmtId="49" xfId="0" applyAlignment="1" applyBorder="1" applyFill="1" applyFont="1" applyNumberFormat="1">
      <alignment horizontal="center" shrinkToFit="0" vertical="center" wrapText="1"/>
    </xf>
    <xf borderId="4" fillId="19" fontId="11" numFmtId="49" xfId="0" applyAlignment="1" applyBorder="1" applyFont="1" applyNumberFormat="1">
      <alignment horizontal="center" readingOrder="0" shrinkToFit="0" vertical="center" wrapText="1"/>
    </xf>
    <xf borderId="4" fillId="19" fontId="11" numFmtId="0" xfId="0" applyAlignment="1" applyBorder="1" applyFont="1">
      <alignment horizontal="center" shrinkToFit="0" vertical="center" wrapText="1"/>
    </xf>
    <xf borderId="4" fillId="19" fontId="11" numFmtId="0" xfId="0" applyAlignment="1" applyBorder="1" applyFont="1">
      <alignment horizontal="center" readingOrder="0" shrinkToFit="0" vertical="center" wrapText="1"/>
    </xf>
    <xf borderId="4" fillId="20" fontId="11" numFmtId="0" xfId="0" applyAlignment="1" applyBorder="1" applyFill="1" applyFont="1">
      <alignment horizontal="center" shrinkToFit="0" vertical="center" wrapText="1"/>
    </xf>
    <xf borderId="4" fillId="20" fontId="11" numFmtId="1" xfId="0" applyAlignment="1" applyBorder="1" applyFont="1" applyNumberFormat="1">
      <alignment horizontal="center" shrinkToFit="0" vertical="center" wrapText="1"/>
    </xf>
    <xf borderId="4" fillId="18" fontId="20" numFmtId="49" xfId="0" applyAlignment="1" applyBorder="1" applyFont="1" applyNumberFormat="1">
      <alignment vertical="center"/>
    </xf>
    <xf borderId="4" fillId="18" fontId="20" numFmtId="0" xfId="0" applyAlignment="1" applyBorder="1" applyFont="1">
      <alignment vertical="center"/>
    </xf>
    <xf borderId="4" fillId="18" fontId="20" numFmtId="0" xfId="0" applyAlignment="1" applyBorder="1" applyFont="1">
      <alignment horizontal="center" vertical="center"/>
    </xf>
    <xf borderId="4" fillId="18" fontId="20" numFmtId="49" xfId="0" applyAlignment="1" applyBorder="1" applyFont="1" applyNumberFormat="1">
      <alignment horizontal="center" vertical="center"/>
    </xf>
    <xf borderId="4" fillId="18" fontId="20" numFmtId="0" xfId="0" applyAlignment="1" applyBorder="1" applyFont="1">
      <alignment readingOrder="0" vertical="center"/>
    </xf>
    <xf borderId="4" fillId="18" fontId="3" numFmtId="49" xfId="0" applyAlignment="1" applyBorder="1" applyFont="1" applyNumberFormat="1">
      <alignment vertical="center"/>
    </xf>
    <xf borderId="4" fillId="18" fontId="3" numFmtId="167" xfId="0" applyAlignment="1" applyBorder="1" applyFont="1" applyNumberFormat="1">
      <alignment vertical="center"/>
    </xf>
    <xf borderId="4" fillId="18" fontId="3" numFmtId="1" xfId="0" applyAlignment="1" applyBorder="1" applyFont="1" applyNumberFormat="1">
      <alignment vertical="center"/>
    </xf>
    <xf borderId="4" fillId="18" fontId="21" numFmtId="0" xfId="0" applyAlignment="1" applyBorder="1" applyFont="1">
      <alignment vertical="center"/>
    </xf>
    <xf borderId="4" fillId="18" fontId="22" numFmtId="0" xfId="0" applyAlignment="1" applyBorder="1" applyFont="1">
      <alignment readingOrder="0"/>
    </xf>
    <xf borderId="4" fillId="18" fontId="22" numFmtId="0" xfId="0" applyBorder="1" applyFont="1"/>
    <xf borderId="4" fillId="17" fontId="3" numFmtId="0" xfId="0" applyAlignment="1" applyBorder="1" applyFont="1">
      <alignment horizontal="center" vertical="center"/>
    </xf>
    <xf borderId="4" fillId="0" fontId="3" numFmtId="0" xfId="0" applyBorder="1" applyFont="1"/>
    <xf borderId="4" fillId="18" fontId="3" numFmtId="0" xfId="0" applyAlignment="1" applyBorder="1" applyFont="1">
      <alignment horizontal="center" readingOrder="0" vertical="center"/>
    </xf>
    <xf borderId="4" fillId="17" fontId="20" numFmtId="49" xfId="0" applyAlignment="1" applyBorder="1" applyFont="1" applyNumberFormat="1">
      <alignment vertical="center"/>
    </xf>
    <xf borderId="4" fillId="17" fontId="20" numFmtId="0" xfId="0" applyAlignment="1" applyBorder="1" applyFont="1">
      <alignment vertical="center"/>
    </xf>
    <xf borderId="4" fillId="17" fontId="3" numFmtId="167" xfId="0" applyAlignment="1" applyBorder="1" applyFont="1" applyNumberFormat="1">
      <alignment vertical="center"/>
    </xf>
    <xf borderId="4" fillId="17" fontId="3" numFmtId="1" xfId="0" applyAlignment="1" applyBorder="1" applyFont="1" applyNumberFormat="1">
      <alignment vertical="center"/>
    </xf>
    <xf borderId="4" fillId="17" fontId="21" numFmtId="0" xfId="0" applyAlignment="1" applyBorder="1" applyFont="1">
      <alignment vertical="center"/>
    </xf>
    <xf borderId="4" fillId="17" fontId="3" numFmtId="0" xfId="0" applyAlignment="1" applyBorder="1" applyFont="1">
      <alignment horizontal="center" shrinkToFit="0" vertical="center" wrapText="1"/>
    </xf>
    <xf borderId="4" fillId="18" fontId="10" numFmtId="0" xfId="0" applyBorder="1" applyFont="1"/>
    <xf borderId="4" fillId="21" fontId="3" numFmtId="0" xfId="0" applyAlignment="1" applyBorder="1" applyFill="1" applyFont="1">
      <alignment horizontal="center" vertical="center"/>
    </xf>
    <xf borderId="4" fillId="18" fontId="3" numFmtId="0" xfId="0" applyBorder="1" applyFont="1"/>
    <xf borderId="4" fillId="18" fontId="3" numFmtId="0" xfId="0" applyAlignment="1" applyBorder="1" applyFont="1">
      <alignment horizontal="left" vertical="center"/>
    </xf>
    <xf borderId="4" fillId="18" fontId="3" numFmtId="0" xfId="0" applyAlignment="1" applyBorder="1" applyFont="1">
      <alignment vertical="center"/>
    </xf>
    <xf borderId="4" fillId="18" fontId="3" numFmtId="0" xfId="0" applyAlignment="1" applyBorder="1" applyFont="1">
      <alignment horizontal="center" shrinkToFit="0" vertical="center" wrapText="1"/>
    </xf>
    <xf borderId="4" fillId="17" fontId="3" numFmtId="0" xfId="0" applyAlignment="1" applyBorder="1" applyFont="1">
      <alignment horizontal="center" readingOrder="0" vertical="center"/>
    </xf>
    <xf borderId="4" fillId="17" fontId="3" numFmtId="0" xfId="0" applyAlignment="1" applyBorder="1" applyFont="1">
      <alignment readingOrder="0" vertical="bottom"/>
    </xf>
    <xf borderId="4" fillId="17" fontId="3" numFmtId="0" xfId="0" applyAlignment="1" applyBorder="1" applyFont="1">
      <alignment horizontal="center" vertical="bottom"/>
    </xf>
    <xf borderId="4" fillId="18" fontId="3" numFmtId="49" xfId="0" applyAlignment="1" applyBorder="1" applyFont="1" applyNumberFormat="1">
      <alignment readingOrder="0" vertical="bottom"/>
    </xf>
    <xf borderId="4" fillId="18" fontId="3" numFmtId="0" xfId="0" applyAlignment="1" applyBorder="1" applyFont="1">
      <alignment readingOrder="0" vertical="bottom"/>
    </xf>
    <xf borderId="4" fillId="18" fontId="3" numFmtId="0" xfId="0" applyAlignment="1" applyBorder="1" applyFont="1">
      <alignment horizontal="center" vertical="bottom"/>
    </xf>
    <xf borderId="4" fillId="17" fontId="3" numFmtId="49" xfId="0" applyAlignment="1" applyBorder="1" applyFont="1" applyNumberFormat="1">
      <alignment readingOrder="0" vertical="bottom"/>
    </xf>
    <xf borderId="4" fillId="18" fontId="3" numFmtId="49" xfId="0" applyAlignment="1" applyBorder="1" applyFont="1" applyNumberFormat="1">
      <alignment vertical="bottom"/>
    </xf>
    <xf borderId="4" fillId="18" fontId="3" numFmtId="0" xfId="0" applyAlignment="1" applyBorder="1" applyFont="1">
      <alignment vertical="bottom"/>
    </xf>
    <xf borderId="4" fillId="18" fontId="3" numFmtId="49" xfId="0" applyAlignment="1" applyBorder="1" applyFont="1" applyNumberFormat="1">
      <alignment horizontal="center" vertical="bottom"/>
    </xf>
    <xf borderId="4" fillId="18" fontId="3" numFmtId="1" xfId="0" applyAlignment="1" applyBorder="1" applyFont="1" applyNumberFormat="1">
      <alignment vertical="bottom"/>
    </xf>
    <xf borderId="4" fillId="18" fontId="23" numFmtId="0" xfId="0" applyAlignment="1" applyBorder="1" applyFont="1">
      <alignment vertical="bottom"/>
    </xf>
    <xf borderId="4" fillId="17" fontId="3" numFmtId="49" xfId="0" applyAlignment="1" applyBorder="1" applyFont="1" applyNumberFormat="1">
      <alignment vertical="bottom"/>
    </xf>
    <xf borderId="4" fillId="17" fontId="3" numFmtId="0" xfId="0" applyAlignment="1" applyBorder="1" applyFont="1">
      <alignment vertical="bottom"/>
    </xf>
    <xf borderId="4" fillId="17" fontId="3" numFmtId="49" xfId="0" applyAlignment="1" applyBorder="1" applyFont="1" applyNumberFormat="1">
      <alignment horizontal="center" vertical="bottom"/>
    </xf>
    <xf borderId="4" fillId="17" fontId="3" numFmtId="1" xfId="0" applyAlignment="1" applyBorder="1" applyFont="1" applyNumberFormat="1">
      <alignment vertical="bottom"/>
    </xf>
    <xf borderId="4" fillId="17" fontId="23" numFmtId="0" xfId="0" applyAlignment="1" applyBorder="1" applyFont="1">
      <alignment vertical="bottom"/>
    </xf>
    <xf borderId="0" fillId="0" fontId="24" numFmtId="0" xfId="0" applyAlignment="1" applyFont="1">
      <alignment horizontal="center" vertical="center"/>
    </xf>
    <xf borderId="0" fillId="0" fontId="24" numFmtId="0" xfId="0" applyAlignment="1" applyFont="1">
      <alignment horizontal="center" shrinkToFit="0" vertical="center" wrapText="1"/>
    </xf>
    <xf borderId="0" fillId="0" fontId="25" numFmtId="0" xfId="0" applyAlignment="1" applyFont="1">
      <alignment horizontal="center" vertical="center"/>
    </xf>
    <xf borderId="0" fillId="0" fontId="26" numFmtId="0" xfId="0" applyAlignment="1" applyFont="1">
      <alignment horizontal="center" vertical="center"/>
    </xf>
    <xf borderId="0" fillId="0" fontId="22" numFmtId="0" xfId="0" applyAlignment="1" applyFont="1">
      <alignment vertical="center"/>
    </xf>
    <xf borderId="0" fillId="0" fontId="24" numFmtId="0" xfId="0" applyAlignment="1" applyFont="1">
      <alignment horizontal="left" shrinkToFit="0" vertical="center" wrapText="1"/>
    </xf>
    <xf borderId="0" fillId="0" fontId="27" numFmtId="0" xfId="0" applyAlignment="1" applyFont="1">
      <alignment horizontal="left" shrinkToFit="0" vertical="center" wrapText="1"/>
    </xf>
    <xf borderId="0" fillId="0" fontId="27" numFmtId="0" xfId="0" applyAlignment="1" applyFont="1">
      <alignment horizontal="left" vertical="center"/>
    </xf>
    <xf borderId="0" fillId="0" fontId="22" numFmtId="0" xfId="0" applyAlignment="1" applyFont="1">
      <alignment shrinkToFit="0" vertical="center" wrapText="1"/>
    </xf>
    <xf borderId="0" fillId="0" fontId="22" numFmtId="0" xfId="0" applyAlignment="1" applyFont="1">
      <alignment horizontal="center" vertical="center"/>
    </xf>
    <xf borderId="0" fillId="0" fontId="3" numFmtId="0" xfId="0" applyAlignment="1" applyFont="1">
      <alignment vertical="center"/>
    </xf>
    <xf borderId="0" fillId="0" fontId="27" numFmtId="0" xfId="0" applyAlignment="1" applyFont="1">
      <alignment shrinkToFit="0" vertical="center" wrapText="1"/>
    </xf>
    <xf borderId="0" fillId="0" fontId="28" numFmtId="0" xfId="0" applyAlignment="1" applyFont="1">
      <alignment horizontal="left" shrinkToFit="0" vertical="center" wrapText="1"/>
    </xf>
    <xf borderId="0" fillId="0" fontId="22" numFmtId="0" xfId="0" applyAlignment="1" applyFont="1">
      <alignment horizontal="center" readingOrder="0" vertical="center"/>
    </xf>
    <xf borderId="0" fillId="0" fontId="22" numFmtId="0" xfId="0" applyAlignment="1" applyFont="1">
      <alignment readingOrder="0" vertical="center"/>
    </xf>
    <xf borderId="0" fillId="0" fontId="24" numFmtId="0" xfId="0" applyAlignment="1" applyFont="1">
      <alignment horizontal="left" vertical="center"/>
    </xf>
    <xf borderId="0" fillId="18" fontId="13" numFmtId="0" xfId="0" applyAlignment="1" applyFont="1">
      <alignment vertical="center"/>
    </xf>
    <xf borderId="0" fillId="22" fontId="29" numFmtId="0" xfId="0" applyAlignment="1" applyFill="1" applyFont="1">
      <alignment horizontal="center" vertical="center"/>
    </xf>
    <xf borderId="0" fillId="0" fontId="30" numFmtId="168" xfId="0" applyAlignment="1" applyFont="1" applyNumberFormat="1">
      <alignment horizontal="center" vertical="center"/>
    </xf>
    <xf borderId="0" fillId="0" fontId="30" numFmtId="0" xfId="0" applyAlignment="1" applyFont="1">
      <alignment horizontal="center" vertical="center"/>
    </xf>
    <xf borderId="0" fillId="0" fontId="31" numFmtId="0" xfId="0" applyAlignment="1" applyFont="1">
      <alignment horizontal="left" vertical="center"/>
    </xf>
    <xf borderId="0" fillId="0" fontId="32" numFmtId="0" xfId="0" applyAlignment="1" applyFont="1">
      <alignment horizontal="left" shrinkToFit="0" vertical="center" wrapText="1"/>
    </xf>
    <xf borderId="0" fillId="18" fontId="33" numFmtId="0" xfId="0" applyAlignment="1" applyFont="1">
      <alignment horizontal="center" vertical="center"/>
    </xf>
    <xf borderId="0" fillId="18" fontId="13" numFmtId="0" xfId="0" applyAlignment="1" applyFont="1">
      <alignment horizontal="center" vertical="center"/>
    </xf>
    <xf borderId="0" fillId="18" fontId="33" numFmtId="0" xfId="0" applyAlignment="1" applyFont="1">
      <alignment vertical="center"/>
    </xf>
    <xf borderId="0" fillId="0" fontId="13" numFmtId="168" xfId="0" applyAlignment="1" applyFont="1" applyNumberFormat="1">
      <alignment vertical="center"/>
    </xf>
    <xf borderId="0" fillId="0" fontId="33" numFmtId="168" xfId="0" applyAlignment="1" applyFont="1" applyNumberFormat="1">
      <alignment horizontal="center" vertical="center"/>
    </xf>
    <xf borderId="0" fillId="0" fontId="33" numFmtId="0" xfId="0" applyAlignment="1" applyFont="1">
      <alignment horizontal="center" vertical="center"/>
    </xf>
    <xf borderId="0" fillId="0" fontId="3" numFmtId="0" xfId="0" applyFont="1"/>
    <xf borderId="0" fillId="18" fontId="33" numFmtId="0" xfId="0" applyAlignment="1" applyFont="1">
      <alignment shrinkToFit="0" vertical="center" wrapText="1"/>
    </xf>
    <xf borderId="0" fillId="0" fontId="13" numFmtId="0" xfId="0" applyAlignment="1" applyFont="1">
      <alignment vertical="center"/>
    </xf>
    <xf borderId="4" fillId="23" fontId="11" numFmtId="0" xfId="0" applyAlignment="1" applyBorder="1" applyFill="1" applyFont="1">
      <alignment horizontal="center" shrinkToFit="0" vertical="center" wrapText="1"/>
    </xf>
    <xf borderId="4" fillId="23" fontId="11" numFmtId="49" xfId="0" applyAlignment="1" applyBorder="1" applyFont="1" applyNumberFormat="1">
      <alignment horizontal="center" shrinkToFit="0" vertical="center" wrapText="1"/>
    </xf>
    <xf borderId="4" fillId="23" fontId="11" numFmtId="169" xfId="0" applyAlignment="1" applyBorder="1" applyFont="1" applyNumberFormat="1">
      <alignment horizontal="center" shrinkToFit="0" vertical="center" wrapText="1"/>
    </xf>
    <xf borderId="0" fillId="23" fontId="3" numFmtId="0" xfId="0" applyAlignment="1" applyFont="1">
      <alignment vertical="bottom"/>
    </xf>
    <xf borderId="0" fillId="23" fontId="22" numFmtId="0" xfId="0" applyFont="1"/>
    <xf borderId="4" fillId="18" fontId="20" numFmtId="0" xfId="0" applyAlignment="1" applyBorder="1" applyFont="1">
      <alignment horizontal="left" vertical="bottom"/>
    </xf>
    <xf borderId="4" fillId="18" fontId="20" numFmtId="49" xfId="0" applyAlignment="1" applyBorder="1" applyFont="1" applyNumberFormat="1">
      <alignment vertical="bottom"/>
    </xf>
    <xf borderId="4" fillId="18" fontId="20" numFmtId="0" xfId="0" applyAlignment="1" applyBorder="1" applyFont="1">
      <alignment vertical="bottom"/>
    </xf>
    <xf borderId="4" fillId="18" fontId="20" numFmtId="169" xfId="0" applyAlignment="1" applyBorder="1" applyFont="1" applyNumberFormat="1">
      <alignment horizontal="left" vertical="bottom"/>
    </xf>
    <xf borderId="4" fillId="18" fontId="20" numFmtId="169" xfId="0" applyAlignment="1" applyBorder="1" applyFont="1" applyNumberFormat="1">
      <alignment vertical="bottom"/>
    </xf>
    <xf borderId="0" fillId="18" fontId="3" numFmtId="169" xfId="0" applyAlignment="1" applyFont="1" applyNumberFormat="1">
      <alignment vertical="bottom"/>
    </xf>
    <xf borderId="0" fillId="18" fontId="3" numFmtId="0" xfId="0" applyAlignment="1" applyFont="1">
      <alignment vertical="bottom"/>
    </xf>
    <xf borderId="0" fillId="18" fontId="22" numFmtId="0" xfId="0" applyFont="1"/>
    <xf borderId="4" fillId="17" fontId="20" numFmtId="0" xfId="0" applyAlignment="1" applyBorder="1" applyFont="1">
      <alignment horizontal="left" vertical="bottom"/>
    </xf>
    <xf borderId="4" fillId="17" fontId="20" numFmtId="49" xfId="0" applyAlignment="1" applyBorder="1" applyFont="1" applyNumberFormat="1">
      <alignment vertical="bottom"/>
    </xf>
    <xf borderId="4" fillId="17" fontId="20" numFmtId="0" xfId="0" applyAlignment="1" applyBorder="1" applyFont="1">
      <alignment vertical="bottom"/>
    </xf>
    <xf borderId="4" fillId="17" fontId="20" numFmtId="169" xfId="0" applyAlignment="1" applyBorder="1" applyFont="1" applyNumberFormat="1">
      <alignment horizontal="left" vertical="bottom"/>
    </xf>
    <xf borderId="4" fillId="17" fontId="20" numFmtId="169" xfId="0" applyAlignment="1" applyBorder="1" applyFont="1" applyNumberFormat="1">
      <alignment vertical="bottom"/>
    </xf>
    <xf borderId="0" fillId="17" fontId="3" numFmtId="169" xfId="0" applyAlignment="1" applyFont="1" applyNumberFormat="1">
      <alignment vertical="bottom"/>
    </xf>
    <xf borderId="0" fillId="17" fontId="3" numFmtId="0" xfId="0" applyAlignment="1" applyFont="1">
      <alignment vertical="bottom"/>
    </xf>
    <xf borderId="0" fillId="0" fontId="3" numFmtId="0" xfId="0" applyAlignment="1" applyFont="1">
      <alignment vertical="bottom"/>
    </xf>
    <xf borderId="4" fillId="18" fontId="20" numFmtId="169" xfId="0" applyAlignment="1" applyBorder="1" applyFont="1" applyNumberFormat="1">
      <alignment horizontal="left" readingOrder="0" vertical="bottom"/>
    </xf>
    <xf borderId="4" fillId="17" fontId="20" numFmtId="169" xfId="0" applyAlignment="1" applyBorder="1" applyFont="1" applyNumberFormat="1">
      <alignment horizontal="left" readingOrder="0" vertical="bottom"/>
    </xf>
    <xf borderId="4" fillId="18" fontId="20" numFmtId="169" xfId="0" applyAlignment="1" applyBorder="1" applyFont="1" applyNumberFormat="1">
      <alignment readingOrder="0" vertical="bottom"/>
    </xf>
    <xf borderId="4" fillId="17" fontId="20" numFmtId="169" xfId="0" applyAlignment="1" applyBorder="1" applyFont="1" applyNumberFormat="1">
      <alignment readingOrder="0" vertical="bottom"/>
    </xf>
    <xf borderId="4" fillId="17" fontId="34" numFmtId="49" xfId="0" applyAlignment="1" applyBorder="1" applyFont="1" applyNumberFormat="1">
      <alignment vertical="bottom"/>
    </xf>
    <xf borderId="4" fillId="18" fontId="20" numFmtId="49" xfId="0" applyAlignment="1" applyBorder="1" applyFont="1" applyNumberFormat="1">
      <alignment readingOrder="0" vertical="bottom"/>
    </xf>
    <xf borderId="4" fillId="18" fontId="20" numFmtId="0" xfId="0" applyAlignment="1" applyBorder="1" applyFont="1">
      <alignment readingOrder="0" vertical="bottom"/>
    </xf>
    <xf borderId="0" fillId="18" fontId="20" numFmtId="169" xfId="0" applyAlignment="1" applyFont="1" applyNumberFormat="1">
      <alignment vertical="bottom"/>
    </xf>
    <xf borderId="4" fillId="17" fontId="3" numFmtId="169" xfId="0" applyAlignment="1" applyBorder="1" applyFont="1" applyNumberFormat="1">
      <alignment vertical="bottom"/>
    </xf>
    <xf borderId="0" fillId="18" fontId="3" numFmtId="49" xfId="0" applyAlignment="1" applyFont="1" applyNumberFormat="1">
      <alignment readingOrder="0" vertical="bottom"/>
    </xf>
    <xf borderId="0" fillId="18" fontId="3" numFmtId="0" xfId="0" applyAlignment="1" applyFont="1">
      <alignment readingOrder="0" vertical="bottom"/>
    </xf>
    <xf borderId="0" fillId="17" fontId="20" numFmtId="49" xfId="0" applyAlignment="1" applyFont="1" applyNumberFormat="1">
      <alignment readingOrder="0" vertical="bottom"/>
    </xf>
    <xf borderId="0" fillId="17" fontId="20" numFmtId="0" xfId="0" applyAlignment="1" applyFont="1">
      <alignment readingOrder="0" vertical="bottom"/>
    </xf>
    <xf borderId="0" fillId="17" fontId="20" numFmtId="169" xfId="0" applyAlignment="1" applyFont="1" applyNumberFormat="1">
      <alignment vertical="bottom"/>
    </xf>
    <xf borderId="0" fillId="17" fontId="20" numFmtId="169" xfId="0" applyAlignment="1" applyFont="1" applyNumberFormat="1">
      <alignment vertical="bottom"/>
    </xf>
    <xf borderId="0" fillId="17" fontId="3" numFmtId="49" xfId="0" applyAlignment="1" applyFont="1" applyNumberFormat="1">
      <alignment readingOrder="0" vertical="bottom"/>
    </xf>
    <xf borderId="0" fillId="17" fontId="3" numFmtId="0" xfId="0" applyAlignment="1" applyFont="1">
      <alignment readingOrder="0" vertical="bottom"/>
    </xf>
    <xf borderId="0" fillId="18" fontId="20" numFmtId="49" xfId="0" applyAlignment="1" applyFont="1" applyNumberFormat="1">
      <alignment readingOrder="0" vertical="bottom"/>
    </xf>
    <xf borderId="0" fillId="18" fontId="20" numFmtId="0" xfId="0" applyAlignment="1" applyFont="1">
      <alignment readingOrder="0" vertical="bottom"/>
    </xf>
    <xf borderId="0" fillId="18" fontId="20" numFmtId="169" xfId="0" applyAlignment="1" applyFont="1" applyNumberFormat="1">
      <alignment vertical="bottom"/>
    </xf>
    <xf borderId="5" fillId="18" fontId="20" numFmtId="49" xfId="0" applyAlignment="1" applyBorder="1" applyFont="1" applyNumberFormat="1">
      <alignment vertical="center"/>
    </xf>
    <xf borderId="4" fillId="18" fontId="20" numFmtId="169" xfId="0" applyAlignment="1" applyBorder="1" applyFont="1" applyNumberFormat="1">
      <alignment vertical="bottom"/>
    </xf>
    <xf borderId="0" fillId="17" fontId="3" numFmtId="169" xfId="0" applyAlignment="1" applyFont="1" applyNumberFormat="1">
      <alignment vertical="bottom"/>
    </xf>
    <xf borderId="0" fillId="18" fontId="3" numFmtId="169" xfId="0" applyAlignment="1" applyFont="1" applyNumberFormat="1">
      <alignment vertical="bottom"/>
    </xf>
    <xf borderId="0" fillId="17" fontId="20" numFmtId="0" xfId="0" applyAlignment="1" applyFont="1">
      <alignment vertical="bottom"/>
    </xf>
    <xf borderId="0" fillId="18" fontId="20" numFmtId="0" xfId="0" applyAlignment="1" applyFont="1">
      <alignment vertical="bottom"/>
    </xf>
    <xf borderId="0" fillId="18" fontId="20" numFmtId="49" xfId="0" applyAlignment="1" applyFont="1" applyNumberFormat="1">
      <alignment vertical="bottom"/>
    </xf>
    <xf borderId="0" fillId="17" fontId="20" numFmtId="49" xfId="0" applyAlignment="1" applyFont="1" applyNumberFormat="1">
      <alignment vertical="bottom"/>
    </xf>
    <xf borderId="0" fillId="0" fontId="10" numFmtId="0" xfId="0" applyFont="1"/>
    <xf borderId="0" fillId="15" fontId="35" numFmtId="0" xfId="0" applyAlignment="1" applyFont="1">
      <alignment readingOrder="0"/>
    </xf>
    <xf borderId="0" fillId="0" fontId="10" numFmtId="0" xfId="0" applyAlignment="1" applyFont="1">
      <alignment shrinkToFit="0" wrapText="1"/>
    </xf>
    <xf borderId="0" fillId="0" fontId="10" numFmtId="3" xfId="0" applyAlignment="1" applyFont="1" applyNumberFormat="1">
      <alignment shrinkToFit="0" wrapText="1"/>
    </xf>
    <xf borderId="0" fillId="0" fontId="10" numFmtId="3" xfId="0" applyFont="1" applyNumberFormat="1"/>
    <xf borderId="4" fillId="24" fontId="11" numFmtId="0" xfId="0" applyAlignment="1" applyBorder="1" applyFill="1" applyFont="1">
      <alignment horizontal="center" readingOrder="0" shrinkToFit="0" vertical="center" wrapText="1"/>
    </xf>
    <xf borderId="4" fillId="24" fontId="11" numFmtId="49" xfId="0" applyAlignment="1" applyBorder="1" applyFont="1" applyNumberFormat="1">
      <alignment horizontal="center" readingOrder="0" shrinkToFit="0" vertical="center" wrapText="1"/>
    </xf>
    <xf borderId="0" fillId="25" fontId="3" numFmtId="0" xfId="0" applyAlignment="1" applyFill="1" applyFont="1">
      <alignment readingOrder="0" vertical="bottom"/>
    </xf>
    <xf borderId="0" fillId="25" fontId="3" numFmtId="49" xfId="0" applyAlignment="1" applyFont="1" applyNumberFormat="1">
      <alignment readingOrder="0" vertical="bottom"/>
    </xf>
    <xf borderId="0" fillId="25" fontId="3" numFmtId="0" xfId="0" applyAlignment="1" applyFont="1">
      <alignment readingOrder="0" vertical="bottom"/>
    </xf>
    <xf borderId="0" fillId="25" fontId="3" numFmtId="166" xfId="0" applyAlignment="1" applyFont="1" applyNumberFormat="1">
      <alignment readingOrder="0" vertical="bottom"/>
    </xf>
    <xf borderId="0" fillId="0" fontId="3" numFmtId="0" xfId="0" applyAlignment="1" applyFont="1">
      <alignment readingOrder="0" vertical="bottom"/>
    </xf>
    <xf borderId="0" fillId="0" fontId="3" numFmtId="49" xfId="0" applyAlignment="1" applyFont="1" applyNumberFormat="1">
      <alignment readingOrder="0" vertical="bottom"/>
    </xf>
    <xf borderId="0" fillId="0" fontId="3" numFmtId="0" xfId="0" applyAlignment="1" applyFont="1">
      <alignment readingOrder="0" vertical="bottom"/>
    </xf>
    <xf borderId="0" fillId="0" fontId="3" numFmtId="166" xfId="0" applyAlignment="1" applyFont="1" applyNumberFormat="1">
      <alignment readingOrder="0" vertical="bottom"/>
    </xf>
    <xf borderId="0" fillId="0" fontId="3" numFmtId="49" xfId="0" applyAlignment="1" applyFont="1" applyNumberFormat="1">
      <alignment vertical="bottom"/>
    </xf>
    <xf borderId="4" fillId="24" fontId="11" numFmtId="49" xfId="0" applyAlignment="1" applyBorder="1" applyFont="1" applyNumberFormat="1">
      <alignment horizontal="center" shrinkToFit="0" vertical="center" wrapText="1"/>
    </xf>
    <xf borderId="4" fillId="24" fontId="11" numFmtId="0" xfId="0" applyAlignment="1" applyBorder="1" applyFont="1">
      <alignment horizontal="center" shrinkToFit="0" vertical="center" wrapText="1"/>
    </xf>
    <xf borderId="0" fillId="24" fontId="11" numFmtId="0" xfId="0" applyAlignment="1" applyFont="1">
      <alignment horizontal="center" readingOrder="0" shrinkToFit="0" vertical="center" wrapText="1"/>
    </xf>
    <xf borderId="0" fillId="19" fontId="11" numFmtId="49" xfId="0" applyAlignment="1" applyFont="1" applyNumberFormat="1">
      <alignment horizontal="center" readingOrder="0" shrinkToFit="0" vertical="center" wrapText="1"/>
    </xf>
    <xf borderId="0" fillId="0" fontId="10" numFmtId="0" xfId="0" applyAlignment="1" applyFont="1">
      <alignment horizontal="center" vertical="center"/>
    </xf>
    <xf borderId="0" fillId="0" fontId="10" numFmtId="49" xfId="0" applyAlignment="1" applyFont="1" applyNumberFormat="1">
      <alignment horizontal="center" vertical="center"/>
    </xf>
    <xf borderId="0" fillId="0" fontId="10" numFmtId="0" xfId="0" applyAlignment="1" applyFont="1">
      <alignment horizontal="center" readingOrder="0" shrinkToFit="0" wrapText="1"/>
    </xf>
    <xf borderId="0" fillId="0" fontId="10" numFmtId="0" xfId="0" applyAlignment="1" applyFont="1">
      <alignment horizontal="center" shrinkToFit="0" vertical="center" wrapText="1"/>
    </xf>
    <xf borderId="0" fillId="0" fontId="10" numFmtId="3" xfId="0" applyAlignment="1" applyFont="1" applyNumberFormat="1">
      <alignment horizontal="center" vertical="center"/>
    </xf>
    <xf borderId="4" fillId="19" fontId="36" numFmtId="49" xfId="0" applyAlignment="1" applyBorder="1" applyFont="1" applyNumberFormat="1">
      <alignment horizontal="center" readingOrder="0" shrinkToFit="0" vertical="center" wrapText="1"/>
    </xf>
    <xf borderId="0" fillId="0" fontId="37" numFmtId="49" xfId="0" applyAlignment="1" applyFont="1" applyNumberFormat="1">
      <alignment horizontal="center"/>
    </xf>
    <xf borderId="0" fillId="0" fontId="37" numFmtId="0" xfId="0" applyFont="1"/>
    <xf borderId="0" fillId="0" fontId="37" numFmtId="49" xfId="0" applyFont="1" applyNumberFormat="1"/>
    <xf borderId="0" fillId="0" fontId="10" numFmtId="167" xfId="0" applyFont="1" applyNumberFormat="1"/>
    <xf borderId="0" fillId="0" fontId="10" numFmtId="0" xfId="0" applyAlignment="1" applyFont="1">
      <alignment horizontal="center"/>
    </xf>
    <xf borderId="0" fillId="0" fontId="10" numFmtId="0" xfId="0" applyAlignment="1" applyFont="1">
      <alignment horizontal="right" readingOrder="0" vertical="center"/>
    </xf>
    <xf borderId="0" fillId="0" fontId="10" numFmtId="49" xfId="0" applyAlignment="1" applyFont="1" applyNumberFormat="1">
      <alignment horizontal="center"/>
    </xf>
    <xf borderId="0" fillId="0" fontId="10" numFmtId="49" xfId="0" applyFont="1" applyNumberFormat="1"/>
    <xf borderId="0" fillId="0" fontId="10" numFmtId="49" xfId="0" applyAlignment="1" applyFont="1" applyNumberFormat="1">
      <alignment horizontal="center" readingOrder="0" vertical="center"/>
    </xf>
    <xf borderId="0" fillId="0" fontId="10" numFmtId="10" xfId="0" applyAlignment="1" applyFont="1" applyNumberFormat="1">
      <alignment horizontal="center" vertical="center"/>
    </xf>
    <xf borderId="0" fillId="0" fontId="10" numFmtId="3" xfId="0" applyAlignment="1" applyFont="1" applyNumberFormat="1">
      <alignment horizontal="center" shrinkToFit="0" vertical="center" wrapText="1"/>
    </xf>
    <xf borderId="0" fillId="0" fontId="35" numFmtId="0" xfId="0" applyAlignment="1" applyFont="1">
      <alignment horizontal="center" vertical="center"/>
    </xf>
    <xf borderId="0" fillId="0" fontId="38" numFmtId="0" xfId="0" applyAlignment="1" applyFont="1">
      <alignment horizontal="left" readingOrder="0" vertical="center"/>
    </xf>
    <xf borderId="0" fillId="0" fontId="10" numFmtId="0" xfId="0" applyAlignment="1" applyFont="1">
      <alignment horizontal="center" readingOrder="0"/>
    </xf>
    <xf borderId="0" fillId="0" fontId="10" numFmtId="49" xfId="0" applyAlignment="1" applyFont="1" applyNumberFormat="1">
      <alignment horizontal="center" readingOrder="0"/>
    </xf>
    <xf borderId="0" fillId="0" fontId="10" numFmtId="0" xfId="0" applyAlignment="1" applyFont="1">
      <alignment horizontal="center" readingOrder="0" vertical="center"/>
    </xf>
    <xf borderId="0" fillId="18" fontId="10" numFmtId="49" xfId="0" applyAlignment="1" applyFont="1" applyNumberFormat="1">
      <alignment horizontal="center"/>
    </xf>
    <xf borderId="0" fillId="18" fontId="10" numFmtId="0" xfId="0" applyFont="1"/>
    <xf borderId="0" fillId="18" fontId="10" numFmtId="49" xfId="0" applyFont="1" applyNumberFormat="1"/>
    <xf borderId="0" fillId="18" fontId="10" numFmtId="0" xfId="0" applyAlignment="1" applyFont="1">
      <alignment readingOrder="0"/>
    </xf>
    <xf borderId="0" fillId="18" fontId="10" numFmtId="167" xfId="0" applyFont="1" applyNumberFormat="1"/>
    <xf borderId="0" fillId="18" fontId="10" numFmtId="0" xfId="0" applyAlignment="1" applyFont="1">
      <alignment horizontal="center"/>
    </xf>
    <xf borderId="0" fillId="18" fontId="10" numFmtId="0" xfId="0" applyAlignment="1" applyFont="1">
      <alignment horizontal="center" vertical="center"/>
    </xf>
    <xf borderId="0" fillId="18" fontId="10" numFmtId="49" xfId="0" applyAlignment="1" applyFont="1" applyNumberFormat="1">
      <alignment horizontal="center" vertical="center"/>
    </xf>
    <xf borderId="0" fillId="18" fontId="10" numFmtId="3" xfId="0" applyAlignment="1" applyFont="1" applyNumberFormat="1">
      <alignment horizontal="center" vertical="center"/>
    </xf>
    <xf borderId="0" fillId="0" fontId="37" numFmtId="49" xfId="0" applyAlignment="1" applyFont="1" applyNumberFormat="1">
      <alignment horizontal="center" readingOrder="0"/>
    </xf>
    <xf borderId="0" fillId="0" fontId="37" numFmtId="0" xfId="0" applyAlignment="1" applyFont="1">
      <alignment readingOrder="0"/>
    </xf>
    <xf borderId="0" fillId="0" fontId="37" numFmtId="49" xfId="0" applyAlignment="1" applyFont="1" applyNumberFormat="1">
      <alignment readingOrder="0"/>
    </xf>
    <xf borderId="0" fillId="0" fontId="39" numFmtId="0" xfId="0" applyFont="1"/>
    <xf borderId="0" fillId="0" fontId="39" numFmtId="0" xfId="0" applyAlignment="1" applyFont="1">
      <alignment horizontal="center"/>
    </xf>
    <xf borderId="0" fillId="0" fontId="39" numFmtId="0" xfId="0" applyAlignment="1" applyFont="1">
      <alignment horizontal="center" vertical="center"/>
    </xf>
    <xf borderId="0" fillId="0" fontId="37" numFmtId="0" xfId="0" applyAlignment="1" applyFont="1">
      <alignment horizontal="center"/>
    </xf>
    <xf borderId="0" fillId="0" fontId="37" numFmtId="0" xfId="0" applyAlignment="1" applyFont="1">
      <alignment horizontal="center" vertical="center"/>
    </xf>
    <xf borderId="0" fillId="18" fontId="37" numFmtId="49" xfId="0" applyAlignment="1" applyFont="1" applyNumberFormat="1">
      <alignment horizontal="center"/>
    </xf>
    <xf borderId="0" fillId="18" fontId="37" numFmtId="0" xfId="0" applyFont="1"/>
    <xf borderId="0" fillId="18" fontId="37" numFmtId="49" xfId="0" applyFont="1" applyNumberFormat="1"/>
    <xf borderId="0" fillId="18" fontId="37" numFmtId="0" xfId="0" applyAlignment="1" applyFont="1">
      <alignment readingOrder="0"/>
    </xf>
    <xf borderId="0" fillId="18" fontId="37" numFmtId="0" xfId="0" applyAlignment="1" applyFont="1">
      <alignment horizontal="center"/>
    </xf>
    <xf borderId="0" fillId="18" fontId="37" numFmtId="0" xfId="0" applyAlignment="1" applyFont="1">
      <alignment horizontal="center" vertical="center"/>
    </xf>
    <xf borderId="0" fillId="26" fontId="10" numFmtId="0" xfId="0" applyAlignment="1" applyFill="1" applyFont="1">
      <alignment horizontal="center" readingOrder="0"/>
    </xf>
    <xf borderId="0" fillId="18" fontId="37" numFmtId="49" xfId="0" applyAlignment="1" applyFont="1" applyNumberFormat="1">
      <alignment horizontal="center" readingOrder="0"/>
    </xf>
    <xf borderId="0" fillId="18" fontId="37" numFmtId="0" xfId="0" applyAlignment="1" applyFont="1">
      <alignment horizontal="center" readingOrder="0"/>
    </xf>
    <xf borderId="0" fillId="18" fontId="10" numFmtId="49" xfId="0" applyAlignment="1" applyFont="1" applyNumberFormat="1">
      <alignment horizontal="center" readingOrder="0"/>
    </xf>
    <xf borderId="0" fillId="18" fontId="10" numFmtId="0" xfId="0" applyAlignment="1" applyFont="1">
      <alignment horizontal="center" readingOrder="0"/>
    </xf>
    <xf borderId="0" fillId="18" fontId="37" numFmtId="49" xfId="0" applyAlignment="1" applyFont="1" applyNumberFormat="1">
      <alignment readingOrder="0"/>
    </xf>
    <xf borderId="0" fillId="18" fontId="10" numFmtId="49" xfId="0" applyAlignment="1" applyFont="1" applyNumberFormat="1">
      <alignment readingOrder="0"/>
    </xf>
    <xf borderId="0" fillId="0" fontId="37" numFmtId="0" xfId="0" applyAlignment="1" applyFont="1">
      <alignment horizontal="center" readingOrder="0"/>
    </xf>
    <xf borderId="0" fillId="0" fontId="40" numFmtId="0" xfId="0" applyAlignment="1" applyFont="1">
      <alignment readingOrder="0"/>
    </xf>
    <xf borderId="0" fillId="0" fontId="35" numFmtId="0" xfId="0" applyAlignment="1" applyFont="1">
      <alignment horizontal="center" readingOrder="0"/>
    </xf>
    <xf borderId="0" fillId="0" fontId="35" numFmtId="0" xfId="0" applyAlignment="1" applyFont="1">
      <alignment readingOrder="0"/>
    </xf>
    <xf borderId="0" fillId="0" fontId="41" numFmtId="0" xfId="0" applyAlignment="1" applyFont="1">
      <alignment readingOrder="0"/>
    </xf>
    <xf borderId="0" fillId="0" fontId="42" numFmtId="0" xfId="0" applyAlignment="1" applyFont="1">
      <alignment horizontal="center" readingOrder="0"/>
    </xf>
    <xf borderId="0" fillId="0" fontId="41" numFmtId="0" xfId="0" applyAlignment="1" applyFont="1">
      <alignment horizontal="center"/>
    </xf>
    <xf borderId="0" fillId="0" fontId="41" numFmtId="10" xfId="0" applyFont="1" applyNumberFormat="1"/>
    <xf borderId="0" fillId="0" fontId="41" numFmtId="0" xfId="0" applyFont="1"/>
    <xf borderId="0" fillId="0" fontId="42" numFmtId="0" xfId="0" applyAlignment="1" applyFont="1">
      <alignment readingOrder="0"/>
    </xf>
    <xf borderId="0" fillId="0" fontId="43" numFmtId="0" xfId="0" applyAlignment="1" applyFont="1">
      <alignment horizontal="center" readingOrder="0"/>
    </xf>
    <xf borderId="0" fillId="0" fontId="10" numFmtId="10" xfId="0" applyFont="1" applyNumberFormat="1"/>
    <xf borderId="0" fillId="0" fontId="43" numFmtId="0" xfId="0" applyAlignment="1" applyFont="1">
      <alignment readingOrder="0"/>
    </xf>
    <xf borderId="0" fillId="18" fontId="43" numFmtId="0" xfId="0" applyAlignment="1" applyFont="1">
      <alignment horizontal="center" readingOrder="0"/>
    </xf>
    <xf borderId="0" fillId="18" fontId="10" numFmtId="10" xfId="0" applyFont="1" applyNumberFormat="1"/>
    <xf borderId="0" fillId="18" fontId="43" numFmtId="0" xfId="0" applyAlignment="1" applyFont="1">
      <alignment readingOrder="0"/>
    </xf>
    <xf borderId="0" fillId="0" fontId="43" numFmtId="10" xfId="0" applyAlignment="1" applyFont="1" applyNumberFormat="1">
      <alignment readingOrder="0"/>
    </xf>
    <xf borderId="4" fillId="0" fontId="20" numFmtId="0" xfId="0" applyAlignment="1" applyBorder="1" applyFont="1">
      <alignment readingOrder="0" vertical="bottom"/>
    </xf>
    <xf borderId="0" fillId="0" fontId="3" numFmtId="0" xfId="0" applyAlignment="1" applyFont="1">
      <alignment horizontal="center" readingOrder="0" vertical="center"/>
    </xf>
    <xf borderId="4" fillId="0" fontId="20" numFmtId="0" xfId="0" applyAlignment="1" applyBorder="1" applyFont="1">
      <alignment vertical="bottom"/>
    </xf>
    <xf borderId="0" fillId="0" fontId="3" numFmtId="0" xfId="0" applyAlignment="1" applyFont="1">
      <alignment readingOrder="0"/>
    </xf>
    <xf borderId="0" fillId="27" fontId="13" numFmtId="49" xfId="0" applyAlignment="1" applyFill="1" applyFont="1" applyNumberFormat="1">
      <alignment horizontal="left"/>
    </xf>
    <xf borderId="0" fillId="0" fontId="13" numFmtId="49" xfId="0" applyAlignment="1" applyFont="1" applyNumberFormat="1">
      <alignment horizontal="left"/>
    </xf>
    <xf borderId="0" fillId="0" fontId="22" numFmtId="49" xfId="0" applyAlignment="1" applyFont="1" applyNumberFormat="1">
      <alignment horizontal="left"/>
    </xf>
    <xf borderId="0" fillId="0" fontId="22" numFmtId="49" xfId="0" applyFont="1" applyNumberFormat="1"/>
  </cellXfs>
  <cellStyles count="1">
    <cellStyle xfId="0" name="Normal" builtinId="0"/>
  </cellStyles>
  <dxfs count="5">
    <dxf>
      <font/>
      <fill>
        <patternFill patternType="solid">
          <fgColor rgb="FFF4CCCC"/>
          <bgColor rgb="FFF4CCCC"/>
        </patternFill>
      </fill>
      <border/>
    </dxf>
    <dxf>
      <font/>
      <fill>
        <patternFill patternType="solid">
          <fgColor rgb="FFEFEFEF"/>
          <bgColor rgb="FFEFEFEF"/>
        </patternFill>
      </fill>
      <border/>
    </dxf>
    <dxf>
      <font/>
      <fill>
        <patternFill patternType="solid">
          <fgColor rgb="FFFFF2CC"/>
          <bgColor rgb="FFFFF2CC"/>
        </patternFill>
      </fill>
      <border/>
    </dxf>
    <dxf>
      <font/>
      <fill>
        <patternFill patternType="solid">
          <fgColor rgb="FFFF0000"/>
          <bgColor rgb="FFFF0000"/>
        </patternFill>
      </fill>
      <border/>
    </dxf>
    <dxf>
      <font/>
      <fill>
        <patternFill patternType="none"/>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pivotCacheDefinition" Target="pivotCache/pivotCacheDefinition2.xml"/><Relationship Id="rId21" Type="http://schemas.openxmlformats.org/officeDocument/2006/relationships/pivotCacheDefinition" Target="pivotCache/pivotCacheDefinition1.xml"/><Relationship Id="rId24" Type="http://schemas.openxmlformats.org/officeDocument/2006/relationships/pivotCacheDefinition" Target="pivotCache/pivotCacheDefinition4.xml"/><Relationship Id="rId23" Type="http://schemas.openxmlformats.org/officeDocument/2006/relationships/pivotCacheDefinition" Target="pivotCache/pivotCacheDefinition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6.xml"/><Relationship Id="rId25" Type="http://schemas.openxmlformats.org/officeDocument/2006/relationships/pivotCacheDefinition" Target="pivotCache/pivotCacheDefinition5.xml"/><Relationship Id="rId28" Type="http://schemas.openxmlformats.org/officeDocument/2006/relationships/pivotCacheDefinition" Target="pivotCache/pivotCacheDefinition8.xml"/><Relationship Id="rId27" Type="http://schemas.openxmlformats.org/officeDocument/2006/relationships/pivotCacheDefinition" Target="pivotCache/pivotCacheDefinition7.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view3D>
      <c:rotX val="50"/>
      <c:perspective val="0"/>
    </c:view3D>
    <c:plotArea>
      <c:layout>
        <c:manualLayout>
          <c:xMode val="edge"/>
          <c:yMode val="edge"/>
          <c:x val="0.0"/>
          <c:y val="0.0"/>
          <c:w val="1.0"/>
          <c:h val="0.9946091644204852"/>
        </c:manualLayout>
      </c:layout>
      <c:pie3DChart>
        <c:varyColors val="1"/>
        <c:ser>
          <c:idx val="0"/>
          <c:order val="0"/>
          <c:tx>
            <c:strRef>
              <c:f>DASHBOARD!$B$22:$B$23</c:f>
            </c:strRef>
          </c:tx>
          <c:dPt>
            <c:idx val="0"/>
            <c:spPr>
              <a:solidFill>
                <a:srgbClr val="013C58"/>
              </a:solidFill>
            </c:spPr>
          </c:dPt>
          <c:dPt>
            <c:idx val="1"/>
            <c:spPr>
              <a:solidFill>
                <a:srgbClr val="A8E8F9"/>
              </a:solidFill>
            </c:spPr>
          </c:dPt>
          <c:dPt>
            <c:idx val="2"/>
            <c:spPr>
              <a:solidFill>
                <a:srgbClr val="9BBB59"/>
              </a:solidFill>
            </c:spPr>
          </c:dPt>
          <c:dPt>
            <c:idx val="3"/>
            <c:spPr>
              <a:solidFill>
                <a:srgbClr val="8064A2"/>
              </a:solidFill>
            </c:spPr>
          </c:dPt>
          <c:dPt>
            <c:idx val="4"/>
            <c:spPr>
              <a:solidFill>
                <a:srgbClr val="4BACC6"/>
              </a:solidFill>
            </c:spPr>
          </c:dPt>
          <c:dPt>
            <c:idx val="5"/>
            <c:spPr>
              <a:solidFill>
                <a:srgbClr val="F79646"/>
              </a:solidFill>
            </c:spPr>
          </c:dPt>
          <c:dLbls>
            <c:dLbl>
              <c:idx val="0"/>
              <c:txPr>
                <a:bodyPr/>
                <a:lstStyle/>
                <a:p>
                  <a:pPr lvl="0">
                    <a:defRPr>
                      <a:solidFill>
                        <a:srgbClr val="FFFFFF"/>
                      </a:solidFill>
                    </a:defRPr>
                  </a:pPr>
                </a:p>
              </c:txPr>
              <c:showLegendKey val="0"/>
              <c:showVal val="0"/>
              <c:showCatName val="0"/>
              <c:showSerName val="0"/>
              <c:showPercent val="1"/>
              <c:showBubbleSize val="0"/>
            </c:dLbl>
            <c:dLbl>
              <c:idx val="1"/>
              <c:txPr>
                <a:bodyPr/>
                <a:lstStyle/>
                <a:p>
                  <a:pPr lvl="0">
                    <a:defRPr>
                      <a:solidFill>
                        <a:srgbClr val="000000"/>
                      </a:solidFill>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DASHBOARD!$A$24:$A$29</c:f>
            </c:strRef>
          </c:cat>
          <c:val>
            <c:numRef>
              <c:f>DASHBOARD!$B$24:$B$29</c:f>
              <c:numCache/>
            </c:numRef>
          </c:val>
        </c:ser>
        <c:dLbls>
          <c:showLegendKey val="0"/>
          <c:showVal val="0"/>
          <c:showCatName val="0"/>
          <c:showSerName val="0"/>
          <c:showPercent val="0"/>
          <c:showBubbleSize val="0"/>
        </c:dLbls>
      </c:pie3DChart>
    </c:plotArea>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grouping val="stacked"/>
        <c:ser>
          <c:idx val="0"/>
          <c:order val="0"/>
          <c:tx>
            <c:strRef>
              <c:f>sheet2!$AA$3</c:f>
            </c:strRef>
          </c:tx>
          <c:spPr>
            <a:solidFill>
              <a:srgbClr val="264653"/>
            </a:solidFill>
            <a:ln cmpd="sng">
              <a:solidFill>
                <a:srgbClr val="000000"/>
              </a:solidFill>
            </a:ln>
          </c:spPr>
          <c:cat>
            <c:strRef>
              <c:f>sheet2!$AB$2:$AH$2</c:f>
            </c:strRef>
          </c:cat>
          <c:val>
            <c:numRef>
              <c:f>sheet2!$AB$3:$AH$3</c:f>
              <c:numCache/>
            </c:numRef>
          </c:val>
        </c:ser>
        <c:ser>
          <c:idx val="1"/>
          <c:order val="1"/>
          <c:tx>
            <c:strRef>
              <c:f>sheet2!$AA$4</c:f>
            </c:strRef>
          </c:tx>
          <c:spPr>
            <a:solidFill>
              <a:srgbClr val="287271"/>
            </a:solidFill>
            <a:ln cmpd="sng">
              <a:solidFill>
                <a:srgbClr val="000000"/>
              </a:solidFill>
            </a:ln>
          </c:spPr>
          <c:cat>
            <c:strRef>
              <c:f>sheet2!$AB$2:$AH$2</c:f>
            </c:strRef>
          </c:cat>
          <c:val>
            <c:numRef>
              <c:f>sheet2!$AB$4:$AH$4</c:f>
              <c:numCache/>
            </c:numRef>
          </c:val>
        </c:ser>
        <c:ser>
          <c:idx val="2"/>
          <c:order val="2"/>
          <c:tx>
            <c:strRef>
              <c:f>sheet2!$AA$5</c:f>
            </c:strRef>
          </c:tx>
          <c:spPr>
            <a:solidFill>
              <a:srgbClr val="2A9D8F"/>
            </a:solidFill>
            <a:ln cmpd="sng">
              <a:solidFill>
                <a:srgbClr val="000000"/>
              </a:solidFill>
            </a:ln>
          </c:spPr>
          <c:cat>
            <c:strRef>
              <c:f>sheet2!$AB$2:$AH$2</c:f>
            </c:strRef>
          </c:cat>
          <c:val>
            <c:numRef>
              <c:f>sheet2!$AB$5:$AH$5</c:f>
              <c:numCache/>
            </c:numRef>
          </c:val>
        </c:ser>
        <c:ser>
          <c:idx val="3"/>
          <c:order val="3"/>
          <c:tx>
            <c:strRef>
              <c:f>sheet2!$AA$6</c:f>
            </c:strRef>
          </c:tx>
          <c:spPr>
            <a:solidFill>
              <a:srgbClr val="8AB17D"/>
            </a:solidFill>
            <a:ln cmpd="sng">
              <a:solidFill>
                <a:srgbClr val="000000"/>
              </a:solidFill>
            </a:ln>
          </c:spPr>
          <c:cat>
            <c:strRef>
              <c:f>sheet2!$AB$2:$AH$2</c:f>
            </c:strRef>
          </c:cat>
          <c:val>
            <c:numRef>
              <c:f>sheet2!$AB$6:$AH$6</c:f>
              <c:numCache/>
            </c:numRef>
          </c:val>
        </c:ser>
        <c:ser>
          <c:idx val="4"/>
          <c:order val="4"/>
          <c:tx>
            <c:strRef>
              <c:f>sheet2!$AA$7</c:f>
            </c:strRef>
          </c:tx>
          <c:spPr>
            <a:solidFill>
              <a:srgbClr val="E9C46A"/>
            </a:solidFill>
            <a:ln cmpd="sng">
              <a:solidFill>
                <a:srgbClr val="000000"/>
              </a:solidFill>
            </a:ln>
          </c:spPr>
          <c:cat>
            <c:strRef>
              <c:f>sheet2!$AB$2:$AH$2</c:f>
            </c:strRef>
          </c:cat>
          <c:val>
            <c:numRef>
              <c:f>sheet2!$AB$7:$AH$7</c:f>
              <c:numCache/>
            </c:numRef>
          </c:val>
        </c:ser>
        <c:ser>
          <c:idx val="5"/>
          <c:order val="5"/>
          <c:tx>
            <c:strRef>
              <c:f>sheet2!$AA$8</c:f>
            </c:strRef>
          </c:tx>
          <c:spPr>
            <a:solidFill>
              <a:srgbClr val="F4A261"/>
            </a:solidFill>
            <a:ln cmpd="sng">
              <a:solidFill>
                <a:srgbClr val="000000"/>
              </a:solidFill>
            </a:ln>
          </c:spPr>
          <c:dPt>
            <c:idx val="5"/>
          </c:dPt>
          <c:cat>
            <c:strRef>
              <c:f>sheet2!$AB$2:$AH$2</c:f>
            </c:strRef>
          </c:cat>
          <c:val>
            <c:numRef>
              <c:f>sheet2!$AB$8:$AH$8</c:f>
              <c:numCache/>
            </c:numRef>
          </c:val>
        </c:ser>
        <c:ser>
          <c:idx val="6"/>
          <c:order val="6"/>
          <c:tx>
            <c:strRef>
              <c:f>sheet2!$AA$9</c:f>
            </c:strRef>
          </c:tx>
          <c:spPr>
            <a:solidFill>
              <a:srgbClr val="E76F51"/>
            </a:solidFill>
            <a:ln cmpd="sng">
              <a:solidFill>
                <a:srgbClr val="000000"/>
              </a:solidFill>
            </a:ln>
          </c:spPr>
          <c:cat>
            <c:strRef>
              <c:f>sheet2!$AB$2:$AH$2</c:f>
            </c:strRef>
          </c:cat>
          <c:val>
            <c:numRef>
              <c:f>sheet2!$AB$9:$AH$9</c:f>
              <c:numCache/>
            </c:numRef>
          </c:val>
        </c:ser>
        <c:overlap val="100"/>
        <c:axId val="1882017839"/>
        <c:axId val="40776401"/>
      </c:barChart>
      <c:catAx>
        <c:axId val="18820178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sz="1400">
                <a:solidFill>
                  <a:srgbClr val="000000"/>
                </a:solidFill>
                <a:latin typeface="+mn-lt"/>
              </a:defRPr>
            </a:pPr>
          </a:p>
        </c:txPr>
        <c:crossAx val="40776401"/>
      </c:catAx>
      <c:valAx>
        <c:axId val="407764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sz="1400">
                <a:solidFill>
                  <a:srgbClr val="000000"/>
                </a:solidFill>
                <a:latin typeface="+mn-lt"/>
              </a:defRPr>
            </a:pPr>
          </a:p>
        </c:txPr>
        <c:crossAx val="1882017839"/>
      </c:valAx>
    </c:plotArea>
    <c:legend>
      <c:legendPos val="b"/>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grouping val="stacked"/>
        <c:ser>
          <c:idx val="0"/>
          <c:order val="0"/>
          <c:tx>
            <c:strRef>
              <c:f>sheet2!$AS$3</c:f>
            </c:strRef>
          </c:tx>
          <c:spPr>
            <a:solidFill>
              <a:srgbClr val="264653"/>
            </a:solidFill>
            <a:ln cmpd="sng">
              <a:solidFill>
                <a:srgbClr val="000000"/>
              </a:solidFill>
            </a:ln>
          </c:spPr>
          <c:cat>
            <c:strRef>
              <c:f>sheet2!$AT$2:$AZ$2</c:f>
            </c:strRef>
          </c:cat>
          <c:val>
            <c:numRef>
              <c:f>sheet2!$AT$3:$AZ$3</c:f>
              <c:numCache/>
            </c:numRef>
          </c:val>
        </c:ser>
        <c:ser>
          <c:idx val="1"/>
          <c:order val="1"/>
          <c:tx>
            <c:strRef>
              <c:f>sheet2!$AS$4</c:f>
            </c:strRef>
          </c:tx>
          <c:spPr>
            <a:solidFill>
              <a:srgbClr val="287271"/>
            </a:solidFill>
            <a:ln cmpd="sng">
              <a:solidFill>
                <a:srgbClr val="000000"/>
              </a:solidFill>
            </a:ln>
          </c:spPr>
          <c:cat>
            <c:strRef>
              <c:f>sheet2!$AT$2:$AZ$2</c:f>
            </c:strRef>
          </c:cat>
          <c:val>
            <c:numRef>
              <c:f>sheet2!$AT$4:$AZ$4</c:f>
              <c:numCache/>
            </c:numRef>
          </c:val>
        </c:ser>
        <c:ser>
          <c:idx val="2"/>
          <c:order val="2"/>
          <c:tx>
            <c:strRef>
              <c:f>sheet2!$AS$5</c:f>
            </c:strRef>
          </c:tx>
          <c:spPr>
            <a:solidFill>
              <a:srgbClr val="2A9D8F"/>
            </a:solidFill>
            <a:ln cmpd="sng">
              <a:solidFill>
                <a:srgbClr val="000000"/>
              </a:solidFill>
            </a:ln>
          </c:spPr>
          <c:cat>
            <c:strRef>
              <c:f>sheet2!$AT$2:$AZ$2</c:f>
            </c:strRef>
          </c:cat>
          <c:val>
            <c:numRef>
              <c:f>sheet2!$AT$5:$AZ$5</c:f>
              <c:numCache/>
            </c:numRef>
          </c:val>
        </c:ser>
        <c:ser>
          <c:idx val="3"/>
          <c:order val="3"/>
          <c:tx>
            <c:strRef>
              <c:f>sheet2!$AS$6</c:f>
            </c:strRef>
          </c:tx>
          <c:spPr>
            <a:solidFill>
              <a:srgbClr val="8AB17D"/>
            </a:solidFill>
            <a:ln cmpd="sng">
              <a:solidFill>
                <a:srgbClr val="000000"/>
              </a:solidFill>
            </a:ln>
          </c:spPr>
          <c:cat>
            <c:strRef>
              <c:f>sheet2!$AT$2:$AZ$2</c:f>
            </c:strRef>
          </c:cat>
          <c:val>
            <c:numRef>
              <c:f>sheet2!$AT$6:$AZ$6</c:f>
              <c:numCache/>
            </c:numRef>
          </c:val>
        </c:ser>
        <c:ser>
          <c:idx val="4"/>
          <c:order val="4"/>
          <c:tx>
            <c:strRef>
              <c:f>sheet2!$AS$7</c:f>
            </c:strRef>
          </c:tx>
          <c:spPr>
            <a:solidFill>
              <a:srgbClr val="E9C46A"/>
            </a:solidFill>
            <a:ln cmpd="sng">
              <a:solidFill>
                <a:srgbClr val="000000"/>
              </a:solidFill>
            </a:ln>
          </c:spPr>
          <c:cat>
            <c:strRef>
              <c:f>sheet2!$AT$2:$AZ$2</c:f>
            </c:strRef>
          </c:cat>
          <c:val>
            <c:numRef>
              <c:f>sheet2!$AT$7:$AZ$7</c:f>
              <c:numCache/>
            </c:numRef>
          </c:val>
        </c:ser>
        <c:ser>
          <c:idx val="5"/>
          <c:order val="5"/>
          <c:tx>
            <c:strRef>
              <c:f>sheet2!$AS$8</c:f>
            </c:strRef>
          </c:tx>
          <c:spPr>
            <a:solidFill>
              <a:srgbClr val="F4A261"/>
            </a:solidFill>
            <a:ln cmpd="sng">
              <a:solidFill>
                <a:srgbClr val="000000"/>
              </a:solidFill>
            </a:ln>
          </c:spPr>
          <c:dPt>
            <c:idx val="5"/>
          </c:dPt>
          <c:cat>
            <c:strRef>
              <c:f>sheet2!$AT$2:$AZ$2</c:f>
            </c:strRef>
          </c:cat>
          <c:val>
            <c:numRef>
              <c:f>sheet2!$AT$8:$AZ$8</c:f>
              <c:numCache/>
            </c:numRef>
          </c:val>
        </c:ser>
        <c:overlap val="100"/>
        <c:axId val="2104093189"/>
        <c:axId val="745471464"/>
      </c:barChart>
      <c:catAx>
        <c:axId val="21040931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sz="1400">
                <a:solidFill>
                  <a:srgbClr val="000000"/>
                </a:solidFill>
                <a:latin typeface="+mn-lt"/>
              </a:defRPr>
            </a:pPr>
          </a:p>
        </c:txPr>
        <c:crossAx val="745471464"/>
      </c:catAx>
      <c:valAx>
        <c:axId val="7454714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sz="1400">
                <a:solidFill>
                  <a:srgbClr val="000000"/>
                </a:solidFill>
                <a:latin typeface="+mn-lt"/>
              </a:defRPr>
            </a:pPr>
          </a:p>
        </c:txPr>
        <c:crossAx val="2104093189"/>
      </c:valAx>
    </c:plotArea>
    <c:legend>
      <c:legendPos val="b"/>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grouping val="stacked"/>
        <c:ser>
          <c:idx val="0"/>
          <c:order val="0"/>
          <c:tx>
            <c:strRef>
              <c:f>backupsheet2!$AA$3</c:f>
            </c:strRef>
          </c:tx>
          <c:spPr>
            <a:solidFill>
              <a:srgbClr val="264653"/>
            </a:solidFill>
            <a:ln cmpd="sng">
              <a:solidFill>
                <a:srgbClr val="000000"/>
              </a:solidFill>
            </a:ln>
          </c:spPr>
          <c:cat>
            <c:strRef>
              <c:f>backupsheet2!$AB$2:$AH$2</c:f>
            </c:strRef>
          </c:cat>
          <c:val>
            <c:numRef>
              <c:f>backupsheet2!$AB$3:$AH$3</c:f>
              <c:numCache/>
            </c:numRef>
          </c:val>
        </c:ser>
        <c:ser>
          <c:idx val="1"/>
          <c:order val="1"/>
          <c:tx>
            <c:strRef>
              <c:f>backupsheet2!$AA$4</c:f>
            </c:strRef>
          </c:tx>
          <c:spPr>
            <a:solidFill>
              <a:srgbClr val="287271"/>
            </a:solidFill>
            <a:ln cmpd="sng">
              <a:solidFill>
                <a:srgbClr val="000000"/>
              </a:solidFill>
            </a:ln>
          </c:spPr>
          <c:cat>
            <c:strRef>
              <c:f>backupsheet2!$AB$2:$AH$2</c:f>
            </c:strRef>
          </c:cat>
          <c:val>
            <c:numRef>
              <c:f>backupsheet2!$AB$4:$AH$4</c:f>
              <c:numCache/>
            </c:numRef>
          </c:val>
        </c:ser>
        <c:ser>
          <c:idx val="2"/>
          <c:order val="2"/>
          <c:tx>
            <c:strRef>
              <c:f>backupsheet2!$AA$5</c:f>
            </c:strRef>
          </c:tx>
          <c:spPr>
            <a:solidFill>
              <a:srgbClr val="2A9D8F"/>
            </a:solidFill>
            <a:ln cmpd="sng">
              <a:solidFill>
                <a:srgbClr val="000000"/>
              </a:solidFill>
            </a:ln>
          </c:spPr>
          <c:cat>
            <c:strRef>
              <c:f>backupsheet2!$AB$2:$AH$2</c:f>
            </c:strRef>
          </c:cat>
          <c:val>
            <c:numRef>
              <c:f>backupsheet2!$AB$5:$AH$5</c:f>
              <c:numCache/>
            </c:numRef>
          </c:val>
        </c:ser>
        <c:ser>
          <c:idx val="3"/>
          <c:order val="3"/>
          <c:tx>
            <c:strRef>
              <c:f>backupsheet2!$AA$6</c:f>
            </c:strRef>
          </c:tx>
          <c:spPr>
            <a:solidFill>
              <a:srgbClr val="8AB17D"/>
            </a:solidFill>
            <a:ln cmpd="sng">
              <a:solidFill>
                <a:srgbClr val="000000"/>
              </a:solidFill>
            </a:ln>
          </c:spPr>
          <c:cat>
            <c:strRef>
              <c:f>backupsheet2!$AB$2:$AH$2</c:f>
            </c:strRef>
          </c:cat>
          <c:val>
            <c:numRef>
              <c:f>backupsheet2!$AB$6:$AH$6</c:f>
              <c:numCache/>
            </c:numRef>
          </c:val>
        </c:ser>
        <c:ser>
          <c:idx val="4"/>
          <c:order val="4"/>
          <c:tx>
            <c:strRef>
              <c:f>backupsheet2!$AA$7</c:f>
            </c:strRef>
          </c:tx>
          <c:spPr>
            <a:solidFill>
              <a:srgbClr val="E9C46A"/>
            </a:solidFill>
            <a:ln cmpd="sng">
              <a:solidFill>
                <a:srgbClr val="000000"/>
              </a:solidFill>
            </a:ln>
          </c:spPr>
          <c:cat>
            <c:strRef>
              <c:f>backupsheet2!$AB$2:$AH$2</c:f>
            </c:strRef>
          </c:cat>
          <c:val>
            <c:numRef>
              <c:f>backupsheet2!$AB$7:$AH$7</c:f>
              <c:numCache/>
            </c:numRef>
          </c:val>
        </c:ser>
        <c:ser>
          <c:idx val="5"/>
          <c:order val="5"/>
          <c:tx>
            <c:strRef>
              <c:f>backupsheet2!$AA$8</c:f>
            </c:strRef>
          </c:tx>
          <c:spPr>
            <a:solidFill>
              <a:srgbClr val="F4A261"/>
            </a:solidFill>
            <a:ln cmpd="sng">
              <a:solidFill>
                <a:srgbClr val="000000"/>
              </a:solidFill>
            </a:ln>
          </c:spPr>
          <c:dPt>
            <c:idx val="5"/>
          </c:dPt>
          <c:cat>
            <c:strRef>
              <c:f>backupsheet2!$AB$2:$AH$2</c:f>
            </c:strRef>
          </c:cat>
          <c:val>
            <c:numRef>
              <c:f>backupsheet2!$AB$8:$AH$8</c:f>
              <c:numCache/>
            </c:numRef>
          </c:val>
        </c:ser>
        <c:ser>
          <c:idx val="6"/>
          <c:order val="6"/>
          <c:tx>
            <c:strRef>
              <c:f>backupsheet2!$AA$9</c:f>
            </c:strRef>
          </c:tx>
          <c:spPr>
            <a:solidFill>
              <a:srgbClr val="E76F51"/>
            </a:solidFill>
            <a:ln cmpd="sng">
              <a:solidFill>
                <a:srgbClr val="000000"/>
              </a:solidFill>
            </a:ln>
          </c:spPr>
          <c:cat>
            <c:strRef>
              <c:f>backupsheet2!$AB$2:$AH$2</c:f>
            </c:strRef>
          </c:cat>
          <c:val>
            <c:numRef>
              <c:f>backupsheet2!$AB$9:$AH$9</c:f>
              <c:numCache/>
            </c:numRef>
          </c:val>
        </c:ser>
        <c:overlap val="100"/>
        <c:axId val="219746289"/>
        <c:axId val="1176316450"/>
      </c:barChart>
      <c:catAx>
        <c:axId val="2197462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sz="1400">
                <a:solidFill>
                  <a:srgbClr val="000000"/>
                </a:solidFill>
                <a:latin typeface="+mn-lt"/>
              </a:defRPr>
            </a:pPr>
          </a:p>
        </c:txPr>
        <c:crossAx val="1176316450"/>
      </c:catAx>
      <c:valAx>
        <c:axId val="11763164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sz="1400">
                <a:solidFill>
                  <a:srgbClr val="000000"/>
                </a:solidFill>
                <a:latin typeface="+mn-lt"/>
              </a:defRPr>
            </a:pPr>
          </a:p>
        </c:txPr>
        <c:crossAx val="219746289"/>
      </c:valAx>
    </c:plotArea>
    <c:legend>
      <c:legendPos val="b"/>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grouping val="stacked"/>
        <c:ser>
          <c:idx val="0"/>
          <c:order val="0"/>
          <c:tx>
            <c:strRef>
              <c:f>backupsheet2!$AS$3</c:f>
            </c:strRef>
          </c:tx>
          <c:spPr>
            <a:solidFill>
              <a:srgbClr val="264653"/>
            </a:solidFill>
            <a:ln cmpd="sng">
              <a:solidFill>
                <a:srgbClr val="000000"/>
              </a:solidFill>
            </a:ln>
          </c:spPr>
          <c:cat>
            <c:strRef>
              <c:f>backupsheet2!$AT$2:$AZ$2</c:f>
            </c:strRef>
          </c:cat>
          <c:val>
            <c:numRef>
              <c:f>backupsheet2!$AT$3:$AZ$3</c:f>
              <c:numCache/>
            </c:numRef>
          </c:val>
        </c:ser>
        <c:ser>
          <c:idx val="1"/>
          <c:order val="1"/>
          <c:tx>
            <c:strRef>
              <c:f>backupsheet2!$AS$4</c:f>
            </c:strRef>
          </c:tx>
          <c:spPr>
            <a:solidFill>
              <a:srgbClr val="287271"/>
            </a:solidFill>
            <a:ln cmpd="sng">
              <a:solidFill>
                <a:srgbClr val="000000"/>
              </a:solidFill>
            </a:ln>
          </c:spPr>
          <c:cat>
            <c:strRef>
              <c:f>backupsheet2!$AT$2:$AZ$2</c:f>
            </c:strRef>
          </c:cat>
          <c:val>
            <c:numRef>
              <c:f>backupsheet2!$AT$4:$AZ$4</c:f>
              <c:numCache/>
            </c:numRef>
          </c:val>
        </c:ser>
        <c:ser>
          <c:idx val="2"/>
          <c:order val="2"/>
          <c:tx>
            <c:strRef>
              <c:f>backupsheet2!$AS$5</c:f>
            </c:strRef>
          </c:tx>
          <c:spPr>
            <a:solidFill>
              <a:srgbClr val="2A9D8F"/>
            </a:solidFill>
            <a:ln cmpd="sng">
              <a:solidFill>
                <a:srgbClr val="000000"/>
              </a:solidFill>
            </a:ln>
          </c:spPr>
          <c:cat>
            <c:strRef>
              <c:f>backupsheet2!$AT$2:$AZ$2</c:f>
            </c:strRef>
          </c:cat>
          <c:val>
            <c:numRef>
              <c:f>backupsheet2!$AT$5:$AZ$5</c:f>
              <c:numCache/>
            </c:numRef>
          </c:val>
        </c:ser>
        <c:ser>
          <c:idx val="3"/>
          <c:order val="3"/>
          <c:tx>
            <c:strRef>
              <c:f>backupsheet2!$AS$6</c:f>
            </c:strRef>
          </c:tx>
          <c:spPr>
            <a:solidFill>
              <a:srgbClr val="8AB17D"/>
            </a:solidFill>
            <a:ln cmpd="sng">
              <a:solidFill>
                <a:srgbClr val="000000"/>
              </a:solidFill>
            </a:ln>
          </c:spPr>
          <c:cat>
            <c:strRef>
              <c:f>backupsheet2!$AT$2:$AZ$2</c:f>
            </c:strRef>
          </c:cat>
          <c:val>
            <c:numRef>
              <c:f>backupsheet2!$AT$6:$AZ$6</c:f>
              <c:numCache/>
            </c:numRef>
          </c:val>
        </c:ser>
        <c:ser>
          <c:idx val="4"/>
          <c:order val="4"/>
          <c:tx>
            <c:strRef>
              <c:f>backupsheet2!$AS$7</c:f>
            </c:strRef>
          </c:tx>
          <c:spPr>
            <a:solidFill>
              <a:srgbClr val="E9C46A"/>
            </a:solidFill>
            <a:ln cmpd="sng">
              <a:solidFill>
                <a:srgbClr val="000000"/>
              </a:solidFill>
            </a:ln>
          </c:spPr>
          <c:cat>
            <c:strRef>
              <c:f>backupsheet2!$AT$2:$AZ$2</c:f>
            </c:strRef>
          </c:cat>
          <c:val>
            <c:numRef>
              <c:f>backupsheet2!$AT$7:$AZ$7</c:f>
              <c:numCache/>
            </c:numRef>
          </c:val>
        </c:ser>
        <c:ser>
          <c:idx val="5"/>
          <c:order val="5"/>
          <c:tx>
            <c:strRef>
              <c:f>backupsheet2!$AS$8</c:f>
            </c:strRef>
          </c:tx>
          <c:spPr>
            <a:solidFill>
              <a:srgbClr val="F4A261"/>
            </a:solidFill>
            <a:ln cmpd="sng">
              <a:solidFill>
                <a:srgbClr val="000000"/>
              </a:solidFill>
            </a:ln>
          </c:spPr>
          <c:dPt>
            <c:idx val="5"/>
          </c:dPt>
          <c:cat>
            <c:strRef>
              <c:f>backupsheet2!$AT$2:$AZ$2</c:f>
            </c:strRef>
          </c:cat>
          <c:val>
            <c:numRef>
              <c:f>backupsheet2!$AT$8:$AZ$8</c:f>
              <c:numCache/>
            </c:numRef>
          </c:val>
        </c:ser>
        <c:ser>
          <c:idx val="6"/>
          <c:order val="6"/>
          <c:tx>
            <c:strRef>
              <c:f>backupsheet2!$AS$9</c:f>
            </c:strRef>
          </c:tx>
          <c:spPr>
            <a:solidFill>
              <a:srgbClr val="E76F51"/>
            </a:solidFill>
            <a:ln cmpd="sng">
              <a:solidFill>
                <a:srgbClr val="000000"/>
              </a:solidFill>
            </a:ln>
          </c:spPr>
          <c:cat>
            <c:strRef>
              <c:f>backupsheet2!$AT$2:$AZ$2</c:f>
            </c:strRef>
          </c:cat>
          <c:val>
            <c:numRef>
              <c:f>backupsheet2!$AT$9:$AZ$9</c:f>
              <c:numCache/>
            </c:numRef>
          </c:val>
        </c:ser>
        <c:overlap val="100"/>
        <c:axId val="2124910567"/>
        <c:axId val="1708032895"/>
      </c:barChart>
      <c:catAx>
        <c:axId val="21249105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sz="1400">
                <a:solidFill>
                  <a:srgbClr val="000000"/>
                </a:solidFill>
                <a:latin typeface="+mn-lt"/>
              </a:defRPr>
            </a:pPr>
          </a:p>
        </c:txPr>
        <c:crossAx val="1708032895"/>
      </c:catAx>
      <c:valAx>
        <c:axId val="17080328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sz="1400">
                <a:solidFill>
                  <a:srgbClr val="000000"/>
                </a:solidFill>
                <a:latin typeface="+mn-lt"/>
              </a:defRPr>
            </a:pPr>
          </a:p>
        </c:txPr>
        <c:crossAx val="2124910567"/>
      </c:valAx>
    </c:plotArea>
    <c:legend>
      <c:legendPos val="b"/>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grouping val="stacked"/>
        <c:ser>
          <c:idx val="0"/>
          <c:order val="0"/>
          <c:tx>
            <c:strRef>
              <c:f>'Copy of sheet2'!$W$4</c:f>
            </c:strRef>
          </c:tx>
          <c:spPr>
            <a:solidFill>
              <a:srgbClr val="264653"/>
            </a:solidFill>
            <a:ln cmpd="sng">
              <a:solidFill>
                <a:srgbClr val="000000"/>
              </a:solidFill>
            </a:ln>
          </c:spPr>
          <c:cat>
            <c:strRef>
              <c:f>'Copy of sheet2'!$X$3:$AD$3</c:f>
            </c:strRef>
          </c:cat>
          <c:val>
            <c:numRef>
              <c:f>'Copy of sheet2'!$X$4:$AD$4</c:f>
              <c:numCache/>
            </c:numRef>
          </c:val>
        </c:ser>
        <c:ser>
          <c:idx val="1"/>
          <c:order val="1"/>
          <c:tx>
            <c:strRef>
              <c:f>'Copy of sheet2'!$W$5</c:f>
            </c:strRef>
          </c:tx>
          <c:spPr>
            <a:solidFill>
              <a:srgbClr val="287271"/>
            </a:solidFill>
            <a:ln cmpd="sng">
              <a:solidFill>
                <a:srgbClr val="000000"/>
              </a:solidFill>
            </a:ln>
          </c:spPr>
          <c:cat>
            <c:strRef>
              <c:f>'Copy of sheet2'!$X$3:$AD$3</c:f>
            </c:strRef>
          </c:cat>
          <c:val>
            <c:numRef>
              <c:f>'Copy of sheet2'!$X$5:$AD$5</c:f>
              <c:numCache/>
            </c:numRef>
          </c:val>
        </c:ser>
        <c:ser>
          <c:idx val="2"/>
          <c:order val="2"/>
          <c:tx>
            <c:strRef>
              <c:f>'Copy of sheet2'!$W$6</c:f>
            </c:strRef>
          </c:tx>
          <c:spPr>
            <a:solidFill>
              <a:srgbClr val="2A9D8F"/>
            </a:solidFill>
            <a:ln cmpd="sng">
              <a:solidFill>
                <a:srgbClr val="000000"/>
              </a:solidFill>
            </a:ln>
          </c:spPr>
          <c:cat>
            <c:strRef>
              <c:f>'Copy of sheet2'!$X$3:$AD$3</c:f>
            </c:strRef>
          </c:cat>
          <c:val>
            <c:numRef>
              <c:f>'Copy of sheet2'!$X$6:$AD$6</c:f>
              <c:numCache/>
            </c:numRef>
          </c:val>
        </c:ser>
        <c:ser>
          <c:idx val="3"/>
          <c:order val="3"/>
          <c:tx>
            <c:strRef>
              <c:f>'Copy of sheet2'!$W$7</c:f>
            </c:strRef>
          </c:tx>
          <c:spPr>
            <a:solidFill>
              <a:srgbClr val="8AB17D"/>
            </a:solidFill>
            <a:ln cmpd="sng">
              <a:solidFill>
                <a:srgbClr val="000000"/>
              </a:solidFill>
            </a:ln>
          </c:spPr>
          <c:cat>
            <c:strRef>
              <c:f>'Copy of sheet2'!$X$3:$AD$3</c:f>
            </c:strRef>
          </c:cat>
          <c:val>
            <c:numRef>
              <c:f>'Copy of sheet2'!$X$7:$AD$7</c:f>
              <c:numCache/>
            </c:numRef>
          </c:val>
        </c:ser>
        <c:ser>
          <c:idx val="4"/>
          <c:order val="4"/>
          <c:tx>
            <c:strRef>
              <c:f>'Copy of sheet2'!$W$8</c:f>
            </c:strRef>
          </c:tx>
          <c:spPr>
            <a:solidFill>
              <a:srgbClr val="E9C46A"/>
            </a:solidFill>
            <a:ln cmpd="sng">
              <a:solidFill>
                <a:srgbClr val="000000"/>
              </a:solidFill>
            </a:ln>
          </c:spPr>
          <c:cat>
            <c:strRef>
              <c:f>'Copy of sheet2'!$X$3:$AD$3</c:f>
            </c:strRef>
          </c:cat>
          <c:val>
            <c:numRef>
              <c:f>'Copy of sheet2'!$X$8:$AD$8</c:f>
              <c:numCache/>
            </c:numRef>
          </c:val>
        </c:ser>
        <c:ser>
          <c:idx val="5"/>
          <c:order val="5"/>
          <c:tx>
            <c:strRef>
              <c:f>'Copy of sheet2'!$W$9</c:f>
            </c:strRef>
          </c:tx>
          <c:spPr>
            <a:solidFill>
              <a:srgbClr val="F4A261"/>
            </a:solidFill>
            <a:ln cmpd="sng">
              <a:solidFill>
                <a:srgbClr val="000000"/>
              </a:solidFill>
            </a:ln>
          </c:spPr>
          <c:dPt>
            <c:idx val="5"/>
          </c:dPt>
          <c:cat>
            <c:strRef>
              <c:f>'Copy of sheet2'!$X$3:$AD$3</c:f>
            </c:strRef>
          </c:cat>
          <c:val>
            <c:numRef>
              <c:f>'Copy of sheet2'!$X$9:$AD$9</c:f>
              <c:numCache/>
            </c:numRef>
          </c:val>
        </c:ser>
        <c:ser>
          <c:idx val="6"/>
          <c:order val="6"/>
          <c:tx>
            <c:strRef>
              <c:f>'Copy of sheet2'!$W$10</c:f>
            </c:strRef>
          </c:tx>
          <c:spPr>
            <a:solidFill>
              <a:srgbClr val="E76F51"/>
            </a:solidFill>
            <a:ln cmpd="sng">
              <a:solidFill>
                <a:srgbClr val="000000"/>
              </a:solidFill>
            </a:ln>
          </c:spPr>
          <c:cat>
            <c:strRef>
              <c:f>'Copy of sheet2'!$X$3:$AD$3</c:f>
            </c:strRef>
          </c:cat>
          <c:val>
            <c:numRef>
              <c:f>'Copy of sheet2'!$X$10:$AD$10</c:f>
              <c:numCache/>
            </c:numRef>
          </c:val>
        </c:ser>
        <c:overlap val="100"/>
        <c:axId val="1557669817"/>
        <c:axId val="544636628"/>
      </c:barChart>
      <c:catAx>
        <c:axId val="15576698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sz="1400">
                <a:solidFill>
                  <a:srgbClr val="000000"/>
                </a:solidFill>
                <a:latin typeface="+mn-lt"/>
              </a:defRPr>
            </a:pPr>
          </a:p>
        </c:txPr>
        <c:crossAx val="544636628"/>
      </c:catAx>
      <c:valAx>
        <c:axId val="5446366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sz="1400">
                <a:solidFill>
                  <a:srgbClr val="000000"/>
                </a:solidFill>
                <a:latin typeface="+mn-lt"/>
              </a:defRPr>
            </a:pPr>
          </a:p>
        </c:txPr>
        <c:crossAx val="1557669817"/>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grouping val="stacked"/>
        <c:ser>
          <c:idx val="0"/>
          <c:order val="0"/>
          <c:tx>
            <c:strRef>
              <c:f>PROGRESS!$A$2</c:f>
            </c:strRef>
          </c:tx>
          <c:spPr>
            <a:solidFill>
              <a:srgbClr val="BD0F72"/>
            </a:solidFill>
            <a:ln cmpd="sng">
              <a:solidFill>
                <a:srgbClr val="000000"/>
              </a:solidFill>
            </a:ln>
          </c:spPr>
          <c:dPt>
            <c:idx val="2"/>
          </c:dPt>
          <c:dLbls>
            <c:numFmt formatCode="General" sourceLinked="1"/>
            <c:txPr>
              <a:bodyPr/>
              <a:lstStyle/>
              <a:p>
                <a:pPr lvl="0">
                  <a:defRPr sz="1200"/>
                </a:pPr>
              </a:p>
            </c:txPr>
            <c:showLegendKey val="0"/>
            <c:showVal val="1"/>
            <c:showCatName val="0"/>
            <c:showSerName val="0"/>
            <c:showPercent val="0"/>
            <c:showBubbleSize val="0"/>
          </c:dLbls>
          <c:cat>
            <c:strRef>
              <c:f>PROGRESS!$B$1:$I$1</c:f>
            </c:strRef>
          </c:cat>
          <c:val>
            <c:numRef>
              <c:f>PROGRESS!$B$2:$I$2</c:f>
              <c:numCache/>
            </c:numRef>
          </c:val>
        </c:ser>
        <c:ser>
          <c:idx val="1"/>
          <c:order val="1"/>
          <c:tx>
            <c:strRef>
              <c:f>PROGRESS!$A$3</c:f>
            </c:strRef>
          </c:tx>
          <c:spPr>
            <a:solidFill>
              <a:srgbClr val="FDC42D"/>
            </a:solidFill>
            <a:ln cmpd="sng">
              <a:solidFill>
                <a:srgbClr val="000000"/>
              </a:solidFill>
            </a:ln>
          </c:spPr>
          <c:dPt>
            <c:idx val="1"/>
          </c:dPt>
          <c:dLbls>
            <c:numFmt formatCode="General" sourceLinked="1"/>
            <c:txPr>
              <a:bodyPr/>
              <a:lstStyle/>
              <a:p>
                <a:pPr lvl="0">
                  <a:defRPr sz="1200"/>
                </a:pPr>
              </a:p>
            </c:txPr>
            <c:showLegendKey val="0"/>
            <c:showVal val="1"/>
            <c:showCatName val="0"/>
            <c:showSerName val="0"/>
            <c:showPercent val="0"/>
            <c:showBubbleSize val="0"/>
          </c:dLbls>
          <c:cat>
            <c:strRef>
              <c:f>PROGRESS!$B$1:$I$1</c:f>
            </c:strRef>
          </c:cat>
          <c:val>
            <c:numRef>
              <c:f>PROGRESS!$B$3:$I$3</c:f>
              <c:numCache/>
            </c:numRef>
          </c:val>
        </c:ser>
        <c:ser>
          <c:idx val="2"/>
          <c:order val="2"/>
          <c:tx>
            <c:strRef>
              <c:f>PROGRESS!$A$4</c:f>
            </c:strRef>
          </c:tx>
          <c:spPr>
            <a:solidFill>
              <a:srgbClr val="F3722C"/>
            </a:solidFill>
            <a:ln cmpd="sng">
              <a:solidFill>
                <a:srgbClr val="000000"/>
              </a:solidFill>
            </a:ln>
          </c:spPr>
          <c:dPt>
            <c:idx val="1"/>
          </c:dPt>
          <c:dPt>
            <c:idx val="6"/>
          </c:dPt>
          <c:dLbls>
            <c:numFmt formatCode="General" sourceLinked="1"/>
            <c:txPr>
              <a:bodyPr/>
              <a:lstStyle/>
              <a:p>
                <a:pPr lvl="0">
                  <a:defRPr sz="1200"/>
                </a:pPr>
              </a:p>
            </c:txPr>
            <c:showLegendKey val="0"/>
            <c:showVal val="1"/>
            <c:showCatName val="0"/>
            <c:showSerName val="0"/>
            <c:showPercent val="0"/>
            <c:showBubbleSize val="0"/>
          </c:dLbls>
          <c:cat>
            <c:strRef>
              <c:f>PROGRESS!$B$1:$I$1</c:f>
            </c:strRef>
          </c:cat>
          <c:val>
            <c:numRef>
              <c:f>PROGRESS!$B$4:$I$4</c:f>
              <c:numCache/>
            </c:numRef>
          </c:val>
        </c:ser>
        <c:ser>
          <c:idx val="3"/>
          <c:order val="3"/>
          <c:tx>
            <c:strRef>
              <c:f>PROGRESS!$A$5</c:f>
            </c:strRef>
          </c:tx>
          <c:spPr>
            <a:solidFill>
              <a:srgbClr val="007E87"/>
            </a:solidFill>
            <a:ln cmpd="sng">
              <a:solidFill>
                <a:srgbClr val="000000"/>
              </a:solidFill>
            </a:ln>
          </c:spPr>
          <c:dPt>
            <c:idx val="6"/>
          </c:dPt>
          <c:dLbls>
            <c:numFmt formatCode="General" sourceLinked="1"/>
            <c:txPr>
              <a:bodyPr/>
              <a:lstStyle/>
              <a:p>
                <a:pPr lvl="0">
                  <a:defRPr sz="1200"/>
                </a:pPr>
              </a:p>
            </c:txPr>
            <c:showLegendKey val="0"/>
            <c:showVal val="1"/>
            <c:showCatName val="0"/>
            <c:showSerName val="0"/>
            <c:showPercent val="0"/>
            <c:showBubbleSize val="0"/>
          </c:dLbls>
          <c:cat>
            <c:strRef>
              <c:f>PROGRESS!$B$1:$I$1</c:f>
            </c:strRef>
          </c:cat>
          <c:val>
            <c:numRef>
              <c:f>PROGRESS!$B$5:$I$5</c:f>
              <c:numCache/>
            </c:numRef>
          </c:val>
        </c:ser>
        <c:ser>
          <c:idx val="4"/>
          <c:order val="4"/>
          <c:tx>
            <c:strRef>
              <c:f>PROGRESS!$A$6</c:f>
            </c:strRef>
          </c:tx>
          <c:spPr>
            <a:solidFill>
              <a:srgbClr val="C1D3FE"/>
            </a:solidFill>
            <a:ln cmpd="sng">
              <a:solidFill>
                <a:srgbClr val="000000"/>
              </a:solidFill>
            </a:ln>
          </c:spPr>
          <c:dPt>
            <c:idx val="1"/>
          </c:dPt>
          <c:dPt>
            <c:idx val="5"/>
          </c:dPt>
          <c:dPt>
            <c:idx val="6"/>
          </c:dPt>
          <c:dLbls>
            <c:numFmt formatCode="General" sourceLinked="1"/>
            <c:txPr>
              <a:bodyPr/>
              <a:lstStyle/>
              <a:p>
                <a:pPr lvl="0">
                  <a:defRPr sz="1200"/>
                </a:pPr>
              </a:p>
            </c:txPr>
            <c:showLegendKey val="0"/>
            <c:showVal val="1"/>
            <c:showCatName val="0"/>
            <c:showSerName val="0"/>
            <c:showPercent val="0"/>
            <c:showBubbleSize val="0"/>
          </c:dLbls>
          <c:cat>
            <c:strRef>
              <c:f>PROGRESS!$B$1:$I$1</c:f>
            </c:strRef>
          </c:cat>
          <c:val>
            <c:numRef>
              <c:f>PROGRESS!$B$6:$I$6</c:f>
              <c:numCache/>
            </c:numRef>
          </c:val>
        </c:ser>
        <c:ser>
          <c:idx val="5"/>
          <c:order val="5"/>
          <c:tx>
            <c:strRef>
              <c:f>PROGRESS!$A$7</c:f>
            </c:strRef>
          </c:tx>
          <c:spPr>
            <a:solidFill>
              <a:srgbClr val="3C78D8"/>
            </a:solidFill>
            <a:ln cmpd="sng">
              <a:solidFill>
                <a:srgbClr val="000000"/>
              </a:solidFill>
            </a:ln>
          </c:spPr>
          <c:dPt>
            <c:idx val="1"/>
          </c:dPt>
          <c:dPt>
            <c:idx val="6"/>
          </c:dPt>
          <c:dLbls>
            <c:numFmt formatCode="General" sourceLinked="1"/>
            <c:txPr>
              <a:bodyPr/>
              <a:lstStyle/>
              <a:p>
                <a:pPr lvl="0">
                  <a:defRPr sz="1200"/>
                </a:pPr>
              </a:p>
            </c:txPr>
            <c:showLegendKey val="0"/>
            <c:showVal val="1"/>
            <c:showCatName val="0"/>
            <c:showSerName val="0"/>
            <c:showPercent val="0"/>
            <c:showBubbleSize val="0"/>
          </c:dLbls>
          <c:cat>
            <c:strRef>
              <c:f>PROGRESS!$B$1:$I$1</c:f>
            </c:strRef>
          </c:cat>
          <c:val>
            <c:numRef>
              <c:f>PROGRESS!$B$7:$I$7</c:f>
              <c:numCache/>
            </c:numRef>
          </c:val>
        </c:ser>
        <c:ser>
          <c:idx val="6"/>
          <c:order val="6"/>
          <c:tx>
            <c:strRef>
              <c:f>PROGRESS!$A$8</c:f>
            </c:strRef>
          </c:tx>
          <c:spPr>
            <a:solidFill>
              <a:srgbClr val="C27BA0"/>
            </a:solidFill>
            <a:ln cmpd="sng">
              <a:solidFill>
                <a:srgbClr val="000000"/>
              </a:solidFill>
            </a:ln>
          </c:spPr>
          <c:dPt>
            <c:idx val="1"/>
          </c:dPt>
          <c:dPt>
            <c:idx val="3"/>
          </c:dPt>
          <c:dPt>
            <c:idx val="6"/>
          </c:dPt>
          <c:dPt>
            <c:idx val="7"/>
          </c:dPt>
          <c:dLbls>
            <c:numFmt formatCode="General" sourceLinked="1"/>
            <c:txPr>
              <a:bodyPr/>
              <a:lstStyle/>
              <a:p>
                <a:pPr lvl="0">
                  <a:defRPr sz="1200"/>
                </a:pPr>
              </a:p>
            </c:txPr>
            <c:showLegendKey val="0"/>
            <c:showVal val="1"/>
            <c:showCatName val="0"/>
            <c:showSerName val="0"/>
            <c:showPercent val="0"/>
            <c:showBubbleSize val="0"/>
          </c:dLbls>
          <c:cat>
            <c:strRef>
              <c:f>PROGRESS!$B$1:$I$1</c:f>
            </c:strRef>
          </c:cat>
          <c:val>
            <c:numRef>
              <c:f>PROGRESS!$B$8:$I$8</c:f>
              <c:numCache/>
            </c:numRef>
          </c:val>
        </c:ser>
        <c:overlap val="100"/>
        <c:axId val="1519315420"/>
        <c:axId val="2055399414"/>
      </c:barChart>
      <c:catAx>
        <c:axId val="1519315420"/>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sz="1400">
                <a:solidFill>
                  <a:srgbClr val="000000"/>
                </a:solidFill>
                <a:latin typeface="+mn-lt"/>
              </a:defRPr>
            </a:pPr>
          </a:p>
        </c:txPr>
        <c:crossAx val="2055399414"/>
      </c:catAx>
      <c:valAx>
        <c:axId val="205539941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9315420"/>
        <c:crosses val="max"/>
      </c:valAx>
    </c:plotArea>
    <c:legend>
      <c:legendPos val="b"/>
      <c:overlay val="0"/>
      <c:txPr>
        <a:bodyPr/>
        <a:lstStyle/>
        <a:p>
          <a:pPr lvl="0">
            <a:defRPr b="0" sz="140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190500</xdr:colOff>
      <xdr:row>19</xdr:row>
      <xdr:rowOff>190500</xdr:rowOff>
    </xdr:from>
    <xdr:ext cx="3924300" cy="24288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0</xdr:colOff>
      <xdr:row>10</xdr:row>
      <xdr:rowOff>0</xdr:rowOff>
    </xdr:from>
    <xdr:ext cx="5019675" cy="10191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25</xdr:col>
      <xdr:colOff>714375</xdr:colOff>
      <xdr:row>12</xdr:row>
      <xdr:rowOff>19050</xdr:rowOff>
    </xdr:from>
    <xdr:ext cx="5391150" cy="339090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44</xdr:col>
      <xdr:colOff>76200</xdr:colOff>
      <xdr:row>12</xdr:row>
      <xdr:rowOff>19050</xdr:rowOff>
    </xdr:from>
    <xdr:ext cx="5276850" cy="3390900"/>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25</xdr:col>
      <xdr:colOff>714375</xdr:colOff>
      <xdr:row>12</xdr:row>
      <xdr:rowOff>19050</xdr:rowOff>
    </xdr:from>
    <xdr:ext cx="5391150" cy="3390900"/>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44</xdr:col>
      <xdr:colOff>76200</xdr:colOff>
      <xdr:row>12</xdr:row>
      <xdr:rowOff>19050</xdr:rowOff>
    </xdr:from>
    <xdr:ext cx="5276850" cy="3390900"/>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200025</xdr:colOff>
      <xdr:row>12</xdr:row>
      <xdr:rowOff>161925</xdr:rowOff>
    </xdr:from>
    <xdr:ext cx="5133975" cy="3390900"/>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xdr:colOff>
      <xdr:row>10</xdr:row>
      <xdr:rowOff>85725</xdr:rowOff>
    </xdr:from>
    <xdr:ext cx="12011025" cy="3533775"/>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Hao Anh" id="{433a9f2b-6c29-4164-8501-07124125042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V523" sheet="ATTENDANCE_INPUT"/>
  </cacheSource>
  <cacheFields>
    <cacheField name="Emp Code">
      <sharedItems containsMixedTypes="1" containsNumber="1" containsInteger="1">
        <s v="173230"/>
        <s v="143079"/>
        <s v="227122"/>
        <s v="237050"/>
        <s v="227148"/>
        <s v="227155"/>
        <s v="247300"/>
        <s v="247196"/>
        <s v="247200"/>
        <s v="247156"/>
        <s v="247192"/>
        <s v="247195"/>
        <s v="193547"/>
        <s v="247199"/>
        <s v="247265"/>
        <s v="247264"/>
        <s v="247415"/>
        <s v="247405"/>
        <s v="247360"/>
        <s v="193479"/>
        <s v="213811"/>
        <s v="183431"/>
        <s v="193499"/>
        <s v="227141"/>
        <s v="193529"/>
        <s v="183427"/>
        <s v="237130"/>
        <s v="237097"/>
        <s v="227160"/>
        <s v="193447"/>
        <s v="247187"/>
        <s v="237182"/>
        <s v="227092"/>
        <s v="247026"/>
        <s v="237043"/>
        <s v="183421"/>
        <s v="193548"/>
        <s v="247389"/>
        <s v="227183"/>
        <s v="247390"/>
        <s v="247190"/>
        <s v="247198"/>
        <s v="203759"/>
        <s v="247191"/>
        <s v="247388"/>
        <s v="213891"/>
        <s v="237117"/>
        <s v="203780"/>
        <s v="247313"/>
        <s v="193523"/>
        <s v="193526"/>
        <s v="237161"/>
        <s v="173272"/>
        <s v="237008"/>
        <s v="237206"/>
        <s v="203790"/>
        <s v="237158"/>
        <s v="247043"/>
        <s v="237207"/>
        <s v="247037"/>
        <s v="247184"/>
        <s v="247161"/>
        <s v="247080"/>
        <s v="247078"/>
        <s v="247106"/>
        <s v="247207"/>
        <s v="247038"/>
        <s v="247260"/>
        <s v="247079"/>
        <s v="237222"/>
        <s v="237227"/>
        <s v="237235"/>
        <s v="237238"/>
        <s v="237169"/>
        <s v="227153"/>
        <s v="247379"/>
        <s v="213893"/>
        <s v="227244"/>
        <s v="183422"/>
        <s v="213936"/>
        <s v="193516"/>
        <s v="247234"/>
        <s v="193443"/>
        <s v="193451"/>
        <s v="193633"/>
        <s v="213938"/>
        <n v="213820.0"/>
        <s v="213856"/>
        <s v="227130"/>
        <s v="247185"/>
        <s v="227177"/>
        <s v="247163"/>
        <s v="247384"/>
        <s v="237237"/>
        <s v="213895"/>
        <s v="213991"/>
        <s v="247036"/>
        <s v="247127"/>
        <s v="247076"/>
        <s v="212007"/>
        <s v="242009"/>
        <s v="232002"/>
        <s v="222010"/>
        <s v="242001"/>
        <s v="222014"/>
        <s v="242006"/>
        <s v="242003"/>
        <s v="227023"/>
        <s v="247357"/>
        <s v="183440"/>
        <s v="183432"/>
        <s v="227024"/>
        <s v="183400"/>
        <s v="227032"/>
        <s v="173286"/>
        <s v="193519"/>
        <s v="213810"/>
        <s v="213954"/>
        <s v="193579"/>
        <s v="213974"/>
        <s v="227112"/>
        <s v="237056"/>
        <s v="247183"/>
        <s v="237230"/>
        <s v="247377"/>
        <s v="247412"/>
        <s v="247358"/>
        <s v="193534"/>
        <s v="227047"/>
        <s v="133051"/>
        <s v="227080"/>
        <s v="227048"/>
        <s v="227064"/>
        <s v="203693"/>
        <s v="183340"/>
        <s v="163188"/>
        <s v="237157"/>
        <s v="227035"/>
        <s v="247203"/>
        <s v="237196"/>
        <s v="213835"/>
        <s v="213901"/>
        <s v="227081"/>
        <s v="247332"/>
        <s v="193613"/>
        <s v="247097"/>
        <s v="247085"/>
        <s v="247086"/>
        <s v="203765"/>
        <s v="247225"/>
        <s v="247378"/>
        <s v="213947"/>
        <s v="247245"/>
        <s v="213876"/>
        <s v="247359"/>
        <s v="247298"/>
        <s v="237061"/>
        <s v="227008"/>
        <s v="227069"/>
        <s v="237246"/>
        <s v="227144"/>
        <s v="237245"/>
        <s v="227188"/>
        <s v="237226"/>
        <s v="193584"/>
        <s v="213929"/>
        <s v="227058"/>
        <s v="227214"/>
        <s v="247083"/>
        <s v="247178"/>
        <s v="143084"/>
        <s v="237006"/>
        <s v="227200"/>
        <s v="143071"/>
        <s v="227225"/>
        <s v="193544"/>
        <s v="227240"/>
        <s v="247230"/>
        <s v="227224"/>
        <s v="247114"/>
        <s v="237023"/>
        <s v="227170"/>
        <s v="183324"/>
        <s v="227125"/>
        <s v="183332"/>
        <s v="237049"/>
        <s v="227220"/>
        <s v="247122"/>
        <s v="247146"/>
        <s v="237101"/>
        <s v="247098"/>
        <s v="237156"/>
        <s v="247119"/>
        <s v="203764"/>
        <s v="193536"/>
        <s v="213975"/>
        <s v="213889"/>
        <s v="247054"/>
        <s v="213808"/>
        <s v="193588"/>
        <s v="193445"/>
        <s v="213815"/>
        <s v="113024"/>
        <s v="213914"/>
        <s v="213968"/>
        <s v="213861"/>
        <s v="213851"/>
        <s v="247223"/>
        <s v="213859"/>
        <s v="193632"/>
        <s v="247416"/>
        <s v="247263"/>
        <s v="247088"/>
        <s v="247262"/>
        <s v="227097"/>
        <s v="237147"/>
        <s v="203746"/>
        <s v="213863"/>
        <s v="213898"/>
        <s v="237183"/>
        <s v="213946"/>
        <s v="227104"/>
        <s v="213881"/>
        <s v="213854"/>
        <s v="213805"/>
        <s v="247172"/>
        <s v="173232"/>
        <s v="203701"/>
        <s v="213935"/>
        <s v="227063"/>
        <s v="213916"/>
        <s v="237110"/>
        <s v="213870"/>
        <s v="237160"/>
        <s v="183423"/>
        <s v="183322"/>
        <s v="173246"/>
        <s v="217001"/>
        <s v="247064"/>
        <s v="227091"/>
        <s v="193496"/>
        <s v="193490"/>
        <s v="173268"/>
        <s v="203748"/>
        <s v="257045"/>
        <s v="133067"/>
        <s v="227055"/>
        <s v="213857"/>
        <s v="173231"/>
        <s v="193607"/>
        <s v="153139"/>
        <s v="193550"/>
        <s v="247063"/>
        <s v="227218"/>
        <s v="247062"/>
        <s v="247147"/>
        <s v="247102"/>
        <s v="213844"/>
        <s v="153116"/>
        <s v="247082"/>
        <s v="237072"/>
        <s v="183330"/>
        <s v="237129"/>
        <s v="257036"/>
        <s v="227131"/>
        <s v="193620"/>
        <s v="163215"/>
        <s v="237035"/>
        <s v="203664"/>
        <s v="247065"/>
        <s v="183379"/>
        <s v="227101"/>
        <s v="193530"/>
        <s v="247423"/>
        <s v="257134"/>
        <s v="237239"/>
        <s v="227116"/>
        <s v="247413"/>
        <s v="183382"/>
        <s v="227103"/>
        <s v="237201"/>
        <s v="237103"/>
        <s v="193495"/>
        <s v="213817"/>
        <s v="257133"/>
        <s v="257132"/>
        <s v="193511"/>
      </sharedItems>
    </cacheField>
    <cacheField name="Full Name" numFmtId="0">
      <sharedItems>
        <s v="LÊ THỊ THU HIỀN"/>
        <s v="LÝ THỊ DIỄM MY"/>
        <s v="NGUYỄN THỊ NGỌC DUNG"/>
        <s v="TRẦN THỊ THANH NGA"/>
        <s v="TRẦN THỊ THÙY DUNG"/>
        <s v="VŨ TÚ ANH"/>
        <s v="ĐỖ CHÂU BỬU"/>
        <s v="ĐOÀN TRẦN BÁ ĐẠT"/>
        <s v="NGÔ TRỌNG NGHĨA"/>
        <s v="NGUYỄN VĂN HOÀNG"/>
        <s v="TRẦN ĐỨC LỢI"/>
        <s v="TRƯƠNG ĐĂNG QUANG"/>
        <s v="VĂN TÂN LỢI"/>
        <s v="VÕ PHÚ PHÁT"/>
        <s v="NGÔ THỤY THANH NHƯ"/>
        <s v="NGUYỄN NGỌC NGUYỆT NGÂN"/>
        <s v="NGUYỄN THỊ HIỀN NI"/>
        <s v="PHẠM LÊ HOÀI PHƯƠNG"/>
        <s v="PHAN HỮU CƯỜNG"/>
        <s v="BÙI NGỌC QUỐC"/>
        <s v="ĐẶNG QUỐC MẠNH"/>
        <s v="HOÀNG XUÂN MẪN"/>
        <s v="HUỲNH TUẤN KHANH"/>
        <s v="NGUYỄN ĐÔNG HỒ"/>
        <s v="NGUYỄN VĂN MẠNH CƯỜNG"/>
        <s v="PHAN CÔNG TOẠI"/>
        <s v="TRẦN KHANG"/>
        <s v="VÕ ĐỒNG ĐỨC DUY"/>
        <s v="LÊ THỊ LAN HƯƠNG"/>
        <s v="NGUYỄN ANH ĐỨC"/>
        <s v="NGUYỄN MINH THƯ"/>
        <s v="NGUYỄN TRỌNG BÌNH NGUYÊN"/>
        <s v="PHẠM THỊ BÍCH THÚY"/>
        <s v="ĐỖ HOÀNG MINH HUY"/>
        <s v="HUỲNH BỬU BỬU"/>
        <s v="NGUYỄN TẤT ĐẠT"/>
        <s v="NGUYỄN THIÊN ÂN"/>
        <s v="ĐINH TRƯƠNG THANH TUYỀN"/>
        <s v="ĐỖ VŨ GIA LONG"/>
        <s v="ĐOÀN KHÁNH NGUYÊN"/>
        <s v="HUỲNH NGUYÊN KHANG"/>
        <s v="NGUYỄN ĐỨC NHẬT"/>
        <s v="PHAN THẾ AN"/>
        <s v="TRẦN NGỌC PHƯỚC HOÀNG"/>
        <s v="TRANG KỲ ANH"/>
        <s v="VÕ DUY KIỆT"/>
        <s v="HUỲNH TẤN PHÁT"/>
        <s v="LÊ HOÀNG NGUYỄN"/>
        <s v="Nguyễn Hồng Mỹ"/>
        <s v="PHẠM HỮU TUẤN"/>
        <s v="TRẦN ĐÌNH CHIẾN"/>
        <s v="TRẦN VĂN HÀ"/>
        <s v="ĐÀO SỸ THỜI"/>
        <s v="LẠC MINH HOÀNG"/>
        <s v="LƯƠNG TRÀ VY"/>
        <s v="NGUYỄN QUANG TRUNG"/>
        <s v="NGUYỄN THÀNH PHI"/>
        <s v="NGUYỄN THỊ HỒNG ĐÀO"/>
        <s v="NGUYỄN THÙY GIANG"/>
        <s v="BÙI HUỲNH TRUNG TÍN"/>
        <s v="HOÀNG MINH DUY"/>
        <s v="HUỲNH NHẬT DUY"/>
        <s v="MAI THỊ THÙY TRANG"/>
        <s v="NGUYỄN CÔNG ĐOÀN"/>
        <s v="NGUYỄN KHÁNH UYÊN"/>
        <s v="NGUYỄN VĂN ĐỨC"/>
        <s v="TĂNG HOÀNG YẾN"/>
        <s v="TRẦN NHƯ TRÂM ANH"/>
        <s v="VÕ CAO TRÍ"/>
        <s v="ĐOÀN NHẬT QUANG"/>
        <s v="DƯƠNG HOÀNG LONG"/>
        <s v="HUỲNH TẤN LỘC"/>
        <s v="LẠI MINH HIẾU"/>
        <s v="LƯƠNG ANH TUẤN"/>
        <s v="NGUYỄN HOÀNG HẠ UYÊN"/>
        <s v="NGUYỄN HỮU NGHỊ"/>
        <s v="HOÀNG NGỌC THẲNG"/>
        <s v="HUỲNH PHÚC TRƯỜNG"/>
        <s v="LÊ TRẦN XUÂN LÃNH"/>
        <s v="NGUYỄN QUỐC TUẤN"/>
        <s v="TRẦN ANH DUY"/>
        <s v="TRẦN DƯƠNG HOÀN MỸ"/>
        <s v="LÝ THỊ BÉ XÍU"/>
        <s v="NGUYỄN CÔNG HẬU"/>
        <s v="Nguyen Hoai Nam"/>
        <s v="VŨ THANH THẢO"/>
        <s v="TRẦN THỊ NI NA"/>
        <s v="Chu Thị Lệ Quỳnh"/>
        <s v="HỒ MẠNH DŨNG"/>
        <s v="LÊ MINH DUY"/>
        <s v="NGUYỄN NGỌC HOÀNG BẢO TRÂN"/>
        <s v="TRẦN ĐÌNH AN"/>
        <s v="VÕ NGUYỄN DUY ANH"/>
        <s v="NGUYỄN ĐẶNG NGỌC MINH"/>
        <s v="NGUYỄN VĂN THÁI"/>
        <s v="ÔNG HOÀI THỊNH"/>
        <s v="PHẠM HỒ LƯỢNG"/>
        <s v="THÁI TRẦN HỒNG PHÚC"/>
        <s v="TRẦN THẾ ANH"/>
        <s v="BÙI MINH NHẬT"/>
        <s v="DƯƠNG THỊ HƯƠNG LAN"/>
        <s v="HOÀNG NHƯ QUỲNH"/>
        <s v="LÊ THỊ LAN ANH"/>
        <s v="NGUYỄN ĐẠT THỊNH"/>
        <s v="NGUYỄN THỊ THÙY TRANG"/>
        <s v="PHAN LÊ HỒNG LEL"/>
        <s v="TRẦN THỊ ÁNH NGUYỆT"/>
        <s v="HOÀNG NAM VƯƠNG"/>
        <s v="NGÔ MINH HIẾU"/>
        <s v="NGUYỄN HOÀNG GIANG"/>
        <s v="PHAN ĐÌNH MINH NHẬT"/>
        <s v="TRẦN QUỐC VIỆT"/>
        <s v="TRẦN THANH HIẾU"/>
        <s v="VŨ NHẬT MINH TRƯỜNG"/>
        <s v="LÊ ANH TIẾN"/>
        <s v="LƯƠNG MINH QUÂN"/>
        <s v="NGUYỄN MINH DUY"/>
        <s v="ĐOÀN QUANG TUẤN"/>
        <s v="ĐƯỜNG QUANG HUY"/>
        <s v="NGUYỄN QUÍ EM"/>
        <s v="TRẦN ĐỨC NAM"/>
        <s v="LÊ THỊ DIỄM QUYÊN"/>
        <s v="PHAN THU THẢO"/>
        <s v="TRẦN KIM HẰNG"/>
        <s v="TRẦN NHỰT TÂN"/>
        <s v="TRẦN QUANG TỐNG"/>
        <s v="TRẦN VĨNH PHÚC"/>
        <s v="LÊ HỒNG QUÂN"/>
        <s v="LÊ THANH SƠN"/>
        <s v="LÝ KHÁNH LONG"/>
        <s v="NGUYỄN BÁ PHI NHẬT"/>
        <s v="NGUYỄN LÝ KHÁNH HUY"/>
        <s v="PHÙNG ĐÌNH HUY"/>
        <s v="QUÁCH NHẬT TRUNG"/>
        <s v="TRƯƠNG TRUNG THIÊN"/>
        <s v="LƯƠNG CÔNG KỲ"/>
        <s v="NGUYỄN BÁ NGỌC"/>
        <s v="NGUYỄN NHẬT HÀO"/>
        <s v="PHAN HUY NHÂN"/>
        <s v="VÕ CHÍ THIỆN"/>
        <s v="ĐOÀN ANH MINH"/>
        <s v="HOÀNG TIẾN DŨNG"/>
        <s v="NGUYỄN HOÀNG PHÚC"/>
        <s v="NGUYỄN PHÚC THANH TOÀN"/>
        <s v="NGUYỄN THÀNH PHƯỚC"/>
        <s v="NGUYỄN TRẦN NGỌC HƯNG"/>
        <s v="THỚI PHI LONG"/>
        <s v="ĐỖ GIA KHÁNH"/>
        <s v="LÊ PHƯỚC THIỆN"/>
        <s v="NGUYỄN BẢO ĐẠT"/>
        <s v="NGUYỄN NGỌC PHƯƠNG NHI"/>
        <s v="THÁI NHẬT TÂN"/>
        <s v="TÔ DIỆP THIÊN ANH"/>
        <s v="HỒ HUỲNH THÔNG"/>
        <s v="NGUYỄN LÊ KHOA"/>
        <s v="NGUYỄN TẤN HUY"/>
        <s v="PHẠM ĐỨC ÁO"/>
        <s v="TÔ PHƯỚC THÁI"/>
        <s v="TRẦN HƯƠNG QUỲNH"/>
        <s v="TRẦN THỊ HOÀN MỸ"/>
        <s v="TỪ NGUYỄN MINH NHẬT"/>
        <s v="VÕ THỊ TUYẾT HỒNG"/>
        <s v="CHU KHÁNH LINH"/>
        <s v="LÂM VĂN TIẾN"/>
        <s v="LE MINH TRUONG"/>
        <s v="LE VAN DONG TAM"/>
        <s v="NGUYỄN PHAN THẾ VINH"/>
        <s v="NGUYỄN TRANG QUỲNH NHƯ"/>
        <s v="NGUYỄN TRÚC DUYÊN"/>
        <s v="PHAN QUỐC BÌNH"/>
        <s v="ĐỖ THANH TÙNG"/>
        <s v="LÊ CÔNG DUY"/>
        <s v="LÊ ĐẮC CƯỜNG"/>
        <s v="NGUYỄN PHI LONG"/>
        <s v="VŨ ANH THƯ"/>
        <s v="VŨ ANH TÚ"/>
        <s v="DƯƠNG LÊ XUÂN KHANG"/>
        <s v="HOÀNG ĐĂNG TRIỆU"/>
        <s v="NGUYỄN QUỐC DUY"/>
        <s v="NGUYỄN THỊ NGỌC LỮ"/>
        <s v="NGUYỄN TRẦN LỆ DUYÊN"/>
        <s v="PHẠM THỊ OANH THƠ"/>
        <s v="ĐẶNG QUỐC VIỆT"/>
        <s v="ĐOÀN QUỐC HẢI"/>
        <s v="NGUYỄN THẢO QUỲNH NHƯ"/>
        <s v="PHẠM NGỌC ANH DUYÊN"/>
        <s v="TRẦN THỊ YẾN"/>
        <s v="VÕ QUỐC THIÊN"/>
        <s v="VÕ THỊ THU HƯƠNG"/>
        <s v="NGUYỄN VĂN TÀI"/>
        <s v="PHẠM HOÀNG THÁI SƠN"/>
        <s v="PHẠM HUY HOÀNG"/>
        <s v="TRẦN MINH TRIẾT"/>
        <s v="LÊ MINH PHƯỚC"/>
        <s v="LÊ NHẬT LINH"/>
        <s v="LÊ TRIỆU HUẤN"/>
        <s v="NGUYỄN DOÃN NAM"/>
        <s v="PHẠM HỒNG THIÊN TÀI"/>
        <s v="HÀ TRẦN TUẤN ANH"/>
        <s v="HUỲNH THỊ BẢO YẾN"/>
        <s v="HUỲNH TRẦN HẢI LONG"/>
        <s v="LÊ VĂN SƠN"/>
        <s v="NGUYỄN TẤN PHÁT"/>
        <s v="NGUYỄN THỊ HOÀNG OANH"/>
        <s v="TRẦN QUANG ĐẠO"/>
        <s v="TRẦN THANH ĐIỀN"/>
        <s v="TRẦN XUÂN KHOA"/>
        <s v="LÂM THỊ YẾN NHI"/>
        <s v="NGUYỄN THÁI SƠN"/>
        <s v="NGUYỄN THỊ LOAN"/>
        <s v="NGUYỄN TRẦN HOÀI MỸ"/>
        <s v="NGUYỄN VĂN HÙNG"/>
        <s v="TÔN THÀNH AN"/>
        <s v="TRẦN MINH TRUNG"/>
        <s v="TRẦN THỊ HOÀI THƯƠNG"/>
        <s v="BẠCH NAM MINH TRÍ"/>
        <s v="ĐINH TIẾN ĐẠT"/>
        <s v="LÊ NGỌC TRUNG HIẾU"/>
        <s v="NGUYỄN LÊ HOÀNG VĂN"/>
        <s v="TRƯƠNG NHỰT MINH THƯ"/>
        <s v="VŨ THỊ HỒNG LIÊN"/>
        <s v="ĐẶNG GIA LỘC"/>
        <s v="LÊ NHẬT"/>
        <s v="NGUYỄN ĐỨC ANH"/>
        <s v="NGUYỄN MINH QUÂN"/>
        <s v="NGUYỄN QUANG ĐỨC"/>
        <s v="PHẠM MAI NHẬT"/>
        <s v="TRẦN NHỰT DUY"/>
        <s v="TRƯƠNG ĐÌNH ÁNH"/>
        <s v="VÕ CHÍ ĐẠI"/>
        <s v="Nguyễn Hữu Phước"/>
        <s v="Trần Quốc Hiệp"/>
        <s v="Trần Tuấn Kiệt"/>
        <s v="TRẦN VĨNH THUẬN"/>
        <s v="ĐÀO TRUNG HIẾU"/>
        <s v="LÊ THỊ HOÀNG KIM"/>
        <s v="NGUYỄN HỮU TRƯỜNG"/>
        <s v="NGUYỄN THỊ KIM OANH"/>
        <s v="NGUYỄN VŨ LUÂN"/>
        <s v="PHẠM NGUYỄN TRƯỜNG BẢO"/>
        <s v="PHAN GIA LỘC"/>
        <s v="PHÙNG QUANG THÀNH"/>
        <s v="LÂM MINH HOÀNG"/>
        <s v="NGUYỄN BẢO DUY"/>
        <s v="NGUYEN DUY PHU"/>
        <s v="NGUYỄN THÀNH NHÂN"/>
        <s v="NGUYỄN THANH TÙNG"/>
        <s v="NGUYỄN TRẦN MINH NGHĨA"/>
        <s v="NGUYEN TRUNG NGHIA"/>
        <s v="PHẠM TƯỜNG NHÂN"/>
        <s v="GIANG KHIẾT ĐÌNH"/>
        <s v="NGUYỄN HOÀNG BẢO TRÂN"/>
        <s v="NGUYỄN THẾ ANH"/>
        <s v="PHẠM LÊ QUỲNH HƯƠNG"/>
        <s v="TRẦN ĐỨC VINH"/>
        <s v="LÊ MINH HY"/>
        <s v="NGUYEN DUY PHONG"/>
        <s v="NGUYEN HUU DUY"/>
        <s v="NGUYỄN MINH LIÊN"/>
        <s v="NGUYỄN THỊ KIM TRANG"/>
        <s v="PHẠM HUỲNH TÂN"/>
        <s v="NGUYỄN PHÚC VINH"/>
        <s v="NGUYỄN TRƯƠNG BẢO QUYÊN"/>
        <s v="TRẦN THỊ HUỲNH NHƯ"/>
        <s v="VÕ THỊ HƯƠNG GIANG"/>
        <s v="Nguyễn Đặng Khương Duy (Dustin)"/>
        <s v="Nguyễn Hà Vi (V)"/>
        <s v="Phạm Ngọc Hưng (Zero)"/>
        <s v="Tạ Phạm Minh Chương (Chivas)"/>
        <s v="Tạ Thiên Phước (Noah)"/>
        <s v="Trần Hùng Cường (Ethan)"/>
        <s v="CHUNG QUANG PHƯƠNG"/>
        <s v="ĐINH QUỐC HUẤN"/>
        <s v="ĐỖ NGỌC THÀNH"/>
        <s v="LÊ THẾ PHƯƠNG"/>
        <s v="NGUYỄN ĐỨC TIẾN"/>
        <s v="NGUYỄN DUY PHÚ"/>
        <s v="NGUYỄN HUỲNH SƠN"/>
        <s v="NGUYỄN MINH QUANG"/>
        <s v="NGUYỄN THỊ THÙY LINH"/>
        <s v="THẠCH THÁI HUY"/>
        <s v="Bui Duy Tan"/>
        <s v="Le Thi Diem Phuong"/>
        <s v="Tran Thi Huyen Tran"/>
        <s v="Trang Duy Thông"/>
      </sharedItems>
    </cacheField>
    <cacheField name="Class Code" numFmtId="49">
      <sharedItems>
        <s v="EL001"/>
        <s v="EL002"/>
        <s v="EL003"/>
        <s v="EL004"/>
        <s v="EL005"/>
        <s v="EL006"/>
        <s v="EL007"/>
        <s v="EL008"/>
        <s v="EL009"/>
        <s v="EL010"/>
        <s v="EL011"/>
        <s v="EL012"/>
        <s v="EL013"/>
        <s v="EL014"/>
        <s v="EL015"/>
        <s v="EL016"/>
        <s v="EL017"/>
        <s v="EL018"/>
        <s v="EL019"/>
        <s v="EL020"/>
        <s v="EL021"/>
        <s v="EL022"/>
        <s v="EL023"/>
        <s v="EL024"/>
        <s v="EL025"/>
        <s v="EL026"/>
        <s v="EL027"/>
        <s v="EL028"/>
        <s v="EL029"/>
        <s v="EL030"/>
        <s v="EL031"/>
        <s v="EL032"/>
        <s v="EL033"/>
        <s v="EL034"/>
        <s v="EL035"/>
        <s v="EL037"/>
        <s v="EL038"/>
        <s v="EL039"/>
        <s v="EL040"/>
        <s v="EL041"/>
        <s v="EL042"/>
        <s v="EL043"/>
        <s v="EL044"/>
        <s v="EL045"/>
        <s v="EL049"/>
        <s v="EL050"/>
        <s v="EL051"/>
      </sharedItems>
    </cacheField>
    <cacheField name="PIC" numFmtId="49">
      <sharedItems>
        <s v="Anh Vu"/>
        <s v="Buu Do 1"/>
        <s v="Buu Do 2"/>
        <s v="Cuong Nguyen"/>
        <s v="Duc Nguyen"/>
        <s v="Dat Nguyen"/>
        <s v="Nhat Nguyen"/>
        <s v="Hung Nguyen"/>
        <s v="Huong Le"/>
        <s v="Huy Tran 1"/>
        <s v="Huy Tran 2"/>
        <s v="Huyen Vo"/>
        <s v="Lanh Le"/>
        <s v="Thao Vu 1"/>
        <s v="Thao Vu 2"/>
        <s v="Minh Nguyen"/>
        <s v="Nhat Bui"/>
        <s v="Nhat Phan 1"/>
        <s v="Nhat Phan 2"/>
        <s v="Qui Em"/>
        <s v="Tan Tran"/>
        <s v="Thien Truong"/>
        <s v="Ky Luong"/>
        <s v="Dung Hoang"/>
        <s v="Anh To"/>
        <s v="My Tran"/>
        <s v="Vinh Nguyen"/>
        <s v="Yen Tran 1"/>
        <s v="Yen Tran 2"/>
        <s v="Yen Tran 3"/>
        <s v="Tai Nguyen"/>
        <s v="Tai Pham"/>
        <s v="Anh Ha"/>
        <s v="Thuong Tran"/>
        <s v="Van Nguyen"/>
        <s v="Quan Nguyen"/>
        <s v="My Nguyen"/>
        <s v="Huy Nguyen"/>
        <s v="Thanh Phung"/>
        <s v="Phu Nguyen"/>
        <s v="Vinh Tran"/>
        <s v="Liên Nguyễn"/>
        <s v="Quyen Nguyen"/>
        <s v="Phuoc Ta"/>
        <s v="Phung Nguyen"/>
        <s v="Nam Nguyen"/>
        <s v="Trang Nguyen"/>
      </sharedItems>
    </cacheField>
    <cacheField name="Course Name" numFmtId="0">
      <sharedItems>
        <s v="Communication 1"/>
        <s v="Communication 2"/>
        <s v="Business English"/>
        <s v="Communication 3"/>
        <s v="Foundation"/>
        <s v="Extension of Foundation"/>
      </sharedItems>
    </cacheField>
    <cacheField name="1st">
      <sharedItems containsDate="1" containsBlank="1" containsMixedTypes="1">
        <s v="A"/>
        <d v="2025-08-20T11:00:00Z"/>
        <d v="2025-02-12T10:00:00Z"/>
        <d v="2026-03-03T13:00:00Z"/>
        <d v="2025-02-27T10:00:00Z"/>
        <d v="2025-02-27T11:00:00Z"/>
        <d v="2025-07-31T14:00:00Z"/>
        <d v="2024-12-13T14:00:00Z"/>
        <d v="2024-12-13T15:00:00Z"/>
        <d v="2024-12-11T10:00:00Z"/>
        <d v="2024-12-13T10:00:00Z"/>
        <d v="2025-07-03T14:00:00Z"/>
        <d v="2025-02-14T11:00:00Z"/>
        <d v="2025-08-21T10:00:00Z"/>
        <m/>
        <d v="2025-04-25T14:00:00Z"/>
        <d v="2025-10-16T11:00:00Z"/>
        <d v="2025-01-06T14:00:00Z"/>
        <d v="2025-09-15T13:00:00Z"/>
        <d v="2025-07-15T09:00:00Z"/>
        <d v="2024-12-18T09:00:00Z"/>
        <d v="2024-12-20T09:00:00Z"/>
        <d v="2024-12-11T09:00:00Z"/>
        <d v="2025-07-03T09:00:00Z"/>
        <d v="2025-03-13T11:00:00Z"/>
        <d v="2024-12-13T09:00:00Z"/>
        <d v="2024-12-10T11:00:00Z"/>
        <d v="2024-12-09T10:30:00Z"/>
        <d v="2025-07-01T09:00:00Z"/>
        <d v="2024-12-18T11:00:00Z"/>
        <d v="2025-02-05T11:00:00Z"/>
        <d v="2024-12-13T11:00:00Z"/>
        <d v="2024-12-19T10:00:00Z"/>
        <d v="2025-08-18T09:00:00Z"/>
        <d v="2025-01-06T10:00:00Z"/>
        <d v="2024-12-12T10:00:00Z"/>
        <d v="2025-02-25T14:00:00Z"/>
        <d v="2025-01-13T13:00:00Z"/>
        <d v="2025-07-28T13:00:00Z"/>
        <d v="2026-03-03T14:00:00Z"/>
        <d v="2025-04-18T09:00:00Z"/>
        <d v="2025-06-05T09:00:00Z"/>
        <d v="2025-06-10T09:00:00Z"/>
        <d v="2025-04-14T10:00:00Z"/>
        <d v="2025-09-22T10:00:00Z"/>
        <d v="2025-04-16T13:00:00Z"/>
        <d v="2025-08-26T14:00:00Z"/>
        <d v="2025-02-27T14:00:00Z"/>
        <d v="2025-08-21T13:00:00Z"/>
        <d v="2024-12-12T11:00:00Z"/>
        <d v="2024-12-19T11:00:00Z"/>
        <d v="2024-12-20T10:00:00Z"/>
        <d v="2025-04-18T10:00:00Z"/>
        <d v="2025-04-18T14:00:00Z"/>
        <d v="2025-08-12T13:00:00Z"/>
        <d v="2025-04-17T10:00:00Z"/>
        <d v="2025-08-13T10:00:00Z"/>
        <d v="2025-08-13T14:00:00Z"/>
        <d v="2026-03-10T13:00:00Z"/>
        <d v="2025-04-17T14:00:00Z"/>
        <d v="2026-03-05T11:00:00Z"/>
        <d v="2025-09-10T13:00:00Z"/>
        <d v="2025-04-17T11:00:00Z"/>
        <d v="2025-05-28T09:00:00Z"/>
        <d v="2026-03-17T15:00:00Z"/>
        <d v="2025-06-05T11:00:00Z"/>
        <d v="2026-01-16T10:00:00Z"/>
        <d v="2025-09-16T11:00:00Z"/>
        <d v="2026-04-14T14:00:00Z"/>
        <d v="2025-09-17T14:00:00Z"/>
        <d v="2025-09-09T13:00:00Z"/>
        <d v="2026-03-12T13:00:00Z"/>
        <d v="2025-09-29T14:00:00Z"/>
        <d v="2026-03-02T15:00:00Z"/>
        <d v="2026-03-05T14:00:00Z"/>
        <d v="2026-03-06T11:00:00Z"/>
        <d v="2026-04-14T15:00:00Z"/>
      </sharedItems>
    </cacheField>
    <cacheField name="2nd">
      <sharedItems containsDate="1" containsBlank="1" containsMixedTypes="1">
        <d v="2025-02-24T11:00:00Z"/>
        <d v="2025-08-27T11:00:00Z"/>
        <s v="A"/>
        <d v="2026-03-10T14:00:00Z"/>
        <d v="2025-04-18T13:00:00Z"/>
        <d v="2025-04-16T11:00:00Z"/>
        <d v="2025-01-08T09:00:00Z"/>
        <d v="2025-08-12T09:00:00Z"/>
        <d v="2025-01-15T10:00:00Z"/>
        <d v="2024-12-23T11:00:00Z"/>
        <d v="2024-12-30T11:00:00Z"/>
        <d v="2025-01-03T10:00:00Z"/>
        <d v="2025-07-15T10:00:00Z"/>
        <d v="2025-02-21T11:00:00Z"/>
        <d v="2025-08-28T10:00:00Z"/>
        <m/>
        <d v="2025-05-09T14:00:00Z"/>
        <d v="2025-10-23T11:00:00Z"/>
        <d v="2025-09-22T14:00:00Z"/>
        <d v="2025-02-10T14:00:00Z"/>
        <d v="2025-07-15T11:00:00Z"/>
        <d v="2024-12-26T09:00:00Z"/>
        <d v="2024-12-27T09:00:00Z"/>
        <d v="2024-12-19T09:00:00Z"/>
        <d v="2025-07-11T09:00:00Z"/>
        <d v="2025-03-27T11:00:00Z"/>
        <d v="2024-12-27T11:00:00Z"/>
        <d v="2025-01-03T09:00:00Z"/>
        <d v="2024-12-30T09:00:00Z"/>
        <d v="2025-07-08T09:00:00Z"/>
        <d v="2025-02-17T14:00:00Z"/>
        <d v="2024-12-17T09:30:00Z"/>
        <d v="2025-01-08T10:00:00Z"/>
        <d v="2025-08-25T11:00:00Z"/>
        <d v="2025-01-14T10:00:00Z"/>
        <d v="2024-12-23T10:00:00Z"/>
        <d v="2025-06-19T11:00:00Z"/>
        <d v="2025-01-22T09:00:00Z"/>
        <d v="2025-09-10T11:00:00Z"/>
        <d v="2026-03-18T11:00:00Z"/>
        <d v="2025-05-06T10:00:00Z"/>
        <d v="2025-06-10T09:00:00Z"/>
        <d v="2026-03-25T10:00:00Z"/>
        <d v="2025-06-19T09:00:00Z"/>
        <d v="2025-05-09T11:00:00Z"/>
        <d v="2025-09-26T13:00:00Z"/>
        <d v="2025-04-22T13:00:00Z"/>
        <d v="2025-08-26T14:00:00Z"/>
        <d v="2025-04-09T14:00:00Z"/>
        <d v="2025-08-28T14:00:00Z"/>
        <d v="2026-03-26T14:00:00Z"/>
        <d v="2025-01-02T11:00:00Z"/>
        <d v="2024-12-26T11:00:00Z"/>
        <d v="2025-01-09T11:00:00Z"/>
        <d v="2025-01-06T11:00:00Z"/>
        <d v="2025-04-21T09:00:00Z"/>
        <d v="2025-04-23T14:00:00Z"/>
        <d v="2025-08-27T13:00:00Z"/>
        <d v="2025-05-07T14:00:00Z"/>
        <d v="2025-08-20T10:00:00Z"/>
        <d v="2025-08-20T13:00:00Z"/>
        <d v="2025-05-07T13:00:00Z"/>
        <d v="2026-03-17T13:00:00Z"/>
        <d v="2025-05-06T14:00:00Z"/>
        <d v="2025-09-16T13:00:00Z"/>
        <d v="2026-03-17T11:00:00Z"/>
        <d v="2025-06-03T10:00:00Z"/>
        <d v="2025-09-30T10:00:00Z"/>
        <d v="2026-03-24T15:00:00Z"/>
        <d v="2025-06-12T11:00:00Z"/>
        <d v="2026-01-22T11:00:00Z"/>
        <d v="2025-09-25T13:00:00Z"/>
        <d v="2026-04-17T14:00:00Z"/>
        <d v="2025-09-23T13:00:00Z"/>
        <d v="2026-03-26T13:00:00Z"/>
        <d v="2025-10-08T14:00:00Z"/>
        <d v="2026-03-10T10:00:00Z"/>
        <d v="2026-03-26T15:00:00Z"/>
        <d v="2026-04-08T11:00:00Z"/>
        <d v="2026-04-17T15:00:00Z"/>
      </sharedItems>
    </cacheField>
    <cacheField name="3rd">
      <sharedItems containsDate="1" containsBlank="1" containsMixedTypes="1">
        <d v="2025-04-16T14:00:00Z"/>
        <m/>
        <d v="2026-03-17T14:00:00Z"/>
        <s v="A"/>
        <d v="2025-04-24T14:00:00Z"/>
        <d v="2025-04-25T13:00:00Z"/>
        <d v="2025-01-22T10:00:00Z"/>
        <d v="2025-08-21T09:00:00Z"/>
        <d v="2025-02-14T14:00:00Z"/>
        <d v="2025-01-13T14:00:00Z"/>
        <d v="2025-01-06T13:00:00Z"/>
        <d v="2025-08-13T15:00:00Z"/>
        <d v="2025-02-28T11:00:00Z"/>
        <d v="2025-09-04T10:00:00Z"/>
        <d v="2025-10-30T11:00:00Z"/>
        <d v="2025-07-03T13:00:00Z"/>
        <d v="2025-02-28T14:00:00Z"/>
        <d v="2025-09-29T13:00:00Z"/>
        <d v="2025-08-19T09:00:00Z"/>
        <d v="2025-01-02T09:00:00Z"/>
        <d v="2025-01-09T09:00:00Z"/>
        <d v="2025-01-16T10:00:00Z"/>
        <d v="2025-01-16T09:00:00Z"/>
        <d v="2025-01-10T10:00:00Z"/>
        <d v="2025-07-24T09:00:00Z"/>
        <d v="2026-04-01T11:00:00Z"/>
        <d v="2025-01-07T10:00:00Z"/>
        <d v="2025-01-08T11:00:00Z"/>
        <d v="2025-07-14T10:00:00Z"/>
        <d v="2025-02-24T14:00:00Z"/>
        <d v="2024-12-27T10:00:00Z"/>
        <d v="2025-09-12T14:00:00Z"/>
        <d v="2025-02-19T09:00:00Z"/>
        <d v="2025-01-20T10:00:00Z"/>
        <d v="2025-01-09T10:00:00Z"/>
        <d v="2024-12-30T10:00:00Z"/>
        <d v="2025-06-25T15:00:00Z"/>
        <d v="2025-02-10T11:00:00Z"/>
        <d v="2025-09-15T11:00:00Z"/>
        <d v="2026-03-25T11:00:00Z"/>
        <d v="2025-05-13T10:00:00Z"/>
        <d v="2025-06-19T09:00:00Z"/>
        <d v="2025-06-23T09:00:00Z"/>
        <d v="2026-04-02T11:00:00Z"/>
        <d v="2025-05-16T11:00:00Z"/>
        <d v="2025-09-29T10:00:00Z"/>
        <d v="2025-05-09T10:00:00Z"/>
        <d v="2025-09-16T15:00:00Z"/>
        <d v="2025-04-24T13:00:00Z"/>
        <d v="2025-09-11T14:00:00Z"/>
        <d v="2026-04-02T14:00:00Z"/>
        <d v="2025-01-20T11:00:00Z"/>
        <d v="2025-01-13T11:00:00Z"/>
        <d v="2025-01-23T11:00:00Z"/>
        <d v="2025-06-03T11:00:00Z"/>
        <d v="2025-05-06T13:00:00Z"/>
        <d v="2025-09-09T14:00:00Z"/>
        <d v="2025-05-27T09:00:00Z"/>
        <d v="2025-08-27T10:00:00Z"/>
        <d v="2025-08-26T13:00:00Z"/>
        <d v="2025-05-14T13:00:00Z"/>
        <d v="2026-03-24T13:00:00Z"/>
        <d v="2025-05-13T09:00:00Z"/>
        <d v="2025-09-24T13:00:00Z"/>
        <d v="2026-03-24T11:00:00Z"/>
        <d v="2025-06-10T10:00:00Z"/>
        <d v="2025-10-02T14:00:00Z"/>
        <d v="2026-03-31T15:00:00Z"/>
        <d v="2025-07-03T15:00:00Z"/>
        <d v="2026-01-29T14:00:00Z"/>
        <d v="2025-10-01T14:00:00Z"/>
        <d v="2025-09-30T13:00:00Z"/>
        <d v="2025-09-12T15:00:00Z"/>
        <d v="2026-04-16T13:00:00Z"/>
        <d v="2025-10-20T13:00:00Z"/>
        <d v="2026-03-17T10:00:00Z"/>
        <d v="2026-04-03T11:00:00Z"/>
        <d v="2026-04-15T11:00:00Z"/>
      </sharedItems>
    </cacheField>
    <cacheField name="4th">
      <sharedItems containsDate="1" containsBlank="1" containsMixedTypes="1">
        <d v="2025-04-23T13:00:00Z"/>
        <d v="2025-09-22T13:00:00Z"/>
        <d v="2026-03-24T14:00:00Z"/>
        <s v="A"/>
        <d v="2025-05-08T13:00:00Z"/>
        <d v="2025-05-16T14:00:00Z"/>
        <d v="2025-08-28T15:00:00Z"/>
        <d v="2025-02-21T09:00:00Z"/>
        <d v="2025-02-05T13:00:00Z"/>
        <d v="2025-01-21T09:00:00Z"/>
        <d v="2025-08-20T15:00:00Z"/>
        <d v="2025-04-18T11:00:00Z"/>
        <d v="2025-09-11T10:00:00Z"/>
        <m/>
        <d v="2025-07-11T11:00:00Z"/>
        <d v="2025-10-31T15:00:00Z"/>
        <d v="2025-04-15T14:00:00Z"/>
        <d v="2025-10-13T13:00:00Z"/>
        <d v="2025-08-26T11:00:00Z"/>
        <d v="2025-01-14T09:00:00Z"/>
        <d v="2025-02-04T09:00:00Z"/>
        <d v="2025-01-23T09:00:00Z"/>
        <d v="2025-01-23T10:00:00Z"/>
        <d v="2025-01-17T10:00:00Z"/>
        <d v="2025-08-12T10:00:00Z"/>
        <d v="2025-01-14T11:00:00Z"/>
        <d v="2025-01-15T11:00:00Z"/>
        <d v="2025-07-21T10:00:00Z"/>
        <d v="2025-01-10T09:00:00Z"/>
        <d v="2025-09-15T14:00:00Z"/>
        <d v="2025-02-26T09:00:00Z"/>
        <d v="2025-02-07T11:00:00Z"/>
        <d v="2025-01-21T10:00:00Z"/>
        <d v="2025-01-13T10:00:00Z"/>
        <d v="2025-07-15T15:00:00Z"/>
        <d v="2025-02-17T11:00:00Z"/>
        <d v="2025-09-22T11:00:00Z"/>
        <d v="2026-04-07T11:00:00Z"/>
        <d v="2025-05-27T10:00:00Z"/>
        <d v="2025-06-23T09:00:00Z"/>
        <d v="2026-04-07T14:00:00Z"/>
        <d v="2025-07-02T11:00:00Z"/>
        <d v="2025-05-26T11:00:00Z"/>
        <d v="2025-05-27T13:00:00Z"/>
        <d v="2025-10-23T15:00:00Z"/>
        <d v="2025-09-23T15:00:00Z"/>
        <d v="2025-05-09T13:00:00Z"/>
        <d v="2025-09-18T14:00:00Z"/>
        <d v="2026-04-09T14:00:00Z"/>
        <d v="2025-02-04T11:00:00Z"/>
        <d v="2025-02-10T10:00:00Z"/>
        <d v="2025-02-13T11:00:00Z"/>
        <d v="2025-06-10T11:00:00Z"/>
        <d v="2025-05-14T14:00:00Z"/>
        <d v="2025-09-23T14:00:00Z"/>
        <d v="2025-05-28T10:00:00Z"/>
        <d v="2025-09-03T10:00:00Z"/>
        <d v="2025-09-03T13:00:00Z"/>
        <d v="2025-05-27T14:00:00Z"/>
        <d v="2026-04-02T13:00:00Z"/>
        <d v="2025-05-27T11:00:00Z"/>
        <d v="2025-10-01T13:00:00Z"/>
        <d v="2026-04-01T15:00:00Z"/>
        <d v="2025-06-17T10:00:00Z"/>
        <d v="2025-10-07T10:00:00Z"/>
        <d v="2026-04-07T15:00:00Z"/>
        <d v="2025-07-11T10:00:00Z"/>
        <d v="2026-01-30T11:00:00Z"/>
        <d v="2025-10-08T13:00:00Z"/>
        <d v="2025-10-07T13:00:00Z"/>
        <d v="2025-09-16T14:00:00Z"/>
        <d v="2026-04-22T13:00:00Z"/>
        <d v="2025-10-08T14:00:00Z"/>
        <d v="2025-10-22T14:00:00Z"/>
        <d v="2026-03-23T13:00:00Z"/>
        <d v="2026-04-16T10:00:00Z"/>
        <d v="2026-04-22T11:00:00Z"/>
      </sharedItems>
    </cacheField>
    <cacheField name="5th">
      <sharedItems containsDate="1" containsBlank="1" containsMixedTypes="1">
        <d v="2025-05-07T11:00:00Z"/>
        <d v="2025-09-30T11:00:00Z"/>
        <d v="2026-04-08T14:00:00Z"/>
        <d v="2025-05-16T13:00:00Z"/>
        <s v="A"/>
        <d v="2025-05-23T14:00:00Z"/>
        <d v="2025-02-14T14:00:00Z"/>
        <d v="2025-02-28T09:00:00Z"/>
        <d v="2025-09-04T09:00:00Z"/>
        <d v="2025-02-19T13:00:00Z"/>
        <d v="2025-02-12T13:00:00Z"/>
        <d v="2025-09-17T15:00:00Z"/>
        <d v="2025-04-23T11:00:00Z"/>
        <d v="2025-09-25T10:00:00Z"/>
        <m/>
        <d v="2025-07-11T11:00:00Z"/>
        <d v="2025-11-13T10:00:00Z"/>
        <d v="2025-07-17T13:00:00Z"/>
        <d v="2025-04-21T14:00:00Z"/>
        <d v="2025-10-20T14:00:00Z"/>
        <d v="2025-02-06T09:00:00Z"/>
        <d v="2025-02-12T11:00:00Z"/>
        <d v="2025-02-12T14:00:00Z"/>
        <d v="2025-02-07T10:00:00Z"/>
        <d v="2025-08-19T10:00:00Z"/>
        <d v="2025-01-21T11:00:00Z"/>
        <d v="2025-01-22T11:00:00Z"/>
        <d v="2025-01-17T09:00:00Z"/>
        <d v="2025-04-09T10:00:00Z"/>
        <d v="2025-09-22T15:00:00Z"/>
        <d v="2025-02-14T13:00:00Z"/>
        <d v="2025-02-06T10:00:00Z"/>
        <d v="2025-02-13T10:00:00Z"/>
        <d v="2025-07-31T09:00:00Z"/>
        <d v="2025-02-24T13:00:00Z"/>
        <d v="2025-09-29T11:00:00Z"/>
        <d v="2026-04-15T13:00:00Z"/>
        <d v="2025-06-03T15:00:00Z"/>
        <d v="2025-09-17T11:00:00Z"/>
        <d v="2026-04-14T10:00:00Z"/>
        <d v="2025-07-14T11:00:00Z"/>
        <d v="2025-06-09T11:00:00Z"/>
        <d v="2025-10-17T10:00:00Z"/>
        <d v="2025-06-03T14:00:00Z"/>
        <d v="2025-09-30T15:00:00Z"/>
        <d v="2025-05-13T13:00:00Z"/>
        <d v="2025-09-25T14:00:00Z"/>
        <d v="2026-04-16T14:00:00Z"/>
        <d v="2025-04-21T13:00:00Z"/>
        <d v="2025-04-14T13:00:00Z"/>
        <d v="2025-04-15T10:00:00Z"/>
        <d v="2025-06-25T11:00:00Z"/>
        <d v="2025-05-15T13:00:00Z"/>
        <d v="2025-09-30T14:00:00Z"/>
        <d v="2025-06-04T11:00:00Z"/>
        <d v="2025-09-10T10:00:00Z"/>
        <d v="2025-09-10T14:00:00Z"/>
        <d v="2025-06-04T14:00:00Z"/>
        <d v="2026-04-07T13:00:00Z"/>
        <d v="2025-10-08T10:00:00Z"/>
        <d v="2025-06-04T13:00:00Z"/>
        <d v="2026-04-08T15:00:00Z"/>
        <d v="2025-07-01T10:00:00Z"/>
        <d v="2025-10-09T15:00:00Z"/>
        <d v="2025-10-09T13:00:00Z"/>
        <d v="2025-07-17T15:00:00Z"/>
        <d v="2026-03-05T13:00:00Z"/>
        <d v="2025-08-13T13:00:00Z"/>
        <d v="2025-10-23T13:00:00Z"/>
        <d v="2025-10-14T13:00:00Z"/>
        <d v="2025-09-25T09:00:00Z"/>
        <d v="2025-10-17T13:00:00Z"/>
        <d v="2025-10-29T14:00:00Z"/>
        <d v="2026-03-31T11:00:00Z"/>
        <d v="2026-04-17T13:00:00Z"/>
      </sharedItems>
    </cacheField>
    <cacheField name="6th">
      <sharedItems containsDate="1" containsBlank="1" containsMixedTypes="1">
        <d v="2025-06-11T14:00:00Z"/>
        <d v="2025-10-07T11:00:00Z"/>
        <d v="2026-04-15T14:00:00Z"/>
        <d v="2025-05-23T13:00:00Z"/>
        <d v="2025-06-05T14:00:00Z"/>
        <d v="2025-06-05T15:00:00Z"/>
        <s v="A"/>
        <d v="2025-09-09T09:00:00Z"/>
        <d v="2025-04-17T09:00:00Z"/>
        <d v="2025-02-27T13:00:00Z"/>
        <d v="2025-02-21T13:00:00Z"/>
        <d v="2025-09-24T15:00:00Z"/>
        <d v="2025-05-08T11:00:00Z"/>
        <d v="2025-10-09T10:00:00Z"/>
        <m/>
        <d v="2025-07-24T15:00:00Z"/>
        <d v="2025-11-20T10:00:00Z"/>
        <d v="2025-10-27T13:00:00Z"/>
        <d v="2025-05-05T13:00:00Z"/>
        <d v="2025-02-13T09:00:00Z"/>
        <d v="2025-02-20T09:00:00Z"/>
        <d v="2025-02-19T14:00:00Z"/>
        <d v="2025-02-14T10:00:00Z"/>
        <d v="2025-08-26T10:00:00Z"/>
        <d v="2025-02-04T10:00:00Z"/>
        <d v="2025-02-11T09:00:00Z"/>
        <d v="2025-02-06T11:00:00Z"/>
        <d v="2025-02-05T14:00:00Z"/>
        <d v="2025-04-16T10:00:00Z"/>
        <d v="2025-09-26T14:00:00Z"/>
        <d v="2025-02-18T11:00:00Z"/>
        <d v="2025-02-17T10:00:00Z"/>
        <d v="2025-08-13T11:00:00Z"/>
        <d v="2025-04-14T11:00:00Z"/>
        <d v="2025-10-13T10:00:00Z"/>
        <d v="2026-04-22T14:00:00Z"/>
        <d v="2025-06-10T15:00:00Z"/>
        <d v="2025-09-23T11:00:00Z"/>
        <d v="2026-04-23T10:00:00Z"/>
        <d v="2025-07-17T11:00:00Z"/>
        <d v="2025-06-16T11:00:00Z"/>
        <d v="2025-10-20T10:00:00Z"/>
        <d v="2025-06-10T14:00:00Z"/>
        <d v="2025-11-03T15:00:00Z"/>
        <d v="2025-05-22T13:00:00Z"/>
        <d v="2025-10-02T14:00:00Z"/>
        <d v="2026-04-23T14:00:00Z"/>
        <d v="2025-06-09T13:00:00Z"/>
        <d v="2025-05-12T13:00:00Z"/>
        <d v="2025-05-13T11:00:00Z"/>
        <d v="2025-07-01T11:00:00Z"/>
        <d v="2025-05-28T14:00:00Z"/>
        <d v="2025-10-07T14:00:00Z"/>
        <d v="2025-06-11T11:00:00Z"/>
        <d v="2025-09-24T11:00:00Z"/>
        <d v="2025-06-05T13:00:00Z"/>
        <d v="2026-04-14T13:00:00Z"/>
        <d v="2025-09-17T13:00:00Z"/>
        <d v="2025-06-12T13:00:00Z"/>
        <d v="2025-10-21T10:00:00Z"/>
        <d v="2026-04-15T15:00:00Z"/>
        <d v="2025-07-08T10:00:00Z"/>
        <d v="2025-08-21T11:00:00Z"/>
        <d v="2025-08-20T14:00:00Z"/>
        <d v="2025-10-30T13:00:00Z"/>
        <d v="2025-10-28T13:00:00Z"/>
        <d v="2025-10-02T13:00:00Z"/>
        <d v="2025-10-22T15:00:00Z"/>
        <d v="2025-11-05T13:00:00Z"/>
        <d v="2026-04-07T10:00:00Z"/>
        <d v="2026-04-23T11:00:00Z"/>
      </sharedItems>
    </cacheField>
    <cacheField name="7th">
      <sharedItems containsDate="1" containsBlank="1" containsMixedTypes="1">
        <d v="2025-06-16T13:00:00Z"/>
        <d v="2025-10-14T11:00:00Z"/>
        <m/>
        <s v="A"/>
        <d v="2025-06-19T14:00:00Z"/>
        <d v="2025-06-12T15:00:00Z"/>
        <d v="2025-02-28T09:00:00Z"/>
        <d v="2025-09-17T09:00:00Z"/>
        <d v="2025-04-22T09:00:00Z"/>
        <d v="2025-04-17T13:00:00Z"/>
        <d v="2025-02-26T13:00:00Z"/>
        <d v="2025-10-01T15:00:00Z"/>
        <d v="2025-05-15T11:00:00Z"/>
        <d v="2025-10-16T10:00:00Z"/>
        <d v="2025-07-31T10:00:00Z"/>
        <d v="2025-11-27T10:00:00Z"/>
        <d v="2025-05-29T14:00:00Z"/>
        <d v="2025-11-11T14:00:00Z"/>
        <d v="2025-02-19T11:00:00Z"/>
        <d v="2025-02-26T11:00:00Z"/>
        <d v="2025-02-26T14:00:00Z"/>
        <d v="2025-02-20T09:00:00Z"/>
        <d v="2025-02-21T14:00:00Z"/>
        <d v="2025-09-11T11:00:00Z"/>
        <d v="2025-02-11T11:00:00Z"/>
        <d v="2025-02-11T09:00:00Z"/>
        <d v="2025-02-10T13:00:00Z"/>
        <d v="2025-05-12T10:00:00Z"/>
        <d v="2025-10-10T15:00:00Z"/>
        <d v="2025-02-21T10:00:00Z"/>
        <d v="2025-02-24T10:00:00Z"/>
        <d v="2025-08-27T15:00:00Z"/>
        <d v="2025-04-22T11:00:00Z"/>
        <d v="2025-10-14T14:00:00Z"/>
        <d v="2025-06-17T15:00:00Z"/>
        <d v="2025-09-26T15:00:00Z"/>
        <d v="2025-07-28T11:00:00Z"/>
        <d v="2025-07-14T15:00:00Z"/>
        <d v="2025-11-10T15:00:00Z"/>
        <d v="2025-06-17T14:00:00Z"/>
        <d v="2025-11-18T15:00:00Z"/>
        <d v="2025-05-28T13:00:00Z"/>
        <d v="2025-10-16T14:00:00Z"/>
        <d v="2025-06-23T14:00:00Z"/>
        <d v="2025-05-26T10:00:00Z"/>
        <d v="2025-06-09T14:00:00Z"/>
        <d v="2025-07-08T13:00:00Z"/>
        <d v="2025-06-03T13:00:00Z"/>
        <d v="2025-06-19T10:00:00Z"/>
        <d v="2025-10-01T10:00:00Z"/>
        <d v="2025-06-10T13:00:00Z"/>
        <d v="2025-09-24T14:00:00Z"/>
        <d v="2025-06-18T11:00:00Z"/>
        <d v="2025-10-22T10:00:00Z"/>
        <d v="2025-07-17T10:00:00Z"/>
        <d v="2025-10-23T15:00:00Z"/>
        <d v="2025-09-11T15:00:00Z"/>
        <d v="2025-08-27T14:00:00Z"/>
        <d v="2025-11-06T13:00:00Z"/>
        <d v="2025-11-04T14:00:00Z"/>
        <d v="2025-10-09T13:00:00Z"/>
        <d v="2025-10-31T14:00:00Z"/>
        <d v="2025-11-24T13:00:00Z"/>
        <d v="2026-04-14T11:00:00Z"/>
      </sharedItems>
    </cacheField>
    <cacheField name="8th">
      <sharedItems containsDate="1" containsBlank="1" containsMixedTypes="1">
        <d v="2025-06-23T13:00:00Z"/>
        <d v="2025-10-20T11:00:00Z"/>
        <m/>
        <s v="A"/>
        <d v="2025-07-31T15:00:00Z"/>
        <d v="2025-06-19T15:00:00Z"/>
        <d v="2025-04-17T09:00:00Z"/>
        <d v="2025-05-08T10:00:00Z"/>
        <d v="2025-09-23T09:00:00Z"/>
        <d v="2025-05-05T14:00:00Z"/>
        <d v="2025-05-05T13:00:00Z"/>
        <d v="2025-04-15T13:00:00Z"/>
        <d v="2025-10-23T10:00:00Z"/>
        <d v="2025-05-23T11:00:00Z"/>
        <d v="2025-08-21T14:00:00Z"/>
        <d v="2025-12-04T10:00:00Z"/>
        <d v="2025-06-02T13:00:00Z"/>
        <d v="2025-11-19T14:00:00Z"/>
        <d v="2025-02-27T09:00:00Z"/>
        <d v="2025-04-09T11:00:00Z"/>
        <d v="2025-04-09T09:00:00Z"/>
        <d v="2025-02-28T13:00:00Z"/>
        <d v="2025-09-25T10:00:00Z"/>
        <d v="2025-02-18T10:00:00Z"/>
        <d v="2025-02-18T13:00:00Z"/>
        <d v="2025-02-19T10:00:00Z"/>
        <d v="2025-05-23T10:00:00Z"/>
        <d v="2025-10-13T15:00:00Z"/>
        <d v="2025-02-25T11:00:00Z"/>
        <d v="2025-04-09T13:00:00Z"/>
        <d v="2025-09-17T09:00:00Z"/>
        <d v="2025-05-05T11:00:00Z"/>
        <d v="2025-06-24T15:00:00Z"/>
        <d v="2025-10-09T14:00:00Z"/>
        <d v="2025-08-12T15:00:00Z"/>
        <d v="2025-07-21T09:00:00Z"/>
        <d v="2025-11-19T15:00:00Z"/>
        <d v="2025-06-24T14:00:00Z"/>
        <d v="2025-12-02T14:00:00Z"/>
        <d v="2025-06-05T14:00:00Z"/>
        <d v="2025-10-23T14:00:00Z"/>
        <d v="2025-07-23T10:00:00Z"/>
        <d v="2025-06-09T10:00:00Z"/>
        <d v="2025-06-09T14:00:00Z"/>
        <d v="2025-06-23T11:00:00Z"/>
        <d v="2025-07-15T11:00:00Z"/>
        <d v="2025-06-11T13:00:00Z"/>
        <d v="2025-10-21T14:00:00Z"/>
        <d v="2025-06-25T09:00:00Z"/>
        <d v="2025-10-08T11:00:00Z"/>
        <d v="2025-06-19T13:00:00Z"/>
        <d v="2025-10-10T14:00:00Z"/>
        <d v="2025-06-25T14:00:00Z"/>
        <d v="2025-10-29T11:00:00Z"/>
        <d v="2025-07-22T15:00:00Z"/>
        <d v="2025-10-28T10:00:00Z"/>
        <d v="2025-09-12T13:00:00Z"/>
        <d v="2025-09-10T15:00:00Z"/>
        <d v="2025-09-10T14:00:00Z"/>
        <d v="2025-11-21T13:00:00Z"/>
        <d v="2025-11-18T14:00:00Z"/>
        <d v="2025-10-16T13:00:00Z"/>
        <d v="2025-11-05T15:00:00Z"/>
        <d v="2025-12-08T13:00:00Z"/>
      </sharedItems>
    </cacheField>
    <cacheField name="9th">
      <sharedItems containsDate="1" containsBlank="1" containsMixedTypes="1">
        <d v="2025-07-02T13:00:00Z"/>
        <d v="2025-10-27T11:00:00Z"/>
        <m/>
        <s v="A"/>
        <d v="2025-09-12T10:00:00Z"/>
        <d v="2025-06-26T14:00:00Z"/>
        <d v="2025-05-15T10:00:00Z"/>
        <d v="2025-10-02T09:00:00Z"/>
        <d v="2025-05-26T14:00:00Z"/>
        <d v="2025-04-22T10:00:00Z"/>
        <d v="2025-10-30T10:00:00Z"/>
        <d v="2025-05-29T13:00:00Z"/>
        <d v="2025-08-28T13:00:00Z"/>
        <d v="2025-12-11T15:00:00Z"/>
        <d v="2025-06-16T14:00:00Z"/>
        <d v="2025-11-20T14:00:00Z"/>
        <d v="2025-04-15T11:00:00Z"/>
        <d v="2025-04-15T09:00:00Z"/>
        <d v="2025-05-07T09:00:00Z"/>
        <d v="2025-04-18T15:00:00Z"/>
        <d v="2025-10-02T11:00:00Z"/>
        <d v="2025-02-18T13:00:00Z"/>
        <d v="2025-02-25T10:00:00Z"/>
        <d v="2025-02-25T13:00:00Z"/>
        <d v="2025-02-26T10:00:00Z"/>
        <d v="2025-05-26T09:00:00Z"/>
        <d v="2025-10-20T15:00:00Z"/>
        <d v="2025-02-28T10:00:00Z"/>
        <d v="2025-04-25T11:00:00Z"/>
        <d v="2025-09-24T10:00:00Z"/>
        <d v="2025-05-12T11:00:00Z"/>
        <d v="2025-10-27T10:00:00Z"/>
        <d v="2025-07-08T15:00:00Z"/>
        <d v="2025-10-10T13:00:00Z"/>
        <d v="2025-08-15T14:00:00Z"/>
        <d v="2025-07-28T10:00:00Z"/>
        <d v="2025-12-17T15:00:00Z"/>
        <d v="2025-07-08T14:00:00Z"/>
        <d v="2025-12-09T14:00:00Z"/>
        <d v="2025-06-12T14:00:00Z"/>
        <d v="2025-10-30T14:00:00Z"/>
        <d v="2025-07-23T11:00:00Z"/>
        <d v="2025-06-23T10:00:00Z"/>
        <d v="2025-06-23T11:00:00Z"/>
        <d v="2025-07-08T11:00:00Z"/>
        <d v="2025-07-24T11:00:00Z"/>
        <d v="2025-06-17T13:00:00Z"/>
        <d v="2025-10-28T14:00:00Z"/>
        <d v="2025-07-02T10:00:00Z"/>
        <d v="2025-11-19T10:00:00Z"/>
        <d v="2025-06-25T13:00:00Z"/>
        <d v="2025-10-13T14:00:00Z"/>
        <d v="2025-07-01T13:00:00Z"/>
        <d v="2025-11-06T11:00:00Z"/>
        <d v="2025-07-31T11:00:00Z"/>
        <d v="2025-10-28T11:00:00Z"/>
        <d v="2025-09-18T15:00:00Z"/>
        <d v="2025-09-16T09:00:00Z"/>
        <d v="2025-11-28T13:00:00Z"/>
        <d v="2025-10-22T13:00:00Z"/>
        <d v="2025-11-13T14:00:00Z"/>
        <d v="2025-12-15T13:00:00Z"/>
      </sharedItems>
    </cacheField>
    <cacheField name="10th">
      <sharedItems containsDate="1" containsBlank="1" containsMixedTypes="1">
        <d v="2025-07-29T10:00:00Z"/>
        <d v="2025-11-04T11:00:00Z"/>
        <m/>
        <s v="A"/>
        <d v="2025-10-24T09:00:00Z"/>
        <d v="2025-08-13T13:00:00Z"/>
        <d v="2025-06-12T09:00:00Z"/>
        <d v="2025-10-09T09:00:00Z"/>
        <d v="2025-07-01T14:00:00Z"/>
        <d v="2025-05-30T14:00:00Z"/>
        <d v="2025-11-21T11:00:00Z"/>
        <d v="2025-06-05T10:00:00Z"/>
        <d v="2025-09-18T10:00:00Z"/>
        <d v="2025-12-19T15:00:00Z"/>
        <d v="2025-07-14T13:00:00Z"/>
        <d v="2025-12-05T14:00:00Z"/>
        <d v="2025-05-22T09:00:00Z"/>
        <d v="2025-05-29T10:00:00Z"/>
        <d v="2025-10-09T11:00:00Z"/>
        <d v="2025-05-24T10:00:00Z"/>
        <d v="2025-04-22T14:00:00Z"/>
        <d v="2025-06-11T10:00:00Z"/>
        <d v="2025-10-27T15:00:00Z"/>
        <d v="2025-04-11T10:00:00Z"/>
        <d v="2025-05-30T10:00:00Z"/>
        <d v="2025-10-22T11:00:00Z"/>
        <d v="2025-05-26T13:00:00Z"/>
        <d v="2025-11-03T14:00:00Z"/>
        <d v="2025-07-29T14:00:00Z"/>
        <d v="2025-10-17T11:00:00Z"/>
        <d v="2025-08-15T15:00:00Z"/>
        <d v="2025-08-25T13:00:00Z"/>
        <d v="2025-12-26T15:00:00Z"/>
        <d v="2025-07-30T09:00:00Z"/>
        <d v="2025-12-16T14:00:00Z"/>
        <d v="2025-07-11T13:00:00Z"/>
        <d v="2025-11-05T14:00:00Z"/>
        <d v="2025-08-18T13:00:00Z"/>
        <d v="2025-07-21T13:00:00Z"/>
        <d v="2025-08-14T10:00:00Z"/>
        <d v="2025-07-15T13:00:00Z"/>
        <d v="2025-11-05T11:00:00Z"/>
        <d v="2025-07-23T13:00:00Z"/>
        <d v="2025-11-26T10:00:00Z"/>
        <d v="2025-07-22T10:00:00Z"/>
        <d v="2025-10-24T13:00:00Z"/>
        <d v="2025-07-30T13:00:00Z"/>
        <d v="2025-11-13T11:00:00Z"/>
        <d v="2025-08-12T12:00:00Z"/>
        <d v="2025-11-04T15:00:00Z"/>
        <d v="2025-12-05T11:00:00Z"/>
        <d v="2025-10-29T10:00:00Z"/>
        <d v="2025-12-05T13:00:00Z"/>
        <d v="2025-10-29T13:00:00Z"/>
        <d v="2025-11-21T15:00:00Z"/>
        <d v="2025-12-17T13:00:00Z"/>
      </sharedItems>
    </cacheField>
    <cacheField name="11th">
      <sharedItems containsDate="1" containsBlank="1" containsMixedTypes="1">
        <m/>
        <d v="2025-11-11T11:00:00Z"/>
        <s v="A"/>
        <d v="2025-10-14T10:00:00Z"/>
        <d v="2025-11-28T11:00:00Z"/>
        <d v="2025-06-12T10:00:00Z"/>
        <d v="2025-12-26T14:00:00Z"/>
        <d v="2025-12-15T14:00:00Z"/>
        <d v="2025-10-16T09:00:00Z"/>
        <d v="2025-06-18T10:00:00Z"/>
        <d v="2025-12-16T15:00:00Z"/>
        <d v="2025-04-18T10:00:00Z"/>
        <d v="2025-11-20T15:00:00Z"/>
        <d v="2025-06-04T10:00:00Z"/>
        <d v="2025-11-10T13:00:00Z"/>
        <d v="2025-10-27T14:00:00Z"/>
        <d v="2025-08-18T10:00:00Z"/>
        <d v="2026-01-19T15:00:00Z"/>
        <d v="2025-12-22T14:00:00Z"/>
        <d v="2025-11-21T14:00:00Z"/>
        <d v="2025-11-19T11:00:00Z"/>
        <d v="2025-12-03T14:00:00Z"/>
        <d v="2025-10-31T13:00:00Z"/>
        <d v="2025-11-20T11:00:00Z"/>
        <d v="2025-08-19T13:00:00Z"/>
        <d v="2025-11-11T15:00:00Z"/>
        <d v="2025-12-19T13:00:00Z"/>
        <d v="2025-11-03T13:00:00Z"/>
        <d v="2025-11-28T14:00:00Z"/>
        <d v="2025-12-22T13:00:00Z"/>
      </sharedItems>
    </cacheField>
    <cacheField name="12th">
      <sharedItems containsDate="1" containsBlank="1" containsMixedTypes="1">
        <m/>
        <d v="2025-11-18T11:00:00Z"/>
        <d v="2025-11-05T10:00:00Z"/>
        <s v="A"/>
        <d v="2025-12-05T10:00:00Z"/>
        <d v="2025-07-03T10:00:00Z"/>
        <d v="2026-01-16T14:00:00Z"/>
        <d v="2025-12-17T14:00:00Z"/>
        <d v="2025-10-31T11:00:00Z"/>
        <d v="2025-07-15T10:00:00Z"/>
        <d v="2025-12-30T14:00:00Z"/>
        <d v="2025-04-25T10:00:00Z"/>
        <d v="2025-11-26T11:00:00Z"/>
        <d v="2025-06-24T09:00:00Z"/>
        <d v="2025-11-24T14:00:00Z"/>
        <d v="2025-11-03T11:00:00Z"/>
        <d v="2025-09-03T11:00:00Z"/>
        <d v="2026-01-26T13:00:00Z"/>
        <d v="2025-11-27T14:00:00Z"/>
        <d v="2025-11-26T14:00:00Z"/>
        <d v="2025-12-17T10:00:00Z"/>
        <d v="2025-11-04T13:00:00Z"/>
        <d v="2025-11-27T11:00:00Z"/>
        <d v="2025-08-28T11:00:00Z"/>
        <d v="2025-11-18T10:00:00Z"/>
        <d v="2026-01-16T13:00:00Z"/>
        <d v="2025-11-18T13:00:00Z"/>
        <d v="2025-12-03T13:00:00Z"/>
        <d v="2026-01-19T14:00:00Z"/>
      </sharedItems>
    </cacheField>
    <cacheField name="13th">
      <sharedItems containsDate="1" containsBlank="1" containsMixedTypes="1">
        <m/>
        <s v="A"/>
        <d v="2025-11-25T11:00:00Z"/>
        <d v="2025-12-16T10:00:00Z"/>
        <d v="2025-12-19T10:00:00Z"/>
        <d v="2026-01-22T10:00:00Z"/>
        <d v="2025-12-26T13:00:00Z"/>
        <d v="2025-11-06T15:00:00Z"/>
        <d v="2025-12-03T11:00:00Z"/>
        <d v="2025-12-01T13:00:00Z"/>
        <d v="2025-11-10T14:00:00Z"/>
        <d v="2025-09-04T11:00:00Z"/>
        <d v="2026-03-05T10:00:00Z"/>
        <d v="2025-12-04T14:00:00Z"/>
        <d v="2025-12-03T10:00:00Z"/>
        <d v="2026-01-14T10:00:00Z"/>
        <d v="2025-11-13T13:00:00Z"/>
        <d v="2025-12-04T11:00:00Z"/>
        <d v="2025-09-09T10:00:00Z"/>
        <d v="2025-11-18T10:00:00Z"/>
        <d v="2026-01-27T14:00:00Z"/>
        <d v="2025-11-27T13:00:00Z"/>
        <d v="2025-12-19T14:00:00Z"/>
        <d v="2026-01-26T14:00:00Z"/>
      </sharedItems>
    </cacheField>
    <cacheField name="14th">
      <sharedItems containsDate="1" containsBlank="1" containsMixedTypes="1">
        <m/>
        <d v="2025-12-02T10:00:00Z"/>
        <s v="A"/>
        <d v="2025-12-30T10:00:00Z"/>
        <d v="2025-12-30T09:00:00Z"/>
        <d v="2026-01-29T15:00:00Z"/>
        <d v="2025-12-30T13:00:00Z"/>
        <d v="2025-11-13T15:00:00Z"/>
        <d v="2025-12-17T11:00:00Z"/>
        <d v="2025-12-08T10:00:00Z"/>
        <d v="2025-11-24T10:00:00Z"/>
        <d v="2025-09-09T11:00:00Z"/>
        <d v="2026-03-06T10:00:00Z"/>
        <d v="2025-12-08T11:00:00Z"/>
        <d v="2025-12-15T15:00:00Z"/>
        <d v="2026-01-21T11:00:00Z"/>
        <d v="2025-11-19T13:00:00Z"/>
        <d v="2025-12-16T13:00:00Z"/>
        <d v="2025-09-23T10:00:00Z"/>
        <d v="2025-11-26T15:00:00Z"/>
        <d v="2026-01-27T14:00:00Z"/>
        <d v="2025-12-04T13:00:00Z"/>
        <d v="2026-01-27T13:00:00Z"/>
        <d v="2026-03-06T13:00:00Z"/>
      </sharedItems>
    </cacheField>
    <cacheField name="15th">
      <sharedItems containsDate="1" containsBlank="1" containsMixedTypes="1">
        <m/>
        <d v="2025-12-09T11:00:00Z"/>
        <d v="2026-01-13T10:00:00Z"/>
        <s v="A"/>
        <d v="2026-01-16T11:00:00Z"/>
        <d v="2026-01-30T15:00:00Z"/>
        <d v="2026-01-19T13:00:00Z"/>
        <d v="2025-12-15T10:00:00Z"/>
        <d v="2026-01-28T13:00:00Z"/>
        <d v="2025-12-15T11:00:00Z"/>
        <d v="2025-11-28T15:00:00Z"/>
        <d v="2026-03-13T10:00:00Z"/>
        <d v="2025-12-23T15:00:00Z"/>
        <d v="2025-12-22T15:00:00Z"/>
        <d v="2026-01-28T10:00:00Z"/>
        <d v="2025-11-26T13:00:00Z"/>
        <d v="2025-12-30T11:00:00Z"/>
        <d v="2025-09-25T15:00:00Z"/>
        <d v="2025-12-02T10:00:00Z"/>
        <d v="2026-01-30T13:00:00Z"/>
        <d v="2025-12-09T13:00:00Z"/>
        <d v="2026-01-30T14:00:00Z"/>
        <d v="2026-03-13T13:00:00Z"/>
      </sharedItems>
    </cacheField>
    <cacheField name="16th_Final">
      <sharedItems containsDate="1" containsBlank="1" containsMixedTypes="1">
        <m/>
        <d v="2026-01-20T10:00:00Z"/>
        <d v="2026-03-03T10:00:00Z"/>
        <s v="A"/>
        <d v="2026-03-02T11:00:00Z"/>
        <d v="2026-03-23T10:00:00Z"/>
        <d v="2026-04-03T13:00:00Z"/>
        <d v="2026-01-23T10:00:00Z"/>
        <d v="2026-01-26T10:00:00Z"/>
        <d v="2026-01-19T10:00:00Z"/>
        <d v="2026-01-22T13:00:00Z"/>
        <d v="2026-01-13T10:00:00Z"/>
        <d v="2026-03-25T13:00:00Z"/>
        <d v="2026-01-23T13:00:00Z"/>
        <d v="2026-01-29T10:00:00Z"/>
        <d v="2025-12-09T15:00:00Z"/>
        <d v="2026-03-27T13:00:00Z"/>
        <d v="2026-01-14T13:00:00Z"/>
        <d v="2026-03-02T14:00:00Z"/>
      </sharedItems>
    </cacheField>
    <cacheField name=" ">
      <sharedItems containsDate="1" containsString="0" containsBlank="1" containsMixedTypes="1">
        <d v="2025-07-29T10:00:00Z"/>
        <d v="2026-01-20T10:00:00Z"/>
        <d v="2026-04-15T14:00:00Z"/>
        <d v="2025-05-23T13:00:00Z"/>
        <d v="2025-10-24T09:00:00Z"/>
        <d v="2025-06-19T14:00:00Z"/>
        <d v="2025-08-13T13:00:00Z"/>
        <d v="2025-06-12T09:00:00Z"/>
        <d v="2026-03-03T10:00:00Z"/>
        <d v="1899-12-30T00:00:00Z"/>
        <d v="2025-07-01T14:00:00Z"/>
        <d v="2025-05-30T14:00:00Z"/>
        <d v="2026-03-02T11:00:00Z"/>
        <d v="2025-11-28T11:00:00Z"/>
        <d v="2025-07-03T10:00:00Z"/>
        <d v="2025-12-30T09:00:00Z"/>
        <d v="2025-12-05T10:00:00Z"/>
        <d v="2025-09-18T10:00:00Z"/>
        <d v="2026-03-23T10:00:00Z"/>
        <d v="2025-07-14T13:00:00Z"/>
        <d v="2026-04-03T13:00:00Z"/>
        <d v="2025-12-26T13:00:00Z"/>
        <d v="2025-08-26T11:00:00Z"/>
        <d v="2025-05-22T09:00:00Z"/>
        <d v="2025-07-15T09:00:00Z"/>
        <d v="2025-05-07T09:00:00Z"/>
        <d v="2025-04-09T09:00:00Z"/>
        <d v="2025-05-29T10:00:00Z"/>
        <d v="2026-01-23T10:00:00Z"/>
        <d v="2026-04-01T11:00:00Z"/>
        <d v="2025-11-06T15:00:00Z"/>
        <d v="2025-05-24T10:00:00Z"/>
        <m/>
        <d v="2025-07-21T10:00:00Z"/>
        <d v="2025-02-24T14:00:00Z"/>
        <d v="2025-02-17T14:00:00Z"/>
        <d v="2025-04-22T14:00:00Z"/>
        <d v="2024-12-27T10:00:00Z"/>
        <d v="2025-02-10T13:00:00Z"/>
        <d v="2025-07-15T10:00:00Z"/>
        <d v="2025-12-30T14:00:00Z"/>
        <d v="2025-06-11T10:00:00Z"/>
        <d v="2025-04-25T10:00:00Z"/>
        <d v="2025-05-30T10:00:00Z"/>
        <d v="2025-10-01T15:00:00Z"/>
        <n v="45807.41666666666"/>
        <d v="2025-09-24T15:00:00Z"/>
        <d v="2026-01-28T13:00:00Z"/>
        <d v="2025-12-17T11:00:00Z"/>
        <d v="2025-06-24T09:00:00Z"/>
        <d v="2026-01-26T10:00:00Z"/>
        <d v="2026-04-22T14:00:00Z"/>
        <d v="2025-12-15T11:00:00Z"/>
        <d v="2025-07-29T14:00:00Z"/>
        <d v="2025-11-24T10:00:00Z"/>
        <d v="2026-04-23T10:00:00Z"/>
        <d v="2026-01-19T10:00:00Z"/>
        <d v="2025-06-10T09:00:00Z"/>
        <d v="2025-08-25T13:00:00Z"/>
        <d v="2026-03-13T10:00:00Z"/>
        <d v="2026-03-05T10:00:00Z"/>
        <d v="2025-07-30T09:00:00Z"/>
        <d v="2025-12-22T14:00:00Z"/>
        <d v="2025-07-11T13:00:00Z"/>
        <d v="2026-01-22T13:00:00Z"/>
        <d v="2026-04-16T14:00:00Z"/>
        <d v="2026-04-02T14:00:00Z"/>
        <d v="2026-04-23T14:00:00Z"/>
        <d v="2025-08-28T14:00:00Z"/>
        <d v="2025-08-18T13:00:00Z"/>
        <d v="2025-06-09T13:00:00Z"/>
        <d v="2025-07-21T13:00:00Z"/>
        <d v="2025-07-08T11:00:00Z"/>
        <d v="2025-06-09T10:00:00Z"/>
        <d v="2025-06-23T11:00:00Z"/>
        <d v="2025-08-14T10:00:00Z"/>
        <d v="2025-07-15T13:00:00Z"/>
        <d v="2025-12-03T10:00:00Z"/>
        <d v="2025-11-05T11:00:00Z"/>
        <d v="2026-01-13T10:00:00Z"/>
        <d v="2025-07-23T13:00:00Z"/>
        <d v="2026-03-25T13:00:00Z"/>
        <d v="2026-01-28T10:00:00Z"/>
        <d v="2025-07-22T10:00:00Z"/>
        <d v="2026-04-14T13:00:00Z"/>
        <d v="2026-01-23T13:00:00Z"/>
        <d v="2025-06-19T13:00:00Z"/>
        <d v="2026-04-07T13:00:00Z"/>
        <d v="2026-03-17T13:00:00Z"/>
        <d v="2026-03-05T11:00:00Z"/>
        <d v="2025-07-30T13:00:00Z"/>
        <d v="2026-01-29T10:00:00Z"/>
        <d v="2025-11-06T11:00:00Z"/>
        <d v="2026-04-15T15:00:00Z"/>
        <d v="2025-11-13T11:00:00Z"/>
        <d v="2025-09-25T15:00:00Z"/>
        <d v="2025-12-09T15:00:00Z"/>
        <d v="2025-11-04T15:00:00Z"/>
        <d v="2026-04-07T15:00:00Z"/>
        <d v="2025-11-11T15:00:00Z"/>
        <d v="2025-09-23T10:00:00Z"/>
        <d v="2025-12-05T11:00:00Z"/>
        <d v="2026-03-05T13:00:00Z"/>
        <d v="2026-01-30T11:00:00Z"/>
        <d v="2025-10-29T10:00:00Z"/>
        <d v="2025-08-27T14:00:00Z"/>
        <d v="2026-03-27T13:00:00Z"/>
        <d v="2025-12-19T13:00:00Z"/>
        <d v="2026-04-17T14:00:00Z"/>
        <d v="2025-10-07T13:00:00Z"/>
        <d v="2025-11-18T14:00:00Z"/>
        <d v="2025-09-30T13:00:00Z"/>
        <d v="2025-10-28T13:00:00Z"/>
        <d v="2025-10-14T13:00:00Z"/>
        <d v="2026-01-14T13:00:00Z"/>
        <d v="2026-04-22T13:00:00Z"/>
        <d v="2026-03-26T13:00:00Z"/>
        <d v="2026-04-16T13:00:00Z"/>
        <d v="2026-03-02T14:00:00Z"/>
        <d v="2026-01-30T14:00:00Z"/>
        <d v="2025-09-29T14:00:00Z"/>
        <d v="2026-03-13T13:00:00Z"/>
        <d v="2025-12-15T13:00:00Z"/>
        <d v="2026-04-14T11:00:00Z"/>
        <d v="2026-04-07T10:00:00Z"/>
        <d v="2026-03-31T11:00:00Z"/>
        <d v="2026-04-23T11:00:00Z"/>
        <d v="2026-03-06T11:00:00Z"/>
        <d v="2026-04-22T11:00:00Z"/>
        <d v="2026-04-17T15:00:00Z"/>
        <d v="2026-04-14T15:00:00Z"/>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V1:Y1599" sheet="sheet2"/>
  </cacheSource>
  <cacheFields>
    <cacheField name="Emp Code&#10;(unique)" numFmtId="49">
      <sharedItems containsBlank="1">
        <s v="227155"/>
        <s v="173230"/>
        <s v="143079"/>
        <s v="227122"/>
        <s v="237050"/>
        <s v="227148"/>
        <s v="247300"/>
        <s v="247196"/>
        <s v="247200"/>
        <s v="247156"/>
        <s v="247192"/>
        <s v="247195"/>
        <s v="193547"/>
        <s v="247199"/>
        <s v="247405"/>
        <s v="247265"/>
        <s v="247264"/>
        <s v="247415"/>
        <s v="247360"/>
        <s v="247298"/>
        <s v="193529"/>
        <s v="193479"/>
        <s v="213811"/>
        <s v="183431"/>
        <s v="193499"/>
        <s v="227141"/>
        <s v="183427"/>
        <s v="237130"/>
        <s v="237097"/>
        <s v="193447"/>
        <s v="227160"/>
        <s v="247187"/>
        <s v="237182"/>
        <s v="227092"/>
        <s v="183421"/>
        <s v="247026"/>
        <s v="237043"/>
        <s v="193548"/>
        <s v="247198"/>
        <s v="247190"/>
        <s v="203759"/>
        <s v="247191"/>
        <s v="247388"/>
        <s v="247389"/>
        <s v="227183"/>
        <s v="247390"/>
        <s v="213891"/>
        <s v="193526"/>
        <s v="237117"/>
        <s v="203780"/>
        <s v="247313"/>
        <s v="193523"/>
        <s v="237161"/>
        <s v="237207"/>
        <s v="173272"/>
        <s v="237206"/>
        <s v="203790"/>
        <s v="237158"/>
        <s v="247043"/>
        <s v="237008"/>
        <s v="247260"/>
        <s v="247184"/>
        <s v="247161"/>
        <s v="247080"/>
        <s v="247079"/>
        <s v="247207"/>
        <s v="247037"/>
        <s v="247078"/>
        <s v="247106"/>
        <s v="247038"/>
        <s v="237169"/>
        <s v="237222"/>
        <s v="237227"/>
        <s v="237235"/>
        <s v="237238"/>
        <s v="227153"/>
        <s v="247379"/>
        <s v="183422"/>
        <s v="213893"/>
        <s v="227244"/>
        <s v="213936"/>
        <s v="193516"/>
        <s v="247234"/>
        <s v="213820"/>
        <s v="193443"/>
        <s v="193451"/>
        <s v="193633"/>
        <s v="213938"/>
        <s v="213856"/>
        <s v="227130"/>
        <s v="247185"/>
        <s v="227177"/>
        <s v="247163"/>
        <s v="247384"/>
        <s v="237237"/>
        <s v="213895"/>
        <s v="213991"/>
        <s v="247036"/>
        <s v="247127"/>
        <s v="247076"/>
        <s v="212007"/>
        <s v="242009"/>
        <s v="232002"/>
        <s v="222010"/>
        <s v="242001"/>
        <s v="222014"/>
        <s v="242006"/>
        <s v="242003"/>
        <s v="183432"/>
        <s v="227023"/>
        <s v="183440"/>
        <s v="183400"/>
        <s v="247357"/>
        <s v="227024"/>
        <s v="227032"/>
        <s v="173286"/>
        <s v="193519"/>
        <s v="213810"/>
        <s v="213974"/>
        <s v="213954"/>
        <s v="193579"/>
        <s v="227112"/>
        <s v="247377"/>
        <s v="237056"/>
        <s v="247183"/>
        <s v="237230"/>
        <s v="247412"/>
        <s v="247358"/>
        <s v="183340"/>
        <s v="193534"/>
        <s v="227047"/>
        <s v="133051"/>
        <s v="227080"/>
        <s v="227048"/>
        <s v="227064"/>
        <s v="203693"/>
        <s v="163188"/>
        <s v="237157"/>
        <s v="227035"/>
        <s v="247203"/>
        <s v="237196"/>
        <s v="213901"/>
        <s v="213835"/>
        <s v="227081"/>
        <s v="247332"/>
        <s v="193613"/>
        <s v="247097"/>
        <s v="247085"/>
        <s v="247086"/>
        <s v="213876"/>
        <s v="203765"/>
        <s v="247225"/>
        <s v="247378"/>
        <s v="213947"/>
        <s v="247245"/>
        <s v="227144"/>
        <s v="247359"/>
        <s v="237061"/>
        <s v="227008"/>
        <s v="227069"/>
        <s v="237246"/>
        <s v="237245"/>
        <s v="227188"/>
        <s v="227214"/>
        <s v="237226"/>
        <s v="193584"/>
        <s v="213929"/>
        <s v="227058"/>
        <s v="247083"/>
        <s v="247178"/>
        <s v="143084"/>
        <s v="143071"/>
        <s v="237006"/>
        <s v="227200"/>
        <s v="227225"/>
        <s v="193544"/>
        <s v="227240"/>
        <s v="183324"/>
        <s v="247230"/>
        <s v="227224"/>
        <s v="247114"/>
        <s v="237023"/>
        <s v="227170"/>
        <s v="247122"/>
        <s v="227125"/>
        <s v="183332"/>
        <s v="237049"/>
        <s v="227220"/>
        <s v="247146"/>
        <s v="237101"/>
        <s v="247098"/>
        <s v="237156"/>
        <s v="247119"/>
        <s v="203764"/>
        <s v="213808"/>
        <s v="193536"/>
        <s v="213975"/>
        <s v="213889"/>
        <s v="247054"/>
        <s v="193588"/>
        <s v="213815"/>
        <s v="113024"/>
        <s v="213914"/>
        <s v="213861"/>
        <s v="213851"/>
        <s v="247223"/>
        <s v="193445"/>
        <s v="213968"/>
        <s v="237147"/>
        <s v="213859"/>
        <s v="193632"/>
        <s v="247263"/>
        <s v="247088"/>
        <s v="247262"/>
        <s v="227097"/>
        <s v="247416"/>
        <s v="237183"/>
        <s v="203746"/>
        <s v="213863"/>
        <s v="213898"/>
        <s v="213946"/>
        <s v="227104"/>
        <s v="247172"/>
        <s v="213881"/>
        <s v="213854"/>
        <s v="213805"/>
        <s v="173232"/>
        <s v="203701"/>
        <s v="213935"/>
        <s v="227063"/>
        <s v="213916"/>
        <s v="237110"/>
        <s v="213870"/>
        <s v="237160"/>
        <s v="183423"/>
        <s v="173268"/>
        <s v="193496"/>
        <s v="193490"/>
        <s v="183322"/>
        <s v="173246"/>
        <s v="217001"/>
        <s v="247064"/>
        <s v="227091"/>
        <s v="133067"/>
        <s v="203748"/>
        <s v="257045"/>
        <s v="227055"/>
        <s v="213857"/>
        <s v="173231"/>
        <s v="193607"/>
        <s v="153139"/>
        <s v="193550"/>
        <s v="247102"/>
        <s v="247063"/>
        <s v="227218"/>
        <s v="247062"/>
        <s v="247147"/>
        <s v="237072"/>
        <s v="213844"/>
        <s v="153116"/>
        <s v="247082"/>
        <s v="183330"/>
        <s v="237129"/>
        <s v="227131"/>
        <s v="257036"/>
        <s v="193620"/>
        <s v="163215"/>
        <s v="227101"/>
        <s v="237035"/>
        <s v="203664"/>
        <s v="247065"/>
        <s v="183379"/>
        <s v="193530"/>
        <s v="193470"/>
        <s v="153138"/>
        <s v="193522"/>
        <s v="237070"/>
        <s v="203757"/>
        <s v="213911"/>
        <s v="203791"/>
        <s v="237031"/>
        <s v="203713"/>
        <s v="213874"/>
        <s v="203725"/>
        <s v="227005"/>
        <s v="213813"/>
        <s v="203786"/>
        <s v="257121"/>
        <s v="257135"/>
        <s v="257059"/>
        <s v="237103"/>
        <s v="247423"/>
        <s v="257134"/>
        <s v="237239"/>
        <s v="227116"/>
        <s v="247413"/>
        <s v="183382"/>
        <s v="227103"/>
        <s v="237201"/>
        <s v="193495"/>
        <s v="213817"/>
        <s v="257133"/>
        <s v="257132"/>
        <s v="193511"/>
        <m/>
      </sharedItems>
    </cacheField>
    <cacheField name="Role&#10;(unique)" numFmtId="0">
      <sharedItems containsBlank="1">
        <s v="QC"/>
        <s v="SM"/>
        <s v="DEV"/>
        <s v="TA"/>
        <s v="UI/UX"/>
        <s v="GSD"/>
        <s v="BA"/>
        <s v="HR"/>
        <s v="Admin"/>
        <s v="Designer"/>
        <s v="Management"/>
        <s v="PPO"/>
        <s v="BC"/>
        <s v="IM"/>
        <m/>
      </sharedItems>
    </cacheField>
    <cacheField name="Group Role" numFmtId="0">
      <sharedItems containsBlank="1">
        <s v="QC"/>
        <s v="PPO, SM, IM "/>
        <s v="DEV, TA"/>
        <s v="UI/UX, Des"/>
        <s v="GSD"/>
        <s v="BA, BC"/>
        <s v="HR, GA, Mgt"/>
        <m/>
      </sharedItems>
    </cacheField>
    <cacheField name="BU&#10;(unique)" numFmtId="0">
      <sharedItems containsBlank="1">
        <s v="POC"/>
        <s v="CHORUS"/>
        <s v="LBU"/>
        <s v="ONC"/>
        <s v="TBU"/>
        <s v="MOC"/>
        <s v="BSG"/>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E1599" sheet="sheet2"/>
  </cacheSource>
  <cacheFields>
    <cacheField name="Full Name" numFmtId="0">
      <sharedItems containsBlank="1">
        <s v="VŨ TÚ ANH"/>
        <s v="LÊ THỊ THU HIỀN"/>
        <s v="LÝ THỊ DIỄM MY"/>
        <s v="NGUYỄN THỊ NGỌC DUNG"/>
        <s v="TRẦN THỊ THANH NGA"/>
        <s v="TRẦN THỊ THÙY DUNG"/>
        <s v="ĐỖ CHÂU BỬU"/>
        <s v="ĐOÀN TRẦN BÁ ĐẠT"/>
        <s v="NGÔ TRỌNG NGHĨA"/>
        <s v="NGUYỄN VĂN HOÀNG"/>
        <s v="TRẦN ĐỨC LỢI"/>
        <s v="TRƯƠNG ĐĂNG QUANG"/>
        <s v="VĂN TÂN LỢI"/>
        <s v="VÕ PHÚ PHÁT"/>
        <s v="PHẠM LÊ HOÀI PHƯƠNG"/>
        <s v="NGÔ THỤY THANH NHƯ"/>
        <s v="NGUYỄN NGỌC NGUYỆT NGÂN"/>
        <s v="NGUYỄN THỊ HIỀN NI"/>
        <s v="PHAN HỮU CƯỜNG"/>
        <s v="NGUYỄN LÊ KHOA"/>
        <s v="NGUYỄN VĂN MẠNH CƯỜNG"/>
        <s v="BÙI NGỌC QUỐC"/>
        <s v="ĐẶNG QUỐC MẠNH"/>
        <s v="HOÀNG XUÂN MẪN"/>
        <s v="HUỲNH TUẤN KHANH"/>
        <s v="NGUYỄN ĐÔNG HỒ"/>
        <s v="PHAN CÔNG TOẠI"/>
        <s v="TRẦN KHANG"/>
        <s v="VÕ ĐỒNG ĐỨC DUY"/>
        <s v="NGUYỄN ANH ĐỨC"/>
        <s v="LÊ THỊ LAN HƯƠNG"/>
        <s v="NGUYỄN MINH THƯ"/>
        <s v="NGUYỄN TRỌNG BÌNH NGUYÊN"/>
        <s v="PHẠM THỊ BÍCH THÚY"/>
        <s v="NGUYỄN TẤT ĐẠT"/>
        <s v="ĐỖ HOÀNG MINH HUY"/>
        <s v="HUỲNH BỬU BỬU"/>
        <s v="NGUYỄN THIÊN ÂN"/>
        <s v="NGUYỄN ĐỨC NHẬT"/>
        <s v="HUỲNH NGUYÊN KHANG"/>
        <s v="PHAN THẾ AN"/>
        <s v="TRẦN NGỌC PHƯỚC HOÀNG"/>
        <s v="TRANG KỲ ANH"/>
        <s v="ĐINH TRƯƠNG THANH TUYỀN"/>
        <s v="ĐỖ VŨ GIA LONG"/>
        <s v="ĐOÀN KHÁNH NGUYÊN"/>
        <s v="VÕ DUY KIỆT"/>
        <s v="TRẦN ĐÌNH CHIẾN"/>
        <s v="HUỲNH TẤN PHÁT"/>
        <s v="LÊ HOÀNG NGUYỄN"/>
        <s v="Nguyễn Hồng Mỹ"/>
        <s v="PHẠM HỮU TUẤN"/>
        <s v="TRẦN VĂN HÀ"/>
        <s v="NGUYỄN THÙY GIANG"/>
        <s v="ĐÀO SỸ THỜI"/>
        <s v="LƯƠNG TRÀ VY"/>
        <s v="NGUYỄN QUANG TRUNG"/>
        <s v="NGUYỄN THÀNH PHI"/>
        <s v="NGUYỄN THỊ HỒNG ĐÀO"/>
        <s v="LẠC MINH HOÀNG"/>
        <s v="TRẦN NHƯ TRÂM ANH"/>
        <s v="HOÀNG MINH DUY"/>
        <s v="HUỲNH NHẬT DUY"/>
        <s v="MAI THỊ THÙY TRANG"/>
        <s v="VÕ CAO TRÍ"/>
        <s v="NGUYỄN VĂN ĐỨC"/>
        <s v="BÙI HUỲNH TRUNG TÍN"/>
        <s v="NGUYỄN CÔNG ĐOÀN"/>
        <s v="NGUYỄN KHÁNH UYÊN"/>
        <s v="TĂNG HOÀNG YẾN"/>
        <s v="LƯƠNG ANH TUẤN"/>
        <s v="ĐOÀN NHẬT QUANG"/>
        <s v="DƯƠNG HOÀNG LONG"/>
        <s v="HUỲNH TẤN LỘC"/>
        <s v="LẠI MINH HIẾU"/>
        <s v="NGUYỄN HOÀNG HẠ UYÊN"/>
        <s v="NGUYỄN HỮU NGHỊ"/>
        <s v="LÊ TRẦN XUÂN LÃNH"/>
        <s v="HOÀNG NGỌC THẲNG"/>
        <s v="HUỲNH PHÚC TRƯỜNG"/>
        <s v="NGUYỄN QUỐC TUẤN"/>
        <s v="TRẦN ANH DUY"/>
        <s v="TRẦN DƯƠNG HOÀN MỸ"/>
        <s v="TRẦN THỊ NI NA"/>
        <s v="LÝ THỊ BÉ XÍU"/>
        <s v="NGUYỄN CÔNG HẬU"/>
        <s v="Nguyen Hoai Nam"/>
        <s v="VŨ THANH THẢO"/>
        <s v="Chu Thị Lệ Quỳnh"/>
        <s v="HỒ MẠNH DŨNG"/>
        <s v="LÊ MINH DUY"/>
        <s v="NGUYỄN NGỌC HOÀNG BẢO TRÂN"/>
        <s v="TRẦN ĐÌNH AN"/>
        <s v="VÕ NGUYỄN DUY ANH"/>
        <s v="NGUYỄN ĐẶNG NGỌC MINH"/>
        <s v="NGUYỄN VĂN THÁI"/>
        <s v="ÔNG HOÀI THỊNH"/>
        <s v="PHẠM HỒ LƯỢNG"/>
        <s v="THÁI TRẦN HỒNG PHÚC"/>
        <s v="TRẦN THẾ ANH"/>
        <s v="BÙI MINH NHẬT"/>
        <s v="DƯƠNG THỊ HƯƠNG LAN"/>
        <s v="HOÀNG NHƯ QUỲNH"/>
        <s v="LÊ THỊ LAN ANH"/>
        <s v="NGUYỄN ĐẠT THỊNH"/>
        <s v="NGUYỄN THỊ THÙY TRANG"/>
        <s v="PHAN LÊ HỒNG LEL"/>
        <s v="TRẦN THỊ ÁNH NGUYỆT"/>
        <s v="PHAN ĐÌNH MINH NHẬT"/>
        <s v="HOÀNG NAM VƯƠNG"/>
        <s v="NGUYỄN HOÀNG GIANG"/>
        <s v="TRẦN THANH HIẾU"/>
        <s v="NGÔ MINH HIẾU"/>
        <s v="TRẦN QUỐC VIỆT"/>
        <s v="VŨ NHẬT MINH TRƯỜNG"/>
        <s v="LÊ ANH TIẾN"/>
        <s v="LƯƠNG MINH QUÂN"/>
        <s v="NGUYỄN MINH DUY"/>
        <s v="NGUYỄN QUÍ EM"/>
        <s v="ĐOÀN QUANG TUẤN"/>
        <s v="ĐƯỜNG QUANG HUY"/>
        <s v="TRẦN ĐỨC NAM"/>
        <s v="TRẦN NHỰT TÂN"/>
        <s v="LÊ THỊ DIỄM QUYÊN"/>
        <s v="PHAN THU THẢO"/>
        <s v="TRẦN KIM HẰNG"/>
        <s v="TRẦN QUANG TỐNG"/>
        <s v="TRẦN VĨNH PHÚC"/>
        <s v="TRƯƠNG TRUNG THIÊN"/>
        <s v="LÊ HỒNG QUÂN"/>
        <s v="LÊ THANH SƠN"/>
        <s v="LÝ KHÁNH LONG"/>
        <s v="NGUYỄN BÁ PHI NHẬT"/>
        <s v="NGUYỄN LÝ KHÁNH HUY"/>
        <s v="PHÙNG ĐÌNH HUY"/>
        <s v="QUÁCH NHẬT TRUNG"/>
        <s v="LƯƠNG CÔNG KỲ"/>
        <s v="NGUYỄN BÁ NGỌC"/>
        <s v="NGUYỄN NHẬT HÀO"/>
        <s v="PHAN HUY NHÂN"/>
        <s v="VÕ CHÍ THIỆN"/>
        <s v="HOÀNG TIẾN DŨNG"/>
        <s v="ĐOÀN ANH MINH"/>
        <s v="NGUYỄN HOÀNG PHÚC"/>
        <s v="NGUYỄN PHÚC THANH TOÀN"/>
        <s v="NGUYỄN THÀNH PHƯỚC"/>
        <s v="NGUYỄN TRẦN NGỌC HƯNG"/>
        <s v="THỚI PHI LONG"/>
        <s v="TÔ DIỆP THIÊN ANH"/>
        <s v="ĐỖ GIA KHÁNH"/>
        <s v="LÊ PHƯỚC THIỆN"/>
        <s v="NGUYỄN BẢO ĐẠT"/>
        <s v="NGUYỄN NGỌC PHƯƠNG NHI"/>
        <s v="THÁI NHẬT TÂN"/>
        <s v="TRẦN THỊ HOÀN MỸ"/>
        <s v="HỒ HUỲNH THÔNG"/>
        <s v="NGUYỄN TẤN HUY"/>
        <s v="PHẠM ĐỨC ÁO"/>
        <s v="TÔ PHƯỚC THÁI"/>
        <s v="TRẦN HƯƠNG QUỲNH"/>
        <s v="TỪ NGUYỄN MINH NHẬT"/>
        <s v="VÕ THỊ TUYẾT HỒNG"/>
        <s v="NGUYỄN PHAN THẾ VINH"/>
        <s v="CHU KHÁNH LINH"/>
        <s v="LÂM VĂN TIẾN"/>
        <s v="LE MINH TRUONG"/>
        <s v="LE VAN DONG TAM"/>
        <s v="NGUYỄN TRANG QUỲNH NHƯ"/>
        <s v="NGUYỄN TRÚC DUYÊN"/>
        <s v="PHAN QUỐC BÌNH"/>
        <s v="LÊ ĐẮC CƯỜNG"/>
        <s v="ĐỖ THANH TÙNG"/>
        <s v="LÊ CÔNG DUY"/>
        <s v="NGUYỄN PHI LONG"/>
        <s v="VŨ ANH THƯ"/>
        <s v="VŨ ANH TÚ"/>
        <s v="PHẠM THỊ OANH THƠ"/>
        <s v="DƯƠNG LÊ XUÂN KHANG"/>
        <s v="HOÀNG ĐĂNG TRIỆU"/>
        <s v="NGUYỄN QUỐC DUY"/>
        <s v="NGUYỄN THỊ NGỌC LỮ"/>
        <s v="NGUYỄN TRẦN LỆ DUYÊN"/>
        <s v="TRẦN THỊ YẾN"/>
        <s v="ĐẶNG QUỐC VIỆT"/>
        <s v="ĐOÀN QUỐC HẢI"/>
        <s v="NGUYỄN THẢO QUỲNH NHƯ"/>
        <s v="PHẠM NGỌC ANH DUYÊN"/>
        <s v="VÕ QUỐC THIÊN"/>
        <s v="VÕ THỊ THU HƯƠNG"/>
        <s v="NGUYỄN VĂN TÀI"/>
        <s v="PHẠM HOÀNG THÁI SƠN"/>
        <s v="PHẠM HUY HOÀNG"/>
        <s v="TRẦN MINH TRIẾT"/>
        <s v="PHẠM HỒNG THIÊN TÀI"/>
        <s v="LÊ MINH PHƯỚC"/>
        <s v="LÊ NHẬT LINH"/>
        <s v="LÊ TRIỆU HUẤN"/>
        <s v="NGUYỄN DOÃN NAM"/>
        <s v="HÀ TRẦN TUẤN ANH"/>
        <s v="HUỲNH TRẦN HẢI LONG"/>
        <s v="LÊ VĂN SƠN"/>
        <s v="NGUYỄN TẤN PHÁT"/>
        <s v="TRẦN QUANG ĐẠO"/>
        <s v="TRẦN THANH ĐIỀN"/>
        <s v="TRẦN XUÂN KHOA"/>
        <s v="HUỲNH THỊ BẢO YẾN"/>
        <s v="NGUYỄN THỊ HOÀNG OANH"/>
        <s v="TRẦN THỊ HOÀI THƯƠNG"/>
        <s v="LÂM THỊ YẾN NHI"/>
        <s v="NGUYỄN THÁI SƠN"/>
        <s v="NGUYỄN TRẦN HOÀI MỸ"/>
        <s v="NGUYỄN VĂN HÙNG"/>
        <s v="TÔN THÀNH AN"/>
        <s v="TRẦN MINH TRUNG"/>
        <s v="NGUYỄN THỊ LOAN"/>
        <s v="NGUYỄN LÊ HOÀNG VĂN"/>
        <s v="BẠCH NAM MINH TRÍ"/>
        <s v="ĐINH TIẾN ĐẠT"/>
        <s v="LÊ NGỌC TRUNG HIẾU"/>
        <s v="TRƯƠNG NHỰT MINH THƯ"/>
        <s v="VŨ THỊ HỒNG LIÊN"/>
        <s v="NGUYỄN MINH QUÂN"/>
        <s v="ĐẶNG GIA LỘC"/>
        <s v="LÊ NHẬT"/>
        <s v="NGUYỄN ĐỨC ANH"/>
        <s v="NGUYỄN QUANG ĐỨC"/>
        <s v="PHẠM MAI NHẬT"/>
        <s v="TRẦN NHỰT DUY"/>
        <s v="TRƯƠNG ĐÌNH ÁNH"/>
        <s v="VÕ CHÍ ĐẠI"/>
        <s v="Nguyễn Hữu Phước"/>
        <s v="Trần Quốc Hiệp"/>
        <s v="Trần Tuấn Kiệt"/>
        <s v="TRẦN VĨNH THUẬN"/>
        <s v="PHÙNG QUANG THÀNH"/>
        <s v="PHẠM NGUYỄN TRƯỜNG BẢO"/>
        <s v="PHAN GIA LỘC"/>
        <s v="ĐÀO TRUNG HIẾU"/>
        <s v="LÊ THỊ HOÀNG KIM"/>
        <s v="NGUYỄN HỮU TRƯỜNG"/>
        <s v="NGUYỄN THỊ KIM OANH"/>
        <s v="NGUYỄN VŨ LUÂN"/>
        <s v="NGUYEN DUY PHU"/>
        <s v="LÂM MINH HOÀNG"/>
        <s v="NGUYỄN BẢO DUY"/>
        <s v="NGUYỄN THÀNH NHÂN"/>
        <s v="NGUYỄN THANH TÙNG"/>
        <s v="NGUYỄN TRẦN MINH NGHĨA"/>
        <s v="NGUYEN TRUNG NGHIA"/>
        <s v="PHẠM TƯỜNG NHÂN"/>
        <s v="TRẦN ĐỨC VINH"/>
        <s v="GIANG KHIẾT ĐÌNH"/>
        <s v="NGUYỄN HOÀNG BẢO TRÂN"/>
        <s v="NGUYỄN THẾ ANH"/>
        <s v="PHẠM LÊ QUỲNH HƯƠNG"/>
        <s v="NGUYỄN MINH LIÊN"/>
        <s v="LÊ MINH HY"/>
        <s v="NGUYEN DUY PHONG"/>
        <s v="NGUYEN HUU DUY"/>
        <s v="NGUYỄN THỊ KIM TRANG"/>
        <s v="PHẠM HUỲNH TÂN"/>
        <s v="NGUYỄN TRƯƠNG BẢO QUYÊN"/>
        <s v="NGUYỄN PHÚC VINH"/>
        <s v="TRẦN THỊ HUỲNH NHƯ"/>
        <s v="VÕ THỊ HƯƠNG GIANG"/>
        <s v="Tạ Thiên Phước (Noah)"/>
        <s v="Nguyễn Đặng Khương Duy (Dustin)"/>
        <s v="Nguyễn Hà Vi (V)"/>
        <s v="Phạm Ngọc Hưng (Zero)"/>
        <s v="Tạ Phạm Minh Chương (Chivas)"/>
        <s v="Trần Hùng Cường (Ethan)"/>
        <s v="Nguyễn Quốc Thái"/>
        <s v="Nguyễn Đình Mạnh"/>
        <s v="Đinh Bộ Lĩnh"/>
        <s v="Cao Ngọc Nguyên"/>
        <s v="Trần Hoàng Tuấn"/>
        <s v="Hồ Phạm Sĩ Hùng"/>
        <s v="Trương Quốc Quy"/>
        <s v="Nguyễn Ngọc Thạch"/>
        <s v="Bùi Quang Khôi"/>
        <s v="Nguyễn Hoàng Hải"/>
        <s v="Đặng Thanh Túc"/>
        <s v="Nguyen Tran Minh Nghia"/>
        <s v="Ngô Thị Huyền Trang (Joyce)"/>
        <s v="Lê Trọng Ân"/>
        <s v="Trần Ánh Tuyết (Taylor)"/>
        <s v="Nguyễn Kim Khánh (Annie)"/>
        <s v="Lê Tuyết Ngân"/>
        <s v="Nguyễn Ngọc Hào"/>
        <s v="Nguyễn Thị Thùy Linh"/>
        <s v="CHUNG QUANG PHƯƠNG"/>
        <s v="ĐINH QUỐC HUẤN"/>
        <s v="ĐỖ NGỌC THÀNH"/>
        <s v="LÊ THẾ PHƯƠNG"/>
        <s v="NGUYỄN ĐỨC TIẾN"/>
        <s v="NGUYỄN DUY PHÚ"/>
        <s v="NGUYỄN HUỲNH SƠN"/>
        <s v="NGUYỄN MINH QUANG"/>
        <s v="THẠCH THÁI HUY"/>
        <s v="Bui Duy Tan"/>
        <s v="Le Thi Diem Phuong"/>
        <s v="Tran Thi Huyen Tran"/>
        <s v="Trang Duy Thông"/>
        <m/>
      </sharedItems>
    </cacheField>
    <cacheField name="Class Code" numFmtId="49">
      <sharedItems containsBlank="1">
        <s v="EL001"/>
        <s v="EL002"/>
        <s v="EL003"/>
        <s v="EL004"/>
        <s v="EL005"/>
        <s v="EL006"/>
        <s v="EL007"/>
        <s v="EL008"/>
        <s v="EL009"/>
        <s v="EL010"/>
        <s v="EL011"/>
        <s v="EL012"/>
        <s v="EL013"/>
        <s v="EL014"/>
        <s v="EL015"/>
        <s v="EL016"/>
        <s v="EL017"/>
        <s v="EL018"/>
        <s v="EL019"/>
        <s v="EL020"/>
        <s v="EL021"/>
        <s v="EL022"/>
        <s v="EL023"/>
        <s v="EL024"/>
        <s v="EL025"/>
        <s v="EL026"/>
        <s v="EL027"/>
        <s v="EL028"/>
        <s v="EL029"/>
        <s v="EL030"/>
        <s v="EL031"/>
        <s v="EL032"/>
        <s v="EL033"/>
        <s v="EL034"/>
        <s v="EL035"/>
        <s v="EL037"/>
        <s v="EL038"/>
        <s v="EL039"/>
        <s v="EL040"/>
        <s v="EL041"/>
        <s v="EL042"/>
        <s v="EL043"/>
        <s v="EL044"/>
        <s v="EL045"/>
        <s v="EL046"/>
        <s v="EL047"/>
        <s v="EL048"/>
        <s v="EL049"/>
        <s v="EL050"/>
        <s v="EL051"/>
        <m/>
      </sharedItems>
    </cacheField>
    <cacheField name="PIC" numFmtId="49">
      <sharedItems containsBlank="1">
        <s v="Anh Vu"/>
        <s v="Buu Do 1"/>
        <s v="Buu Do 2"/>
        <s v="Cuong Nguyen"/>
        <s v="Duc Nguyen"/>
        <s v="Dat Nguyen"/>
        <s v="Nhat Nguyen"/>
        <s v="Hung Nguyen"/>
        <s v="Huong Le"/>
        <s v="Huy Tran 1"/>
        <s v="Huy Tran 2"/>
        <s v="Huyen Vo"/>
        <s v="Lanh Le"/>
        <s v="Thao Vu 1"/>
        <s v="Thao Vu 2"/>
        <s v="Minh Nguyen"/>
        <s v="Nhat Bui"/>
        <s v="Nhat Phan 1"/>
        <s v="Nhat Phan 2"/>
        <s v="Qui Em"/>
        <s v="Tan Tran"/>
        <s v="Thien Truong"/>
        <s v="Ky Luong"/>
        <s v="Dung Hoang"/>
        <s v="Anh To"/>
        <s v="My Tran"/>
        <s v="Vinh Nguyen"/>
        <s v="Yen Tran 1"/>
        <s v="Yen Tran 2"/>
        <s v="Yen Tran 3"/>
        <s v="Tai Nguyen"/>
        <s v="Tai Pham"/>
        <s v="Anh Ha"/>
        <s v="Thuong Tran"/>
        <s v="Van Nguyen"/>
        <s v="Quan Nguyen"/>
        <s v="My Nguyen"/>
        <s v="Huy Nguyen"/>
        <s v="Thanh Phung"/>
        <s v="Phu Nguyen"/>
        <s v="Vinh Tran"/>
        <s v="Liên Nguyễn"/>
        <s v="Quyen Nguyen"/>
        <s v="Phuoc Ta"/>
        <s v="Thai Nguyen 1"/>
        <s v="Thai Nguyen 2"/>
        <s v="Trang Nguyen"/>
        <s v="Phung Nguyen"/>
        <s v="Nam Nguyen"/>
        <m/>
      </sharedItems>
    </cacheField>
    <cacheField name="Course Name" numFmtId="0">
      <sharedItems containsBlank="1">
        <s v="Communication 1"/>
        <s v="Communication 2"/>
        <s v="Business English"/>
        <s v="Communication 3"/>
        <s v="Foundation"/>
        <s v="Extension of Foundation"/>
        <m/>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N1:AQ1599" sheet="sheet2"/>
  </cacheSource>
  <cacheFields>
    <cacheField name="Emp Code&#10;(Active, uniques)">
      <sharedItems containsBlank="1" containsMixedTypes="1" containsNumber="1" containsInteger="1">
        <s v="213817"/>
        <s v="237226"/>
        <s v="213856"/>
        <s v="247423"/>
        <s v="183322"/>
        <s v="257134"/>
        <s v="237239"/>
        <s v="213835"/>
        <s v="247063"/>
        <s v="193588"/>
        <s v="213893"/>
        <s v="213901"/>
        <s v="227244"/>
        <s v="237117"/>
        <s v="213859"/>
        <s v="193584"/>
        <s v="203780"/>
        <s v="193534"/>
        <s v="247185"/>
        <s v="213844"/>
        <s v="227047"/>
        <s v="227116"/>
        <s v="257133"/>
        <s v="173246"/>
        <s v="173230"/>
        <s v="183422"/>
        <s v="213889"/>
        <s v="163188"/>
        <s v="133051"/>
        <s v="143079"/>
        <s v="237035"/>
        <s v="247413"/>
        <s v="153116"/>
        <s v="183382"/>
        <s v="203664"/>
        <s v="193633"/>
        <s v="227218"/>
        <s v="227081"/>
        <s v="247313"/>
        <s v="227103"/>
        <s v="227048"/>
        <s v="247172"/>
        <s v="237201"/>
        <s v="227177"/>
        <s v="227035"/>
        <s v="227214"/>
        <s v="247332"/>
        <s v="173232"/>
        <s v="193613"/>
        <s v="203790"/>
        <s v="193632"/>
        <s v="247097"/>
        <s v="247062"/>
        <s v="247064"/>
        <s v="183330"/>
        <s v="227122"/>
        <s v="247263"/>
        <s v="247083"/>
        <s v="247178"/>
        <s v="153139"/>
        <s v="227091"/>
        <s v="193523"/>
        <s v="247119"/>
        <s v="247147"/>
        <s v="203701"/>
        <s v="247065"/>
        <s v="193496"/>
        <s v="183427"/>
        <s v="193490"/>
        <s v="173268"/>
        <s v="183379"/>
        <s v="227101"/>
        <s v="193495"/>
        <s v="247262"/>
        <s v="193516"/>
        <s v="193526"/>
        <s v="247102"/>
        <s v="247234"/>
        <s v="193530"/>
        <s v="203764"/>
        <s v="237147"/>
        <s v="257132"/>
        <s v="237050"/>
        <s v="227148"/>
        <s v="237161"/>
        <s v="193511"/>
        <s v="183340"/>
        <s v="213916"/>
        <s v="227155"/>
        <n v="193470.0"/>
        <s v="153138"/>
        <s v="193522"/>
        <s v="237070"/>
        <s v="203757"/>
        <s v="213911"/>
        <s v="203791"/>
        <s v="237031"/>
        <s v="203713"/>
        <s v="213874"/>
        <s v="203725"/>
        <s v="227005"/>
        <s v="213813"/>
        <s v="203786"/>
        <s v="257121"/>
        <s v="257135"/>
        <s v="257059"/>
        <m/>
      </sharedItems>
    </cacheField>
    <cacheField name="Role&#10;(unique)" numFmtId="0">
      <sharedItems containsBlank="1">
        <s v="QC"/>
        <s v="GSD"/>
        <s v="DEV"/>
        <s v="Designer"/>
        <s v="SM"/>
        <s v="TA"/>
        <s v="BA"/>
        <e v="#N/A"/>
        <s v="IM"/>
        <m/>
      </sharedItems>
    </cacheField>
    <cacheField name="Group Role" numFmtId="0">
      <sharedItems containsBlank="1">
        <s v="QC"/>
        <s v="GSD"/>
        <s v="DEV, TA"/>
        <s v="UI/UX, Des"/>
        <s v="PPO, SM, IM "/>
        <s v="BA, BC"/>
        <e v="#N/A"/>
        <m/>
      </sharedItems>
    </cacheField>
    <cacheField name="BU&#10;(unique)" numFmtId="0">
      <sharedItems containsBlank="1">
        <s v="ONC"/>
        <s v="LBU"/>
        <s v="MOC"/>
        <s v="CHORUS"/>
        <s v="POC"/>
        <s v="TBU"/>
        <e v="#N/A"/>
        <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V1:Y1599" sheet="backupsheet2"/>
  </cacheSource>
  <cacheFields>
    <cacheField name="Emp Code&#10;(unique)" numFmtId="49">
      <sharedItems containsBlank="1">
        <s v="227155"/>
        <s v="173230"/>
        <s v="143079"/>
        <s v="227122"/>
        <s v="237050"/>
        <s v="227148"/>
        <s v="247300"/>
        <s v="247196"/>
        <s v="247200"/>
        <s v="247156"/>
        <s v="247192"/>
        <s v="247195"/>
        <s v="193547"/>
        <s v="247199"/>
        <s v="247405"/>
        <s v="247265"/>
        <s v="247264"/>
        <s v="247415"/>
        <s v="247360"/>
        <s v="247298"/>
        <s v="193529"/>
        <s v="193479"/>
        <s v="213811"/>
        <s v="183431"/>
        <s v="193499"/>
        <s v="227141"/>
        <s v="183427"/>
        <s v="237130"/>
        <s v="237097"/>
        <s v="193447"/>
        <s v="227160"/>
        <s v="247187"/>
        <s v="237182"/>
        <s v="227092"/>
        <s v="183421"/>
        <s v="247026"/>
        <s v="237043"/>
        <s v="193548"/>
        <s v="247198"/>
        <s v="247190"/>
        <s v="203759"/>
        <s v="247191"/>
        <s v="247388"/>
        <s v="247389"/>
        <s v="227183"/>
        <s v="247390"/>
        <s v="213891"/>
        <s v="193526"/>
        <s v="237117"/>
        <s v="203780"/>
        <s v="247313"/>
        <s v="193523"/>
        <s v="237161"/>
        <s v="237207"/>
        <s v="173272"/>
        <s v="237206"/>
        <s v="203790"/>
        <s v="237158"/>
        <s v="247043"/>
        <s v="237008"/>
        <s v="247260"/>
        <s v="247184"/>
        <s v="247161"/>
        <s v="247080"/>
        <s v="247079"/>
        <s v="247207"/>
        <s v="247037"/>
        <s v="247078"/>
        <s v="247106"/>
        <s v="247038"/>
        <s v="237169"/>
        <s v="237222"/>
        <s v="237227"/>
        <s v="237235"/>
        <s v="237238"/>
        <s v="227153"/>
        <s v="247379"/>
        <s v="183422"/>
        <s v="213893"/>
        <s v="227244"/>
        <s v="213936"/>
        <s v="193516"/>
        <s v="247234"/>
        <s v="213820"/>
        <s v="193443"/>
        <s v="193451"/>
        <s v="193633"/>
        <s v="213938"/>
        <s v="213856"/>
        <s v="227130"/>
        <s v="247185"/>
        <s v="227177"/>
        <s v="247163"/>
        <s v="247384"/>
        <s v="237237"/>
        <s v="213895"/>
        <s v="213991"/>
        <s v="247036"/>
        <s v="247127"/>
        <s v="247076"/>
        <s v="212007"/>
        <s v="242009"/>
        <s v="232002"/>
        <s v="222010"/>
        <s v="242001"/>
        <s v="222014"/>
        <s v="242006"/>
        <s v="242003"/>
        <s v="183432"/>
        <s v="227023"/>
        <s v="183440"/>
        <s v="183400"/>
        <s v="247357"/>
        <s v="227024"/>
        <s v="227032"/>
        <s v="173286"/>
        <s v="193519"/>
        <s v="213810"/>
        <s v="213974"/>
        <s v="213954"/>
        <s v="193579"/>
        <s v="227112"/>
        <s v="247377"/>
        <s v="237056"/>
        <s v="247183"/>
        <s v="237230"/>
        <s v="247412"/>
        <s v="247358"/>
        <s v="183340"/>
        <s v="193534"/>
        <s v="227047"/>
        <s v="133051"/>
        <s v="227080"/>
        <s v="227048"/>
        <s v="227064"/>
        <s v="203693"/>
        <s v="163188"/>
        <s v="237157"/>
        <s v="227035"/>
        <s v="247203"/>
        <s v="237196"/>
        <s v="213901"/>
        <s v="213835"/>
        <s v="227081"/>
        <s v="247332"/>
        <s v="193613"/>
        <s v="247097"/>
        <s v="247085"/>
        <s v="247086"/>
        <s v="213876"/>
        <s v="203765"/>
        <s v="247225"/>
        <s v="247378"/>
        <s v="213947"/>
        <s v="247245"/>
        <s v="227144"/>
        <s v="247359"/>
        <s v="237061"/>
        <s v="227008"/>
        <s v="227069"/>
        <s v="237246"/>
        <s v="237245"/>
        <s v="227188"/>
        <s v="227214"/>
        <s v="237226"/>
        <s v="193584"/>
        <s v="213929"/>
        <s v="227058"/>
        <s v="247083"/>
        <s v="247178"/>
        <s v="143084"/>
        <s v="143071"/>
        <s v="237006"/>
        <s v="227200"/>
        <s v="227225"/>
        <s v="193544"/>
        <s v="227240"/>
        <s v="183324"/>
        <s v="247230"/>
        <s v="227224"/>
        <s v="247114"/>
        <s v="237023"/>
        <s v="227170"/>
        <s v="247122"/>
        <s v="227125"/>
        <s v="183332"/>
        <s v="237049"/>
        <s v="227220"/>
        <s v="247146"/>
        <s v="237101"/>
        <s v="247098"/>
        <s v="237156"/>
        <s v="247119"/>
        <s v="203764"/>
        <s v="213808"/>
        <s v="193536"/>
        <s v="213975"/>
        <s v="213889"/>
        <s v="247054"/>
        <s v="193588"/>
        <s v="213815"/>
        <s v="113024"/>
        <s v="213914"/>
        <s v="213861"/>
        <s v="213851"/>
        <s v="247223"/>
        <s v="193445"/>
        <s v="213968"/>
        <s v="237147"/>
        <s v="213859"/>
        <s v="193632"/>
        <s v="247263"/>
        <s v="247088"/>
        <s v="247262"/>
        <s v="227097"/>
        <s v="247416"/>
        <s v="237183"/>
        <s v="203746"/>
        <s v="213863"/>
        <s v="213898"/>
        <s v="213946"/>
        <s v="227104"/>
        <s v="247172"/>
        <s v="213881"/>
        <s v="213854"/>
        <s v="213805"/>
        <s v="173232"/>
        <s v="203701"/>
        <s v="213935"/>
        <s v="227063"/>
        <s v="213916"/>
        <s v="237110"/>
        <s v="213870"/>
        <s v="237160"/>
        <s v="183423"/>
        <s v="173268"/>
        <s v="193496"/>
        <s v="193490"/>
        <s v="183322"/>
        <s v="173246"/>
        <s v="217001"/>
        <s v="247064"/>
        <s v="227091"/>
        <s v="133067"/>
        <s v="203748"/>
        <s v="257045"/>
        <s v="227055"/>
        <s v="213857"/>
        <s v="173231"/>
        <s v="193607"/>
        <s v="153139"/>
        <s v="193550"/>
        <s v="247102"/>
        <s v="247063"/>
        <s v="227218"/>
        <s v="247062"/>
        <s v="247147"/>
        <s v="237072"/>
        <s v="213844"/>
        <s v="153116"/>
        <s v="247082"/>
        <s v="183330"/>
        <s v="237129"/>
        <s v="227131"/>
        <s v="257036"/>
        <s v="193620"/>
        <s v="163215"/>
        <s v="227101"/>
        <s v="237035"/>
        <s v="203664"/>
        <s v="247065"/>
        <s v="183379"/>
        <s v="193530"/>
        <s v="193470"/>
        <s v="153138"/>
        <s v="193522"/>
        <s v="237070"/>
        <s v="203757"/>
        <s v="213911"/>
        <s v="203791"/>
        <s v="237031"/>
        <s v="203713"/>
        <s v="213874"/>
        <s v="203725"/>
        <s v="227005"/>
        <s v="213813"/>
        <s v="203786"/>
        <s v="257121"/>
        <s v="257135"/>
        <s v="257059"/>
        <s v="237103"/>
        <s v="247423"/>
        <s v="257134"/>
        <s v="237239"/>
        <s v="227116"/>
        <s v="247413"/>
        <s v="183382"/>
        <s v="227103"/>
        <s v="237201"/>
        <s v="193495"/>
        <s v="213817"/>
        <s v="257133"/>
        <s v="257132"/>
        <s v="193511"/>
        <m/>
      </sharedItems>
    </cacheField>
    <cacheField name="Role&#10;(unique)" numFmtId="0">
      <sharedItems containsBlank="1">
        <s v="QC"/>
        <s v="SM"/>
        <s v="DEV"/>
        <s v="TA"/>
        <s v="UI/UX"/>
        <s v="GSD"/>
        <s v="BA"/>
        <s v="HR"/>
        <s v="Admin"/>
        <s v="Designer"/>
        <s v="Management"/>
        <s v="PPO"/>
        <s v="BC"/>
        <s v="IM"/>
        <m/>
      </sharedItems>
    </cacheField>
    <cacheField name="Group Role" numFmtId="0">
      <sharedItems containsBlank="1">
        <s v="QC"/>
        <s v="PPO, SM, IM "/>
        <s v="DEV, TA"/>
        <s v="UI/UX, Des"/>
        <s v="GSD"/>
        <s v="BA, BC"/>
        <s v="HR, GA, Mgt"/>
        <m/>
      </sharedItems>
    </cacheField>
    <cacheField name="BU&#10;(unique)" numFmtId="0">
      <sharedItems containsBlank="1">
        <s v="POC"/>
        <s v="CHORUS"/>
        <s v="LBU"/>
        <s v="ONC"/>
        <s v="TBU"/>
        <s v="MOC"/>
        <s v="BSG"/>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E1599" sheet="backupsheet2"/>
  </cacheSource>
  <cacheFields>
    <cacheField name="Full Name" numFmtId="0">
      <sharedItems containsBlank="1">
        <s v="VŨ TÚ ANH"/>
        <s v="LÊ THỊ THU HIỀN"/>
        <s v="LÝ THỊ DIỄM MY"/>
        <s v="NGUYỄN THỊ NGỌC DUNG"/>
        <s v="TRẦN THỊ THANH NGA"/>
        <s v="TRẦN THỊ THÙY DUNG"/>
        <s v="ĐỖ CHÂU BỬU"/>
        <s v="ĐOÀN TRẦN BÁ ĐẠT"/>
        <s v="NGÔ TRỌNG NGHĨA"/>
        <s v="NGUYỄN VĂN HOÀNG"/>
        <s v="TRẦN ĐỨC LỢI"/>
        <s v="TRƯƠNG ĐĂNG QUANG"/>
        <s v="VĂN TÂN LỢI"/>
        <s v="VÕ PHÚ PHÁT"/>
        <s v="PHẠM LÊ HOÀI PHƯƠNG"/>
        <s v="NGÔ THỤY THANH NHƯ"/>
        <s v="NGUYỄN NGỌC NGUYỆT NGÂN"/>
        <s v="NGUYỄN THỊ HIỀN NI"/>
        <s v="PHAN HỮU CƯỜNG"/>
        <s v="NGUYỄN LÊ KHOA"/>
        <s v="NGUYỄN VĂN MẠNH CƯỜNG"/>
        <s v="BÙI NGỌC QUỐC"/>
        <s v="ĐẶNG QUỐC MẠNH"/>
        <s v="HOÀNG XUÂN MẪN"/>
        <s v="HUỲNH TUẤN KHANH"/>
        <s v="NGUYỄN ĐÔNG HỒ"/>
        <s v="PHAN CÔNG TOẠI"/>
        <s v="TRẦN KHANG"/>
        <s v="VÕ ĐỒNG ĐỨC DUY"/>
        <s v="NGUYỄN ANH ĐỨC"/>
        <s v="LÊ THỊ LAN HƯƠNG"/>
        <s v="NGUYỄN MINH THƯ"/>
        <s v="NGUYỄN TRỌNG BÌNH NGUYÊN"/>
        <s v="PHẠM THỊ BÍCH THÚY"/>
        <s v="NGUYỄN TẤT ĐẠT"/>
        <s v="ĐỖ HOÀNG MINH HUY"/>
        <s v="HUỲNH BỬU BỬU"/>
        <s v="NGUYỄN THIÊN ÂN"/>
        <s v="NGUYỄN ĐỨC NHẬT"/>
        <s v="HUỲNH NGUYÊN KHANG"/>
        <s v="PHAN THẾ AN"/>
        <s v="TRẦN NGỌC PHƯỚC HOÀNG"/>
        <s v="TRANG KỲ ANH"/>
        <s v="ĐINH TRƯƠNG THANH TUYỀN"/>
        <s v="ĐỖ VŨ GIA LONG"/>
        <s v="ĐOÀN KHÁNH NGUYÊN"/>
        <s v="VÕ DUY KIỆT"/>
        <s v="TRẦN ĐÌNH CHIẾN"/>
        <s v="HUỲNH TẤN PHÁT"/>
        <s v="LÊ HOÀNG NGUYỄN"/>
        <s v="Nguyễn Hồng Mỹ"/>
        <s v="PHẠM HỮU TUẤN"/>
        <s v="TRẦN VĂN HÀ"/>
        <s v="NGUYỄN THÙY GIANG"/>
        <s v="ĐÀO SỸ THỜI"/>
        <s v="LƯƠNG TRÀ VY"/>
        <s v="NGUYỄN QUANG TRUNG"/>
        <s v="NGUYỄN THÀNH PHI"/>
        <s v="NGUYỄN THỊ HỒNG ĐÀO"/>
        <s v="LẠC MINH HOÀNG"/>
        <s v="TRẦN NHƯ TRÂM ANH"/>
        <s v="HOÀNG MINH DUY"/>
        <s v="HUỲNH NHẬT DUY"/>
        <s v="MAI THỊ THÙY TRANG"/>
        <s v="VÕ CAO TRÍ"/>
        <s v="NGUYỄN VĂN ĐỨC"/>
        <s v="BÙI HUỲNH TRUNG TÍN"/>
        <s v="NGUYỄN CÔNG ĐOÀN"/>
        <s v="NGUYỄN KHÁNH UYÊN"/>
        <s v="TĂNG HOÀNG YẾN"/>
        <s v="LƯƠNG ANH TUẤN"/>
        <s v="ĐOÀN NHẬT QUANG"/>
        <s v="DƯƠNG HOÀNG LONG"/>
        <s v="HUỲNH TẤN LỘC"/>
        <s v="LẠI MINH HIẾU"/>
        <s v="NGUYỄN HOÀNG HẠ UYÊN"/>
        <s v="NGUYỄN HỮU NGHỊ"/>
        <s v="LÊ TRẦN XUÂN LÃNH"/>
        <s v="HOÀNG NGỌC THẲNG"/>
        <s v="HUỲNH PHÚC TRƯỜNG"/>
        <s v="NGUYỄN QUỐC TUẤN"/>
        <s v="TRẦN ANH DUY"/>
        <s v="TRẦN DƯƠNG HOÀN MỸ"/>
        <s v="TRẦN THỊ NI NA"/>
        <s v="LÝ THỊ BÉ XÍU"/>
        <s v="NGUYỄN CÔNG HẬU"/>
        <s v="Nguyen Hoai Nam"/>
        <s v="VŨ THANH THẢO"/>
        <s v="Chu Thị Lệ Quỳnh"/>
        <s v="HỒ MẠNH DŨNG"/>
        <s v="LÊ MINH DUY"/>
        <s v="NGUYỄN NGỌC HOÀNG BẢO TRÂN"/>
        <s v="TRẦN ĐÌNH AN"/>
        <s v="VÕ NGUYỄN DUY ANH"/>
        <s v="NGUYỄN ĐẶNG NGỌC MINH"/>
        <s v="NGUYỄN VĂN THÁI"/>
        <s v="ÔNG HOÀI THỊNH"/>
        <s v="PHẠM HỒ LƯỢNG"/>
        <s v="THÁI TRẦN HỒNG PHÚC"/>
        <s v="TRẦN THẾ ANH"/>
        <s v="BÙI MINH NHẬT"/>
        <s v="DƯƠNG THỊ HƯƠNG LAN"/>
        <s v="HOÀNG NHƯ QUỲNH"/>
        <s v="LÊ THỊ LAN ANH"/>
        <s v="NGUYỄN ĐẠT THỊNH"/>
        <s v="NGUYỄN THỊ THÙY TRANG"/>
        <s v="PHAN LÊ HỒNG LEL"/>
        <s v="TRẦN THỊ ÁNH NGUYỆT"/>
        <s v="PHAN ĐÌNH MINH NHẬT"/>
        <s v="HOÀNG NAM VƯƠNG"/>
        <s v="NGUYỄN HOÀNG GIANG"/>
        <s v="TRẦN THANH HIẾU"/>
        <s v="NGÔ MINH HIẾU"/>
        <s v="TRẦN QUỐC VIỆT"/>
        <s v="VŨ NHẬT MINH TRƯỜNG"/>
        <s v="LÊ ANH TIẾN"/>
        <s v="LƯƠNG MINH QUÂN"/>
        <s v="NGUYỄN MINH DUY"/>
        <s v="NGUYỄN QUÍ EM"/>
        <s v="ĐOÀN QUANG TUẤN"/>
        <s v="ĐƯỜNG QUANG HUY"/>
        <s v="TRẦN ĐỨC NAM"/>
        <s v="TRẦN NHỰT TÂN"/>
        <s v="LÊ THỊ DIỄM QUYÊN"/>
        <s v="PHAN THU THẢO"/>
        <s v="TRẦN KIM HẰNG"/>
        <s v="TRẦN QUANG TỐNG"/>
        <s v="TRẦN VĨNH PHÚC"/>
        <s v="TRƯƠNG TRUNG THIÊN"/>
        <s v="LÊ HỒNG QUÂN"/>
        <s v="LÊ THANH SƠN"/>
        <s v="LÝ KHÁNH LONG"/>
        <s v="NGUYỄN BÁ PHI NHẬT"/>
        <s v="NGUYỄN LÝ KHÁNH HUY"/>
        <s v="PHÙNG ĐÌNH HUY"/>
        <s v="QUÁCH NHẬT TRUNG"/>
        <s v="LƯƠNG CÔNG KỲ"/>
        <s v="NGUYỄN BÁ NGỌC"/>
        <s v="NGUYỄN NHẬT HÀO"/>
        <s v="PHAN HUY NHÂN"/>
        <s v="VÕ CHÍ THIỆN"/>
        <s v="HOÀNG TIẾN DŨNG"/>
        <s v="ĐOÀN ANH MINH"/>
        <s v="NGUYỄN HOÀNG PHÚC"/>
        <s v="NGUYỄN PHÚC THANH TOÀN"/>
        <s v="NGUYỄN THÀNH PHƯỚC"/>
        <s v="NGUYỄN TRẦN NGỌC HƯNG"/>
        <s v="THỚI PHI LONG"/>
        <s v="TÔ DIỆP THIÊN ANH"/>
        <s v="ĐỖ GIA KHÁNH"/>
        <s v="LÊ PHƯỚC THIỆN"/>
        <s v="NGUYỄN BẢO ĐẠT"/>
        <s v="NGUYỄN NGỌC PHƯƠNG NHI"/>
        <s v="THÁI NHẬT TÂN"/>
        <s v="TRẦN THỊ HOÀN MỸ"/>
        <s v="HỒ HUỲNH THÔNG"/>
        <s v="NGUYỄN TẤN HUY"/>
        <s v="PHẠM ĐỨC ÁO"/>
        <s v="TÔ PHƯỚC THÁI"/>
        <s v="TRẦN HƯƠNG QUỲNH"/>
        <s v="TỪ NGUYỄN MINH NHẬT"/>
        <s v="VÕ THỊ TUYẾT HỒNG"/>
        <s v="NGUYỄN PHAN THẾ VINH"/>
        <s v="CHU KHÁNH LINH"/>
        <s v="LÂM VĂN TIẾN"/>
        <s v="LE MINH TRUONG"/>
        <s v="LE VAN DONG TAM"/>
        <s v="NGUYỄN TRANG QUỲNH NHƯ"/>
        <s v="NGUYỄN TRÚC DUYÊN"/>
        <s v="PHAN QUỐC BÌNH"/>
        <s v="LÊ ĐẮC CƯỜNG"/>
        <s v="ĐỖ THANH TÙNG"/>
        <s v="LÊ CÔNG DUY"/>
        <s v="NGUYỄN PHI LONG"/>
        <s v="VŨ ANH THƯ"/>
        <s v="VŨ ANH TÚ"/>
        <s v="PHẠM THỊ OANH THƠ"/>
        <s v="DƯƠNG LÊ XUÂN KHANG"/>
        <s v="HOÀNG ĐĂNG TRIỆU"/>
        <s v="NGUYỄN QUỐC DUY"/>
        <s v="NGUYỄN THỊ NGỌC LỮ"/>
        <s v="NGUYỄN TRẦN LỆ DUYÊN"/>
        <s v="TRẦN THỊ YẾN"/>
        <s v="ĐẶNG QUỐC VIỆT"/>
        <s v="ĐOÀN QUỐC HẢI"/>
        <s v="NGUYỄN THẢO QUỲNH NHƯ"/>
        <s v="PHẠM NGỌC ANH DUYÊN"/>
        <s v="VÕ QUỐC THIÊN"/>
        <s v="VÕ THỊ THU HƯƠNG"/>
        <s v="NGUYỄN VĂN TÀI"/>
        <s v="PHẠM HOÀNG THÁI SƠN"/>
        <s v="PHẠM HUY HOÀNG"/>
        <s v="TRẦN MINH TRIẾT"/>
        <s v="PHẠM HỒNG THIÊN TÀI"/>
        <s v="LÊ MINH PHƯỚC"/>
        <s v="LÊ NHẬT LINH"/>
        <s v="LÊ TRIỆU HUẤN"/>
        <s v="NGUYỄN DOÃN NAM"/>
        <s v="HÀ TRẦN TUẤN ANH"/>
        <s v="HUỲNH TRẦN HẢI LONG"/>
        <s v="LÊ VĂN SƠN"/>
        <s v="NGUYỄN TẤN PHÁT"/>
        <s v="TRẦN QUANG ĐẠO"/>
        <s v="TRẦN THANH ĐIỀN"/>
        <s v="TRẦN XUÂN KHOA"/>
        <s v="HUỲNH THỊ BẢO YẾN"/>
        <s v="NGUYỄN THỊ HOÀNG OANH"/>
        <s v="TRẦN THỊ HOÀI THƯƠNG"/>
        <s v="LÂM THỊ YẾN NHI"/>
        <s v="NGUYỄN THÁI SƠN"/>
        <s v="NGUYỄN TRẦN HOÀI MỸ"/>
        <s v="NGUYỄN VĂN HÙNG"/>
        <s v="TÔN THÀNH AN"/>
        <s v="TRẦN MINH TRUNG"/>
        <s v="NGUYỄN THỊ LOAN"/>
        <s v="NGUYỄN LÊ HOÀNG VĂN"/>
        <s v="BẠCH NAM MINH TRÍ"/>
        <s v="ĐINH TIẾN ĐẠT"/>
        <s v="LÊ NGỌC TRUNG HIẾU"/>
        <s v="TRƯƠNG NHỰT MINH THƯ"/>
        <s v="VŨ THỊ HỒNG LIÊN"/>
        <s v="NGUYỄN MINH QUÂN"/>
        <s v="ĐẶNG GIA LỘC"/>
        <s v="LÊ NHẬT"/>
        <s v="NGUYỄN ĐỨC ANH"/>
        <s v="NGUYỄN QUANG ĐỨC"/>
        <s v="PHẠM MAI NHẬT"/>
        <s v="TRẦN NHỰT DUY"/>
        <s v="TRƯƠNG ĐÌNH ÁNH"/>
        <s v="VÕ CHÍ ĐẠI"/>
        <s v="Nguyễn Hữu Phước"/>
        <s v="Trần Quốc Hiệp"/>
        <s v="Trần Tuấn Kiệt"/>
        <s v="TRẦN VĨNH THUẬN"/>
        <s v="PHÙNG QUANG THÀNH"/>
        <s v="PHẠM NGUYỄN TRƯỜNG BẢO"/>
        <s v="PHAN GIA LỘC"/>
        <s v="ĐÀO TRUNG HIẾU"/>
        <s v="LÊ THỊ HOÀNG KIM"/>
        <s v="NGUYỄN HỮU TRƯỜNG"/>
        <s v="NGUYỄN THỊ KIM OANH"/>
        <s v="NGUYỄN VŨ LUÂN"/>
        <s v="NGUYEN DUY PHU"/>
        <s v="LÂM MINH HOÀNG"/>
        <s v="NGUYỄN BẢO DUY"/>
        <s v="NGUYỄN THÀNH NHÂN"/>
        <s v="NGUYỄN THANH TÙNG"/>
        <s v="NGUYỄN TRẦN MINH NGHĨA"/>
        <s v="NGUYEN TRUNG NGHIA"/>
        <s v="PHẠM TƯỜNG NHÂN"/>
        <s v="TRẦN ĐỨC VINH"/>
        <s v="GIANG KHIẾT ĐÌNH"/>
        <s v="NGUYỄN HOÀNG BẢO TRÂN"/>
        <s v="NGUYỄN THẾ ANH"/>
        <s v="PHẠM LÊ QUỲNH HƯƠNG"/>
        <s v="NGUYỄN MINH LIÊN"/>
        <s v="LÊ MINH HY"/>
        <s v="NGUYEN DUY PHONG"/>
        <s v="NGUYEN HUU DUY"/>
        <s v="NGUYỄN THỊ KIM TRANG"/>
        <s v="PHẠM HUỲNH TÂN"/>
        <s v="NGUYỄN TRƯƠNG BẢO QUYÊN"/>
        <s v="NGUYỄN PHÚC VINH"/>
        <s v="TRẦN THỊ HUỲNH NHƯ"/>
        <s v="VÕ THỊ HƯƠNG GIANG"/>
        <s v="Tạ Thiên Phước (Noah)"/>
        <s v="Nguyễn Đặng Khương Duy (Dustin)"/>
        <s v="Nguyễn Hà Vi (V)"/>
        <s v="Phạm Ngọc Hưng (Zero)"/>
        <s v="Tạ Phạm Minh Chương (Chivas)"/>
        <s v="Trần Hùng Cường (Ethan)"/>
        <s v="Nguyễn Quốc Thái"/>
        <s v="Nguyễn Đình Mạnh"/>
        <s v="Đinh Bộ Lĩnh"/>
        <s v="Cao Ngọc Nguyên"/>
        <s v="Trần Hoàng Tuấn"/>
        <s v="Hồ Phạm Sĩ Hùng"/>
        <s v="Trương Quốc Quy"/>
        <s v="Nguyễn Ngọc Thạch"/>
        <s v="Bùi Quang Khôi"/>
        <s v="Nguyễn Hoàng Hải"/>
        <s v="Đặng Thanh Túc"/>
        <s v="Nguyen Tran Minh Nghia"/>
        <s v="Ngô Thị Huyền Trang (Joyce)"/>
        <s v="Lê Trọng Ân"/>
        <s v="Trần Ánh Tuyết (Taylor)"/>
        <s v="Nguyễn Kim Khánh (Annie)"/>
        <s v="Lê Tuyết Ngân"/>
        <s v="Nguyễn Ngọc Hào"/>
        <s v="Nguyễn Thị Thùy Linh"/>
        <s v="CHUNG QUANG PHƯƠNG"/>
        <s v="ĐINH QUỐC HUẤN"/>
        <s v="ĐỖ NGỌC THÀNH"/>
        <s v="LÊ THẾ PHƯƠNG"/>
        <s v="NGUYỄN ĐỨC TIẾN"/>
        <s v="NGUYỄN DUY PHÚ"/>
        <s v="NGUYỄN HUỲNH SƠN"/>
        <s v="NGUYỄN MINH QUANG"/>
        <s v="THẠCH THÁI HUY"/>
        <s v="Bui Duy Tan"/>
        <s v="Le Thi Diem Phuong"/>
        <s v="Tran Thi Huyen Tran"/>
        <s v="Trang Duy Thông"/>
        <m/>
      </sharedItems>
    </cacheField>
    <cacheField name="Class Code" numFmtId="49">
      <sharedItems containsBlank="1">
        <s v="EL001"/>
        <s v="EL002"/>
        <s v="EL003"/>
        <s v="EL004"/>
        <s v="EL005"/>
        <s v="EL006"/>
        <s v="EL007"/>
        <s v="EL008"/>
        <s v="EL009"/>
        <s v="EL010"/>
        <s v="EL011"/>
        <s v="EL012"/>
        <s v="EL013"/>
        <s v="EL014"/>
        <s v="EL015"/>
        <s v="EL016"/>
        <s v="EL017"/>
        <s v="EL018"/>
        <s v="EL019"/>
        <s v="EL020"/>
        <s v="EL021"/>
        <s v="EL022"/>
        <s v="EL023"/>
        <s v="EL024"/>
        <s v="EL025"/>
        <s v="EL026"/>
        <s v="EL027"/>
        <s v="EL028"/>
        <s v="EL029"/>
        <s v="EL030"/>
        <s v="EL031"/>
        <s v="EL032"/>
        <s v="EL033"/>
        <s v="EL034"/>
        <s v="EL035"/>
        <s v="EL037"/>
        <s v="EL038"/>
        <s v="EL039"/>
        <s v="EL040"/>
        <s v="EL041"/>
        <s v="EL042"/>
        <s v="EL043"/>
        <s v="EL044"/>
        <s v="EL045"/>
        <s v="EL046"/>
        <s v="EL047"/>
        <s v="EL048"/>
        <s v="EL049"/>
        <s v="EL050"/>
        <s v="EL051"/>
        <m/>
      </sharedItems>
    </cacheField>
    <cacheField name="PIC" numFmtId="49">
      <sharedItems containsBlank="1">
        <s v="Anh Vu"/>
        <s v="Buu Do 1"/>
        <s v="Buu Do 2"/>
        <s v="Cuong Nguyen"/>
        <s v="Duc Nguyen"/>
        <s v="Dat Nguyen"/>
        <s v="Nhat Nguyen"/>
        <s v="Hung Nguyen"/>
        <s v="Huong Le"/>
        <s v="Huy Tran 1"/>
        <s v="Huy Tran 2"/>
        <s v="Huyen Vo"/>
        <s v="Lanh Le"/>
        <s v="Thao Vu 1"/>
        <s v="Thao Vu 2"/>
        <s v="Minh Nguyen"/>
        <s v="Nhat Bui"/>
        <s v="Nhat Phan 1"/>
        <s v="Nhat Phan 2"/>
        <s v="Qui Em"/>
        <s v="Tan Tran"/>
        <s v="Thien Truong"/>
        <s v="Ky Luong"/>
        <s v="Dung Hoang"/>
        <s v="Anh To"/>
        <s v="My Tran"/>
        <s v="Vinh Nguyen"/>
        <s v="Yen Tran 1"/>
        <s v="Yen Tran 2"/>
        <s v="Yen Tran 3"/>
        <s v="Tai Nguyen"/>
        <s v="Tai Pham"/>
        <s v="Anh Ha"/>
        <s v="Thuong Tran"/>
        <s v="Van Nguyen"/>
        <s v="Quan Nguyen"/>
        <s v="My Nguyen"/>
        <s v="Huy Nguyen"/>
        <s v="Thanh Phung"/>
        <s v="Phu Nguyen"/>
        <s v="Vinh Tran"/>
        <s v="Liên Nguyễn"/>
        <s v="Quyen Nguyen"/>
        <s v="Phuoc Ta"/>
        <s v="Thai Nguyen 1"/>
        <s v="Thai Nguyen 2"/>
        <s v="Trang Nguyen"/>
        <s v="Phung Nguyen"/>
        <s v="Nam Nguyen"/>
        <m/>
      </sharedItems>
    </cacheField>
    <cacheField name="Course Name" numFmtId="0">
      <sharedItems containsBlank="1">
        <s v="Communication 1"/>
        <s v="Communication 2"/>
        <s v="Business English"/>
        <s v="Communication 3"/>
        <s v="Foundation"/>
        <s v="Extension of Foundation"/>
        <m/>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N1:AQ1599" sheet="backupsheet2"/>
  </cacheSource>
  <cacheFields>
    <cacheField name="Emp Code&#10;(Active, uniques)">
      <sharedItems containsBlank="1" containsMixedTypes="1" containsNumber="1" containsInteger="1">
        <s v="213817"/>
        <s v="237226"/>
        <s v="213856"/>
        <s v="247423"/>
        <s v="183322"/>
        <s v="257134"/>
        <s v="237239"/>
        <s v="213835"/>
        <s v="247063"/>
        <s v="193588"/>
        <s v="213893"/>
        <s v="213901"/>
        <s v="227244"/>
        <s v="237117"/>
        <s v="213859"/>
        <s v="193584"/>
        <s v="203780"/>
        <s v="193534"/>
        <s v="247185"/>
        <s v="213844"/>
        <s v="227047"/>
        <s v="227116"/>
        <s v="257133"/>
        <s v="173246"/>
        <s v="173230"/>
        <s v="183422"/>
        <s v="213889"/>
        <s v="163188"/>
        <s v="133051"/>
        <s v="143079"/>
        <s v="237035"/>
        <s v="247413"/>
        <s v="153116"/>
        <s v="183382"/>
        <s v="203664"/>
        <s v="193633"/>
        <s v="227218"/>
        <s v="227081"/>
        <s v="247313"/>
        <s v="227103"/>
        <s v="227048"/>
        <s v="247172"/>
        <s v="237201"/>
        <s v="227177"/>
        <s v="227035"/>
        <s v="227214"/>
        <s v="247332"/>
        <s v="173232"/>
        <s v="193613"/>
        <s v="203790"/>
        <s v="193632"/>
        <s v="247097"/>
        <s v="247062"/>
        <s v="247064"/>
        <s v="183330"/>
        <s v="227122"/>
        <s v="247263"/>
        <s v="247083"/>
        <s v="247178"/>
        <s v="153139"/>
        <s v="227091"/>
        <s v="193523"/>
        <s v="247119"/>
        <s v="247147"/>
        <s v="203701"/>
        <s v="247065"/>
        <s v="193496"/>
        <s v="183427"/>
        <s v="193490"/>
        <s v="173268"/>
        <s v="183379"/>
        <s v="227101"/>
        <s v="193495"/>
        <s v="247262"/>
        <s v="193516"/>
        <s v="193526"/>
        <s v="247102"/>
        <s v="247234"/>
        <s v="193530"/>
        <s v="203764"/>
        <s v="237147"/>
        <s v="257132"/>
        <s v="237050"/>
        <s v="227148"/>
        <s v="237161"/>
        <s v="193511"/>
        <s v="183340"/>
        <s v="213916"/>
        <s v="227155"/>
        <n v="193470.0"/>
        <s v="153138"/>
        <s v="193522"/>
        <s v="237070"/>
        <s v="203757"/>
        <s v="213911"/>
        <s v="203791"/>
        <s v="237031"/>
        <s v="203713"/>
        <s v="213874"/>
        <s v="203725"/>
        <s v="227005"/>
        <s v="213813"/>
        <s v="203786"/>
        <s v="257121"/>
        <s v="257135"/>
        <s v="257059"/>
        <m/>
      </sharedItems>
    </cacheField>
    <cacheField name="Role&#10;(unique)" numFmtId="0">
      <sharedItems containsBlank="1">
        <s v="QC"/>
        <s v="GSD"/>
        <s v="DEV"/>
        <s v="Designer"/>
        <s v="SM"/>
        <s v="TA"/>
        <s v="BA"/>
        <e v="#N/A"/>
        <s v="IM"/>
        <m/>
      </sharedItems>
    </cacheField>
    <cacheField name="Group Role" numFmtId="0">
      <sharedItems containsBlank="1">
        <s v="QC"/>
        <s v="GSD"/>
        <s v="DEV, TA"/>
        <s v="UI/UX, Des"/>
        <s v="PPO, SM, IM "/>
        <s v="BA, BC"/>
        <e v="#N/A"/>
        <m/>
      </sharedItems>
    </cacheField>
    <cacheField name="BU&#10;(unique)" numFmtId="0">
      <sharedItems containsBlank="1">
        <s v="ONC"/>
        <s v="LBU"/>
        <s v="MOC"/>
        <s v="CHORUS"/>
        <s v="POC"/>
        <s v="TBU"/>
        <e v="#N/A"/>
        <m/>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U1581" sheet="Copy of sheet2"/>
  </cacheSource>
  <cacheFields>
    <cacheField name="Emp Code&#10;(unique)" numFmtId="49">
      <sharedItems containsBlank="1">
        <s v="227155"/>
        <s v="173230"/>
        <s v="143079"/>
        <s v="227122"/>
        <s v="237050"/>
        <s v="227148"/>
        <s v="247300"/>
        <s v="247196"/>
        <s v="247200"/>
        <s v="247156"/>
        <s v="247192"/>
        <s v="247195"/>
        <s v="193547"/>
        <s v="247199"/>
        <s v="247405"/>
        <s v="247265"/>
        <s v="247264"/>
        <s v="247415"/>
        <s v="247360"/>
        <s v="247298"/>
        <s v="193529"/>
        <s v="193479"/>
        <s v="213811"/>
        <s v="183431"/>
        <s v="193499"/>
        <s v="227141"/>
        <s v="183427"/>
        <s v="237130"/>
        <s v="237097"/>
        <s v="193447"/>
        <s v="227160"/>
        <s v="247187"/>
        <s v="237182"/>
        <s v="227092"/>
        <s v="183421"/>
        <s v="247026"/>
        <s v="237043"/>
        <s v="193548"/>
        <s v="247198"/>
        <s v="247190"/>
        <s v="203759"/>
        <s v="247191"/>
        <s v="247388"/>
        <s v="247389"/>
        <s v="227183"/>
        <s v="247390"/>
        <s v="213891"/>
        <s v="193526"/>
        <s v="237117"/>
        <s v="203780"/>
        <s v="247313"/>
        <s v="193523"/>
        <s v="237161"/>
        <s v="237207"/>
        <s v="173272"/>
        <s v="237206"/>
        <s v="203790"/>
        <s v="237158"/>
        <s v="247043"/>
        <s v="237008"/>
        <s v="247260"/>
        <s v="247184"/>
        <s v="247161"/>
        <s v="247080"/>
        <s v="247079"/>
        <s v="247207"/>
        <s v="247037"/>
        <s v="247078"/>
        <s v="247106"/>
        <s v="247038"/>
        <s v="237169"/>
        <s v="237222"/>
        <s v="237227"/>
        <s v="237235"/>
        <s v="237238"/>
        <s v="227153"/>
        <s v="247379"/>
        <s v="183422"/>
        <s v="213893"/>
        <s v="227244"/>
        <s v="213936"/>
        <s v="193516"/>
        <s v="247234"/>
        <s v="213820"/>
        <s v="193443"/>
        <s v="193451"/>
        <s v="193633"/>
        <s v="213938"/>
        <s v="213856"/>
        <s v="227130"/>
        <s v="247185"/>
        <s v="227177"/>
        <s v="247163"/>
        <s v="247384"/>
        <s v="237237"/>
        <s v="213895"/>
        <s v="213991"/>
        <s v="247036"/>
        <s v="247127"/>
        <s v="247076"/>
        <s v="212007"/>
        <s v="242009"/>
        <s v="232002"/>
        <s v="222010"/>
        <s v="242001"/>
        <s v="222014"/>
        <s v="242006"/>
        <s v="242003"/>
        <s v="183432"/>
        <s v="227023"/>
        <s v="183440"/>
        <s v="183400"/>
        <s v="247357"/>
        <s v="227024"/>
        <s v="227032"/>
        <s v="173286"/>
        <s v="193519"/>
        <s v="213810"/>
        <s v="213974"/>
        <s v="213954"/>
        <s v="193579"/>
        <s v="227112"/>
        <s v="247377"/>
        <s v="237056"/>
        <s v="247183"/>
        <s v="237230"/>
        <s v="247412"/>
        <s v="247358"/>
        <s v="183340"/>
        <s v="193534"/>
        <s v="227047"/>
        <s v="133051"/>
        <s v="227080"/>
        <s v="227048"/>
        <s v="227064"/>
        <s v="203693"/>
        <s v="163188"/>
        <s v="237157"/>
        <s v="227035"/>
        <s v="247203"/>
        <s v="237196"/>
        <s v="213901"/>
        <s v="213835"/>
        <s v="227081"/>
        <s v="247332"/>
        <s v="193613"/>
        <s v="247097"/>
        <s v="247085"/>
        <s v="247086"/>
        <s v="213876"/>
        <s v="203765"/>
        <s v="247225"/>
        <s v="247378"/>
        <s v="213947"/>
        <s v="247245"/>
        <s v="227144"/>
        <s v="247359"/>
        <s v="237061"/>
        <s v="227008"/>
        <s v="227069"/>
        <s v="237246"/>
        <s v="237245"/>
        <s v="227188"/>
        <s v="227214"/>
        <s v="237226"/>
        <s v="193584"/>
        <s v="213929"/>
        <s v="227058"/>
        <s v="247083"/>
        <s v="247178"/>
        <s v="143084"/>
        <s v="143071"/>
        <s v="237006"/>
        <s v="227200"/>
        <s v="227225"/>
        <s v="193544"/>
        <s v="227240"/>
        <s v="183324"/>
        <s v="247230"/>
        <s v="227224"/>
        <s v="247114"/>
        <s v="237023"/>
        <s v="227170"/>
        <s v="247122"/>
        <s v="227125"/>
        <s v="183332"/>
        <s v="237049"/>
        <s v="227220"/>
        <s v="247146"/>
        <s v="237101"/>
        <s v="247098"/>
        <s v="237156"/>
        <s v="247119"/>
        <s v="203764"/>
        <s v="213808"/>
        <s v="193536"/>
        <s v="213975"/>
        <s v="213889"/>
        <s v="247054"/>
        <s v="193588"/>
        <s v="213815"/>
        <s v="113024"/>
        <s v="213914"/>
        <s v="213861"/>
        <s v="213851"/>
        <s v="247223"/>
        <s v="193445"/>
        <s v="213968"/>
        <s v="237147"/>
        <s v="213859"/>
        <s v="193632"/>
        <s v="247263"/>
        <s v="247088"/>
        <s v="247262"/>
        <s v="227097"/>
        <s v="247416"/>
        <s v="237183"/>
        <s v="203746"/>
        <s v="213863"/>
        <s v="213898"/>
        <s v="213946"/>
        <s v="227104"/>
        <s v="247172"/>
        <s v="213881"/>
        <s v="213854"/>
        <s v="213805"/>
        <s v="173232"/>
        <s v="203701"/>
        <s v="213935"/>
        <s v="227063"/>
        <s v="213916"/>
        <s v="237110"/>
        <s v="213870"/>
        <s v="237160"/>
        <s v="183423"/>
        <s v="173268"/>
        <s v="193496"/>
        <s v="193490"/>
        <s v="183322"/>
        <s v="173246"/>
        <s v="217001"/>
        <s v="247064"/>
        <s v="227091"/>
        <s v="133067"/>
        <s v="203748"/>
        <s v="257045"/>
        <s v="227055"/>
        <s v="213857"/>
        <s v="173231"/>
        <s v="193607"/>
        <s v="153139"/>
        <s v="193550"/>
        <s v="247102"/>
        <s v="247063"/>
        <s v="227218"/>
        <s v="247062"/>
        <s v="247147"/>
        <s v="237072"/>
        <s v="213844"/>
        <s v="153116"/>
        <s v="247082"/>
        <s v="183330"/>
        <s v="237129"/>
        <s v="227131"/>
        <s v="257036"/>
        <s v="193620"/>
        <s v="163215"/>
        <s v="227101"/>
        <s v="237035"/>
        <s v="203664"/>
        <s v="247065"/>
        <s v="183379"/>
        <s v="193530"/>
        <s v="193470"/>
        <s v="153138"/>
        <s v="193522"/>
        <s v="237070"/>
        <s v="203757"/>
        <s v="213911"/>
        <s v="203791"/>
        <s v="237031"/>
        <s v="203713"/>
        <s v="213874"/>
        <s v="203725"/>
        <s v="227005"/>
        <s v="213813"/>
        <s v="203786"/>
        <s v="257121"/>
        <s v="257135"/>
        <s v="257059"/>
        <s v="237103"/>
        <s v="247423"/>
        <s v="257134"/>
        <s v="237239"/>
        <s v="227116"/>
        <s v="247413"/>
        <s v="183382"/>
        <s v="227103"/>
        <s v="237201"/>
        <s v="193495"/>
        <s v="213817"/>
        <s v="257133"/>
        <s v="257132"/>
        <s v="193511"/>
        <m/>
      </sharedItems>
    </cacheField>
    <cacheField name="Role&#10;(unique)" numFmtId="0">
      <sharedItems containsBlank="1">
        <s v="QC"/>
        <s v="SM"/>
        <s v="DEV"/>
        <s v="TA"/>
        <s v="UI/UX"/>
        <s v="GSD"/>
        <s v="BA"/>
        <s v="HR"/>
        <s v="Admin"/>
        <s v="Designer"/>
        <s v="Management"/>
        <s v="PPO"/>
        <s v="BC"/>
        <s v="IM"/>
        <e v="#N/A"/>
        <m/>
      </sharedItems>
    </cacheField>
    <cacheField name="Group Role" numFmtId="0">
      <sharedItems containsBlank="1">
        <s v="QC"/>
        <s v="PPO, SM, IM "/>
        <s v="DEV, TA"/>
        <s v="UI/UX, Des"/>
        <s v="GSD"/>
        <s v="BA, BC"/>
        <s v="HR, GA, Mgt"/>
        <e v="#N/A"/>
        <m/>
      </sharedItems>
    </cacheField>
    <cacheField name="BU&#10;(unique)" numFmtId="0">
      <sharedItems containsBlank="1">
        <s v="POC"/>
        <s v="CHORUS"/>
        <s v="LBU"/>
        <s v="ONC"/>
        <s v="TBU"/>
        <s v="MOC"/>
        <s v="BSG"/>
        <e v="#N/A"/>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name="sheet2" cacheId="3" dataCaption="" colGrandTotals="0" compact="0" compactData="0">
  <location ref="AS1:AY9" firstHeaderRow="0" firstDataRow="1" firstDataCol="1"/>
  <pivotFields>
    <pivotField name="Emp Code&#10;(Active, unique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Role&#10;(unique)" compact="0" outline="0" multipleItemSelectionAllowed="1" showAll="0">
      <items>
        <item x="0"/>
        <item x="1"/>
        <item x="2"/>
        <item x="3"/>
        <item x="4"/>
        <item x="5"/>
        <item x="6"/>
        <item x="7"/>
        <item x="8"/>
        <item x="9"/>
        <item t="default"/>
      </items>
    </pivotField>
    <pivotField name="Group Role" axis="axisRow" compact="0" outline="0" multipleItemSelectionAllowed="1" showAll="0" sortType="ascending">
      <items>
        <item h="1" x="7"/>
        <item x="5"/>
        <item x="2"/>
        <item x="1"/>
        <item x="4"/>
        <item x="0"/>
        <item x="3"/>
        <item h="1" x="6"/>
        <item t="default"/>
      </items>
    </pivotField>
    <pivotField name="BU&#10;(unique)" axis="axisCol" compact="0" outline="0" multipleItemSelectionAllowed="1" showAll="0" sortType="ascending">
      <items>
        <item x="7"/>
        <item x="3"/>
        <item x="1"/>
        <item x="2"/>
        <item x="0"/>
        <item x="4"/>
        <item x="5"/>
        <item x="6"/>
        <item t="default"/>
      </items>
    </pivotField>
  </pivotFields>
  <rowFields>
    <field x="2"/>
  </rowFields>
  <colFields>
    <field x="3"/>
  </colFields>
  <dataFields>
    <dataField name="COUNTA of Emp Code&#10;(Active, uniques)" fld="0" subtotal="count" baseField="0"/>
  </dataFields>
</pivotTableDefinition>
</file>

<file path=xl/pivotTables/pivotTable2.xml><?xml version="1.0" encoding="utf-8"?>
<pivotTableDefinition xmlns="http://schemas.openxmlformats.org/spreadsheetml/2006/main" name="backupsheet2" cacheId="6" dataCaption="" colGrandTotals="0" compact="0" compactData="0">
  <location ref="AS1:AY9" firstHeaderRow="0" firstDataRow="1" firstDataCol="1"/>
  <pivotFields>
    <pivotField name="Emp Code&#10;(Active, unique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Role&#10;(unique)" compact="0" outline="0" multipleItemSelectionAllowed="1" showAll="0">
      <items>
        <item x="0"/>
        <item x="1"/>
        <item x="2"/>
        <item x="3"/>
        <item x="4"/>
        <item x="5"/>
        <item x="6"/>
        <item x="7"/>
        <item x="8"/>
        <item x="9"/>
        <item t="default"/>
      </items>
    </pivotField>
    <pivotField name="Group Role" axis="axisRow" compact="0" outline="0" multipleItemSelectionAllowed="1" showAll="0" sortType="ascending">
      <items>
        <item h="1" x="7"/>
        <item x="5"/>
        <item x="2"/>
        <item x="1"/>
        <item x="4"/>
        <item x="0"/>
        <item x="3"/>
        <item h="1" x="6"/>
        <item t="default"/>
      </items>
    </pivotField>
    <pivotField name="BU&#10;(unique)" axis="axisCol" compact="0" outline="0" multipleItemSelectionAllowed="1" showAll="0" sortType="ascending">
      <items>
        <item x="7"/>
        <item x="3"/>
        <item x="1"/>
        <item x="2"/>
        <item x="0"/>
        <item x="4"/>
        <item x="5"/>
        <item x="6"/>
        <item t="default"/>
      </items>
    </pivotField>
  </pivotFields>
  <rowFields>
    <field x="2"/>
  </rowFields>
  <colFields>
    <field x="3"/>
  </colFields>
  <dataFields>
    <dataField name="COUNTA of Emp Code&#10;(Active, uniques)" fld="0" subtotal="count" baseField="0"/>
  </dataFields>
</pivotTableDefinition>
</file>

<file path=xl/pivotTables/pivotTable3.xml><?xml version="1.0" encoding="utf-8"?>
<pivotTableDefinition xmlns="http://schemas.openxmlformats.org/spreadsheetml/2006/main" name="Copy of sheet2" cacheId="7" dataCaption="" colGrandTotals="0" compact="0" compactData="0">
  <location ref="W4:AD13" firstHeaderRow="0" firstDataRow="1" firstDataCol="1" rowPageCount="1" colPageCount="1"/>
  <pivotFields>
    <pivotField name="Emp Code&#10;(unique)" axis="axisPage" dataField="1"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h="1"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h="1" x="273"/>
        <item h="1" x="274"/>
        <item h="1" x="275"/>
        <item h="1" x="276"/>
        <item h="1" x="277"/>
        <item h="1" x="278"/>
        <item h="1" x="279"/>
        <item h="1" x="280"/>
        <item h="1" x="281"/>
        <item h="1" x="282"/>
        <item h="1" x="283"/>
        <item h="1" x="284"/>
        <item h="1" x="285"/>
        <item h="1" x="286"/>
        <item h="1" x="287"/>
        <item h="1" x="288"/>
        <item h="1" x="289"/>
        <item x="290"/>
        <item x="291"/>
        <item x="292"/>
        <item x="293"/>
        <item x="294"/>
        <item x="295"/>
        <item x="296"/>
        <item x="297"/>
        <item x="298"/>
        <item x="299"/>
        <item x="300"/>
        <item x="301"/>
        <item x="302"/>
        <item x="303"/>
        <item h="1" x="304"/>
        <item t="default"/>
      </items>
    </pivotField>
    <pivotField name="Role&#10;(unique)" compact="0" outline="0" multipleItemSelectionAllowed="1" showAll="0">
      <items>
        <item x="0"/>
        <item x="1"/>
        <item x="2"/>
        <item x="3"/>
        <item x="4"/>
        <item x="5"/>
        <item x="6"/>
        <item x="7"/>
        <item x="8"/>
        <item x="9"/>
        <item x="10"/>
        <item x="11"/>
        <item x="12"/>
        <item x="13"/>
        <item x="14"/>
        <item x="15"/>
        <item t="default"/>
      </items>
    </pivotField>
    <pivotField name="Group Role" axis="axisRow" compact="0" outline="0" multipleItemSelectionAllowed="1" showAll="0" sortType="ascending">
      <items>
        <item x="8"/>
        <item x="5"/>
        <item x="2"/>
        <item x="4"/>
        <item x="6"/>
        <item x="1"/>
        <item x="0"/>
        <item x="3"/>
        <item x="7"/>
        <item t="default"/>
      </items>
    </pivotField>
    <pivotField name="BU&#10;(unique)" axis="axisCol" compact="0" outline="0" multipleItemSelectionAllowed="1" showAll="0" sortType="ascending">
      <items>
        <item x="8"/>
        <item x="6"/>
        <item x="1"/>
        <item x="2"/>
        <item x="5"/>
        <item x="3"/>
        <item x="0"/>
        <item x="4"/>
        <item x="7"/>
        <item t="default"/>
      </items>
    </pivotField>
  </pivotFields>
  <rowFields>
    <field x="2"/>
  </rowFields>
  <colFields>
    <field x="3"/>
  </colFields>
  <pageFields>
    <pageField fld="0"/>
  </pageFields>
  <dataFields>
    <dataField name="COUNTA of Emp Code&#10;(unique)" fld="0"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4-24T09:29:50.00" personId="{433a9f2b-6c29-4164-8501-07124125042e}" id="{eff83310-ebb8-445c-9150-5cc617264e0f}" done="0">
    <x18tc:text xml:space="preserve">Chị giúp e fill EMP CODE của các bạn nì nha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7.xml"/><Relationship Id="rId3"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0.xml"/><Relationship Id="rId3"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43"/>
    <col customWidth="1" min="2" max="2" width="26.57"/>
    <col customWidth="1" min="3" max="3" width="18.57"/>
    <col customWidth="1" min="5" max="5" width="32.29"/>
    <col customWidth="1" min="7" max="7" width="28.14"/>
    <col customWidth="1" min="8" max="8" width="26.14"/>
  </cols>
  <sheetData>
    <row r="1">
      <c r="A1" s="1" t="s">
        <v>0</v>
      </c>
    </row>
    <row r="2">
      <c r="A2" s="2" t="s">
        <v>1</v>
      </c>
    </row>
    <row r="3">
      <c r="A3" s="3"/>
      <c r="B3" s="3"/>
      <c r="C3" s="3"/>
      <c r="D3" s="3"/>
      <c r="E3" s="3"/>
      <c r="F3" s="3"/>
      <c r="G3" s="3"/>
      <c r="H3" s="3"/>
    </row>
    <row r="4">
      <c r="A4" s="4" t="s">
        <v>2</v>
      </c>
    </row>
    <row r="5">
      <c r="A5" s="5" t="s">
        <v>3</v>
      </c>
      <c r="C5" s="5" t="s">
        <v>4</v>
      </c>
      <c r="E5" s="5" t="s">
        <v>5</v>
      </c>
      <c r="G5" s="5" t="s">
        <v>6</v>
      </c>
    </row>
    <row r="6">
      <c r="A6" s="6">
        <f>COUNTIF(STUDENTS!E:E,"Active")</f>
        <v>106</v>
      </c>
      <c r="C6" s="7">
        <f>IFERROR(COUNTIF(ATTENDANCE_LOG!G:G,"Present")/(COUNTIF(ATTENDANCE_LOG!G:G,"Present")+COUNTIF(ATTENDANCE_LOG!G:G,"Absent")),0)</f>
        <v>0.8646726245</v>
      </c>
      <c r="E6" s="8">
        <f>COUNTIF(#REF!,"⚠ At Risk")</f>
        <v>0</v>
      </c>
      <c r="G6" s="9">
        <f>COUNTIF(STUDENTS!L:L,"⚠ Possibly Dropped")</f>
        <v>61</v>
      </c>
    </row>
    <row r="7">
      <c r="A7" s="10" t="str">
        <f>" out of "&amp;(COUNTIF(STUDENTS!E:E,"Active")+COUNTIF(STUDENTS!E:E,"Inactive")+COUNTIF(STUDENTS!E:E,"Waiting for class"))&amp;" total"</f>
        <v> out of 304 total</v>
      </c>
      <c r="C7" s="10" t="str">
        <f>COUNTIF(ATTENDANCE_LOG!G:G,"Present")&amp;" / "&amp;(COUNTIF(ATTENDANCE_LOG!G:G,"Present")+COUNTIF(ATTENDANCE_LOG!G:G,"Absent"))&amp;" sessions"</f>
        <v>4741 / 5483 sessions</v>
      </c>
      <c r="E7" s="10" t="s">
        <v>7</v>
      </c>
      <c r="G7" s="10" t="s">
        <v>8</v>
      </c>
    </row>
    <row r="8">
      <c r="A8" s="5" t="s">
        <v>9</v>
      </c>
      <c r="C8" s="5" t="s">
        <v>10</v>
      </c>
      <c r="E8" s="5"/>
      <c r="G8" s="5"/>
    </row>
    <row r="9">
      <c r="A9" s="6">
        <f>COUNTIF(STUDENTS!E:E,"Inactive")</f>
        <v>185</v>
      </c>
      <c r="C9" s="6">
        <f>COUNTIF(STUDENTS!E:E,"Waiting for class")</f>
        <v>13</v>
      </c>
      <c r="E9" s="6"/>
      <c r="G9" s="6"/>
    </row>
    <row r="10">
      <c r="A10" s="10" t="s">
        <v>11</v>
      </c>
      <c r="C10" s="10" t="s">
        <v>12</v>
      </c>
      <c r="E10" s="10"/>
      <c r="G10" s="10"/>
    </row>
    <row r="11">
      <c r="A11" s="11"/>
      <c r="B11" s="11"/>
      <c r="C11" s="11"/>
      <c r="D11" s="11"/>
      <c r="E11" s="11"/>
      <c r="F11" s="11"/>
      <c r="G11" s="11"/>
      <c r="H11" s="11"/>
    </row>
    <row r="12">
      <c r="A12" s="12" t="s">
        <v>13</v>
      </c>
      <c r="J12" s="13">
        <v>304.0</v>
      </c>
      <c r="K12" s="14">
        <f t="shared" ref="K12:K14" si="1">J12/1200</f>
        <v>0.2533333333</v>
      </c>
    </row>
    <row r="13">
      <c r="A13" s="15" t="s">
        <v>14</v>
      </c>
      <c r="B13" s="15" t="s">
        <v>15</v>
      </c>
      <c r="C13" s="15" t="s">
        <v>16</v>
      </c>
      <c r="D13" s="15" t="s">
        <v>17</v>
      </c>
      <c r="E13" s="15" t="s">
        <v>18</v>
      </c>
      <c r="F13" s="15" t="s">
        <v>19</v>
      </c>
      <c r="G13" s="16" t="s">
        <v>20</v>
      </c>
      <c r="H13" s="17"/>
      <c r="J13" s="13">
        <v>105.0</v>
      </c>
      <c r="K13" s="14">
        <f t="shared" si="1"/>
        <v>0.0875</v>
      </c>
    </row>
    <row r="14">
      <c r="A14" s="18" t="s">
        <v>21</v>
      </c>
      <c r="B14" s="19">
        <f>COUNTIFS(STUDENTS!G:G,A14,STUDENTS!E:E,"Active")</f>
        <v>38</v>
      </c>
      <c r="C14" s="19">
        <f>COUNTIFS(STUDENTS!G:G,A14,STUDENTS!E:E,"Inactive")</f>
        <v>93</v>
      </c>
      <c r="D14" s="19">
        <f>COUNTIFS(STUDENTS!G:G,A14,STUDENTS!E:E,"Waiting for class")</f>
        <v>6</v>
      </c>
      <c r="E14" s="19">
        <f t="shared" ref="E14:E19" si="2">B14+C14+D14</f>
        <v>137</v>
      </c>
      <c r="F14" s="20">
        <f t="shared" ref="F14:F19" si="3">IFERROR(B14/$B$20,0)</f>
        <v>0.358490566</v>
      </c>
      <c r="G14" s="21" t="str">
        <f t="shared" ref="G14:G19" si="4">IF($B$20=0,"",REPT("█",ROUND(B14/MAX($B$14:$B$19)*20,0)))</f>
        <v>████████████████████</v>
      </c>
      <c r="H14" s="17"/>
      <c r="J14" s="13">
        <f>J12-J13</f>
        <v>199</v>
      </c>
      <c r="K14" s="14">
        <f t="shared" si="1"/>
        <v>0.1658333333</v>
      </c>
    </row>
    <row r="15">
      <c r="A15" s="22" t="s">
        <v>22</v>
      </c>
      <c r="B15" s="23">
        <f>COUNTIFS(STUDENTS!G:G,A15,STUDENTS!E:E,"Active")</f>
        <v>22</v>
      </c>
      <c r="C15" s="23">
        <f>COUNTIFS(STUDENTS!G:G,A15,STUDENTS!E:E,"Inactive")</f>
        <v>72</v>
      </c>
      <c r="D15" s="23">
        <f>COUNTIFS(STUDENTS!G:G,A15,STUDENTS!E:E,"Waiting for class")</f>
        <v>7</v>
      </c>
      <c r="E15" s="23">
        <f t="shared" si="2"/>
        <v>101</v>
      </c>
      <c r="F15" s="24">
        <f t="shared" si="3"/>
        <v>0.2075471698</v>
      </c>
      <c r="G15" s="25" t="str">
        <f t="shared" si="4"/>
        <v>████████████</v>
      </c>
      <c r="H15" s="17"/>
    </row>
    <row r="16">
      <c r="A16" s="18" t="s">
        <v>23</v>
      </c>
      <c r="B16" s="19">
        <f>COUNTIFS(STUDENTS!G:G,A16,STUDENTS!E:E,"Active")</f>
        <v>20</v>
      </c>
      <c r="C16" s="19">
        <f>COUNTIFS(STUDENTS!G:G,A16,STUDENTS!E:E,"Inactive")</f>
        <v>1</v>
      </c>
      <c r="D16" s="19">
        <f>COUNTIFS(STUDENTS!G:G,A16,STUDENTS!E:E,"Waiting for class")</f>
        <v>0</v>
      </c>
      <c r="E16" s="19">
        <f t="shared" si="2"/>
        <v>21</v>
      </c>
      <c r="F16" s="20">
        <f t="shared" si="3"/>
        <v>0.1886792453</v>
      </c>
      <c r="G16" s="21" t="str">
        <f t="shared" si="4"/>
        <v>███████████</v>
      </c>
      <c r="H16" s="17"/>
    </row>
    <row r="17">
      <c r="A17" s="22" t="s">
        <v>24</v>
      </c>
      <c r="B17" s="23">
        <f>COUNTIFS(STUDENTS!G:G,A17,STUDENTS!E:E,"Active")</f>
        <v>13</v>
      </c>
      <c r="C17" s="23">
        <f>COUNTIFS(STUDENTS!G:G,A17,STUDENTS!E:E,"Inactive")</f>
        <v>11</v>
      </c>
      <c r="D17" s="23">
        <f>COUNTIFS(STUDENTS!G:G,A17,STUDENTS!E:E,"Waiting for class")</f>
        <v>0</v>
      </c>
      <c r="E17" s="23">
        <f t="shared" si="2"/>
        <v>24</v>
      </c>
      <c r="F17" s="24">
        <f t="shared" si="3"/>
        <v>0.1226415094</v>
      </c>
      <c r="G17" s="25" t="str">
        <f t="shared" si="4"/>
        <v>███████</v>
      </c>
      <c r="H17" s="17"/>
    </row>
    <row r="18">
      <c r="A18" s="18" t="s">
        <v>25</v>
      </c>
      <c r="B18" s="19">
        <f>COUNTIFS(STUDENTS!G:G,A18,STUDENTS!E:E,"Active")</f>
        <v>10</v>
      </c>
      <c r="C18" s="19">
        <f>COUNTIFS(STUDENTS!G:G,A18,STUDENTS!E:E,"Inactive")</f>
        <v>8</v>
      </c>
      <c r="D18" s="19">
        <f>COUNTIFS(STUDENTS!G:G,A18,STUDENTS!E:E,"Waiting for class")</f>
        <v>0</v>
      </c>
      <c r="E18" s="19">
        <f t="shared" si="2"/>
        <v>18</v>
      </c>
      <c r="F18" s="20">
        <f t="shared" si="3"/>
        <v>0.09433962264</v>
      </c>
      <c r="G18" s="21" t="str">
        <f t="shared" si="4"/>
        <v>█████</v>
      </c>
      <c r="H18" s="17"/>
    </row>
    <row r="19">
      <c r="A19" s="22" t="s">
        <v>26</v>
      </c>
      <c r="B19" s="23">
        <f>COUNTIFS(STUDENTS!G:G,A19,STUDENTS!E:E,"Active")</f>
        <v>3</v>
      </c>
      <c r="C19" s="23">
        <f>COUNTIFS(STUDENTS!G:G,A19,STUDENTS!E:E,"Inactive")</f>
        <v>0</v>
      </c>
      <c r="D19" s="23">
        <f>COUNTIFS(STUDENTS!G:G,A19,STUDENTS!E:E,"Waiting for class")</f>
        <v>0</v>
      </c>
      <c r="E19" s="23">
        <f t="shared" si="2"/>
        <v>3</v>
      </c>
      <c r="F19" s="24">
        <f t="shared" si="3"/>
        <v>0.02830188679</v>
      </c>
      <c r="G19" s="25" t="str">
        <f t="shared" si="4"/>
        <v>██</v>
      </c>
      <c r="H19" s="17"/>
    </row>
    <row r="20">
      <c r="A20" s="26" t="s">
        <v>27</v>
      </c>
      <c r="B20" s="27">
        <f t="shared" ref="B20:E20" si="5">SUM(B14:B19)</f>
        <v>106</v>
      </c>
      <c r="C20" s="27">
        <f t="shared" si="5"/>
        <v>185</v>
      </c>
      <c r="D20" s="27">
        <f t="shared" si="5"/>
        <v>13</v>
      </c>
      <c r="E20" s="27">
        <f t="shared" si="5"/>
        <v>304</v>
      </c>
      <c r="F20" s="28">
        <f>IFERROR(B20/E20,0)</f>
        <v>0.3486842105</v>
      </c>
      <c r="G20" s="29"/>
      <c r="H20" s="17"/>
    </row>
    <row r="21">
      <c r="A21" s="11"/>
      <c r="B21" s="11"/>
      <c r="C21" s="11"/>
      <c r="D21" s="11"/>
      <c r="E21" s="11"/>
      <c r="F21" s="11"/>
      <c r="G21" s="11"/>
      <c r="H21" s="11"/>
    </row>
    <row r="22">
      <c r="A22" s="30" t="s">
        <v>28</v>
      </c>
    </row>
    <row r="23">
      <c r="A23" s="15" t="s">
        <v>29</v>
      </c>
      <c r="B23" s="15" t="s">
        <v>30</v>
      </c>
      <c r="C23" s="16" t="s">
        <v>31</v>
      </c>
      <c r="D23" s="17"/>
      <c r="E23" s="15" t="s">
        <v>32</v>
      </c>
      <c r="F23" s="15" t="s">
        <v>30</v>
      </c>
      <c r="G23" s="16" t="s">
        <v>31</v>
      </c>
      <c r="H23" s="17"/>
    </row>
    <row r="24">
      <c r="A24" s="18" t="s">
        <v>33</v>
      </c>
      <c r="B24" s="19">
        <f>COUNTIF(STUDENTS!N:N,A24)</f>
        <v>101</v>
      </c>
      <c r="C24" s="31">
        <f t="shared" ref="C24:C29" si="6">IFERROR(B24/SUM($B$24:$B$29),0)</f>
        <v>0.5642458101</v>
      </c>
      <c r="D24" s="17"/>
      <c r="E24" s="18" t="s">
        <v>34</v>
      </c>
      <c r="F24" s="19">
        <f>COUNTIF(STUDENTS!M:M,E24)</f>
        <v>95</v>
      </c>
      <c r="G24" s="31">
        <f t="shared" ref="G24:G27" si="7">IFERROR(F24/SUM($F$24:$F$27),0)</f>
        <v>0.530726257</v>
      </c>
      <c r="H24" s="17"/>
    </row>
    <row r="25">
      <c r="A25" s="22" t="s">
        <v>35</v>
      </c>
      <c r="B25" s="23">
        <f>COUNTIF(STUDENTS!N:N,A25)</f>
        <v>21</v>
      </c>
      <c r="C25" s="31">
        <f t="shared" si="6"/>
        <v>0.1173184358</v>
      </c>
      <c r="D25" s="17"/>
      <c r="E25" s="22" t="s">
        <v>36</v>
      </c>
      <c r="F25" s="23">
        <f>COUNTIF(STUDENTS!M:M,E25)</f>
        <v>82</v>
      </c>
      <c r="G25" s="32">
        <f t="shared" si="7"/>
        <v>0.4581005587</v>
      </c>
      <c r="H25" s="17"/>
    </row>
    <row r="26">
      <c r="A26" s="18" t="s">
        <v>37</v>
      </c>
      <c r="B26" s="19">
        <f>COUNTIF(STUDENTS!N:N,A26)</f>
        <v>33</v>
      </c>
      <c r="C26" s="31">
        <f t="shared" si="6"/>
        <v>0.1843575419</v>
      </c>
      <c r="D26" s="17"/>
      <c r="E26" s="18" t="s">
        <v>38</v>
      </c>
      <c r="F26" s="19">
        <f>COUNTIF(STUDENTS!M:M,E26)</f>
        <v>1</v>
      </c>
      <c r="G26" s="31">
        <f t="shared" si="7"/>
        <v>0.005586592179</v>
      </c>
      <c r="H26" s="17"/>
    </row>
    <row r="27">
      <c r="A27" s="22" t="s">
        <v>39</v>
      </c>
      <c r="B27" s="23">
        <f>COUNTIF(STUDENTS!N:N,A27)</f>
        <v>5</v>
      </c>
      <c r="C27" s="31">
        <f t="shared" si="6"/>
        <v>0.02793296089</v>
      </c>
      <c r="D27" s="17"/>
      <c r="E27" s="22" t="s">
        <v>40</v>
      </c>
      <c r="F27" s="23">
        <f>COUNTIF(STUDENTS!M:M,E27)</f>
        <v>1</v>
      </c>
      <c r="G27" s="32">
        <f t="shared" si="7"/>
        <v>0.005586592179</v>
      </c>
      <c r="H27" s="17"/>
    </row>
    <row r="28">
      <c r="A28" s="18" t="s">
        <v>41</v>
      </c>
      <c r="B28" s="19">
        <f>COUNTIF(STUDENTS!N:N,A28)</f>
        <v>3</v>
      </c>
      <c r="C28" s="31">
        <f t="shared" si="6"/>
        <v>0.01675977654</v>
      </c>
      <c r="D28" s="17"/>
      <c r="E28" s="33"/>
      <c r="F28" s="33"/>
      <c r="G28" s="33"/>
      <c r="H28" s="33"/>
    </row>
    <row r="29">
      <c r="A29" s="34" t="s">
        <v>42</v>
      </c>
      <c r="B29" s="19">
        <f>COUNTIF(STUDENTS!N:N,A29)</f>
        <v>16</v>
      </c>
      <c r="C29" s="31">
        <f t="shared" si="6"/>
        <v>0.08938547486</v>
      </c>
      <c r="D29" s="17"/>
      <c r="E29" s="33"/>
      <c r="F29" s="33"/>
      <c r="G29" s="33"/>
      <c r="H29" s="33"/>
    </row>
    <row r="30">
      <c r="A30" s="35" t="s">
        <v>27</v>
      </c>
      <c r="B30" s="36">
        <f>SUM(B24:B29)</f>
        <v>179</v>
      </c>
      <c r="C30" s="37">
        <f>sum(C24:D29)</f>
        <v>1</v>
      </c>
      <c r="D30" s="17"/>
      <c r="E30" s="35" t="s">
        <v>27</v>
      </c>
      <c r="F30" s="36">
        <f>SUM(F24:F28)</f>
        <v>179</v>
      </c>
      <c r="G30" s="37"/>
      <c r="H30" s="17"/>
    </row>
    <row r="31">
      <c r="A31" s="11"/>
      <c r="B31" s="11"/>
      <c r="C31" s="11"/>
      <c r="D31" s="11"/>
      <c r="E31" s="11"/>
      <c r="F31" s="11"/>
      <c r="G31" s="11"/>
      <c r="H31" s="11"/>
    </row>
    <row r="32">
      <c r="A32" s="38" t="s">
        <v>43</v>
      </c>
    </row>
    <row r="33">
      <c r="A33" s="15" t="s">
        <v>44</v>
      </c>
      <c r="B33" s="15" t="s">
        <v>14</v>
      </c>
      <c r="C33" s="15" t="s">
        <v>45</v>
      </c>
      <c r="D33" s="15" t="s">
        <v>46</v>
      </c>
      <c r="E33" s="15" t="s">
        <v>47</v>
      </c>
      <c r="F33" s="15" t="s">
        <v>48</v>
      </c>
      <c r="G33" s="15" t="s">
        <v>49</v>
      </c>
      <c r="H33" s="15" t="s">
        <v>50</v>
      </c>
    </row>
    <row r="34">
      <c r="A34" s="39" t="s">
        <v>51</v>
      </c>
      <c r="B34" s="18" t="s">
        <v>24</v>
      </c>
      <c r="C34" s="18" t="str">
        <f>IFERROR(VLOOKUP(A34,PIC!A:B,2,0),"")</f>
        <v>Anh Vu</v>
      </c>
      <c r="D34" s="19">
        <f>IFERROR(MAXIFS(ATTENDANCE_LOG!E:E,ATTENDANCE_LOG!A:A,A34,ATTENDANCE_LOG!B:B,B34),0)</f>
        <v>6</v>
      </c>
      <c r="E34" s="19">
        <f>IFERROR(VLOOKUP(B34,COURSE_PLAN!A:B,2,0),0)</f>
        <v>16</v>
      </c>
      <c r="F34" s="20">
        <f t="shared" ref="F34:F111" si="8">IFERROR(MIN(D34/E34,1),0)</f>
        <v>0.375</v>
      </c>
      <c r="G34" s="40" t="str">
        <f t="shared" ref="G34:G111" si="9">IF(E34=0,"—",REPT("█",ROUND(F34*20,0))&amp;REPT("░",20-ROUND(F34*20,0)))</f>
        <v>████████░░░░░░░░░░░░</v>
      </c>
      <c r="H34" s="41" t="str">
        <f t="shared" ref="H34:H111" si="10">IF(E34=0,"No plan",IF(F34&gt;=1,"✅ Done",IF(F34&gt;=0.75,"🟢 Almost",IF(F34&gt;=0.25,"🔄 In progress",IF(F34&gt;0,"🟡 Just started","⚪ Not started")))))</f>
        <v>🔄 In progress</v>
      </c>
    </row>
    <row r="35">
      <c r="A35" s="42" t="s">
        <v>51</v>
      </c>
      <c r="B35" s="22" t="s">
        <v>21</v>
      </c>
      <c r="C35" s="22" t="str">
        <f>IFERROR(VLOOKUP(A35,PIC!A:B,2,0),"")</f>
        <v>Anh Vu</v>
      </c>
      <c r="D35" s="23">
        <f>IFERROR(MAXIFS(ATTENDANCE_LOG!E:E,ATTENDANCE_LOG!A:A,A35,ATTENDANCE_LOG!B:B,B35),0)</f>
        <v>10</v>
      </c>
      <c r="E35" s="23">
        <f>IFERROR(VLOOKUP(B35,COURSE_PLAN!A:B,2,0),0)</f>
        <v>10</v>
      </c>
      <c r="F35" s="24">
        <f t="shared" si="8"/>
        <v>1</v>
      </c>
      <c r="G35" s="43" t="str">
        <f t="shared" si="9"/>
        <v>████████████████████</v>
      </c>
      <c r="H35" s="44" t="str">
        <f t="shared" si="10"/>
        <v>✅ Done</v>
      </c>
    </row>
    <row r="36">
      <c r="A36" s="39" t="s">
        <v>51</v>
      </c>
      <c r="B36" s="18" t="s">
        <v>22</v>
      </c>
      <c r="C36" s="18" t="str">
        <f>IFERROR(VLOOKUP(A36,PIC!A:B,2,0),"")</f>
        <v>Anh Vu</v>
      </c>
      <c r="D36" s="19">
        <f>IFERROR(MAXIFS(ATTENDANCE_LOG!E:E,ATTENDANCE_LOG!A:A,A36,ATTENDANCE_LOG!B:B,B36),0)</f>
        <v>16</v>
      </c>
      <c r="E36" s="19">
        <f>IFERROR(VLOOKUP(B36,COURSE_PLAN!A:B,2,0),0)</f>
        <v>16</v>
      </c>
      <c r="F36" s="20">
        <f t="shared" si="8"/>
        <v>1</v>
      </c>
      <c r="G36" s="40" t="str">
        <f t="shared" si="9"/>
        <v>████████████████████</v>
      </c>
      <c r="H36" s="44" t="str">
        <f t="shared" si="10"/>
        <v>✅ Done</v>
      </c>
    </row>
    <row r="37">
      <c r="A37" s="42" t="s">
        <v>52</v>
      </c>
      <c r="B37" s="22" t="s">
        <v>21</v>
      </c>
      <c r="C37" s="22" t="str">
        <f>IFERROR(VLOOKUP(A37,PIC!A:B,2,0),"")</f>
        <v>Buu Do 1</v>
      </c>
      <c r="D37" s="23">
        <f>IFERROR(MAXIFS(ATTENDANCE_LOG!E:E,ATTENDANCE_LOG!A:A,A37,ATTENDANCE_LOG!B:B,B37),0)</f>
        <v>10</v>
      </c>
      <c r="E37" s="23">
        <f>IFERROR(VLOOKUP(B37,COURSE_PLAN!A:B,2,0),0)</f>
        <v>10</v>
      </c>
      <c r="F37" s="24">
        <f t="shared" si="8"/>
        <v>1</v>
      </c>
      <c r="G37" s="43" t="str">
        <f t="shared" si="9"/>
        <v>████████████████████</v>
      </c>
      <c r="H37" s="44" t="str">
        <f t="shared" si="10"/>
        <v>✅ Done</v>
      </c>
    </row>
    <row r="38">
      <c r="A38" s="39" t="s">
        <v>53</v>
      </c>
      <c r="B38" s="18" t="s">
        <v>21</v>
      </c>
      <c r="C38" s="18" t="str">
        <f>IFERROR(VLOOKUP(A38,PIC!A:B,2,0),"")</f>
        <v>Buu Do 2</v>
      </c>
      <c r="D38" s="19">
        <f>IFERROR(MAXIFS(ATTENDANCE_LOG!E:E,ATTENDANCE_LOG!A:A,A38,ATTENDANCE_LOG!B:B,B38),0)</f>
        <v>10</v>
      </c>
      <c r="E38" s="19">
        <f>IFERROR(VLOOKUP(B38,COURSE_PLAN!A:B,2,0),0)</f>
        <v>10</v>
      </c>
      <c r="F38" s="20">
        <f t="shared" si="8"/>
        <v>1</v>
      </c>
      <c r="G38" s="40" t="str">
        <f t="shared" si="9"/>
        <v>████████████████████</v>
      </c>
      <c r="H38" s="44" t="str">
        <f t="shared" si="10"/>
        <v>✅ Done</v>
      </c>
    </row>
    <row r="39">
      <c r="A39" s="42" t="s">
        <v>54</v>
      </c>
      <c r="B39" s="22" t="s">
        <v>21</v>
      </c>
      <c r="C39" s="22" t="str">
        <f>IFERROR(VLOOKUP(A39,PIC!A:B,2,0),"")</f>
        <v>Cuong Nguyen</v>
      </c>
      <c r="D39" s="23">
        <f>IFERROR(MAXIFS(ATTENDANCE_LOG!E:E,ATTENDANCE_LOG!A:A,A39,ATTENDANCE_LOG!B:B,B39),0)</f>
        <v>10</v>
      </c>
      <c r="E39" s="23">
        <f>IFERROR(VLOOKUP(B39,COURSE_PLAN!A:B,2,0),0)</f>
        <v>10</v>
      </c>
      <c r="F39" s="24">
        <f t="shared" si="8"/>
        <v>1</v>
      </c>
      <c r="G39" s="43" t="str">
        <f t="shared" si="9"/>
        <v>████████████████████</v>
      </c>
      <c r="H39" s="44" t="str">
        <f t="shared" si="10"/>
        <v>✅ Done</v>
      </c>
    </row>
    <row r="40">
      <c r="A40" s="39" t="s">
        <v>54</v>
      </c>
      <c r="B40" s="18" t="s">
        <v>22</v>
      </c>
      <c r="C40" s="18" t="str">
        <f>IFERROR(VLOOKUP(A40,PIC!A:B,2,0),"")</f>
        <v>Cuong Nguyen</v>
      </c>
      <c r="D40" s="19">
        <f>IFERROR(MAXIFS(ATTENDANCE_LOG!E:E,ATTENDANCE_LOG!A:A,A40,ATTENDANCE_LOG!B:B,B40),0)</f>
        <v>16</v>
      </c>
      <c r="E40" s="19">
        <f>IFERROR(VLOOKUP(B40,COURSE_PLAN!A:B,2,0),0)</f>
        <v>16</v>
      </c>
      <c r="F40" s="20">
        <f t="shared" si="8"/>
        <v>1</v>
      </c>
      <c r="G40" s="40" t="str">
        <f t="shared" si="9"/>
        <v>████████████████████</v>
      </c>
      <c r="H40" s="44" t="str">
        <f t="shared" si="10"/>
        <v>✅ Done</v>
      </c>
    </row>
    <row r="41">
      <c r="A41" s="42" t="s">
        <v>55</v>
      </c>
      <c r="B41" s="22" t="s">
        <v>21</v>
      </c>
      <c r="C41" s="22" t="str">
        <f>IFERROR(VLOOKUP(A41,PIC!A:B,2,0),"")</f>
        <v>Duc Nguyen</v>
      </c>
      <c r="D41" s="23">
        <f>IFERROR(MAXIFS(ATTENDANCE_LOG!E:E,ATTENDANCE_LOG!A:A,A41,ATTENDANCE_LOG!B:B,B41),0)</f>
        <v>10</v>
      </c>
      <c r="E41" s="23">
        <f>IFERROR(VLOOKUP(B41,COURSE_PLAN!A:B,2,0),0)</f>
        <v>10</v>
      </c>
      <c r="F41" s="24">
        <f t="shared" si="8"/>
        <v>1</v>
      </c>
      <c r="G41" s="43" t="str">
        <f t="shared" si="9"/>
        <v>████████████████████</v>
      </c>
      <c r="H41" s="44" t="str">
        <f t="shared" si="10"/>
        <v>✅ Done</v>
      </c>
    </row>
    <row r="42">
      <c r="A42" s="39" t="s">
        <v>56</v>
      </c>
      <c r="B42" s="18" t="s">
        <v>21</v>
      </c>
      <c r="C42" s="18" t="str">
        <f>IFERROR(VLOOKUP(A42,PIC!A:B,2,0),"")</f>
        <v>Dat Nguyen</v>
      </c>
      <c r="D42" s="19">
        <f>IFERROR(MAXIFS(ATTENDANCE_LOG!E:E,ATTENDANCE_LOG!A:A,A42,ATTENDANCE_LOG!B:B,B42),0)</f>
        <v>10</v>
      </c>
      <c r="E42" s="19">
        <f>IFERROR(VLOOKUP(B42,COURSE_PLAN!A:B,2,0),0)</f>
        <v>10</v>
      </c>
      <c r="F42" s="20">
        <f t="shared" si="8"/>
        <v>1</v>
      </c>
      <c r="G42" s="40" t="str">
        <f t="shared" si="9"/>
        <v>████████████████████</v>
      </c>
      <c r="H42" s="44" t="str">
        <f t="shared" si="10"/>
        <v>✅ Done</v>
      </c>
    </row>
    <row r="43">
      <c r="A43" s="42" t="s">
        <v>57</v>
      </c>
      <c r="B43" s="22" t="s">
        <v>21</v>
      </c>
      <c r="C43" s="22" t="str">
        <f>IFERROR(VLOOKUP(A43,PIC!A:B,2,0),"")</f>
        <v>Nhat Nguyen</v>
      </c>
      <c r="D43" s="23">
        <f>IFERROR(MAXIFS(ATTENDANCE_LOG!E:E,ATTENDANCE_LOG!A:A,A43,ATTENDANCE_LOG!B:B,B43),0)</f>
        <v>12</v>
      </c>
      <c r="E43" s="23">
        <f>IFERROR(VLOOKUP(B43,COURSE_PLAN!A:B,2,0),0)</f>
        <v>10</v>
      </c>
      <c r="F43" s="24">
        <f t="shared" si="8"/>
        <v>1</v>
      </c>
      <c r="G43" s="43" t="str">
        <f t="shared" si="9"/>
        <v>████████████████████</v>
      </c>
      <c r="H43" s="44" t="str">
        <f t="shared" si="10"/>
        <v>✅ Done</v>
      </c>
    </row>
    <row r="44">
      <c r="A44" s="39" t="s">
        <v>57</v>
      </c>
      <c r="B44" s="18" t="s">
        <v>22</v>
      </c>
      <c r="C44" s="18" t="str">
        <f>IFERROR(VLOOKUP(A44,PIC!A:B,2,0),"")</f>
        <v>Nhat Nguyen</v>
      </c>
      <c r="D44" s="19">
        <f>IFERROR(MAXIFS(ATTENDANCE_LOG!E:E,ATTENDANCE_LOG!A:A,A44,ATTENDANCE_LOG!B:B,B44),0)</f>
        <v>16</v>
      </c>
      <c r="E44" s="19">
        <f>IFERROR(VLOOKUP(B44,COURSE_PLAN!A:B,2,0),0)</f>
        <v>16</v>
      </c>
      <c r="F44" s="20">
        <f t="shared" si="8"/>
        <v>1</v>
      </c>
      <c r="G44" s="40" t="str">
        <f t="shared" si="9"/>
        <v>████████████████████</v>
      </c>
      <c r="H44" s="44" t="str">
        <f t="shared" si="10"/>
        <v>✅ Done</v>
      </c>
    </row>
    <row r="45">
      <c r="A45" s="42" t="s">
        <v>58</v>
      </c>
      <c r="B45" s="22" t="s">
        <v>21</v>
      </c>
      <c r="C45" s="22" t="str">
        <f>IFERROR(VLOOKUP(A45,PIC!A:B,2,0),"")</f>
        <v>Hung Nguyen</v>
      </c>
      <c r="D45" s="23">
        <f>IFERROR(MAXIFS(ATTENDANCE_LOG!E:E,ATTENDANCE_LOG!A:A,A45,ATTENDANCE_LOG!B:B,B45),0)</f>
        <v>10</v>
      </c>
      <c r="E45" s="23">
        <f>IFERROR(VLOOKUP(B45,COURSE_PLAN!A:B,2,0),0)</f>
        <v>10</v>
      </c>
      <c r="F45" s="24">
        <f t="shared" si="8"/>
        <v>1</v>
      </c>
      <c r="G45" s="43" t="str">
        <f t="shared" si="9"/>
        <v>████████████████████</v>
      </c>
      <c r="H45" s="44" t="str">
        <f t="shared" si="10"/>
        <v>✅ Done</v>
      </c>
    </row>
    <row r="46">
      <c r="A46" s="39" t="s">
        <v>58</v>
      </c>
      <c r="B46" s="18" t="s">
        <v>22</v>
      </c>
      <c r="C46" s="18" t="str">
        <f>IFERROR(VLOOKUP(A46,PIC!A:B,2,0),"")</f>
        <v>Hung Nguyen</v>
      </c>
      <c r="D46" s="19">
        <f>IFERROR(MAXIFS(ATTENDANCE_LOG!E:E,ATTENDANCE_LOG!A:A,A46,ATTENDANCE_LOG!B:B,B46),0)</f>
        <v>16</v>
      </c>
      <c r="E46" s="19">
        <f>IFERROR(VLOOKUP(B46,COURSE_PLAN!A:B,2,0),0)</f>
        <v>16</v>
      </c>
      <c r="F46" s="20">
        <f t="shared" si="8"/>
        <v>1</v>
      </c>
      <c r="G46" s="40" t="str">
        <f t="shared" si="9"/>
        <v>████████████████████</v>
      </c>
      <c r="H46" s="44" t="str">
        <f t="shared" si="10"/>
        <v>✅ Done</v>
      </c>
    </row>
    <row r="47">
      <c r="A47" s="42" t="s">
        <v>59</v>
      </c>
      <c r="B47" s="22" t="s">
        <v>21</v>
      </c>
      <c r="C47" s="22" t="str">
        <f>IFERROR(VLOOKUP(A47,PIC!A:B,2,0),"")</f>
        <v>Huong Le</v>
      </c>
      <c r="D47" s="23">
        <f>IFERROR(MAXIFS(ATTENDANCE_LOG!E:E,ATTENDANCE_LOG!A:A,A47,ATTENDANCE_LOG!B:B,B47),0)</f>
        <v>10</v>
      </c>
      <c r="E47" s="23">
        <f>IFERROR(VLOOKUP(B47,COURSE_PLAN!A:B,2,0),0)</f>
        <v>10</v>
      </c>
      <c r="F47" s="24">
        <f t="shared" si="8"/>
        <v>1</v>
      </c>
      <c r="G47" s="43" t="str">
        <f t="shared" si="9"/>
        <v>████████████████████</v>
      </c>
      <c r="H47" s="44" t="str">
        <f t="shared" si="10"/>
        <v>✅ Done</v>
      </c>
    </row>
    <row r="48">
      <c r="A48" s="39" t="s">
        <v>59</v>
      </c>
      <c r="B48" s="18" t="s">
        <v>22</v>
      </c>
      <c r="C48" s="18" t="str">
        <f>IFERROR(VLOOKUP(A48,PIC!A:B,2,0),"")</f>
        <v>Huong Le</v>
      </c>
      <c r="D48" s="19">
        <f>IFERROR(MAXIFS(ATTENDANCE_LOG!E:E,ATTENDANCE_LOG!A:A,A48,ATTENDANCE_LOG!B:B,B48),0)</f>
        <v>16</v>
      </c>
      <c r="E48" s="19">
        <f>IFERROR(VLOOKUP(B48,COURSE_PLAN!A:B,2,0),0)</f>
        <v>16</v>
      </c>
      <c r="F48" s="20">
        <f t="shared" si="8"/>
        <v>1</v>
      </c>
      <c r="G48" s="40" t="str">
        <f t="shared" si="9"/>
        <v>████████████████████</v>
      </c>
      <c r="H48" s="44" t="str">
        <f t="shared" si="10"/>
        <v>✅ Done</v>
      </c>
    </row>
    <row r="49">
      <c r="A49" s="42" t="s">
        <v>60</v>
      </c>
      <c r="B49" s="22" t="s">
        <v>21</v>
      </c>
      <c r="C49" s="22" t="str">
        <f>IFERROR(VLOOKUP(A49,PIC!A:B,2,0),"")</f>
        <v>Huy Tran 1</v>
      </c>
      <c r="D49" s="23">
        <f>IFERROR(MAXIFS(ATTENDANCE_LOG!E:E,ATTENDANCE_LOG!A:A,A49,ATTENDANCE_LOG!B:B,B49),0)</f>
        <v>10</v>
      </c>
      <c r="E49" s="23">
        <f>IFERROR(VLOOKUP(B49,COURSE_PLAN!A:B,2,0),0)</f>
        <v>10</v>
      </c>
      <c r="F49" s="24">
        <f t="shared" si="8"/>
        <v>1</v>
      </c>
      <c r="G49" s="43" t="str">
        <f t="shared" si="9"/>
        <v>████████████████████</v>
      </c>
      <c r="H49" s="44" t="str">
        <f t="shared" si="10"/>
        <v>✅ Done</v>
      </c>
    </row>
    <row r="50">
      <c r="A50" s="39" t="s">
        <v>60</v>
      </c>
      <c r="B50" s="18" t="s">
        <v>22</v>
      </c>
      <c r="C50" s="18" t="str">
        <f>IFERROR(VLOOKUP(A50,PIC!A:B,2,0),"")</f>
        <v>Huy Tran 1</v>
      </c>
      <c r="D50" s="19">
        <f>IFERROR(MAXIFS(ATTENDANCE_LOG!E:E,ATTENDANCE_LOG!A:A,A50,ATTENDANCE_LOG!B:B,B50),0)</f>
        <v>4</v>
      </c>
      <c r="E50" s="19">
        <f>IFERROR(VLOOKUP(B50,COURSE_PLAN!A:B,2,0),0)</f>
        <v>16</v>
      </c>
      <c r="F50" s="20">
        <f t="shared" si="8"/>
        <v>0.25</v>
      </c>
      <c r="G50" s="40" t="str">
        <f t="shared" si="9"/>
        <v>█████░░░░░░░░░░░░░░░</v>
      </c>
      <c r="H50" s="41" t="str">
        <f t="shared" si="10"/>
        <v>🔄 In progress</v>
      </c>
    </row>
    <row r="51">
      <c r="A51" s="42" t="s">
        <v>61</v>
      </c>
      <c r="B51" s="22" t="s">
        <v>21</v>
      </c>
      <c r="C51" s="22" t="str">
        <f>IFERROR(VLOOKUP(A51,PIC!A:B,2,0),"")</f>
        <v>Huy Tran 2</v>
      </c>
      <c r="D51" s="23">
        <f>IFERROR(MAXIFS(ATTENDANCE_LOG!E:E,ATTENDANCE_LOG!A:A,A51,ATTENDANCE_LOG!B:B,B51),0)</f>
        <v>10</v>
      </c>
      <c r="E51" s="23">
        <f>IFERROR(VLOOKUP(B51,COURSE_PLAN!A:B,2,0),0)</f>
        <v>10</v>
      </c>
      <c r="F51" s="24">
        <f t="shared" si="8"/>
        <v>1</v>
      </c>
      <c r="G51" s="43" t="str">
        <f t="shared" si="9"/>
        <v>████████████████████</v>
      </c>
      <c r="H51" s="44" t="str">
        <f t="shared" si="10"/>
        <v>✅ Done</v>
      </c>
    </row>
    <row r="52">
      <c r="A52" s="39" t="s">
        <v>62</v>
      </c>
      <c r="B52" s="18" t="s">
        <v>21</v>
      </c>
      <c r="C52" s="18" t="str">
        <f>IFERROR(VLOOKUP(A52,PIC!A:B,2,0),"")</f>
        <v>Huyen Vo</v>
      </c>
      <c r="D52" s="19">
        <f>IFERROR(MAXIFS(ATTENDANCE_LOG!E:E,ATTENDANCE_LOG!A:A,A52,ATTENDANCE_LOG!B:B,B52),0)</f>
        <v>9</v>
      </c>
      <c r="E52" s="19">
        <f>IFERROR(VLOOKUP(B52,COURSE_PLAN!A:B,2,0),0)</f>
        <v>10</v>
      </c>
      <c r="F52" s="20">
        <f t="shared" si="8"/>
        <v>0.9</v>
      </c>
      <c r="G52" s="40" t="str">
        <f t="shared" si="9"/>
        <v>██████████████████░░</v>
      </c>
      <c r="H52" s="45" t="str">
        <f t="shared" si="10"/>
        <v>🟢 Almost</v>
      </c>
    </row>
    <row r="53">
      <c r="A53" s="42" t="s">
        <v>63</v>
      </c>
      <c r="B53" s="22" t="s">
        <v>21</v>
      </c>
      <c r="C53" s="22" t="str">
        <f>IFERROR(VLOOKUP(A53,PIC!A:B,2,0),"")</f>
        <v>Lanh Le</v>
      </c>
      <c r="D53" s="23">
        <f>IFERROR(MAXIFS(ATTENDANCE_LOG!E:E,ATTENDANCE_LOG!A:A,A53,ATTENDANCE_LOG!B:B,B53),0)</f>
        <v>10</v>
      </c>
      <c r="E53" s="23">
        <f>IFERROR(VLOOKUP(B53,COURSE_PLAN!A:B,2,0),0)</f>
        <v>10</v>
      </c>
      <c r="F53" s="24">
        <f t="shared" si="8"/>
        <v>1</v>
      </c>
      <c r="G53" s="43" t="str">
        <f t="shared" si="9"/>
        <v>████████████████████</v>
      </c>
      <c r="H53" s="44" t="str">
        <f t="shared" si="10"/>
        <v>✅ Done</v>
      </c>
    </row>
    <row r="54">
      <c r="A54" s="39" t="s">
        <v>63</v>
      </c>
      <c r="B54" s="18" t="s">
        <v>22</v>
      </c>
      <c r="C54" s="18" t="str">
        <f>IFERROR(VLOOKUP(A54,PIC!A:B,2,0),"")</f>
        <v>Lanh Le</v>
      </c>
      <c r="D54" s="19">
        <f>IFERROR(MAXIFS(ATTENDANCE_LOG!E:E,ATTENDANCE_LOG!A:A,A54,ATTENDANCE_LOG!B:B,B54),0)</f>
        <v>16</v>
      </c>
      <c r="E54" s="19">
        <f>IFERROR(VLOOKUP(B54,COURSE_PLAN!A:B,2,0),0)</f>
        <v>16</v>
      </c>
      <c r="F54" s="20">
        <f t="shared" si="8"/>
        <v>1</v>
      </c>
      <c r="G54" s="40" t="str">
        <f t="shared" si="9"/>
        <v>████████████████████</v>
      </c>
      <c r="H54" s="44" t="str">
        <f t="shared" si="10"/>
        <v>✅ Done</v>
      </c>
    </row>
    <row r="55">
      <c r="A55" s="42" t="s">
        <v>63</v>
      </c>
      <c r="B55" s="22" t="s">
        <v>23</v>
      </c>
      <c r="C55" s="22" t="str">
        <f>IFERROR(VLOOKUP(A55,PIC!A:B,2,0),"")</f>
        <v>Lanh Le</v>
      </c>
      <c r="D55" s="23">
        <f>IFERROR(MAXIFS(ATTENDANCE_LOG!E:E,ATTENDANCE_LOG!A:A,A55,ATTENDANCE_LOG!B:B,B55),0)</f>
        <v>3</v>
      </c>
      <c r="E55" s="23">
        <f>IFERROR(VLOOKUP(B55,COURSE_PLAN!A:B,2,0),0)</f>
        <v>16</v>
      </c>
      <c r="F55" s="24">
        <f t="shared" si="8"/>
        <v>0.1875</v>
      </c>
      <c r="G55" s="43" t="str">
        <f t="shared" si="9"/>
        <v>████░░░░░░░░░░░░░░░░</v>
      </c>
      <c r="H55" s="22" t="str">
        <f t="shared" si="10"/>
        <v>🟡 Just started</v>
      </c>
    </row>
    <row r="56">
      <c r="A56" s="39" t="s">
        <v>64</v>
      </c>
      <c r="B56" s="18" t="s">
        <v>21</v>
      </c>
      <c r="C56" s="18" t="str">
        <f>IFERROR(VLOOKUP(A56,PIC!A:B,2,0),"")</f>
        <v>Thao Vu 1</v>
      </c>
      <c r="D56" s="19">
        <f>IFERROR(MAXIFS(ATTENDANCE_LOG!E:E,ATTENDANCE_LOG!A:A,A56,ATTENDANCE_LOG!B:B,B56),0)</f>
        <v>10</v>
      </c>
      <c r="E56" s="19">
        <f>IFERROR(VLOOKUP(B56,COURSE_PLAN!A:B,2,0),0)</f>
        <v>10</v>
      </c>
      <c r="F56" s="20">
        <f t="shared" si="8"/>
        <v>1</v>
      </c>
      <c r="G56" s="40" t="str">
        <f t="shared" si="9"/>
        <v>████████████████████</v>
      </c>
      <c r="H56" s="44" t="str">
        <f t="shared" si="10"/>
        <v>✅ Done</v>
      </c>
    </row>
    <row r="57">
      <c r="A57" s="42" t="s">
        <v>65</v>
      </c>
      <c r="B57" s="22" t="s">
        <v>21</v>
      </c>
      <c r="C57" s="22" t="str">
        <f>IFERROR(VLOOKUP(A57,PIC!A:B,2,0),"")</f>
        <v>Thao Vu 2</v>
      </c>
      <c r="D57" s="23">
        <f>IFERROR(MAXIFS(ATTENDANCE_LOG!E:E,ATTENDANCE_LOG!A:A,A57,ATTENDANCE_LOG!B:B,B57),0)</f>
        <v>10</v>
      </c>
      <c r="E57" s="23">
        <f>IFERROR(VLOOKUP(B57,COURSE_PLAN!A:B,2,0),0)</f>
        <v>10</v>
      </c>
      <c r="F57" s="24">
        <f t="shared" si="8"/>
        <v>1</v>
      </c>
      <c r="G57" s="43" t="str">
        <f t="shared" si="9"/>
        <v>████████████████████</v>
      </c>
      <c r="H57" s="44" t="str">
        <f t="shared" si="10"/>
        <v>✅ Done</v>
      </c>
    </row>
    <row r="58">
      <c r="A58" s="39" t="s">
        <v>65</v>
      </c>
      <c r="B58" s="18" t="s">
        <v>22</v>
      </c>
      <c r="C58" s="18" t="str">
        <f>IFERROR(VLOOKUP(A58,PIC!A:B,2,0),"")</f>
        <v>Thao Vu 2</v>
      </c>
      <c r="D58" s="19">
        <f>IFERROR(MAXIFS(ATTENDANCE_LOG!E:E,ATTENDANCE_LOG!A:A,A58,ATTENDANCE_LOG!B:B,B58),0)</f>
        <v>4</v>
      </c>
      <c r="E58" s="19">
        <f>IFERROR(VLOOKUP(B58,COURSE_PLAN!A:B,2,0),0)</f>
        <v>16</v>
      </c>
      <c r="F58" s="20">
        <f t="shared" si="8"/>
        <v>0.25</v>
      </c>
      <c r="G58" s="40" t="str">
        <f t="shared" si="9"/>
        <v>█████░░░░░░░░░░░░░░░</v>
      </c>
      <c r="H58" s="41" t="str">
        <f t="shared" si="10"/>
        <v>🔄 In progress</v>
      </c>
    </row>
    <row r="59">
      <c r="A59" s="42" t="s">
        <v>66</v>
      </c>
      <c r="B59" s="22" t="s">
        <v>21</v>
      </c>
      <c r="C59" s="22" t="str">
        <f>IFERROR(VLOOKUP(A59,PIC!A:B,2,0),"")</f>
        <v>Minh Nguyen</v>
      </c>
      <c r="D59" s="23">
        <f>IFERROR(MAXIFS(ATTENDANCE_LOG!E:E,ATTENDANCE_LOG!A:A,A59,ATTENDANCE_LOG!B:B,B59),0)</f>
        <v>3</v>
      </c>
      <c r="E59" s="23">
        <f>IFERROR(VLOOKUP(B59,COURSE_PLAN!A:B,2,0),0)</f>
        <v>10</v>
      </c>
      <c r="F59" s="24">
        <f t="shared" si="8"/>
        <v>0.3</v>
      </c>
      <c r="G59" s="43" t="str">
        <f t="shared" si="9"/>
        <v>██████░░░░░░░░░░░░░░</v>
      </c>
      <c r="H59" s="41" t="str">
        <f t="shared" si="10"/>
        <v>🔄 In progress</v>
      </c>
    </row>
    <row r="60">
      <c r="A60" s="39" t="s">
        <v>67</v>
      </c>
      <c r="B60" s="18" t="s">
        <v>21</v>
      </c>
      <c r="C60" s="18" t="str">
        <f>IFERROR(VLOOKUP(A60,PIC!A:B,2,0),"")</f>
        <v>Nhat Bui</v>
      </c>
      <c r="D60" s="19">
        <f>IFERROR(MAXIFS(ATTENDANCE_LOG!E:E,ATTENDANCE_LOG!A:A,A60,ATTENDANCE_LOG!B:B,B60),0)</f>
        <v>10</v>
      </c>
      <c r="E60" s="19">
        <f>IFERROR(VLOOKUP(B60,COURSE_PLAN!A:B,2,0),0)</f>
        <v>10</v>
      </c>
      <c r="F60" s="20">
        <f t="shared" si="8"/>
        <v>1</v>
      </c>
      <c r="G60" s="40" t="str">
        <f t="shared" si="9"/>
        <v>████████████████████</v>
      </c>
      <c r="H60" s="44" t="str">
        <f t="shared" si="10"/>
        <v>✅ Done</v>
      </c>
    </row>
    <row r="61">
      <c r="A61" s="42" t="s">
        <v>68</v>
      </c>
      <c r="B61" s="22" t="s">
        <v>21</v>
      </c>
      <c r="C61" s="22" t="str">
        <f>IFERROR(VLOOKUP(A61,PIC!A:B,2,0),"")</f>
        <v>Nhat Phan 1</v>
      </c>
      <c r="D61" s="23">
        <f>IFERROR(MAXIFS(ATTENDANCE_LOG!E:E,ATTENDANCE_LOG!A:A,A61,ATTENDANCE_LOG!B:B,B61),0)</f>
        <v>12</v>
      </c>
      <c r="E61" s="23">
        <f>IFERROR(VLOOKUP(B61,COURSE_PLAN!A:B,2,0),0)</f>
        <v>10</v>
      </c>
      <c r="F61" s="24">
        <f t="shared" si="8"/>
        <v>1</v>
      </c>
      <c r="G61" s="43" t="str">
        <f t="shared" si="9"/>
        <v>████████████████████</v>
      </c>
      <c r="H61" s="44" t="str">
        <f t="shared" si="10"/>
        <v>✅ Done</v>
      </c>
    </row>
    <row r="62">
      <c r="A62" s="39" t="s">
        <v>68</v>
      </c>
      <c r="B62" s="18" t="s">
        <v>22</v>
      </c>
      <c r="C62" s="18" t="str">
        <f>IFERROR(VLOOKUP(A62,PIC!A:B,2,0),"")</f>
        <v>Nhat Phan 1</v>
      </c>
      <c r="D62" s="19">
        <f>IFERROR(MAXIFS(ATTENDANCE_LOG!E:E,ATTENDANCE_LOG!A:A,A62,ATTENDANCE_LOG!B:B,B62),0)</f>
        <v>12</v>
      </c>
      <c r="E62" s="19">
        <f>IFERROR(VLOOKUP(B62,COURSE_PLAN!A:B,2,0),0)</f>
        <v>16</v>
      </c>
      <c r="F62" s="20">
        <f t="shared" si="8"/>
        <v>0.75</v>
      </c>
      <c r="G62" s="40" t="str">
        <f t="shared" si="9"/>
        <v>███████████████░░░░░</v>
      </c>
      <c r="H62" s="45" t="str">
        <f t="shared" si="10"/>
        <v>🟢 Almost</v>
      </c>
    </row>
    <row r="63">
      <c r="A63" s="42" t="s">
        <v>69</v>
      </c>
      <c r="B63" s="22" t="s">
        <v>21</v>
      </c>
      <c r="C63" s="22" t="str">
        <f>IFERROR(VLOOKUP(A63,PIC!A:B,2,0),"")</f>
        <v>Nhat Phan 2</v>
      </c>
      <c r="D63" s="23">
        <f>IFERROR(MAXIFS(ATTENDANCE_LOG!E:E,ATTENDANCE_LOG!A:A,A63,ATTENDANCE_LOG!B:B,B63),0)</f>
        <v>12</v>
      </c>
      <c r="E63" s="23">
        <f>IFERROR(VLOOKUP(B63,COURSE_PLAN!A:B,2,0),0)</f>
        <v>10</v>
      </c>
      <c r="F63" s="24">
        <f t="shared" si="8"/>
        <v>1</v>
      </c>
      <c r="G63" s="43" t="str">
        <f t="shared" si="9"/>
        <v>████████████████████</v>
      </c>
      <c r="H63" s="44" t="str">
        <f t="shared" si="10"/>
        <v>✅ Done</v>
      </c>
    </row>
    <row r="64">
      <c r="A64" s="39" t="s">
        <v>70</v>
      </c>
      <c r="B64" s="18" t="s">
        <v>21</v>
      </c>
      <c r="C64" s="18" t="str">
        <f>IFERROR(VLOOKUP(A64,PIC!A:B,2,0),"")</f>
        <v>Qui Em</v>
      </c>
      <c r="D64" s="19">
        <f>IFERROR(MAXIFS(ATTENDANCE_LOG!E:E,ATTENDANCE_LOG!A:A,A64,ATTENDANCE_LOG!B:B,B64),0)</f>
        <v>10</v>
      </c>
      <c r="E64" s="19">
        <f>IFERROR(VLOOKUP(B64,COURSE_PLAN!A:B,2,0),0)</f>
        <v>10</v>
      </c>
      <c r="F64" s="20">
        <f t="shared" si="8"/>
        <v>1</v>
      </c>
      <c r="G64" s="40" t="str">
        <f t="shared" si="9"/>
        <v>████████████████████</v>
      </c>
      <c r="H64" s="44" t="str">
        <f t="shared" si="10"/>
        <v>✅ Done</v>
      </c>
    </row>
    <row r="65">
      <c r="A65" s="42" t="s">
        <v>70</v>
      </c>
      <c r="B65" s="22" t="s">
        <v>22</v>
      </c>
      <c r="C65" s="22" t="str">
        <f>IFERROR(VLOOKUP(A65,PIC!A:B,2,0),"")</f>
        <v>Qui Em</v>
      </c>
      <c r="D65" s="23">
        <f>IFERROR(MAXIFS(ATTENDANCE_LOG!E:E,ATTENDANCE_LOG!A:A,A65,ATTENDANCE_LOG!B:B,B65),0)</f>
        <v>7</v>
      </c>
      <c r="E65" s="23">
        <f>IFERROR(VLOOKUP(B65,COURSE_PLAN!A:B,2,0),0)</f>
        <v>16</v>
      </c>
      <c r="F65" s="24">
        <f t="shared" si="8"/>
        <v>0.4375</v>
      </c>
      <c r="G65" s="43" t="str">
        <f t="shared" si="9"/>
        <v>█████████░░░░░░░░░░░</v>
      </c>
      <c r="H65" s="41" t="str">
        <f t="shared" si="10"/>
        <v>🔄 In progress</v>
      </c>
    </row>
    <row r="66">
      <c r="A66" s="39" t="s">
        <v>71</v>
      </c>
      <c r="B66" s="18" t="s">
        <v>24</v>
      </c>
      <c r="C66" s="18" t="str">
        <f>IFERROR(VLOOKUP(A66,PIC!A:B,2,0),"")</f>
        <v>Tan Tran</v>
      </c>
      <c r="D66" s="19">
        <f>IFERROR(MAXIFS(ATTENDANCE_LOG!E:E,ATTENDANCE_LOG!A:A,A66,ATTENDANCE_LOG!B:B,B66),0)</f>
        <v>15</v>
      </c>
      <c r="E66" s="19">
        <f>IFERROR(VLOOKUP(B66,COURSE_PLAN!A:B,2,0),0)</f>
        <v>16</v>
      </c>
      <c r="F66" s="20">
        <f t="shared" si="8"/>
        <v>0.9375</v>
      </c>
      <c r="G66" s="40" t="str">
        <f t="shared" si="9"/>
        <v>███████████████████░</v>
      </c>
      <c r="H66" s="45" t="str">
        <f t="shared" si="10"/>
        <v>🟢 Almost</v>
      </c>
    </row>
    <row r="67">
      <c r="A67" s="42" t="s">
        <v>72</v>
      </c>
      <c r="B67" s="22" t="s">
        <v>21</v>
      </c>
      <c r="C67" s="22" t="str">
        <f>IFERROR(VLOOKUP(A67,PIC!A:B,2,0),"")</f>
        <v>Thien Truong</v>
      </c>
      <c r="D67" s="23">
        <f>IFERROR(MAXIFS(ATTENDANCE_LOG!E:E,ATTENDANCE_LOG!A:A,A67,ATTENDANCE_LOG!B:B,B67),0)</f>
        <v>12</v>
      </c>
      <c r="E67" s="23">
        <f>IFERROR(VLOOKUP(B67,COURSE_PLAN!A:B,2,0),0)</f>
        <v>10</v>
      </c>
      <c r="F67" s="24">
        <f t="shared" si="8"/>
        <v>1</v>
      </c>
      <c r="G67" s="43" t="str">
        <f t="shared" si="9"/>
        <v>████████████████████</v>
      </c>
      <c r="H67" s="44" t="str">
        <f t="shared" si="10"/>
        <v>✅ Done</v>
      </c>
    </row>
    <row r="68">
      <c r="A68" s="39" t="s">
        <v>72</v>
      </c>
      <c r="B68" s="18" t="s">
        <v>22</v>
      </c>
      <c r="C68" s="18" t="str">
        <f>IFERROR(VLOOKUP(A68,PIC!A:B,2,0),"")</f>
        <v>Thien Truong</v>
      </c>
      <c r="D68" s="19">
        <f>IFERROR(MAXIFS(ATTENDANCE_LOG!E:E,ATTENDANCE_LOG!A:A,A68,ATTENDANCE_LOG!B:B,B68),0)</f>
        <v>16</v>
      </c>
      <c r="E68" s="19">
        <f>IFERROR(VLOOKUP(B68,COURSE_PLAN!A:B,2,0),0)</f>
        <v>16</v>
      </c>
      <c r="F68" s="20">
        <f t="shared" si="8"/>
        <v>1</v>
      </c>
      <c r="G68" s="40" t="str">
        <f t="shared" si="9"/>
        <v>████████████████████</v>
      </c>
      <c r="H68" s="44" t="str">
        <f t="shared" si="10"/>
        <v>✅ Done</v>
      </c>
    </row>
    <row r="69">
      <c r="A69" s="42" t="s">
        <v>72</v>
      </c>
      <c r="B69" s="22" t="s">
        <v>23</v>
      </c>
      <c r="C69" s="22" t="str">
        <f>IFERROR(VLOOKUP(A69,PIC!A:B,2,0),"")</f>
        <v>Thien Truong</v>
      </c>
      <c r="D69" s="23">
        <f>IFERROR(MAXIFS(ATTENDANCE_LOG!E:E,ATTENDANCE_LOG!A:A,A69,ATTENDANCE_LOG!B:B,B69),0)</f>
        <v>6</v>
      </c>
      <c r="E69" s="23">
        <f>IFERROR(VLOOKUP(B69,COURSE_PLAN!A:B,2,0),0)</f>
        <v>16</v>
      </c>
      <c r="F69" s="24">
        <f t="shared" si="8"/>
        <v>0.375</v>
      </c>
      <c r="G69" s="43" t="str">
        <f t="shared" si="9"/>
        <v>████████░░░░░░░░░░░░</v>
      </c>
      <c r="H69" s="41" t="str">
        <f t="shared" si="10"/>
        <v>🔄 In progress</v>
      </c>
    </row>
    <row r="70">
      <c r="A70" s="39" t="s">
        <v>73</v>
      </c>
      <c r="B70" s="18" t="s">
        <v>21</v>
      </c>
      <c r="C70" s="18" t="str">
        <f>IFERROR(VLOOKUP(A70,PIC!A:B,2,0),"")</f>
        <v>Ky Luong</v>
      </c>
      <c r="D70" s="19">
        <f>IFERROR(MAXIFS(ATTENDANCE_LOG!E:E,ATTENDANCE_LOG!A:A,A70,ATTENDANCE_LOG!B:B,B70),0)</f>
        <v>10</v>
      </c>
      <c r="E70" s="19">
        <f>IFERROR(VLOOKUP(B70,COURSE_PLAN!A:B,2,0),0)</f>
        <v>10</v>
      </c>
      <c r="F70" s="20">
        <f t="shared" si="8"/>
        <v>1</v>
      </c>
      <c r="G70" s="40" t="str">
        <f t="shared" si="9"/>
        <v>████████████████████</v>
      </c>
      <c r="H70" s="44" t="str">
        <f t="shared" si="10"/>
        <v>✅ Done</v>
      </c>
    </row>
    <row r="71">
      <c r="A71" s="42" t="s">
        <v>74</v>
      </c>
      <c r="B71" s="22" t="s">
        <v>21</v>
      </c>
      <c r="C71" s="22" t="str">
        <f>IFERROR(VLOOKUP(A71,PIC!A:B,2,0),"")</f>
        <v>Dung Hoang</v>
      </c>
      <c r="D71" s="23">
        <f>IFERROR(MAXIFS(ATTENDANCE_LOG!E:E,ATTENDANCE_LOG!A:A,A71,ATTENDANCE_LOG!B:B,B71),0)</f>
        <v>14</v>
      </c>
      <c r="E71" s="23">
        <f>IFERROR(VLOOKUP(B71,COURSE_PLAN!A:B,2,0),0)</f>
        <v>10</v>
      </c>
      <c r="F71" s="24">
        <f t="shared" si="8"/>
        <v>1</v>
      </c>
      <c r="G71" s="43" t="str">
        <f t="shared" si="9"/>
        <v>████████████████████</v>
      </c>
      <c r="H71" s="44" t="str">
        <f t="shared" si="10"/>
        <v>✅ Done</v>
      </c>
    </row>
    <row r="72">
      <c r="A72" s="39" t="s">
        <v>74</v>
      </c>
      <c r="B72" s="18" t="s">
        <v>22</v>
      </c>
      <c r="C72" s="18" t="str">
        <f>IFERROR(VLOOKUP(A72,PIC!A:B,2,0),"")</f>
        <v>Dung Hoang</v>
      </c>
      <c r="D72" s="19">
        <f>IFERROR(MAXIFS(ATTENDANCE_LOG!E:E,ATTENDANCE_LOG!A:A,A72,ATTENDANCE_LOG!B:B,B72),0)</f>
        <v>6</v>
      </c>
      <c r="E72" s="19">
        <f>IFERROR(VLOOKUP(B72,COURSE_PLAN!A:B,2,0),0)</f>
        <v>16</v>
      </c>
      <c r="F72" s="20">
        <f t="shared" si="8"/>
        <v>0.375</v>
      </c>
      <c r="G72" s="40" t="str">
        <f t="shared" si="9"/>
        <v>████████░░░░░░░░░░░░</v>
      </c>
      <c r="H72" s="41" t="str">
        <f t="shared" si="10"/>
        <v>🔄 In progress</v>
      </c>
    </row>
    <row r="73">
      <c r="A73" s="42" t="s">
        <v>74</v>
      </c>
      <c r="B73" s="22" t="s">
        <v>25</v>
      </c>
      <c r="C73" s="22" t="str">
        <f>IFERROR(VLOOKUP(A73,PIC!A:B,2,0),"")</f>
        <v>Dung Hoang</v>
      </c>
      <c r="D73" s="23">
        <f>IFERROR(MAXIFS(ATTENDANCE_LOG!E:E,ATTENDANCE_LOG!A:A,A73,ATTENDANCE_LOG!B:B,B73),0)</f>
        <v>16</v>
      </c>
      <c r="E73" s="23">
        <f>IFERROR(VLOOKUP(B73,COURSE_PLAN!A:B,2,0),0)</f>
        <v>16</v>
      </c>
      <c r="F73" s="24">
        <f t="shared" si="8"/>
        <v>1</v>
      </c>
      <c r="G73" s="43" t="str">
        <f t="shared" si="9"/>
        <v>████████████████████</v>
      </c>
      <c r="H73" s="44" t="str">
        <f t="shared" si="10"/>
        <v>✅ Done</v>
      </c>
    </row>
    <row r="74">
      <c r="A74" s="39" t="s">
        <v>75</v>
      </c>
      <c r="B74" s="18" t="s">
        <v>21</v>
      </c>
      <c r="C74" s="18" t="str">
        <f>IFERROR(VLOOKUP(A74,PIC!A:B,2,0),"")</f>
        <v>Anh To</v>
      </c>
      <c r="D74" s="19">
        <f>IFERROR(MAXIFS(ATTENDANCE_LOG!E:E,ATTENDANCE_LOG!A:A,A74,ATTENDANCE_LOG!B:B,B74),0)</f>
        <v>10</v>
      </c>
      <c r="E74" s="19">
        <f>IFERROR(VLOOKUP(B74,COURSE_PLAN!A:B,2,0),0)</f>
        <v>10</v>
      </c>
      <c r="F74" s="20">
        <f t="shared" si="8"/>
        <v>1</v>
      </c>
      <c r="G74" s="40" t="str">
        <f t="shared" si="9"/>
        <v>████████████████████</v>
      </c>
      <c r="H74" s="44" t="str">
        <f t="shared" si="10"/>
        <v>✅ Done</v>
      </c>
    </row>
    <row r="75">
      <c r="A75" s="42" t="s">
        <v>75</v>
      </c>
      <c r="B75" s="22" t="s">
        <v>22</v>
      </c>
      <c r="C75" s="22" t="str">
        <f>IFERROR(VLOOKUP(A75,PIC!A:B,2,0),"")</f>
        <v>Anh To</v>
      </c>
      <c r="D75" s="23">
        <f>IFERROR(MAXIFS(ATTENDANCE_LOG!E:E,ATTENDANCE_LOG!A:A,A75,ATTENDANCE_LOG!B:B,B75),0)</f>
        <v>15</v>
      </c>
      <c r="E75" s="23">
        <f>IFERROR(VLOOKUP(B75,COURSE_PLAN!A:B,2,0),0)</f>
        <v>16</v>
      </c>
      <c r="F75" s="24">
        <f t="shared" si="8"/>
        <v>0.9375</v>
      </c>
      <c r="G75" s="43" t="str">
        <f t="shared" si="9"/>
        <v>███████████████████░</v>
      </c>
      <c r="H75" s="45" t="str">
        <f t="shared" si="10"/>
        <v>🟢 Almost</v>
      </c>
    </row>
    <row r="76">
      <c r="A76" s="39" t="s">
        <v>76</v>
      </c>
      <c r="B76" s="18" t="s">
        <v>21</v>
      </c>
      <c r="C76" s="18" t="str">
        <f>IFERROR(VLOOKUP(A76,PIC!A:B,2,0),"")</f>
        <v>My Tran</v>
      </c>
      <c r="D76" s="19">
        <f>IFERROR(MAXIFS(ATTENDANCE_LOG!E:E,ATTENDANCE_LOG!A:A,A76,ATTENDANCE_LOG!B:B,B76),0)</f>
        <v>10</v>
      </c>
      <c r="E76" s="19">
        <f>IFERROR(VLOOKUP(B76,COURSE_PLAN!A:B,2,0),0)</f>
        <v>10</v>
      </c>
      <c r="F76" s="20">
        <f t="shared" si="8"/>
        <v>1</v>
      </c>
      <c r="G76" s="40" t="str">
        <f t="shared" si="9"/>
        <v>████████████████████</v>
      </c>
      <c r="H76" s="44" t="str">
        <f t="shared" si="10"/>
        <v>✅ Done</v>
      </c>
    </row>
    <row r="77">
      <c r="A77" s="42" t="s">
        <v>76</v>
      </c>
      <c r="B77" s="22" t="s">
        <v>22</v>
      </c>
      <c r="C77" s="22" t="str">
        <f>IFERROR(VLOOKUP(A77,PIC!A:B,2,0),"")</f>
        <v>My Tran</v>
      </c>
      <c r="D77" s="23">
        <f>IFERROR(MAXIFS(ATTENDANCE_LOG!E:E,ATTENDANCE_LOG!A:A,A77,ATTENDANCE_LOG!B:B,B77),0)</f>
        <v>11</v>
      </c>
      <c r="E77" s="23">
        <f>IFERROR(VLOOKUP(B77,COURSE_PLAN!A:B,2,0),0)</f>
        <v>16</v>
      </c>
      <c r="F77" s="24">
        <f t="shared" si="8"/>
        <v>0.6875</v>
      </c>
      <c r="G77" s="43" t="str">
        <f t="shared" si="9"/>
        <v>██████████████░░░░░░</v>
      </c>
      <c r="H77" s="41" t="str">
        <f t="shared" si="10"/>
        <v>🔄 In progress</v>
      </c>
    </row>
    <row r="78">
      <c r="A78" s="39" t="s">
        <v>77</v>
      </c>
      <c r="B78" s="18" t="s">
        <v>21</v>
      </c>
      <c r="C78" s="18" t="str">
        <f>IFERROR(VLOOKUP(A78,PIC!A:B,2,0),"")</f>
        <v>Vinh Nguyen</v>
      </c>
      <c r="D78" s="19">
        <f>IFERROR(MAXIFS(ATTENDANCE_LOG!E:E,ATTENDANCE_LOG!A:A,A78,ATTENDANCE_LOG!B:B,B78),0)</f>
        <v>10</v>
      </c>
      <c r="E78" s="19">
        <f>IFERROR(VLOOKUP(B78,COURSE_PLAN!A:B,2,0),0)</f>
        <v>10</v>
      </c>
      <c r="F78" s="20">
        <f t="shared" si="8"/>
        <v>1</v>
      </c>
      <c r="G78" s="40" t="str">
        <f t="shared" si="9"/>
        <v>████████████████████</v>
      </c>
      <c r="H78" s="44" t="str">
        <f t="shared" si="10"/>
        <v>✅ Done</v>
      </c>
    </row>
    <row r="79">
      <c r="A79" s="42" t="s">
        <v>77</v>
      </c>
      <c r="B79" s="22" t="s">
        <v>22</v>
      </c>
      <c r="C79" s="22" t="str">
        <f>IFERROR(VLOOKUP(A79,PIC!A:B,2,0),"")</f>
        <v>Vinh Nguyen</v>
      </c>
      <c r="D79" s="23">
        <f>IFERROR(MAXIFS(ATTENDANCE_LOG!E:E,ATTENDANCE_LOG!A:A,A79,ATTENDANCE_LOG!B:B,B79),0)</f>
        <v>16</v>
      </c>
      <c r="E79" s="23">
        <f>IFERROR(VLOOKUP(B79,COURSE_PLAN!A:B,2,0),0)</f>
        <v>16</v>
      </c>
      <c r="F79" s="24">
        <f t="shared" si="8"/>
        <v>1</v>
      </c>
      <c r="G79" s="43" t="str">
        <f t="shared" si="9"/>
        <v>████████████████████</v>
      </c>
      <c r="H79" s="44" t="str">
        <f t="shared" si="10"/>
        <v>✅ Done</v>
      </c>
    </row>
    <row r="80">
      <c r="A80" s="39" t="s">
        <v>77</v>
      </c>
      <c r="B80" s="18" t="s">
        <v>23</v>
      </c>
      <c r="C80" s="18" t="str">
        <f>IFERROR(VLOOKUP(A80,PIC!A:B,2,0),"")</f>
        <v>Vinh Nguyen</v>
      </c>
      <c r="D80" s="19">
        <f>IFERROR(MAXIFS(ATTENDANCE_LOG!E:E,ATTENDANCE_LOG!A:A,A80,ATTENDANCE_LOG!B:B,B80),0)</f>
        <v>6</v>
      </c>
      <c r="E80" s="19">
        <f>IFERROR(VLOOKUP(B80,COURSE_PLAN!A:B,2,0),0)</f>
        <v>16</v>
      </c>
      <c r="F80" s="20">
        <f t="shared" si="8"/>
        <v>0.375</v>
      </c>
      <c r="G80" s="40" t="str">
        <f t="shared" si="9"/>
        <v>████████░░░░░░░░░░░░</v>
      </c>
      <c r="H80" s="41" t="str">
        <f t="shared" si="10"/>
        <v>🔄 In progress</v>
      </c>
    </row>
    <row r="81">
      <c r="A81" s="42" t="s">
        <v>78</v>
      </c>
      <c r="B81" s="22" t="s">
        <v>21</v>
      </c>
      <c r="C81" s="22" t="str">
        <f>IFERROR(VLOOKUP(A81,PIC!A:B,2,0),"")</f>
        <v>Yen Tran 1</v>
      </c>
      <c r="D81" s="23">
        <f>IFERROR(MAXIFS(ATTENDANCE_LOG!E:E,ATTENDANCE_LOG!A:A,A81,ATTENDANCE_LOG!B:B,B81),0)</f>
        <v>10</v>
      </c>
      <c r="E81" s="23">
        <f>IFERROR(VLOOKUP(B81,COURSE_PLAN!A:B,2,0),0)</f>
        <v>10</v>
      </c>
      <c r="F81" s="24">
        <f t="shared" si="8"/>
        <v>1</v>
      </c>
      <c r="G81" s="43" t="str">
        <f t="shared" si="9"/>
        <v>████████████████████</v>
      </c>
      <c r="H81" s="44" t="str">
        <f t="shared" si="10"/>
        <v>✅ Done</v>
      </c>
    </row>
    <row r="82">
      <c r="A82" s="39" t="s">
        <v>79</v>
      </c>
      <c r="B82" s="18" t="s">
        <v>21</v>
      </c>
      <c r="C82" s="18" t="str">
        <f>IFERROR(VLOOKUP(A82,PIC!A:B,2,0),"")</f>
        <v>Yen Tran 2</v>
      </c>
      <c r="D82" s="19">
        <f>IFERROR(MAXIFS(ATTENDANCE_LOG!E:E,ATTENDANCE_LOG!A:A,A82,ATTENDANCE_LOG!B:B,B82),0)</f>
        <v>10</v>
      </c>
      <c r="E82" s="19">
        <f>IFERROR(VLOOKUP(B82,COURSE_PLAN!A:B,2,0),0)</f>
        <v>10</v>
      </c>
      <c r="F82" s="20">
        <f t="shared" si="8"/>
        <v>1</v>
      </c>
      <c r="G82" s="40" t="str">
        <f t="shared" si="9"/>
        <v>████████████████████</v>
      </c>
      <c r="H82" s="44" t="str">
        <f t="shared" si="10"/>
        <v>✅ Done</v>
      </c>
    </row>
    <row r="83">
      <c r="A83" s="42" t="s">
        <v>80</v>
      </c>
      <c r="B83" s="22" t="s">
        <v>21</v>
      </c>
      <c r="C83" s="22" t="str">
        <f>IFERROR(VLOOKUP(A83,PIC!A:B,2,0),"")</f>
        <v>Yen Tran 3</v>
      </c>
      <c r="D83" s="23">
        <f>IFERROR(MAXIFS(ATTENDANCE_LOG!E:E,ATTENDANCE_LOG!A:A,A83,ATTENDANCE_LOG!B:B,B83),0)</f>
        <v>9</v>
      </c>
      <c r="E83" s="23">
        <f>IFERROR(VLOOKUP(B83,COURSE_PLAN!A:B,2,0),0)</f>
        <v>10</v>
      </c>
      <c r="F83" s="24">
        <f t="shared" si="8"/>
        <v>0.9</v>
      </c>
      <c r="G83" s="43" t="str">
        <f t="shared" si="9"/>
        <v>██████████████████░░</v>
      </c>
      <c r="H83" s="45" t="str">
        <f t="shared" si="10"/>
        <v>🟢 Almost</v>
      </c>
    </row>
    <row r="84">
      <c r="A84" s="39" t="s">
        <v>81</v>
      </c>
      <c r="B84" s="18" t="s">
        <v>21</v>
      </c>
      <c r="C84" s="18" t="str">
        <f>IFERROR(VLOOKUP(A84,PIC!A:B,2,0),"")</f>
        <v>Tai Nguyen</v>
      </c>
      <c r="D84" s="19">
        <f>IFERROR(MAXIFS(ATTENDANCE_LOG!E:E,ATTENDANCE_LOG!A:A,A84,ATTENDANCE_LOG!B:B,B84),0)</f>
        <v>10</v>
      </c>
      <c r="E84" s="19">
        <f>IFERROR(VLOOKUP(B84,COURSE_PLAN!A:B,2,0),0)</f>
        <v>10</v>
      </c>
      <c r="F84" s="20">
        <f t="shared" si="8"/>
        <v>1</v>
      </c>
      <c r="G84" s="40" t="str">
        <f t="shared" si="9"/>
        <v>████████████████████</v>
      </c>
      <c r="H84" s="44" t="str">
        <f t="shared" si="10"/>
        <v>✅ Done</v>
      </c>
    </row>
    <row r="85">
      <c r="A85" s="42" t="s">
        <v>82</v>
      </c>
      <c r="B85" s="22" t="s">
        <v>21</v>
      </c>
      <c r="C85" s="22" t="str">
        <f>IFERROR(VLOOKUP(A85,PIC!A:B,2,0),"")</f>
        <v>Tai Pham</v>
      </c>
      <c r="D85" s="23">
        <f>IFERROR(MAXIFS(ATTENDANCE_LOG!E:E,ATTENDANCE_LOG!A:A,A85,ATTENDANCE_LOG!B:B,B85),0)</f>
        <v>10</v>
      </c>
      <c r="E85" s="23">
        <f>IFERROR(VLOOKUP(B85,COURSE_PLAN!A:B,2,0),0)</f>
        <v>10</v>
      </c>
      <c r="F85" s="24">
        <f t="shared" si="8"/>
        <v>1</v>
      </c>
      <c r="G85" s="43" t="str">
        <f t="shared" si="9"/>
        <v>████████████████████</v>
      </c>
      <c r="H85" s="44" t="str">
        <f t="shared" si="10"/>
        <v>✅ Done</v>
      </c>
    </row>
    <row r="86">
      <c r="A86" s="39" t="s">
        <v>82</v>
      </c>
      <c r="B86" s="18" t="s">
        <v>22</v>
      </c>
      <c r="C86" s="18" t="str">
        <f>IFERROR(VLOOKUP(A86,PIC!A:B,2,0),"")</f>
        <v>Tai Pham</v>
      </c>
      <c r="D86" s="19">
        <f>IFERROR(MAXIFS(ATTENDANCE_LOG!E:E,ATTENDANCE_LOG!A:A,A86,ATTENDANCE_LOG!B:B,B86),0)</f>
        <v>16</v>
      </c>
      <c r="E86" s="19">
        <f>IFERROR(VLOOKUP(B86,COURSE_PLAN!A:B,2,0),0)</f>
        <v>16</v>
      </c>
      <c r="F86" s="20">
        <f t="shared" si="8"/>
        <v>1</v>
      </c>
      <c r="G86" s="40" t="str">
        <f t="shared" si="9"/>
        <v>████████████████████</v>
      </c>
      <c r="H86" s="44" t="str">
        <f t="shared" si="10"/>
        <v>✅ Done</v>
      </c>
    </row>
    <row r="87">
      <c r="A87" s="42" t="s">
        <v>83</v>
      </c>
      <c r="B87" s="22" t="s">
        <v>21</v>
      </c>
      <c r="C87" s="22" t="str">
        <f>IFERROR(VLOOKUP(A87,PIC!A:B,2,0),"")</f>
        <v>Anh Ha</v>
      </c>
      <c r="D87" s="23">
        <f>IFERROR(MAXIFS(ATTENDANCE_LOG!E:E,ATTENDANCE_LOG!A:A,A87,ATTENDANCE_LOG!B:B,B87),0)</f>
        <v>10</v>
      </c>
      <c r="E87" s="23">
        <f>IFERROR(VLOOKUP(B87,COURSE_PLAN!A:B,2,0),0)</f>
        <v>10</v>
      </c>
      <c r="F87" s="24">
        <f t="shared" si="8"/>
        <v>1</v>
      </c>
      <c r="G87" s="43" t="str">
        <f t="shared" si="9"/>
        <v>████████████████████</v>
      </c>
      <c r="H87" s="44" t="str">
        <f t="shared" si="10"/>
        <v>✅ Done</v>
      </c>
    </row>
    <row r="88">
      <c r="A88" s="39" t="s">
        <v>83</v>
      </c>
      <c r="B88" s="18" t="s">
        <v>22</v>
      </c>
      <c r="C88" s="18" t="str">
        <f>IFERROR(VLOOKUP(A88,PIC!A:B,2,0),"")</f>
        <v>Anh Ha</v>
      </c>
      <c r="D88" s="19">
        <f>IFERROR(MAXIFS(ATTENDANCE_LOG!E:E,ATTENDANCE_LOG!A:A,A88,ATTENDANCE_LOG!B:B,B88),0)</f>
        <v>16</v>
      </c>
      <c r="E88" s="19">
        <f>IFERROR(VLOOKUP(B88,COURSE_PLAN!A:B,2,0),0)</f>
        <v>16</v>
      </c>
      <c r="F88" s="20">
        <f t="shared" si="8"/>
        <v>1</v>
      </c>
      <c r="G88" s="40" t="str">
        <f t="shared" si="9"/>
        <v>████████████████████</v>
      </c>
      <c r="H88" s="44" t="str">
        <f t="shared" si="10"/>
        <v>✅ Done</v>
      </c>
    </row>
    <row r="89">
      <c r="A89" s="42" t="s">
        <v>84</v>
      </c>
      <c r="B89" s="22" t="s">
        <v>24</v>
      </c>
      <c r="C89" s="22" t="str">
        <f>IFERROR(VLOOKUP(A89,PIC!A:B,2,0),"")</f>
        <v>Thuong Tran</v>
      </c>
      <c r="D89" s="23">
        <f>IFERROR(MAXIFS(ATTENDANCE_LOG!E:E,ATTENDANCE_LOG!A:A,A89,ATTENDANCE_LOG!B:B,B89),0)</f>
        <v>6</v>
      </c>
      <c r="E89" s="23">
        <f>IFERROR(VLOOKUP(B89,COURSE_PLAN!A:B,2,0),0)</f>
        <v>16</v>
      </c>
      <c r="F89" s="24">
        <f t="shared" si="8"/>
        <v>0.375</v>
      </c>
      <c r="G89" s="43" t="str">
        <f t="shared" si="9"/>
        <v>████████░░░░░░░░░░░░</v>
      </c>
      <c r="H89" s="41" t="str">
        <f t="shared" si="10"/>
        <v>🔄 In progress</v>
      </c>
    </row>
    <row r="90">
      <c r="A90" s="39" t="s">
        <v>84</v>
      </c>
      <c r="B90" s="18" t="s">
        <v>21</v>
      </c>
      <c r="C90" s="18" t="str">
        <f>IFERROR(VLOOKUP(A90,PIC!A:B,2,0),"")</f>
        <v>Thuong Tran</v>
      </c>
      <c r="D90" s="19">
        <f>IFERROR(MAXIFS(ATTENDANCE_LOG!E:E,ATTENDANCE_LOG!A:A,A90,ATTENDANCE_LOG!B:B,B90),0)</f>
        <v>10</v>
      </c>
      <c r="E90" s="19">
        <f>IFERROR(VLOOKUP(B90,COURSE_PLAN!A:B,2,0),0)</f>
        <v>10</v>
      </c>
      <c r="F90" s="20">
        <f t="shared" si="8"/>
        <v>1</v>
      </c>
      <c r="G90" s="40" t="str">
        <f t="shared" si="9"/>
        <v>████████████████████</v>
      </c>
      <c r="H90" s="44" t="str">
        <f t="shared" si="10"/>
        <v>✅ Done</v>
      </c>
    </row>
    <row r="91">
      <c r="A91" s="42" t="s">
        <v>84</v>
      </c>
      <c r="B91" s="22" t="s">
        <v>22</v>
      </c>
      <c r="C91" s="22" t="str">
        <f>IFERROR(VLOOKUP(A91,PIC!A:B,2,0),"")</f>
        <v>Thuong Tran</v>
      </c>
      <c r="D91" s="23">
        <f>IFERROR(MAXIFS(ATTENDANCE_LOG!E:E,ATTENDANCE_LOG!A:A,A91,ATTENDANCE_LOG!B:B,B91),0)</f>
        <v>16</v>
      </c>
      <c r="E91" s="23">
        <f>IFERROR(VLOOKUP(B91,COURSE_PLAN!A:B,2,0),0)</f>
        <v>16</v>
      </c>
      <c r="F91" s="24">
        <f t="shared" si="8"/>
        <v>1</v>
      </c>
      <c r="G91" s="43" t="str">
        <f t="shared" si="9"/>
        <v>████████████████████</v>
      </c>
      <c r="H91" s="44" t="str">
        <f t="shared" si="10"/>
        <v>✅ Done</v>
      </c>
    </row>
    <row r="92">
      <c r="A92" s="39" t="s">
        <v>85</v>
      </c>
      <c r="B92" s="18" t="s">
        <v>24</v>
      </c>
      <c r="C92" s="18" t="str">
        <f>IFERROR(VLOOKUP(A92,PIC!A:B,2,0),"")</f>
        <v>Van Nguyen</v>
      </c>
      <c r="D92" s="19">
        <f>IFERROR(MAXIFS(ATTENDANCE_LOG!E:E,ATTENDANCE_LOG!A:A,A92,ATTENDANCE_LOG!B:B,B92),0)</f>
        <v>6</v>
      </c>
      <c r="E92" s="19">
        <f>IFERROR(VLOOKUP(B92,COURSE_PLAN!A:B,2,0),0)</f>
        <v>16</v>
      </c>
      <c r="F92" s="20">
        <f t="shared" si="8"/>
        <v>0.375</v>
      </c>
      <c r="G92" s="40" t="str">
        <f t="shared" si="9"/>
        <v>████████░░░░░░░░░░░░</v>
      </c>
      <c r="H92" s="41" t="str">
        <f t="shared" si="10"/>
        <v>🔄 In progress</v>
      </c>
    </row>
    <row r="93">
      <c r="A93" s="42" t="s">
        <v>85</v>
      </c>
      <c r="B93" s="22" t="s">
        <v>21</v>
      </c>
      <c r="C93" s="22" t="str">
        <f>IFERROR(VLOOKUP(A93,PIC!A:B,2,0),"")</f>
        <v>Van Nguyen</v>
      </c>
      <c r="D93" s="23">
        <f>IFERROR(MAXIFS(ATTENDANCE_LOG!E:E,ATTENDANCE_LOG!A:A,A93,ATTENDANCE_LOG!B:B,B93),0)</f>
        <v>10</v>
      </c>
      <c r="E93" s="23">
        <f>IFERROR(VLOOKUP(B93,COURSE_PLAN!A:B,2,0),0)</f>
        <v>10</v>
      </c>
      <c r="F93" s="24">
        <f t="shared" si="8"/>
        <v>1</v>
      </c>
      <c r="G93" s="43" t="str">
        <f t="shared" si="9"/>
        <v>████████████████████</v>
      </c>
      <c r="H93" s="44" t="str">
        <f t="shared" si="10"/>
        <v>✅ Done</v>
      </c>
    </row>
    <row r="94">
      <c r="A94" s="39" t="s">
        <v>85</v>
      </c>
      <c r="B94" s="18" t="s">
        <v>22</v>
      </c>
      <c r="C94" s="18" t="str">
        <f>IFERROR(VLOOKUP(A94,PIC!A:B,2,0),"")</f>
        <v>Van Nguyen</v>
      </c>
      <c r="D94" s="19">
        <f>IFERROR(MAXIFS(ATTENDANCE_LOG!E:E,ATTENDANCE_LOG!A:A,A94,ATTENDANCE_LOG!B:B,B94),0)</f>
        <v>16</v>
      </c>
      <c r="E94" s="19">
        <f>IFERROR(VLOOKUP(B94,COURSE_PLAN!A:B,2,0),0)</f>
        <v>16</v>
      </c>
      <c r="F94" s="20">
        <f t="shared" si="8"/>
        <v>1</v>
      </c>
      <c r="G94" s="40" t="str">
        <f t="shared" si="9"/>
        <v>████████████████████</v>
      </c>
      <c r="H94" s="44" t="str">
        <f t="shared" si="10"/>
        <v>✅ Done</v>
      </c>
    </row>
    <row r="95">
      <c r="A95" s="42" t="s">
        <v>86</v>
      </c>
      <c r="B95" s="22" t="s">
        <v>21</v>
      </c>
      <c r="C95" s="22" t="str">
        <f>IFERROR(VLOOKUP(A95,PIC!A:B,2,0),"")</f>
        <v>Quan Nguyen</v>
      </c>
      <c r="D95" s="23">
        <f>IFERROR(MAXIFS(ATTENDANCE_LOG!E:E,ATTENDANCE_LOG!A:A,A95,ATTENDANCE_LOG!B:B,B95),0)</f>
        <v>16</v>
      </c>
      <c r="E95" s="23">
        <f>IFERROR(VLOOKUP(B95,COURSE_PLAN!A:B,2,0),0)</f>
        <v>10</v>
      </c>
      <c r="F95" s="24">
        <f t="shared" si="8"/>
        <v>1</v>
      </c>
      <c r="G95" s="43" t="str">
        <f t="shared" si="9"/>
        <v>████████████████████</v>
      </c>
      <c r="H95" s="44" t="str">
        <f t="shared" si="10"/>
        <v>✅ Done</v>
      </c>
    </row>
    <row r="96">
      <c r="A96" s="39" t="s">
        <v>86</v>
      </c>
      <c r="B96" s="18" t="s">
        <v>22</v>
      </c>
      <c r="C96" s="18" t="str">
        <f>IFERROR(VLOOKUP(A96,PIC!A:B,2,0),"")</f>
        <v>Quan Nguyen</v>
      </c>
      <c r="D96" s="19">
        <f>IFERROR(MAXIFS(ATTENDANCE_LOG!E:E,ATTENDANCE_LOG!A:A,A96,ATTENDANCE_LOG!B:B,B96),0)</f>
        <v>4</v>
      </c>
      <c r="E96" s="19">
        <f>IFERROR(VLOOKUP(B96,COURSE_PLAN!A:B,2,0),0)</f>
        <v>16</v>
      </c>
      <c r="F96" s="20">
        <f t="shared" si="8"/>
        <v>0.25</v>
      </c>
      <c r="G96" s="40" t="str">
        <f t="shared" si="9"/>
        <v>█████░░░░░░░░░░░░░░░</v>
      </c>
      <c r="H96" s="41" t="str">
        <f t="shared" si="10"/>
        <v>🔄 In progress</v>
      </c>
    </row>
    <row r="97">
      <c r="A97" s="42" t="s">
        <v>86</v>
      </c>
      <c r="B97" s="22" t="s">
        <v>25</v>
      </c>
      <c r="C97" s="22" t="str">
        <f>IFERROR(VLOOKUP(A97,PIC!A:B,2,0),"")</f>
        <v>Quan Nguyen</v>
      </c>
      <c r="D97" s="23">
        <f>IFERROR(MAXIFS(ATTENDANCE_LOG!E:E,ATTENDANCE_LOG!A:A,A97,ATTENDANCE_LOG!B:B,B97),0)</f>
        <v>15</v>
      </c>
      <c r="E97" s="23">
        <f>IFERROR(VLOOKUP(B97,COURSE_PLAN!A:B,2,0),0)</f>
        <v>16</v>
      </c>
      <c r="F97" s="24">
        <f t="shared" si="8"/>
        <v>0.9375</v>
      </c>
      <c r="G97" s="43" t="str">
        <f t="shared" si="9"/>
        <v>███████████████████░</v>
      </c>
      <c r="H97" s="45" t="str">
        <f t="shared" si="10"/>
        <v>🟢 Almost</v>
      </c>
    </row>
    <row r="98">
      <c r="A98" s="39" t="s">
        <v>87</v>
      </c>
      <c r="B98" s="18" t="s">
        <v>21</v>
      </c>
      <c r="C98" s="18" t="str">
        <f>IFERROR(VLOOKUP(A98,PIC!A:B,2,0),"")</f>
        <v>My Nguyen</v>
      </c>
      <c r="D98" s="19">
        <f>IFERROR(MAXIFS(ATTENDANCE_LOG!E:E,ATTENDANCE_LOG!A:A,A98,ATTENDANCE_LOG!B:B,B98),0)</f>
        <v>10</v>
      </c>
      <c r="E98" s="19">
        <f>IFERROR(VLOOKUP(B98,COURSE_PLAN!A:B,2,0),0)</f>
        <v>10</v>
      </c>
      <c r="F98" s="20">
        <f t="shared" si="8"/>
        <v>1</v>
      </c>
      <c r="G98" s="40" t="str">
        <f t="shared" si="9"/>
        <v>████████████████████</v>
      </c>
      <c r="H98" s="44" t="str">
        <f t="shared" si="10"/>
        <v>✅ Done</v>
      </c>
    </row>
    <row r="99">
      <c r="A99" s="42" t="s">
        <v>87</v>
      </c>
      <c r="B99" s="22" t="s">
        <v>22</v>
      </c>
      <c r="C99" s="22" t="str">
        <f>IFERROR(VLOOKUP(A99,PIC!A:B,2,0),"")</f>
        <v>My Nguyen</v>
      </c>
      <c r="D99" s="23">
        <f>IFERROR(MAXIFS(ATTENDANCE_LOG!E:E,ATTENDANCE_LOG!A:A,A99,ATTENDANCE_LOG!B:B,B99),0)</f>
        <v>5</v>
      </c>
      <c r="E99" s="23">
        <f>IFERROR(VLOOKUP(B99,COURSE_PLAN!A:B,2,0),0)</f>
        <v>16</v>
      </c>
      <c r="F99" s="24">
        <f t="shared" si="8"/>
        <v>0.3125</v>
      </c>
      <c r="G99" s="43" t="str">
        <f t="shared" si="9"/>
        <v>██████░░░░░░░░░░░░░░</v>
      </c>
      <c r="H99" s="41" t="str">
        <f t="shared" si="10"/>
        <v>🔄 In progress</v>
      </c>
    </row>
    <row r="100">
      <c r="A100" s="39" t="s">
        <v>88</v>
      </c>
      <c r="B100" s="18" t="s">
        <v>21</v>
      </c>
      <c r="C100" s="18" t="str">
        <f>IFERROR(VLOOKUP(A100,PIC!A:B,2,0),"")</f>
        <v>Huy Nguyen</v>
      </c>
      <c r="D100" s="19">
        <f>IFERROR(MAXIFS(ATTENDANCE_LOG!E:E,ATTENDANCE_LOG!A:A,A100,ATTENDANCE_LOG!B:B,B100),0)</f>
        <v>10</v>
      </c>
      <c r="E100" s="19">
        <f>IFERROR(VLOOKUP(B100,COURSE_PLAN!A:B,2,0),0)</f>
        <v>10</v>
      </c>
      <c r="F100" s="20">
        <f t="shared" si="8"/>
        <v>1</v>
      </c>
      <c r="G100" s="40" t="str">
        <f t="shared" si="9"/>
        <v>████████████████████</v>
      </c>
      <c r="H100" s="44" t="str">
        <f t="shared" si="10"/>
        <v>✅ Done</v>
      </c>
    </row>
    <row r="101">
      <c r="A101" s="42" t="s">
        <v>89</v>
      </c>
      <c r="B101" s="22" t="s">
        <v>26</v>
      </c>
      <c r="C101" s="22" t="str">
        <f>IFERROR(VLOOKUP(A101,PIC!A:B,2,0),"")</f>
        <v>Thanh Phung</v>
      </c>
      <c r="D101" s="23">
        <f>IFERROR(MAXIFS(ATTENDANCE_LOG!E:E,ATTENDANCE_LOG!A:A,A101,ATTENDANCE_LOG!B:B,B101),0)</f>
        <v>2</v>
      </c>
      <c r="E101" s="23">
        <f>IFERROR(VLOOKUP(B101,COURSE_PLAN!A:B,2,0),0)</f>
        <v>0</v>
      </c>
      <c r="F101" s="24">
        <f t="shared" si="8"/>
        <v>0</v>
      </c>
      <c r="G101" s="43" t="str">
        <f t="shared" si="9"/>
        <v>—</v>
      </c>
      <c r="H101" s="22" t="str">
        <f t="shared" si="10"/>
        <v>No plan</v>
      </c>
    </row>
    <row r="102">
      <c r="A102" s="39" t="s">
        <v>89</v>
      </c>
      <c r="B102" s="18" t="s">
        <v>25</v>
      </c>
      <c r="C102" s="18" t="str">
        <f>IFERROR(VLOOKUP(A102,PIC!A:B,2,0),"")</f>
        <v>Thanh Phung</v>
      </c>
      <c r="D102" s="19">
        <f>IFERROR(MAXIFS(ATTENDANCE_LOG!E:E,ATTENDANCE_LOG!A:A,A102,ATTENDANCE_LOG!B:B,B102),0)</f>
        <v>16</v>
      </c>
      <c r="E102" s="19">
        <f>IFERROR(VLOOKUP(B102,COURSE_PLAN!A:B,2,0),0)</f>
        <v>16</v>
      </c>
      <c r="F102" s="20">
        <f t="shared" si="8"/>
        <v>1</v>
      </c>
      <c r="G102" s="40" t="str">
        <f t="shared" si="9"/>
        <v>████████████████████</v>
      </c>
      <c r="H102" s="44" t="str">
        <f t="shared" si="10"/>
        <v>✅ Done</v>
      </c>
    </row>
    <row r="103">
      <c r="A103" s="42" t="s">
        <v>90</v>
      </c>
      <c r="B103" s="22" t="s">
        <v>21</v>
      </c>
      <c r="C103" s="22" t="str">
        <f>IFERROR(VLOOKUP(A103,PIC!A:B,2,0),"")</f>
        <v>Phu Nguyen</v>
      </c>
      <c r="D103" s="23">
        <f>IFERROR(MAXIFS(ATTENDANCE_LOG!E:E,ATTENDANCE_LOG!A:A,A103,ATTENDANCE_LOG!B:B,B103),0)</f>
        <v>8</v>
      </c>
      <c r="E103" s="23">
        <f>IFERROR(VLOOKUP(B103,COURSE_PLAN!A:B,2,0),0)</f>
        <v>10</v>
      </c>
      <c r="F103" s="24">
        <f t="shared" si="8"/>
        <v>0.8</v>
      </c>
      <c r="G103" s="43" t="str">
        <f t="shared" si="9"/>
        <v>████████████████░░░░</v>
      </c>
      <c r="H103" s="45" t="str">
        <f t="shared" si="10"/>
        <v>🟢 Almost</v>
      </c>
    </row>
    <row r="104">
      <c r="A104" s="39" t="s">
        <v>91</v>
      </c>
      <c r="B104" s="18" t="s">
        <v>21</v>
      </c>
      <c r="C104" s="18" t="str">
        <f>IFERROR(VLOOKUP(A104,PIC!A:B,2,0),"")</f>
        <v>Vinh Tran</v>
      </c>
      <c r="D104" s="19">
        <f>IFERROR(MAXIFS(ATTENDANCE_LOG!E:E,ATTENDANCE_LOG!A:A,A104,ATTENDANCE_LOG!B:B,B104),0)</f>
        <v>16</v>
      </c>
      <c r="E104" s="19">
        <f>IFERROR(VLOOKUP(B104,COURSE_PLAN!A:B,2,0),0)</f>
        <v>10</v>
      </c>
      <c r="F104" s="20">
        <f t="shared" si="8"/>
        <v>1</v>
      </c>
      <c r="G104" s="40" t="str">
        <f t="shared" si="9"/>
        <v>████████████████████</v>
      </c>
      <c r="H104" s="44" t="str">
        <f t="shared" si="10"/>
        <v>✅ Done</v>
      </c>
    </row>
    <row r="105">
      <c r="A105" s="42" t="s">
        <v>91</v>
      </c>
      <c r="B105" s="22" t="s">
        <v>22</v>
      </c>
      <c r="C105" s="22" t="str">
        <f>IFERROR(VLOOKUP(A105,PIC!A:B,2,0),"")</f>
        <v>Vinh Tran</v>
      </c>
      <c r="D105" s="23">
        <f>IFERROR(MAXIFS(ATTENDANCE_LOG!E:E,ATTENDANCE_LOG!A:A,A105,ATTENDANCE_LOG!B:B,B105),0)</f>
        <v>4</v>
      </c>
      <c r="E105" s="23">
        <f>IFERROR(VLOOKUP(B105,COURSE_PLAN!A:B,2,0),0)</f>
        <v>16</v>
      </c>
      <c r="F105" s="24">
        <f t="shared" si="8"/>
        <v>0.25</v>
      </c>
      <c r="G105" s="43" t="str">
        <f t="shared" si="9"/>
        <v>█████░░░░░░░░░░░░░░░</v>
      </c>
      <c r="H105" s="41" t="str">
        <f t="shared" si="10"/>
        <v>🔄 In progress</v>
      </c>
    </row>
    <row r="106">
      <c r="A106" s="39" t="s">
        <v>92</v>
      </c>
      <c r="B106" s="18" t="s">
        <v>25</v>
      </c>
      <c r="C106" s="18" t="str">
        <f>IFERROR(VLOOKUP(A106,PIC!A:B,2,0),"")</f>
        <v>Liên Nguyễn</v>
      </c>
      <c r="D106" s="19">
        <f>IFERROR(MAXIFS(ATTENDANCE_LOG!E:E,ATTENDANCE_LOG!A:A,A106,ATTENDANCE_LOG!B:B,B106),0)</f>
        <v>16</v>
      </c>
      <c r="E106" s="19">
        <f>IFERROR(VLOOKUP(B106,COURSE_PLAN!A:B,2,0),0)</f>
        <v>16</v>
      </c>
      <c r="F106" s="20">
        <f t="shared" si="8"/>
        <v>1</v>
      </c>
      <c r="G106" s="40" t="str">
        <f t="shared" si="9"/>
        <v>████████████████████</v>
      </c>
      <c r="H106" s="44" t="str">
        <f t="shared" si="10"/>
        <v>✅ Done</v>
      </c>
    </row>
    <row r="107">
      <c r="A107" s="42" t="s">
        <v>93</v>
      </c>
      <c r="B107" s="22" t="s">
        <v>21</v>
      </c>
      <c r="C107" s="22" t="str">
        <f>IFERROR(VLOOKUP(A107,PIC!A:B,2,0),"")</f>
        <v>Quyen Nguyen</v>
      </c>
      <c r="D107" s="23">
        <f>IFERROR(MAXIFS(ATTENDANCE_LOG!E:E,ATTENDANCE_LOG!A:A,A107,ATTENDANCE_LOG!B:B,B107),0)</f>
        <v>15</v>
      </c>
      <c r="E107" s="23">
        <f>IFERROR(VLOOKUP(B107,COURSE_PLAN!A:B,2,0),0)</f>
        <v>10</v>
      </c>
      <c r="F107" s="24">
        <f t="shared" si="8"/>
        <v>1</v>
      </c>
      <c r="G107" s="43" t="str">
        <f t="shared" si="9"/>
        <v>████████████████████</v>
      </c>
      <c r="H107" s="44" t="str">
        <f t="shared" si="10"/>
        <v>✅ Done</v>
      </c>
    </row>
    <row r="108">
      <c r="A108" s="39" t="s">
        <v>94</v>
      </c>
      <c r="B108" s="18" t="s">
        <v>21</v>
      </c>
      <c r="C108" s="18" t="str">
        <f>IFERROR(VLOOKUP(A108,PIC!A:B,2,0),"")</f>
        <v>Phuoc Ta</v>
      </c>
      <c r="D108" s="19">
        <f>IFERROR(MAXIFS(ATTENDANCE_LOG!E:E,ATTENDANCE_LOG!A:A,A108,ATTENDANCE_LOG!B:B,B108),0)</f>
        <v>7</v>
      </c>
      <c r="E108" s="19">
        <f>IFERROR(VLOOKUP(B108,COURSE_PLAN!A:B,2,0),0)</f>
        <v>10</v>
      </c>
      <c r="F108" s="20">
        <f t="shared" si="8"/>
        <v>0.7</v>
      </c>
      <c r="G108" s="40" t="str">
        <f t="shared" si="9"/>
        <v>██████████████░░░░░░</v>
      </c>
      <c r="H108" s="41" t="str">
        <f t="shared" si="10"/>
        <v>🔄 In progress</v>
      </c>
    </row>
    <row r="109">
      <c r="A109" s="42" t="s">
        <v>95</v>
      </c>
      <c r="B109" s="22" t="s">
        <v>25</v>
      </c>
      <c r="C109" s="22" t="str">
        <f>IFERROR(VLOOKUP(A109,PIC!A:B,2,0),"")</f>
        <v>Phung Nguyen</v>
      </c>
      <c r="D109" s="23">
        <f>IFERROR(MAXIFS(ATTENDANCE_LOG!E:E,ATTENDANCE_LOG!A:A,A109,ATTENDANCE_LOG!B:B,B109),0)</f>
        <v>6</v>
      </c>
      <c r="E109" s="23">
        <f>IFERROR(VLOOKUP(B109,COURSE_PLAN!A:B,2,0),0)</f>
        <v>16</v>
      </c>
      <c r="F109" s="24">
        <f t="shared" si="8"/>
        <v>0.375</v>
      </c>
      <c r="G109" s="43" t="str">
        <f t="shared" si="9"/>
        <v>████████░░░░░░░░░░░░</v>
      </c>
      <c r="H109" s="41" t="str">
        <f t="shared" si="10"/>
        <v>🔄 In progress</v>
      </c>
    </row>
    <row r="110">
      <c r="A110" s="39" t="s">
        <v>96</v>
      </c>
      <c r="B110" s="18" t="s">
        <v>21</v>
      </c>
      <c r="C110" s="18" t="str">
        <f>IFERROR(VLOOKUP(A110,PIC!A:B,2,0),"")</f>
        <v>Nam Nguyen</v>
      </c>
      <c r="D110" s="19">
        <f>IFERROR(MAXIFS(ATTENDANCE_LOG!E:E,ATTENDANCE_LOG!A:A,A110,ATTENDANCE_LOG!B:B,B110),0)</f>
        <v>4</v>
      </c>
      <c r="E110" s="19">
        <f>IFERROR(VLOOKUP(B110,COURSE_PLAN!A:B,2,0),0)</f>
        <v>10</v>
      </c>
      <c r="F110" s="20">
        <f t="shared" si="8"/>
        <v>0.4</v>
      </c>
      <c r="G110" s="40" t="str">
        <f t="shared" si="9"/>
        <v>████████░░░░░░░░░░░░</v>
      </c>
      <c r="H110" s="41" t="str">
        <f t="shared" si="10"/>
        <v>🔄 In progress</v>
      </c>
    </row>
    <row r="111">
      <c r="A111" s="42" t="s">
        <v>97</v>
      </c>
      <c r="B111" s="22" t="s">
        <v>21</v>
      </c>
      <c r="C111" s="22" t="str">
        <f>IFERROR(VLOOKUP(A111,PIC!A:B,2,0),"")</f>
        <v>Trang Nguyen</v>
      </c>
      <c r="D111" s="23">
        <f>IFERROR(MAXIFS(ATTENDANCE_LOG!E:E,ATTENDANCE_LOG!A:A,A111,ATTENDANCE_LOG!B:B,B111),0)</f>
        <v>2</v>
      </c>
      <c r="E111" s="23">
        <f>IFERROR(VLOOKUP(B111,COURSE_PLAN!A:B,2,0),0)</f>
        <v>10</v>
      </c>
      <c r="F111" s="24">
        <f t="shared" si="8"/>
        <v>0.2</v>
      </c>
      <c r="G111" s="43" t="str">
        <f t="shared" si="9"/>
        <v>████░░░░░░░░░░░░░░░░</v>
      </c>
      <c r="H111" s="22" t="str">
        <f t="shared" si="10"/>
        <v>🟡 Just started</v>
      </c>
    </row>
    <row r="112">
      <c r="A112" s="11"/>
      <c r="B112" s="11"/>
      <c r="C112" s="11"/>
      <c r="D112" s="11"/>
      <c r="E112" s="11"/>
      <c r="F112" s="11"/>
      <c r="G112" s="11"/>
      <c r="H112" s="11"/>
    </row>
    <row r="113">
      <c r="A113" s="46" t="s">
        <v>98</v>
      </c>
    </row>
    <row r="114">
      <c r="A114" s="47" t="s">
        <v>99</v>
      </c>
      <c r="B114" s="48" t="s">
        <v>51</v>
      </c>
      <c r="C114" s="11"/>
      <c r="D114" s="11"/>
      <c r="E114" s="11"/>
      <c r="F114" s="11"/>
      <c r="G114" s="11"/>
      <c r="H114" s="11"/>
    </row>
    <row r="115">
      <c r="A115" s="49" t="s">
        <v>100</v>
      </c>
      <c r="B115" s="50" t="str">
        <f>IFERROR(VLOOKUP($B$114,PIC!A:B,2,0),"Not found")</f>
        <v>Anh Vu</v>
      </c>
      <c r="C115" s="11"/>
      <c r="D115" s="11"/>
      <c r="E115" s="11"/>
      <c r="F115" s="11"/>
      <c r="G115" s="11"/>
      <c r="H115" s="11"/>
    </row>
    <row r="116">
      <c r="A116" s="49" t="s">
        <v>101</v>
      </c>
      <c r="B116" s="51">
        <f>COUNTIF(sheet2!C:C,$B$114)</f>
        <v>15</v>
      </c>
      <c r="C116" s="11"/>
      <c r="D116" s="11"/>
      <c r="E116" s="11"/>
      <c r="F116" s="11"/>
      <c r="G116" s="11"/>
      <c r="H116" s="11"/>
    </row>
    <row r="117">
      <c r="A117" s="49" t="s">
        <v>102</v>
      </c>
      <c r="B117" s="51">
        <f>COUNTIF(ATTENDANCE_LOG!A:A,$B$114)</f>
        <v>168</v>
      </c>
      <c r="C117" s="11"/>
      <c r="D117" s="11"/>
      <c r="E117" s="11"/>
      <c r="F117" s="11"/>
      <c r="G117" s="11"/>
      <c r="H117" s="11"/>
    </row>
    <row r="118">
      <c r="A118" s="49" t="s">
        <v>103</v>
      </c>
      <c r="B118" s="51">
        <f>COUNTIFS(ATTENDANCE_LOG!A:A,$B$114,ATTENDANCE_LOG!G:G,"Present")</f>
        <v>164</v>
      </c>
      <c r="C118" s="11"/>
      <c r="D118" s="11"/>
      <c r="E118" s="11"/>
      <c r="F118" s="11"/>
      <c r="G118" s="11"/>
      <c r="H118" s="11"/>
    </row>
    <row r="119">
      <c r="A119" s="49" t="s">
        <v>104</v>
      </c>
      <c r="B119" s="51">
        <f>COUNTIFS(ATTENDANCE_LOG!A:A,$B$114,ATTENDANCE_LOG!G:G,"Absent")</f>
        <v>4</v>
      </c>
      <c r="C119" s="11"/>
      <c r="D119" s="11"/>
      <c r="E119" s="11"/>
      <c r="F119" s="11"/>
      <c r="G119" s="11"/>
      <c r="H119" s="11"/>
    </row>
    <row r="120">
      <c r="A120" s="49" t="s">
        <v>105</v>
      </c>
      <c r="B120" s="52">
        <f>IFERROR(COUNTIFS(ATTENDANCE_LOG!A:A,$B$114,ATTENDANCE_LOG!G:G,"Present")/(COUNTIFS(ATTENDANCE_LOG!A:A,$B$114,ATTENDANCE_LOG!G:G,"Present")+COUNTIFS(ATTENDANCE_LOG!A:A,$B$114,ATTENDANCE_LOG!G:G,"Absent")),0)</f>
        <v>0.9761904762</v>
      </c>
      <c r="C120" s="11"/>
      <c r="D120" s="11"/>
      <c r="E120" s="11"/>
      <c r="F120" s="11"/>
      <c r="G120" s="11"/>
      <c r="H120" s="11"/>
    </row>
    <row r="121">
      <c r="A121" s="11"/>
      <c r="B121" s="11"/>
      <c r="C121" s="11"/>
      <c r="D121" s="11"/>
      <c r="E121" s="11"/>
      <c r="F121" s="11"/>
      <c r="G121" s="11"/>
      <c r="H121" s="11"/>
    </row>
    <row r="122">
      <c r="A122" s="12" t="s">
        <v>106</v>
      </c>
    </row>
    <row r="123">
      <c r="A123" s="47" t="s">
        <v>107</v>
      </c>
      <c r="B123" s="53" t="s">
        <v>108</v>
      </c>
      <c r="C123" s="11"/>
      <c r="D123" s="11"/>
      <c r="E123" s="11"/>
      <c r="F123" s="11"/>
      <c r="G123" s="11"/>
      <c r="H123" s="11"/>
    </row>
    <row r="124">
      <c r="A124" s="49" t="s">
        <v>109</v>
      </c>
      <c r="B124" s="50" t="str">
        <f>IFERROR(VLOOKUP($B$123&amp;"",STUDENTS!A:B,2,0),"Not found")</f>
        <v>LÊ THANH SƠN</v>
      </c>
      <c r="C124" s="11"/>
      <c r="D124" s="11"/>
      <c r="E124" s="11"/>
      <c r="F124" s="11"/>
      <c r="G124" s="11"/>
      <c r="H124" s="11"/>
    </row>
    <row r="125">
      <c r="A125" s="49" t="s">
        <v>110</v>
      </c>
      <c r="B125" s="50" t="str">
        <f>IFERROR(VLOOKUP($B$123&amp;"",STUDENTS!A:E,5,0),"")</f>
        <v>Active</v>
      </c>
      <c r="C125" s="11"/>
      <c r="D125" s="11"/>
      <c r="E125" s="11"/>
      <c r="F125" s="11"/>
      <c r="G125" s="11"/>
      <c r="H125" s="11"/>
    </row>
    <row r="126">
      <c r="A126" s="49" t="s">
        <v>100</v>
      </c>
      <c r="B126" s="50" t="str">
        <f>IFERROR(VLOOKUP($B$123&amp;"",STUDENTS!A:F,6,0),"")</f>
        <v>Thien Truong</v>
      </c>
      <c r="C126" s="11"/>
      <c r="D126" s="11"/>
      <c r="E126" s="11"/>
      <c r="F126" s="11"/>
      <c r="G126" s="11"/>
      <c r="H126" s="11"/>
    </row>
    <row r="127">
      <c r="A127" s="49" t="s">
        <v>111</v>
      </c>
      <c r="B127" s="50" t="str">
        <f>IFERROR(VLOOKUP($B$123&amp;"",STUDENTS!A:G,7,0),"")</f>
        <v>Communication 3</v>
      </c>
      <c r="C127" s="11"/>
      <c r="D127" s="11"/>
      <c r="E127" s="11"/>
      <c r="F127" s="11"/>
      <c r="G127" s="11"/>
      <c r="H127" s="11"/>
    </row>
    <row r="128">
      <c r="A128" s="49" t="s">
        <v>112</v>
      </c>
      <c r="B128" s="54">
        <f>IFERROR(VLOOKUP($B$123&amp;"",STUDENTS!A:J,10,0),"")</f>
        <v>46134.58333</v>
      </c>
      <c r="C128" s="11"/>
      <c r="D128" s="11"/>
      <c r="E128" s="11"/>
      <c r="F128" s="11"/>
      <c r="G128" s="11"/>
      <c r="H128" s="11"/>
    </row>
    <row r="129">
      <c r="A129" s="49" t="s">
        <v>113</v>
      </c>
      <c r="B129" s="51" t="str">
        <f>IFERROR(VLOOKUP($B$123&amp;"",STUDENTS!A:K,11,0),"")</f>
        <v/>
      </c>
      <c r="C129" s="11"/>
      <c r="D129" s="11"/>
      <c r="E129" s="11"/>
      <c r="F129" s="11"/>
      <c r="G129" s="11"/>
      <c r="H129" s="11"/>
    </row>
    <row r="130">
      <c r="A130" s="49" t="s">
        <v>114</v>
      </c>
      <c r="B130" s="55" t="str">
        <f>IFERROR(VLOOKUP($B$123&amp;"",STUDENTS!A:L,12,0),"")</f>
        <v/>
      </c>
      <c r="C130" s="11"/>
      <c r="D130" s="11"/>
      <c r="E130" s="11"/>
      <c r="F130" s="11"/>
      <c r="G130" s="11"/>
      <c r="H130" s="11"/>
    </row>
    <row r="131">
      <c r="A131" s="49" t="s">
        <v>115</v>
      </c>
      <c r="B131" s="55" t="str">
        <f>IFERROR(VLOOKUP($B$123&amp;"",STUDENTS!A:L,13,0),"")</f>
        <v/>
      </c>
      <c r="C131" s="11"/>
      <c r="D131" s="11"/>
      <c r="E131" s="11"/>
      <c r="F131" s="11"/>
      <c r="G131" s="11"/>
      <c r="H131" s="11"/>
    </row>
    <row r="132">
      <c r="A132" s="49" t="s">
        <v>101</v>
      </c>
      <c r="B132" s="51">
        <f>COUNTIF(sheet2!A:A,$B$123&amp;"")</f>
        <v>3</v>
      </c>
      <c r="C132" s="11"/>
      <c r="D132" s="11"/>
      <c r="E132" s="11"/>
      <c r="F132" s="11"/>
      <c r="G132" s="11"/>
      <c r="H132" s="11"/>
    </row>
    <row r="133">
      <c r="A133" s="49" t="s">
        <v>116</v>
      </c>
      <c r="B133" s="51">
        <f>COUNTIFS(ATTENDANCE_LOG!C:C,$B$123&amp;"",ATTENDANCE_LOG!G:G,"Present")</f>
        <v>33</v>
      </c>
      <c r="C133" s="11"/>
      <c r="D133" s="11"/>
      <c r="E133" s="11"/>
      <c r="F133" s="11"/>
      <c r="G133" s="11"/>
      <c r="H133" s="11"/>
    </row>
    <row r="134">
      <c r="A134" s="49" t="s">
        <v>117</v>
      </c>
      <c r="B134" s="51">
        <f>COUNTIFS(ATTENDANCE_LOG!C:C,$B$123&amp;"",ATTENDANCE_LOG!G:G,"Absent")</f>
        <v>0</v>
      </c>
      <c r="C134" s="11"/>
      <c r="D134" s="11"/>
      <c r="E134" s="11"/>
      <c r="F134" s="11"/>
      <c r="G134" s="11"/>
      <c r="H134" s="11"/>
    </row>
    <row r="135">
      <c r="A135" s="49" t="s">
        <v>118</v>
      </c>
      <c r="B135" s="52">
        <f>IFERROR(COUNTIFS(ATTENDANCE_LOG!C:C,$B$123&amp;"",ATTENDANCE_LOG!G:G,"Present")/(COUNTIFS(ATTENDANCE_LOG!C:C,$B$123&amp;"",ATTENDANCE_LOG!G:G,"Present")+COUNTIFS(ATTENDANCE_LOG!C:C,$B$123&amp;"",ATTENDANCE_LOG!G:G,"Absent")),0)</f>
        <v>1</v>
      </c>
      <c r="C135" s="11"/>
      <c r="D135" s="11"/>
      <c r="E135" s="11"/>
      <c r="F135" s="11"/>
      <c r="G135" s="11"/>
      <c r="H135" s="11"/>
    </row>
  </sheetData>
  <mergeCells count="54">
    <mergeCell ref="G15:H15"/>
    <mergeCell ref="G16:H16"/>
    <mergeCell ref="G17:H17"/>
    <mergeCell ref="G18:H18"/>
    <mergeCell ref="G19:H19"/>
    <mergeCell ref="G20:H20"/>
    <mergeCell ref="A22:H22"/>
    <mergeCell ref="C23:D23"/>
    <mergeCell ref="G23:H23"/>
    <mergeCell ref="C24:D24"/>
    <mergeCell ref="G24:H24"/>
    <mergeCell ref="C25:D25"/>
    <mergeCell ref="G25:H25"/>
    <mergeCell ref="G26:H26"/>
    <mergeCell ref="A1:H1"/>
    <mergeCell ref="A2:H2"/>
    <mergeCell ref="A4:H4"/>
    <mergeCell ref="A5:B5"/>
    <mergeCell ref="C5:D5"/>
    <mergeCell ref="E5:F5"/>
    <mergeCell ref="G5:H5"/>
    <mergeCell ref="A6:B6"/>
    <mergeCell ref="C6:D6"/>
    <mergeCell ref="E6:F6"/>
    <mergeCell ref="G6:H6"/>
    <mergeCell ref="C7:D7"/>
    <mergeCell ref="E7:F7"/>
    <mergeCell ref="G7:H7"/>
    <mergeCell ref="E9:F9"/>
    <mergeCell ref="G9:H9"/>
    <mergeCell ref="A7:B7"/>
    <mergeCell ref="A8:B8"/>
    <mergeCell ref="C8:D8"/>
    <mergeCell ref="E8:F8"/>
    <mergeCell ref="G8:H8"/>
    <mergeCell ref="A9:B9"/>
    <mergeCell ref="C9:D9"/>
    <mergeCell ref="A10:B10"/>
    <mergeCell ref="C10:D10"/>
    <mergeCell ref="E10:F10"/>
    <mergeCell ref="G10:H10"/>
    <mergeCell ref="A12:H12"/>
    <mergeCell ref="G13:H13"/>
    <mergeCell ref="G14:H14"/>
    <mergeCell ref="C26:D26"/>
    <mergeCell ref="C27:D27"/>
    <mergeCell ref="C28:D28"/>
    <mergeCell ref="C29:D29"/>
    <mergeCell ref="C30:D30"/>
    <mergeCell ref="G27:H27"/>
    <mergeCell ref="G30:H30"/>
    <mergeCell ref="A32:H32"/>
    <mergeCell ref="A113:H113"/>
    <mergeCell ref="A122:H122"/>
  </mergeCell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9.29"/>
    <col customWidth="1" min="2" max="2" width="31.71"/>
    <col customWidth="1" min="3" max="3" width="10.86"/>
    <col customWidth="1" min="4" max="4" width="10.71"/>
    <col customWidth="1" min="5" max="5" width="18.57"/>
    <col customWidth="1" min="6" max="6" width="15.0"/>
    <col customWidth="1" min="7" max="7" width="20.0"/>
    <col customWidth="1" min="8" max="8" width="15.14"/>
    <col customWidth="1" min="9" max="9" width="18.57"/>
    <col customWidth="1" min="10" max="10" width="15.71"/>
    <col customWidth="1" min="11" max="11" width="9.86"/>
    <col customWidth="1" min="12" max="12" width="18.71"/>
    <col customWidth="1" min="13" max="13" width="33.0"/>
    <col customWidth="1" min="14" max="14" width="33.86"/>
    <col customWidth="1" min="15" max="15" width="44.71"/>
    <col customWidth="1" min="16" max="17" width="4.43"/>
    <col customWidth="1" min="18" max="18" width="7.57"/>
    <col customWidth="1" min="19" max="19" width="33.86"/>
    <col customWidth="1" min="20" max="20" width="23.86"/>
    <col customWidth="1" min="21" max="22" width="27.86"/>
  </cols>
  <sheetData>
    <row r="1" ht="15.75" customHeight="1">
      <c r="A1" s="56" t="s">
        <v>119</v>
      </c>
      <c r="B1" s="57" t="s">
        <v>119</v>
      </c>
      <c r="C1" s="57"/>
      <c r="D1" s="56"/>
      <c r="E1" s="56" t="s">
        <v>120</v>
      </c>
      <c r="F1" s="56" t="s">
        <v>120</v>
      </c>
      <c r="G1" s="56" t="s">
        <v>120</v>
      </c>
      <c r="H1" s="56"/>
      <c r="I1" s="56"/>
      <c r="J1" s="56" t="s">
        <v>120</v>
      </c>
      <c r="K1" s="56" t="s">
        <v>120</v>
      </c>
      <c r="L1" s="58" t="s">
        <v>120</v>
      </c>
      <c r="M1" s="57" t="s">
        <v>119</v>
      </c>
      <c r="N1" s="57" t="s">
        <v>119</v>
      </c>
      <c r="O1" s="59"/>
      <c r="P1" s="59"/>
      <c r="Q1" s="59"/>
      <c r="R1" s="59">
        <v>247118.0</v>
      </c>
      <c r="S1" s="59" t="s">
        <v>121</v>
      </c>
      <c r="T1" s="59" t="s">
        <v>122</v>
      </c>
      <c r="U1" s="59" t="str">
        <f>IFERROR(__xludf.DUMMYFUNCTION("arrayformula(vlookup(to_text(R1),to_text($A$4:$B1002),2,0))"),"#N/A")</f>
        <v>#N/A</v>
      </c>
      <c r="V1" s="59"/>
      <c r="W1" s="60"/>
      <c r="X1" s="60"/>
      <c r="Y1" s="60"/>
    </row>
    <row r="2" ht="27.75" customHeight="1">
      <c r="A2" s="61" t="s">
        <v>123</v>
      </c>
      <c r="B2" s="61" t="s">
        <v>124</v>
      </c>
      <c r="C2" s="62" t="s">
        <v>125</v>
      </c>
      <c r="D2" s="62" t="s">
        <v>126</v>
      </c>
      <c r="E2" s="62" t="s">
        <v>50</v>
      </c>
      <c r="F2" s="61" t="s">
        <v>45</v>
      </c>
      <c r="G2" s="63" t="s">
        <v>127</v>
      </c>
      <c r="H2" s="64" t="s">
        <v>128</v>
      </c>
      <c r="I2" s="63" t="s">
        <v>129</v>
      </c>
      <c r="J2" s="65" t="s">
        <v>130</v>
      </c>
      <c r="K2" s="66" t="s">
        <v>131</v>
      </c>
      <c r="L2" s="65" t="s">
        <v>132</v>
      </c>
      <c r="M2" s="63" t="s">
        <v>133</v>
      </c>
      <c r="N2" s="63" t="s">
        <v>134</v>
      </c>
      <c r="O2" s="63" t="s">
        <v>135</v>
      </c>
      <c r="P2" s="63"/>
      <c r="Q2" s="63"/>
      <c r="R2" s="63"/>
      <c r="S2" s="63"/>
      <c r="T2" s="63"/>
      <c r="U2" s="63"/>
      <c r="V2" s="63"/>
      <c r="W2" s="60"/>
      <c r="X2" s="60"/>
      <c r="Y2" s="60"/>
    </row>
    <row r="3" ht="15.0" customHeight="1">
      <c r="A3" s="67" t="s">
        <v>136</v>
      </c>
      <c r="B3" s="68" t="s">
        <v>137</v>
      </c>
      <c r="C3" s="69" t="str">
        <f>IFERROR(__xludf.DUMMYFUNCTION("arrayformula(VLOOKUP(to_Text(A3),to_Text(sheet2!$A$1:M1002),13,0))"),"MOC")</f>
        <v>MOC</v>
      </c>
      <c r="D3" s="70" t="str">
        <f>IFERROR(__xludf.DUMMYFUNCTION("arrayformula(VLOOKUP(to_Text(A3),to_Text(sheet2!$A$1:M1002),12,0))"),"DEV")</f>
        <v>DEV</v>
      </c>
      <c r="E3" s="71" t="s">
        <v>16</v>
      </c>
      <c r="F3" s="67" t="str">
        <f t="array" ref="F3">IFERROR(
  INDEX(ATTENDANCE_INPUT!D:D,
    MATCH(1,
      (ATTENDANCE_INPUT!A:A=A3) *
      (ATTENDANCE_INPUT!V:V=MAXIFS(ATTENDANCE_INPUT!V:V, ATTENDANCE_INPUT!A:A, A3)),
      0)),
  "")</f>
        <v>Van Nguyen</v>
      </c>
      <c r="G3" s="72" t="str">
        <f t="array" ref="G3">IFERROR(
  INDEX(ATTENDANCE_INPUT!E:E,
    MATCH(1,
      (ATTENDANCE_INPUT!A:A=A3) *
      (ATTENDANCE_INPUT!V:V=MAXIFS(ATTENDANCE_INPUT!V:V, ATTENDANCE_INPUT!A:A, A3)),
      0)),
  "")</f>
        <v>Business English</v>
      </c>
      <c r="H3" s="73" t="str">
        <f t="array" ref="H3">IF(ISNA(MATCH(A3,sheet2!A:A,0)),"⏳ Chưa test",IFERROR(INDEX(LEVEL_HELPER!A:A,MATCH(INDEX(sheet2!N:N,MATCH(A3,sheet2!A:A,0)),LEVEL_HELPER!B:B,0)),"⏳ Chưa test"))</f>
        <v>Not Placement</v>
      </c>
      <c r="I3" s="73" t="str">
        <f t="array" ref="I3">IF(ISNA(MATCH(A3,sheet2!A:A,0)),H3,IF(INDEX(sheet2!O:O,MATCH(A3,sheet2!A:A,0))&gt;0,IFERROR(INDEX(LEVEL_HELPER!A:A,MATCH(INDEX(sheet2!O:O,MATCH(A3,sheet2!A:A,0)),LEVEL_HELPER!B:B,0)),H3),H3))</f>
        <v>Intermediate 1</v>
      </c>
      <c r="J3" s="73">
        <f>IFERROR(MAXIFS(ATTENDANCE_LOG!F:F, ATTENDANCE_LOG!C:C, A3&amp;"", ATTENDANCE_LOG!G:G, "Present"), "")</f>
        <v>46086.45833</v>
      </c>
      <c r="K3" s="74">
        <f t="shared" ref="K3:K306" si="1">IF(J3="", "", IFERROR(TODAY()-DATEVALUE(LEFT(J3,10)), ""))</f>
        <v>-2</v>
      </c>
      <c r="L3" s="75" t="str">
        <f t="shared" ref="L3:L306" si="2">IF(AND(ISNUMBER(K3), K3&gt;=30), "⚠ Possibly Dropped", "")</f>
        <v/>
      </c>
      <c r="M3" s="59" t="s">
        <v>34</v>
      </c>
      <c r="N3" s="76" t="s">
        <v>33</v>
      </c>
      <c r="O3" s="59"/>
      <c r="P3" s="59"/>
      <c r="Q3" s="59"/>
      <c r="R3" s="59"/>
      <c r="S3" s="59"/>
      <c r="T3" s="59"/>
      <c r="U3" s="59"/>
      <c r="V3" s="59"/>
      <c r="W3" s="60"/>
      <c r="X3" s="60"/>
      <c r="Y3" s="60"/>
    </row>
    <row r="4" ht="15.0" customHeight="1">
      <c r="A4" s="67" t="s">
        <v>138</v>
      </c>
      <c r="B4" s="68" t="s">
        <v>139</v>
      </c>
      <c r="C4" s="69" t="str">
        <f>IFERROR(__xludf.DUMMYFUNCTION("arrayformula(VLOOKUP(to_Text(A4),to_Text(sheet2!$A$1:M1002),13,0))"),"ONC")</f>
        <v>ONC</v>
      </c>
      <c r="D4" s="70" t="str">
        <f>IFERROR(__xludf.DUMMYFUNCTION("arrayformula(VLOOKUP(to_Text(A4),to_Text(sheet2!$A$1:M1002),12,0))"),"QC")</f>
        <v>QC</v>
      </c>
      <c r="E4" s="68" t="str">
        <f>if(L4="⚠ Possibly Dropped","Inactive","Active")</f>
        <v>Active</v>
      </c>
      <c r="F4" s="67" t="str">
        <f t="array" ref="F4">IFERROR(
  INDEX(ATTENDANCE_INPUT!D:D,
    MATCH(1,
      (ATTENDANCE_INPUT!A:A=A4) *
      (ATTENDANCE_INPUT!V:V=MAXIFS(ATTENDANCE_INPUT!V:V, ATTENDANCE_INPUT!A:A, A4)),
      0)),
  "")</f>
        <v>Nam Nguyen</v>
      </c>
      <c r="G4" s="72" t="str">
        <f t="array" ref="G4">IFERROR(
  INDEX(ATTENDANCE_INPUT!E:E,
    MATCH(1,
      (ATTENDANCE_INPUT!A:A=A4) *
      (ATTENDANCE_INPUT!V:V=MAXIFS(ATTENDANCE_INPUT!V:V, ATTENDANCE_INPUT!A:A, A4)),
      0)),
  "")</f>
        <v>Communication 1</v>
      </c>
      <c r="H4" s="73" t="str">
        <f t="array" ref="H4">IF(ISNA(MATCH(A4,sheet2!A:A,0)),"⏳ Chưa test",IFERROR(INDEX(LEVEL_HELPER!A:A,MATCH(INDEX(sheet2!N:N,MATCH(A4,sheet2!A:A,0)),LEVEL_HELPER!B:B,0)),"⏳ Chưa test"))</f>
        <v>Beginner 2</v>
      </c>
      <c r="I4" s="73" t="str">
        <f t="array" ref="I4">IF(ISNA(MATCH(A4,sheet2!A:A,0)),H4,IF(INDEX(sheet2!O:O,MATCH(A4,sheet2!A:A,0))&gt;0,IFERROR(INDEX(LEVEL_HELPER!A:A,MATCH(INDEX(sheet2!O:O,MATCH(A4,sheet2!A:A,0)),LEVEL_HELPER!B:B,0)),H4),H4))</f>
        <v>Beginner 2</v>
      </c>
      <c r="J4" s="73">
        <f>IFERROR(MAXIFS(ATTENDANCE_LOG!F:F, ATTENDANCE_LOG!C:C, A4&amp;"", ATTENDANCE_LOG!G:G, "Present"), "")</f>
        <v>46134.45833</v>
      </c>
      <c r="K4" s="74" t="str">
        <f t="shared" si="1"/>
        <v/>
      </c>
      <c r="L4" s="75" t="str">
        <f t="shared" si="2"/>
        <v/>
      </c>
      <c r="M4" s="59"/>
      <c r="N4" s="77"/>
      <c r="O4" s="59"/>
      <c r="P4" s="59"/>
      <c r="Q4" s="59"/>
      <c r="R4" s="59"/>
      <c r="S4" s="59"/>
      <c r="T4" s="59"/>
      <c r="U4" s="59"/>
      <c r="V4" s="59"/>
      <c r="W4" s="60"/>
      <c r="X4" s="60"/>
      <c r="Y4" s="60"/>
    </row>
    <row r="5" ht="15.0" customHeight="1">
      <c r="A5" s="67" t="s">
        <v>140</v>
      </c>
      <c r="B5" s="68" t="s">
        <v>141</v>
      </c>
      <c r="C5" s="69" t="str">
        <f>IFERROR(__xludf.DUMMYFUNCTION("arrayformula(VLOOKUP(to_Text(A5),to_Text(sheet2!$A$1:M1002),13,0))"),"CHORUS")</f>
        <v>CHORUS</v>
      </c>
      <c r="D5" s="70" t="str">
        <f>IFERROR(__xludf.DUMMYFUNCTION("arrayformula(VLOOKUP(to_Text(A5),to_Text(sheet2!$A$1:M1002),12,0))"),"DEV")</f>
        <v>DEV</v>
      </c>
      <c r="E5" s="71" t="s">
        <v>16</v>
      </c>
      <c r="F5" s="67" t="str">
        <f t="array" ref="F5">IFERROR(
  INDEX(ATTENDANCE_INPUT!D:D,
    MATCH(1,
      (ATTENDANCE_INPUT!A:A=A5) *
      (ATTENDANCE_INPUT!V:V=MAXIFS(ATTENDANCE_INPUT!V:V, ATTENDANCE_INPUT!A:A, A5)),
      0)),
  "")</f>
        <v>Huy Tran 1</v>
      </c>
      <c r="G5" s="72" t="str">
        <f t="array" ref="G5">IFERROR(
  INDEX(ATTENDANCE_INPUT!E:E,
    MATCH(1,
      (ATTENDANCE_INPUT!A:A=A5) *
      (ATTENDANCE_INPUT!V:V=MAXIFS(ATTENDANCE_INPUT!V:V, ATTENDANCE_INPUT!A:A, A5)),
      0)),
  "")</f>
        <v>Communication 2</v>
      </c>
      <c r="H5" s="73" t="str">
        <f t="array" ref="H5">IF(ISNA(MATCH(A5,sheet2!A:A,0)),"⏳ Chưa test",IFERROR(INDEX(LEVEL_HELPER!A:A,MATCH(INDEX(sheet2!N:N,MATCH(A5,sheet2!A:A,0)),LEVEL_HELPER!B:B,0)),"⏳ Chưa test"))</f>
        <v>Beginner</v>
      </c>
      <c r="I5" s="73" t="str">
        <f t="array" ref="I5">IF(ISNA(MATCH(A5,sheet2!A:A,0)),H5,IF(INDEX(sheet2!O:O,MATCH(A5,sheet2!A:A,0))&gt;0,IFERROR(INDEX(LEVEL_HELPER!A:A,MATCH(INDEX(sheet2!O:O,MATCH(A5,sheet2!A:A,0)),LEVEL_HELPER!B:B,0)),H5),H5))</f>
        <v>Pre-Intermediate</v>
      </c>
      <c r="J5" s="73">
        <f>IFERROR(MAXIFS(ATTENDANCE_LOG!F:F, ATTENDANCE_LOG!C:C, A5&amp;"", ATTENDANCE_LOG!G:G, "Present"), "")</f>
        <v>45895.45833</v>
      </c>
      <c r="K5" s="74" t="str">
        <f t="shared" si="1"/>
        <v/>
      </c>
      <c r="L5" s="75" t="str">
        <f t="shared" si="2"/>
        <v/>
      </c>
      <c r="M5" s="59" t="s">
        <v>36</v>
      </c>
      <c r="N5" s="77" t="s">
        <v>33</v>
      </c>
      <c r="O5" s="78"/>
      <c r="P5" s="78"/>
      <c r="Q5" s="78"/>
      <c r="R5" s="79"/>
      <c r="S5" s="79"/>
      <c r="T5" s="79"/>
      <c r="U5" s="79"/>
      <c r="V5" s="78"/>
      <c r="W5" s="60"/>
      <c r="X5" s="60"/>
      <c r="Y5" s="60"/>
    </row>
    <row r="6" ht="15.0" customHeight="1">
      <c r="A6" s="67" t="s">
        <v>142</v>
      </c>
      <c r="B6" s="68" t="s">
        <v>143</v>
      </c>
      <c r="C6" s="69" t="str">
        <f>IFERROR(__xludf.DUMMYFUNCTION("arrayformula(VLOOKUP(to_Text(A6),to_Text(sheet2!$A$1:M1002),13,0))"),"BSG")</f>
        <v>BSG</v>
      </c>
      <c r="D6" s="70" t="str">
        <f>IFERROR(__xludf.DUMMYFUNCTION("arrayformula(VLOOKUP(to_Text(A6),to_Text(sheet2!$A$1:M1002),12,0))"),"HR")</f>
        <v>HR</v>
      </c>
      <c r="E6" s="71" t="s">
        <v>16</v>
      </c>
      <c r="F6" s="67" t="str">
        <f t="array" ref="F6">IFERROR(
  INDEX(ATTENDANCE_INPUT!D:D,
    MATCH(1,
      (ATTENDANCE_INPUT!A:A=A6) *
      (ATTENDANCE_INPUT!V:V=MAXIFS(ATTENDANCE_INPUT!V:V, ATTENDANCE_INPUT!A:A, A6)),
      0)),
  "")</f>
        <v>Nhat Bui</v>
      </c>
      <c r="G6" s="72" t="str">
        <f t="array" ref="G6">IFERROR(
  INDEX(ATTENDANCE_INPUT!E:E,
    MATCH(1,
      (ATTENDANCE_INPUT!A:A=A6) *
      (ATTENDANCE_INPUT!V:V=MAXIFS(ATTENDANCE_INPUT!V:V, ATTENDANCE_INPUT!A:A, A6)),
      0)),
  "")</f>
        <v>Communication 1</v>
      </c>
      <c r="H6" s="73" t="str">
        <f t="array" ref="H6">IF(ISNA(MATCH(A6,sheet2!A:A,0)),"⏳ Chưa test",IFERROR(INDEX(LEVEL_HELPER!A:A,MATCH(INDEX(sheet2!N:N,MATCH(A6,sheet2!A:A,0)),LEVEL_HELPER!B:B,0)),"⏳ Chưa test"))</f>
        <v>Pre-Intermediate</v>
      </c>
      <c r="I6" s="73" t="str">
        <f t="array" ref="I6">IF(ISNA(MATCH(A6,sheet2!A:A,0)),H6,IF(INDEX(sheet2!O:O,MATCH(A6,sheet2!A:A,0))&gt;0,IFERROR(INDEX(LEVEL_HELPER!A:A,MATCH(INDEX(sheet2!O:O,MATCH(A6,sheet2!A:A,0)),LEVEL_HELPER!B:B,0)),H6),H6))</f>
        <v>Pre-Intermediate</v>
      </c>
      <c r="J6" s="73">
        <f>IFERROR(MAXIFS(ATTENDANCE_LOG!F:F, ATTENDANCE_LOG!C:C, A6&amp;"", ATTENDANCE_LOG!G:G, "Present"), "")</f>
        <v>45769.58333</v>
      </c>
      <c r="K6" s="74" t="str">
        <f t="shared" si="1"/>
        <v/>
      </c>
      <c r="L6" s="75" t="str">
        <f t="shared" si="2"/>
        <v/>
      </c>
      <c r="M6" s="80" t="s">
        <v>34</v>
      </c>
      <c r="N6" s="77" t="s">
        <v>35</v>
      </c>
      <c r="O6" s="59"/>
      <c r="P6" s="59"/>
      <c r="Q6" s="59"/>
      <c r="R6" s="59"/>
      <c r="S6" s="59"/>
      <c r="T6" s="59"/>
      <c r="U6" s="59"/>
      <c r="V6" s="59"/>
      <c r="W6" s="60"/>
      <c r="X6" s="60"/>
      <c r="Y6" s="60"/>
    </row>
    <row r="7" ht="15.0" customHeight="1">
      <c r="A7" s="81" t="s">
        <v>144</v>
      </c>
      <c r="B7" s="82" t="s">
        <v>145</v>
      </c>
      <c r="C7" s="69" t="str">
        <f>IFERROR(__xludf.DUMMYFUNCTION("arrayformula(VLOOKUP(to_Text(A7),to_Text(sheet2!$A$1:M1002),13,0))"),"ONC")</f>
        <v>ONC</v>
      </c>
      <c r="D7" s="70" t="str">
        <f>IFERROR(__xludf.DUMMYFUNCTION("arrayformula(VLOOKUP(to_Text(A7),to_Text(sheet2!$A$1:M1002),12,0))"),"DEV")</f>
        <v>DEV</v>
      </c>
      <c r="E7" s="68" t="str">
        <f t="shared" ref="E7:E18" si="3">if(L7="⚠ Possibly Dropped","Inactive","Active")</f>
        <v>Inactive</v>
      </c>
      <c r="F7" s="67" t="str">
        <f t="array" ref="F7">IFERROR(
  INDEX(ATTENDANCE_INPUT!D:D,
    MATCH(1,
      (ATTENDANCE_INPUT!A:A=A7) *
      (ATTENDANCE_INPUT!V:V=MAXIFS(ATTENDANCE_INPUT!V:V, ATTENDANCE_INPUT!A:A, A7)),
      0)),
  "")</f>
        <v>Cuong Nguyen</v>
      </c>
      <c r="G7" s="72" t="str">
        <f t="array" ref="G7">IFERROR(
  INDEX(ATTENDANCE_INPUT!E:E,
    MATCH(1,
      (ATTENDANCE_INPUT!A:A=A7) *
      (ATTENDANCE_INPUT!V:V=MAXIFS(ATTENDANCE_INPUT!V:V, ATTENDANCE_INPUT!A:A, A7)),
      0)),
  "")</f>
        <v>Communication 2</v>
      </c>
      <c r="H7" s="73" t="str">
        <f t="array" ref="H7">IF(ISNA(MATCH(A7,sheet2!A:A,0)),"⏳ Chưa test",IFERROR(INDEX(LEVEL_HELPER!A:A,MATCH(INDEX(sheet2!N:N,MATCH(A7,sheet2!A:A,0)),LEVEL_HELPER!B:B,0)),"⏳ Chưa test"))</f>
        <v>Beginner</v>
      </c>
      <c r="I7" s="73" t="str">
        <f t="array" ref="I7">IF(ISNA(MATCH(A7,sheet2!A:A,0)),H7,IF(INDEX(sheet2!O:O,MATCH(A7,sheet2!A:A,0))&gt;0,IFERROR(INDEX(LEVEL_HELPER!A:A,MATCH(INDEX(sheet2!O:O,MATCH(A7,sheet2!A:A,0)),LEVEL_HELPER!B:B,0)),H7),H7))</f>
        <v>Pre-Intermediate 2</v>
      </c>
      <c r="J7" s="83">
        <f>IFERROR(MAXIFS(ATTENDANCE_LOG!F:F, ATTENDANCE_LOG!C:C, A7&amp;"", ATTENDANCE_LOG!G:G, "Present"), "")</f>
        <v>46084.41667</v>
      </c>
      <c r="K7" s="84">
        <f t="shared" si="1"/>
        <v>59</v>
      </c>
      <c r="L7" s="85" t="str">
        <f t="shared" si="2"/>
        <v>⚠ Possibly Dropped</v>
      </c>
      <c r="M7" s="78" t="s">
        <v>34</v>
      </c>
      <c r="N7" s="76" t="s">
        <v>37</v>
      </c>
      <c r="O7" s="59"/>
      <c r="P7" s="59"/>
      <c r="Q7" s="59"/>
      <c r="R7" s="59">
        <v>247329.0</v>
      </c>
      <c r="S7" s="59" t="s">
        <v>146</v>
      </c>
      <c r="T7" s="59" t="s">
        <v>33</v>
      </c>
      <c r="U7" s="59" t="e">
        <v>#N/A</v>
      </c>
      <c r="V7" s="59"/>
      <c r="W7" s="60"/>
      <c r="X7" s="60"/>
      <c r="Y7" s="60"/>
    </row>
    <row r="8" ht="15.0" customHeight="1">
      <c r="A8" s="81" t="s">
        <v>147</v>
      </c>
      <c r="B8" s="82" t="s">
        <v>148</v>
      </c>
      <c r="C8" s="69" t="str">
        <f>IFERROR(__xludf.DUMMYFUNCTION("arrayformula(VLOOKUP(to_Text(A8),to_Text(sheet2!$A$1:M1002),13,0))"),"LBU")</f>
        <v>LBU</v>
      </c>
      <c r="D8" s="70" t="str">
        <f>IFERROR(__xludf.DUMMYFUNCTION("arrayformula(VLOOKUP(to_Text(A8),to_Text(sheet2!$A$1:M1002),12,0))"),"GSD")</f>
        <v>GSD</v>
      </c>
      <c r="E8" s="68" t="str">
        <f t="shared" si="3"/>
        <v>Active</v>
      </c>
      <c r="F8" s="67" t="str">
        <f t="array" ref="F8">IFERROR(
  INDEX(ATTENDANCE_INPUT!D:D,
    MATCH(1,
      (ATTENDANCE_INPUT!A:A=A8) *
      (ATTENDANCE_INPUT!V:V=MAXIFS(ATTENDANCE_INPUT!V:V, ATTENDANCE_INPUT!A:A, A8)),
      0)),
  "")</f>
        <v>Vinh Nguyen</v>
      </c>
      <c r="G8" s="72" t="str">
        <f t="array" ref="G8">IFERROR(
  INDEX(ATTENDANCE_INPUT!E:E,
    MATCH(1,
      (ATTENDANCE_INPUT!A:A=A8) *
      (ATTENDANCE_INPUT!V:V=MAXIFS(ATTENDANCE_INPUT!V:V, ATTENDANCE_INPUT!A:A, A8)),
      0)),
  "")</f>
        <v>Communication 3</v>
      </c>
      <c r="H8" s="73" t="str">
        <f t="array" ref="H8">IF(ISNA(MATCH(A8,sheet2!A:A,0)),"⏳ Chưa test",IFERROR(INDEX(LEVEL_HELPER!A:A,MATCH(INDEX(sheet2!N:N,MATCH(A8,sheet2!A:A,0)),LEVEL_HELPER!B:B,0)),"⏳ Chưa test"))</f>
        <v>Beginner</v>
      </c>
      <c r="I8" s="73" t="str">
        <f t="array" ref="I8">IF(ISNA(MATCH(A8,sheet2!A:A,0)),H8,IF(INDEX(sheet2!O:O,MATCH(A8,sheet2!A:A,0))&gt;0,IFERROR(INDEX(LEVEL_HELPER!A:A,MATCH(INDEX(sheet2!O:O,MATCH(A8,sheet2!A:A,0)),LEVEL_HELPER!B:B,0)),H8),H8))</f>
        <v>Pre-Intermediate 2</v>
      </c>
      <c r="J8" s="83">
        <f>IFERROR(MAXIFS(ATTENDANCE_LOG!F:F, ATTENDANCE_LOG!C:C, A8&amp;"", ATTENDANCE_LOG!G:G, "Present"), "")</f>
        <v>46128.58333</v>
      </c>
      <c r="K8" s="84" t="str">
        <f t="shared" si="1"/>
        <v/>
      </c>
      <c r="L8" s="85" t="str">
        <f t="shared" si="2"/>
        <v/>
      </c>
      <c r="M8" s="78"/>
      <c r="N8" s="77"/>
      <c r="O8" s="86"/>
      <c r="P8" s="78"/>
      <c r="Q8" s="78"/>
      <c r="R8" s="78"/>
      <c r="S8" s="78"/>
      <c r="T8" s="78"/>
      <c r="U8" s="78"/>
      <c r="V8" s="78"/>
      <c r="W8" s="60"/>
      <c r="X8" s="60"/>
      <c r="Y8" s="60"/>
    </row>
    <row r="9" ht="15.0" customHeight="1">
      <c r="A9" s="67" t="s">
        <v>149</v>
      </c>
      <c r="B9" s="68" t="s">
        <v>150</v>
      </c>
      <c r="C9" s="69" t="str">
        <f>IFERROR(__xludf.DUMMYFUNCTION("arrayformula(VLOOKUP(to_Text(A9),to_Text(sheet2!$A$1:M1002),13,0))"),"ONC")</f>
        <v>ONC</v>
      </c>
      <c r="D9" s="70" t="str">
        <f>IFERROR(__xludf.DUMMYFUNCTION("arrayformula(VLOOKUP(to_Text(A9),to_Text(sheet2!$A$1:M1002),12,0))"),"QC")</f>
        <v>QC</v>
      </c>
      <c r="E9" s="68" t="str">
        <f t="shared" si="3"/>
        <v>Active</v>
      </c>
      <c r="F9" s="67" t="str">
        <f t="array" ref="F9">IFERROR(
  INDEX(ATTENDANCE_INPUT!D:D,
    MATCH(1,
      (ATTENDANCE_INPUT!A:A=A9) *
      (ATTENDANCE_INPUT!V:V=MAXIFS(ATTENDANCE_INPUT!V:V, ATTENDANCE_INPUT!A:A, A9)),
      0)),
  "")</f>
        <v>Phuoc Ta</v>
      </c>
      <c r="G9" s="72" t="str">
        <f t="array" ref="G9">IFERROR(
  INDEX(ATTENDANCE_INPUT!E:E,
    MATCH(1,
      (ATTENDANCE_INPUT!A:A=A9) *
      (ATTENDANCE_INPUT!V:V=MAXIFS(ATTENDANCE_INPUT!V:V, ATTENDANCE_INPUT!A:A, A9)),
      0)),
  "")</f>
        <v>Communication 1</v>
      </c>
      <c r="H9" s="73" t="str">
        <f t="array" ref="H9">IF(ISNA(MATCH(A9,sheet2!A:A,0)),"⏳ Chưa test",IFERROR(INDEX(LEVEL_HELPER!A:A,MATCH(INDEX(sheet2!N:N,MATCH(A9,sheet2!A:A,0)),LEVEL_HELPER!B:B,0)),"⏳ Chưa test"))</f>
        <v>Beginner</v>
      </c>
      <c r="I9" s="73" t="str">
        <f t="array" ref="I9">IF(ISNA(MATCH(A9,sheet2!A:A,0)),H9,IF(INDEX(sheet2!O:O,MATCH(A9,sheet2!A:A,0))&gt;0,IFERROR(INDEX(LEVEL_HELPER!A:A,MATCH(INDEX(sheet2!O:O,MATCH(A9,sheet2!A:A,0)),LEVEL_HELPER!B:B,0)),H9),H9))</f>
        <v>Pre-Intermediate</v>
      </c>
      <c r="J9" s="73">
        <f>IFERROR(MAXIFS(ATTENDANCE_LOG!F:F, ATTENDANCE_LOG!C:C, A9&amp;"", ATTENDANCE_LOG!G:G, "Present"), "")</f>
        <v>46126.45833</v>
      </c>
      <c r="K9" s="74" t="str">
        <f t="shared" si="1"/>
        <v/>
      </c>
      <c r="L9" s="75" t="str">
        <f t="shared" si="2"/>
        <v/>
      </c>
      <c r="M9" s="59"/>
      <c r="N9" s="77"/>
      <c r="O9" s="78"/>
      <c r="P9" s="78"/>
      <c r="Q9" s="78"/>
      <c r="R9" s="78"/>
      <c r="S9" s="78"/>
      <c r="T9" s="78"/>
      <c r="U9" s="78"/>
      <c r="V9" s="78"/>
      <c r="W9" s="60"/>
      <c r="X9" s="60"/>
      <c r="Y9" s="60"/>
    </row>
    <row r="10" ht="15.0" customHeight="1">
      <c r="A10" s="81" t="s">
        <v>151</v>
      </c>
      <c r="B10" s="82" t="s">
        <v>152</v>
      </c>
      <c r="C10" s="69" t="str">
        <f>IFERROR(__xludf.DUMMYFUNCTION("arrayformula(VLOOKUP(to_Text(A10),to_Text(sheet2!$A$1:M1002),13,0))"),"MOC")</f>
        <v>MOC</v>
      </c>
      <c r="D10" s="70" t="str">
        <f>IFERROR(__xludf.DUMMYFUNCTION("arrayformula(VLOOKUP(to_Text(A10),to_Text(sheet2!$A$1:M1002),12,0))"),"DEV")</f>
        <v>DEV</v>
      </c>
      <c r="E10" s="68" t="str">
        <f t="shared" si="3"/>
        <v>Active</v>
      </c>
      <c r="F10" s="67" t="str">
        <f t="array" ref="F10">IFERROR(
  INDEX(ATTENDANCE_INPUT!D:D,
    MATCH(1,
      (ATTENDANCE_INPUT!A:A=A10) *
      (ATTENDANCE_INPUT!V:V=MAXIFS(ATTENDANCE_INPUT!V:V, ATTENDANCE_INPUT!A:A, A10)),
      0)),
  "")</f>
        <v>Phung Nguyen</v>
      </c>
      <c r="G10" s="72" t="str">
        <f t="array" ref="G10">IFERROR(
  INDEX(ATTENDANCE_INPUT!E:E,
    MATCH(1,
      (ATTENDANCE_INPUT!A:A=A10) *
      (ATTENDANCE_INPUT!V:V=MAXIFS(ATTENDANCE_INPUT!V:V, ATTENDANCE_INPUT!A:A, A10)),
      0)),
  "")</f>
        <v>Foundation</v>
      </c>
      <c r="H10" s="73" t="str">
        <f t="array" ref="H10">IF(ISNA(MATCH(A10,sheet2!A:A,0)),"⏳ Chưa test",IFERROR(INDEX(LEVEL_HELPER!A:A,MATCH(INDEX(sheet2!N:N,MATCH(A10,sheet2!A:A,0)),LEVEL_HELPER!B:B,0)),"⏳ Chưa test"))</f>
        <v>Foundation</v>
      </c>
      <c r="I10" s="73" t="str">
        <f t="array" ref="I10">IF(ISNA(MATCH(A10,sheet2!A:A,0)),H10,IF(INDEX(sheet2!O:O,MATCH(A10,sheet2!A:A,0))&gt;0,IFERROR(INDEX(LEVEL_HELPER!A:A,MATCH(INDEX(sheet2!O:O,MATCH(A10,sheet2!A:A,0)),LEVEL_HELPER!B:B,0)),H10),H10))</f>
        <v>Foundation</v>
      </c>
      <c r="J10" s="83">
        <f>IFERROR(MAXIFS(ATTENDANCE_LOG!F:F, ATTENDANCE_LOG!C:C, A10&amp;"", ATTENDANCE_LOG!G:G, "Present"), "")</f>
        <v>46135.45833</v>
      </c>
      <c r="K10" s="84" t="str">
        <f t="shared" si="1"/>
        <v/>
      </c>
      <c r="L10" s="85" t="str">
        <f t="shared" si="2"/>
        <v/>
      </c>
      <c r="M10" s="78"/>
      <c r="N10" s="77"/>
      <c r="O10" s="59"/>
      <c r="P10" s="59"/>
      <c r="Q10" s="59"/>
      <c r="R10" s="59"/>
      <c r="S10" s="59"/>
      <c r="T10" s="59"/>
      <c r="U10" s="59"/>
      <c r="V10" s="59"/>
      <c r="W10" s="60"/>
      <c r="X10" s="60"/>
      <c r="Y10" s="60"/>
    </row>
    <row r="11" ht="15.0" customHeight="1">
      <c r="A11" s="67" t="s">
        <v>153</v>
      </c>
      <c r="B11" s="68" t="s">
        <v>154</v>
      </c>
      <c r="C11" s="69" t="str">
        <f>IFERROR(__xludf.DUMMYFUNCTION("arrayformula(VLOOKUP(to_Text(A11),to_Text(sheet2!$A$1:M1002),13,0))"),"MOC")</f>
        <v>MOC</v>
      </c>
      <c r="D11" s="70" t="str">
        <f>IFERROR(__xludf.DUMMYFUNCTION("arrayformula(VLOOKUP(to_Text(A11),to_Text(sheet2!$A$1:M1002),12,0))"),"DEV")</f>
        <v>DEV</v>
      </c>
      <c r="E11" s="68" t="str">
        <f t="shared" si="3"/>
        <v>Inactive</v>
      </c>
      <c r="F11" s="67" t="str">
        <f t="array" ref="F11">IFERROR(
  INDEX(ATTENDANCE_INPUT!D:D,
    MATCH(1,
      (ATTENDANCE_INPUT!A:A=A11) *
      (ATTENDANCE_INPUT!V:V=MAXIFS(ATTENDANCE_INPUT!V:V, ATTENDANCE_INPUT!A:A, A11)),
      0)),
  "")</f>
        <v>Liên Nguyễn</v>
      </c>
      <c r="G11" s="72" t="str">
        <f t="array" ref="G11">IFERROR(
  INDEX(ATTENDANCE_INPUT!E:E,
    MATCH(1,
      (ATTENDANCE_INPUT!A:A=A11) *
      (ATTENDANCE_INPUT!V:V=MAXIFS(ATTENDANCE_INPUT!V:V, ATTENDANCE_INPUT!A:A, A11)),
      0)),
  "")</f>
        <v>Foundation</v>
      </c>
      <c r="H11" s="73" t="str">
        <f t="array" ref="H11">IF(ISNA(MATCH(A11,sheet2!A:A,0)),"⏳ Chưa test",IFERROR(INDEX(LEVEL_HELPER!A:A,MATCH(INDEX(sheet2!N:N,MATCH(A11,sheet2!A:A,0)),LEVEL_HELPER!B:B,0)),"⏳ Chưa test"))</f>
        <v>Foundation</v>
      </c>
      <c r="I11" s="73" t="str">
        <f t="array" ref="I11">IF(ISNA(MATCH(A11,sheet2!A:A,0)),H11,IF(INDEX(sheet2!O:O,MATCH(A11,sheet2!A:A,0))&gt;0,IFERROR(INDEX(LEVEL_HELPER!A:A,MATCH(INDEX(sheet2!O:O,MATCH(A11,sheet2!A:A,0)),LEVEL_HELPER!B:B,0)),H11),H11))</f>
        <v>Foundation</v>
      </c>
      <c r="J11" s="73">
        <f>IFERROR(MAXIFS(ATTENDANCE_LOG!F:F, ATTENDANCE_LOG!C:C, A11&amp;"", ATTENDANCE_LOG!G:G, "Present"), "")</f>
        <v>46083.58333</v>
      </c>
      <c r="K11" s="74">
        <f t="shared" si="1"/>
        <v>87</v>
      </c>
      <c r="L11" s="75" t="str">
        <f t="shared" si="2"/>
        <v>⚠ Possibly Dropped</v>
      </c>
      <c r="M11" s="59" t="s">
        <v>34</v>
      </c>
      <c r="N11" s="77" t="s">
        <v>37</v>
      </c>
      <c r="O11" s="59"/>
      <c r="P11" s="59"/>
      <c r="Q11" s="59"/>
      <c r="R11" s="59"/>
      <c r="S11" s="59"/>
      <c r="T11" s="59"/>
      <c r="U11" s="59"/>
      <c r="V11" s="59"/>
      <c r="W11" s="87"/>
      <c r="X11" s="87"/>
      <c r="Y11" s="87"/>
    </row>
    <row r="12" ht="15.0" customHeight="1">
      <c r="A12" s="67" t="s">
        <v>155</v>
      </c>
      <c r="B12" s="68" t="s">
        <v>156</v>
      </c>
      <c r="C12" s="69" t="str">
        <f>IFERROR(__xludf.DUMMYFUNCTION("arrayformula(VLOOKUP(to_Text(A12),to_Text(sheet2!$A$1:M1002),13,0))"),"ONC")</f>
        <v>ONC</v>
      </c>
      <c r="D12" s="70" t="str">
        <f>IFERROR(__xludf.DUMMYFUNCTION("arrayformula(VLOOKUP(to_Text(A12),to_Text(sheet2!$A$1:M1002),12,0))"),"DEV")</f>
        <v>DEV</v>
      </c>
      <c r="E12" s="68" t="str">
        <f t="shared" si="3"/>
        <v>Inactive</v>
      </c>
      <c r="F12" s="67" t="str">
        <f t="array" ref="F12">IFERROR(
  INDEX(ATTENDANCE_INPUT!D:D,
    MATCH(1,
      (ATTENDANCE_INPUT!A:A=A12) *
      (ATTENDANCE_INPUT!V:V=MAXIFS(ATTENDANCE_INPUT!V:V, ATTENDANCE_INPUT!A:A, A12)),
      0)),
  "")</f>
        <v>Cuong Nguyen</v>
      </c>
      <c r="G12" s="72" t="str">
        <f t="array" ref="G12">IFERROR(
  INDEX(ATTENDANCE_INPUT!E:E,
    MATCH(1,
      (ATTENDANCE_INPUT!A:A=A12) *
      (ATTENDANCE_INPUT!V:V=MAXIFS(ATTENDANCE_INPUT!V:V, ATTENDANCE_INPUT!A:A, A12)),
      0)),
  "")</f>
        <v>Communication 2</v>
      </c>
      <c r="H12" s="73" t="str">
        <f t="array" ref="H12">IF(ISNA(MATCH(A12,sheet2!A:A,0)),"⏳ Chưa test",IFERROR(INDEX(LEVEL_HELPER!A:A,MATCH(INDEX(sheet2!N:N,MATCH(A12,sheet2!A:A,0)),LEVEL_HELPER!B:B,0)),"⏳ Chưa test"))</f>
        <v>Beginner</v>
      </c>
      <c r="I12" s="73" t="str">
        <f t="array" ref="I12">IF(ISNA(MATCH(A12,sheet2!A:A,0)),H12,IF(INDEX(sheet2!O:O,MATCH(A12,sheet2!A:A,0))&gt;0,IFERROR(INDEX(LEVEL_HELPER!A:A,MATCH(INDEX(sheet2!O:O,MATCH(A12,sheet2!A:A,0)),LEVEL_HELPER!B:B,0)),H12),H12))</f>
        <v>Intermediate 1</v>
      </c>
      <c r="J12" s="73">
        <f>IFERROR(MAXIFS(ATTENDANCE_LOG!F:F, ATTENDANCE_LOG!C:C, A12&amp;"", ATTENDANCE_LOG!G:G, "Present"), "")</f>
        <v>46084.41667</v>
      </c>
      <c r="K12" s="74">
        <f t="shared" si="1"/>
        <v>59</v>
      </c>
      <c r="L12" s="75" t="str">
        <f t="shared" si="2"/>
        <v>⚠ Possibly Dropped</v>
      </c>
      <c r="M12" s="59" t="s">
        <v>34</v>
      </c>
      <c r="N12" s="76" t="s">
        <v>37</v>
      </c>
      <c r="O12" s="59"/>
      <c r="P12" s="59"/>
      <c r="Q12" s="59"/>
      <c r="R12" s="59">
        <v>247391.0</v>
      </c>
      <c r="S12" s="59" t="s">
        <v>146</v>
      </c>
      <c r="T12" s="59" t="s">
        <v>33</v>
      </c>
      <c r="U12" s="59" t="e">
        <v>#N/A</v>
      </c>
      <c r="V12" s="59"/>
      <c r="W12" s="87"/>
      <c r="X12" s="87"/>
      <c r="Y12" s="87"/>
    </row>
    <row r="13" ht="15.0" customHeight="1">
      <c r="A13" s="67" t="s">
        <v>157</v>
      </c>
      <c r="B13" s="68" t="s">
        <v>158</v>
      </c>
      <c r="C13" s="69" t="str">
        <f>IFERROR(__xludf.DUMMYFUNCTION("arrayformula(VLOOKUP(to_Text(A13),to_Text(sheet2!$A$1:M1002),13,0))"),"CHORUS")</f>
        <v>CHORUS</v>
      </c>
      <c r="D13" s="70" t="str">
        <f>IFERROR(__xludf.DUMMYFUNCTION("arrayformula(VLOOKUP(to_Text(A13),to_Text(sheet2!$A$1:M1002),12,0))"),"QC")</f>
        <v>QC</v>
      </c>
      <c r="E13" s="68" t="str">
        <f t="shared" si="3"/>
        <v>Inactive</v>
      </c>
      <c r="F13" s="67" t="str">
        <f t="array" ref="F13">IFERROR(
  INDEX(ATTENDANCE_INPUT!D:D,
    MATCH(1,
      (ATTENDANCE_INPUT!A:A=A13) *
      (ATTENDANCE_INPUT!V:V=MAXIFS(ATTENDANCE_INPUT!V:V, ATTENDANCE_INPUT!A:A, A13)),
      0)),
  "")</f>
        <v>Yen Tran 3</v>
      </c>
      <c r="G13" s="72" t="str">
        <f t="array" ref="G13">IFERROR(
  INDEX(ATTENDANCE_INPUT!E:E,
    MATCH(1,
      (ATTENDANCE_INPUT!A:A=A13) *
      (ATTENDANCE_INPUT!V:V=MAXIFS(ATTENDANCE_INPUT!V:V, ATTENDANCE_INPUT!A:A, A13)),
      0)),
  "")</f>
        <v>Communication 1</v>
      </c>
      <c r="H13" s="73" t="str">
        <f t="array" ref="H13">IF(ISNA(MATCH(A13,sheet2!A:A,0)),"⏳ Chưa test",IFERROR(INDEX(LEVEL_HELPER!A:A,MATCH(INDEX(sheet2!N:N,MATCH(A13,sheet2!A:A,0)),LEVEL_HELPER!B:B,0)),"⏳ Chưa test"))</f>
        <v>Beginner</v>
      </c>
      <c r="I13" s="73" t="str">
        <f t="array" ref="I13">IF(ISNA(MATCH(A13,sheet2!A:A,0)),H13,IF(INDEX(sheet2!O:O,MATCH(A13,sheet2!A:A,0))&gt;0,IFERROR(INDEX(LEVEL_HELPER!A:A,MATCH(INDEX(sheet2!O:O,MATCH(A13,sheet2!A:A,0)),LEVEL_HELPER!B:B,0)),H13),H13))</f>
        <v>Beginner</v>
      </c>
      <c r="J13" s="73">
        <f>IFERROR(MAXIFS(ATTENDANCE_LOG!F:F, ATTENDANCE_LOG!C:C, A13&amp;"", ATTENDANCE_LOG!G:G, "Present"), "")</f>
        <v>45846.45833</v>
      </c>
      <c r="K13" s="74">
        <f t="shared" si="1"/>
        <v>267</v>
      </c>
      <c r="L13" s="75" t="str">
        <f t="shared" si="2"/>
        <v>⚠ Possibly Dropped</v>
      </c>
      <c r="M13" s="59" t="s">
        <v>36</v>
      </c>
      <c r="N13" s="77" t="s">
        <v>39</v>
      </c>
      <c r="O13" s="59"/>
      <c r="P13" s="59"/>
      <c r="Q13" s="59"/>
      <c r="R13" s="59"/>
      <c r="S13" s="59"/>
      <c r="T13" s="59"/>
      <c r="U13" s="59"/>
      <c r="V13" s="59"/>
      <c r="W13" s="87"/>
      <c r="X13" s="87"/>
      <c r="Y13" s="87"/>
    </row>
    <row r="14" ht="15.0" customHeight="1">
      <c r="A14" s="81" t="s">
        <v>159</v>
      </c>
      <c r="B14" s="82" t="s">
        <v>160</v>
      </c>
      <c r="C14" s="69" t="str">
        <f>IFERROR(__xludf.DUMMYFUNCTION("arrayformula(VLOOKUP(to_Text(A14),to_Text(sheet2!$A$1:M1002),13,0))"),"LBU")</f>
        <v>LBU</v>
      </c>
      <c r="D14" s="70" t="str">
        <f>IFERROR(__xludf.DUMMYFUNCTION("arrayformula(VLOOKUP(to_Text(A14),to_Text(sheet2!$A$1:M1002),12,0))"),"GSD")</f>
        <v>GSD</v>
      </c>
      <c r="E14" s="68" t="str">
        <f t="shared" si="3"/>
        <v>Inactive</v>
      </c>
      <c r="F14" s="67" t="str">
        <f t="array" ref="F14">IFERROR(
  INDEX(ATTENDANCE_INPUT!D:D,
    MATCH(1,
      (ATTENDANCE_INPUT!A:A=A14) *
      (ATTENDANCE_INPUT!V:V=MAXIFS(ATTENDANCE_INPUT!V:V, ATTENDANCE_INPUT!A:A, A14)),
      0)),
  "")</f>
        <v>Vinh Nguyen</v>
      </c>
      <c r="G14" s="72" t="str">
        <f t="array" ref="G14">IFERROR(
  INDEX(ATTENDANCE_INPUT!E:E,
    MATCH(1,
      (ATTENDANCE_INPUT!A:A=A14) *
      (ATTENDANCE_INPUT!V:V=MAXIFS(ATTENDANCE_INPUT!V:V, ATTENDANCE_INPUT!A:A, A14)),
      0)),
  "")</f>
        <v>Communication 3</v>
      </c>
      <c r="H14" s="73" t="str">
        <f t="array" ref="H14">IF(ISNA(MATCH(A14,sheet2!A:A,0)),"⏳ Chưa test",IFERROR(INDEX(LEVEL_HELPER!A:A,MATCH(INDEX(sheet2!N:N,MATCH(A14,sheet2!A:A,0)),LEVEL_HELPER!B:B,0)),"⏳ Chưa test"))</f>
        <v>Beginner</v>
      </c>
      <c r="I14" s="73" t="str">
        <f t="array" ref="I14">IF(ISNA(MATCH(A14,sheet2!A:A,0)),H14,IF(INDEX(sheet2!O:O,MATCH(A14,sheet2!A:A,0))&gt;0,IFERROR(INDEX(LEVEL_HELPER!A:A,MATCH(INDEX(sheet2!O:O,MATCH(A14,sheet2!A:A,0)),LEVEL_HELPER!B:B,0)),H14),H14))</f>
        <v>Pre-Intermediate 1</v>
      </c>
      <c r="J14" s="83">
        <f>IFERROR(MAXIFS(ATTENDANCE_LOG!F:F, ATTENDANCE_LOG!C:C, A14&amp;"", ATTENDANCE_LOG!G:G, "Present"), "")</f>
        <v>46114.58333</v>
      </c>
      <c r="K14" s="84">
        <f t="shared" si="1"/>
        <v>86</v>
      </c>
      <c r="L14" s="85" t="str">
        <f t="shared" si="2"/>
        <v>⚠ Possibly Dropped</v>
      </c>
      <c r="M14" s="78"/>
      <c r="N14" s="77"/>
      <c r="O14" s="59"/>
      <c r="P14" s="59"/>
      <c r="Q14" s="59"/>
      <c r="R14" s="79"/>
      <c r="S14" s="79"/>
      <c r="T14" s="79"/>
      <c r="U14" s="79"/>
      <c r="V14" s="59"/>
      <c r="W14" s="60"/>
      <c r="X14" s="60"/>
      <c r="Y14" s="60"/>
    </row>
    <row r="15" ht="15.0" customHeight="1">
      <c r="A15" s="67" t="s">
        <v>161</v>
      </c>
      <c r="B15" s="68" t="s">
        <v>162</v>
      </c>
      <c r="C15" s="69" t="str">
        <f>IFERROR(__xludf.DUMMYFUNCTION("arrayformula(VLOOKUP(to_Text(A15),to_Text(sheet2!$A$1:M1002),13,0))"),"MOC")</f>
        <v>MOC</v>
      </c>
      <c r="D15" s="70" t="str">
        <f>IFERROR(__xludf.DUMMYFUNCTION("arrayformula(VLOOKUP(to_Text(A15),to_Text(sheet2!$A$1:M1002),12,0))"),"DEV")</f>
        <v>DEV</v>
      </c>
      <c r="E15" s="68" t="str">
        <f t="shared" si="3"/>
        <v>Active</v>
      </c>
      <c r="F15" s="67" t="str">
        <f t="array" ref="F15">IFERROR(
  INDEX(ATTENDANCE_INPUT!D:D,
    MATCH(1,
      (ATTENDANCE_INPUT!A:A=A15) *
      (ATTENDANCE_INPUT!V:V=MAXIFS(ATTENDANCE_INPUT!V:V, ATTENDANCE_INPUT!A:A, A15)),
      0)),
  "")</f>
        <v>Trang Nguyen</v>
      </c>
      <c r="G15" s="72" t="str">
        <f t="array" ref="G15">IFERROR(
  INDEX(ATTENDANCE_INPUT!E:E,
    MATCH(1,
      (ATTENDANCE_INPUT!A:A=A15) *
      (ATTENDANCE_INPUT!V:V=MAXIFS(ATTENDANCE_INPUT!V:V, ATTENDANCE_INPUT!A:A, A15)),
      0)),
  "")</f>
        <v>Communication 1</v>
      </c>
      <c r="H15" s="73" t="str">
        <f t="array" ref="H15">IF(ISNA(MATCH(A15,sheet2!A:A,0)),"⏳ Chưa test",IFERROR(INDEX(LEVEL_HELPER!A:A,MATCH(INDEX(sheet2!N:N,MATCH(A15,sheet2!A:A,0)),LEVEL_HELPER!B:B,0)),"⏳ Chưa test"))</f>
        <v>Foundation</v>
      </c>
      <c r="I15" s="73" t="str">
        <f t="array" ref="I15">IF(ISNA(MATCH(A15,sheet2!A:A,0)),H15,IF(INDEX(sheet2!O:O,MATCH(A15,sheet2!A:A,0))&gt;0,IFERROR(INDEX(LEVEL_HELPER!A:A,MATCH(INDEX(sheet2!O:O,MATCH(A15,sheet2!A:A,0)),LEVEL_HELPER!B:B,0)),H15),H15))</f>
        <v>Foundation</v>
      </c>
      <c r="J15" s="73">
        <f>IFERROR(MAXIFS(ATTENDANCE_LOG!F:F, ATTENDANCE_LOG!C:C, A15&amp;"", ATTENDANCE_LOG!G:G, "Present"), "")</f>
        <v>46129.625</v>
      </c>
      <c r="K15" s="74" t="str">
        <f t="shared" si="1"/>
        <v/>
      </c>
      <c r="L15" s="75" t="str">
        <f t="shared" si="2"/>
        <v/>
      </c>
      <c r="M15" s="59"/>
      <c r="N15" s="77"/>
      <c r="O15" s="78"/>
      <c r="P15" s="78"/>
      <c r="Q15" s="78"/>
      <c r="R15" s="78"/>
      <c r="S15" s="78"/>
      <c r="T15" s="78"/>
      <c r="U15" s="78"/>
      <c r="V15" s="78"/>
      <c r="W15" s="60"/>
      <c r="X15" s="60"/>
      <c r="Y15" s="60"/>
    </row>
    <row r="16" ht="15.0" customHeight="1">
      <c r="A16" s="81" t="s">
        <v>163</v>
      </c>
      <c r="B16" s="82" t="s">
        <v>164</v>
      </c>
      <c r="C16" s="69" t="str">
        <f>IFERROR(__xludf.DUMMYFUNCTION("arrayformula(VLOOKUP(to_Text(A16),to_Text(sheet2!$A$1:M1002),13,0))"),"LBU")</f>
        <v>LBU</v>
      </c>
      <c r="D16" s="70" t="str">
        <f>IFERROR(__xludf.DUMMYFUNCTION("arrayformula(VLOOKUP(to_Text(A16),to_Text(sheet2!$A$1:M1002),12,0))"),"Designer")</f>
        <v>Designer</v>
      </c>
      <c r="E16" s="68" t="str">
        <f t="shared" si="3"/>
        <v>Active</v>
      </c>
      <c r="F16" s="67" t="str">
        <f t="array" ref="F16">IFERROR(
  INDEX(ATTENDANCE_INPUT!D:D,
    MATCH(1,
      (ATTENDANCE_INPUT!A:A=A16) *
      (ATTENDANCE_INPUT!V:V=MAXIFS(ATTENDANCE_INPUT!V:V, ATTENDANCE_INPUT!A:A, A16)),
      0)),
  "")</f>
        <v>Phung Nguyen</v>
      </c>
      <c r="G16" s="72" t="str">
        <f t="array" ref="G16">IFERROR(
  INDEX(ATTENDANCE_INPUT!E:E,
    MATCH(1,
      (ATTENDANCE_INPUT!A:A=A16) *
      (ATTENDANCE_INPUT!V:V=MAXIFS(ATTENDANCE_INPUT!V:V, ATTENDANCE_INPUT!A:A, A16)),
      0)),
  "")</f>
        <v>Foundation</v>
      </c>
      <c r="H16" s="73" t="str">
        <f t="array" ref="H16">IF(ISNA(MATCH(A16,sheet2!A:A,0)),"⏳ Chưa test",IFERROR(INDEX(LEVEL_HELPER!A:A,MATCH(INDEX(sheet2!N:N,MATCH(A16,sheet2!A:A,0)),LEVEL_HELPER!B:B,0)),"⏳ Chưa test"))</f>
        <v>Foundation</v>
      </c>
      <c r="I16" s="73" t="str">
        <f t="array" ref="I16">IF(ISNA(MATCH(A16,sheet2!A:A,0)),H16,IF(INDEX(sheet2!O:O,MATCH(A16,sheet2!A:A,0))&gt;0,IFERROR(INDEX(LEVEL_HELPER!A:A,MATCH(INDEX(sheet2!O:O,MATCH(A16,sheet2!A:A,0)),LEVEL_HELPER!B:B,0)),H16),H16))</f>
        <v>Foundation</v>
      </c>
      <c r="J16" s="83">
        <f>IFERROR(MAXIFS(ATTENDANCE_LOG!F:F, ATTENDANCE_LOG!C:C, A16&amp;"", ATTENDANCE_LOG!G:G, "Present"), "")</f>
        <v>46135.45833</v>
      </c>
      <c r="K16" s="84" t="str">
        <f t="shared" si="1"/>
        <v/>
      </c>
      <c r="L16" s="85" t="str">
        <f t="shared" si="2"/>
        <v/>
      </c>
      <c r="M16" s="78"/>
      <c r="N16" s="77"/>
      <c r="O16" s="78"/>
      <c r="P16" s="78"/>
      <c r="Q16" s="78"/>
      <c r="R16" s="78"/>
      <c r="S16" s="78"/>
      <c r="T16" s="78"/>
      <c r="U16" s="78"/>
      <c r="V16" s="78"/>
      <c r="W16" s="60"/>
      <c r="X16" s="60"/>
      <c r="Y16" s="60"/>
    </row>
    <row r="17" ht="15.0" customHeight="1">
      <c r="A17" s="67" t="s">
        <v>165</v>
      </c>
      <c r="B17" s="68" t="s">
        <v>166</v>
      </c>
      <c r="C17" s="69" t="str">
        <f>IFERROR(__xludf.DUMMYFUNCTION("arrayformula(VLOOKUP(to_Text(A17),to_Text(sheet2!$A$1:M1002),13,0))"),"MOC")</f>
        <v>MOC</v>
      </c>
      <c r="D17" s="70" t="str">
        <f>IFERROR(__xludf.DUMMYFUNCTION("arrayformula(VLOOKUP(to_Text(A17),to_Text(sheet2!$A$1:M1002),12,0))"),"DEV")</f>
        <v>DEV</v>
      </c>
      <c r="E17" s="68" t="str">
        <f t="shared" si="3"/>
        <v>Inactive</v>
      </c>
      <c r="F17" s="67" t="str">
        <f t="array" ref="F17">IFERROR(
  INDEX(ATTENDANCE_INPUT!D:D,
    MATCH(1,
      (ATTENDANCE_INPUT!A:A=A17) *
      (ATTENDANCE_INPUT!V:V=MAXIFS(ATTENDANCE_INPUT!V:V, ATTENDANCE_INPUT!A:A, A17)),
      0)),
  "")</f>
        <v>Van Nguyen</v>
      </c>
      <c r="G17" s="72" t="str">
        <f t="array" ref="G17">IFERROR(
  INDEX(ATTENDANCE_INPUT!E:E,
    MATCH(1,
      (ATTENDANCE_INPUT!A:A=A17) *
      (ATTENDANCE_INPUT!V:V=MAXIFS(ATTENDANCE_INPUT!V:V, ATTENDANCE_INPUT!A:A, A17)),
      0)),
  "")</f>
        <v>Communication 2</v>
      </c>
      <c r="H17" s="73" t="str">
        <f t="array" ref="H17">IF(ISNA(MATCH(A17,sheet2!A:A,0)),"⏳ Chưa test",IFERROR(INDEX(LEVEL_HELPER!A:A,MATCH(INDEX(sheet2!N:N,MATCH(A17,sheet2!A:A,0)),LEVEL_HELPER!B:B,0)),"⏳ Chưa test"))</f>
        <v>Beginner</v>
      </c>
      <c r="I17" s="73" t="str">
        <f t="array" ref="I17">IF(ISNA(MATCH(A17,sheet2!A:A,0)),H17,IF(INDEX(sheet2!O:O,MATCH(A17,sheet2!A:A,0))&gt;0,IFERROR(INDEX(LEVEL_HELPER!A:A,MATCH(INDEX(sheet2!O:O,MATCH(A17,sheet2!A:A,0)),LEVEL_HELPER!B:B,0)),H17),H17))</f>
        <v>Pre-Intermediate 1</v>
      </c>
      <c r="J17" s="73">
        <f>IFERROR(MAXIFS(ATTENDANCE_LOG!F:F, ATTENDANCE_LOG!C:C, A17&amp;"", ATTENDANCE_LOG!G:G, "Present"), "")</f>
        <v>45967.45833</v>
      </c>
      <c r="K17" s="74">
        <f t="shared" si="1"/>
        <v>324</v>
      </c>
      <c r="L17" s="75" t="str">
        <f t="shared" si="2"/>
        <v>⚠ Possibly Dropped</v>
      </c>
      <c r="M17" s="59" t="s">
        <v>36</v>
      </c>
      <c r="N17" s="77" t="s">
        <v>33</v>
      </c>
      <c r="O17" s="59"/>
      <c r="P17" s="59"/>
      <c r="Q17" s="59"/>
      <c r="R17" s="59"/>
      <c r="S17" s="59"/>
      <c r="T17" s="59"/>
      <c r="U17" s="59"/>
      <c r="V17" s="59"/>
      <c r="W17" s="87"/>
      <c r="X17" s="87"/>
      <c r="Y17" s="87"/>
    </row>
    <row r="18" ht="15.0" customHeight="1">
      <c r="A18" s="67" t="s">
        <v>167</v>
      </c>
      <c r="B18" s="68" t="s">
        <v>168</v>
      </c>
      <c r="C18" s="69" t="str">
        <f>IFERROR(__xludf.DUMMYFUNCTION("arrayformula(VLOOKUP(to_Text(A18),to_Text(sheet2!$A$1:M1002),13,0))"),"LBU")</f>
        <v>LBU</v>
      </c>
      <c r="D18" s="70" t="str">
        <f>IFERROR(__xludf.DUMMYFUNCTION("arrayformula(VLOOKUP(to_Text(A18),to_Text(sheet2!$A$1:M1002),12,0))"),"QC")</f>
        <v>QC</v>
      </c>
      <c r="E18" s="68" t="str">
        <f t="shared" si="3"/>
        <v>Inactive</v>
      </c>
      <c r="F18" s="67" t="str">
        <f t="array" ref="F18">IFERROR(
  INDEX(ATTENDANCE_INPUT!D:D,
    MATCH(1,
      (ATTENDANCE_INPUT!A:A=A18) *
      (ATTENDANCE_INPUT!V:V=MAXIFS(ATTENDANCE_INPUT!V:V, ATTENDANCE_INPUT!A:A, A18)),
      0)),
  "")</f>
        <v>Nhat Nguyen</v>
      </c>
      <c r="G18" s="72" t="str">
        <f t="array" ref="G18">IFERROR(
  INDEX(ATTENDANCE_INPUT!E:E,
    MATCH(1,
      (ATTENDANCE_INPUT!A:A=A18) *
      (ATTENDANCE_INPUT!V:V=MAXIFS(ATTENDANCE_INPUT!V:V, ATTENDANCE_INPUT!A:A, A18)),
      0)),
  "")</f>
        <v>Communication 2</v>
      </c>
      <c r="H18" s="73" t="str">
        <f t="array" ref="H18">IF(ISNA(MATCH(A18,sheet2!A:A,0)),"⏳ Chưa test",IFERROR(INDEX(LEVEL_HELPER!A:A,MATCH(INDEX(sheet2!N:N,MATCH(A18,sheet2!A:A,0)),LEVEL_HELPER!B:B,0)),"⏳ Chưa test"))</f>
        <v>Beginner</v>
      </c>
      <c r="I18" s="73" t="str">
        <f t="array" ref="I18">IF(ISNA(MATCH(A18,sheet2!A:A,0)),H18,IF(INDEX(sheet2!O:O,MATCH(A18,sheet2!A:A,0))&gt;0,IFERROR(INDEX(LEVEL_HELPER!A:A,MATCH(INDEX(sheet2!O:O,MATCH(A18,sheet2!A:A,0)),LEVEL_HELPER!B:B,0)),H18),H18))</f>
        <v>Beginner 2</v>
      </c>
      <c r="J18" s="73">
        <f>IFERROR(MAXIFS(ATTENDANCE_LOG!F:F, ATTENDANCE_LOG!C:C, A18&amp;"", ATTENDANCE_LOG!G:G, "Present"), "")</f>
        <v>46083.45833</v>
      </c>
      <c r="K18" s="74">
        <f t="shared" si="1"/>
        <v>87</v>
      </c>
      <c r="L18" s="75" t="str">
        <f t="shared" si="2"/>
        <v>⚠ Possibly Dropped</v>
      </c>
      <c r="M18" s="59" t="s">
        <v>36</v>
      </c>
      <c r="N18" s="77" t="s">
        <v>35</v>
      </c>
      <c r="O18" s="59" t="s">
        <v>169</v>
      </c>
      <c r="P18" s="59"/>
      <c r="Q18" s="59"/>
      <c r="R18" s="59"/>
      <c r="S18" s="59"/>
      <c r="T18" s="59"/>
      <c r="U18" s="59"/>
      <c r="V18" s="59"/>
      <c r="W18" s="87"/>
      <c r="X18" s="87"/>
      <c r="Y18" s="87"/>
    </row>
    <row r="19" ht="15.0" customHeight="1">
      <c r="A19" s="67" t="s">
        <v>170</v>
      </c>
      <c r="B19" s="68" t="s">
        <v>171</v>
      </c>
      <c r="C19" s="69" t="str">
        <f>IFERROR(__xludf.DUMMYFUNCTION("arrayformula(VLOOKUP(to_Text(A19),to_Text(sheet2!$A$1:M1002),13,0))"),"CHORUS")</f>
        <v>CHORUS</v>
      </c>
      <c r="D19" s="70" t="str">
        <f>IFERROR(__xludf.DUMMYFUNCTION("arrayformula(VLOOKUP(to_Text(A19),to_Text(sheet2!$A$1:M1002),12,0))"),"SM")</f>
        <v>SM</v>
      </c>
      <c r="E19" s="71" t="s">
        <v>16</v>
      </c>
      <c r="F19" s="67" t="str">
        <f t="array" ref="F19">IFERROR(
  INDEX(ATTENDANCE_INPUT!D:D,
    MATCH(1,
      (ATTENDANCE_INPUT!A:A=A19) *
      (ATTENDANCE_INPUT!V:V=MAXIFS(ATTENDANCE_INPUT!V:V, ATTENDANCE_INPUT!A:A, A19)),
      0)),
  "")</f>
        <v>Buu Do 1</v>
      </c>
      <c r="G19" s="72" t="str">
        <f t="array" ref="G19">IFERROR(
  INDEX(ATTENDANCE_INPUT!E:E,
    MATCH(1,
      (ATTENDANCE_INPUT!A:A=A19) *
      (ATTENDANCE_INPUT!V:V=MAXIFS(ATTENDANCE_INPUT!V:V, ATTENDANCE_INPUT!A:A, A19)),
      0)),
  "")</f>
        <v>Communication 1</v>
      </c>
      <c r="H19" s="73" t="str">
        <f t="array" ref="H19">IF(ISNA(MATCH(A19,sheet2!A:A,0)),"⏳ Chưa test",IFERROR(INDEX(LEVEL_HELPER!A:A,MATCH(INDEX(sheet2!N:N,MATCH(A19,sheet2!A:A,0)),LEVEL_HELPER!B:B,0)),"⏳ Chưa test"))</f>
        <v>Pre-Intermediate</v>
      </c>
      <c r="I19" s="73" t="str">
        <f t="array" ref="I19">IF(ISNA(MATCH(A19,sheet2!A:A,0)),H19,IF(INDEX(sheet2!O:O,MATCH(A19,sheet2!A:A,0))&gt;0,IFERROR(INDEX(LEVEL_HELPER!A:A,MATCH(INDEX(sheet2!O:O,MATCH(A19,sheet2!A:A,0)),LEVEL_HELPER!B:B,0)),H19),H19))</f>
        <v>Pre-Intermediate</v>
      </c>
      <c r="J19" s="73">
        <f>IFERROR(MAXIFS(ATTENDANCE_LOG!F:F, ATTENDANCE_LOG!C:C, A19&amp;"", ATTENDANCE_LOG!G:G, "Present"), "")</f>
        <v>45800.54167</v>
      </c>
      <c r="K19" s="74" t="str">
        <f t="shared" si="1"/>
        <v/>
      </c>
      <c r="L19" s="75" t="str">
        <f t="shared" si="2"/>
        <v/>
      </c>
      <c r="M19" s="59" t="s">
        <v>36</v>
      </c>
      <c r="N19" s="77" t="s">
        <v>33</v>
      </c>
      <c r="O19" s="59"/>
      <c r="P19" s="59"/>
      <c r="Q19" s="59"/>
      <c r="R19" s="59">
        <v>247115.0</v>
      </c>
      <c r="S19" s="59" t="s">
        <v>172</v>
      </c>
      <c r="T19" s="59" t="s">
        <v>39</v>
      </c>
      <c r="U19" s="59" t="e">
        <v>#N/A</v>
      </c>
      <c r="V19" s="59"/>
      <c r="W19" s="87"/>
      <c r="X19" s="87"/>
      <c r="Y19" s="87"/>
    </row>
    <row r="20" ht="15.0" customHeight="1">
      <c r="A20" s="81" t="s">
        <v>173</v>
      </c>
      <c r="B20" s="82" t="s">
        <v>174</v>
      </c>
      <c r="C20" s="69" t="str">
        <f>IFERROR(__xludf.DUMMYFUNCTION("arrayformula(VLOOKUP(to_Text(A20),to_Text(sheet2!$A$1:M1002),13,0))"),"MOC")</f>
        <v>MOC</v>
      </c>
      <c r="D20" s="70" t="str">
        <f>IFERROR(__xludf.DUMMYFUNCTION("arrayformula(VLOOKUP(to_Text(A20),to_Text(sheet2!$A$1:M1002),12,0))"),"DEV")</f>
        <v>DEV</v>
      </c>
      <c r="E20" s="68" t="s">
        <v>175</v>
      </c>
      <c r="F20" s="67" t="str">
        <f t="array" ref="F20">IFERROR(
  INDEX(ATTENDANCE_INPUT!D:D,
    MATCH(1,
      (ATTENDANCE_INPUT!A:A=A20) *
      (ATTENDANCE_INPUT!V:V=MAXIFS(ATTENDANCE_INPUT!V:V, ATTENDANCE_INPUT!A:A, A20)),
      0)),
  "")</f>
        <v>Anh To</v>
      </c>
      <c r="G20" s="72" t="str">
        <f t="array" ref="G20">IFERROR(
  INDEX(ATTENDANCE_INPUT!E:E,
    MATCH(1,
      (ATTENDANCE_INPUT!A:A=A20) *
      (ATTENDANCE_INPUT!V:V=MAXIFS(ATTENDANCE_INPUT!V:V, ATTENDANCE_INPUT!A:A, A20)),
      0)),
  "")</f>
        <v>Communication 2</v>
      </c>
      <c r="H20" s="73" t="str">
        <f t="array" ref="H20">IF(ISNA(MATCH(A20,sheet2!A:A,0)),"⏳ Chưa test",IFERROR(INDEX(LEVEL_HELPER!A:A,MATCH(INDEX(sheet2!N:N,MATCH(A20,sheet2!A:A,0)),LEVEL_HELPER!B:B,0)),"⏳ Chưa test"))</f>
        <v>Beginner</v>
      </c>
      <c r="I20" s="73" t="str">
        <f t="array" ref="I20">IF(ISNA(MATCH(A20,sheet2!A:A,0)),H20,IF(INDEX(sheet2!O:O,MATCH(A20,sheet2!A:A,0))&gt;0,IFERROR(INDEX(LEVEL_HELPER!A:A,MATCH(INDEX(sheet2!O:O,MATCH(A20,sheet2!A:A,0)),LEVEL_HELPER!B:B,0)),H20),H20))</f>
        <v>Pre-Intermediate 1</v>
      </c>
      <c r="J20" s="83">
        <f>IFERROR(MAXIFS(ATTENDANCE_LOG!F:F, ATTENDANCE_LOG!C:C, A20&amp;"", ATTENDANCE_LOG!G:G, "Present"), "")</f>
        <v>46094.41667</v>
      </c>
      <c r="K20" s="84" t="str">
        <f t="shared" si="1"/>
        <v/>
      </c>
      <c r="L20" s="85" t="str">
        <f t="shared" si="2"/>
        <v/>
      </c>
      <c r="M20" s="78"/>
      <c r="N20" s="77"/>
      <c r="O20" s="78"/>
      <c r="P20" s="78"/>
      <c r="Q20" s="78"/>
      <c r="R20" s="78">
        <v>247309.0</v>
      </c>
      <c r="S20" s="78" t="s">
        <v>146</v>
      </c>
      <c r="T20" s="78" t="s">
        <v>33</v>
      </c>
      <c r="U20" s="78" t="str">
        <f>IFERROR(__xludf.DUMMYFUNCTION("arrayformula(vlookup(to_text(R20),to_text($A$4:$B1010),2,0))"),"#N/A")</f>
        <v>#N/A</v>
      </c>
      <c r="V20" s="77" t="s">
        <v>37</v>
      </c>
      <c r="W20" s="60"/>
      <c r="X20" s="60"/>
      <c r="Y20" s="60"/>
    </row>
    <row r="21" ht="15.0" customHeight="1">
      <c r="A21" s="67" t="s">
        <v>176</v>
      </c>
      <c r="B21" s="68" t="s">
        <v>177</v>
      </c>
      <c r="C21" s="69" t="str">
        <f>IFERROR(__xludf.DUMMYFUNCTION("arrayformula(VLOOKUP(to_Text(A21),to_Text(sheet2!$A$1:M1002),13,0))"),"LBU")</f>
        <v>LBU</v>
      </c>
      <c r="D21" s="70" t="str">
        <f>IFERROR(__xludf.DUMMYFUNCTION("arrayformula(VLOOKUP(to_Text(A21),to_Text(sheet2!$A$1:M1002),12,0))"),"GSD")</f>
        <v>GSD</v>
      </c>
      <c r="E21" s="71" t="s">
        <v>16</v>
      </c>
      <c r="F21" s="67" t="str">
        <f t="array" ref="F21">IFERROR(
  INDEX(ATTENDANCE_INPUT!D:D,
    MATCH(1,
      (ATTENDANCE_INPUT!A:A=A21) *
      (ATTENDANCE_INPUT!V:V=MAXIFS(ATTENDANCE_INPUT!V:V, ATTENDANCE_INPUT!A:A, A21)),
      0)),
  "")</f>
        <v>Dat Nguyen</v>
      </c>
      <c r="G21" s="72" t="str">
        <f t="array" ref="G21">IFERROR(
  INDEX(ATTENDANCE_INPUT!E:E,
    MATCH(1,
      (ATTENDANCE_INPUT!A:A=A21) *
      (ATTENDANCE_INPUT!V:V=MAXIFS(ATTENDANCE_INPUT!V:V, ATTENDANCE_INPUT!A:A, A21)),
      0)),
  "")</f>
        <v>Communication 1</v>
      </c>
      <c r="H21" s="73" t="str">
        <f t="array" ref="H21">IF(ISNA(MATCH(A21,sheet2!A:A,0)),"⏳ Chưa test",IFERROR(INDEX(LEVEL_HELPER!A:A,MATCH(INDEX(sheet2!N:N,MATCH(A21,sheet2!A:A,0)),LEVEL_HELPER!B:B,0)),"⏳ Chưa test"))</f>
        <v>Pre-Intermediate</v>
      </c>
      <c r="I21" s="73" t="str">
        <f t="array" ref="I21">IF(ISNA(MATCH(A21,sheet2!A:A,0)),H21,IF(INDEX(sheet2!O:O,MATCH(A21,sheet2!A:A,0))&gt;0,IFERROR(INDEX(LEVEL_HELPER!A:A,MATCH(INDEX(sheet2!O:O,MATCH(A21,sheet2!A:A,0)),LEVEL_HELPER!B:B,0)),H21),H21))</f>
        <v>Intermediate</v>
      </c>
      <c r="J21" s="73">
        <f>IFERROR(MAXIFS(ATTENDANCE_LOG!F:F, ATTENDANCE_LOG!C:C, A21&amp;"", ATTENDANCE_LOG!G:G, "Present"), "")</f>
        <v>45807.58333</v>
      </c>
      <c r="K21" s="74" t="str">
        <f t="shared" si="1"/>
        <v/>
      </c>
      <c r="L21" s="75" t="str">
        <f t="shared" si="2"/>
        <v/>
      </c>
      <c r="M21" s="59" t="s">
        <v>34</v>
      </c>
      <c r="N21" s="77" t="s">
        <v>37</v>
      </c>
      <c r="O21" s="59"/>
      <c r="P21" s="59"/>
      <c r="Q21" s="59"/>
      <c r="R21" s="59">
        <v>237004.0</v>
      </c>
      <c r="S21" s="59" t="s">
        <v>178</v>
      </c>
      <c r="T21" s="59" t="s">
        <v>179</v>
      </c>
      <c r="U21" s="59" t="e">
        <v>#N/A</v>
      </c>
      <c r="V21" s="59"/>
      <c r="W21" s="87"/>
      <c r="X21" s="87"/>
      <c r="Y21" s="87"/>
    </row>
    <row r="22" ht="15.0" customHeight="1">
      <c r="A22" s="67" t="s">
        <v>180</v>
      </c>
      <c r="B22" s="68" t="s">
        <v>181</v>
      </c>
      <c r="C22" s="69" t="str">
        <f>IFERROR(__xludf.DUMMYFUNCTION("arrayformula(VLOOKUP(to_Text(A22),to_Text(sheet2!$A$1:M1002),13,0))"),"CHORUS")</f>
        <v>CHORUS</v>
      </c>
      <c r="D22" s="70" t="str">
        <f>IFERROR(__xludf.DUMMYFUNCTION("arrayformula(VLOOKUP(to_Text(A22),to_Text(sheet2!$A$1:M1002),12,0))"),"DEV")</f>
        <v>DEV</v>
      </c>
      <c r="E22" s="68" t="str">
        <f>if(L22="⚠ Possibly Dropped","Inactive","Active")</f>
        <v>Active</v>
      </c>
      <c r="F22" s="67" t="str">
        <f t="array" ref="F22">IFERROR(
  INDEX(ATTENDANCE_INPUT!D:D,
    MATCH(1,
      (ATTENDANCE_INPUT!A:A=A22) *
      (ATTENDANCE_INPUT!V:V=MAXIFS(ATTENDANCE_INPUT!V:V, ATTENDANCE_INPUT!A:A, A22)),
      0)),
  "")</f>
        <v>Phung Nguyen</v>
      </c>
      <c r="G22" s="72" t="str">
        <f t="array" ref="G22">IFERROR(
  INDEX(ATTENDANCE_INPUT!E:E,
    MATCH(1,
      (ATTENDANCE_INPUT!A:A=A22) *
      (ATTENDANCE_INPUT!V:V=MAXIFS(ATTENDANCE_INPUT!V:V, ATTENDANCE_INPUT!A:A, A22)),
      0)),
  "")</f>
        <v>Foundation</v>
      </c>
      <c r="H22" s="73" t="str">
        <f t="array" ref="H22">IF(ISNA(MATCH(A22,sheet2!A:A,0)),"⏳ Chưa test",IFERROR(INDEX(LEVEL_HELPER!A:A,MATCH(INDEX(sheet2!N:N,MATCH(A22,sheet2!A:A,0)),LEVEL_HELPER!B:B,0)),"⏳ Chưa test"))</f>
        <v>Foundation</v>
      </c>
      <c r="I22" s="73" t="str">
        <f t="array" ref="I22">IF(ISNA(MATCH(A22,sheet2!A:A,0)),H22,IF(INDEX(sheet2!O:O,MATCH(A22,sheet2!A:A,0))&gt;0,IFERROR(INDEX(LEVEL_HELPER!A:A,MATCH(INDEX(sheet2!O:O,MATCH(A22,sheet2!A:A,0)),LEVEL_HELPER!B:B,0)),H22),H22))</f>
        <v>Foundation</v>
      </c>
      <c r="J22" s="73">
        <f>IFERROR(MAXIFS(ATTENDANCE_LOG!F:F, ATTENDANCE_LOG!C:C, A22&amp;"", ATTENDANCE_LOG!G:G, "Present"), "")</f>
        <v>46135.45833</v>
      </c>
      <c r="K22" s="74" t="str">
        <f t="shared" si="1"/>
        <v/>
      </c>
      <c r="L22" s="75" t="str">
        <f t="shared" si="2"/>
        <v/>
      </c>
      <c r="M22" s="59"/>
      <c r="N22" s="77"/>
      <c r="O22" s="59"/>
      <c r="P22" s="59"/>
      <c r="Q22" s="59"/>
      <c r="R22" s="59"/>
      <c r="S22" s="59"/>
      <c r="T22" s="59"/>
      <c r="U22" s="59"/>
      <c r="V22" s="59"/>
      <c r="W22" s="60"/>
      <c r="X22" s="60"/>
      <c r="Y22" s="60"/>
    </row>
    <row r="23" ht="15.0" customHeight="1">
      <c r="A23" s="67" t="s">
        <v>182</v>
      </c>
      <c r="B23" s="68" t="s">
        <v>183</v>
      </c>
      <c r="C23" s="69" t="str">
        <f>IFERROR(__xludf.DUMMYFUNCTION("arrayformula(VLOOKUP(to_Text(A23),to_Text(sheet2!$A$1:M1002),13,0))"),"CHORUS")</f>
        <v>CHORUS</v>
      </c>
      <c r="D23" s="70" t="str">
        <f>IFERROR(__xludf.DUMMYFUNCTION("arrayformula(VLOOKUP(to_Text(A23),to_Text(sheet2!$A$1:M1002),12,0))"),"QC")</f>
        <v>QC</v>
      </c>
      <c r="E23" s="71" t="s">
        <v>16</v>
      </c>
      <c r="F23" s="67" t="str">
        <f t="array" ref="F23">IFERROR(
  INDEX(ATTENDANCE_INPUT!D:D,
    MATCH(1,
      (ATTENDANCE_INPUT!A:A=A23) *
      (ATTENDANCE_INPUT!V:V=MAXIFS(ATTENDANCE_INPUT!V:V, ATTENDANCE_INPUT!A:A, A23)),
      0)),
  "")</f>
        <v>Yen Tran 1</v>
      </c>
      <c r="G23" s="72" t="str">
        <f t="array" ref="G23">IFERROR(
  INDEX(ATTENDANCE_INPUT!E:E,
    MATCH(1,
      (ATTENDANCE_INPUT!A:A=A23) *
      (ATTENDANCE_INPUT!V:V=MAXIFS(ATTENDANCE_INPUT!V:V, ATTENDANCE_INPUT!A:A, A23)),
      0)),
  "")</f>
        <v>Communication 1</v>
      </c>
      <c r="H23" s="73" t="str">
        <f t="array" ref="H23">IF(ISNA(MATCH(A23,sheet2!A:A,0)),"⏳ Chưa test",IFERROR(INDEX(LEVEL_HELPER!A:A,MATCH(INDEX(sheet2!N:N,MATCH(A23,sheet2!A:A,0)),LEVEL_HELPER!B:B,0)),"⏳ Chưa test"))</f>
        <v>Beginner</v>
      </c>
      <c r="I23" s="73" t="str">
        <f t="array" ref="I23">IF(ISNA(MATCH(A23,sheet2!A:A,0)),H23,IF(INDEX(sheet2!O:O,MATCH(A23,sheet2!A:A,0))&gt;0,IFERROR(INDEX(LEVEL_HELPER!A:A,MATCH(INDEX(sheet2!O:O,MATCH(A23,sheet2!A:A,0)),LEVEL_HELPER!B:B,0)),H23),H23))</f>
        <v>Beginner</v>
      </c>
      <c r="J23" s="73">
        <f>IFERROR(MAXIFS(ATTENDANCE_LOG!F:F, ATTENDANCE_LOG!C:C, A23&amp;"", ATTENDANCE_LOG!G:G, "Present"), "")</f>
        <v>45887.54167</v>
      </c>
      <c r="K23" s="74" t="str">
        <f t="shared" si="1"/>
        <v/>
      </c>
      <c r="L23" s="75" t="str">
        <f t="shared" si="2"/>
        <v/>
      </c>
      <c r="M23" s="59" t="s">
        <v>34</v>
      </c>
      <c r="N23" s="76" t="s">
        <v>33</v>
      </c>
      <c r="O23" s="59"/>
      <c r="P23" s="59"/>
      <c r="Q23" s="59"/>
      <c r="R23" s="59"/>
      <c r="S23" s="59"/>
      <c r="T23" s="59"/>
      <c r="U23" s="59"/>
      <c r="V23" s="59"/>
      <c r="W23" s="87"/>
      <c r="X23" s="87"/>
      <c r="Y23" s="87"/>
    </row>
    <row r="24" ht="15.75" customHeight="1">
      <c r="A24" s="67" t="s">
        <v>184</v>
      </c>
      <c r="B24" s="68" t="s">
        <v>185</v>
      </c>
      <c r="C24" s="69" t="str">
        <f>IFERROR(__xludf.DUMMYFUNCTION("arrayformula(VLOOKUP(to_Text(A24),to_Text(sheet2!$A$1:M1002),13,0))"),"TBU")</f>
        <v>TBU</v>
      </c>
      <c r="D24" s="70" t="str">
        <f>IFERROR(__xludf.DUMMYFUNCTION("arrayformula(VLOOKUP(to_Text(A24),to_Text(sheet2!$A$1:M1002),12,0))"),"DEV")</f>
        <v>DEV</v>
      </c>
      <c r="E24" s="68" t="s">
        <v>175</v>
      </c>
      <c r="F24" s="67" t="str">
        <f t="array" ref="F24">IFERROR(
  INDEX(ATTENDANCE_INPUT!D:D,
    MATCH(1,
      (ATTENDANCE_INPUT!A:A=A24) *
      (ATTENDANCE_INPUT!V:V=MAXIFS(ATTENDANCE_INPUT!V:V, ATTENDANCE_INPUT!A:A, A24)),
      0)),
  "")</f>
        <v>Nhat Nguyen</v>
      </c>
      <c r="G24" s="72" t="str">
        <f t="array" ref="G24">IFERROR(
  INDEX(ATTENDANCE_INPUT!E:E,
    MATCH(1,
      (ATTENDANCE_INPUT!A:A=A24) *
      (ATTENDANCE_INPUT!V:V=MAXIFS(ATTENDANCE_INPUT!V:V, ATTENDANCE_INPUT!A:A, A24)),
      0)),
  "")</f>
        <v>Communication 2</v>
      </c>
      <c r="H24" s="73" t="str">
        <f t="array" ref="H24">IF(ISNA(MATCH(A24,sheet2!A:A,0)),"⏳ Chưa test",IFERROR(INDEX(LEVEL_HELPER!A:A,MATCH(INDEX(sheet2!N:N,MATCH(A24,sheet2!A:A,0)),LEVEL_HELPER!B:B,0)),"⏳ Chưa test"))</f>
        <v>Beginner</v>
      </c>
      <c r="I24" s="73" t="str">
        <f t="array" ref="I24">IF(ISNA(MATCH(A24,sheet2!A:A,0)),H24,IF(INDEX(sheet2!O:O,MATCH(A24,sheet2!A:A,0))&gt;0,IFERROR(INDEX(LEVEL_HELPER!A:A,MATCH(INDEX(sheet2!O:O,MATCH(A24,sheet2!A:A,0)),LEVEL_HELPER!B:B,0)),H24),H24))</f>
        <v>Pre-Intermediate 2</v>
      </c>
      <c r="J24" s="73">
        <f>IFERROR(MAXIFS(ATTENDANCE_LOG!F:F, ATTENDANCE_LOG!C:C, A24&amp;"", ATTENDANCE_LOG!G:G, "Present"), "")</f>
        <v>46083.45833</v>
      </c>
      <c r="K24" s="74">
        <f t="shared" si="1"/>
        <v>87</v>
      </c>
      <c r="L24" s="75" t="str">
        <f t="shared" si="2"/>
        <v>⚠ Possibly Dropped</v>
      </c>
      <c r="M24" s="59"/>
      <c r="N24" s="77"/>
      <c r="O24" s="78"/>
      <c r="P24" s="78"/>
      <c r="Q24" s="78"/>
      <c r="R24" s="78"/>
      <c r="S24" s="78"/>
      <c r="T24" s="78"/>
      <c r="U24" s="78"/>
      <c r="V24" s="78"/>
      <c r="W24" s="60"/>
      <c r="X24" s="60"/>
      <c r="Y24" s="60"/>
    </row>
    <row r="25" ht="15.75" customHeight="1">
      <c r="A25" s="81" t="s">
        <v>186</v>
      </c>
      <c r="B25" s="82" t="s">
        <v>187</v>
      </c>
      <c r="C25" s="69" t="str">
        <f>IFERROR(__xludf.DUMMYFUNCTION("arrayformula(VLOOKUP(to_Text(A25),to_Text(sheet2!$A$1:M1002),13,0))"),"MOC")</f>
        <v>MOC</v>
      </c>
      <c r="D25" s="70" t="str">
        <f>IFERROR(__xludf.DUMMYFUNCTION("arrayformula(VLOOKUP(to_Text(A25),to_Text(sheet2!$A$1:M1002),12,0))"),"DEV")</f>
        <v>DEV</v>
      </c>
      <c r="E25" s="68" t="str">
        <f>if(L25="⚠ Possibly Dropped","Inactive","Active")</f>
        <v>Active</v>
      </c>
      <c r="F25" s="67" t="str">
        <f t="array" ref="F25">IFERROR(
  INDEX(ATTENDANCE_INPUT!D:D,
    MATCH(1,
      (ATTENDANCE_INPUT!A:A=A25) *
      (ATTENDANCE_INPUT!V:V=MAXIFS(ATTENDANCE_INPUT!V:V, ATTENDANCE_INPUT!A:A, A25)),
      0)),
  "")</f>
        <v>Dung Hoang</v>
      </c>
      <c r="G25" s="72" t="str">
        <f t="array" ref="G25">IFERROR(
  INDEX(ATTENDANCE_INPUT!E:E,
    MATCH(1,
      (ATTENDANCE_INPUT!A:A=A25) *
      (ATTENDANCE_INPUT!V:V=MAXIFS(ATTENDANCE_INPUT!V:V, ATTENDANCE_INPUT!A:A, A25)),
      0)),
  "")</f>
        <v>Communication 2</v>
      </c>
      <c r="H25" s="73" t="str">
        <f t="array" ref="H25">IF(ISNA(MATCH(A25,sheet2!A:A,0)),"⏳ Chưa test",IFERROR(INDEX(LEVEL_HELPER!A:A,MATCH(INDEX(sheet2!N:N,MATCH(A25,sheet2!A:A,0)),LEVEL_HELPER!B:B,0)),"⏳ Chưa test"))</f>
        <v>Beginner</v>
      </c>
      <c r="I25" s="73" t="str">
        <f t="array" ref="I25">IF(ISNA(MATCH(A25,sheet2!A:A,0)),H25,IF(INDEX(sheet2!O:O,MATCH(A25,sheet2!A:A,0))&gt;0,IFERROR(INDEX(LEVEL_HELPER!A:A,MATCH(INDEX(sheet2!O:O,MATCH(A25,sheet2!A:A,0)),LEVEL_HELPER!B:B,0)),H25),H25))</f>
        <v>Pre-Intermediate 2</v>
      </c>
      <c r="J25" s="83">
        <f>IFERROR(MAXIFS(ATTENDANCE_LOG!F:F, ATTENDANCE_LOG!C:C, A25&amp;"", ATTENDANCE_LOG!G:G, "Present"), "")</f>
        <v>46135.41667</v>
      </c>
      <c r="K25" s="84" t="str">
        <f t="shared" si="1"/>
        <v/>
      </c>
      <c r="L25" s="85" t="str">
        <f t="shared" si="2"/>
        <v/>
      </c>
      <c r="M25" s="78"/>
      <c r="N25" s="77"/>
      <c r="O25" s="59"/>
      <c r="P25" s="59"/>
      <c r="Q25" s="59"/>
      <c r="R25" s="59">
        <v>193630.0</v>
      </c>
      <c r="S25" s="59" t="s">
        <v>146</v>
      </c>
      <c r="T25" s="59" t="s">
        <v>33</v>
      </c>
      <c r="U25" s="59" t="str">
        <f>IFERROR(__xludf.DUMMYFUNCTION("arrayformula(vlookup(to_text(R25),to_text($A$4:$B974),2,0))"),"#N/A")</f>
        <v>#N/A</v>
      </c>
      <c r="V25" s="59"/>
      <c r="W25" s="60"/>
      <c r="X25" s="60"/>
      <c r="Y25" s="60"/>
    </row>
    <row r="26" ht="15.75" customHeight="1">
      <c r="A26" s="67" t="s">
        <v>188</v>
      </c>
      <c r="B26" s="68" t="s">
        <v>189</v>
      </c>
      <c r="C26" s="69" t="str">
        <f>IFERROR(__xludf.DUMMYFUNCTION("arrayformula(VLOOKUP(to_Text(A26),to_Text(sheet2!$A$1:M1002),13,0))"),"LBU")</f>
        <v>LBU</v>
      </c>
      <c r="D26" s="70" t="str">
        <f>IFERROR(__xludf.DUMMYFUNCTION("arrayformula(VLOOKUP(to_Text(A26),to_Text(sheet2!$A$1:M1002),12,0))"),"QC")</f>
        <v>QC</v>
      </c>
      <c r="E26" s="71" t="s">
        <v>16</v>
      </c>
      <c r="F26" s="67" t="str">
        <f t="array" ref="F26">IFERROR(
  INDEX(ATTENDANCE_INPUT!D:D,
    MATCH(1,
      (ATTENDANCE_INPUT!A:A=A26) *
      (ATTENDANCE_INPUT!V:V=MAXIFS(ATTENDANCE_INPUT!V:V, ATTENDANCE_INPUT!A:A, A26)),
      0)),
  "")</f>
        <v>Nhat Nguyen</v>
      </c>
      <c r="G26" s="72" t="str">
        <f t="array" ref="G26">IFERROR(
  INDEX(ATTENDANCE_INPUT!E:E,
    MATCH(1,
      (ATTENDANCE_INPUT!A:A=A26) *
      (ATTENDANCE_INPUT!V:V=MAXIFS(ATTENDANCE_INPUT!V:V, ATTENDANCE_INPUT!A:A, A26)),
      0)),
  "")</f>
        <v>Communication 2</v>
      </c>
      <c r="H26" s="73" t="str">
        <f t="array" ref="H26">IF(ISNA(MATCH(A26,sheet2!A:A,0)),"⏳ Chưa test",IFERROR(INDEX(LEVEL_HELPER!A:A,MATCH(INDEX(sheet2!N:N,MATCH(A26,sheet2!A:A,0)),LEVEL_HELPER!B:B,0)),"⏳ Chưa test"))</f>
        <v>Beginner</v>
      </c>
      <c r="I26" s="73" t="str">
        <f t="array" ref="I26">IF(ISNA(MATCH(A26,sheet2!A:A,0)),H26,IF(INDEX(sheet2!O:O,MATCH(A26,sheet2!A:A,0))&gt;0,IFERROR(INDEX(LEVEL_HELPER!A:A,MATCH(INDEX(sheet2!O:O,MATCH(A26,sheet2!A:A,0)),LEVEL_HELPER!B:B,0)),H26),H26))</f>
        <v>Pre-Intermediate 2</v>
      </c>
      <c r="J26" s="73">
        <f>IFERROR(MAXIFS(ATTENDANCE_LOG!F:F, ATTENDANCE_LOG!C:C, A26&amp;"", ATTENDANCE_LOG!G:G, "Present"), "")</f>
        <v>45989.45833</v>
      </c>
      <c r="K26" s="74" t="str">
        <f t="shared" si="1"/>
        <v/>
      </c>
      <c r="L26" s="75" t="str">
        <f t="shared" si="2"/>
        <v/>
      </c>
      <c r="M26" s="59" t="s">
        <v>36</v>
      </c>
      <c r="N26" s="77" t="s">
        <v>41</v>
      </c>
      <c r="O26" s="59"/>
      <c r="P26" s="59"/>
      <c r="Q26" s="59"/>
      <c r="R26" s="59"/>
      <c r="S26" s="59"/>
      <c r="T26" s="59"/>
      <c r="U26" s="59"/>
      <c r="V26" s="59"/>
      <c r="W26" s="87"/>
      <c r="X26" s="87"/>
      <c r="Y26" s="87"/>
    </row>
    <row r="27" ht="15.75" customHeight="1">
      <c r="A27" s="67" t="s">
        <v>190</v>
      </c>
      <c r="B27" s="68" t="s">
        <v>191</v>
      </c>
      <c r="C27" s="69" t="str">
        <f>IFERROR(__xludf.DUMMYFUNCTION("arrayformula(VLOOKUP(to_Text(A27),to_Text(sheet2!$A$1:M1002),13,0))"),"CHORUS")</f>
        <v>CHORUS</v>
      </c>
      <c r="D27" s="70" t="str">
        <f>IFERROR(__xludf.DUMMYFUNCTION("arrayformula(VLOOKUP(to_Text(A27),to_Text(sheet2!$A$1:M1002),12,0))"),"TA")</f>
        <v>TA</v>
      </c>
      <c r="E27" s="68" t="str">
        <f>if(L27="⚠ Possibly Dropped","Inactive","Active")</f>
        <v>Inactive</v>
      </c>
      <c r="F27" s="67" t="str">
        <f t="array" ref="F27">IFERROR(
  INDEX(ATTENDANCE_INPUT!D:D,
    MATCH(1,
      (ATTENDANCE_INPUT!A:A=A27) *
      (ATTENDANCE_INPUT!V:V=MAXIFS(ATTENDANCE_INPUT!V:V, ATTENDANCE_INPUT!A:A, A27)),
      0)),
  "")</f>
        <v>Huyen Vo</v>
      </c>
      <c r="G27" s="72" t="str">
        <f t="array" ref="G27">IFERROR(
  INDEX(ATTENDANCE_INPUT!E:E,
    MATCH(1,
      (ATTENDANCE_INPUT!A:A=A27) *
      (ATTENDANCE_INPUT!V:V=MAXIFS(ATTENDANCE_INPUT!V:V, ATTENDANCE_INPUT!A:A, A27)),
      0)),
  "")</f>
        <v>Communication 1</v>
      </c>
      <c r="H27" s="73" t="str">
        <f t="array" ref="H27">IF(ISNA(MATCH(A27,sheet2!A:A,0)),"⏳ Chưa test",IFERROR(INDEX(LEVEL_HELPER!A:A,MATCH(INDEX(sheet2!N:N,MATCH(A27,sheet2!A:A,0)),LEVEL_HELPER!B:B,0)),"⏳ Chưa test"))</f>
        <v>Beginner</v>
      </c>
      <c r="I27" s="73" t="str">
        <f t="array" ref="I27">IF(ISNA(MATCH(A27,sheet2!A:A,0)),H27,IF(INDEX(sheet2!O:O,MATCH(A27,sheet2!A:A,0))&gt;0,IFERROR(INDEX(LEVEL_HELPER!A:A,MATCH(INDEX(sheet2!O:O,MATCH(A27,sheet2!A:A,0)),LEVEL_HELPER!B:B,0)),H27),H27))</f>
        <v>Beginner</v>
      </c>
      <c r="J27" s="73">
        <f>IFERROR(MAXIFS(ATTENDANCE_LOG!F:F, ATTENDANCE_LOG!C:C, A27&amp;"", ATTENDANCE_LOG!G:G, "Present"), "")</f>
        <v>45784.375</v>
      </c>
      <c r="K27" s="74">
        <f t="shared" si="1"/>
        <v>300</v>
      </c>
      <c r="L27" s="75" t="str">
        <f t="shared" si="2"/>
        <v>⚠ Possibly Dropped</v>
      </c>
      <c r="M27" s="59" t="s">
        <v>34</v>
      </c>
      <c r="N27" s="77" t="s">
        <v>33</v>
      </c>
      <c r="O27" s="59"/>
      <c r="P27" s="59"/>
      <c r="Q27" s="59"/>
      <c r="R27" s="59"/>
      <c r="S27" s="59"/>
      <c r="T27" s="59"/>
      <c r="U27" s="59"/>
      <c r="V27" s="59"/>
      <c r="W27" s="87"/>
      <c r="X27" s="87"/>
      <c r="Y27" s="87"/>
    </row>
    <row r="28" ht="15.75" customHeight="1">
      <c r="A28" s="67" t="s">
        <v>192</v>
      </c>
      <c r="B28" s="68" t="s">
        <v>193</v>
      </c>
      <c r="C28" s="69" t="str">
        <f>IFERROR(__xludf.DUMMYFUNCTION("arrayformula(VLOOKUP(to_Text(A28),to_Text(sheet2!$A$1:M1002),13,0))"),"LBU")</f>
        <v>LBU</v>
      </c>
      <c r="D28" s="70" t="str">
        <f>IFERROR(__xludf.DUMMYFUNCTION("arrayformula(VLOOKUP(to_Text(A28),to_Text(sheet2!$A$1:M1002),12,0))"),"DEV")</f>
        <v>DEV</v>
      </c>
      <c r="E28" s="71" t="s">
        <v>16</v>
      </c>
      <c r="F28" s="67" t="str">
        <f t="array" ref="F28">IFERROR(
  INDEX(ATTENDANCE_INPUT!D:D,
    MATCH(1,
      (ATTENDANCE_INPUT!A:A=A28) *
      (ATTENDANCE_INPUT!V:V=MAXIFS(ATTENDANCE_INPUT!V:V, ATTENDANCE_INPUT!A:A, A28)),
      0)),
  "")</f>
        <v>Qui Em</v>
      </c>
      <c r="G28" s="72" t="str">
        <f t="array" ref="G28">IFERROR(
  INDEX(ATTENDANCE_INPUT!E:E,
    MATCH(1,
      (ATTENDANCE_INPUT!A:A=A28) *
      (ATTENDANCE_INPUT!V:V=MAXIFS(ATTENDANCE_INPUT!V:V, ATTENDANCE_INPUT!A:A, A28)),
      0)),
  "")</f>
        <v>Communication 1</v>
      </c>
      <c r="H28" s="73" t="str">
        <f t="array" ref="H28">IF(ISNA(MATCH(A28,sheet2!A:A,0)),"⏳ Chưa test",IFERROR(INDEX(LEVEL_HELPER!A:A,MATCH(INDEX(sheet2!N:N,MATCH(A28,sheet2!A:A,0)),LEVEL_HELPER!B:B,0)),"⏳ Chưa test"))</f>
        <v>Beginner</v>
      </c>
      <c r="I28" s="73" t="str">
        <f t="array" ref="I28">IF(ISNA(MATCH(A28,sheet2!A:A,0)),H28,IF(INDEX(sheet2!O:O,MATCH(A28,sheet2!A:A,0))&gt;0,IFERROR(INDEX(LEVEL_HELPER!A:A,MATCH(INDEX(sheet2!O:O,MATCH(A28,sheet2!A:A,0)),LEVEL_HELPER!B:B,0)),H28),H28))</f>
        <v>Pre-Intermediate 1</v>
      </c>
      <c r="J28" s="73">
        <f>IFERROR(MAXIFS(ATTENDANCE_LOG!F:F, ATTENDANCE_LOG!C:C, A28&amp;"", ATTENDANCE_LOG!G:G, "Present"), "")</f>
        <v>45807.41667</v>
      </c>
      <c r="K28" s="74" t="str">
        <f t="shared" si="1"/>
        <v/>
      </c>
      <c r="L28" s="75" t="str">
        <f t="shared" si="2"/>
        <v/>
      </c>
      <c r="M28" s="80" t="s">
        <v>34</v>
      </c>
      <c r="N28" s="77" t="s">
        <v>37</v>
      </c>
      <c r="O28" s="59"/>
      <c r="P28" s="59"/>
      <c r="Q28" s="59"/>
      <c r="R28" s="59"/>
      <c r="S28" s="59"/>
      <c r="T28" s="59"/>
      <c r="U28" s="59"/>
      <c r="V28" s="59"/>
      <c r="W28" s="87"/>
      <c r="X28" s="87"/>
      <c r="Y28" s="87"/>
    </row>
    <row r="29" ht="15.75" customHeight="1">
      <c r="A29" s="67" t="s">
        <v>194</v>
      </c>
      <c r="B29" s="68" t="s">
        <v>195</v>
      </c>
      <c r="C29" s="69" t="str">
        <f>IFERROR(__xludf.DUMMYFUNCTION("arrayformula(VLOOKUP(to_Text(A29),to_Text(sheet2!$A$1:M1002),13,0))"),"CHORUS")</f>
        <v>CHORUS</v>
      </c>
      <c r="D29" s="70" t="str">
        <f>IFERROR(__xludf.DUMMYFUNCTION("arrayformula(VLOOKUP(to_Text(A29),to_Text(sheet2!$A$1:M1002),12,0))"),"DEV")</f>
        <v>DEV</v>
      </c>
      <c r="E29" s="68" t="str">
        <f>if(L29="⚠ Possibly Dropped","Inactive","Active")</f>
        <v>Inactive</v>
      </c>
      <c r="F29" s="67" t="str">
        <f t="array" ref="F29">IFERROR(
  INDEX(ATTENDANCE_INPUT!D:D,
    MATCH(1,
      (ATTENDANCE_INPUT!A:A=A29) *
      (ATTENDANCE_INPUT!V:V=MAXIFS(ATTENDANCE_INPUT!V:V, ATTENDANCE_INPUT!A:A, A29)),
      0)),
  "")</f>
        <v>Yen Tran 3</v>
      </c>
      <c r="G29" s="72" t="str">
        <f t="array" ref="G29">IFERROR(
  INDEX(ATTENDANCE_INPUT!E:E,
    MATCH(1,
      (ATTENDANCE_INPUT!A:A=A29) *
      (ATTENDANCE_INPUT!V:V=MAXIFS(ATTENDANCE_INPUT!V:V, ATTENDANCE_INPUT!A:A, A29)),
      0)),
  "")</f>
        <v>Communication 1</v>
      </c>
      <c r="H29" s="73" t="str">
        <f t="array" ref="H29">IF(ISNA(MATCH(A29,sheet2!A:A,0)),"⏳ Chưa test",IFERROR(INDEX(LEVEL_HELPER!A:A,MATCH(INDEX(sheet2!N:N,MATCH(A29,sheet2!A:A,0)),LEVEL_HELPER!B:B,0)),"⏳ Chưa test"))</f>
        <v>Beginner</v>
      </c>
      <c r="I29" s="73" t="str">
        <f t="array" ref="I29">IF(ISNA(MATCH(A29,sheet2!A:A,0)),H29,IF(INDEX(sheet2!O:O,MATCH(A29,sheet2!A:A,0))&gt;0,IFERROR(INDEX(LEVEL_HELPER!A:A,MATCH(INDEX(sheet2!O:O,MATCH(A29,sheet2!A:A,0)),LEVEL_HELPER!B:B,0)),H29),H29))</f>
        <v>Beginner</v>
      </c>
      <c r="J29" s="73">
        <f>IFERROR(MAXIFS(ATTENDANCE_LOG!F:F, ATTENDANCE_LOG!C:C, A29&amp;"", ATTENDANCE_LOG!G:G, "Present"), "")</f>
        <v>45846.45833</v>
      </c>
      <c r="K29" s="74">
        <f t="shared" si="1"/>
        <v>267</v>
      </c>
      <c r="L29" s="75" t="str">
        <f t="shared" si="2"/>
        <v>⚠ Possibly Dropped</v>
      </c>
      <c r="M29" s="59" t="s">
        <v>36</v>
      </c>
      <c r="N29" s="77" t="s">
        <v>39</v>
      </c>
      <c r="O29" s="59"/>
      <c r="P29" s="59"/>
      <c r="Q29" s="59"/>
      <c r="R29" s="59"/>
      <c r="S29" s="59"/>
      <c r="T29" s="59"/>
      <c r="U29" s="59"/>
      <c r="V29" s="59"/>
      <c r="W29" s="87"/>
      <c r="X29" s="87"/>
      <c r="Y29" s="87"/>
    </row>
    <row r="30" ht="15.75" customHeight="1">
      <c r="A30" s="67" t="s">
        <v>196</v>
      </c>
      <c r="B30" s="68" t="s">
        <v>197</v>
      </c>
      <c r="C30" s="69" t="str">
        <f>IFERROR(__xludf.DUMMYFUNCTION("arrayformula(VLOOKUP(to_Text(A30),to_Text(sheet2!$A$1:M1002),13,0))"),"CHORUS")</f>
        <v>CHORUS</v>
      </c>
      <c r="D30" s="70" t="str">
        <f>IFERROR(__xludf.DUMMYFUNCTION("arrayformula(VLOOKUP(to_Text(A30),to_Text(sheet2!$A$1:M1002),12,0))"),"DEV")</f>
        <v>DEV</v>
      </c>
      <c r="E30" s="71" t="s">
        <v>16</v>
      </c>
      <c r="F30" s="67" t="str">
        <f t="array" ref="F30">IFERROR(
  INDEX(ATTENDANCE_INPUT!D:D,
    MATCH(1,
      (ATTENDANCE_INPUT!A:A=A30) *
      (ATTENDANCE_INPUT!V:V=MAXIFS(ATTENDANCE_INPUT!V:V, ATTENDANCE_INPUT!A:A, A30)),
      0)),
  "")</f>
        <v>Buu Do 1</v>
      </c>
      <c r="G30" s="72" t="str">
        <f t="array" ref="G30">IFERROR(
  INDEX(ATTENDANCE_INPUT!E:E,
    MATCH(1,
      (ATTENDANCE_INPUT!A:A=A30) *
      (ATTENDANCE_INPUT!V:V=MAXIFS(ATTENDANCE_INPUT!V:V, ATTENDANCE_INPUT!A:A, A30)),
      0)),
  "")</f>
        <v>Communication 1</v>
      </c>
      <c r="H30" s="73" t="str">
        <f t="array" ref="H30">IF(ISNA(MATCH(A30,sheet2!A:A,0)),"⏳ Chưa test",IFERROR(INDEX(LEVEL_HELPER!A:A,MATCH(INDEX(sheet2!N:N,MATCH(A30,sheet2!A:A,0)),LEVEL_HELPER!B:B,0)),"⏳ Chưa test"))</f>
        <v>Beginner</v>
      </c>
      <c r="I30" s="73" t="str">
        <f t="array" ref="I30">IF(ISNA(MATCH(A30,sheet2!A:A,0)),H30,IF(INDEX(sheet2!O:O,MATCH(A30,sheet2!A:A,0))&gt;0,IFERROR(INDEX(LEVEL_HELPER!A:A,MATCH(INDEX(sheet2!O:O,MATCH(A30,sheet2!A:A,0)),LEVEL_HELPER!B:B,0)),H30),H30))</f>
        <v>Intermediate</v>
      </c>
      <c r="J30" s="73">
        <f>IFERROR(MAXIFS(ATTENDANCE_LOG!F:F, ATTENDANCE_LOG!C:C, A30&amp;"", ATTENDANCE_LOG!G:G, "Present"), "")</f>
        <v>45954.375</v>
      </c>
      <c r="K30" s="74" t="str">
        <f t="shared" si="1"/>
        <v/>
      </c>
      <c r="L30" s="75" t="str">
        <f t="shared" si="2"/>
        <v/>
      </c>
      <c r="M30" s="59" t="s">
        <v>34</v>
      </c>
      <c r="N30" s="77" t="s">
        <v>33</v>
      </c>
      <c r="O30" s="59"/>
      <c r="P30" s="59"/>
      <c r="Q30" s="59"/>
      <c r="R30" s="59">
        <v>247141.0</v>
      </c>
      <c r="S30" s="59" t="s">
        <v>172</v>
      </c>
      <c r="T30" s="59" t="s">
        <v>39</v>
      </c>
      <c r="U30" s="59" t="e">
        <v>#N/A</v>
      </c>
      <c r="V30" s="59"/>
      <c r="W30" s="87"/>
      <c r="X30" s="87"/>
      <c r="Y30" s="87"/>
    </row>
    <row r="31" ht="15.75" customHeight="1">
      <c r="A31" s="67" t="s">
        <v>198</v>
      </c>
      <c r="B31" s="68" t="s">
        <v>199</v>
      </c>
      <c r="C31" s="69" t="str">
        <f>IFERROR(__xludf.DUMMYFUNCTION("arrayformula(VLOOKUP(to_Text(A31),to_Text(sheet2!$A$1:M1002),13,0))"),"TBU")</f>
        <v>TBU</v>
      </c>
      <c r="D31" s="70" t="str">
        <f>IFERROR(__xludf.DUMMYFUNCTION("arrayformula(VLOOKUP(to_Text(A31),to_Text(sheet2!$A$1:M1002),12,0))"),"DEV")</f>
        <v>DEV</v>
      </c>
      <c r="E31" s="68" t="str">
        <f>if(L31="⚠ Possibly Dropped","Inactive","Active")</f>
        <v>Inactive</v>
      </c>
      <c r="F31" s="67" t="str">
        <f t="array" ref="F31">IFERROR(
  INDEX(ATTENDANCE_INPUT!D:D,
    MATCH(1,
      (ATTENDANCE_INPUT!A:A=A31) *
      (ATTENDANCE_INPUT!V:V=MAXIFS(ATTENDANCE_INPUT!V:V, ATTENDANCE_INPUT!A:A, A31)),
      0)),
  "")</f>
        <v>Huyen Vo</v>
      </c>
      <c r="G31" s="72" t="str">
        <f t="array" ref="G31">IFERROR(
  INDEX(ATTENDANCE_INPUT!E:E,
    MATCH(1,
      (ATTENDANCE_INPUT!A:A=A31) *
      (ATTENDANCE_INPUT!V:V=MAXIFS(ATTENDANCE_INPUT!V:V, ATTENDANCE_INPUT!A:A, A31)),
      0)),
  "")</f>
        <v>Communication 1</v>
      </c>
      <c r="H31" s="73" t="str">
        <f t="array" ref="H31">IF(ISNA(MATCH(A31,sheet2!A:A,0)),"⏳ Chưa test",IFERROR(INDEX(LEVEL_HELPER!A:A,MATCH(INDEX(sheet2!N:N,MATCH(A31,sheet2!A:A,0)),LEVEL_HELPER!B:B,0)),"⏳ Chưa test"))</f>
        <v>Pre-Intermediate</v>
      </c>
      <c r="I31" s="73" t="str">
        <f t="array" ref="I31">IF(ISNA(MATCH(A31,sheet2!A:A,0)),H31,IF(INDEX(sheet2!O:O,MATCH(A31,sheet2!A:A,0))&gt;0,IFERROR(INDEX(LEVEL_HELPER!A:A,MATCH(INDEX(sheet2!O:O,MATCH(A31,sheet2!A:A,0)),LEVEL_HELPER!B:B,0)),H31),H31))</f>
        <v>Pre-Intermediate</v>
      </c>
      <c r="J31" s="73">
        <f>IFERROR(MAXIFS(ATTENDANCE_LOG!F:F, ATTENDANCE_LOG!C:C, A31&amp;"", ATTENDANCE_LOG!G:G, "Present"), "")</f>
        <v>45756.375</v>
      </c>
      <c r="K31" s="74">
        <f t="shared" si="1"/>
        <v>239</v>
      </c>
      <c r="L31" s="75" t="str">
        <f t="shared" si="2"/>
        <v>⚠ Possibly Dropped</v>
      </c>
      <c r="M31" s="80" t="s">
        <v>36</v>
      </c>
      <c r="N31" s="77" t="s">
        <v>33</v>
      </c>
      <c r="O31" s="59"/>
      <c r="P31" s="59"/>
      <c r="Q31" s="59"/>
      <c r="R31" s="59"/>
      <c r="S31" s="59"/>
      <c r="T31" s="59"/>
      <c r="U31" s="59"/>
      <c r="V31" s="59"/>
      <c r="W31" s="87"/>
      <c r="X31" s="87"/>
      <c r="Y31" s="87"/>
    </row>
    <row r="32" ht="15.75" customHeight="1">
      <c r="A32" s="67" t="s">
        <v>200</v>
      </c>
      <c r="B32" s="68" t="s">
        <v>201</v>
      </c>
      <c r="C32" s="69" t="str">
        <f>IFERROR(__xludf.DUMMYFUNCTION("arrayformula(VLOOKUP(to_Text(A32),to_Text(sheet2!$A$1:M1002),13,0))"),"CHORUS")</f>
        <v>CHORUS</v>
      </c>
      <c r="D32" s="70" t="str">
        <f>IFERROR(__xludf.DUMMYFUNCTION("arrayformula(VLOOKUP(to_Text(A32),to_Text(sheet2!$A$1:M1002),12,0))"),"DEV")</f>
        <v>DEV</v>
      </c>
      <c r="E32" s="71" t="s">
        <v>16</v>
      </c>
      <c r="F32" s="67" t="str">
        <f t="array" ref="F32">IFERROR(
  INDEX(ATTENDANCE_INPUT!D:D,
    MATCH(1,
      (ATTENDANCE_INPUT!A:A=A32) *
      (ATTENDANCE_INPUT!V:V=MAXIFS(ATTENDANCE_INPUT!V:V, ATTENDANCE_INPUT!A:A, A32)),
      0)),
  "")</f>
        <v>Yen Tran 2</v>
      </c>
      <c r="G32" s="72" t="str">
        <f t="array" ref="G32">IFERROR(
  INDEX(ATTENDANCE_INPUT!E:E,
    MATCH(1,
      (ATTENDANCE_INPUT!A:A=A32) *
      (ATTENDANCE_INPUT!V:V=MAXIFS(ATTENDANCE_INPUT!V:V, ATTENDANCE_INPUT!A:A, A32)),
      0)),
  "")</f>
        <v>Communication 1</v>
      </c>
      <c r="H32" s="73" t="str">
        <f t="array" ref="H32">IF(ISNA(MATCH(A32,sheet2!A:A,0)),"⏳ Chưa test",IFERROR(INDEX(LEVEL_HELPER!A:A,MATCH(INDEX(sheet2!N:N,MATCH(A32,sheet2!A:A,0)),LEVEL_HELPER!B:B,0)),"⏳ Chưa test"))</f>
        <v>Pre-Intermediate</v>
      </c>
      <c r="I32" s="73" t="str">
        <f t="array" ref="I32">IF(ISNA(MATCH(A32,sheet2!A:A,0)),H32,IF(INDEX(sheet2!O:O,MATCH(A32,sheet2!A:A,0))&gt;0,IFERROR(INDEX(LEVEL_HELPER!A:A,MATCH(INDEX(sheet2!O:O,MATCH(A32,sheet2!A:A,0)),LEVEL_HELPER!B:B,0)),H32),H32))</f>
        <v>Intermediate</v>
      </c>
      <c r="J32" s="73">
        <f>IFERROR(MAXIFS(ATTENDANCE_LOG!F:F, ATTENDANCE_LOG!C:C, A32&amp;"", ATTENDANCE_LOG!G:G, "Present"), "")</f>
        <v>45859.54167</v>
      </c>
      <c r="K32" s="74" t="str">
        <f t="shared" si="1"/>
        <v/>
      </c>
      <c r="L32" s="75" t="str">
        <f t="shared" si="2"/>
        <v/>
      </c>
      <c r="M32" s="59" t="s">
        <v>34</v>
      </c>
      <c r="N32" s="76" t="s">
        <v>37</v>
      </c>
      <c r="O32" s="59"/>
      <c r="P32" s="59"/>
      <c r="Q32" s="59"/>
      <c r="R32" s="59"/>
      <c r="S32" s="59"/>
      <c r="T32" s="59"/>
      <c r="U32" s="59"/>
      <c r="V32" s="59"/>
      <c r="W32" s="87"/>
      <c r="X32" s="87"/>
      <c r="Y32" s="87"/>
    </row>
    <row r="33" ht="15.75" customHeight="1">
      <c r="A33" s="67" t="s">
        <v>202</v>
      </c>
      <c r="B33" s="68" t="s">
        <v>203</v>
      </c>
      <c r="C33" s="69" t="str">
        <f>IFERROR(__xludf.DUMMYFUNCTION("arrayformula(VLOOKUP(to_Text(A33),to_Text(sheet2!$A$1:M1002),13,0))"),"TBU")</f>
        <v>TBU</v>
      </c>
      <c r="D33" s="70" t="str">
        <f>IFERROR(__xludf.DUMMYFUNCTION("arrayformula(VLOOKUP(to_Text(A33),to_Text(sheet2!$A$1:M1002),12,0))"),"DEV")</f>
        <v>DEV</v>
      </c>
      <c r="E33" s="71" t="s">
        <v>16</v>
      </c>
      <c r="F33" s="67" t="str">
        <f t="array" ref="F33">IFERROR(
  INDEX(ATTENDANCE_INPUT!D:D,
    MATCH(1,
      (ATTENDANCE_INPUT!A:A=A33) *
      (ATTENDANCE_INPUT!V:V=MAXIFS(ATTENDANCE_INPUT!V:V, ATTENDANCE_INPUT!A:A, A33)),
      0)),
  "")</f>
        <v>Qui Em</v>
      </c>
      <c r="G33" s="72" t="str">
        <f t="array" ref="G33">IFERROR(
  INDEX(ATTENDANCE_INPUT!E:E,
    MATCH(1,
      (ATTENDANCE_INPUT!A:A=A33) *
      (ATTENDANCE_INPUT!V:V=MAXIFS(ATTENDANCE_INPUT!V:V, ATTENDANCE_INPUT!A:A, A33)),
      0)),
  "")</f>
        <v>Communication 1</v>
      </c>
      <c r="H33" s="73" t="str">
        <f t="array" ref="H33">IF(ISNA(MATCH(A33,sheet2!A:A,0)),"⏳ Chưa test",IFERROR(INDEX(LEVEL_HELPER!A:A,MATCH(INDEX(sheet2!N:N,MATCH(A33,sheet2!A:A,0)),LEVEL_HELPER!B:B,0)),"⏳ Chưa test"))</f>
        <v>Intermediate</v>
      </c>
      <c r="I33" s="73" t="str">
        <f t="array" ref="I33">IF(ISNA(MATCH(A33,sheet2!A:A,0)),H33,IF(INDEX(sheet2!O:O,MATCH(A33,sheet2!A:A,0))&gt;0,IFERROR(INDEX(LEVEL_HELPER!A:A,MATCH(INDEX(sheet2!O:O,MATCH(A33,sheet2!A:A,0)),LEVEL_HELPER!B:B,0)),H33),H33))</f>
        <v>Intermediate</v>
      </c>
      <c r="J33" s="73">
        <f>IFERROR(MAXIFS(ATTENDANCE_LOG!F:F, ATTENDANCE_LOG!C:C, A33&amp;"", ATTENDANCE_LOG!G:G, "Present"), "")</f>
        <v>45807.41667</v>
      </c>
      <c r="K33" s="74" t="str">
        <f t="shared" si="1"/>
        <v/>
      </c>
      <c r="L33" s="75" t="str">
        <f t="shared" si="2"/>
        <v/>
      </c>
      <c r="M33" s="80" t="s">
        <v>36</v>
      </c>
      <c r="N33" s="77" t="s">
        <v>33</v>
      </c>
      <c r="O33" s="59"/>
      <c r="P33" s="59"/>
      <c r="Q33" s="59"/>
      <c r="R33" s="59"/>
      <c r="S33" s="59"/>
      <c r="T33" s="59"/>
      <c r="U33" s="59"/>
      <c r="V33" s="59"/>
      <c r="W33" s="87"/>
      <c r="X33" s="87"/>
      <c r="Y33" s="87"/>
    </row>
    <row r="34" ht="15.75" customHeight="1">
      <c r="A34" s="67" t="s">
        <v>204</v>
      </c>
      <c r="B34" s="68" t="s">
        <v>205</v>
      </c>
      <c r="C34" s="69" t="str">
        <f>IFERROR(__xludf.DUMMYFUNCTION("arrayformula(VLOOKUP(to_Text(A34),to_Text(sheet2!$A$1:M1002),13,0))"),"LBU")</f>
        <v>LBU</v>
      </c>
      <c r="D34" s="70" t="str">
        <f>IFERROR(__xludf.DUMMYFUNCTION("arrayformula(VLOOKUP(to_Text(A34),to_Text(sheet2!$A$1:M1002),12,0))"),"HR")</f>
        <v>HR</v>
      </c>
      <c r="E34" s="71" t="s">
        <v>16</v>
      </c>
      <c r="F34" s="67" t="str">
        <f t="array" ref="F34">IFERROR(
  INDEX(ATTENDANCE_INPUT!D:D,
    MATCH(1,
      (ATTENDANCE_INPUT!A:A=A34) *
      (ATTENDANCE_INPUT!V:V=MAXIFS(ATTENDANCE_INPUT!V:V, ATTENDANCE_INPUT!A:A, A34)),
      0)),
  "")</f>
        <v>Nhat Bui</v>
      </c>
      <c r="G34" s="72" t="str">
        <f t="array" ref="G34">IFERROR(
  INDEX(ATTENDANCE_INPUT!E:E,
    MATCH(1,
      (ATTENDANCE_INPUT!A:A=A34) *
      (ATTENDANCE_INPUT!V:V=MAXIFS(ATTENDANCE_INPUT!V:V, ATTENDANCE_INPUT!A:A, A34)),
      0)),
  "")</f>
        <v>Communication 1</v>
      </c>
      <c r="H34" s="73" t="str">
        <f t="array" ref="H34">IF(ISNA(MATCH(A34,sheet2!A:A,0)),"⏳ Chưa test",IFERROR(INDEX(LEVEL_HELPER!A:A,MATCH(INDEX(sheet2!N:N,MATCH(A34,sheet2!A:A,0)),LEVEL_HELPER!B:B,0)),"⏳ Chưa test"))</f>
        <v>⏳ Chưa test</v>
      </c>
      <c r="I34" s="73" t="str">
        <f t="array" ref="I34">IF(ISNA(MATCH(A34,sheet2!A:A,0)),H34,IF(INDEX(sheet2!O:O,MATCH(A34,sheet2!A:A,0))&gt;0,IFERROR(INDEX(LEVEL_HELPER!A:A,MATCH(INDEX(sheet2!O:O,MATCH(A34,sheet2!A:A,0)),LEVEL_HELPER!B:B,0)),H34),H34))</f>
        <v>⏳ Chưa test</v>
      </c>
      <c r="J34" s="73">
        <f>IFERROR(MAXIFS(ATTENDANCE_LOG!F:F, ATTENDANCE_LOG!C:C, A34&amp;"", ATTENDANCE_LOG!G:G, "Present"), "")</f>
        <v>45769.58333</v>
      </c>
      <c r="K34" s="74" t="str">
        <f t="shared" si="1"/>
        <v/>
      </c>
      <c r="L34" s="75" t="str">
        <f t="shared" si="2"/>
        <v/>
      </c>
      <c r="M34" s="80" t="s">
        <v>34</v>
      </c>
      <c r="N34" s="77" t="s">
        <v>35</v>
      </c>
      <c r="O34" s="59"/>
      <c r="P34" s="59"/>
      <c r="Q34" s="59"/>
      <c r="R34" s="59"/>
      <c r="S34" s="59"/>
      <c r="T34" s="59"/>
      <c r="U34" s="59"/>
      <c r="V34" s="59"/>
      <c r="W34" s="87"/>
      <c r="X34" s="87"/>
      <c r="Y34" s="87"/>
    </row>
    <row r="35" ht="15.75" customHeight="1">
      <c r="A35" s="81" t="s">
        <v>206</v>
      </c>
      <c r="B35" s="82" t="s">
        <v>207</v>
      </c>
      <c r="C35" s="69" t="str">
        <f>IFERROR(__xludf.DUMMYFUNCTION("arrayformula(VLOOKUP(to_Text(A35),to_Text(sheet2!$A$1:M1002),13,0))"),"POC")</f>
        <v>POC</v>
      </c>
      <c r="D35" s="70" t="str">
        <f>IFERROR(__xludf.DUMMYFUNCTION("arrayformula(VLOOKUP(to_Text(A35),to_Text(sheet2!$A$1:M1002),12,0))"),"GSD")</f>
        <v>GSD</v>
      </c>
      <c r="E35" s="68" t="str">
        <f t="shared" ref="E35:E36" si="4">if(L35="⚠ Possibly Dropped","Inactive","Active")</f>
        <v>Active</v>
      </c>
      <c r="F35" s="67" t="str">
        <f t="array" ref="F35">IFERROR(
  INDEX(ATTENDANCE_INPUT!D:D,
    MATCH(1,
      (ATTENDANCE_INPUT!A:A=A35) *
      (ATTENDANCE_INPUT!V:V=MAXIFS(ATTENDANCE_INPUT!V:V, ATTENDANCE_INPUT!A:A, A35)),
      0)),
  "")</f>
        <v>Vinh Tran</v>
      </c>
      <c r="G35" s="72" t="str">
        <f t="array" ref="G35">IFERROR(
  INDEX(ATTENDANCE_INPUT!E:E,
    MATCH(1,
      (ATTENDANCE_INPUT!A:A=A35) *
      (ATTENDANCE_INPUT!V:V=MAXIFS(ATTENDANCE_INPUT!V:V, ATTENDANCE_INPUT!A:A, A35)),
      0)),
  "")</f>
        <v>Communication 2</v>
      </c>
      <c r="H35" s="73" t="str">
        <f t="array" ref="H35">IF(ISNA(MATCH(A35,sheet2!A:A,0)),"⏳ Chưa test",IFERROR(INDEX(LEVEL_HELPER!A:A,MATCH(INDEX(sheet2!N:N,MATCH(A35,sheet2!A:A,0)),LEVEL_HELPER!B:B,0)),"⏳ Chưa test"))</f>
        <v>Beginner</v>
      </c>
      <c r="I35" s="73" t="str">
        <f t="array" ref="I35">IF(ISNA(MATCH(A35,sheet2!A:A,0)),H35,IF(INDEX(sheet2!O:O,MATCH(A35,sheet2!A:A,0))&gt;0,IFERROR(INDEX(LEVEL_HELPER!A:A,MATCH(INDEX(sheet2!O:O,MATCH(A35,sheet2!A:A,0)),LEVEL_HELPER!B:B,0)),H35),H35))</f>
        <v>Pre-Intermediate 1</v>
      </c>
      <c r="J35" s="83">
        <f>IFERROR(MAXIFS(ATTENDANCE_LOG!F:F, ATTENDANCE_LOG!C:C, A35&amp;"", ATTENDANCE_LOG!G:G, "Present"), "")</f>
        <v>46134.54167</v>
      </c>
      <c r="K35" s="84" t="str">
        <f t="shared" si="1"/>
        <v/>
      </c>
      <c r="L35" s="85" t="str">
        <f t="shared" si="2"/>
        <v/>
      </c>
      <c r="M35" s="78"/>
      <c r="N35" s="77"/>
      <c r="O35" s="88"/>
      <c r="P35" s="88"/>
      <c r="Q35" s="88"/>
      <c r="R35" s="88"/>
      <c r="S35" s="88"/>
      <c r="T35" s="88"/>
      <c r="U35" s="88"/>
      <c r="V35" s="88"/>
      <c r="W35" s="60"/>
      <c r="X35" s="60"/>
      <c r="Y35" s="60"/>
    </row>
    <row r="36" ht="15.75" customHeight="1">
      <c r="A36" s="67" t="s">
        <v>208</v>
      </c>
      <c r="B36" s="68" t="s">
        <v>209</v>
      </c>
      <c r="C36" s="69" t="str">
        <f>IFERROR(__xludf.DUMMYFUNCTION("arrayformula(VLOOKUP(to_Text(A36),to_Text(sheet2!$A$1:M1002),13,0))"),"MOC")</f>
        <v>MOC</v>
      </c>
      <c r="D36" s="70" t="str">
        <f>IFERROR(__xludf.DUMMYFUNCTION("arrayformula(VLOOKUP(to_Text(A36),to_Text(sheet2!$A$1:M1002),12,0))"),"DEV")</f>
        <v>DEV</v>
      </c>
      <c r="E36" s="68" t="str">
        <f t="shared" si="4"/>
        <v>Active</v>
      </c>
      <c r="F36" s="67" t="str">
        <f t="array" ref="F36">IFERROR(
  INDEX(ATTENDANCE_INPUT!D:D,
    MATCH(1,
      (ATTENDANCE_INPUT!A:A=A36) *
      (ATTENDANCE_INPUT!V:V=MAXIFS(ATTENDANCE_INPUT!V:V, ATTENDANCE_INPUT!A:A, A36)),
      0)),
  "")</f>
        <v>Van Nguyen</v>
      </c>
      <c r="G36" s="72" t="str">
        <f t="array" ref="G36">IFERROR(
  INDEX(ATTENDANCE_INPUT!E:E,
    MATCH(1,
      (ATTENDANCE_INPUT!A:A=A36) *
      (ATTENDANCE_INPUT!V:V=MAXIFS(ATTENDANCE_INPUT!V:V, ATTENDANCE_INPUT!A:A, A36)),
      0)),
  "")</f>
        <v>Business English</v>
      </c>
      <c r="H36" s="73" t="str">
        <f t="array" ref="H36">IF(ISNA(MATCH(A36,sheet2!A:A,0)),"⏳ Chưa test",IFERROR(INDEX(LEVEL_HELPER!A:A,MATCH(INDEX(sheet2!N:N,MATCH(A36,sheet2!A:A,0)),LEVEL_HELPER!B:B,0)),"⏳ Chưa test"))</f>
        <v>Beginner</v>
      </c>
      <c r="I36" s="73" t="str">
        <f t="array" ref="I36">IF(ISNA(MATCH(A36,sheet2!A:A,0)),H36,IF(INDEX(sheet2!O:O,MATCH(A36,sheet2!A:A,0))&gt;0,IFERROR(INDEX(LEVEL_HELPER!A:A,MATCH(INDEX(sheet2!O:O,MATCH(A36,sheet2!A:A,0)),LEVEL_HELPER!B:B,0)),H36),H36))</f>
        <v>Intermediate 1</v>
      </c>
      <c r="J36" s="73">
        <f>IFERROR(MAXIFS(ATTENDANCE_LOG!F:F, ATTENDANCE_LOG!C:C, A36&amp;"", ATTENDANCE_LOG!G:G, "Present"), "")</f>
        <v>46127.625</v>
      </c>
      <c r="K36" s="74" t="str">
        <f t="shared" si="1"/>
        <v/>
      </c>
      <c r="L36" s="75" t="str">
        <f t="shared" si="2"/>
        <v/>
      </c>
      <c r="M36" s="59"/>
      <c r="N36" s="77"/>
      <c r="O36" s="57"/>
      <c r="P36" s="57"/>
      <c r="Q36" s="57"/>
      <c r="R36" s="57"/>
      <c r="S36" s="57"/>
      <c r="T36" s="57"/>
      <c r="U36" s="57"/>
      <c r="V36" s="57"/>
      <c r="W36" s="60"/>
      <c r="X36" s="60"/>
      <c r="Y36" s="60"/>
    </row>
    <row r="37" ht="15.75" customHeight="1">
      <c r="A37" s="67" t="s">
        <v>210</v>
      </c>
      <c r="B37" s="68" t="s">
        <v>211</v>
      </c>
      <c r="C37" s="69" t="str">
        <f>IFERROR(__xludf.DUMMYFUNCTION("arrayformula(VLOOKUP(to_Text(A37),to_Text(sheet2!$A$1:M1002),13,0))"),"LBU")</f>
        <v>LBU</v>
      </c>
      <c r="D37" s="70" t="str">
        <f>IFERROR(__xludf.DUMMYFUNCTION("arrayformula(VLOOKUP(to_Text(A37),to_Text(sheet2!$A$1:M1002),12,0))"),"DEV")</f>
        <v>DEV</v>
      </c>
      <c r="E37" s="71" t="s">
        <v>16</v>
      </c>
      <c r="F37" s="67" t="str">
        <f t="array" ref="F37">IFERROR(
  INDEX(ATTENDANCE_INPUT!D:D,
    MATCH(1,
      (ATTENDANCE_INPUT!A:A=A37) *
      (ATTENDANCE_INPUT!V:V=MAXIFS(ATTENDANCE_INPUT!V:V, ATTENDANCE_INPUT!A:A, A37)),
      0)),
  "")</f>
        <v>My Tran</v>
      </c>
      <c r="G37" s="72" t="str">
        <f t="array" ref="G37">IFERROR(
  INDEX(ATTENDANCE_INPUT!E:E,
    MATCH(1,
      (ATTENDANCE_INPUT!A:A=A37) *
      (ATTENDANCE_INPUT!V:V=MAXIFS(ATTENDANCE_INPUT!V:V, ATTENDANCE_INPUT!A:A, A37)),
      0)),
  "")</f>
        <v>Communication 2</v>
      </c>
      <c r="H37" s="73" t="str">
        <f t="array" ref="H37">IF(ISNA(MATCH(A37,sheet2!A:A,0)),"⏳ Chưa test",IFERROR(INDEX(LEVEL_HELPER!A:A,MATCH(INDEX(sheet2!N:N,MATCH(A37,sheet2!A:A,0)),LEVEL_HELPER!B:B,0)),"⏳ Chưa test"))</f>
        <v>Pre-Intermediate</v>
      </c>
      <c r="I37" s="73" t="str">
        <f t="array" ref="I37">IF(ISNA(MATCH(A37,sheet2!A:A,0)),H37,IF(INDEX(sheet2!O:O,MATCH(A37,sheet2!A:A,0))&gt;0,IFERROR(INDEX(LEVEL_HELPER!A:A,MATCH(INDEX(sheet2!O:O,MATCH(A37,sheet2!A:A,0)),LEVEL_HELPER!B:B,0)),H37),H37))</f>
        <v>Pre-Intermediate 1</v>
      </c>
      <c r="J37" s="73">
        <f>IFERROR(MAXIFS(ATTENDANCE_LOG!F:F, ATTENDANCE_LOG!C:C, A37&amp;"", ATTENDANCE_LOG!G:G, "Present"), "")</f>
        <v>46013.58333</v>
      </c>
      <c r="K37" s="74" t="str">
        <f t="shared" si="1"/>
        <v/>
      </c>
      <c r="L37" s="75" t="str">
        <f t="shared" si="2"/>
        <v/>
      </c>
      <c r="M37" s="59" t="s">
        <v>36</v>
      </c>
      <c r="N37" s="77" t="s">
        <v>33</v>
      </c>
      <c r="O37" s="59"/>
      <c r="P37" s="59"/>
      <c r="Q37" s="59"/>
      <c r="R37" s="59"/>
      <c r="S37" s="59"/>
      <c r="T37" s="59"/>
      <c r="U37" s="59"/>
      <c r="V37" s="59"/>
      <c r="W37" s="87"/>
      <c r="X37" s="87"/>
      <c r="Y37" s="87"/>
    </row>
    <row r="38" ht="15.75" customHeight="1">
      <c r="A38" s="67" t="s">
        <v>212</v>
      </c>
      <c r="B38" s="68" t="s">
        <v>213</v>
      </c>
      <c r="C38" s="69" t="str">
        <f>IFERROR(__xludf.DUMMYFUNCTION("arrayformula(VLOOKUP(to_Text(A38),to_Text(sheet2!$A$1:M1002),13,0))"),"ONC")</f>
        <v>ONC</v>
      </c>
      <c r="D38" s="70" t="str">
        <f>IFERROR(__xludf.DUMMYFUNCTION("arrayformula(VLOOKUP(to_Text(A38),to_Text(sheet2!$A$1:M1002),12,0))"),"QC")</f>
        <v>QC</v>
      </c>
      <c r="E38" s="71" t="s">
        <v>16</v>
      </c>
      <c r="F38" s="67" t="str">
        <f t="array" ref="F38">IFERROR(
  INDEX(ATTENDANCE_INPUT!D:D,
    MATCH(1,
      (ATTENDANCE_INPUT!A:A=A38) *
      (ATTENDANCE_INPUT!V:V=MAXIFS(ATTENDANCE_INPUT!V:V, ATTENDANCE_INPUT!A:A, A38)),
      0)),
  "")</f>
        <v>Thao Vu 2</v>
      </c>
      <c r="G38" s="72" t="str">
        <f t="array" ref="G38">IFERROR(
  INDEX(ATTENDANCE_INPUT!E:E,
    MATCH(1,
      (ATTENDANCE_INPUT!A:A=A38) *
      (ATTENDANCE_INPUT!V:V=MAXIFS(ATTENDANCE_INPUT!V:V, ATTENDANCE_INPUT!A:A, A38)),
      0)),
  "")</f>
        <v>Communication 2</v>
      </c>
      <c r="H38" s="73" t="str">
        <f t="array" ref="H38">IF(ISNA(MATCH(A38,sheet2!A:A,0)),"⏳ Chưa test",IFERROR(INDEX(LEVEL_HELPER!A:A,MATCH(INDEX(sheet2!N:N,MATCH(A38,sheet2!A:A,0)),LEVEL_HELPER!B:B,0)),"⏳ Chưa test"))</f>
        <v>Beginner</v>
      </c>
      <c r="I38" s="73" t="str">
        <f t="array" ref="I38">IF(ISNA(MATCH(A38,sheet2!A:A,0)),H38,IF(INDEX(sheet2!O:O,MATCH(A38,sheet2!A:A,0))&gt;0,IFERROR(INDEX(LEVEL_HELPER!A:A,MATCH(INDEX(sheet2!O:O,MATCH(A38,sheet2!A:A,0)),LEVEL_HELPER!B:B,0)),H38),H38))</f>
        <v>Pre-Intermediate</v>
      </c>
      <c r="J38" s="73">
        <f>IFERROR(MAXIFS(ATTENDANCE_LOG!F:F, ATTENDANCE_LOG!C:C, A38&amp;"", ATTENDANCE_LOG!G:G, "Present"), "")</f>
        <v>45859.41667</v>
      </c>
      <c r="K38" s="74" t="str">
        <f t="shared" si="1"/>
        <v/>
      </c>
      <c r="L38" s="75" t="str">
        <f t="shared" si="2"/>
        <v/>
      </c>
      <c r="M38" s="80" t="s">
        <v>36</v>
      </c>
      <c r="N38" s="76" t="s">
        <v>42</v>
      </c>
      <c r="O38" s="59"/>
      <c r="P38" s="59"/>
      <c r="Q38" s="59"/>
      <c r="R38" s="59"/>
      <c r="S38" s="59"/>
      <c r="T38" s="59"/>
      <c r="U38" s="59"/>
      <c r="V38" s="59"/>
      <c r="W38" s="87"/>
      <c r="X38" s="87"/>
      <c r="Y38" s="87"/>
    </row>
    <row r="39" ht="15.75" customHeight="1">
      <c r="A39" s="67" t="s">
        <v>214</v>
      </c>
      <c r="B39" s="68" t="s">
        <v>215</v>
      </c>
      <c r="C39" s="69" t="str">
        <f>IFERROR(__xludf.DUMMYFUNCTION("arrayformula(VLOOKUP(to_Text(A39),to_Text(sheet2!$A$1:M1002),13,0))"),"CHORUS")</f>
        <v>CHORUS</v>
      </c>
      <c r="D39" s="70" t="str">
        <f>IFERROR(__xludf.DUMMYFUNCTION("arrayformula(VLOOKUP(to_Text(A39),to_Text(sheet2!$A$1:M1002),12,0))"),"DEV")</f>
        <v>DEV</v>
      </c>
      <c r="E39" s="71" t="s">
        <v>16</v>
      </c>
      <c r="F39" s="67" t="str">
        <f t="array" ref="F39">IFERROR(
  INDEX(ATTENDANCE_INPUT!D:D,
    MATCH(1,
      (ATTENDANCE_INPUT!A:A=A39) *
      (ATTENDANCE_INPUT!V:V=MAXIFS(ATTENDANCE_INPUT!V:V, ATTENDANCE_INPUT!A:A, A39)),
      0)),
  "")</f>
        <v>Yen Tran 2</v>
      </c>
      <c r="G39" s="72" t="str">
        <f t="array" ref="G39">IFERROR(
  INDEX(ATTENDANCE_INPUT!E:E,
    MATCH(1,
      (ATTENDANCE_INPUT!A:A=A39) *
      (ATTENDANCE_INPUT!V:V=MAXIFS(ATTENDANCE_INPUT!V:V, ATTENDANCE_INPUT!A:A, A39)),
      0)),
  "")</f>
        <v>Communication 1</v>
      </c>
      <c r="H39" s="73" t="str">
        <f t="array" ref="H39">IF(ISNA(MATCH(A39,sheet2!A:A,0)),"⏳ Chưa test",IFERROR(INDEX(LEVEL_HELPER!A:A,MATCH(INDEX(sheet2!N:N,MATCH(A39,sheet2!A:A,0)),LEVEL_HELPER!B:B,0)),"⏳ Chưa test"))</f>
        <v>Beginner</v>
      </c>
      <c r="I39" s="73" t="str">
        <f t="array" ref="I39">IF(ISNA(MATCH(A39,sheet2!A:A,0)),H39,IF(INDEX(sheet2!O:O,MATCH(A39,sheet2!A:A,0))&gt;0,IFERROR(INDEX(LEVEL_HELPER!A:A,MATCH(INDEX(sheet2!O:O,MATCH(A39,sheet2!A:A,0)),LEVEL_HELPER!B:B,0)),H39),H39))</f>
        <v>Beginner 2</v>
      </c>
      <c r="J39" s="73">
        <f>IFERROR(MAXIFS(ATTENDANCE_LOG!F:F, ATTENDANCE_LOG!C:C, A39&amp;"", ATTENDANCE_LOG!G:G, "Present"), "")</f>
        <v>45859.54167</v>
      </c>
      <c r="K39" s="74" t="str">
        <f t="shared" si="1"/>
        <v/>
      </c>
      <c r="L39" s="75" t="str">
        <f t="shared" si="2"/>
        <v/>
      </c>
      <c r="M39" s="59" t="s">
        <v>34</v>
      </c>
      <c r="N39" s="76" t="s">
        <v>37</v>
      </c>
      <c r="O39" s="59"/>
      <c r="P39" s="59"/>
      <c r="Q39" s="59"/>
      <c r="R39" s="59"/>
      <c r="S39" s="59"/>
      <c r="T39" s="59"/>
      <c r="U39" s="59"/>
      <c r="V39" s="59"/>
      <c r="W39" s="87"/>
      <c r="X39" s="87"/>
      <c r="Y39" s="87"/>
    </row>
    <row r="40" ht="15.75" customHeight="1">
      <c r="A40" s="67" t="s">
        <v>216</v>
      </c>
      <c r="B40" s="68" t="s">
        <v>217</v>
      </c>
      <c r="C40" s="69" t="str">
        <f>IFERROR(__xludf.DUMMYFUNCTION("arrayformula(VLOOKUP(to_Text(A40),to_Text(sheet2!$A$1:M1002),13,0))"),"CHORUS")</f>
        <v>CHORUS</v>
      </c>
      <c r="D40" s="70" t="str">
        <f>IFERROR(__xludf.DUMMYFUNCTION("arrayformula(VLOOKUP(to_Text(A40),to_Text(sheet2!$A$1:M1002),12,0))"),"DEV")</f>
        <v>DEV</v>
      </c>
      <c r="E40" s="71" t="s">
        <v>16</v>
      </c>
      <c r="F40" s="67" t="str">
        <f t="array" ref="F40">IFERROR(
  INDEX(ATTENDANCE_INPUT!D:D,
    MATCH(1,
      (ATTENDANCE_INPUT!A:A=A40) *
      (ATTENDANCE_INPUT!V:V=MAXIFS(ATTENDANCE_INPUT!V:V, ATTENDANCE_INPUT!A:A, A40)),
      0)),
  "")</f>
        <v>Huy Tran 1</v>
      </c>
      <c r="G40" s="72" t="str">
        <f t="array" ref="G40">IFERROR(
  INDEX(ATTENDANCE_INPUT!E:E,
    MATCH(1,
      (ATTENDANCE_INPUT!A:A=A40) *
      (ATTENDANCE_INPUT!V:V=MAXIFS(ATTENDANCE_INPUT!V:V, ATTENDANCE_INPUT!A:A, A40)),
      0)),
  "")</f>
        <v>Communication 2</v>
      </c>
      <c r="H40" s="73" t="str">
        <f t="array" ref="H40">IF(ISNA(MATCH(A40,sheet2!A:A,0)),"⏳ Chưa test",IFERROR(INDEX(LEVEL_HELPER!A:A,MATCH(INDEX(sheet2!N:N,MATCH(A40,sheet2!A:A,0)),LEVEL_HELPER!B:B,0)),"⏳ Chưa test"))</f>
        <v>Pre-Intermediate</v>
      </c>
      <c r="I40" s="73" t="str">
        <f t="array" ref="I40">IF(ISNA(MATCH(A40,sheet2!A:A,0)),H40,IF(INDEX(sheet2!O:O,MATCH(A40,sheet2!A:A,0))&gt;0,IFERROR(INDEX(LEVEL_HELPER!A:A,MATCH(INDEX(sheet2!O:O,MATCH(A40,sheet2!A:A,0)),LEVEL_HELPER!B:B,0)),H40),H40))</f>
        <v>Pre-Intermediate</v>
      </c>
      <c r="J40" s="73">
        <f>IFERROR(MAXIFS(ATTENDANCE_LOG!F:F, ATTENDANCE_LOG!C:C, A40&amp;"", ATTENDANCE_LOG!G:G, "Present"), "")</f>
        <v>45895.45833</v>
      </c>
      <c r="K40" s="74" t="str">
        <f t="shared" si="1"/>
        <v/>
      </c>
      <c r="L40" s="75" t="str">
        <f t="shared" si="2"/>
        <v/>
      </c>
      <c r="M40" s="59" t="s">
        <v>36</v>
      </c>
      <c r="N40" s="77" t="s">
        <v>33</v>
      </c>
      <c r="O40" s="59"/>
      <c r="P40" s="59"/>
      <c r="Q40" s="59"/>
      <c r="R40" s="89"/>
      <c r="S40" s="89"/>
      <c r="T40" s="89"/>
      <c r="U40" s="89"/>
      <c r="V40" s="59"/>
      <c r="W40" s="87"/>
      <c r="X40" s="87"/>
      <c r="Y40" s="87"/>
    </row>
    <row r="41" ht="15.75" customHeight="1">
      <c r="A41" s="67" t="s">
        <v>218</v>
      </c>
      <c r="B41" s="68" t="s">
        <v>219</v>
      </c>
      <c r="C41" s="69" t="str">
        <f>IFERROR(__xludf.DUMMYFUNCTION("arrayformula(VLOOKUP(to_Text(A41),to_Text(sheet2!$A$1:M1002),13,0))"),"ONC")</f>
        <v>ONC</v>
      </c>
      <c r="D41" s="70" t="str">
        <f>IFERROR(__xludf.DUMMYFUNCTION("arrayformula(VLOOKUP(to_Text(A41),to_Text(sheet2!$A$1:M1002),12,0))"),"DEV")</f>
        <v>DEV</v>
      </c>
      <c r="E41" s="71" t="s">
        <v>16</v>
      </c>
      <c r="F41" s="67" t="str">
        <f t="array" ref="F41">IFERROR(
  INDEX(ATTENDANCE_INPUT!D:D,
    MATCH(1,
      (ATTENDANCE_INPUT!A:A=A41) *
      (ATTENDANCE_INPUT!V:V=MAXIFS(ATTENDANCE_INPUT!V:V, ATTENDANCE_INPUT!A:A, A41)),
      0)),
  "")</f>
        <v>Nhat Phan 1</v>
      </c>
      <c r="G41" s="72" t="str">
        <f t="array" ref="G41">IFERROR(
  INDEX(ATTENDANCE_INPUT!E:E,
    MATCH(1,
      (ATTENDANCE_INPUT!A:A=A41) *
      (ATTENDANCE_INPUT!V:V=MAXIFS(ATTENDANCE_INPUT!V:V, ATTENDANCE_INPUT!A:A, A41)),
      0)),
  "")</f>
        <v>Communication 2</v>
      </c>
      <c r="H41" s="73" t="str">
        <f t="array" ref="H41">IF(ISNA(MATCH(A41,sheet2!A:A,0)),"⏳ Chưa test",IFERROR(INDEX(LEVEL_HELPER!A:A,MATCH(INDEX(sheet2!N:N,MATCH(A41,sheet2!A:A,0)),LEVEL_HELPER!B:B,0)),"⏳ Chưa test"))</f>
        <v>Beginner</v>
      </c>
      <c r="I41" s="73" t="str">
        <f t="array" ref="I41">IF(ISNA(MATCH(A41,sheet2!A:A,0)),H41,IF(INDEX(sheet2!O:O,MATCH(A41,sheet2!A:A,0))&gt;0,IFERROR(INDEX(LEVEL_HELPER!A:A,MATCH(INDEX(sheet2!O:O,MATCH(A41,sheet2!A:A,0)),LEVEL_HELPER!B:B,0)),H41),H41))</f>
        <v>Pre-Intermediate 2</v>
      </c>
      <c r="J41" s="73">
        <f>IFERROR(MAXIFS(ATTENDANCE_LOG!F:F, ATTENDANCE_LOG!C:C, A41&amp;"", ATTENDANCE_LOG!G:G, "Present"), "")</f>
        <v>46021.58333</v>
      </c>
      <c r="K41" s="74" t="str">
        <f t="shared" si="1"/>
        <v/>
      </c>
      <c r="L41" s="75" t="str">
        <f t="shared" si="2"/>
        <v/>
      </c>
      <c r="M41" s="59" t="s">
        <v>34</v>
      </c>
      <c r="N41" s="77" t="s">
        <v>33</v>
      </c>
      <c r="O41" s="59"/>
      <c r="P41" s="59"/>
      <c r="Q41" s="59"/>
      <c r="R41" s="59"/>
      <c r="S41" s="59"/>
      <c r="T41" s="59"/>
      <c r="U41" s="59"/>
      <c r="V41" s="59"/>
      <c r="W41" s="87"/>
      <c r="X41" s="87"/>
      <c r="Y41" s="87"/>
    </row>
    <row r="42" ht="15.75" customHeight="1">
      <c r="A42" s="67" t="s">
        <v>220</v>
      </c>
      <c r="B42" s="68" t="s">
        <v>221</v>
      </c>
      <c r="C42" s="69" t="str">
        <f>IFERROR(__xludf.DUMMYFUNCTION("arrayformula(VLOOKUP(to_Text(A42),to_Text(sheet2!$A$1:M1002),13,0))"),"ONC")</f>
        <v>ONC</v>
      </c>
      <c r="D42" s="70" t="str">
        <f>IFERROR(__xludf.DUMMYFUNCTION("arrayformula(VLOOKUP(to_Text(A42),to_Text(sheet2!$A$1:M1002),12,0))"),"DEV")</f>
        <v>DEV</v>
      </c>
      <c r="E42" s="68" t="s">
        <v>15</v>
      </c>
      <c r="F42" s="67" t="str">
        <f t="array" ref="F42">IFERROR(
  INDEX(ATTENDANCE_INPUT!D:D,
    MATCH(1,
      (ATTENDANCE_INPUT!A:A=A42) *
      (ATTENDANCE_INPUT!V:V=MAXIFS(ATTENDANCE_INPUT!V:V, ATTENDANCE_INPUT!A:A, A42)),
      0)),
  "")</f>
        <v>Lanh Le</v>
      </c>
      <c r="G42" s="72" t="str">
        <f t="array" ref="G42">IFERROR(
  INDEX(ATTENDANCE_INPUT!E:E,
    MATCH(1,
      (ATTENDANCE_INPUT!A:A=A42) *
      (ATTENDANCE_INPUT!V:V=MAXIFS(ATTENDANCE_INPUT!V:V, ATTENDANCE_INPUT!A:A, A42)),
      0)),
  "")</f>
        <v>Communication 3</v>
      </c>
      <c r="H42" s="73" t="str">
        <f t="array" ref="H42">IF(ISNA(MATCH(A42,sheet2!A:A,0)),"⏳ Chưa test",IFERROR(INDEX(LEVEL_HELPER!A:A,MATCH(INDEX(sheet2!N:N,MATCH(A42,sheet2!A:A,0)),LEVEL_HELPER!B:B,0)),"⏳ Chưa test"))</f>
        <v>Beginner</v>
      </c>
      <c r="I42" s="73" t="str">
        <f t="array" ref="I42">IF(ISNA(MATCH(A42,sheet2!A:A,0)),H42,IF(INDEX(sheet2!O:O,MATCH(A42,sheet2!A:A,0))&gt;0,IFERROR(INDEX(LEVEL_HELPER!A:A,MATCH(INDEX(sheet2!O:O,MATCH(A42,sheet2!A:A,0)),LEVEL_HELPER!B:B,0)),H42),H42))</f>
        <v>Pre-Intermediate 1</v>
      </c>
      <c r="J42" s="73">
        <f>IFERROR(MAXIFS(ATTENDANCE_LOG!F:F, ATTENDANCE_LOG!C:C, A42&amp;"", ATTENDANCE_LOG!G:G, "Present"), "")</f>
        <v>46113.45833</v>
      </c>
      <c r="K42" s="74">
        <f t="shared" si="1"/>
        <v>117</v>
      </c>
      <c r="L42" s="75" t="str">
        <f t="shared" si="2"/>
        <v>⚠ Possibly Dropped</v>
      </c>
      <c r="M42" s="59"/>
      <c r="N42" s="77"/>
      <c r="O42" s="59"/>
      <c r="P42" s="59"/>
      <c r="Q42" s="59"/>
      <c r="R42" s="59"/>
      <c r="S42" s="59"/>
      <c r="T42" s="59"/>
      <c r="U42" s="59"/>
      <c r="V42" s="59"/>
      <c r="W42" s="87"/>
      <c r="X42" s="87"/>
      <c r="Y42" s="87"/>
    </row>
    <row r="43" ht="15.75" customHeight="1">
      <c r="A43" s="67" t="s">
        <v>222</v>
      </c>
      <c r="B43" s="68" t="s">
        <v>223</v>
      </c>
      <c r="C43" s="69" t="str">
        <f>IFERROR(__xludf.DUMMYFUNCTION("arrayformula(VLOOKUP(to_Text(A43),to_Text(sheet2!$A$1:M1002),13,0))"),"BSG")</f>
        <v>BSG</v>
      </c>
      <c r="D43" s="70" t="str">
        <f>IFERROR(__xludf.DUMMYFUNCTION("arrayformula(VLOOKUP(to_Text(A43),to_Text(sheet2!$A$1:M1002),12,0))"),"HR")</f>
        <v>HR</v>
      </c>
      <c r="E43" s="71" t="s">
        <v>16</v>
      </c>
      <c r="F43" s="67" t="str">
        <f t="array" ref="F43">IFERROR(
  INDEX(ATTENDANCE_INPUT!D:D,
    MATCH(1,
      (ATTENDANCE_INPUT!A:A=A43) *
      (ATTENDANCE_INPUT!V:V=MAXIFS(ATTENDANCE_INPUT!V:V, ATTENDANCE_INPUT!A:A, A43)),
      0)),
  "")</f>
        <v>Nhat Bui</v>
      </c>
      <c r="G43" s="72" t="str">
        <f t="array" ref="G43">IFERROR(
  INDEX(ATTENDANCE_INPUT!E:E,
    MATCH(1,
      (ATTENDANCE_INPUT!A:A=A43) *
      (ATTENDANCE_INPUT!V:V=MAXIFS(ATTENDANCE_INPUT!V:V, ATTENDANCE_INPUT!A:A, A43)),
      0)),
  "")</f>
        <v>Communication 1</v>
      </c>
      <c r="H43" s="73" t="str">
        <f t="array" ref="H43">IF(ISNA(MATCH(A43,sheet2!A:A,0)),"⏳ Chưa test",IFERROR(INDEX(LEVEL_HELPER!A:A,MATCH(INDEX(sheet2!N:N,MATCH(A43,sheet2!A:A,0)),LEVEL_HELPER!B:B,0)),"⏳ Chưa test"))</f>
        <v>Beginner</v>
      </c>
      <c r="I43" s="73" t="str">
        <f t="array" ref="I43">IF(ISNA(MATCH(A43,sheet2!A:A,0)),H43,IF(INDEX(sheet2!O:O,MATCH(A43,sheet2!A:A,0))&gt;0,IFERROR(INDEX(LEVEL_HELPER!A:A,MATCH(INDEX(sheet2!O:O,MATCH(A43,sheet2!A:A,0)),LEVEL_HELPER!B:B,0)),H43),H43))</f>
        <v>Beginner</v>
      </c>
      <c r="J43" s="73">
        <f>IFERROR(MAXIFS(ATTENDANCE_LOG!F:F, ATTENDANCE_LOG!C:C, A43&amp;"", ATTENDANCE_LOG!G:G, "Present"), "")</f>
        <v>45769.58333</v>
      </c>
      <c r="K43" s="74" t="str">
        <f t="shared" si="1"/>
        <v/>
      </c>
      <c r="L43" s="75" t="str">
        <f t="shared" si="2"/>
        <v/>
      </c>
      <c r="M43" s="80" t="s">
        <v>34</v>
      </c>
      <c r="N43" s="77" t="s">
        <v>35</v>
      </c>
      <c r="O43" s="59"/>
      <c r="P43" s="59"/>
      <c r="Q43" s="59"/>
      <c r="R43" s="59"/>
      <c r="S43" s="59"/>
      <c r="T43" s="59"/>
      <c r="U43" s="59"/>
      <c r="V43" s="59"/>
      <c r="W43" s="87"/>
      <c r="X43" s="87"/>
      <c r="Y43" s="87"/>
    </row>
    <row r="44" ht="15.75" customHeight="1">
      <c r="A44" s="67" t="s">
        <v>224</v>
      </c>
      <c r="B44" s="68" t="s">
        <v>225</v>
      </c>
      <c r="C44" s="69" t="str">
        <f>IFERROR(__xludf.DUMMYFUNCTION("arrayformula(VLOOKUP(to_Text(A44),to_Text(sheet2!$A$1:M1002),13,0))"),"LBU")</f>
        <v>LBU</v>
      </c>
      <c r="D44" s="70" t="str">
        <f>IFERROR(__xludf.DUMMYFUNCTION("arrayformula(VLOOKUP(to_Text(A44),to_Text(sheet2!$A$1:M1002),12,0))"),"DEV")</f>
        <v>DEV</v>
      </c>
      <c r="E44" s="68" t="str">
        <f t="shared" ref="E44:E45" si="5">if(L44="⚠ Possibly Dropped","Inactive","Active")</f>
        <v>Active</v>
      </c>
      <c r="F44" s="67" t="str">
        <f t="array" ref="F44">IFERROR(
  INDEX(ATTENDANCE_INPUT!D:D,
    MATCH(1,
      (ATTENDANCE_INPUT!A:A=A44) *
      (ATTENDANCE_INPUT!V:V=MAXIFS(ATTENDANCE_INPUT!V:V, ATTENDANCE_INPUT!A:A, A44)),
      0)),
  "")</f>
        <v>Dung Hoang</v>
      </c>
      <c r="G44" s="72" t="str">
        <f t="array" ref="G44">IFERROR(
  INDEX(ATTENDANCE_INPUT!E:E,
    MATCH(1,
      (ATTENDANCE_INPUT!A:A=A44) *
      (ATTENDANCE_INPUT!V:V=MAXIFS(ATTENDANCE_INPUT!V:V, ATTENDANCE_INPUT!A:A, A44)),
      0)),
  "")</f>
        <v>Communication 2</v>
      </c>
      <c r="H44" s="73" t="str">
        <f t="array" ref="H44">IF(ISNA(MATCH(A44,sheet2!A:A,0)),"⏳ Chưa test",IFERROR(INDEX(LEVEL_HELPER!A:A,MATCH(INDEX(sheet2!N:N,MATCH(A44,sheet2!A:A,0)),LEVEL_HELPER!B:B,0)),"⏳ Chưa test"))</f>
        <v>Beginner</v>
      </c>
      <c r="I44" s="73" t="str">
        <f t="array" ref="I44">IF(ISNA(MATCH(A44,sheet2!A:A,0)),H44,IF(INDEX(sheet2!O:O,MATCH(A44,sheet2!A:A,0))&gt;0,IFERROR(INDEX(LEVEL_HELPER!A:A,MATCH(INDEX(sheet2!O:O,MATCH(A44,sheet2!A:A,0)),LEVEL_HELPER!B:B,0)),H44),H44))</f>
        <v>Pre-Intermediate 1</v>
      </c>
      <c r="J44" s="73">
        <f>IFERROR(MAXIFS(ATTENDANCE_LOG!F:F, ATTENDANCE_LOG!C:C, A44&amp;"", ATTENDANCE_LOG!G:G, "Present"), "")</f>
        <v>46135.41667</v>
      </c>
      <c r="K44" s="74" t="str">
        <f t="shared" si="1"/>
        <v/>
      </c>
      <c r="L44" s="75" t="str">
        <f t="shared" si="2"/>
        <v/>
      </c>
      <c r="M44" s="59"/>
      <c r="N44" s="77"/>
      <c r="O44" s="59"/>
      <c r="P44" s="59"/>
      <c r="Q44" s="59"/>
      <c r="R44" s="59">
        <v>213886.0</v>
      </c>
      <c r="S44" s="59" t="s">
        <v>178</v>
      </c>
      <c r="T44" s="59" t="s">
        <v>179</v>
      </c>
      <c r="U44" s="59" t="str">
        <f>IFERROR(__xludf.DUMMYFUNCTION("arrayformula(vlookup(to_text(R44),to_text($A$4:$B992),2,0))"),"#N/A")</f>
        <v>#N/A</v>
      </c>
      <c r="V44" s="59"/>
      <c r="W44" s="87"/>
      <c r="X44" s="87"/>
      <c r="Y44" s="87"/>
    </row>
    <row r="45" ht="15.75" customHeight="1">
      <c r="A45" s="67" t="s">
        <v>226</v>
      </c>
      <c r="B45" s="68" t="s">
        <v>227</v>
      </c>
      <c r="C45" s="69" t="str">
        <f>IFERROR(__xludf.DUMMYFUNCTION("arrayformula(VLOOKUP(to_Text(A45),to_Text(sheet2!$A$1:M1002),13,0))"),"ONC")</f>
        <v>ONC</v>
      </c>
      <c r="D45" s="70" t="str">
        <f>IFERROR(__xludf.DUMMYFUNCTION("arrayformula(VLOOKUP(to_Text(A45),to_Text(sheet2!$A$1:M1002),12,0))"),"DEV")</f>
        <v>DEV</v>
      </c>
      <c r="E45" s="68" t="str">
        <f t="shared" si="5"/>
        <v>Inactive</v>
      </c>
      <c r="F45" s="67" t="str">
        <f t="array" ref="F45">IFERROR(
  INDEX(ATTENDANCE_INPUT!D:D,
    MATCH(1,
      (ATTENDANCE_INPUT!A:A=A45) *
      (ATTENDANCE_INPUT!V:V=MAXIFS(ATTENDANCE_INPUT!V:V, ATTENDANCE_INPUT!A:A, A45)),
      0)),
  "")</f>
        <v>Cuong Nguyen</v>
      </c>
      <c r="G45" s="72" t="str">
        <f t="array" ref="G45">IFERROR(
  INDEX(ATTENDANCE_INPUT!E:E,
    MATCH(1,
      (ATTENDANCE_INPUT!A:A=A45) *
      (ATTENDANCE_INPUT!V:V=MAXIFS(ATTENDANCE_INPUT!V:V, ATTENDANCE_INPUT!A:A, A45)),
      0)),
  "")</f>
        <v>Communication 2</v>
      </c>
      <c r="H45" s="73" t="str">
        <f t="array" ref="H45">IF(ISNA(MATCH(A45,sheet2!A:A,0)),"⏳ Chưa test",IFERROR(INDEX(LEVEL_HELPER!A:A,MATCH(INDEX(sheet2!N:N,MATCH(A45,sheet2!A:A,0)),LEVEL_HELPER!B:B,0)),"⏳ Chưa test"))</f>
        <v>Beginner</v>
      </c>
      <c r="I45" s="73" t="str">
        <f t="array" ref="I45">IF(ISNA(MATCH(A45,sheet2!A:A,0)),H45,IF(INDEX(sheet2!O:O,MATCH(A45,sheet2!A:A,0))&gt;0,IFERROR(INDEX(LEVEL_HELPER!A:A,MATCH(INDEX(sheet2!O:O,MATCH(A45,sheet2!A:A,0)),LEVEL_HELPER!B:B,0)),H45),H45))</f>
        <v>Pre-Intermediate 2</v>
      </c>
      <c r="J45" s="73">
        <f>IFERROR(MAXIFS(ATTENDANCE_LOG!F:F, ATTENDANCE_LOG!C:C, A45&amp;"", ATTENDANCE_LOG!G:G, "Present"), "")</f>
        <v>46084.41667</v>
      </c>
      <c r="K45" s="74">
        <f t="shared" si="1"/>
        <v>59</v>
      </c>
      <c r="L45" s="75" t="str">
        <f t="shared" si="2"/>
        <v>⚠ Possibly Dropped</v>
      </c>
      <c r="M45" s="59" t="s">
        <v>34</v>
      </c>
      <c r="N45" s="76" t="s">
        <v>37</v>
      </c>
      <c r="O45" s="90"/>
      <c r="P45" s="59"/>
      <c r="Q45" s="59"/>
      <c r="R45" s="59">
        <v>247392.0</v>
      </c>
      <c r="S45" s="59" t="s">
        <v>146</v>
      </c>
      <c r="T45" s="59" t="s">
        <v>33</v>
      </c>
      <c r="U45" s="59" t="e">
        <v>#N/A</v>
      </c>
      <c r="V45" s="59"/>
      <c r="W45" s="87"/>
      <c r="X45" s="87"/>
      <c r="Y45" s="87"/>
    </row>
    <row r="46" ht="15.75" customHeight="1">
      <c r="A46" s="67" t="s">
        <v>228</v>
      </c>
      <c r="B46" s="68" t="s">
        <v>229</v>
      </c>
      <c r="C46" s="69" t="str">
        <f>IFERROR(__xludf.DUMMYFUNCTION("arrayformula(VLOOKUP(to_Text(A46),to_Text(sheet2!$A$1:M1002),13,0))"),"LBU")</f>
        <v>LBU</v>
      </c>
      <c r="D46" s="70" t="str">
        <f>IFERROR(__xludf.DUMMYFUNCTION("arrayformula(VLOOKUP(to_Text(A46),to_Text(sheet2!$A$1:M1002),12,0))"),"DEV")</f>
        <v>DEV</v>
      </c>
      <c r="E46" s="71" t="s">
        <v>16</v>
      </c>
      <c r="F46" s="67" t="str">
        <f t="array" ref="F46">IFERROR(
  INDEX(ATTENDANCE_INPUT!D:D,
    MATCH(1,
      (ATTENDANCE_INPUT!A:A=A46) *
      (ATTENDANCE_INPUT!V:V=MAXIFS(ATTENDANCE_INPUT!V:V, ATTENDANCE_INPUT!A:A, A46)),
      0)),
  "")</f>
        <v>My Tran</v>
      </c>
      <c r="G46" s="72" t="str">
        <f t="array" ref="G46">IFERROR(
  INDEX(ATTENDANCE_INPUT!E:E,
    MATCH(1,
      (ATTENDANCE_INPUT!A:A=A46) *
      (ATTENDANCE_INPUT!V:V=MAXIFS(ATTENDANCE_INPUT!V:V, ATTENDANCE_INPUT!A:A, A46)),
      0)),
  "")</f>
        <v>Communication 2</v>
      </c>
      <c r="H46" s="73" t="str">
        <f t="array" ref="H46">IF(ISNA(MATCH(A46,sheet2!A:A,0)),"⏳ Chưa test",IFERROR(INDEX(LEVEL_HELPER!A:A,MATCH(INDEX(sheet2!N:N,MATCH(A46,sheet2!A:A,0)),LEVEL_HELPER!B:B,0)),"⏳ Chưa test"))</f>
        <v>Beginner</v>
      </c>
      <c r="I46" s="73" t="str">
        <f t="array" ref="I46">IF(ISNA(MATCH(A46,sheet2!A:A,0)),H46,IF(INDEX(sheet2!O:O,MATCH(A46,sheet2!A:A,0))&gt;0,IFERROR(INDEX(LEVEL_HELPER!A:A,MATCH(INDEX(sheet2!O:O,MATCH(A46,sheet2!A:A,0)),LEVEL_HELPER!B:B,0)),H46),H46))</f>
        <v>Pre-Intermediate 1</v>
      </c>
      <c r="J46" s="73">
        <f>IFERROR(MAXIFS(ATTENDANCE_LOG!F:F, ATTENDANCE_LOG!C:C, A46&amp;"", ATTENDANCE_LOG!G:G, "Present"), "")</f>
        <v>46013.58333</v>
      </c>
      <c r="K46" s="74" t="str">
        <f t="shared" si="1"/>
        <v/>
      </c>
      <c r="L46" s="75" t="str">
        <f t="shared" si="2"/>
        <v/>
      </c>
      <c r="M46" s="59" t="s">
        <v>36</v>
      </c>
      <c r="N46" s="77" t="s">
        <v>33</v>
      </c>
      <c r="O46" s="59"/>
      <c r="P46" s="59"/>
      <c r="Q46" s="59"/>
      <c r="R46" s="59"/>
      <c r="S46" s="59"/>
      <c r="T46" s="59"/>
      <c r="U46" s="59"/>
      <c r="V46" s="59"/>
      <c r="W46" s="87"/>
      <c r="X46" s="87"/>
      <c r="Y46" s="87"/>
    </row>
    <row r="47" ht="15.75" customHeight="1">
      <c r="A47" s="67" t="s">
        <v>230</v>
      </c>
      <c r="B47" s="68" t="s">
        <v>231</v>
      </c>
      <c r="C47" s="69" t="str">
        <f>IFERROR(__xludf.DUMMYFUNCTION("arrayformula(VLOOKUP(to_Text(A47),to_Text(sheet2!$A$1:M1002),13,0))"),"CHORUS")</f>
        <v>CHORUS</v>
      </c>
      <c r="D47" s="70" t="str">
        <f>IFERROR(__xludf.DUMMYFUNCTION("arrayformula(VLOOKUP(to_Text(A47),to_Text(sheet2!$A$1:M1002),12,0))"),"DEV")</f>
        <v>DEV</v>
      </c>
      <c r="E47" s="71" t="s">
        <v>16</v>
      </c>
      <c r="F47" s="67" t="str">
        <f t="array" ref="F47">IFERROR(
  INDEX(ATTENDANCE_INPUT!D:D,
    MATCH(1,
      (ATTENDANCE_INPUT!A:A=A47) *
      (ATTENDANCE_INPUT!V:V=MAXIFS(ATTENDANCE_INPUT!V:V, ATTENDANCE_INPUT!A:A, A47)),
      0)),
  "")</f>
        <v>Nhat Nguyen</v>
      </c>
      <c r="G47" s="72" t="str">
        <f t="array" ref="G47">IFERROR(
  INDEX(ATTENDANCE_INPUT!E:E,
    MATCH(1,
      (ATTENDANCE_INPUT!A:A=A47) *
      (ATTENDANCE_INPUT!V:V=MAXIFS(ATTENDANCE_INPUT!V:V, ATTENDANCE_INPUT!A:A, A47)),
      0)),
  "")</f>
        <v>Communication 2</v>
      </c>
      <c r="H47" s="73" t="str">
        <f t="array" ref="H47">IF(ISNA(MATCH(A47,sheet2!A:A,0)),"⏳ Chưa test",IFERROR(INDEX(LEVEL_HELPER!A:A,MATCH(INDEX(sheet2!N:N,MATCH(A47,sheet2!A:A,0)),LEVEL_HELPER!B:B,0)),"⏳ Chưa test"))</f>
        <v>Beginner</v>
      </c>
      <c r="I47" s="73" t="str">
        <f t="array" ref="I47">IF(ISNA(MATCH(A47,sheet2!A:A,0)),H47,IF(INDEX(sheet2!O:O,MATCH(A47,sheet2!A:A,0))&gt;0,IFERROR(INDEX(LEVEL_HELPER!A:A,MATCH(INDEX(sheet2!O:O,MATCH(A47,sheet2!A:A,0)),LEVEL_HELPER!B:B,0)),H47),H47))</f>
        <v>Pre-Intermediate 1</v>
      </c>
      <c r="J47" s="73">
        <f>IFERROR(MAXIFS(ATTENDANCE_LOG!F:F, ATTENDANCE_LOG!C:C, A47&amp;"", ATTENDANCE_LOG!G:G, "Present"), "")</f>
        <v>46021.375</v>
      </c>
      <c r="K47" s="74" t="str">
        <f t="shared" si="1"/>
        <v/>
      </c>
      <c r="L47" s="75" t="str">
        <f t="shared" si="2"/>
        <v/>
      </c>
      <c r="M47" s="59" t="s">
        <v>36</v>
      </c>
      <c r="N47" s="77" t="s">
        <v>33</v>
      </c>
      <c r="O47" s="59"/>
      <c r="P47" s="59"/>
      <c r="Q47" s="59"/>
      <c r="R47" s="59"/>
      <c r="S47" s="59"/>
      <c r="T47" s="59"/>
      <c r="U47" s="59"/>
      <c r="V47" s="59"/>
      <c r="W47" s="87"/>
      <c r="X47" s="87"/>
      <c r="Y47" s="87"/>
    </row>
    <row r="48" ht="15.75" customHeight="1">
      <c r="A48" s="67" t="s">
        <v>232</v>
      </c>
      <c r="B48" s="68" t="s">
        <v>233</v>
      </c>
      <c r="C48" s="69" t="str">
        <f>IFERROR(__xludf.DUMMYFUNCTION("arrayformula(VLOOKUP(to_Text(A48),to_Text(sheet2!$A$1:M1002),13,0))"),"CHORUS")</f>
        <v>CHORUS</v>
      </c>
      <c r="D48" s="70" t="str">
        <f>IFERROR(__xludf.DUMMYFUNCTION("arrayformula(VLOOKUP(to_Text(A48),to_Text(sheet2!$A$1:M1002),12,0))"),"DEV")</f>
        <v>DEV</v>
      </c>
      <c r="E48" s="71" t="s">
        <v>16</v>
      </c>
      <c r="F48" s="67" t="str">
        <f t="array" ref="F48">IFERROR(
  INDEX(ATTENDANCE_INPUT!D:D,
    MATCH(1,
      (ATTENDANCE_INPUT!A:A=A48) *
      (ATTENDANCE_INPUT!V:V=MAXIFS(ATTENDANCE_INPUT!V:V, ATTENDANCE_INPUT!A:A, A48)),
      0)),
  "")</f>
        <v>Huy Tran 1</v>
      </c>
      <c r="G48" s="72" t="str">
        <f t="array" ref="G48">IFERROR(
  INDEX(ATTENDANCE_INPUT!E:E,
    MATCH(1,
      (ATTENDANCE_INPUT!A:A=A48) *
      (ATTENDANCE_INPUT!V:V=MAXIFS(ATTENDANCE_INPUT!V:V, ATTENDANCE_INPUT!A:A, A48)),
      0)),
  "")</f>
        <v>Communication 2</v>
      </c>
      <c r="H48" s="73" t="str">
        <f t="array" ref="H48">IF(ISNA(MATCH(A48,sheet2!A:A,0)),"⏳ Chưa test",IFERROR(INDEX(LEVEL_HELPER!A:A,MATCH(INDEX(sheet2!N:N,MATCH(A48,sheet2!A:A,0)),LEVEL_HELPER!B:B,0)),"⏳ Chưa test"))</f>
        <v>Beginner</v>
      </c>
      <c r="I48" s="73" t="str">
        <f t="array" ref="I48">IF(ISNA(MATCH(A48,sheet2!A:A,0)),H48,IF(INDEX(sheet2!O:O,MATCH(A48,sheet2!A:A,0))&gt;0,IFERROR(INDEX(LEVEL_HELPER!A:A,MATCH(INDEX(sheet2!O:O,MATCH(A48,sheet2!A:A,0)),LEVEL_HELPER!B:B,0)),H48),H48))</f>
        <v>Pre-Intermediate</v>
      </c>
      <c r="J48" s="73">
        <f>IFERROR(MAXIFS(ATTENDANCE_LOG!F:F, ATTENDANCE_LOG!C:C, A48&amp;"", ATTENDANCE_LOG!G:G, "Present"), "")</f>
        <v>45895.45833</v>
      </c>
      <c r="K48" s="74" t="str">
        <f t="shared" si="1"/>
        <v/>
      </c>
      <c r="L48" s="75" t="str">
        <f t="shared" si="2"/>
        <v/>
      </c>
      <c r="M48" s="59" t="s">
        <v>36</v>
      </c>
      <c r="N48" s="77" t="s">
        <v>33</v>
      </c>
      <c r="O48" s="59"/>
      <c r="P48" s="59"/>
      <c r="Q48" s="59"/>
      <c r="R48" s="89"/>
      <c r="S48" s="89"/>
      <c r="T48" s="89"/>
      <c r="U48" s="89"/>
      <c r="V48" s="59"/>
      <c r="W48" s="87"/>
      <c r="X48" s="87"/>
      <c r="Y48" s="87"/>
    </row>
    <row r="49" ht="15.75" customHeight="1">
      <c r="A49" s="67" t="s">
        <v>234</v>
      </c>
      <c r="B49" s="68" t="s">
        <v>235</v>
      </c>
      <c r="C49" s="69" t="str">
        <f>IFERROR(__xludf.DUMMYFUNCTION("arrayformula(VLOOKUP(to_Text(A49),to_Text(sheet2!$A$1:M1002),13,0))"),"ONC")</f>
        <v>ONC</v>
      </c>
      <c r="D49" s="70" t="str">
        <f>IFERROR(__xludf.DUMMYFUNCTION("arrayformula(VLOOKUP(to_Text(A49),to_Text(sheet2!$A$1:M1002),12,0))"),"DEV")</f>
        <v>DEV</v>
      </c>
      <c r="E49" s="68" t="s">
        <v>15</v>
      </c>
      <c r="F49" s="67" t="str">
        <f t="array" ref="F49">IFERROR(
  INDEX(ATTENDANCE_INPUT!D:D,
    MATCH(1,
      (ATTENDANCE_INPUT!A:A=A49) *
      (ATTENDANCE_INPUT!V:V=MAXIFS(ATTENDANCE_INPUT!V:V, ATTENDANCE_INPUT!A:A, A49)),
      0)),
  "")</f>
        <v>Lanh Le</v>
      </c>
      <c r="G49" s="72" t="str">
        <f t="array" ref="G49">IFERROR(
  INDEX(ATTENDANCE_INPUT!E:E,
    MATCH(1,
      (ATTENDANCE_INPUT!A:A=A49) *
      (ATTENDANCE_INPUT!V:V=MAXIFS(ATTENDANCE_INPUT!V:V, ATTENDANCE_INPUT!A:A, A49)),
      0)),
  "")</f>
        <v>Communication 3</v>
      </c>
      <c r="H49" s="73" t="str">
        <f t="array" ref="H49">IF(ISNA(MATCH(A49,sheet2!A:A,0)),"⏳ Chưa test",IFERROR(INDEX(LEVEL_HELPER!A:A,MATCH(INDEX(sheet2!N:N,MATCH(A49,sheet2!A:A,0)),LEVEL_HELPER!B:B,0)),"⏳ Chưa test"))</f>
        <v>Pre-Intermediate</v>
      </c>
      <c r="I49" s="73" t="str">
        <f t="array" ref="I49">IF(ISNA(MATCH(A49,sheet2!A:A,0)),H49,IF(INDEX(sheet2!O:O,MATCH(A49,sheet2!A:A,0))&gt;0,IFERROR(INDEX(LEVEL_HELPER!A:A,MATCH(INDEX(sheet2!O:O,MATCH(A49,sheet2!A:A,0)),LEVEL_HELPER!B:B,0)),H49),H49))</f>
        <v>Pre-Intermediate 2</v>
      </c>
      <c r="J49" s="73">
        <f>IFERROR(MAXIFS(ATTENDANCE_LOG!F:F, ATTENDANCE_LOG!C:C, A49&amp;"", ATTENDANCE_LOG!G:G, "Present"), "")</f>
        <v>46113.45833</v>
      </c>
      <c r="K49" s="74">
        <f t="shared" si="1"/>
        <v>117</v>
      </c>
      <c r="L49" s="75" t="str">
        <f t="shared" si="2"/>
        <v>⚠ Possibly Dropped</v>
      </c>
      <c r="M49" s="59"/>
      <c r="N49" s="77"/>
      <c r="O49" s="59" t="s">
        <v>236</v>
      </c>
      <c r="P49" s="59"/>
      <c r="Q49" s="59"/>
      <c r="R49" s="59"/>
      <c r="S49" s="59"/>
      <c r="T49" s="59"/>
      <c r="U49" s="59"/>
      <c r="V49" s="59"/>
      <c r="W49" s="87"/>
      <c r="X49" s="87"/>
      <c r="Y49" s="87"/>
    </row>
    <row r="50" ht="15.75" customHeight="1">
      <c r="A50" s="67" t="s">
        <v>237</v>
      </c>
      <c r="B50" s="68" t="s">
        <v>238</v>
      </c>
      <c r="C50" s="69" t="str">
        <f>IFERROR(__xludf.DUMMYFUNCTION("arrayformula(VLOOKUP(to_Text(A50),to_Text(sheet2!$A$1:M1002),13,0))"),"CHORUS")</f>
        <v>CHORUS</v>
      </c>
      <c r="D50" s="70" t="str">
        <f>IFERROR(__xludf.DUMMYFUNCTION("arrayformula(VLOOKUP(to_Text(A50),to_Text(sheet2!$A$1:M1002),12,0))"),"QC")</f>
        <v>QC</v>
      </c>
      <c r="E50" s="68" t="str">
        <f>if(L50="⚠ Possibly Dropped","Inactive","Active")</f>
        <v>Inactive</v>
      </c>
      <c r="F50" s="67" t="str">
        <f t="array" ref="F50">IFERROR(
  INDEX(ATTENDANCE_INPUT!D:D,
    MATCH(1,
      (ATTENDANCE_INPUT!A:A=A50) *
      (ATTENDANCE_INPUT!V:V=MAXIFS(ATTENDANCE_INPUT!V:V, ATTENDANCE_INPUT!A:A, A50)),
      0)),
  "")</f>
        <v>Huyen Vo</v>
      </c>
      <c r="G50" s="72" t="str">
        <f t="array" ref="G50">IFERROR(
  INDEX(ATTENDANCE_INPUT!E:E,
    MATCH(1,
      (ATTENDANCE_INPUT!A:A=A50) *
      (ATTENDANCE_INPUT!V:V=MAXIFS(ATTENDANCE_INPUT!V:V, ATTENDANCE_INPUT!A:A, A50)),
      0)),
  "")</f>
        <v>Communication 1</v>
      </c>
      <c r="H50" s="73" t="str">
        <f t="array" ref="H50">IF(ISNA(MATCH(A50,sheet2!A:A,0)),"⏳ Chưa test",IFERROR(INDEX(LEVEL_HELPER!A:A,MATCH(INDEX(sheet2!N:N,MATCH(A50,sheet2!A:A,0)),LEVEL_HELPER!B:B,0)),"⏳ Chưa test"))</f>
        <v>Pre-Intermediate</v>
      </c>
      <c r="I50" s="73" t="str">
        <f t="array" ref="I50">IF(ISNA(MATCH(A50,sheet2!A:A,0)),H50,IF(INDEX(sheet2!O:O,MATCH(A50,sheet2!A:A,0))&gt;0,IFERROR(INDEX(LEVEL_HELPER!A:A,MATCH(INDEX(sheet2!O:O,MATCH(A50,sheet2!A:A,0)),LEVEL_HELPER!B:B,0)),H50),H50))</f>
        <v>Pre-Intermediate</v>
      </c>
      <c r="J50" s="73">
        <f>IFERROR(MAXIFS(ATTENDANCE_LOG!F:F, ATTENDANCE_LOG!C:C, A50&amp;"", ATTENDANCE_LOG!G:G, "Present"), "")</f>
        <v>45756.375</v>
      </c>
      <c r="K50" s="74">
        <f t="shared" si="1"/>
        <v>239</v>
      </c>
      <c r="L50" s="75" t="str">
        <f t="shared" si="2"/>
        <v>⚠ Possibly Dropped</v>
      </c>
      <c r="M50" s="59" t="s">
        <v>34</v>
      </c>
      <c r="N50" s="77" t="s">
        <v>33</v>
      </c>
      <c r="O50" s="59"/>
      <c r="P50" s="59"/>
      <c r="Q50" s="59"/>
      <c r="R50" s="59"/>
      <c r="S50" s="59"/>
      <c r="T50" s="59"/>
      <c r="U50" s="59"/>
      <c r="V50" s="59"/>
      <c r="W50" s="87"/>
      <c r="X50" s="87"/>
      <c r="Y50" s="87"/>
    </row>
    <row r="51" ht="15.75" customHeight="1">
      <c r="A51" s="67" t="s">
        <v>239</v>
      </c>
      <c r="B51" s="68" t="s">
        <v>240</v>
      </c>
      <c r="C51" s="69" t="str">
        <f>IFERROR(__xludf.DUMMYFUNCTION("arrayformula(VLOOKUP(to_Text(A51),to_Text(sheet2!$A$1:M1002),13,0))"),"TBU")</f>
        <v>TBU</v>
      </c>
      <c r="D51" s="70" t="str">
        <f>IFERROR(__xludf.DUMMYFUNCTION("arrayformula(VLOOKUP(to_Text(A51),to_Text(sheet2!$A$1:M1002),12,0))"),"DEV")</f>
        <v>DEV</v>
      </c>
      <c r="E51" s="68" t="s">
        <v>15</v>
      </c>
      <c r="F51" s="67" t="str">
        <f t="array" ref="F51">IFERROR(
  INDEX(ATTENDANCE_INPUT!D:D,
    MATCH(1,
      (ATTENDANCE_INPUT!A:A=A51) *
      (ATTENDANCE_INPUT!V:V=MAXIFS(ATTENDANCE_INPUT!V:V, ATTENDANCE_INPUT!A:A, A51)),
      0)),
  "")</f>
        <v>Hung Nguyen</v>
      </c>
      <c r="G51" s="72" t="str">
        <f t="array" ref="G51">IFERROR(
  INDEX(ATTENDANCE_INPUT!E:E,
    MATCH(1,
      (ATTENDANCE_INPUT!A:A=A51) *
      (ATTENDANCE_INPUT!V:V=MAXIFS(ATTENDANCE_INPUT!V:V, ATTENDANCE_INPUT!A:A, A51)),
      0)),
  "")</f>
        <v>Communication 2</v>
      </c>
      <c r="H51" s="73" t="str">
        <f t="array" ref="H51">IF(ISNA(MATCH(A51,sheet2!A:A,0)),"⏳ Chưa test",IFERROR(INDEX(LEVEL_HELPER!A:A,MATCH(INDEX(sheet2!N:N,MATCH(A51,sheet2!A:A,0)),LEVEL_HELPER!B:B,0)),"⏳ Chưa test"))</f>
        <v>Beginner</v>
      </c>
      <c r="I51" s="73" t="str">
        <f t="array" ref="I51">IF(ISNA(MATCH(A51,sheet2!A:A,0)),H51,IF(INDEX(sheet2!O:O,MATCH(A51,sheet2!A:A,0))&gt;0,IFERROR(INDEX(LEVEL_HELPER!A:A,MATCH(INDEX(sheet2!O:O,MATCH(A51,sheet2!A:A,0)),LEVEL_HELPER!B:B,0)),H51),H51))</f>
        <v>Intermediate 1</v>
      </c>
      <c r="J51" s="73">
        <f>IFERROR(MAXIFS(ATTENDANCE_LOG!F:F, ATTENDANCE_LOG!C:C, A51&amp;"", ATTENDANCE_LOG!G:G, "Present"), "")</f>
        <v>46104.41667</v>
      </c>
      <c r="K51" s="74" t="str">
        <f t="shared" si="1"/>
        <v/>
      </c>
      <c r="L51" s="75" t="str">
        <f t="shared" si="2"/>
        <v/>
      </c>
      <c r="M51" s="59"/>
      <c r="N51" s="77"/>
      <c r="O51" s="59"/>
      <c r="P51" s="59"/>
      <c r="Q51" s="59"/>
      <c r="R51" s="59">
        <v>237152.0</v>
      </c>
      <c r="S51" s="59" t="s">
        <v>146</v>
      </c>
      <c r="T51" s="59" t="s">
        <v>33</v>
      </c>
      <c r="U51" s="59" t="str">
        <f>IFERROR(__xludf.DUMMYFUNCTION("arrayformula(vlookup(to_text(R51),to_text($A$4:$B992),2,0))"),"#N/A")</f>
        <v>#N/A</v>
      </c>
      <c r="V51" s="59"/>
      <c r="W51" s="87"/>
      <c r="X51" s="87"/>
      <c r="Y51" s="87"/>
    </row>
    <row r="52" ht="15.75" customHeight="1">
      <c r="A52" s="67" t="s">
        <v>241</v>
      </c>
      <c r="B52" s="68" t="s">
        <v>242</v>
      </c>
      <c r="C52" s="69" t="str">
        <f>IFERROR(__xludf.DUMMYFUNCTION("arrayformula(VLOOKUP(to_Text(A52),to_Text(sheet2!$A$1:M1002),13,0))"),"MOC")</f>
        <v>MOC</v>
      </c>
      <c r="D52" s="70" t="str">
        <f>IFERROR(__xludf.DUMMYFUNCTION("arrayformula(VLOOKUP(to_Text(A52),to_Text(sheet2!$A$1:M1002),12,0))"),"QC")</f>
        <v>QC</v>
      </c>
      <c r="E52" s="71" t="s">
        <v>16</v>
      </c>
      <c r="F52" s="67" t="str">
        <f t="array" ref="F52">IFERROR(
  INDEX(ATTENDANCE_INPUT!D:D,
    MATCH(1,
      (ATTENDANCE_INPUT!A:A=A52) *
      (ATTENDANCE_INPUT!V:V=MAXIFS(ATTENDANCE_INPUT!V:V, ATTENDANCE_INPUT!A:A, A52)),
      0)),
  "")</f>
        <v>Anh Ha</v>
      </c>
      <c r="G52" s="72" t="str">
        <f t="array" ref="G52">IFERROR(
  INDEX(ATTENDANCE_INPUT!E:E,
    MATCH(1,
      (ATTENDANCE_INPUT!A:A=A52) *
      (ATTENDANCE_INPUT!V:V=MAXIFS(ATTENDANCE_INPUT!V:V, ATTENDANCE_INPUT!A:A, A52)),
      0)),
  "")</f>
        <v>Communication 2</v>
      </c>
      <c r="H52" s="73" t="str">
        <f t="array" ref="H52">IF(ISNA(MATCH(A52,sheet2!A:A,0)),"⏳ Chưa test",IFERROR(INDEX(LEVEL_HELPER!A:A,MATCH(INDEX(sheet2!N:N,MATCH(A52,sheet2!A:A,0)),LEVEL_HELPER!B:B,0)),"⏳ Chưa test"))</f>
        <v>Beginner</v>
      </c>
      <c r="I52" s="73" t="str">
        <f t="array" ref="I52">IF(ISNA(MATCH(A52,sheet2!A:A,0)),H52,IF(INDEX(sheet2!O:O,MATCH(A52,sheet2!A:A,0))&gt;0,IFERROR(INDEX(LEVEL_HELPER!A:A,MATCH(INDEX(sheet2!O:O,MATCH(A52,sheet2!A:A,0)),LEVEL_HELPER!B:B,0)),H52),H52))</f>
        <v>Pre-Intermediate 1</v>
      </c>
      <c r="J52" s="73">
        <f>IFERROR(MAXIFS(ATTENDANCE_LOG!F:F, ATTENDANCE_LOG!C:C, A52&amp;"", ATTENDANCE_LOG!G:G, "Present"), "")</f>
        <v>46106.54167</v>
      </c>
      <c r="K52" s="74" t="str">
        <f t="shared" si="1"/>
        <v/>
      </c>
      <c r="L52" s="75" t="str">
        <f t="shared" si="2"/>
        <v/>
      </c>
      <c r="M52" s="59" t="s">
        <v>34</v>
      </c>
      <c r="N52" s="77" t="s">
        <v>37</v>
      </c>
      <c r="O52" s="59"/>
      <c r="P52" s="59"/>
      <c r="Q52" s="59"/>
      <c r="R52" s="59"/>
      <c r="S52" s="59"/>
      <c r="T52" s="59"/>
      <c r="U52" s="59"/>
      <c r="V52" s="59"/>
      <c r="W52" s="87"/>
      <c r="X52" s="87"/>
      <c r="Y52" s="87"/>
    </row>
    <row r="53" ht="15.75" customHeight="1">
      <c r="A53" s="67" t="s">
        <v>243</v>
      </c>
      <c r="B53" s="68" t="s">
        <v>244</v>
      </c>
      <c r="C53" s="69" t="str">
        <f>IFERROR(__xludf.DUMMYFUNCTION("arrayformula(VLOOKUP(to_Text(A53),to_Text(sheet2!$A$1:M1002),13,0))"),"MOC")</f>
        <v>MOC</v>
      </c>
      <c r="D53" s="70" t="str">
        <f>IFERROR(__xludf.DUMMYFUNCTION("arrayformula(VLOOKUP(to_Text(A53),to_Text(sheet2!$A$1:M1002),12,0))"),"DEV")</f>
        <v>DEV</v>
      </c>
      <c r="E53" s="71" t="s">
        <v>16</v>
      </c>
      <c r="F53" s="67" t="str">
        <f t="array" ref="F53">IFERROR(
  INDEX(ATTENDANCE_INPUT!D:D,
    MATCH(1,
      (ATTENDANCE_INPUT!A:A=A53) *
      (ATTENDANCE_INPUT!V:V=MAXIFS(ATTENDANCE_INPUT!V:V, ATTENDANCE_INPUT!A:A, A53)),
      0)),
  "")</f>
        <v>Anh Ha</v>
      </c>
      <c r="G53" s="72" t="str">
        <f t="array" ref="G53">IFERROR(
  INDEX(ATTENDANCE_INPUT!E:E,
    MATCH(1,
      (ATTENDANCE_INPUT!A:A=A53) *
      (ATTENDANCE_INPUT!V:V=MAXIFS(ATTENDANCE_INPUT!V:V, ATTENDANCE_INPUT!A:A, A53)),
      0)),
  "")</f>
        <v>Communication 2</v>
      </c>
      <c r="H53" s="73" t="str">
        <f t="array" ref="H53">IF(ISNA(MATCH(A53,sheet2!A:A,0)),"⏳ Chưa test",IFERROR(INDEX(LEVEL_HELPER!A:A,MATCH(INDEX(sheet2!N:N,MATCH(A53,sheet2!A:A,0)),LEVEL_HELPER!B:B,0)),"⏳ Chưa test"))</f>
        <v>Beginner</v>
      </c>
      <c r="I53" s="73" t="str">
        <f t="array" ref="I53">IF(ISNA(MATCH(A53,sheet2!A:A,0)),H53,IF(INDEX(sheet2!O:O,MATCH(A53,sheet2!A:A,0))&gt;0,IFERROR(INDEX(LEVEL_HELPER!A:A,MATCH(INDEX(sheet2!O:O,MATCH(A53,sheet2!A:A,0)),LEVEL_HELPER!B:B,0)),H53),H53))</f>
        <v>Pre-Intermediate 1</v>
      </c>
      <c r="J53" s="73">
        <f>IFERROR(MAXIFS(ATTENDANCE_LOG!F:F, ATTENDANCE_LOG!C:C, A53&amp;"", ATTENDANCE_LOG!G:G, "Present"), "")</f>
        <v>46106.54167</v>
      </c>
      <c r="K53" s="74" t="str">
        <f t="shared" si="1"/>
        <v/>
      </c>
      <c r="L53" s="75" t="str">
        <f t="shared" si="2"/>
        <v/>
      </c>
      <c r="M53" s="59" t="s">
        <v>34</v>
      </c>
      <c r="N53" s="77" t="s">
        <v>37</v>
      </c>
      <c r="O53" s="59"/>
      <c r="P53" s="59"/>
      <c r="Q53" s="59"/>
      <c r="R53" s="59"/>
      <c r="S53" s="59"/>
      <c r="T53" s="59"/>
      <c r="U53" s="59"/>
      <c r="V53" s="59"/>
      <c r="W53" s="87"/>
      <c r="X53" s="87"/>
      <c r="Y53" s="87"/>
    </row>
    <row r="54" ht="15.75" customHeight="1">
      <c r="A54" s="67" t="s">
        <v>245</v>
      </c>
      <c r="B54" s="68" t="s">
        <v>246</v>
      </c>
      <c r="C54" s="69" t="str">
        <f>IFERROR(__xludf.DUMMYFUNCTION("arrayformula(VLOOKUP(to_Text(A54),to_Text(sheet2!$A$1:M1002),13,0))"),"ONC")</f>
        <v>ONC</v>
      </c>
      <c r="D54" s="70" t="str">
        <f>IFERROR(__xludf.DUMMYFUNCTION("arrayformula(VLOOKUP(to_Text(A54),to_Text(sheet2!$A$1:M1002),12,0))"),"DEV")</f>
        <v>DEV</v>
      </c>
      <c r="E54" s="68" t="str">
        <f t="shared" ref="E54:E59" si="6">if(L54="⚠ Possibly Dropped","Inactive","Active")</f>
        <v>Inactive</v>
      </c>
      <c r="F54" s="67" t="str">
        <f t="array" ref="F54">IFERROR(
  INDEX(ATTENDANCE_INPUT!D:D,
    MATCH(1,
      (ATTENDANCE_INPUT!A:A=A54) *
      (ATTENDANCE_INPUT!V:V=MAXIFS(ATTENDANCE_INPUT!V:V, ATTENDANCE_INPUT!A:A, A54)),
      0)),
  "")</f>
        <v>Cuong Nguyen</v>
      </c>
      <c r="G54" s="72" t="str">
        <f t="array" ref="G54">IFERROR(
  INDEX(ATTENDANCE_INPUT!E:E,
    MATCH(1,
      (ATTENDANCE_INPUT!A:A=A54) *
      (ATTENDANCE_INPUT!V:V=MAXIFS(ATTENDANCE_INPUT!V:V, ATTENDANCE_INPUT!A:A, A54)),
      0)),
  "")</f>
        <v>Communication 2</v>
      </c>
      <c r="H54" s="73" t="str">
        <f t="array" ref="H54">IF(ISNA(MATCH(A54,sheet2!A:A,0)),"⏳ Chưa test",IFERROR(INDEX(LEVEL_HELPER!A:A,MATCH(INDEX(sheet2!N:N,MATCH(A54,sheet2!A:A,0)),LEVEL_HELPER!B:B,0)),"⏳ Chưa test"))</f>
        <v>Beginner</v>
      </c>
      <c r="I54" s="73" t="str">
        <f t="array" ref="I54">IF(ISNA(MATCH(A54,sheet2!A:A,0)),H54,IF(INDEX(sheet2!O:O,MATCH(A54,sheet2!A:A,0))&gt;0,IFERROR(INDEX(LEVEL_HELPER!A:A,MATCH(INDEX(sheet2!O:O,MATCH(A54,sheet2!A:A,0)),LEVEL_HELPER!B:B,0)),H54),H54))</f>
        <v>Pre-Intermediate 1</v>
      </c>
      <c r="J54" s="73">
        <f>IFERROR(MAXIFS(ATTENDANCE_LOG!F:F, ATTENDANCE_LOG!C:C, A54&amp;"", ATTENDANCE_LOG!G:G, "Present"), "")</f>
        <v>46084.41667</v>
      </c>
      <c r="K54" s="74">
        <f t="shared" si="1"/>
        <v>59</v>
      </c>
      <c r="L54" s="75" t="str">
        <f t="shared" si="2"/>
        <v>⚠ Possibly Dropped</v>
      </c>
      <c r="M54" s="59" t="s">
        <v>34</v>
      </c>
      <c r="N54" s="76" t="s">
        <v>37</v>
      </c>
      <c r="O54" s="59"/>
      <c r="P54" s="59"/>
      <c r="Q54" s="59"/>
      <c r="R54" s="59">
        <v>247271.0</v>
      </c>
      <c r="S54" s="59" t="s">
        <v>146</v>
      </c>
      <c r="T54" s="59" t="s">
        <v>33</v>
      </c>
      <c r="U54" s="59" t="e">
        <v>#N/A</v>
      </c>
      <c r="V54" s="59"/>
      <c r="W54" s="87"/>
      <c r="X54" s="87"/>
      <c r="Y54" s="87"/>
    </row>
    <row r="55" ht="15.75" customHeight="1">
      <c r="A55" s="67" t="s">
        <v>247</v>
      </c>
      <c r="B55" s="68" t="s">
        <v>248</v>
      </c>
      <c r="C55" s="69" t="str">
        <f>IFERROR(__xludf.DUMMYFUNCTION("arrayformula(VLOOKUP(to_Text(A55),to_Text(sheet2!$A$1:M1002),13,0))"),"LBU")</f>
        <v>LBU</v>
      </c>
      <c r="D55" s="70" t="str">
        <f>IFERROR(__xludf.DUMMYFUNCTION("arrayformula(VLOOKUP(to_Text(A55),to_Text(sheet2!$A$1:M1002),12,0))"),"GSD")</f>
        <v>GSD</v>
      </c>
      <c r="E55" s="68" t="str">
        <f t="shared" si="6"/>
        <v>Inactive</v>
      </c>
      <c r="F55" s="67" t="str">
        <f t="array" ref="F55">IFERROR(
  INDEX(ATTENDANCE_INPUT!D:D,
    MATCH(1,
      (ATTENDANCE_INPUT!A:A=A55) *
      (ATTENDANCE_INPUT!V:V=MAXIFS(ATTENDANCE_INPUT!V:V, ATTENDANCE_INPUT!A:A, A55)),
      0)),
  "")</f>
        <v>Huong Le</v>
      </c>
      <c r="G55" s="72" t="str">
        <f t="array" ref="G55">IFERROR(
  INDEX(ATTENDANCE_INPUT!E:E,
    MATCH(1,
      (ATTENDANCE_INPUT!A:A=A55) *
      (ATTENDANCE_INPUT!V:V=MAXIFS(ATTENDANCE_INPUT!V:V, ATTENDANCE_INPUT!A:A, A55)),
      0)),
  "")</f>
        <v>Communication 2</v>
      </c>
      <c r="H55" s="73" t="str">
        <f t="array" ref="H55">IF(ISNA(MATCH(A55,sheet2!A:A,0)),"⏳ Chưa test",IFERROR(INDEX(LEVEL_HELPER!A:A,MATCH(INDEX(sheet2!N:N,MATCH(A55,sheet2!A:A,0)),LEVEL_HELPER!B:B,0)),"⏳ Chưa test"))</f>
        <v>Beginner</v>
      </c>
      <c r="I55" s="73" t="str">
        <f t="array" ref="I55">IF(ISNA(MATCH(A55,sheet2!A:A,0)),H55,IF(INDEX(sheet2!O:O,MATCH(A55,sheet2!A:A,0))&gt;0,IFERROR(INDEX(LEVEL_HELPER!A:A,MATCH(INDEX(sheet2!O:O,MATCH(A55,sheet2!A:A,0)),LEVEL_HELPER!B:B,0)),H55),H55))</f>
        <v>Beginner 2</v>
      </c>
      <c r="J55" s="73">
        <f>IFERROR(MAXIFS(ATTENDANCE_LOG!F:F, ATTENDANCE_LOG!C:C, A55&amp;"", ATTENDANCE_LOG!G:G, "Present"), "")</f>
        <v>46115.54167</v>
      </c>
      <c r="K55" s="74">
        <f t="shared" si="1"/>
        <v>58</v>
      </c>
      <c r="L55" s="75" t="str">
        <f t="shared" si="2"/>
        <v>⚠ Possibly Dropped</v>
      </c>
      <c r="M55" s="59"/>
      <c r="N55" s="77"/>
      <c r="O55" s="59"/>
      <c r="P55" s="59"/>
      <c r="Q55" s="59"/>
      <c r="R55" s="89"/>
      <c r="S55" s="89"/>
      <c r="T55" s="89"/>
      <c r="U55" s="89"/>
      <c r="V55" s="59"/>
      <c r="W55" s="87"/>
      <c r="X55" s="87"/>
      <c r="Y55" s="87"/>
    </row>
    <row r="56" ht="15.75" customHeight="1">
      <c r="A56" s="67" t="s">
        <v>249</v>
      </c>
      <c r="B56" s="68" t="s">
        <v>250</v>
      </c>
      <c r="C56" s="69" t="str">
        <f>IFERROR(__xludf.DUMMYFUNCTION("arrayformula(VLOOKUP(to_Text(A56),to_Text(sheet2!$A$1:M1002),13,0))"),"CHORUS")</f>
        <v>CHORUS</v>
      </c>
      <c r="D56" s="70" t="str">
        <f>IFERROR(__xludf.DUMMYFUNCTION("arrayformula(VLOOKUP(to_Text(A56),to_Text(sheet2!$A$1:M1002),12,0))"),"DEV")</f>
        <v>DEV</v>
      </c>
      <c r="E56" s="68" t="str">
        <f t="shared" si="6"/>
        <v>Inactive</v>
      </c>
      <c r="F56" s="67" t="str">
        <f t="array" ref="F56">IFERROR(
  INDEX(ATTENDANCE_INPUT!D:D,
    MATCH(1,
      (ATTENDANCE_INPUT!A:A=A56) *
      (ATTENDANCE_INPUT!V:V=MAXIFS(ATTENDANCE_INPUT!V:V, ATTENDANCE_INPUT!A:A, A56)),
      0)),
  "")</f>
        <v>Huyen Vo</v>
      </c>
      <c r="G56" s="72" t="str">
        <f t="array" ref="G56">IFERROR(
  INDEX(ATTENDANCE_INPUT!E:E,
    MATCH(1,
      (ATTENDANCE_INPUT!A:A=A56) *
      (ATTENDANCE_INPUT!V:V=MAXIFS(ATTENDANCE_INPUT!V:V, ATTENDANCE_INPUT!A:A, A56)),
      0)),
  "")</f>
        <v>Communication 1</v>
      </c>
      <c r="H56" s="73" t="str">
        <f t="array" ref="H56">IF(ISNA(MATCH(A56,sheet2!A:A,0)),"⏳ Chưa test",IFERROR(INDEX(LEVEL_HELPER!A:A,MATCH(INDEX(sheet2!N:N,MATCH(A56,sheet2!A:A,0)),LEVEL_HELPER!B:B,0)),"⏳ Chưa test"))</f>
        <v>Beginner</v>
      </c>
      <c r="I56" s="73" t="str">
        <f t="array" ref="I56">IF(ISNA(MATCH(A56,sheet2!A:A,0)),H56,IF(INDEX(sheet2!O:O,MATCH(A56,sheet2!A:A,0))&gt;0,IFERROR(INDEX(LEVEL_HELPER!A:A,MATCH(INDEX(sheet2!O:O,MATCH(A56,sheet2!A:A,0)),LEVEL_HELPER!B:B,0)),H56),H56))</f>
        <v>Beginner</v>
      </c>
      <c r="J56" s="73">
        <f>IFERROR(MAXIFS(ATTENDANCE_LOG!F:F, ATTENDANCE_LOG!C:C, A56&amp;"", ATTENDANCE_LOG!G:G, "Present"), "")</f>
        <v>45784.375</v>
      </c>
      <c r="K56" s="74">
        <f t="shared" si="1"/>
        <v>300</v>
      </c>
      <c r="L56" s="75" t="str">
        <f t="shared" si="2"/>
        <v>⚠ Possibly Dropped</v>
      </c>
      <c r="M56" s="59" t="s">
        <v>34</v>
      </c>
      <c r="N56" s="77" t="s">
        <v>33</v>
      </c>
      <c r="O56" s="59"/>
      <c r="P56" s="59"/>
      <c r="Q56" s="59"/>
      <c r="R56" s="59"/>
      <c r="S56" s="59"/>
      <c r="T56" s="59"/>
      <c r="U56" s="59"/>
      <c r="V56" s="59"/>
      <c r="W56" s="87"/>
      <c r="X56" s="87"/>
      <c r="Y56" s="87"/>
    </row>
    <row r="57" ht="15.75" customHeight="1">
      <c r="A57" s="67" t="s">
        <v>251</v>
      </c>
      <c r="B57" s="68" t="s">
        <v>252</v>
      </c>
      <c r="C57" s="69" t="str">
        <f>IFERROR(__xludf.DUMMYFUNCTION("arrayformula(VLOOKUP(to_Text(A57),to_Text(sheet2!$A$1:M1002),13,0))"),"POC")</f>
        <v>POC</v>
      </c>
      <c r="D57" s="70" t="str">
        <f>IFERROR(__xludf.DUMMYFUNCTION("arrayformula(VLOOKUP(to_Text(A57),to_Text(sheet2!$A$1:M1002),12,0))"),"GSD")</f>
        <v>GSD</v>
      </c>
      <c r="E57" s="68" t="str">
        <f t="shared" si="6"/>
        <v>Inactive</v>
      </c>
      <c r="F57" s="67" t="str">
        <f t="array" ref="F57">IFERROR(
  INDEX(ATTENDANCE_INPUT!D:D,
    MATCH(1,
      (ATTENDANCE_INPUT!A:A=A57) *
      (ATTENDANCE_INPUT!V:V=MAXIFS(ATTENDANCE_INPUT!V:V, ATTENDANCE_INPUT!A:A, A57)),
      0)),
  "")</f>
        <v>Phu Nguyen</v>
      </c>
      <c r="G57" s="72" t="str">
        <f t="array" ref="G57">IFERROR(
  INDEX(ATTENDANCE_INPUT!E:E,
    MATCH(1,
      (ATTENDANCE_INPUT!A:A=A57) *
      (ATTENDANCE_INPUT!V:V=MAXIFS(ATTENDANCE_INPUT!V:V, ATTENDANCE_INPUT!A:A, A57)),
      0)),
  "")</f>
        <v>Communication 1</v>
      </c>
      <c r="H57" s="73" t="str">
        <f t="array" ref="H57">IF(ISNA(MATCH(A57,sheet2!A:A,0)),"⏳ Chưa test",IFERROR(INDEX(LEVEL_HELPER!A:A,MATCH(INDEX(sheet2!N:N,MATCH(A57,sheet2!A:A,0)),LEVEL_HELPER!B:B,0)),"⏳ Chưa test"))</f>
        <v>Beginner</v>
      </c>
      <c r="I57" s="73" t="str">
        <f t="array" ref="I57">IF(ISNA(MATCH(A57,sheet2!A:A,0)),H57,IF(INDEX(sheet2!O:O,MATCH(A57,sheet2!A:A,0))&gt;0,IFERROR(INDEX(LEVEL_HELPER!A:A,MATCH(INDEX(sheet2!O:O,MATCH(A57,sheet2!A:A,0)),LEVEL_HELPER!B:B,0)),H57),H57))</f>
        <v>Beginner</v>
      </c>
      <c r="J57" s="73">
        <f>IFERROR(MAXIFS(ATTENDANCE_LOG!F:F, ATTENDANCE_LOG!C:C, A57&amp;"", ATTENDANCE_LOG!G:G, "Present"), "")</f>
        <v>45937.54167</v>
      </c>
      <c r="K57" s="74">
        <f t="shared" si="1"/>
        <v>295</v>
      </c>
      <c r="L57" s="75" t="str">
        <f t="shared" si="2"/>
        <v>⚠ Possibly Dropped</v>
      </c>
      <c r="M57" s="59" t="s">
        <v>36</v>
      </c>
      <c r="N57" s="77" t="s">
        <v>33</v>
      </c>
      <c r="O57" s="59"/>
      <c r="P57" s="59"/>
      <c r="Q57" s="59"/>
      <c r="R57" s="59"/>
      <c r="S57" s="59"/>
      <c r="T57" s="59"/>
      <c r="U57" s="59"/>
      <c r="V57" s="59"/>
      <c r="W57" s="87"/>
      <c r="X57" s="87"/>
      <c r="Y57" s="87"/>
    </row>
    <row r="58" ht="15.75" customHeight="1">
      <c r="A58" s="67" t="s">
        <v>253</v>
      </c>
      <c r="B58" s="68" t="s">
        <v>254</v>
      </c>
      <c r="C58" s="69" t="str">
        <f>IFERROR(__xludf.DUMMYFUNCTION("arrayformula(VLOOKUP(to_Text(A58),to_Text(sheet2!$A$1:M1002),13,0))"),"MOC")</f>
        <v>MOC</v>
      </c>
      <c r="D58" s="70" t="str">
        <f>IFERROR(__xludf.DUMMYFUNCTION("arrayformula(VLOOKUP(to_Text(A58),to_Text(sheet2!$A$1:M1002),12,0))"),"GSD")</f>
        <v>GSD</v>
      </c>
      <c r="E58" s="68" t="str">
        <f t="shared" si="6"/>
        <v>Active</v>
      </c>
      <c r="F58" s="67" t="str">
        <f t="array" ref="F58">IFERROR(
  INDEX(ATTENDANCE_INPUT!D:D,
    MATCH(1,
      (ATTENDANCE_INPUT!A:A=A58) *
      (ATTENDANCE_INPUT!V:V=MAXIFS(ATTENDANCE_INPUT!V:V, ATTENDANCE_INPUT!A:A, A58)),
      0)),
  "")</f>
        <v>Thuong Tran</v>
      </c>
      <c r="G58" s="72" t="str">
        <f t="array" ref="G58">IFERROR(
  INDEX(ATTENDANCE_INPUT!E:E,
    MATCH(1,
      (ATTENDANCE_INPUT!A:A=A58) *
      (ATTENDANCE_INPUT!V:V=MAXIFS(ATTENDANCE_INPUT!V:V, ATTENDANCE_INPUT!A:A, A58)),
      0)),
  "")</f>
        <v>Business English</v>
      </c>
      <c r="H58" s="73" t="str">
        <f t="array" ref="H58">IF(ISNA(MATCH(A58,sheet2!A:A,0)),"⏳ Chưa test",IFERROR(INDEX(LEVEL_HELPER!A:A,MATCH(INDEX(sheet2!N:N,MATCH(A58,sheet2!A:A,0)),LEVEL_HELPER!B:B,0)),"⏳ Chưa test"))</f>
        <v>Pre-Intermediate</v>
      </c>
      <c r="I58" s="73" t="str">
        <f t="array" ref="I58">IF(ISNA(MATCH(A58,sheet2!A:A,0)),H58,IF(INDEX(sheet2!O:O,MATCH(A58,sheet2!A:A,0))&gt;0,IFERROR(INDEX(LEVEL_HELPER!A:A,MATCH(INDEX(sheet2!O:O,MATCH(A58,sheet2!A:A,0)),LEVEL_HELPER!B:B,0)),H58),H58))</f>
        <v>Intermediate 2</v>
      </c>
      <c r="J58" s="73">
        <f>IFERROR(MAXIFS(ATTENDANCE_LOG!F:F, ATTENDANCE_LOG!C:C, A58&amp;"", ATTENDANCE_LOG!G:G, "Present"), "")</f>
        <v>46126.54167</v>
      </c>
      <c r="K58" s="74" t="str">
        <f t="shared" si="1"/>
        <v/>
      </c>
      <c r="L58" s="75" t="str">
        <f t="shared" si="2"/>
        <v/>
      </c>
      <c r="M58" s="59"/>
      <c r="N58" s="77"/>
      <c r="O58" s="59"/>
      <c r="P58" s="59"/>
      <c r="Q58" s="59"/>
      <c r="R58" s="59"/>
      <c r="S58" s="59"/>
      <c r="T58" s="59"/>
      <c r="U58" s="59"/>
      <c r="V58" s="59"/>
      <c r="W58" s="87"/>
      <c r="X58" s="87"/>
      <c r="Y58" s="87"/>
    </row>
    <row r="59" ht="15.75" customHeight="1">
      <c r="A59" s="67" t="s">
        <v>255</v>
      </c>
      <c r="B59" s="68" t="s">
        <v>256</v>
      </c>
      <c r="C59" s="69" t="str">
        <f>IFERROR(__xludf.DUMMYFUNCTION("arrayformula(VLOOKUP(to_Text(A59),to_Text(sheet2!$A$1:M1002),13,0))"),"LBU")</f>
        <v>LBU</v>
      </c>
      <c r="D59" s="70" t="str">
        <f>IFERROR(__xludf.DUMMYFUNCTION("arrayformula(VLOOKUP(to_Text(A59),to_Text(sheet2!$A$1:M1002),12,0))"),"GSD")</f>
        <v>GSD</v>
      </c>
      <c r="E59" s="68" t="str">
        <f t="shared" si="6"/>
        <v>Active</v>
      </c>
      <c r="F59" s="67" t="str">
        <f t="array" ref="F59">IFERROR(
  INDEX(ATTENDANCE_INPUT!D:D,
    MATCH(1,
      (ATTENDANCE_INPUT!A:A=A59) *
      (ATTENDANCE_INPUT!V:V=MAXIFS(ATTENDANCE_INPUT!V:V, ATTENDANCE_INPUT!A:A, A59)),
      0)),
  "")</f>
        <v>Vinh Nguyen</v>
      </c>
      <c r="G59" s="72" t="str">
        <f t="array" ref="G59">IFERROR(
  INDEX(ATTENDANCE_INPUT!E:E,
    MATCH(1,
      (ATTENDANCE_INPUT!A:A=A59) *
      (ATTENDANCE_INPUT!V:V=MAXIFS(ATTENDANCE_INPUT!V:V, ATTENDANCE_INPUT!A:A, A59)),
      0)),
  "")</f>
        <v>Communication 3</v>
      </c>
      <c r="H59" s="73" t="str">
        <f t="array" ref="H59">IF(ISNA(MATCH(A59,sheet2!A:A,0)),"⏳ Chưa test",IFERROR(INDEX(LEVEL_HELPER!A:A,MATCH(INDEX(sheet2!N:N,MATCH(A59,sheet2!A:A,0)),LEVEL_HELPER!B:B,0)),"⏳ Chưa test"))</f>
        <v>Beginner</v>
      </c>
      <c r="I59" s="73" t="str">
        <f t="array" ref="I59">IF(ISNA(MATCH(A59,sheet2!A:A,0)),H59,IF(INDEX(sheet2!O:O,MATCH(A59,sheet2!A:A,0))&gt;0,IFERROR(INDEX(LEVEL_HELPER!A:A,MATCH(INDEX(sheet2!O:O,MATCH(A59,sheet2!A:A,0)),LEVEL_HELPER!B:B,0)),H59),H59))</f>
        <v>Pre-Intermediate 2</v>
      </c>
      <c r="J59" s="73">
        <f>IFERROR(MAXIFS(ATTENDANCE_LOG!F:F, ATTENDANCE_LOG!C:C, A59&amp;"", ATTENDANCE_LOG!G:G, "Present"), "")</f>
        <v>46135.58333</v>
      </c>
      <c r="K59" s="74" t="str">
        <f t="shared" si="1"/>
        <v/>
      </c>
      <c r="L59" s="75" t="str">
        <f t="shared" si="2"/>
        <v/>
      </c>
      <c r="M59" s="59"/>
      <c r="N59" s="77"/>
      <c r="O59" s="59"/>
      <c r="P59" s="59"/>
      <c r="Q59" s="59"/>
      <c r="R59" s="59"/>
      <c r="S59" s="59"/>
      <c r="T59" s="59"/>
      <c r="U59" s="59"/>
      <c r="V59" s="59"/>
      <c r="W59" s="87"/>
      <c r="X59" s="87"/>
      <c r="Y59" s="87"/>
    </row>
    <row r="60" ht="15.75" customHeight="1">
      <c r="A60" s="67" t="s">
        <v>257</v>
      </c>
      <c r="B60" s="68" t="s">
        <v>258</v>
      </c>
      <c r="C60" s="69" t="str">
        <f>IFERROR(__xludf.DUMMYFUNCTION("arrayformula(VLOOKUP(to_Text(A60),to_Text(sheet2!$A$1:M1002),13,0))"),"ONC")</f>
        <v>ONC</v>
      </c>
      <c r="D60" s="70" t="str">
        <f>IFERROR(__xludf.DUMMYFUNCTION("arrayformula(VLOOKUP(to_Text(A60),to_Text(sheet2!$A$1:M1002),12,0))"),"DEV")</f>
        <v>DEV</v>
      </c>
      <c r="E60" s="68" t="s">
        <v>175</v>
      </c>
      <c r="F60" s="67" t="str">
        <f t="array" ref="F60">IFERROR(
  INDEX(ATTENDANCE_INPUT!D:D,
    MATCH(1,
      (ATTENDANCE_INPUT!A:A=A60) *
      (ATTENDANCE_INPUT!V:V=MAXIFS(ATTENDANCE_INPUT!V:V, ATTENDANCE_INPUT!A:A, A60)),
      0)),
  "")</f>
        <v>Nhat Phan 2</v>
      </c>
      <c r="G60" s="72" t="str">
        <f t="array" ref="G60">IFERROR(
  INDEX(ATTENDANCE_INPUT!E:E,
    MATCH(1,
      (ATTENDANCE_INPUT!A:A=A60) *
      (ATTENDANCE_INPUT!V:V=MAXIFS(ATTENDANCE_INPUT!V:V, ATTENDANCE_INPUT!A:A, A60)),
      0)),
  "")</f>
        <v>Communication 1</v>
      </c>
      <c r="H60" s="73" t="str">
        <f t="array" ref="H60">IF(ISNA(MATCH(A60,sheet2!A:A,0)),"⏳ Chưa test",IFERROR(INDEX(LEVEL_HELPER!A:A,MATCH(INDEX(sheet2!N:N,MATCH(A60,sheet2!A:A,0)),LEVEL_HELPER!B:B,0)),"⏳ Chưa test"))</f>
        <v>Pre-Intermediate</v>
      </c>
      <c r="I60" s="73" t="str">
        <f t="array" ref="I60">IF(ISNA(MATCH(A60,sheet2!A:A,0)),H60,IF(INDEX(sheet2!O:O,MATCH(A60,sheet2!A:A,0))&gt;0,IFERROR(INDEX(LEVEL_HELPER!A:A,MATCH(INDEX(sheet2!O:O,MATCH(A60,sheet2!A:A,0)),LEVEL_HELPER!B:B,0)),H60),H60))</f>
        <v>Intermediate</v>
      </c>
      <c r="J60" s="73">
        <f>IFERROR(MAXIFS(ATTENDANCE_LOG!F:F, ATTENDANCE_LOG!C:C, A60&amp;"", ATTENDANCE_LOG!G:G, "Present"), "")</f>
        <v>45772.41667</v>
      </c>
      <c r="K60" s="74" t="str">
        <f t="shared" si="1"/>
        <v/>
      </c>
      <c r="L60" s="75" t="str">
        <f t="shared" si="2"/>
        <v/>
      </c>
      <c r="M60" s="59"/>
      <c r="N60" s="77"/>
      <c r="O60" s="59"/>
      <c r="P60" s="59"/>
      <c r="Q60" s="59"/>
      <c r="R60" s="59"/>
      <c r="S60" s="59"/>
      <c r="T60" s="59"/>
      <c r="U60" s="59"/>
      <c r="V60" s="59"/>
      <c r="W60" s="60"/>
      <c r="X60" s="60"/>
      <c r="Y60" s="60"/>
    </row>
    <row r="61" ht="15.75" customHeight="1">
      <c r="A61" s="67" t="s">
        <v>259</v>
      </c>
      <c r="B61" s="68" t="s">
        <v>260</v>
      </c>
      <c r="C61" s="69" t="str">
        <f>IFERROR(__xludf.DUMMYFUNCTION("arrayformula(VLOOKUP(to_Text(A61),to_Text(sheet2!$A$1:M1002),13,0))"),"CHORUS")</f>
        <v>CHORUS</v>
      </c>
      <c r="D61" s="70" t="str">
        <f>IFERROR(__xludf.DUMMYFUNCTION("arrayformula(VLOOKUP(to_Text(A61),to_Text(sheet2!$A$1:M1002),12,0))"),"UI/UX")</f>
        <v>UI/UX</v>
      </c>
      <c r="E61" s="71" t="s">
        <v>16</v>
      </c>
      <c r="F61" s="67" t="str">
        <f t="array" ref="F61">IFERROR(
  INDEX(ATTENDANCE_INPUT!D:D,
    MATCH(1,
      (ATTENDANCE_INPUT!A:A=A61) *
      (ATTENDANCE_INPUT!V:V=MAXIFS(ATTENDANCE_INPUT!V:V, ATTENDANCE_INPUT!A:A, A61)),
      0)),
  "")</f>
        <v>Yen Tran 1</v>
      </c>
      <c r="G61" s="72" t="str">
        <f t="array" ref="G61">IFERROR(
  INDEX(ATTENDANCE_INPUT!E:E,
    MATCH(1,
      (ATTENDANCE_INPUT!A:A=A61) *
      (ATTENDANCE_INPUT!V:V=MAXIFS(ATTENDANCE_INPUT!V:V, ATTENDANCE_INPUT!A:A, A61)),
      0)),
  "")</f>
        <v>Communication 1</v>
      </c>
      <c r="H61" s="73" t="str">
        <f t="array" ref="H61">IF(ISNA(MATCH(A61,sheet2!A:A,0)),"⏳ Chưa test",IFERROR(INDEX(LEVEL_HELPER!A:A,MATCH(INDEX(sheet2!N:N,MATCH(A61,sheet2!A:A,0)),LEVEL_HELPER!B:B,0)),"⏳ Chưa test"))</f>
        <v>Beginner</v>
      </c>
      <c r="I61" s="73" t="str">
        <f t="array" ref="I61">IF(ISNA(MATCH(A61,sheet2!A:A,0)),H61,IF(INDEX(sheet2!O:O,MATCH(A61,sheet2!A:A,0))&gt;0,IFERROR(INDEX(LEVEL_HELPER!A:A,MATCH(INDEX(sheet2!O:O,MATCH(A61,sheet2!A:A,0)),LEVEL_HELPER!B:B,0)),H61),H61))</f>
        <v>Beginner</v>
      </c>
      <c r="J61" s="73">
        <f>IFERROR(MAXIFS(ATTENDANCE_LOG!F:F, ATTENDANCE_LOG!C:C, A61&amp;"", ATTENDANCE_LOG!G:G, "Present"), "")</f>
        <v>45887.54167</v>
      </c>
      <c r="K61" s="74" t="str">
        <f t="shared" si="1"/>
        <v/>
      </c>
      <c r="L61" s="75" t="str">
        <f t="shared" si="2"/>
        <v/>
      </c>
      <c r="M61" s="59" t="s">
        <v>34</v>
      </c>
      <c r="N61" s="76" t="s">
        <v>33</v>
      </c>
      <c r="O61" s="59"/>
      <c r="P61" s="59"/>
      <c r="Q61" s="59"/>
      <c r="R61" s="59"/>
      <c r="S61" s="59"/>
      <c r="T61" s="59"/>
      <c r="U61" s="59"/>
      <c r="V61" s="59"/>
      <c r="W61" s="87"/>
      <c r="X61" s="87"/>
      <c r="Y61" s="87"/>
    </row>
    <row r="62" ht="15.75" customHeight="1">
      <c r="A62" s="67" t="s">
        <v>261</v>
      </c>
      <c r="B62" s="68" t="s">
        <v>262</v>
      </c>
      <c r="C62" s="69" t="str">
        <f>IFERROR(__xludf.DUMMYFUNCTION("arrayformula(VLOOKUP(to_Text(A62),to_Text(sheet2!$A$1:M1002),13,0))"),"CHORUS")</f>
        <v>CHORUS</v>
      </c>
      <c r="D62" s="70" t="str">
        <f>IFERROR(__xludf.DUMMYFUNCTION("arrayformula(VLOOKUP(to_Text(A62),to_Text(sheet2!$A$1:M1002),12,0))"),"Management")</f>
        <v>Management</v>
      </c>
      <c r="E62" s="68" t="str">
        <f>if(L62="⚠ Possibly Dropped","Inactive","Active")</f>
        <v>Inactive</v>
      </c>
      <c r="F62" s="67" t="str">
        <f t="array" ref="F62">IFERROR(
  INDEX(ATTENDANCE_INPUT!D:D,
    MATCH(1,
      (ATTENDANCE_INPUT!A:A=A62) *
      (ATTENDANCE_INPUT!V:V=MAXIFS(ATTENDANCE_INPUT!V:V, ATTENDANCE_INPUT!A:A, A62)),
      0)),
  "")</f>
        <v>Yen Tran 1</v>
      </c>
      <c r="G62" s="72" t="str">
        <f t="array" ref="G62">IFERROR(
  INDEX(ATTENDANCE_INPUT!E:E,
    MATCH(1,
      (ATTENDANCE_INPUT!A:A=A62) *
      (ATTENDANCE_INPUT!V:V=MAXIFS(ATTENDANCE_INPUT!V:V, ATTENDANCE_INPUT!A:A, A62)),
      0)),
  "")</f>
        <v>Communication 1</v>
      </c>
      <c r="H62" s="73" t="str">
        <f t="array" ref="H62">IF(ISNA(MATCH(A62,sheet2!A:A,0)),"⏳ Chưa test",IFERROR(INDEX(LEVEL_HELPER!A:A,MATCH(INDEX(sheet2!N:N,MATCH(A62,sheet2!A:A,0)),LEVEL_HELPER!B:B,0)),"⏳ Chưa test"))</f>
        <v>Intermediate</v>
      </c>
      <c r="I62" s="73" t="str">
        <f t="array" ref="I62">IF(ISNA(MATCH(A62,sheet2!A:A,0)),H62,IF(INDEX(sheet2!O:O,MATCH(A62,sheet2!A:A,0))&gt;0,IFERROR(INDEX(LEVEL_HELPER!A:A,MATCH(INDEX(sheet2!O:O,MATCH(A62,sheet2!A:A,0)),LEVEL_HELPER!B:B,0)),H62),H62))</f>
        <v>Intermediate</v>
      </c>
      <c r="J62" s="73">
        <f>IFERROR(MAXIFS(ATTENDANCE_LOG!F:F, ATTENDANCE_LOG!C:C, A62&amp;"", ATTENDANCE_LOG!G:G, "Present"), "")</f>
        <v>45817.54167</v>
      </c>
      <c r="K62" s="74">
        <f t="shared" si="1"/>
        <v>237</v>
      </c>
      <c r="L62" s="75" t="str">
        <f t="shared" si="2"/>
        <v>⚠ Possibly Dropped</v>
      </c>
      <c r="M62" s="59" t="s">
        <v>36</v>
      </c>
      <c r="N62" s="77" t="s">
        <v>33</v>
      </c>
      <c r="O62" s="59"/>
      <c r="P62" s="59"/>
      <c r="Q62" s="59"/>
      <c r="R62" s="59"/>
      <c r="S62" s="59"/>
      <c r="T62" s="59"/>
      <c r="U62" s="59"/>
      <c r="V62" s="59"/>
      <c r="W62" s="87"/>
      <c r="X62" s="87"/>
      <c r="Y62" s="87"/>
    </row>
    <row r="63" ht="15.75" customHeight="1">
      <c r="A63" s="67" t="s">
        <v>263</v>
      </c>
      <c r="B63" s="68" t="s">
        <v>264</v>
      </c>
      <c r="C63" s="69" t="str">
        <f>IFERROR(__xludf.DUMMYFUNCTION("arrayformula(VLOOKUP(to_Text(A63),to_Text(sheet2!$A$1:M1002),13,0))"),"TBU")</f>
        <v>TBU</v>
      </c>
      <c r="D63" s="70" t="str">
        <f>IFERROR(__xludf.DUMMYFUNCTION("arrayformula(VLOOKUP(to_Text(A63),to_Text(sheet2!$A$1:M1002),12,0))"),"QC")</f>
        <v>QC</v>
      </c>
      <c r="E63" s="68" t="s">
        <v>15</v>
      </c>
      <c r="F63" s="67" t="str">
        <f t="array" ref="F63">IFERROR(
  INDEX(ATTENDANCE_INPUT!D:D,
    MATCH(1,
      (ATTENDANCE_INPUT!A:A=A63) *
      (ATTENDANCE_INPUT!V:V=MAXIFS(ATTENDANCE_INPUT!V:V, ATTENDANCE_INPUT!A:A, A63)),
      0)),
  "")</f>
        <v>Hung Nguyen</v>
      </c>
      <c r="G63" s="72" t="str">
        <f t="array" ref="G63">IFERROR(
  INDEX(ATTENDANCE_INPUT!E:E,
    MATCH(1,
      (ATTENDANCE_INPUT!A:A=A63) *
      (ATTENDANCE_INPUT!V:V=MAXIFS(ATTENDANCE_INPUT!V:V, ATTENDANCE_INPUT!A:A, A63)),
      0)),
  "")</f>
        <v>Communication 2</v>
      </c>
      <c r="H63" s="73" t="str">
        <f t="array" ref="H63">IF(ISNA(MATCH(A63,sheet2!A:A,0)),"⏳ Chưa test",IFERROR(INDEX(LEVEL_HELPER!A:A,MATCH(INDEX(sheet2!N:N,MATCH(A63,sheet2!A:A,0)),LEVEL_HELPER!B:B,0)),"⏳ Chưa test"))</f>
        <v>Beginner</v>
      </c>
      <c r="I63" s="73" t="str">
        <f t="array" ref="I63">IF(ISNA(MATCH(A63,sheet2!A:A,0)),H63,IF(INDEX(sheet2!O:O,MATCH(A63,sheet2!A:A,0))&gt;0,IFERROR(INDEX(LEVEL_HELPER!A:A,MATCH(INDEX(sheet2!O:O,MATCH(A63,sheet2!A:A,0)),LEVEL_HELPER!B:B,0)),H63),H63))</f>
        <v>Intermediate</v>
      </c>
      <c r="J63" s="73">
        <f>IFERROR(MAXIFS(ATTENDANCE_LOG!F:F, ATTENDANCE_LOG!C:C, A63&amp;"", ATTENDANCE_LOG!G:G, "Present"), "")</f>
        <v>46104.41667</v>
      </c>
      <c r="K63" s="74" t="str">
        <f t="shared" si="1"/>
        <v/>
      </c>
      <c r="L63" s="75" t="str">
        <f t="shared" si="2"/>
        <v/>
      </c>
      <c r="M63" s="59"/>
      <c r="N63" s="77"/>
      <c r="O63" s="59"/>
      <c r="P63" s="59"/>
      <c r="Q63" s="59"/>
      <c r="R63" s="59">
        <v>247273.0</v>
      </c>
      <c r="S63" s="59" t="s">
        <v>146</v>
      </c>
      <c r="T63" s="59" t="s">
        <v>33</v>
      </c>
      <c r="U63" s="59" t="str">
        <f>IFERROR(__xludf.DUMMYFUNCTION("arrayformula(vlookup(to_text(R63),to_text($A$4:$B1003),2,0))"),"#N/A")</f>
        <v>#N/A</v>
      </c>
      <c r="V63" s="59"/>
      <c r="W63" s="87"/>
      <c r="X63" s="87"/>
      <c r="Y63" s="87"/>
    </row>
    <row r="64" ht="15.75" customHeight="1">
      <c r="A64" s="67" t="s">
        <v>265</v>
      </c>
      <c r="B64" s="68" t="s">
        <v>266</v>
      </c>
      <c r="C64" s="69" t="str">
        <f>IFERROR(__xludf.DUMMYFUNCTION("arrayformula(VLOOKUP(to_Text(A64),to_Text(sheet2!$A$1:M1002),13,0))"),"POC")</f>
        <v>POC</v>
      </c>
      <c r="D64" s="70" t="str">
        <f>IFERROR(__xludf.DUMMYFUNCTION("arrayformula(VLOOKUP(to_Text(A64),to_Text(sheet2!$A$1:M1002),12,0))"),"DEV")</f>
        <v>DEV</v>
      </c>
      <c r="E64" s="68" t="str">
        <f t="shared" ref="E64:E67" si="7">if(L64="⚠ Possibly Dropped","Inactive","Active")</f>
        <v>Active</v>
      </c>
      <c r="F64" s="67" t="str">
        <f t="array" ref="F64">IFERROR(
  INDEX(ATTENDANCE_INPUT!D:D,
    MATCH(1,
      (ATTENDANCE_INPUT!A:A=A64) *
      (ATTENDANCE_INPUT!V:V=MAXIFS(ATTENDANCE_INPUT!V:V, ATTENDANCE_INPUT!A:A, A64)),
      0)),
  "")</f>
        <v>Thien Truong</v>
      </c>
      <c r="G64" s="72" t="str">
        <f t="array" ref="G64">IFERROR(
  INDEX(ATTENDANCE_INPUT!E:E,
    MATCH(1,
      (ATTENDANCE_INPUT!A:A=A64) *
      (ATTENDANCE_INPUT!V:V=MAXIFS(ATTENDANCE_INPUT!V:V, ATTENDANCE_INPUT!A:A, A64)),
      0)),
  "")</f>
        <v>Communication 3</v>
      </c>
      <c r="H64" s="73" t="str">
        <f t="array" ref="H64">IF(ISNA(MATCH(A64,sheet2!A:A,0)),"⏳ Chưa test",IFERROR(INDEX(LEVEL_HELPER!A:A,MATCH(INDEX(sheet2!N:N,MATCH(A64,sheet2!A:A,0)),LEVEL_HELPER!B:B,0)),"⏳ Chưa test"))</f>
        <v>Beginner</v>
      </c>
      <c r="I64" s="73" t="str">
        <f t="array" ref="I64">IF(ISNA(MATCH(A64,sheet2!A:A,0)),H64,IF(INDEX(sheet2!O:O,MATCH(A64,sheet2!A:A,0))&gt;0,IFERROR(INDEX(LEVEL_HELPER!A:A,MATCH(INDEX(sheet2!O:O,MATCH(A64,sheet2!A:A,0)),LEVEL_HELPER!B:B,0)),H64),H64))</f>
        <v>Pre-Intermediate 2</v>
      </c>
      <c r="J64" s="73">
        <f>IFERROR(MAXIFS(ATTENDANCE_LOG!F:F, ATTENDANCE_LOG!C:C, A64&amp;"", ATTENDANCE_LOG!G:G, "Present"), "")</f>
        <v>46134.58333</v>
      </c>
      <c r="K64" s="74" t="str">
        <f t="shared" si="1"/>
        <v/>
      </c>
      <c r="L64" s="75" t="str">
        <f t="shared" si="2"/>
        <v/>
      </c>
      <c r="M64" s="59"/>
      <c r="N64" s="77"/>
      <c r="O64" s="59"/>
      <c r="P64" s="59"/>
      <c r="Q64" s="59"/>
      <c r="R64" s="59"/>
      <c r="S64" s="59"/>
      <c r="T64" s="59"/>
      <c r="U64" s="59"/>
      <c r="V64" s="59"/>
      <c r="W64" s="87"/>
      <c r="X64" s="87"/>
      <c r="Y64" s="87"/>
    </row>
    <row r="65" ht="15.75" customHeight="1">
      <c r="A65" s="67" t="s">
        <v>267</v>
      </c>
      <c r="B65" s="68" t="s">
        <v>268</v>
      </c>
      <c r="C65" s="69" t="str">
        <f>IFERROR(__xludf.DUMMYFUNCTION("arrayformula(VLOOKUP(to_Text(A65),to_Text(sheet2!$A$1:M1002),13,0))"),"ONC")</f>
        <v>ONC</v>
      </c>
      <c r="D65" s="70" t="str">
        <f>IFERROR(__xludf.DUMMYFUNCTION("arrayformula(VLOOKUP(to_Text(A65),to_Text(sheet2!$A$1:M1002),12,0))"),"QC")</f>
        <v>QC</v>
      </c>
      <c r="E65" s="68" t="str">
        <f t="shared" si="7"/>
        <v>Active</v>
      </c>
      <c r="F65" s="67" t="str">
        <f t="array" ref="F65">IFERROR(
  INDEX(ATTENDANCE_INPUT!D:D,
    MATCH(1,
      (ATTENDANCE_INPUT!A:A=A65) *
      (ATTENDANCE_INPUT!V:V=MAXIFS(ATTENDANCE_INPUT!V:V, ATTENDANCE_INPUT!A:A, A65)),
      0)),
  "")</f>
        <v>Nam Nguyen</v>
      </c>
      <c r="G65" s="72" t="str">
        <f t="array" ref="G65">IFERROR(
  INDEX(ATTENDANCE_INPUT!E:E,
    MATCH(1,
      (ATTENDANCE_INPUT!A:A=A65) *
      (ATTENDANCE_INPUT!V:V=MAXIFS(ATTENDANCE_INPUT!V:V, ATTENDANCE_INPUT!A:A, A65)),
      0)),
  "")</f>
        <v>Communication 1</v>
      </c>
      <c r="H65" s="73" t="str">
        <f t="array" ref="H65">IF(ISNA(MATCH(A65,sheet2!A:A,0)),"⏳ Chưa test",IFERROR(INDEX(LEVEL_HELPER!A:A,MATCH(INDEX(sheet2!N:N,MATCH(A65,sheet2!A:A,0)),LEVEL_HELPER!B:B,0)),"⏳ Chưa test"))</f>
        <v>Beginner</v>
      </c>
      <c r="I65" s="73" t="str">
        <f t="array" ref="I65">IF(ISNA(MATCH(A65,sheet2!A:A,0)),H65,IF(INDEX(sheet2!O:O,MATCH(A65,sheet2!A:A,0))&gt;0,IFERROR(INDEX(LEVEL_HELPER!A:A,MATCH(INDEX(sheet2!O:O,MATCH(A65,sheet2!A:A,0)),LEVEL_HELPER!B:B,0)),H65),H65))</f>
        <v>Pre-Intermediate</v>
      </c>
      <c r="J65" s="73">
        <f>IFERROR(MAXIFS(ATTENDANCE_LOG!F:F, ATTENDANCE_LOG!C:C, A65&amp;"", ATTENDANCE_LOG!G:G, "Present"), "")</f>
        <v>46134.45833</v>
      </c>
      <c r="K65" s="74" t="str">
        <f t="shared" si="1"/>
        <v/>
      </c>
      <c r="L65" s="75" t="str">
        <f t="shared" si="2"/>
        <v/>
      </c>
      <c r="M65" s="59"/>
      <c r="N65" s="77"/>
      <c r="O65" s="59"/>
      <c r="P65" s="59"/>
      <c r="Q65" s="59"/>
      <c r="R65" s="59"/>
      <c r="S65" s="59"/>
      <c r="T65" s="59"/>
      <c r="U65" s="59"/>
      <c r="V65" s="59"/>
      <c r="W65" s="87"/>
      <c r="X65" s="87"/>
      <c r="Y65" s="87"/>
    </row>
    <row r="66" ht="15.75" customHeight="1">
      <c r="A66" s="67" t="s">
        <v>269</v>
      </c>
      <c r="B66" s="68" t="s">
        <v>270</v>
      </c>
      <c r="C66" s="69" t="str">
        <f>IFERROR(__xludf.DUMMYFUNCTION("arrayformula(VLOOKUP(to_Text(A66),to_Text(sheet2!$A$1:M1002),13,0))"),"MOC")</f>
        <v>MOC</v>
      </c>
      <c r="D66" s="70" t="str">
        <f>IFERROR(__xludf.DUMMYFUNCTION("arrayformula(VLOOKUP(to_Text(A66),to_Text(sheet2!$A$1:M1002),12,0))"),"DEV")</f>
        <v>DEV</v>
      </c>
      <c r="E66" s="68" t="str">
        <f t="shared" si="7"/>
        <v>Active</v>
      </c>
      <c r="F66" s="67" t="str">
        <f t="array" ref="F66">IFERROR(
  INDEX(ATTENDANCE_INPUT!D:D,
    MATCH(1,
      (ATTENDANCE_INPUT!A:A=A66) *
      (ATTENDANCE_INPUT!V:V=MAXIFS(ATTENDANCE_INPUT!V:V, ATTENDANCE_INPUT!A:A, A66)),
      0)),
  "")</f>
        <v>Trang Nguyen</v>
      </c>
      <c r="G66" s="72" t="str">
        <f t="array" ref="G66">IFERROR(
  INDEX(ATTENDANCE_INPUT!E:E,
    MATCH(1,
      (ATTENDANCE_INPUT!A:A=A66) *
      (ATTENDANCE_INPUT!V:V=MAXIFS(ATTENDANCE_INPUT!V:V, ATTENDANCE_INPUT!A:A, A66)),
      0)),
  "")</f>
        <v>Communication 1</v>
      </c>
      <c r="H66" s="73" t="str">
        <f t="array" ref="H66">IF(ISNA(MATCH(A66,sheet2!A:A,0)),"⏳ Chưa test",IFERROR(INDEX(LEVEL_HELPER!A:A,MATCH(INDEX(sheet2!N:N,MATCH(A66,sheet2!A:A,0)),LEVEL_HELPER!B:B,0)),"⏳ Chưa test"))</f>
        <v>Foundation</v>
      </c>
      <c r="I66" s="73" t="str">
        <f t="array" ref="I66">IF(ISNA(MATCH(A66,sheet2!A:A,0)),H66,IF(INDEX(sheet2!O:O,MATCH(A66,sheet2!A:A,0))&gt;0,IFERROR(INDEX(LEVEL_HELPER!A:A,MATCH(INDEX(sheet2!O:O,MATCH(A66,sheet2!A:A,0)),LEVEL_HELPER!B:B,0)),H66),H66))</f>
        <v>Beginner</v>
      </c>
      <c r="J66" s="73">
        <f>IFERROR(MAXIFS(ATTENDANCE_LOG!F:F, ATTENDANCE_LOG!C:C, A66&amp;"", ATTENDANCE_LOG!G:G, "Present"), "")</f>
        <v>46129.625</v>
      </c>
      <c r="K66" s="74" t="str">
        <f t="shared" si="1"/>
        <v/>
      </c>
      <c r="L66" s="75" t="str">
        <f t="shared" si="2"/>
        <v/>
      </c>
      <c r="M66" s="59"/>
      <c r="N66" s="77"/>
      <c r="O66" s="59"/>
      <c r="P66" s="59"/>
      <c r="Q66" s="59"/>
      <c r="R66" s="59">
        <v>227008.0</v>
      </c>
      <c r="S66" s="59"/>
      <c r="T66" s="59"/>
      <c r="U66" s="59" t="str">
        <f>IFERROR(__xludf.DUMMYFUNCTION("arrayformula(vlookup(to_text(R66),to_text($A$4:$B964),2,0))"),"PHẠM ĐỨC ÁO")</f>
        <v>PHẠM ĐỨC ÁO</v>
      </c>
      <c r="V66" s="59"/>
      <c r="W66" s="87"/>
      <c r="X66" s="87"/>
      <c r="Y66" s="87"/>
    </row>
    <row r="67" ht="15.75" customHeight="1">
      <c r="A67" s="67" t="s">
        <v>271</v>
      </c>
      <c r="B67" s="68" t="s">
        <v>272</v>
      </c>
      <c r="C67" s="69" t="str">
        <f>IFERROR(__xludf.DUMMYFUNCTION("arrayformula(VLOOKUP(to_Text(A67),to_Text(sheet2!$A$1:M1002),13,0))"),"TBU")</f>
        <v>TBU</v>
      </c>
      <c r="D67" s="70" t="str">
        <f>IFERROR(__xludf.DUMMYFUNCTION("arrayformula(VLOOKUP(to_Text(A67),to_Text(sheet2!$A$1:M1002),12,0))"),"DEV")</f>
        <v>DEV</v>
      </c>
      <c r="E67" s="68" t="str">
        <f t="shared" si="7"/>
        <v>Inactive</v>
      </c>
      <c r="F67" s="67" t="str">
        <f t="array" ref="F67">IFERROR(
  INDEX(ATTENDANCE_INPUT!D:D,
    MATCH(1,
      (ATTENDANCE_INPUT!A:A=A67) *
      (ATTENDANCE_INPUT!V:V=MAXIFS(ATTENDANCE_INPUT!V:V, ATTENDANCE_INPUT!A:A, A67)),
      0)),
  "")</f>
        <v>Tai Pham</v>
      </c>
      <c r="G67" s="72" t="str">
        <f t="array" ref="G67">IFERROR(
  INDEX(ATTENDANCE_INPUT!E:E,
    MATCH(1,
      (ATTENDANCE_INPUT!A:A=A67) *
      (ATTENDANCE_INPUT!V:V=MAXIFS(ATTENDANCE_INPUT!V:V, ATTENDANCE_INPUT!A:A, A67)),
      0)),
  "")</f>
        <v>Communication 2</v>
      </c>
      <c r="H67" s="73" t="str">
        <f t="array" ref="H67">IF(ISNA(MATCH(A67,sheet2!A:A,0)),"⏳ Chưa test",IFERROR(INDEX(LEVEL_HELPER!A:A,MATCH(INDEX(sheet2!N:N,MATCH(A67,sheet2!A:A,0)),LEVEL_HELPER!B:B,0)),"⏳ Chưa test"))</f>
        <v>Beginner</v>
      </c>
      <c r="I67" s="73" t="str">
        <f t="array" ref="I67">IF(ISNA(MATCH(A67,sheet2!A:A,0)),H67,IF(INDEX(sheet2!O:O,MATCH(A67,sheet2!A:A,0))&gt;0,IFERROR(INDEX(LEVEL_HELPER!A:A,MATCH(INDEX(sheet2!O:O,MATCH(A67,sheet2!A:A,0)),LEVEL_HELPER!B:B,0)),H67),H67))</f>
        <v>Beginner</v>
      </c>
      <c r="J67" s="73">
        <f>IFERROR(MAXIFS(ATTENDANCE_LOG!F:F, ATTENDANCE_LOG!C:C, A67&amp;"", ATTENDANCE_LOG!G:G, "Present"), "")</f>
        <v>45994.41667</v>
      </c>
      <c r="K67" s="74">
        <f t="shared" si="1"/>
        <v>415</v>
      </c>
      <c r="L67" s="75" t="str">
        <f t="shared" si="2"/>
        <v>⚠ Possibly Dropped</v>
      </c>
      <c r="M67" s="59" t="s">
        <v>34</v>
      </c>
      <c r="N67" s="77" t="s">
        <v>33</v>
      </c>
      <c r="O67" s="59"/>
      <c r="P67" s="59"/>
      <c r="Q67" s="59"/>
      <c r="R67" s="59"/>
      <c r="S67" s="59"/>
      <c r="T67" s="59"/>
      <c r="U67" s="59"/>
      <c r="V67" s="59"/>
      <c r="W67" s="87"/>
      <c r="X67" s="87"/>
      <c r="Y67" s="87"/>
    </row>
    <row r="68" ht="15.75" customHeight="1">
      <c r="A68" s="67" t="s">
        <v>273</v>
      </c>
      <c r="B68" s="68" t="s">
        <v>274</v>
      </c>
      <c r="C68" s="69" t="str">
        <f>IFERROR(__xludf.DUMMYFUNCTION("arrayformula(VLOOKUP(to_Text(A68),to_Text(sheet2!$A$1:M1002),13,0))"),"LBU")</f>
        <v>LBU</v>
      </c>
      <c r="D68" s="70" t="str">
        <f>IFERROR(__xludf.DUMMYFUNCTION("arrayformula(VLOOKUP(to_Text(A68),to_Text(sheet2!$A$1:M1002),12,0))"),"GSD")</f>
        <v>GSD</v>
      </c>
      <c r="E68" s="71" t="s">
        <v>16</v>
      </c>
      <c r="F68" s="67" t="str">
        <f t="array" ref="F68">IFERROR(
  INDEX(ATTENDANCE_INPUT!D:D,
    MATCH(1,
      (ATTENDANCE_INPUT!A:A=A68) *
      (ATTENDANCE_INPUT!V:V=MAXIFS(ATTENDANCE_INPUT!V:V, ATTENDANCE_INPUT!A:A, A68)),
      0)),
  "")</f>
        <v>Liên Nguyễn</v>
      </c>
      <c r="G68" s="72" t="str">
        <f t="array" ref="G68">IFERROR(
  INDEX(ATTENDANCE_INPUT!E:E,
    MATCH(1,
      (ATTENDANCE_INPUT!A:A=A68) *
      (ATTENDANCE_INPUT!V:V=MAXIFS(ATTENDANCE_INPUT!V:V, ATTENDANCE_INPUT!A:A, A68)),
      0)),
  "")</f>
        <v>Foundation</v>
      </c>
      <c r="H68" s="73" t="str">
        <f t="array" ref="H68">IF(ISNA(MATCH(A68,sheet2!A:A,0)),"⏳ Chưa test",IFERROR(INDEX(LEVEL_HELPER!A:A,MATCH(INDEX(sheet2!N:N,MATCH(A68,sheet2!A:A,0)),LEVEL_HELPER!B:B,0)),"⏳ Chưa test"))</f>
        <v>Foundation</v>
      </c>
      <c r="I68" s="73" t="str">
        <f t="array" ref="I68">IF(ISNA(MATCH(A68,sheet2!A:A,0)),H68,IF(INDEX(sheet2!O:O,MATCH(A68,sheet2!A:A,0))&gt;0,IFERROR(INDEX(LEVEL_HELPER!A:A,MATCH(INDEX(sheet2!O:O,MATCH(A68,sheet2!A:A,0)),LEVEL_HELPER!B:B,0)),H68),H68))</f>
        <v>Beginner</v>
      </c>
      <c r="J68" s="73">
        <f>IFERROR(MAXIFS(ATTENDANCE_LOG!F:F, ATTENDANCE_LOG!C:C, A68&amp;"", ATTENDANCE_LOG!G:G, "Present"), "")</f>
        <v>46052.58333</v>
      </c>
      <c r="K68" s="74" t="str">
        <f t="shared" si="1"/>
        <v/>
      </c>
      <c r="L68" s="75" t="str">
        <f t="shared" si="2"/>
        <v/>
      </c>
      <c r="M68" s="80" t="s">
        <v>36</v>
      </c>
      <c r="N68" s="77" t="s">
        <v>33</v>
      </c>
      <c r="O68" s="59"/>
      <c r="P68" s="59"/>
      <c r="Q68" s="59"/>
      <c r="R68" s="59"/>
      <c r="S68" s="59"/>
      <c r="T68" s="59"/>
      <c r="U68" s="59"/>
      <c r="V68" s="59"/>
      <c r="W68" s="87"/>
      <c r="X68" s="87"/>
      <c r="Y68" s="87"/>
    </row>
    <row r="69" ht="15.75" customHeight="1">
      <c r="A69" s="67" t="s">
        <v>275</v>
      </c>
      <c r="B69" s="68" t="s">
        <v>276</v>
      </c>
      <c r="C69" s="69" t="str">
        <f>IFERROR(__xludf.DUMMYFUNCTION("arrayformula(VLOOKUP(to_Text(A69),to_Text(sheet2!$A$1:M1002),13,0))"),"MOC")</f>
        <v>MOC</v>
      </c>
      <c r="D69" s="70" t="str">
        <f>IFERROR(__xludf.DUMMYFUNCTION("arrayformula(VLOOKUP(to_Text(A69),to_Text(sheet2!$A$1:M1002),12,0))"),"DEV")</f>
        <v>DEV</v>
      </c>
      <c r="E69" s="71" t="s">
        <v>16</v>
      </c>
      <c r="F69" s="67" t="str">
        <f t="array" ref="F69">IFERROR(
  INDEX(ATTENDANCE_INPUT!D:D,
    MATCH(1,
      (ATTENDANCE_INPUT!A:A=A69) *
      (ATTENDANCE_INPUT!V:V=MAXIFS(ATTENDANCE_INPUT!V:V, ATTENDANCE_INPUT!A:A, A69)),
      0)),
  "")</f>
        <v>Van Nguyen</v>
      </c>
      <c r="G69" s="72" t="str">
        <f t="array" ref="G69">IFERROR(
  INDEX(ATTENDANCE_INPUT!E:E,
    MATCH(1,
      (ATTENDANCE_INPUT!A:A=A69) *
      (ATTENDANCE_INPUT!V:V=MAXIFS(ATTENDANCE_INPUT!V:V, ATTENDANCE_INPUT!A:A, A69)),
      0)),
  "")</f>
        <v>Communication 1</v>
      </c>
      <c r="H69" s="73" t="str">
        <f t="array" ref="H69">IF(ISNA(MATCH(A69,sheet2!A:A,0)),"⏳ Chưa test",IFERROR(INDEX(LEVEL_HELPER!A:A,MATCH(INDEX(sheet2!N:N,MATCH(A69,sheet2!A:A,0)),LEVEL_HELPER!B:B,0)),"⏳ Chưa test"))</f>
        <v>Beginner</v>
      </c>
      <c r="I69" s="73" t="str">
        <f t="array" ref="I69">IF(ISNA(MATCH(A69,sheet2!A:A,0)),H69,IF(INDEX(sheet2!O:O,MATCH(A69,sheet2!A:A,0))&gt;0,IFERROR(INDEX(LEVEL_HELPER!A:A,MATCH(INDEX(sheet2!O:O,MATCH(A69,sheet2!A:A,0)),LEVEL_HELPER!B:B,0)),H69),H69))</f>
        <v>Pre-Intermediate 1</v>
      </c>
      <c r="J69" s="73">
        <f>IFERROR(MAXIFS(ATTENDANCE_LOG!F:F, ATTENDANCE_LOG!C:C, A69&amp;"", ATTENDANCE_LOG!G:G, "Present"), "")</f>
        <v>45868.54167</v>
      </c>
      <c r="K69" s="74" t="str">
        <f t="shared" si="1"/>
        <v/>
      </c>
      <c r="L69" s="75" t="str">
        <f t="shared" si="2"/>
        <v/>
      </c>
      <c r="M69" s="59" t="s">
        <v>36</v>
      </c>
      <c r="N69" s="77" t="s">
        <v>33</v>
      </c>
      <c r="O69" s="59"/>
      <c r="P69" s="59"/>
      <c r="Q69" s="59"/>
      <c r="R69" s="59"/>
      <c r="S69" s="59"/>
      <c r="T69" s="59"/>
      <c r="U69" s="59"/>
      <c r="V69" s="59"/>
      <c r="W69" s="87"/>
      <c r="X69" s="87"/>
      <c r="Y69" s="87"/>
    </row>
    <row r="70" ht="15.75" customHeight="1">
      <c r="A70" s="67" t="s">
        <v>277</v>
      </c>
      <c r="B70" s="68" t="s">
        <v>278</v>
      </c>
      <c r="C70" s="69" t="str">
        <f>IFERROR(__xludf.DUMMYFUNCTION("arrayformula(VLOOKUP(to_Text(A70),to_Text(sheet2!$A$1:M1002),13,0))"),"MOC")</f>
        <v>MOC</v>
      </c>
      <c r="D70" s="70" t="str">
        <f>IFERROR(__xludf.DUMMYFUNCTION("arrayformula(VLOOKUP(to_Text(A70),to_Text(sheet2!$A$1:M1002),12,0))"),"DEV")</f>
        <v>DEV</v>
      </c>
      <c r="E70" s="68" t="str">
        <f t="shared" ref="E70:E71" si="8">if(L70="⚠ Possibly Dropped","Inactive","Active")</f>
        <v>Inactive</v>
      </c>
      <c r="F70" s="67" t="str">
        <f t="array" ref="F70">IFERROR(
  INDEX(ATTENDANCE_INPUT!D:D,
    MATCH(1,
      (ATTENDANCE_INPUT!A:A=A70) *
      (ATTENDANCE_INPUT!V:V=MAXIFS(ATTENDANCE_INPUT!V:V, ATTENDANCE_INPUT!A:A, A70)),
      0)),
  "")</f>
        <v>Quan Nguyen</v>
      </c>
      <c r="G70" s="72" t="str">
        <f t="array" ref="G70">IFERROR(
  INDEX(ATTENDANCE_INPUT!E:E,
    MATCH(1,
      (ATTENDANCE_INPUT!A:A=A70) *
      (ATTENDANCE_INPUT!V:V=MAXIFS(ATTENDANCE_INPUT!V:V, ATTENDANCE_INPUT!A:A, A70)),
      0)),
  "")</f>
        <v>Communication 1</v>
      </c>
      <c r="H70" s="73" t="str">
        <f t="array" ref="H70">IF(ISNA(MATCH(A70,sheet2!A:A,0)),"⏳ Chưa test",IFERROR(INDEX(LEVEL_HELPER!A:A,MATCH(INDEX(sheet2!N:N,MATCH(A70,sheet2!A:A,0)),LEVEL_HELPER!B:B,0)),"⏳ Chưa test"))</f>
        <v>Foundation</v>
      </c>
      <c r="I70" s="73" t="str">
        <f t="array" ref="I70">IF(ISNA(MATCH(A70,sheet2!A:A,0)),H70,IF(INDEX(sheet2!O:O,MATCH(A70,sheet2!A:A,0))&gt;0,IFERROR(INDEX(LEVEL_HELPER!A:A,MATCH(INDEX(sheet2!O:O,MATCH(A70,sheet2!A:A,0)),LEVEL_HELPER!B:B,0)),H70),H70))</f>
        <v>Beginner 2</v>
      </c>
      <c r="J70" s="73">
        <f>IFERROR(MAXIFS(ATTENDANCE_LOG!F:F, ATTENDANCE_LOG!C:C, A70&amp;"", ATTENDANCE_LOG!G:G, "Present"), "")</f>
        <v>46000.625</v>
      </c>
      <c r="K70" s="74">
        <f t="shared" si="1"/>
        <v>231</v>
      </c>
      <c r="L70" s="75" t="str">
        <f t="shared" si="2"/>
        <v>⚠ Possibly Dropped</v>
      </c>
      <c r="M70" s="59" t="s">
        <v>34</v>
      </c>
      <c r="N70" s="77" t="s">
        <v>35</v>
      </c>
      <c r="O70" s="59"/>
      <c r="P70" s="59"/>
      <c r="Q70" s="59"/>
      <c r="R70" s="59"/>
      <c r="S70" s="59"/>
      <c r="T70" s="59"/>
      <c r="U70" s="59"/>
      <c r="V70" s="59"/>
      <c r="W70" s="87"/>
      <c r="X70" s="87"/>
      <c r="Y70" s="87"/>
    </row>
    <row r="71" ht="15.75" customHeight="1">
      <c r="A71" s="67" t="s">
        <v>279</v>
      </c>
      <c r="B71" s="68" t="s">
        <v>280</v>
      </c>
      <c r="C71" s="69" t="str">
        <f>IFERROR(__xludf.DUMMYFUNCTION("arrayformula(VLOOKUP(to_Text(A71),to_Text(sheet2!$A$1:M1002),13,0))"),"MOC")</f>
        <v>MOC</v>
      </c>
      <c r="D71" s="70" t="str">
        <f>IFERROR(__xludf.DUMMYFUNCTION("arrayformula(VLOOKUP(to_Text(A71),to_Text(sheet2!$A$1:M1002),12,0))"),"DEV")</f>
        <v>DEV</v>
      </c>
      <c r="E71" s="68" t="str">
        <f t="shared" si="8"/>
        <v>Inactive</v>
      </c>
      <c r="F71" s="67" t="str">
        <f t="array" ref="F71">IFERROR(
  INDEX(ATTENDANCE_INPUT!D:D,
    MATCH(1,
      (ATTENDANCE_INPUT!A:A=A71) *
      (ATTENDANCE_INPUT!V:V=MAXIFS(ATTENDANCE_INPUT!V:V, ATTENDANCE_INPUT!A:A, A71)),
      0)),
  "")</f>
        <v>Tai Pham</v>
      </c>
      <c r="G71" s="72" t="str">
        <f t="array" ref="G71">IFERROR(
  INDEX(ATTENDANCE_INPUT!E:E,
    MATCH(1,
      (ATTENDANCE_INPUT!A:A=A71) *
      (ATTENDANCE_INPUT!V:V=MAXIFS(ATTENDANCE_INPUT!V:V, ATTENDANCE_INPUT!A:A, A71)),
      0)),
  "")</f>
        <v>Communication 2</v>
      </c>
      <c r="H71" s="73" t="str">
        <f t="array" ref="H71">IF(ISNA(MATCH(A71,sheet2!A:A,0)),"⏳ Chưa test",IFERROR(INDEX(LEVEL_HELPER!A:A,MATCH(INDEX(sheet2!N:N,MATCH(A71,sheet2!A:A,0)),LEVEL_HELPER!B:B,0)),"⏳ Chưa test"))</f>
        <v>Beginner</v>
      </c>
      <c r="I71" s="73" t="str">
        <f t="array" ref="I71">IF(ISNA(MATCH(A71,sheet2!A:A,0)),H71,IF(INDEX(sheet2!O:O,MATCH(A71,sheet2!A:A,0))&gt;0,IFERROR(INDEX(LEVEL_HELPER!A:A,MATCH(INDEX(sheet2!O:O,MATCH(A71,sheet2!A:A,0)),LEVEL_HELPER!B:B,0)),H71),H71))</f>
        <v>Pre-Intermediate 1</v>
      </c>
      <c r="J71" s="73">
        <f>IFERROR(MAXIFS(ATTENDANCE_LOG!F:F, ATTENDANCE_LOG!C:C, A71&amp;"", ATTENDANCE_LOG!G:G, "Present"), "")</f>
        <v>45966.45833</v>
      </c>
      <c r="K71" s="74">
        <f t="shared" si="1"/>
        <v>355</v>
      </c>
      <c r="L71" s="75" t="str">
        <f t="shared" si="2"/>
        <v>⚠ Possibly Dropped</v>
      </c>
      <c r="M71" s="59" t="s">
        <v>34</v>
      </c>
      <c r="N71" s="77" t="s">
        <v>33</v>
      </c>
      <c r="O71" s="59"/>
      <c r="P71" s="59"/>
      <c r="Q71" s="59"/>
      <c r="R71" s="59"/>
      <c r="S71" s="59"/>
      <c r="T71" s="59"/>
      <c r="U71" s="59"/>
      <c r="V71" s="59"/>
      <c r="W71" s="87"/>
      <c r="X71" s="87"/>
      <c r="Y71" s="87"/>
    </row>
    <row r="72" ht="15.75" customHeight="1">
      <c r="A72" s="81" t="s">
        <v>281</v>
      </c>
      <c r="B72" s="82" t="s">
        <v>282</v>
      </c>
      <c r="C72" s="69" t="str">
        <f>IFERROR(__xludf.DUMMYFUNCTION("arrayformula(VLOOKUP(to_Text(A72),to_Text(sheet2!$A$1:M1002),13,0))"),"MOC")</f>
        <v>MOC</v>
      </c>
      <c r="D72" s="70" t="str">
        <f>IFERROR(__xludf.DUMMYFUNCTION("arrayformula(VLOOKUP(to_Text(A72),to_Text(sheet2!$A$1:M1002),12,0))"),"DEV")</f>
        <v>DEV</v>
      </c>
      <c r="E72" s="68" t="s">
        <v>175</v>
      </c>
      <c r="F72" s="67" t="str">
        <f t="array" ref="F72">IFERROR(
  INDEX(ATTENDANCE_INPUT!D:D,
    MATCH(1,
      (ATTENDANCE_INPUT!A:A=A72) *
      (ATTENDANCE_INPUT!V:V=MAXIFS(ATTENDANCE_INPUT!V:V, ATTENDANCE_INPUT!A:A, A72)),
      0)),
  "")</f>
        <v>Anh To</v>
      </c>
      <c r="G72" s="72" t="str">
        <f t="array" ref="G72">IFERROR(
  INDEX(ATTENDANCE_INPUT!E:E,
    MATCH(1,
      (ATTENDANCE_INPUT!A:A=A72) *
      (ATTENDANCE_INPUT!V:V=MAXIFS(ATTENDANCE_INPUT!V:V, ATTENDANCE_INPUT!A:A, A72)),
      0)),
  "")</f>
        <v>Communication 2</v>
      </c>
      <c r="H72" s="73" t="str">
        <f t="array" ref="H72">IF(ISNA(MATCH(A72,sheet2!A:A,0)),"⏳ Chưa test",IFERROR(INDEX(LEVEL_HELPER!A:A,MATCH(INDEX(sheet2!N:N,MATCH(A72,sheet2!A:A,0)),LEVEL_HELPER!B:B,0)),"⏳ Chưa test"))</f>
        <v>Beginner</v>
      </c>
      <c r="I72" s="73" t="str">
        <f t="array" ref="I72">IF(ISNA(MATCH(A72,sheet2!A:A,0)),H72,IF(INDEX(sheet2!O:O,MATCH(A72,sheet2!A:A,0))&gt;0,IFERROR(INDEX(LEVEL_HELPER!A:A,MATCH(INDEX(sheet2!O:O,MATCH(A72,sheet2!A:A,0)),LEVEL_HELPER!B:B,0)),H72),H72))</f>
        <v>Pre-Intermediate 1</v>
      </c>
      <c r="J72" s="83">
        <f>IFERROR(MAXIFS(ATTENDANCE_LOG!F:F, ATTENDANCE_LOG!C:C, A72&amp;"", ATTENDANCE_LOG!G:G, "Present"), "")</f>
        <v>46086.41667</v>
      </c>
      <c r="K72" s="84">
        <f t="shared" si="1"/>
        <v>-2</v>
      </c>
      <c r="L72" s="85" t="str">
        <f t="shared" si="2"/>
        <v/>
      </c>
      <c r="M72" s="78"/>
      <c r="N72" s="77"/>
      <c r="O72" s="59"/>
      <c r="P72" s="59"/>
      <c r="Q72" s="59"/>
      <c r="R72" s="59">
        <v>247139.0</v>
      </c>
      <c r="S72" s="59" t="s">
        <v>172</v>
      </c>
      <c r="T72" s="59" t="s">
        <v>39</v>
      </c>
      <c r="U72" s="59" t="str">
        <f>IFERROR(__xludf.DUMMYFUNCTION("arrayformula(vlookup(to_text(R72),to_text($A$4:$B1061),2,0))"),"#N/A")</f>
        <v>#N/A</v>
      </c>
      <c r="V72" s="59"/>
      <c r="W72" s="60"/>
      <c r="X72" s="60"/>
      <c r="Y72" s="60"/>
    </row>
    <row r="73" ht="15.75" customHeight="1">
      <c r="A73" s="67" t="s">
        <v>108</v>
      </c>
      <c r="B73" s="68" t="s">
        <v>283</v>
      </c>
      <c r="C73" s="69" t="str">
        <f>IFERROR(__xludf.DUMMYFUNCTION("arrayformula(VLOOKUP(to_Text(A73),to_Text(sheet2!$A$1:M1002),13,0))"),"POC")</f>
        <v>POC</v>
      </c>
      <c r="D73" s="70" t="str">
        <f>IFERROR(__xludf.DUMMYFUNCTION("arrayformula(VLOOKUP(to_Text(A73),to_Text(sheet2!$A$1:M1002),12,0))"),"DEV")</f>
        <v>DEV</v>
      </c>
      <c r="E73" s="68" t="str">
        <f t="shared" ref="E73:E75" si="9">if(L73="⚠ Possibly Dropped","Inactive","Active")</f>
        <v>Active</v>
      </c>
      <c r="F73" s="67" t="str">
        <f t="array" ref="F73">IFERROR(
  INDEX(ATTENDANCE_INPUT!D:D,
    MATCH(1,
      (ATTENDANCE_INPUT!A:A=A73) *
      (ATTENDANCE_INPUT!V:V=MAXIFS(ATTENDANCE_INPUT!V:V, ATTENDANCE_INPUT!A:A, A73)),
      0)),
  "")</f>
        <v>Thien Truong</v>
      </c>
      <c r="G73" s="72" t="str">
        <f t="array" ref="G73">IFERROR(
  INDEX(ATTENDANCE_INPUT!E:E,
    MATCH(1,
      (ATTENDANCE_INPUT!A:A=A73) *
      (ATTENDANCE_INPUT!V:V=MAXIFS(ATTENDANCE_INPUT!V:V, ATTENDANCE_INPUT!A:A, A73)),
      0)),
  "")</f>
        <v>Communication 3</v>
      </c>
      <c r="H73" s="73" t="str">
        <f t="array" ref="H73">IF(ISNA(MATCH(A73,sheet2!A:A,0)),"⏳ Chưa test",IFERROR(INDEX(LEVEL_HELPER!A:A,MATCH(INDEX(sheet2!N:N,MATCH(A73,sheet2!A:A,0)),LEVEL_HELPER!B:B,0)),"⏳ Chưa test"))</f>
        <v>Beginner</v>
      </c>
      <c r="I73" s="73" t="str">
        <f t="array" ref="I73">IF(ISNA(MATCH(A73,sheet2!A:A,0)),H73,IF(INDEX(sheet2!O:O,MATCH(A73,sheet2!A:A,0))&gt;0,IFERROR(INDEX(LEVEL_HELPER!A:A,MATCH(INDEX(sheet2!O:O,MATCH(A73,sheet2!A:A,0)),LEVEL_HELPER!B:B,0)),H73),H73))</f>
        <v>Pre-Intermediate 2</v>
      </c>
      <c r="J73" s="73">
        <f>IFERROR(MAXIFS(ATTENDANCE_LOG!F:F, ATTENDANCE_LOG!C:C, A73&amp;"", ATTENDANCE_LOG!G:G, "Present"), "")</f>
        <v>46134.58333</v>
      </c>
      <c r="K73" s="74" t="str">
        <f t="shared" si="1"/>
        <v/>
      </c>
      <c r="L73" s="75" t="str">
        <f t="shared" si="2"/>
        <v/>
      </c>
      <c r="M73" s="59"/>
      <c r="N73" s="77"/>
      <c r="O73" s="59"/>
      <c r="P73" s="59"/>
      <c r="Q73" s="59"/>
      <c r="R73" s="59"/>
      <c r="S73" s="59"/>
      <c r="T73" s="59"/>
      <c r="U73" s="59"/>
      <c r="V73" s="59"/>
      <c r="W73" s="87"/>
      <c r="X73" s="87"/>
      <c r="Y73" s="87"/>
    </row>
    <row r="74" ht="15.75" customHeight="1">
      <c r="A74" s="67" t="s">
        <v>284</v>
      </c>
      <c r="B74" s="68" t="s">
        <v>285</v>
      </c>
      <c r="C74" s="69" t="str">
        <f>IFERROR(__xludf.DUMMYFUNCTION("arrayformula(VLOOKUP(to_Text(A74),to_Text(sheet2!$A$1:M1002),13,0))"),"CHORUS")</f>
        <v>CHORUS</v>
      </c>
      <c r="D74" s="70" t="str">
        <f>IFERROR(__xludf.DUMMYFUNCTION("arrayformula(VLOOKUP(to_Text(A74),to_Text(sheet2!$A$1:M1002),12,0))"),"DEV")</f>
        <v>DEV</v>
      </c>
      <c r="E74" s="68" t="str">
        <f t="shared" si="9"/>
        <v>Active</v>
      </c>
      <c r="F74" s="67" t="str">
        <f t="array" ref="F74">IFERROR(
  INDEX(ATTENDANCE_INPUT!D:D,
    MATCH(1,
      (ATTENDANCE_INPUT!A:A=A74) *
      (ATTENDANCE_INPUT!V:V=MAXIFS(ATTENDANCE_INPUT!V:V, ATTENDANCE_INPUT!A:A, A74)),
      0)),
  "")</f>
        <v>Phung Nguyen</v>
      </c>
      <c r="G74" s="72" t="str">
        <f t="array" ref="G74">IFERROR(
  INDEX(ATTENDANCE_INPUT!E:E,
    MATCH(1,
      (ATTENDANCE_INPUT!A:A=A74) *
      (ATTENDANCE_INPUT!V:V=MAXIFS(ATTENDANCE_INPUT!V:V, ATTENDANCE_INPUT!A:A, A74)),
      0)),
  "")</f>
        <v>Foundation</v>
      </c>
      <c r="H74" s="73" t="str">
        <f t="array" ref="H74">IF(ISNA(MATCH(A74,sheet2!A:A,0)),"⏳ Chưa test",IFERROR(INDEX(LEVEL_HELPER!A:A,MATCH(INDEX(sheet2!N:N,MATCH(A74,sheet2!A:A,0)),LEVEL_HELPER!B:B,0)),"⏳ Chưa test"))</f>
        <v>Foundation</v>
      </c>
      <c r="I74" s="73" t="str">
        <f t="array" ref="I74">IF(ISNA(MATCH(A74,sheet2!A:A,0)),H74,IF(INDEX(sheet2!O:O,MATCH(A74,sheet2!A:A,0))&gt;0,IFERROR(INDEX(LEVEL_HELPER!A:A,MATCH(INDEX(sheet2!O:O,MATCH(A74,sheet2!A:A,0)),LEVEL_HELPER!B:B,0)),H74),H74))</f>
        <v>Foundation</v>
      </c>
      <c r="J74" s="73">
        <f>IFERROR(MAXIFS(ATTENDANCE_LOG!F:F, ATTENDANCE_LOG!C:C, A74&amp;"", ATTENDANCE_LOG!G:G, "Present"), "")</f>
        <v>46135.45833</v>
      </c>
      <c r="K74" s="74" t="str">
        <f t="shared" si="1"/>
        <v/>
      </c>
      <c r="L74" s="75" t="str">
        <f t="shared" si="2"/>
        <v/>
      </c>
      <c r="M74" s="59"/>
      <c r="N74" s="77"/>
      <c r="O74" s="59"/>
      <c r="P74" s="59"/>
      <c r="Q74" s="59"/>
      <c r="R74" s="59"/>
      <c r="S74" s="59"/>
      <c r="T74" s="59"/>
      <c r="U74" s="59"/>
      <c r="V74" s="59"/>
      <c r="W74" s="87"/>
      <c r="X74" s="87"/>
      <c r="Y74" s="87"/>
    </row>
    <row r="75" ht="15.75" customHeight="1">
      <c r="A75" s="67" t="s">
        <v>286</v>
      </c>
      <c r="B75" s="68" t="s">
        <v>287</v>
      </c>
      <c r="C75" s="69" t="str">
        <f>IFERROR(__xludf.DUMMYFUNCTION("arrayformula(VLOOKUP(to_Text(A75),to_Text(sheet2!$A$1:M1002),13,0))"),"ONC")</f>
        <v>ONC</v>
      </c>
      <c r="D75" s="70" t="str">
        <f>IFERROR(__xludf.DUMMYFUNCTION("arrayformula(VLOOKUP(to_Text(A75),to_Text(sheet2!$A$1:M1002),12,0))"),"QC")</f>
        <v>QC</v>
      </c>
      <c r="E75" s="68" t="str">
        <f t="shared" si="9"/>
        <v>Active</v>
      </c>
      <c r="F75" s="67" t="str">
        <f t="array" ref="F75">IFERROR(
  INDEX(ATTENDANCE_INPUT!D:D,
    MATCH(1,
      (ATTENDANCE_INPUT!A:A=A75) *
      (ATTENDANCE_INPUT!V:V=MAXIFS(ATTENDANCE_INPUT!V:V, ATTENDANCE_INPUT!A:A, A75)),
      0)),
  "")</f>
        <v>Nam Nguyen</v>
      </c>
      <c r="G75" s="72" t="str">
        <f t="array" ref="G75">IFERROR(
  INDEX(ATTENDANCE_INPUT!E:E,
    MATCH(1,
      (ATTENDANCE_INPUT!A:A=A75) *
      (ATTENDANCE_INPUT!V:V=MAXIFS(ATTENDANCE_INPUT!V:V, ATTENDANCE_INPUT!A:A, A75)),
      0)),
  "")</f>
        <v>Communication 1</v>
      </c>
      <c r="H75" s="73" t="str">
        <f t="array" ref="H75">IF(ISNA(MATCH(A75,sheet2!A:A,0)),"⏳ Chưa test",IFERROR(INDEX(LEVEL_HELPER!A:A,MATCH(INDEX(sheet2!N:N,MATCH(A75,sheet2!A:A,0)),LEVEL_HELPER!B:B,0)),"⏳ Chưa test"))</f>
        <v>Foundation</v>
      </c>
      <c r="I75" s="73" t="str">
        <f t="array" ref="I75">IF(ISNA(MATCH(A75,sheet2!A:A,0)),H75,IF(INDEX(sheet2!O:O,MATCH(A75,sheet2!A:A,0))&gt;0,IFERROR(INDEX(LEVEL_HELPER!A:A,MATCH(INDEX(sheet2!O:O,MATCH(A75,sheet2!A:A,0)),LEVEL_HELPER!B:B,0)),H75),H75))</f>
        <v>Foundation</v>
      </c>
      <c r="J75" s="73">
        <f>IFERROR(MAXIFS(ATTENDANCE_LOG!F:F, ATTENDANCE_LOG!C:C, A75&amp;"", ATTENDANCE_LOG!G:G, "Present"), "")</f>
        <v>46134.45833</v>
      </c>
      <c r="K75" s="74" t="str">
        <f t="shared" si="1"/>
        <v/>
      </c>
      <c r="L75" s="75" t="str">
        <f t="shared" si="2"/>
        <v/>
      </c>
      <c r="M75" s="59"/>
      <c r="N75" s="77"/>
      <c r="O75" s="59"/>
      <c r="P75" s="59"/>
      <c r="Q75" s="59"/>
      <c r="R75" s="59"/>
      <c r="S75" s="59"/>
      <c r="T75" s="59"/>
      <c r="U75" s="59"/>
      <c r="V75" s="59"/>
      <c r="W75" s="87"/>
      <c r="X75" s="87"/>
      <c r="Y75" s="87"/>
    </row>
    <row r="76" ht="15.75" customHeight="1">
      <c r="A76" s="67" t="s">
        <v>288</v>
      </c>
      <c r="B76" s="68" t="s">
        <v>289</v>
      </c>
      <c r="C76" s="69" t="str">
        <f>IFERROR(__xludf.DUMMYFUNCTION("arrayformula(VLOOKUP(to_Text(A76),to_Text(sheet2!$A$1:M1002),13,0))"),"LBU")</f>
        <v>LBU</v>
      </c>
      <c r="D76" s="70" t="str">
        <f>IFERROR(__xludf.DUMMYFUNCTION("arrayformula(VLOOKUP(to_Text(A76),to_Text(sheet2!$A$1:M1002),12,0))"),"Designer")</f>
        <v>Designer</v>
      </c>
      <c r="E76" s="71" t="s">
        <v>16</v>
      </c>
      <c r="F76" s="67" t="str">
        <f t="array" ref="F76">IFERROR(
  INDEX(ATTENDANCE_INPUT!D:D,
    MATCH(1,
      (ATTENDANCE_INPUT!A:A=A76) *
      (ATTENDANCE_INPUT!V:V=MAXIFS(ATTENDANCE_INPUT!V:V, ATTENDANCE_INPUT!A:A, A76)),
      0)),
  "")</f>
        <v>Tan Tran</v>
      </c>
      <c r="G76" s="72" t="str">
        <f t="array" ref="G76">IFERROR(
  INDEX(ATTENDANCE_INPUT!E:E,
    MATCH(1,
      (ATTENDANCE_INPUT!A:A=A76) *
      (ATTENDANCE_INPUT!V:V=MAXIFS(ATTENDANCE_INPUT!V:V, ATTENDANCE_INPUT!A:A, A76)),
      0)),
  "")</f>
        <v>Business English</v>
      </c>
      <c r="H76" s="73" t="str">
        <f t="array" ref="H76">IF(ISNA(MATCH(A76,sheet2!A:A,0)),"⏳ Chưa test",IFERROR(INDEX(LEVEL_HELPER!A:A,MATCH(INDEX(sheet2!N:N,MATCH(A76,sheet2!A:A,0)),LEVEL_HELPER!B:B,0)),"⏳ Chưa test"))</f>
        <v>Intermediate</v>
      </c>
      <c r="I76" s="73" t="str">
        <f t="array" ref="I76">IF(ISNA(MATCH(A76,sheet2!A:A,0)),H76,IF(INDEX(sheet2!O:O,MATCH(A76,sheet2!A:A,0))&gt;0,IFERROR(INDEX(LEVEL_HELPER!A:A,MATCH(INDEX(sheet2!O:O,MATCH(A76,sheet2!A:A,0)),LEVEL_HELPER!B:B,0)),H76),H76))</f>
        <v>Upper-Intermediate</v>
      </c>
      <c r="J76" s="73">
        <f>IFERROR(MAXIFS(ATTENDANCE_LOG!F:F, ATTENDANCE_LOG!C:C, A76&amp;"", ATTENDANCE_LOG!G:G, "Present"), "")</f>
        <v>46050.54167</v>
      </c>
      <c r="K76" s="74" t="str">
        <f t="shared" si="1"/>
        <v/>
      </c>
      <c r="L76" s="75" t="str">
        <f t="shared" si="2"/>
        <v/>
      </c>
      <c r="M76" s="59" t="s">
        <v>34</v>
      </c>
      <c r="N76" s="77" t="s">
        <v>37</v>
      </c>
      <c r="O76" s="59"/>
      <c r="P76" s="59"/>
      <c r="Q76" s="59"/>
      <c r="R76" s="59"/>
      <c r="S76" s="59"/>
      <c r="T76" s="59"/>
      <c r="U76" s="59"/>
      <c r="V76" s="59"/>
      <c r="W76" s="87"/>
      <c r="X76" s="87"/>
      <c r="Y76" s="87"/>
    </row>
    <row r="77" ht="15.75" customHeight="1">
      <c r="A77" s="67" t="s">
        <v>290</v>
      </c>
      <c r="B77" s="68" t="s">
        <v>291</v>
      </c>
      <c r="C77" s="69" t="str">
        <f>IFERROR(__xludf.DUMMYFUNCTION("arrayformula(VLOOKUP(to_Text(A77),to_Text(sheet2!$A$1:M1002),13,0))"),"POC")</f>
        <v>POC</v>
      </c>
      <c r="D77" s="70" t="str">
        <f>IFERROR(__xludf.DUMMYFUNCTION("arrayformula(VLOOKUP(to_Text(A77),to_Text(sheet2!$A$1:M1002),12,0))"),"GSD")</f>
        <v>GSD</v>
      </c>
      <c r="E77" s="68" t="str">
        <f>if(L77="⚠ Possibly Dropped","Inactive","Active")</f>
        <v>Active</v>
      </c>
      <c r="F77" s="67" t="str">
        <f t="array" ref="F77">IFERROR(
  INDEX(ATTENDANCE_INPUT!D:D,
    MATCH(1,
      (ATTENDANCE_INPUT!A:A=A77) *
      (ATTENDANCE_INPUT!V:V=MAXIFS(ATTENDANCE_INPUT!V:V, ATTENDANCE_INPUT!A:A, A77)),
      0)),
  "")</f>
        <v>Trang Nguyen</v>
      </c>
      <c r="G77" s="72" t="str">
        <f t="array" ref="G77">IFERROR(
  INDEX(ATTENDANCE_INPUT!E:E,
    MATCH(1,
      (ATTENDANCE_INPUT!A:A=A77) *
      (ATTENDANCE_INPUT!V:V=MAXIFS(ATTENDANCE_INPUT!V:V, ATTENDANCE_INPUT!A:A, A77)),
      0)),
  "")</f>
        <v>Communication 1</v>
      </c>
      <c r="H77" s="73" t="str">
        <f t="array" ref="H77">IF(ISNA(MATCH(A77,sheet2!A:A,0)),"⏳ Chưa test",IFERROR(INDEX(LEVEL_HELPER!A:A,MATCH(INDEX(sheet2!N:N,MATCH(A77,sheet2!A:A,0)),LEVEL_HELPER!B:B,0)),"⏳ Chưa test"))</f>
        <v>Foundation</v>
      </c>
      <c r="I77" s="73" t="str">
        <f t="array" ref="I77">IF(ISNA(MATCH(A77,sheet2!A:A,0)),H77,IF(INDEX(sheet2!O:O,MATCH(A77,sheet2!A:A,0))&gt;0,IFERROR(INDEX(LEVEL_HELPER!A:A,MATCH(INDEX(sheet2!O:O,MATCH(A77,sheet2!A:A,0)),LEVEL_HELPER!B:B,0)),H77),H77))</f>
        <v>Foundation</v>
      </c>
      <c r="J77" s="73">
        <f>IFERROR(MAXIFS(ATTENDANCE_LOG!F:F, ATTENDANCE_LOG!C:C, A77&amp;"", ATTENDANCE_LOG!G:G, "Present"), "")</f>
        <v>46129.625</v>
      </c>
      <c r="K77" s="74" t="str">
        <f t="shared" si="1"/>
        <v/>
      </c>
      <c r="L77" s="75" t="str">
        <f t="shared" si="2"/>
        <v/>
      </c>
      <c r="M77" s="59"/>
      <c r="N77" s="77"/>
      <c r="O77" s="59"/>
      <c r="P77" s="59"/>
      <c r="Q77" s="59"/>
      <c r="R77" s="59"/>
      <c r="S77" s="59"/>
      <c r="T77" s="59"/>
      <c r="U77" s="59"/>
      <c r="V77" s="59"/>
      <c r="W77" s="87"/>
      <c r="X77" s="87"/>
      <c r="Y77" s="87"/>
    </row>
    <row r="78" ht="15.75" customHeight="1">
      <c r="A78" s="67" t="s">
        <v>292</v>
      </c>
      <c r="B78" s="68" t="s">
        <v>293</v>
      </c>
      <c r="C78" s="69" t="str">
        <f>IFERROR(__xludf.DUMMYFUNCTION("arrayformula(VLOOKUP(to_Text(A78),to_Text(sheet2!$A$1:M1002),13,0))"),"BSG")</f>
        <v>BSG</v>
      </c>
      <c r="D78" s="70" t="str">
        <f>IFERROR(__xludf.DUMMYFUNCTION("arrayformula(VLOOKUP(to_Text(A78),to_Text(sheet2!$A$1:M1002),12,0))"),"HR")</f>
        <v>HR</v>
      </c>
      <c r="E78" s="71" t="s">
        <v>16</v>
      </c>
      <c r="F78" s="67" t="str">
        <f t="array" ref="F78">IFERROR(
  INDEX(ATTENDANCE_INPUT!D:D,
    MATCH(1,
      (ATTENDANCE_INPUT!A:A=A78) *
      (ATTENDANCE_INPUT!V:V=MAXIFS(ATTENDANCE_INPUT!V:V, ATTENDANCE_INPUT!A:A, A78)),
      0)),
  "")</f>
        <v>Nhat Bui</v>
      </c>
      <c r="G78" s="72" t="str">
        <f t="array" ref="G78">IFERROR(
  INDEX(ATTENDANCE_INPUT!E:E,
    MATCH(1,
      (ATTENDANCE_INPUT!A:A=A78) *
      (ATTENDANCE_INPUT!V:V=MAXIFS(ATTENDANCE_INPUT!V:V, ATTENDANCE_INPUT!A:A, A78)),
      0)),
  "")</f>
        <v>Communication 1</v>
      </c>
      <c r="H78" s="73" t="str">
        <f t="array" ref="H78">IF(ISNA(MATCH(A78,sheet2!A:A,0)),"⏳ Chưa test",IFERROR(INDEX(LEVEL_HELPER!A:A,MATCH(INDEX(sheet2!N:N,MATCH(A78,sheet2!A:A,0)),LEVEL_HELPER!B:B,0)),"⏳ Chưa test"))</f>
        <v>Beginner</v>
      </c>
      <c r="I78" s="73" t="str">
        <f t="array" ref="I78">IF(ISNA(MATCH(A78,sheet2!A:A,0)),H78,IF(INDEX(sheet2!O:O,MATCH(A78,sheet2!A:A,0))&gt;0,IFERROR(INDEX(LEVEL_HELPER!A:A,MATCH(INDEX(sheet2!O:O,MATCH(A78,sheet2!A:A,0)),LEVEL_HELPER!B:B,0)),H78),H78))</f>
        <v>Pre-Intermediate</v>
      </c>
      <c r="J78" s="73">
        <f>IFERROR(MAXIFS(ATTENDANCE_LOG!F:F, ATTENDANCE_LOG!C:C, A78&amp;"", ATTENDANCE_LOG!G:G, "Present"), "")</f>
        <v>45769.58333</v>
      </c>
      <c r="K78" s="74" t="str">
        <f t="shared" si="1"/>
        <v/>
      </c>
      <c r="L78" s="75" t="str">
        <f t="shared" si="2"/>
        <v/>
      </c>
      <c r="M78" s="80" t="s">
        <v>34</v>
      </c>
      <c r="N78" s="77" t="s">
        <v>33</v>
      </c>
      <c r="O78" s="59" t="s">
        <v>236</v>
      </c>
      <c r="P78" s="59"/>
      <c r="Q78" s="59"/>
      <c r="R78" s="59"/>
      <c r="S78" s="59"/>
      <c r="T78" s="59"/>
      <c r="U78" s="59"/>
      <c r="V78" s="59"/>
      <c r="W78" s="87"/>
      <c r="X78" s="87"/>
      <c r="Y78" s="87"/>
    </row>
    <row r="79" ht="15.75" customHeight="1">
      <c r="A79" s="67" t="s">
        <v>294</v>
      </c>
      <c r="B79" s="68" t="s">
        <v>295</v>
      </c>
      <c r="C79" s="69" t="str">
        <f>IFERROR(__xludf.DUMMYFUNCTION("arrayformula(VLOOKUP(to_Text(A79),to_Text(sheet2!$A$1:M1002),13,0))"),"LBU")</f>
        <v>LBU</v>
      </c>
      <c r="D79" s="70" t="str">
        <f>IFERROR(__xludf.DUMMYFUNCTION("arrayformula(VLOOKUP(to_Text(A79),to_Text(sheet2!$A$1:M1002),12,0))"),"GSD")</f>
        <v>GSD</v>
      </c>
      <c r="E79" s="68" t="str">
        <f t="shared" ref="E79:E80" si="10">if(L79="⚠ Possibly Dropped","Inactive","Active")</f>
        <v>Inactive</v>
      </c>
      <c r="F79" s="67" t="str">
        <f t="array" ref="F79">IFERROR(
  INDEX(ATTENDANCE_INPUT!D:D,
    MATCH(1,
      (ATTENDANCE_INPUT!A:A=A79) *
      (ATTENDANCE_INPUT!V:V=MAXIFS(ATTENDANCE_INPUT!V:V, ATTENDANCE_INPUT!A:A, A79)),
      0)),
  "")</f>
        <v>Huong Le</v>
      </c>
      <c r="G79" s="72" t="str">
        <f t="array" ref="G79">IFERROR(
  INDEX(ATTENDANCE_INPUT!E:E,
    MATCH(1,
      (ATTENDANCE_INPUT!A:A=A79) *
      (ATTENDANCE_INPUT!V:V=MAXIFS(ATTENDANCE_INPUT!V:V, ATTENDANCE_INPUT!A:A, A79)),
      0)),
  "")</f>
        <v>Communication 2</v>
      </c>
      <c r="H79" s="73" t="str">
        <f t="array" ref="H79">IF(ISNA(MATCH(A79,sheet2!A:A,0)),"⏳ Chưa test",IFERROR(INDEX(LEVEL_HELPER!A:A,MATCH(INDEX(sheet2!N:N,MATCH(A79,sheet2!A:A,0)),LEVEL_HELPER!B:B,0)),"⏳ Chưa test"))</f>
        <v>Beginner</v>
      </c>
      <c r="I79" s="73" t="str">
        <f t="array" ref="I79">IF(ISNA(MATCH(A79,sheet2!A:A,0)),H79,IF(INDEX(sheet2!O:O,MATCH(A79,sheet2!A:A,0))&gt;0,IFERROR(INDEX(LEVEL_HELPER!A:A,MATCH(INDEX(sheet2!O:O,MATCH(A79,sheet2!A:A,0)),LEVEL_HELPER!B:B,0)),H79),H79))</f>
        <v>Pre-Intermediate 1</v>
      </c>
      <c r="J79" s="73">
        <f>IFERROR(MAXIFS(ATTENDANCE_LOG!F:F, ATTENDANCE_LOG!C:C, A79&amp;"", ATTENDANCE_LOG!G:G, "Present"), "")</f>
        <v>46115.54167</v>
      </c>
      <c r="K79" s="74">
        <f t="shared" si="1"/>
        <v>58</v>
      </c>
      <c r="L79" s="75" t="str">
        <f t="shared" si="2"/>
        <v>⚠ Possibly Dropped</v>
      </c>
      <c r="M79" s="59"/>
      <c r="N79" s="76" t="s">
        <v>35</v>
      </c>
      <c r="O79" s="59"/>
      <c r="P79" s="59"/>
      <c r="Q79" s="59"/>
      <c r="R79" s="59">
        <v>227174.0</v>
      </c>
      <c r="S79" s="59" t="s">
        <v>178</v>
      </c>
      <c r="T79" s="59" t="s">
        <v>179</v>
      </c>
      <c r="U79" s="59" t="e">
        <v>#N/A</v>
      </c>
      <c r="V79" s="59"/>
      <c r="W79" s="87"/>
      <c r="X79" s="87"/>
      <c r="Y79" s="87"/>
    </row>
    <row r="80" ht="15.75" customHeight="1">
      <c r="A80" s="67" t="s">
        <v>296</v>
      </c>
      <c r="B80" s="68" t="s">
        <v>297</v>
      </c>
      <c r="C80" s="69" t="str">
        <f>IFERROR(__xludf.DUMMYFUNCTION("arrayformula(VLOOKUP(to_Text(A80),to_Text(sheet2!$A$1:M1002),13,0))"),"POC")</f>
        <v>POC</v>
      </c>
      <c r="D80" s="70" t="str">
        <f>IFERROR(__xludf.DUMMYFUNCTION("arrayformula(VLOOKUP(to_Text(A80),to_Text(sheet2!$A$1:M1002),12,0))"),"QC")</f>
        <v>QC</v>
      </c>
      <c r="E80" s="68" t="str">
        <f t="shared" si="10"/>
        <v>Active</v>
      </c>
      <c r="F80" s="67" t="str">
        <f t="array" ref="F80">IFERROR(
  INDEX(ATTENDANCE_INPUT!D:D,
    MATCH(1,
      (ATTENDANCE_INPUT!A:A=A80) *
      (ATTENDANCE_INPUT!V:V=MAXIFS(ATTENDANCE_INPUT!V:V, ATTENDANCE_INPUT!A:A, A80)),
      0)),
  "")</f>
        <v>Thien Truong</v>
      </c>
      <c r="G80" s="72" t="str">
        <f t="array" ref="G80">IFERROR(
  INDEX(ATTENDANCE_INPUT!E:E,
    MATCH(1,
      (ATTENDANCE_INPUT!A:A=A80) *
      (ATTENDANCE_INPUT!V:V=MAXIFS(ATTENDANCE_INPUT!V:V, ATTENDANCE_INPUT!A:A, A80)),
      0)),
  "")</f>
        <v>Communication 3</v>
      </c>
      <c r="H80" s="73" t="str">
        <f t="array" ref="H80">IF(ISNA(MATCH(A80,sheet2!A:A,0)),"⏳ Chưa test",IFERROR(INDEX(LEVEL_HELPER!A:A,MATCH(INDEX(sheet2!N:N,MATCH(A80,sheet2!A:A,0)),LEVEL_HELPER!B:B,0)),"⏳ Chưa test"))</f>
        <v>Beginner</v>
      </c>
      <c r="I80" s="73" t="str">
        <f t="array" ref="I80">IF(ISNA(MATCH(A80,sheet2!A:A,0)),H80,IF(INDEX(sheet2!O:O,MATCH(A80,sheet2!A:A,0))&gt;0,IFERROR(INDEX(LEVEL_HELPER!A:A,MATCH(INDEX(sheet2!O:O,MATCH(A80,sheet2!A:A,0)),LEVEL_HELPER!B:B,0)),H80),H80))</f>
        <v>Pre-Intermediate 2</v>
      </c>
      <c r="J80" s="73">
        <f>IFERROR(MAXIFS(ATTENDANCE_LOG!F:F, ATTENDANCE_LOG!C:C, A80&amp;"", ATTENDANCE_LOG!G:G, "Present"), "")</f>
        <v>46134.58333</v>
      </c>
      <c r="K80" s="74" t="str">
        <f t="shared" si="1"/>
        <v/>
      </c>
      <c r="L80" s="75" t="str">
        <f t="shared" si="2"/>
        <v/>
      </c>
      <c r="M80" s="59"/>
      <c r="N80" s="77"/>
      <c r="O80" s="59"/>
      <c r="P80" s="59"/>
      <c r="Q80" s="59"/>
      <c r="R80" s="77">
        <v>247059.0</v>
      </c>
      <c r="S80" s="77" t="s">
        <v>146</v>
      </c>
      <c r="T80" s="77" t="s">
        <v>33</v>
      </c>
      <c r="U80" s="77" t="e">
        <v>#N/A</v>
      </c>
      <c r="V80" s="59"/>
      <c r="W80" s="87"/>
      <c r="X80" s="87"/>
      <c r="Y80" s="87"/>
    </row>
    <row r="81" ht="15.75" customHeight="1">
      <c r="A81" s="67" t="s">
        <v>298</v>
      </c>
      <c r="B81" s="68" t="s">
        <v>299</v>
      </c>
      <c r="C81" s="69" t="str">
        <f>IFERROR(__xludf.DUMMYFUNCTION("arrayformula(VLOOKUP(to_Text(A81),to_Text(sheet2!$A$1:M1002),13,0))"),"ONC")</f>
        <v>ONC</v>
      </c>
      <c r="D81" s="70" t="str">
        <f>IFERROR(__xludf.DUMMYFUNCTION("arrayformula(VLOOKUP(to_Text(A81),to_Text(sheet2!$A$1:M1002),12,0))"),"DEV")</f>
        <v>DEV</v>
      </c>
      <c r="E81" s="68" t="s">
        <v>15</v>
      </c>
      <c r="F81" s="67" t="str">
        <f t="array" ref="F81">IFERROR(
  INDEX(ATTENDANCE_INPUT!D:D,
    MATCH(1,
      (ATTENDANCE_INPUT!A:A=A81) *
      (ATTENDANCE_INPUT!V:V=MAXIFS(ATTENDANCE_INPUT!V:V, ATTENDANCE_INPUT!A:A, A81)),
      0)),
  "")</f>
        <v>Lanh Le</v>
      </c>
      <c r="G81" s="72" t="str">
        <f t="array" ref="G81">IFERROR(
  INDEX(ATTENDANCE_INPUT!E:E,
    MATCH(1,
      (ATTENDANCE_INPUT!A:A=A81) *
      (ATTENDANCE_INPUT!V:V=MAXIFS(ATTENDANCE_INPUT!V:V, ATTENDANCE_INPUT!A:A, A81)),
      0)),
  "")</f>
        <v>Communication 3</v>
      </c>
      <c r="H81" s="73" t="str">
        <f t="array" ref="H81">IF(ISNA(MATCH(A81,sheet2!A:A,0)),"⏳ Chưa test",IFERROR(INDEX(LEVEL_HELPER!A:A,MATCH(INDEX(sheet2!N:N,MATCH(A81,sheet2!A:A,0)),LEVEL_HELPER!B:B,0)),"⏳ Chưa test"))</f>
        <v>Beginner</v>
      </c>
      <c r="I81" s="73" t="str">
        <f t="array" ref="I81">IF(ISNA(MATCH(A81,sheet2!A:A,0)),H81,IF(INDEX(sheet2!O:O,MATCH(A81,sheet2!A:A,0))&gt;0,IFERROR(INDEX(LEVEL_HELPER!A:A,MATCH(INDEX(sheet2!O:O,MATCH(A81,sheet2!A:A,0)),LEVEL_HELPER!B:B,0)),H81),H81))</f>
        <v>Pre-Intermediate 2</v>
      </c>
      <c r="J81" s="73">
        <f>IFERROR(MAXIFS(ATTENDANCE_LOG!F:F, ATTENDANCE_LOG!C:C, A81&amp;"", ATTENDANCE_LOG!G:G, "Present"), "")</f>
        <v>46113.45833</v>
      </c>
      <c r="K81" s="74">
        <f t="shared" si="1"/>
        <v>117</v>
      </c>
      <c r="L81" s="75" t="str">
        <f t="shared" si="2"/>
        <v>⚠ Possibly Dropped</v>
      </c>
      <c r="M81" s="59"/>
      <c r="N81" s="77"/>
      <c r="O81" s="59"/>
      <c r="P81" s="59"/>
      <c r="Q81" s="59"/>
      <c r="R81" s="59"/>
      <c r="S81" s="59"/>
      <c r="T81" s="59"/>
      <c r="U81" s="59"/>
      <c r="V81" s="59"/>
      <c r="W81" s="87"/>
      <c r="X81" s="87"/>
      <c r="Y81" s="87"/>
    </row>
    <row r="82" ht="15.75" customHeight="1">
      <c r="A82" s="67" t="s">
        <v>300</v>
      </c>
      <c r="B82" s="68" t="s">
        <v>301</v>
      </c>
      <c r="C82" s="69" t="str">
        <f>IFERROR(__xludf.DUMMYFUNCTION("arrayformula(VLOOKUP(to_Text(A82),to_Text(sheet2!$A$1:M1002),13,0))"),"MOC")</f>
        <v>MOC</v>
      </c>
      <c r="D82" s="70" t="str">
        <f>IFERROR(__xludf.DUMMYFUNCTION("arrayformula(VLOOKUP(to_Text(A82),to_Text(sheet2!$A$1:M1002),12,0))"),"DEV")</f>
        <v>DEV</v>
      </c>
      <c r="E82" s="68" t="str">
        <f t="shared" ref="E82:E83" si="11">if(L82="⚠ Possibly Dropped","Inactive","Active")</f>
        <v>Active</v>
      </c>
      <c r="F82" s="67" t="str">
        <f t="array" ref="F82">IFERROR(
  INDEX(ATTENDANCE_INPUT!D:D,
    MATCH(1,
      (ATTENDANCE_INPUT!A:A=A82) *
      (ATTENDANCE_INPUT!V:V=MAXIFS(ATTENDANCE_INPUT!V:V, ATTENDANCE_INPUT!A:A, A82)),
      0)),
  "")</f>
        <v>Van Nguyen</v>
      </c>
      <c r="G82" s="72" t="str">
        <f t="array" ref="G82">IFERROR(
  INDEX(ATTENDANCE_INPUT!E:E,
    MATCH(1,
      (ATTENDANCE_INPUT!A:A=A82) *
      (ATTENDANCE_INPUT!V:V=MAXIFS(ATTENDANCE_INPUT!V:V, ATTENDANCE_INPUT!A:A, A82)),
      0)),
  "")</f>
        <v>Business English</v>
      </c>
      <c r="H82" s="73" t="str">
        <f t="array" ref="H82">IF(ISNA(MATCH(A82,sheet2!A:A,0)),"⏳ Chưa test",IFERROR(INDEX(LEVEL_HELPER!A:A,MATCH(INDEX(sheet2!N:N,MATCH(A82,sheet2!A:A,0)),LEVEL_HELPER!B:B,0)),"⏳ Chưa test"))</f>
        <v>Beginner</v>
      </c>
      <c r="I82" s="73" t="str">
        <f t="array" ref="I82">IF(ISNA(MATCH(A82,sheet2!A:A,0)),H82,IF(INDEX(sheet2!O:O,MATCH(A82,sheet2!A:A,0))&gt;0,IFERROR(INDEX(LEVEL_HELPER!A:A,MATCH(INDEX(sheet2!O:O,MATCH(A82,sheet2!A:A,0)),LEVEL_HELPER!B:B,0)),H82),H82))</f>
        <v>Intermediate 1</v>
      </c>
      <c r="J82" s="73">
        <f>IFERROR(MAXIFS(ATTENDANCE_LOG!F:F, ATTENDANCE_LOG!C:C, A82&amp;"", ATTENDANCE_LOG!G:G, "Present"), "")</f>
        <v>46127.625</v>
      </c>
      <c r="K82" s="74" t="str">
        <f t="shared" si="1"/>
        <v/>
      </c>
      <c r="L82" s="75" t="str">
        <f t="shared" si="2"/>
        <v/>
      </c>
      <c r="M82" s="59"/>
      <c r="N82" s="77"/>
      <c r="O82" s="59"/>
      <c r="P82" s="59"/>
      <c r="Q82" s="59"/>
      <c r="R82" s="59"/>
      <c r="S82" s="59"/>
      <c r="T82" s="59"/>
      <c r="U82" s="59"/>
      <c r="V82" s="59"/>
      <c r="W82" s="87"/>
      <c r="X82" s="87"/>
      <c r="Y82" s="87"/>
    </row>
    <row r="83" ht="15.75" customHeight="1">
      <c r="A83" s="67" t="s">
        <v>302</v>
      </c>
      <c r="B83" s="68" t="s">
        <v>303</v>
      </c>
      <c r="C83" s="69" t="str">
        <f>IFERROR(__xludf.DUMMYFUNCTION("arrayformula(VLOOKUP(to_Text(A83),to_Text(sheet2!$A$1:M1002),13,0))"),"LBU")</f>
        <v>LBU</v>
      </c>
      <c r="D83" s="70" t="str">
        <f>IFERROR(__xludf.DUMMYFUNCTION("arrayformula(VLOOKUP(to_Text(A83),to_Text(sheet2!$A$1:M1002),12,0))"),"BA")</f>
        <v>BA</v>
      </c>
      <c r="E83" s="68" t="str">
        <f t="shared" si="11"/>
        <v>Inactive</v>
      </c>
      <c r="F83" s="67" t="str">
        <f t="array" ref="F83">IFERROR(
  INDEX(ATTENDANCE_INPUT!D:D,
    MATCH(1,
      (ATTENDANCE_INPUT!A:A=A83) *
      (ATTENDANCE_INPUT!V:V=MAXIFS(ATTENDANCE_INPUT!V:V, ATTENDANCE_INPUT!A:A, A83)),
      0)),
  "")</f>
        <v>Liên Nguyễn</v>
      </c>
      <c r="G83" s="72" t="str">
        <f t="array" ref="G83">IFERROR(
  INDEX(ATTENDANCE_INPUT!E:E,
    MATCH(1,
      (ATTENDANCE_INPUT!A:A=A83) *
      (ATTENDANCE_INPUT!V:V=MAXIFS(ATTENDANCE_INPUT!V:V, ATTENDANCE_INPUT!A:A, A83)),
      0)),
  "")</f>
        <v>Foundation</v>
      </c>
      <c r="H83" s="73" t="str">
        <f t="array" ref="H83">IF(ISNA(MATCH(A83,sheet2!A:A,0)),"⏳ Chưa test",IFERROR(INDEX(LEVEL_HELPER!A:A,MATCH(INDEX(sheet2!N:N,MATCH(A83,sheet2!A:A,0)),LEVEL_HELPER!B:B,0)),"⏳ Chưa test"))</f>
        <v>Foundation</v>
      </c>
      <c r="I83" s="73" t="str">
        <f t="array" ref="I83">IF(ISNA(MATCH(A83,sheet2!A:A,0)),H83,IF(INDEX(sheet2!O:O,MATCH(A83,sheet2!A:A,0))&gt;0,IFERROR(INDEX(LEVEL_HELPER!A:A,MATCH(INDEX(sheet2!O:O,MATCH(A83,sheet2!A:A,0)),LEVEL_HELPER!B:B,0)),H83),H83))</f>
        <v>Foundation</v>
      </c>
      <c r="J83" s="73">
        <f>IFERROR(MAXIFS(ATTENDANCE_LOG!F:F, ATTENDANCE_LOG!C:C, A83&amp;"", ATTENDANCE_LOG!G:G, "Present"), "")</f>
        <v>46083.58333</v>
      </c>
      <c r="K83" s="74">
        <f t="shared" si="1"/>
        <v>87</v>
      </c>
      <c r="L83" s="75" t="str">
        <f t="shared" si="2"/>
        <v>⚠ Possibly Dropped</v>
      </c>
      <c r="M83" s="59" t="s">
        <v>34</v>
      </c>
      <c r="N83" s="77" t="s">
        <v>35</v>
      </c>
      <c r="O83" s="59"/>
      <c r="P83" s="59"/>
      <c r="Q83" s="59"/>
      <c r="R83" s="59">
        <v>247026.0</v>
      </c>
      <c r="S83" s="59" t="s">
        <v>304</v>
      </c>
      <c r="T83" s="59" t="s">
        <v>37</v>
      </c>
      <c r="U83" s="59" t="str">
        <f>IFERROR(__xludf.DUMMYFUNCTION("arrayformula(vlookup(to_text(R83),to_text($A$4:$B982),2,0))"),"ĐỖ HOÀNG MINH HUY")</f>
        <v>ĐỖ HOÀNG MINH HUY</v>
      </c>
      <c r="V83" s="59"/>
      <c r="W83" s="87"/>
      <c r="X83" s="87"/>
      <c r="Y83" s="87"/>
    </row>
    <row r="84" ht="15.75" customHeight="1">
      <c r="A84" s="67" t="s">
        <v>305</v>
      </c>
      <c r="B84" s="68" t="s">
        <v>306</v>
      </c>
      <c r="C84" s="69" t="str">
        <f>IFERROR(__xludf.DUMMYFUNCTION("arrayformula(VLOOKUP(to_Text(A84),to_Text(sheet2!$A$1:M1002),13,0))"),"MOC")</f>
        <v>MOC</v>
      </c>
      <c r="D84" s="70" t="str">
        <f>IFERROR(__xludf.DUMMYFUNCTION("arrayformula(VLOOKUP(to_Text(A84),to_Text(sheet2!$A$1:M1002),12,0))"),"DEV")</f>
        <v>DEV</v>
      </c>
      <c r="E84" s="68" t="s">
        <v>175</v>
      </c>
      <c r="F84" s="67" t="str">
        <f t="array" ref="F84">IFERROR(
  INDEX(ATTENDANCE_INPUT!D:D,
    MATCH(1,
      (ATTENDANCE_INPUT!A:A=A84) *
      (ATTENDANCE_INPUT!V:V=MAXIFS(ATTENDANCE_INPUT!V:V, ATTENDANCE_INPUT!A:A, A84)),
      0)),
  "")</f>
        <v>Anh Ha</v>
      </c>
      <c r="G84" s="72" t="str">
        <f t="array" ref="G84">IFERROR(
  INDEX(ATTENDANCE_INPUT!E:E,
    MATCH(1,
      (ATTENDANCE_INPUT!A:A=A84) *
      (ATTENDANCE_INPUT!V:V=MAXIFS(ATTENDANCE_INPUT!V:V, ATTENDANCE_INPUT!A:A, A84)),
      0)),
  "")</f>
        <v>Communication 2</v>
      </c>
      <c r="H84" s="73" t="str">
        <f t="array" ref="H84">IF(ISNA(MATCH(A84,sheet2!A:A,0)),"⏳ Chưa test",IFERROR(INDEX(LEVEL_HELPER!A:A,MATCH(INDEX(sheet2!N:N,MATCH(A84,sheet2!A:A,0)),LEVEL_HELPER!B:B,0)),"⏳ Chưa test"))</f>
        <v>Beginner</v>
      </c>
      <c r="I84" s="73" t="str">
        <f t="array" ref="I84">IF(ISNA(MATCH(A84,sheet2!A:A,0)),H84,IF(INDEX(sheet2!O:O,MATCH(A84,sheet2!A:A,0))&gt;0,IFERROR(INDEX(LEVEL_HELPER!A:A,MATCH(INDEX(sheet2!O:O,MATCH(A84,sheet2!A:A,0)),LEVEL_HELPER!B:B,0)),H84),H84))</f>
        <v>Pre-Intermediate 1</v>
      </c>
      <c r="J84" s="73">
        <f>IFERROR(MAXIFS(ATTENDANCE_LOG!F:F, ATTENDANCE_LOG!C:C, A84&amp;"", ATTENDANCE_LOG!G:G, "Present"), "")</f>
        <v>46106.54167</v>
      </c>
      <c r="K84" s="74" t="str">
        <f t="shared" si="1"/>
        <v/>
      </c>
      <c r="L84" s="75" t="str">
        <f t="shared" si="2"/>
        <v/>
      </c>
      <c r="M84" s="59"/>
      <c r="N84" s="77"/>
      <c r="O84" s="78"/>
      <c r="P84" s="78"/>
      <c r="Q84" s="78"/>
      <c r="R84" s="78">
        <v>237167.0</v>
      </c>
      <c r="S84" s="78" t="s">
        <v>121</v>
      </c>
      <c r="T84" s="78" t="s">
        <v>122</v>
      </c>
      <c r="U84" s="78" t="str">
        <f>IFERROR(__xludf.DUMMYFUNCTION("arrayformula(vlookup(to_text(R84),to_text($A$4:$B1080),2,0))"),"#N/A")</f>
        <v>#N/A</v>
      </c>
      <c r="V84" s="77" t="s">
        <v>33</v>
      </c>
      <c r="W84" s="60"/>
      <c r="X84" s="60"/>
      <c r="Y84" s="60"/>
    </row>
    <row r="85" ht="15.75" customHeight="1">
      <c r="A85" s="67" t="s">
        <v>307</v>
      </c>
      <c r="B85" s="68" t="s">
        <v>308</v>
      </c>
      <c r="C85" s="69" t="str">
        <f>IFERROR(__xludf.DUMMYFUNCTION("arrayformula(VLOOKUP(to_Text(A85),to_Text(sheet2!$A$1:M1002),13,0))"),"CHORUS")</f>
        <v>CHORUS</v>
      </c>
      <c r="D85" s="70" t="str">
        <f>IFERROR(__xludf.DUMMYFUNCTION("arrayformula(VLOOKUP(to_Text(A85),to_Text(sheet2!$A$1:M1002),12,0))"),"DEV")</f>
        <v>DEV</v>
      </c>
      <c r="E85" s="68" t="str">
        <f t="shared" ref="E85:E86" si="12">if(L85="⚠ Possibly Dropped","Inactive","Active")</f>
        <v>Inactive</v>
      </c>
      <c r="F85" s="67" t="str">
        <f t="array" ref="F85">IFERROR(
  INDEX(ATTENDANCE_INPUT!D:D,
    MATCH(1,
      (ATTENDANCE_INPUT!A:A=A85) *
      (ATTENDANCE_INPUT!V:V=MAXIFS(ATTENDANCE_INPUT!V:V, ATTENDANCE_INPUT!A:A, A85)),
      0)),
  "")</f>
        <v>Huyen Vo</v>
      </c>
      <c r="G85" s="72" t="str">
        <f t="array" ref="G85">IFERROR(
  INDEX(ATTENDANCE_INPUT!E:E,
    MATCH(1,
      (ATTENDANCE_INPUT!A:A=A85) *
      (ATTENDANCE_INPUT!V:V=MAXIFS(ATTENDANCE_INPUT!V:V, ATTENDANCE_INPUT!A:A, A85)),
      0)),
  "")</f>
        <v>Communication 1</v>
      </c>
      <c r="H85" s="73" t="str">
        <f t="array" ref="H85">IF(ISNA(MATCH(A85,sheet2!A:A,0)),"⏳ Chưa test",IFERROR(INDEX(LEVEL_HELPER!A:A,MATCH(INDEX(sheet2!N:N,MATCH(A85,sheet2!A:A,0)),LEVEL_HELPER!B:B,0)),"⏳ Chưa test"))</f>
        <v>Pre-Intermediate</v>
      </c>
      <c r="I85" s="73" t="str">
        <f t="array" ref="I85">IF(ISNA(MATCH(A85,sheet2!A:A,0)),H85,IF(INDEX(sheet2!O:O,MATCH(A85,sheet2!A:A,0))&gt;0,IFERROR(INDEX(LEVEL_HELPER!A:A,MATCH(INDEX(sheet2!O:O,MATCH(A85,sheet2!A:A,0)),LEVEL_HELPER!B:B,0)),H85),H85))</f>
        <v>Pre-Intermediate 2</v>
      </c>
      <c r="J85" s="73">
        <f>IFERROR(MAXIFS(ATTENDANCE_LOG!F:F, ATTENDANCE_LOG!C:C, A85&amp;"", ATTENDANCE_LOG!G:G, "Present"), "")</f>
        <v>45784.375</v>
      </c>
      <c r="K85" s="74">
        <f t="shared" si="1"/>
        <v>300</v>
      </c>
      <c r="L85" s="75" t="str">
        <f t="shared" si="2"/>
        <v>⚠ Possibly Dropped</v>
      </c>
      <c r="M85" s="80" t="s">
        <v>36</v>
      </c>
      <c r="N85" s="76" t="s">
        <v>42</v>
      </c>
      <c r="O85" s="59"/>
      <c r="P85" s="59"/>
      <c r="Q85" s="59"/>
      <c r="R85" s="59">
        <v>247001.0</v>
      </c>
      <c r="S85" s="59" t="s">
        <v>146</v>
      </c>
      <c r="T85" s="59" t="s">
        <v>33</v>
      </c>
      <c r="U85" s="59" t="str">
        <f>IFERROR(__xludf.DUMMYFUNCTION("arrayformula(vlookup(to_text(R85),to_text($A$4:$B998),2,0))"),"#N/A")</f>
        <v>#N/A</v>
      </c>
      <c r="V85" s="59"/>
      <c r="W85" s="87"/>
      <c r="X85" s="87"/>
      <c r="Y85" s="87"/>
    </row>
    <row r="86" ht="15.75" customHeight="1">
      <c r="A86" s="67" t="s">
        <v>309</v>
      </c>
      <c r="B86" s="68" t="s">
        <v>310</v>
      </c>
      <c r="C86" s="69" t="str">
        <f>IFERROR(__xludf.DUMMYFUNCTION("arrayformula(VLOOKUP(to_Text(A86),to_Text(sheet2!$A$1:M1002),13,0))"),"MOC")</f>
        <v>MOC</v>
      </c>
      <c r="D86" s="70" t="str">
        <f>IFERROR(__xludf.DUMMYFUNCTION("arrayformula(VLOOKUP(to_Text(A86),to_Text(sheet2!$A$1:M1002),12,0))"),"DEV")</f>
        <v>DEV</v>
      </c>
      <c r="E86" s="68" t="str">
        <f t="shared" si="12"/>
        <v>Active</v>
      </c>
      <c r="F86" s="67" t="str">
        <f t="array" ref="F86">IFERROR(
  INDEX(ATTENDANCE_INPUT!D:D,
    MATCH(1,
      (ATTENDANCE_INPUT!A:A=A86) *
      (ATTENDANCE_INPUT!V:V=MAXIFS(ATTENDANCE_INPUT!V:V, ATTENDANCE_INPUT!A:A, A86)),
      0)),
  "")</f>
        <v>Van Nguyen</v>
      </c>
      <c r="G86" s="72" t="str">
        <f t="array" ref="G86">IFERROR(
  INDEX(ATTENDANCE_INPUT!E:E,
    MATCH(1,
      (ATTENDANCE_INPUT!A:A=A86) *
      (ATTENDANCE_INPUT!V:V=MAXIFS(ATTENDANCE_INPUT!V:V, ATTENDANCE_INPUT!A:A, A86)),
      0)),
  "")</f>
        <v>Business English</v>
      </c>
      <c r="H86" s="73" t="str">
        <f t="array" ref="H86">IF(ISNA(MATCH(A86,sheet2!A:A,0)),"⏳ Chưa test",IFERROR(INDEX(LEVEL_HELPER!A:A,MATCH(INDEX(sheet2!N:N,MATCH(A86,sheet2!A:A,0)),LEVEL_HELPER!B:B,0)),"⏳ Chưa test"))</f>
        <v>Beginner</v>
      </c>
      <c r="I86" s="73" t="str">
        <f t="array" ref="I86">IF(ISNA(MATCH(A86,sheet2!A:A,0)),H86,IF(INDEX(sheet2!O:O,MATCH(A86,sheet2!A:A,0))&gt;0,IFERROR(INDEX(LEVEL_HELPER!A:A,MATCH(INDEX(sheet2!O:O,MATCH(A86,sheet2!A:A,0)),LEVEL_HELPER!B:B,0)),H86),H86))</f>
        <v>Intermediate 1</v>
      </c>
      <c r="J86" s="73">
        <f>IFERROR(MAXIFS(ATTENDANCE_LOG!F:F, ATTENDANCE_LOG!C:C, A86&amp;"", ATTENDANCE_LOG!G:G, "Present"), "")</f>
        <v>46127.625</v>
      </c>
      <c r="K86" s="74" t="str">
        <f t="shared" si="1"/>
        <v/>
      </c>
      <c r="L86" s="75" t="str">
        <f t="shared" si="2"/>
        <v/>
      </c>
      <c r="M86" s="59"/>
      <c r="N86" s="77"/>
      <c r="O86" s="59"/>
      <c r="P86" s="59"/>
      <c r="Q86" s="59"/>
      <c r="R86" s="59"/>
      <c r="S86" s="59"/>
      <c r="T86" s="59"/>
      <c r="U86" s="59"/>
      <c r="V86" s="59"/>
      <c r="W86" s="87"/>
      <c r="X86" s="87"/>
      <c r="Y86" s="87"/>
    </row>
    <row r="87" ht="15.75" customHeight="1">
      <c r="A87" s="67" t="s">
        <v>311</v>
      </c>
      <c r="B87" s="68" t="s">
        <v>312</v>
      </c>
      <c r="C87" s="69" t="str">
        <f>IFERROR(__xludf.DUMMYFUNCTION("arrayformula(VLOOKUP(to_Text(A87),to_Text(sheet2!$A$1:M1002),13,0))"),"ONC")</f>
        <v>ONC</v>
      </c>
      <c r="D87" s="70" t="str">
        <f>IFERROR(__xludf.DUMMYFUNCTION("arrayformula(VLOOKUP(to_Text(A87),to_Text(sheet2!$A$1:M1002),12,0))"),"DEV")</f>
        <v>DEV</v>
      </c>
      <c r="E87" s="71" t="s">
        <v>16</v>
      </c>
      <c r="F87" s="67" t="str">
        <f t="array" ref="F87">IFERROR(
  INDEX(ATTENDANCE_INPUT!D:D,
    MATCH(1,
      (ATTENDANCE_INPUT!A:A=A87) *
      (ATTENDANCE_INPUT!V:V=MAXIFS(ATTENDANCE_INPUT!V:V, ATTENDANCE_INPUT!A:A, A87)),
      0)),
  "")</f>
        <v>Nhat Phan 2</v>
      </c>
      <c r="G87" s="72" t="str">
        <f t="array" ref="G87">IFERROR(
  INDEX(ATTENDANCE_INPUT!E:E,
    MATCH(1,
      (ATTENDANCE_INPUT!A:A=A87) *
      (ATTENDANCE_INPUT!V:V=MAXIFS(ATTENDANCE_INPUT!V:V, ATTENDANCE_INPUT!A:A, A87)),
      0)),
  "")</f>
        <v>Communication 1</v>
      </c>
      <c r="H87" s="73" t="str">
        <f t="array" ref="H87">IF(ISNA(MATCH(A87,sheet2!A:A,0)),"⏳ Chưa test",IFERROR(INDEX(LEVEL_HELPER!A:A,MATCH(INDEX(sheet2!N:N,MATCH(A87,sheet2!A:A,0)),LEVEL_HELPER!B:B,0)),"⏳ Chưa test"))</f>
        <v>Beginner</v>
      </c>
      <c r="I87" s="73" t="str">
        <f t="array" ref="I87">IF(ISNA(MATCH(A87,sheet2!A:A,0)),H87,IF(INDEX(sheet2!O:O,MATCH(A87,sheet2!A:A,0))&gt;0,IFERROR(INDEX(LEVEL_HELPER!A:A,MATCH(INDEX(sheet2!O:O,MATCH(A87,sheet2!A:A,0)),LEVEL_HELPER!B:B,0)),H87),H87))</f>
        <v>Beginner</v>
      </c>
      <c r="J87" s="73">
        <f>IFERROR(MAXIFS(ATTENDANCE_LOG!F:F, ATTENDANCE_LOG!C:C, A87&amp;"", ATTENDANCE_LOG!G:G, "Present"), "")</f>
        <v>45772.41667</v>
      </c>
      <c r="K87" s="74" t="str">
        <f t="shared" si="1"/>
        <v/>
      </c>
      <c r="L87" s="75" t="str">
        <f t="shared" si="2"/>
        <v/>
      </c>
      <c r="M87" s="80" t="s">
        <v>36</v>
      </c>
      <c r="N87" s="76" t="s">
        <v>42</v>
      </c>
      <c r="O87" s="59"/>
      <c r="P87" s="59"/>
      <c r="Q87" s="59"/>
      <c r="R87" s="59"/>
      <c r="S87" s="59"/>
      <c r="T87" s="59"/>
      <c r="U87" s="59"/>
      <c r="V87" s="59"/>
      <c r="W87" s="87"/>
      <c r="X87" s="87"/>
      <c r="Y87" s="87"/>
    </row>
    <row r="88" ht="15.75" customHeight="1">
      <c r="A88" s="67" t="s">
        <v>313</v>
      </c>
      <c r="B88" s="68" t="s">
        <v>314</v>
      </c>
      <c r="C88" s="69" t="str">
        <f>IFERROR(__xludf.DUMMYFUNCTION("arrayformula(VLOOKUP(to_Text(A88),to_Text(sheet2!$A$1:M1002),13,0))"),"LBU")</f>
        <v>LBU</v>
      </c>
      <c r="D88" s="70" t="str">
        <f>IFERROR(__xludf.DUMMYFUNCTION("arrayformula(VLOOKUP(to_Text(A88),to_Text(sheet2!$A$1:M1002),12,0))"),"GSD")</f>
        <v>GSD</v>
      </c>
      <c r="E88" s="68" t="str">
        <f t="shared" ref="E88:E89" si="13">if(L88="⚠ Possibly Dropped","Inactive","Active")</f>
        <v>Inactive</v>
      </c>
      <c r="F88" s="67" t="str">
        <f t="array" ref="F88">IFERROR(
  INDEX(ATTENDANCE_INPUT!D:D,
    MATCH(1,
      (ATTENDANCE_INPUT!A:A=A88) *
      (ATTENDANCE_INPUT!V:V=MAXIFS(ATTENDANCE_INPUT!V:V, ATTENDANCE_INPUT!A:A, A88)),
      0)),
  "")</f>
        <v>Huong Le</v>
      </c>
      <c r="G88" s="72" t="str">
        <f t="array" ref="G88">IFERROR(
  INDEX(ATTENDANCE_INPUT!E:E,
    MATCH(1,
      (ATTENDANCE_INPUT!A:A=A88) *
      (ATTENDANCE_INPUT!V:V=MAXIFS(ATTENDANCE_INPUT!V:V, ATTENDANCE_INPUT!A:A, A88)),
      0)),
  "")</f>
        <v>Communication 2</v>
      </c>
      <c r="H88" s="73" t="str">
        <f t="array" ref="H88">IF(ISNA(MATCH(A88,sheet2!A:A,0)),"⏳ Chưa test",IFERROR(INDEX(LEVEL_HELPER!A:A,MATCH(INDEX(sheet2!N:N,MATCH(A88,sheet2!A:A,0)),LEVEL_HELPER!B:B,0)),"⏳ Chưa test"))</f>
        <v>Beginner</v>
      </c>
      <c r="I88" s="73" t="str">
        <f t="array" ref="I88">IF(ISNA(MATCH(A88,sheet2!A:A,0)),H88,IF(INDEX(sheet2!O:O,MATCH(A88,sheet2!A:A,0))&gt;0,IFERROR(INDEX(LEVEL_HELPER!A:A,MATCH(INDEX(sheet2!O:O,MATCH(A88,sheet2!A:A,0)),LEVEL_HELPER!B:B,0)),H88),H88))</f>
        <v>Intermediate 1</v>
      </c>
      <c r="J88" s="73">
        <f>IFERROR(MAXIFS(ATTENDANCE_LOG!F:F, ATTENDANCE_LOG!C:C, A88&amp;"", ATTENDANCE_LOG!G:G, "Present"), "")</f>
        <v>46115.54167</v>
      </c>
      <c r="K88" s="74">
        <f t="shared" si="1"/>
        <v>58</v>
      </c>
      <c r="L88" s="75" t="str">
        <f t="shared" si="2"/>
        <v>⚠ Possibly Dropped</v>
      </c>
      <c r="M88" s="59"/>
      <c r="N88" s="77"/>
      <c r="O88" s="59"/>
      <c r="P88" s="59"/>
      <c r="Q88" s="59"/>
      <c r="R88" s="89"/>
      <c r="S88" s="89"/>
      <c r="T88" s="89"/>
      <c r="U88" s="89"/>
      <c r="V88" s="59"/>
      <c r="W88" s="87"/>
      <c r="X88" s="87"/>
      <c r="Y88" s="87"/>
    </row>
    <row r="89" ht="15.75" customHeight="1">
      <c r="A89" s="67" t="s">
        <v>315</v>
      </c>
      <c r="B89" s="68" t="s">
        <v>316</v>
      </c>
      <c r="C89" s="69" t="str">
        <f>IFERROR(__xludf.DUMMYFUNCTION("arrayformula(VLOOKUP(to_Text(A89),to_Text(sheet2!$A$1:M1002),13,0))"),"TBU")</f>
        <v>TBU</v>
      </c>
      <c r="D89" s="70" t="str">
        <f>IFERROR(__xludf.DUMMYFUNCTION("arrayformula(VLOOKUP(to_Text(A89),to_Text(sheet2!$A$1:M1002),12,0))"),"DEV")</f>
        <v>DEV</v>
      </c>
      <c r="E89" s="68" t="str">
        <f t="shared" si="13"/>
        <v>Active</v>
      </c>
      <c r="F89" s="67" t="str">
        <f t="array" ref="F89">IFERROR(
  INDEX(ATTENDANCE_INPUT!D:D,
    MATCH(1,
      (ATTENDANCE_INPUT!A:A=A89) *
      (ATTENDANCE_INPUT!V:V=MAXIFS(ATTENDANCE_INPUT!V:V, ATTENDANCE_INPUT!A:A, A89)),
      0)),
  "")</f>
        <v>Thien Truong</v>
      </c>
      <c r="G89" s="72" t="str">
        <f t="array" ref="G89">IFERROR(
  INDEX(ATTENDANCE_INPUT!E:E,
    MATCH(1,
      (ATTENDANCE_INPUT!A:A=A89) *
      (ATTENDANCE_INPUT!V:V=MAXIFS(ATTENDANCE_INPUT!V:V, ATTENDANCE_INPUT!A:A, A89)),
      0)),
  "")</f>
        <v>Communication 3</v>
      </c>
      <c r="H89" s="73" t="str">
        <f t="array" ref="H89">IF(ISNA(MATCH(A89,sheet2!A:A,0)),"⏳ Chưa test",IFERROR(INDEX(LEVEL_HELPER!A:A,MATCH(INDEX(sheet2!N:N,MATCH(A89,sheet2!A:A,0)),LEVEL_HELPER!B:B,0)),"⏳ Chưa test"))</f>
        <v>Beginner</v>
      </c>
      <c r="I89" s="73" t="str">
        <f t="array" ref="I89">IF(ISNA(MATCH(A89,sheet2!A:A,0)),H89,IF(INDEX(sheet2!O:O,MATCH(A89,sheet2!A:A,0))&gt;0,IFERROR(INDEX(LEVEL_HELPER!A:A,MATCH(INDEX(sheet2!O:O,MATCH(A89,sheet2!A:A,0)),LEVEL_HELPER!B:B,0)),H89),H89))</f>
        <v>Beginner 2</v>
      </c>
      <c r="J89" s="73">
        <f>IFERROR(MAXIFS(ATTENDANCE_LOG!F:F, ATTENDANCE_LOG!C:C, A89&amp;"", ATTENDANCE_LOG!G:G, "Present"), "")</f>
        <v>46134.58333</v>
      </c>
      <c r="K89" s="74" t="str">
        <f t="shared" si="1"/>
        <v/>
      </c>
      <c r="L89" s="75" t="str">
        <f t="shared" si="2"/>
        <v/>
      </c>
      <c r="M89" s="59"/>
      <c r="N89" s="77"/>
      <c r="O89" s="59" t="s">
        <v>236</v>
      </c>
      <c r="P89" s="59"/>
      <c r="Q89" s="59"/>
      <c r="R89" s="59"/>
      <c r="S89" s="59"/>
      <c r="T89" s="59"/>
      <c r="U89" s="59"/>
      <c r="V89" s="59"/>
      <c r="W89" s="87"/>
      <c r="X89" s="87"/>
      <c r="Y89" s="87"/>
    </row>
    <row r="90" ht="15.75" customHeight="1">
      <c r="A90" s="67" t="s">
        <v>317</v>
      </c>
      <c r="B90" s="68" t="s">
        <v>318</v>
      </c>
      <c r="C90" s="69" t="str">
        <f>IFERROR(__xludf.DUMMYFUNCTION("arrayformula(VLOOKUP(to_Text(A90),to_Text(sheet2!$A$1:M1002),13,0))"),"ONC")</f>
        <v>ONC</v>
      </c>
      <c r="D90" s="70" t="str">
        <f>IFERROR(__xludf.DUMMYFUNCTION("arrayformula(VLOOKUP(to_Text(A90),to_Text(sheet2!$A$1:M1002),12,0))"),"QC")</f>
        <v>QC</v>
      </c>
      <c r="E90" s="71" t="s">
        <v>16</v>
      </c>
      <c r="F90" s="67" t="str">
        <f t="array" ref="F90">IFERROR(
  INDEX(ATTENDANCE_INPUT!D:D,
    MATCH(1,
      (ATTENDANCE_INPUT!A:A=A90) *
      (ATTENDANCE_INPUT!V:V=MAXIFS(ATTENDANCE_INPUT!V:V, ATTENDANCE_INPUT!A:A, A90)),
      0)),
  "")</f>
        <v>Thao Vu 1</v>
      </c>
      <c r="G90" s="72" t="str">
        <f t="array" ref="G90">IFERROR(
  INDEX(ATTENDANCE_INPUT!E:E,
    MATCH(1,
      (ATTENDANCE_INPUT!A:A=A90) *
      (ATTENDANCE_INPUT!V:V=MAXIFS(ATTENDANCE_INPUT!V:V, ATTENDANCE_INPUT!A:A, A90)),
      0)),
  "")</f>
        <v>Communication 1</v>
      </c>
      <c r="H90" s="73" t="str">
        <f t="array" ref="H90">IF(ISNA(MATCH(A90,sheet2!A:A,0)),"⏳ Chưa test",IFERROR(INDEX(LEVEL_HELPER!A:A,MATCH(INDEX(sheet2!N:N,MATCH(A90,sheet2!A:A,0)),LEVEL_HELPER!B:B,0)),"⏳ Chưa test"))</f>
        <v>Beginner</v>
      </c>
      <c r="I90" s="73" t="str">
        <f t="array" ref="I90">IF(ISNA(MATCH(A90,sheet2!A:A,0)),H90,IF(INDEX(sheet2!O:O,MATCH(A90,sheet2!A:A,0))&gt;0,IFERROR(INDEX(LEVEL_HELPER!A:A,MATCH(INDEX(sheet2!O:O,MATCH(A90,sheet2!A:A,0)),LEVEL_HELPER!B:B,0)),H90),H90))</f>
        <v>Beginner</v>
      </c>
      <c r="J90" s="73">
        <f>IFERROR(MAXIFS(ATTENDANCE_LOG!F:F, ATTENDANCE_LOG!C:C, A90&amp;"", ATTENDANCE_LOG!G:G, "Present"), "")</f>
        <v>45801.41667</v>
      </c>
      <c r="K90" s="74" t="str">
        <f t="shared" si="1"/>
        <v/>
      </c>
      <c r="L90" s="75" t="str">
        <f t="shared" si="2"/>
        <v/>
      </c>
      <c r="M90" s="80" t="s">
        <v>34</v>
      </c>
      <c r="N90" s="77" t="s">
        <v>33</v>
      </c>
      <c r="O90" s="59"/>
      <c r="P90" s="59"/>
      <c r="Q90" s="59"/>
      <c r="R90" s="59"/>
      <c r="S90" s="59"/>
      <c r="T90" s="59"/>
      <c r="U90" s="59"/>
      <c r="V90" s="59"/>
      <c r="W90" s="87"/>
      <c r="X90" s="87"/>
      <c r="Y90" s="87"/>
    </row>
    <row r="91" ht="15.75" customHeight="1">
      <c r="A91" s="67" t="s">
        <v>319</v>
      </c>
      <c r="B91" s="68" t="s">
        <v>320</v>
      </c>
      <c r="C91" s="69" t="str">
        <f>IFERROR(__xludf.DUMMYFUNCTION("arrayformula(VLOOKUP(to_Text(A91),to_Text(sheet2!$A$1:M1002),13,0))"),"POC")</f>
        <v>POC</v>
      </c>
      <c r="D91" s="70" t="str">
        <f>IFERROR(__xludf.DUMMYFUNCTION("arrayformula(VLOOKUP(to_Text(A91),to_Text(sheet2!$A$1:M1002),12,0))"),"QC")</f>
        <v>QC</v>
      </c>
      <c r="E91" s="68" t="str">
        <f>if(L91="⚠ Possibly Dropped","Inactive","Active")</f>
        <v>Active</v>
      </c>
      <c r="F91" s="67" t="str">
        <f t="array" ref="F91">IFERROR(
  INDEX(ATTENDANCE_INPUT!D:D,
    MATCH(1,
      (ATTENDANCE_INPUT!A:A=A91) *
      (ATTENDANCE_INPUT!V:V=MAXIFS(ATTENDANCE_INPUT!V:V, ATTENDANCE_INPUT!A:A, A91)),
      0)),
  "")</f>
        <v>Thien Truong</v>
      </c>
      <c r="G91" s="72" t="str">
        <f t="array" ref="G91">IFERROR(
  INDEX(ATTENDANCE_INPUT!E:E,
    MATCH(1,
      (ATTENDANCE_INPUT!A:A=A91) *
      (ATTENDANCE_INPUT!V:V=MAXIFS(ATTENDANCE_INPUT!V:V, ATTENDANCE_INPUT!A:A, A91)),
      0)),
  "")</f>
        <v>Communication 3</v>
      </c>
      <c r="H91" s="73" t="str">
        <f t="array" ref="H91">IF(ISNA(MATCH(A91,sheet2!A:A,0)),"⏳ Chưa test",IFERROR(INDEX(LEVEL_HELPER!A:A,MATCH(INDEX(sheet2!N:N,MATCH(A91,sheet2!A:A,0)),LEVEL_HELPER!B:B,0)),"⏳ Chưa test"))</f>
        <v>Beginner</v>
      </c>
      <c r="I91" s="73" t="str">
        <f t="array" ref="I91">IF(ISNA(MATCH(A91,sheet2!A:A,0)),H91,IF(INDEX(sheet2!O:O,MATCH(A91,sheet2!A:A,0))&gt;0,IFERROR(INDEX(LEVEL_HELPER!A:A,MATCH(INDEX(sheet2!O:O,MATCH(A91,sheet2!A:A,0)),LEVEL_HELPER!B:B,0)),H91),H91))</f>
        <v>Beginner 3</v>
      </c>
      <c r="J91" s="73">
        <f>IFERROR(MAXIFS(ATTENDANCE_LOG!F:F, ATTENDANCE_LOG!C:C, A91&amp;"", ATTENDANCE_LOG!G:G, "Present"), "")</f>
        <v>46134.58333</v>
      </c>
      <c r="K91" s="74" t="str">
        <f t="shared" si="1"/>
        <v/>
      </c>
      <c r="L91" s="75" t="str">
        <f t="shared" si="2"/>
        <v/>
      </c>
      <c r="M91" s="59"/>
      <c r="N91" s="77"/>
      <c r="O91" s="59"/>
      <c r="P91" s="59"/>
      <c r="Q91" s="59"/>
      <c r="R91" s="59">
        <v>173239.0</v>
      </c>
      <c r="S91" s="59" t="s">
        <v>41</v>
      </c>
      <c r="T91" s="59" t="s">
        <v>41</v>
      </c>
      <c r="U91" s="59" t="e">
        <v>#N/A</v>
      </c>
      <c r="V91" s="59"/>
      <c r="W91" s="87"/>
      <c r="X91" s="87"/>
      <c r="Y91" s="87"/>
    </row>
    <row r="92" ht="15.75" customHeight="1">
      <c r="A92" s="67" t="s">
        <v>321</v>
      </c>
      <c r="B92" s="68" t="s">
        <v>322</v>
      </c>
      <c r="C92" s="69" t="str">
        <f>IFERROR(__xludf.DUMMYFUNCTION("arrayformula(VLOOKUP(to_Text(A92),to_Text(sheet2!$A$1:M1002),13,0))"),"CHORUS")</f>
        <v>CHORUS</v>
      </c>
      <c r="D92" s="70" t="str">
        <f>IFERROR(__xludf.DUMMYFUNCTION("arrayformula(VLOOKUP(to_Text(A92),to_Text(sheet2!$A$1:M1002),12,0))"),"QC")</f>
        <v>QC</v>
      </c>
      <c r="E92" s="71" t="s">
        <v>16</v>
      </c>
      <c r="F92" s="67" t="str">
        <f t="array" ref="F92">IFERROR(
  INDEX(ATTENDANCE_INPUT!D:D,
    MATCH(1,
      (ATTENDANCE_INPUT!A:A=A92) *
      (ATTENDANCE_INPUT!V:V=MAXIFS(ATTENDANCE_INPUT!V:V, ATTENDANCE_INPUT!A:A, A92)),
      0)),
  "")</f>
        <v>Huy Tran 1</v>
      </c>
      <c r="G92" s="72" t="str">
        <f t="array" ref="G92">IFERROR(
  INDEX(ATTENDANCE_INPUT!E:E,
    MATCH(1,
      (ATTENDANCE_INPUT!A:A=A92) *
      (ATTENDANCE_INPUT!V:V=MAXIFS(ATTENDANCE_INPUT!V:V, ATTENDANCE_INPUT!A:A, A92)),
      0)),
  "")</f>
        <v>Communication 2</v>
      </c>
      <c r="H92" s="73" t="str">
        <f t="array" ref="H92">IF(ISNA(MATCH(A92,sheet2!A:A,0)),"⏳ Chưa test",IFERROR(INDEX(LEVEL_HELPER!A:A,MATCH(INDEX(sheet2!N:N,MATCH(A92,sheet2!A:A,0)),LEVEL_HELPER!B:B,0)),"⏳ Chưa test"))</f>
        <v>Beginner</v>
      </c>
      <c r="I92" s="73" t="str">
        <f t="array" ref="I92">IF(ISNA(MATCH(A92,sheet2!A:A,0)),H92,IF(INDEX(sheet2!O:O,MATCH(A92,sheet2!A:A,0))&gt;0,IFERROR(INDEX(LEVEL_HELPER!A:A,MATCH(INDEX(sheet2!O:O,MATCH(A92,sheet2!A:A,0)),LEVEL_HELPER!B:B,0)),H92),H92))</f>
        <v>Pre-Intermediate</v>
      </c>
      <c r="J92" s="73">
        <f>IFERROR(MAXIFS(ATTENDANCE_LOG!F:F, ATTENDANCE_LOG!C:C, A92&amp;"", ATTENDANCE_LOG!G:G, "Present"), "")</f>
        <v>45895.45833</v>
      </c>
      <c r="K92" s="74" t="str">
        <f t="shared" si="1"/>
        <v/>
      </c>
      <c r="L92" s="75" t="str">
        <f t="shared" si="2"/>
        <v/>
      </c>
      <c r="M92" s="59" t="s">
        <v>36</v>
      </c>
      <c r="N92" s="77" t="s">
        <v>33</v>
      </c>
      <c r="O92" s="59"/>
      <c r="P92" s="59"/>
      <c r="Q92" s="59"/>
      <c r="R92" s="59"/>
      <c r="S92" s="59"/>
      <c r="T92" s="59"/>
      <c r="U92" s="59"/>
      <c r="V92" s="59"/>
      <c r="W92" s="87"/>
      <c r="X92" s="87"/>
      <c r="Y92" s="87"/>
    </row>
    <row r="93" ht="15.75" customHeight="1">
      <c r="A93" s="67" t="s">
        <v>323</v>
      </c>
      <c r="B93" s="68" t="s">
        <v>324</v>
      </c>
      <c r="C93" s="69" t="str">
        <f>IFERROR(__xludf.DUMMYFUNCTION("arrayformula(VLOOKUP(to_Text(A93),to_Text(sheet2!$A$1:M1002),13,0))"),"ONC")</f>
        <v>ONC</v>
      </c>
      <c r="D93" s="70" t="str">
        <f>IFERROR(__xludf.DUMMYFUNCTION("arrayformula(VLOOKUP(to_Text(A93),to_Text(sheet2!$A$1:M1002),12,0))"),"DEV")</f>
        <v>DEV</v>
      </c>
      <c r="E93" s="71" t="s">
        <v>16</v>
      </c>
      <c r="F93" s="67" t="str">
        <f t="array" ref="F93">IFERROR(
  INDEX(ATTENDANCE_INPUT!D:D,
    MATCH(1,
      (ATTENDANCE_INPUT!A:A=A93) *
      (ATTENDANCE_INPUT!V:V=MAXIFS(ATTENDANCE_INPUT!V:V, ATTENDANCE_INPUT!A:A, A93)),
      0)),
  "")</f>
        <v>Nhat Phan 1</v>
      </c>
      <c r="G93" s="72" t="str">
        <f t="array" ref="G93">IFERROR(
  INDEX(ATTENDANCE_INPUT!E:E,
    MATCH(1,
      (ATTENDANCE_INPUT!A:A=A93) *
      (ATTENDANCE_INPUT!V:V=MAXIFS(ATTENDANCE_INPUT!V:V, ATTENDANCE_INPUT!A:A, A93)),
      0)),
  "")</f>
        <v>Communication 2</v>
      </c>
      <c r="H93" s="73" t="str">
        <f t="array" ref="H93">IF(ISNA(MATCH(A93,sheet2!A:A,0)),"⏳ Chưa test",IFERROR(INDEX(LEVEL_HELPER!A:A,MATCH(INDEX(sheet2!N:N,MATCH(A93,sheet2!A:A,0)),LEVEL_HELPER!B:B,0)),"⏳ Chưa test"))</f>
        <v>Beginner</v>
      </c>
      <c r="I93" s="73" t="str">
        <f t="array" ref="I93">IF(ISNA(MATCH(A93,sheet2!A:A,0)),H93,IF(INDEX(sheet2!O:O,MATCH(A93,sheet2!A:A,0))&gt;0,IFERROR(INDEX(LEVEL_HELPER!A:A,MATCH(INDEX(sheet2!O:O,MATCH(A93,sheet2!A:A,0)),LEVEL_HELPER!B:B,0)),H93),H93))</f>
        <v>Beginner</v>
      </c>
      <c r="J93" s="73">
        <f>IFERROR(MAXIFS(ATTENDANCE_LOG!F:F, ATTENDANCE_LOG!C:C, A93&amp;"", ATTENDANCE_LOG!G:G, "Present"), "")</f>
        <v>46021.58333</v>
      </c>
      <c r="K93" s="74" t="str">
        <f t="shared" si="1"/>
        <v/>
      </c>
      <c r="L93" s="75" t="str">
        <f t="shared" si="2"/>
        <v/>
      </c>
      <c r="M93" s="59" t="s">
        <v>34</v>
      </c>
      <c r="N93" s="77" t="s">
        <v>33</v>
      </c>
      <c r="O93" s="59"/>
      <c r="P93" s="59"/>
      <c r="Q93" s="59"/>
      <c r="R93" s="59"/>
      <c r="S93" s="59"/>
      <c r="T93" s="59"/>
      <c r="U93" s="59"/>
      <c r="V93" s="59"/>
      <c r="W93" s="87"/>
      <c r="X93" s="87"/>
      <c r="Y93" s="87"/>
    </row>
    <row r="94" ht="15.75" customHeight="1">
      <c r="A94" s="67" t="s">
        <v>325</v>
      </c>
      <c r="B94" s="68" t="s">
        <v>326</v>
      </c>
      <c r="C94" s="69" t="str">
        <f>IFERROR(__xludf.DUMMYFUNCTION("arrayformula(VLOOKUP(to_Text(A94),to_Text(sheet2!$A$1:M1002),13,0))"),"CHORUS")</f>
        <v>CHORUS</v>
      </c>
      <c r="D94" s="70" t="str">
        <f>IFERROR(__xludf.DUMMYFUNCTION("arrayformula(VLOOKUP(to_Text(A94),to_Text(sheet2!$A$1:M1002),12,0))"),"UI/UX")</f>
        <v>UI/UX</v>
      </c>
      <c r="E94" s="71" t="s">
        <v>16</v>
      </c>
      <c r="F94" s="67" t="str">
        <f t="array" ref="F94">IFERROR(
  INDEX(ATTENDANCE_INPUT!D:D,
    MATCH(1,
      (ATTENDANCE_INPUT!A:A=A94) *
      (ATTENDANCE_INPUT!V:V=MAXIFS(ATTENDANCE_INPUT!V:V, ATTENDANCE_INPUT!A:A, A94)),
      0)),
  "")</f>
        <v>Huy Nguyen</v>
      </c>
      <c r="G94" s="72" t="str">
        <f t="array" ref="G94">IFERROR(
  INDEX(ATTENDANCE_INPUT!E:E,
    MATCH(1,
      (ATTENDANCE_INPUT!A:A=A94) *
      (ATTENDANCE_INPUT!V:V=MAXIFS(ATTENDANCE_INPUT!V:V, ATTENDANCE_INPUT!A:A, A94)),
      0)),
  "")</f>
        <v>Communication 1</v>
      </c>
      <c r="H94" s="73" t="str">
        <f t="array" ref="H94">IF(ISNA(MATCH(A94,sheet2!A:A,0)),"⏳ Chưa test",IFERROR(INDEX(LEVEL_HELPER!A:A,MATCH(INDEX(sheet2!N:N,MATCH(A94,sheet2!A:A,0)),LEVEL_HELPER!B:B,0)),"⏳ Chưa test"))</f>
        <v>Beginner</v>
      </c>
      <c r="I94" s="73" t="str">
        <f t="array" ref="I94">IF(ISNA(MATCH(A94,sheet2!A:A,0)),H94,IF(INDEX(sheet2!O:O,MATCH(A94,sheet2!A:A,0))&gt;0,IFERROR(INDEX(LEVEL_HELPER!A:A,MATCH(INDEX(sheet2!O:O,MATCH(A94,sheet2!A:A,0)),LEVEL_HELPER!B:B,0)),H94),H94))</f>
        <v>Pre-Intermediate 2</v>
      </c>
      <c r="J94" s="73">
        <f>IFERROR(MAXIFS(ATTENDANCE_LOG!F:F, ATTENDANCE_LOG!C:C, A94&amp;"", ATTENDANCE_LOG!G:G, "Present"), "")</f>
        <v>45959.41667</v>
      </c>
      <c r="K94" s="74" t="str">
        <f t="shared" si="1"/>
        <v/>
      </c>
      <c r="L94" s="75" t="str">
        <f t="shared" si="2"/>
        <v/>
      </c>
      <c r="M94" s="59" t="s">
        <v>34</v>
      </c>
      <c r="N94" s="77" t="s">
        <v>33</v>
      </c>
      <c r="O94" s="59"/>
      <c r="P94" s="59"/>
      <c r="Q94" s="59"/>
      <c r="R94" s="59">
        <v>227171.0</v>
      </c>
      <c r="S94" s="59" t="s">
        <v>327</v>
      </c>
      <c r="T94" s="59" t="s">
        <v>327</v>
      </c>
      <c r="U94" s="59" t="e">
        <v>#N/A</v>
      </c>
      <c r="V94" s="59"/>
      <c r="W94" s="87"/>
      <c r="X94" s="87"/>
      <c r="Y94" s="87"/>
    </row>
    <row r="95" ht="15.75" customHeight="1">
      <c r="A95" s="67" t="s">
        <v>328</v>
      </c>
      <c r="B95" s="68" t="s">
        <v>329</v>
      </c>
      <c r="C95" s="69" t="str">
        <f>IFERROR(__xludf.DUMMYFUNCTION("arrayformula(VLOOKUP(to_Text(A95),to_Text(sheet2!$A$1:M1002),13,0))"),"CHORUS")</f>
        <v>CHORUS</v>
      </c>
      <c r="D95" s="70" t="str">
        <f>IFERROR(__xludf.DUMMYFUNCTION("arrayformula(VLOOKUP(to_Text(A95),to_Text(sheet2!$A$1:M1002),12,0))"),"DEV")</f>
        <v>DEV</v>
      </c>
      <c r="E95" s="71" t="s">
        <v>16</v>
      </c>
      <c r="F95" s="67" t="str">
        <f t="array" ref="F95">IFERROR(
  INDEX(ATTENDANCE_INPUT!D:D,
    MATCH(1,
      (ATTENDANCE_INPUT!A:A=A95) *
      (ATTENDANCE_INPUT!V:V=MAXIFS(ATTENDANCE_INPUT!V:V, ATTENDANCE_INPUT!A:A, A95)),
      0)),
  "")</f>
        <v>Buu Do 1</v>
      </c>
      <c r="G95" s="72" t="str">
        <f t="array" ref="G95">IFERROR(
  INDEX(ATTENDANCE_INPUT!E:E,
    MATCH(1,
      (ATTENDANCE_INPUT!A:A=A95) *
      (ATTENDANCE_INPUT!V:V=MAXIFS(ATTENDANCE_INPUT!V:V, ATTENDANCE_INPUT!A:A, A95)),
      0)),
  "")</f>
        <v>Communication 1</v>
      </c>
      <c r="H95" s="73" t="str">
        <f t="array" ref="H95">IF(ISNA(MATCH(A95,sheet2!A:A,0)),"⏳ Chưa test",IFERROR(INDEX(LEVEL_HELPER!A:A,MATCH(INDEX(sheet2!N:N,MATCH(A95,sheet2!A:A,0)),LEVEL_HELPER!B:B,0)),"⏳ Chưa test"))</f>
        <v>Beginner</v>
      </c>
      <c r="I95" s="73" t="str">
        <f t="array" ref="I95">IF(ISNA(MATCH(A95,sheet2!A:A,0)),H95,IF(INDEX(sheet2!O:O,MATCH(A95,sheet2!A:A,0))&gt;0,IFERROR(INDEX(LEVEL_HELPER!A:A,MATCH(INDEX(sheet2!O:O,MATCH(A95,sheet2!A:A,0)),LEVEL_HELPER!B:B,0)),H95),H95))</f>
        <v>Pre-Intermediate 1</v>
      </c>
      <c r="J95" s="73">
        <f>IFERROR(MAXIFS(ATTENDANCE_LOG!F:F, ATTENDANCE_LOG!C:C, A95&amp;"", ATTENDANCE_LOG!G:G, "Present"), "")</f>
        <v>45954.375</v>
      </c>
      <c r="K95" s="74" t="str">
        <f t="shared" si="1"/>
        <v/>
      </c>
      <c r="L95" s="75" t="str">
        <f t="shared" si="2"/>
        <v/>
      </c>
      <c r="M95" s="59" t="s">
        <v>34</v>
      </c>
      <c r="N95" s="77" t="s">
        <v>33</v>
      </c>
      <c r="O95" s="59"/>
      <c r="P95" s="59"/>
      <c r="Q95" s="59"/>
      <c r="R95" s="59">
        <v>247173.0</v>
      </c>
      <c r="S95" s="59" t="s">
        <v>172</v>
      </c>
      <c r="T95" s="59" t="s">
        <v>39</v>
      </c>
      <c r="U95" s="59" t="e">
        <v>#N/A</v>
      </c>
      <c r="V95" s="59"/>
      <c r="W95" s="87"/>
      <c r="X95" s="87"/>
      <c r="Y95" s="87"/>
    </row>
    <row r="96" ht="15.75" customHeight="1">
      <c r="A96" s="67" t="s">
        <v>330</v>
      </c>
      <c r="B96" s="68" t="s">
        <v>331</v>
      </c>
      <c r="C96" s="69" t="str">
        <f>IFERROR(__xludf.DUMMYFUNCTION("arrayformula(VLOOKUP(to_Text(A96),to_Text(sheet2!$A$1:M1002),13,0))"),"LBU")</f>
        <v>LBU</v>
      </c>
      <c r="D96" s="70" t="str">
        <f>IFERROR(__xludf.DUMMYFUNCTION("arrayformula(VLOOKUP(to_Text(A96),to_Text(sheet2!$A$1:M1002),12,0))"),"DEV")</f>
        <v>DEV</v>
      </c>
      <c r="E96" s="68" t="str">
        <f>if(L96="⚠ Possibly Dropped","Inactive","Active")</f>
        <v>Inactive</v>
      </c>
      <c r="F96" s="67" t="str">
        <f t="array" ref="F96">IFERROR(
  INDEX(ATTENDANCE_INPUT!D:D,
    MATCH(1,
      (ATTENDANCE_INPUT!A:A=A96) *
      (ATTENDANCE_INPUT!V:V=MAXIFS(ATTENDANCE_INPUT!V:V, ATTENDANCE_INPUT!A:A, A96)),
      0)),
  "")</f>
        <v>Huong Le</v>
      </c>
      <c r="G96" s="72" t="str">
        <f t="array" ref="G96">IFERROR(
  INDEX(ATTENDANCE_INPUT!E:E,
    MATCH(1,
      (ATTENDANCE_INPUT!A:A=A96) *
      (ATTENDANCE_INPUT!V:V=MAXIFS(ATTENDANCE_INPUT!V:V, ATTENDANCE_INPUT!A:A, A96)),
      0)),
  "")</f>
        <v>Communication 2</v>
      </c>
      <c r="H96" s="73" t="str">
        <f t="array" ref="H96">IF(ISNA(MATCH(A96,sheet2!A:A,0)),"⏳ Chưa test",IFERROR(INDEX(LEVEL_HELPER!A:A,MATCH(INDEX(sheet2!N:N,MATCH(A96,sheet2!A:A,0)),LEVEL_HELPER!B:B,0)),"⏳ Chưa test"))</f>
        <v>Pre-Intermediate</v>
      </c>
      <c r="I96" s="73" t="str">
        <f t="array" ref="I96">IF(ISNA(MATCH(A96,sheet2!A:A,0)),H96,IF(INDEX(sheet2!O:O,MATCH(A96,sheet2!A:A,0))&gt;0,IFERROR(INDEX(LEVEL_HELPER!A:A,MATCH(INDEX(sheet2!O:O,MATCH(A96,sheet2!A:A,0)),LEVEL_HELPER!B:B,0)),H96),H96))</f>
        <v>Intermediate 2</v>
      </c>
      <c r="J96" s="73">
        <f>IFERROR(MAXIFS(ATTENDANCE_LOG!F:F, ATTENDANCE_LOG!C:C, A96&amp;"", ATTENDANCE_LOG!G:G, "Present"), "")</f>
        <v>46115.54167</v>
      </c>
      <c r="K96" s="74">
        <f t="shared" si="1"/>
        <v>58</v>
      </c>
      <c r="L96" s="75" t="str">
        <f t="shared" si="2"/>
        <v>⚠ Possibly Dropped</v>
      </c>
      <c r="M96" s="59"/>
      <c r="N96" s="77"/>
      <c r="O96" s="59"/>
      <c r="P96" s="59"/>
      <c r="Q96" s="59"/>
      <c r="R96" s="59">
        <v>213828.0</v>
      </c>
      <c r="S96" s="59" t="s">
        <v>121</v>
      </c>
      <c r="T96" s="59" t="s">
        <v>122</v>
      </c>
      <c r="U96" s="59" t="e">
        <v>#N/A</v>
      </c>
      <c r="V96" s="59"/>
      <c r="W96" s="87"/>
      <c r="X96" s="87"/>
      <c r="Y96" s="87"/>
    </row>
    <row r="97" ht="15.75" customHeight="1">
      <c r="A97" s="67" t="s">
        <v>332</v>
      </c>
      <c r="B97" s="68" t="s">
        <v>333</v>
      </c>
      <c r="C97" s="69" t="str">
        <f>IFERROR(__xludf.DUMMYFUNCTION("arrayformula(VLOOKUP(to_Text(A97),to_Text(sheet2!$A$1:M1002),13,0))"),"MOC")</f>
        <v>MOC</v>
      </c>
      <c r="D97" s="70" t="str">
        <f>IFERROR(__xludf.DUMMYFUNCTION("arrayformula(VLOOKUP(to_Text(A97),to_Text(sheet2!$A$1:M1002),12,0))"),"DEV")</f>
        <v>DEV</v>
      </c>
      <c r="E97" s="71" t="s">
        <v>16</v>
      </c>
      <c r="F97" s="67" t="str">
        <f t="array" ref="F97">IFERROR(
  INDEX(ATTENDANCE_INPUT!D:D,
    MATCH(1,
      (ATTENDANCE_INPUT!A:A=A97) *
      (ATTENDANCE_INPUT!V:V=MAXIFS(ATTENDANCE_INPUT!V:V, ATTENDANCE_INPUT!A:A, A97)),
      0)),
  "")</f>
        <v>Tai Pham</v>
      </c>
      <c r="G97" s="72" t="str">
        <f t="array" ref="G97">IFERROR(
  INDEX(ATTENDANCE_INPUT!E:E,
    MATCH(1,
      (ATTENDANCE_INPUT!A:A=A97) *
      (ATTENDANCE_INPUT!V:V=MAXIFS(ATTENDANCE_INPUT!V:V, ATTENDANCE_INPUT!A:A, A97)),
      0)),
  "")</f>
        <v>Communication 2</v>
      </c>
      <c r="H97" s="73" t="str">
        <f t="array" ref="H97">IF(ISNA(MATCH(A97,sheet2!A:A,0)),"⏳ Chưa test",IFERROR(INDEX(LEVEL_HELPER!A:A,MATCH(INDEX(sheet2!N:N,MATCH(A97,sheet2!A:A,0)),LEVEL_HELPER!B:B,0)),"⏳ Chưa test"))</f>
        <v>Beginner</v>
      </c>
      <c r="I97" s="73" t="str">
        <f t="array" ref="I97">IF(ISNA(MATCH(A97,sheet2!A:A,0)),H97,IF(INDEX(sheet2!O:O,MATCH(A97,sheet2!A:A,0))&gt;0,IFERROR(INDEX(LEVEL_HELPER!A:A,MATCH(INDEX(sheet2!O:O,MATCH(A97,sheet2!A:A,0)),LEVEL_HELPER!B:B,0)),H97),H97))</f>
        <v>Intermediate 1</v>
      </c>
      <c r="J97" s="73">
        <f>IFERROR(MAXIFS(ATTENDANCE_LOG!F:F, ATTENDANCE_LOG!C:C, A97&amp;"", ATTENDANCE_LOG!G:G, "Present"), "")</f>
        <v>46035.41667</v>
      </c>
      <c r="K97" s="74" t="str">
        <f t="shared" si="1"/>
        <v/>
      </c>
      <c r="L97" s="75" t="str">
        <f t="shared" si="2"/>
        <v/>
      </c>
      <c r="M97" s="59" t="s">
        <v>34</v>
      </c>
      <c r="N97" s="77" t="s">
        <v>37</v>
      </c>
      <c r="O97" s="59"/>
      <c r="P97" s="59"/>
      <c r="Q97" s="59"/>
      <c r="R97" s="59"/>
      <c r="S97" s="59"/>
      <c r="T97" s="59"/>
      <c r="U97" s="59"/>
      <c r="V97" s="59"/>
      <c r="W97" s="87"/>
      <c r="X97" s="87"/>
      <c r="Y97" s="87"/>
    </row>
    <row r="98" ht="15.75" customHeight="1">
      <c r="A98" s="67" t="s">
        <v>334</v>
      </c>
      <c r="B98" s="68" t="s">
        <v>335</v>
      </c>
      <c r="C98" s="69" t="str">
        <f>IFERROR(__xludf.DUMMYFUNCTION("arrayformula(VLOOKUP(to_Text(A98),to_Text(sheet2!$A$1:M1002),13,0))"),"TBU")</f>
        <v>TBU</v>
      </c>
      <c r="D98" s="70" t="str">
        <f>IFERROR(__xludf.DUMMYFUNCTION("arrayformula(VLOOKUP(to_Text(A98),to_Text(sheet2!$A$1:M1002),12,0))"),"DEV")</f>
        <v>DEV</v>
      </c>
      <c r="E98" s="71" t="s">
        <v>16</v>
      </c>
      <c r="F98" s="67" t="str">
        <f t="array" ref="F98">IFERROR(
  INDEX(ATTENDANCE_INPUT!D:D,
    MATCH(1,
      (ATTENDANCE_INPUT!A:A=A98) *
      (ATTENDANCE_INPUT!V:V=MAXIFS(ATTENDANCE_INPUT!V:V, ATTENDANCE_INPUT!A:A, A98)),
      0)),
  "")</f>
        <v>Thien Truong</v>
      </c>
      <c r="G98" s="72" t="str">
        <f t="array" ref="G98">IFERROR(
  INDEX(ATTENDANCE_INPUT!E:E,
    MATCH(1,
      (ATTENDANCE_INPUT!A:A=A98) *
      (ATTENDANCE_INPUT!V:V=MAXIFS(ATTENDANCE_INPUT!V:V, ATTENDANCE_INPUT!A:A, A98)),
      0)),
  "")</f>
        <v>Communication 2</v>
      </c>
      <c r="H98" s="73" t="str">
        <f t="array" ref="H98">IF(ISNA(MATCH(A98,sheet2!A:A,0)),"⏳ Chưa test",IFERROR(INDEX(LEVEL_HELPER!A:A,MATCH(INDEX(sheet2!N:N,MATCH(A98,sheet2!A:A,0)),LEVEL_HELPER!B:B,0)),"⏳ Chưa test"))</f>
        <v>Pre-Intermediate</v>
      </c>
      <c r="I98" s="73" t="str">
        <f t="array" ref="I98">IF(ISNA(MATCH(A98,sheet2!A:A,0)),H98,IF(INDEX(sheet2!O:O,MATCH(A98,sheet2!A:A,0))&gt;0,IFERROR(INDEX(LEVEL_HELPER!A:A,MATCH(INDEX(sheet2!O:O,MATCH(A98,sheet2!A:A,0)),LEVEL_HELPER!B:B,0)),H98),H98))</f>
        <v>Intermediate</v>
      </c>
      <c r="J98" s="73">
        <f>IFERROR(MAXIFS(ATTENDANCE_LOG!F:F, ATTENDANCE_LOG!C:C, A98&amp;"", ATTENDANCE_LOG!G:G, "Present"), "")</f>
        <v>46006.45833</v>
      </c>
      <c r="K98" s="74" t="str">
        <f t="shared" si="1"/>
        <v/>
      </c>
      <c r="L98" s="75" t="str">
        <f t="shared" si="2"/>
        <v/>
      </c>
      <c r="M98" s="80" t="s">
        <v>36</v>
      </c>
      <c r="N98" s="76" t="s">
        <v>42</v>
      </c>
      <c r="O98" s="59"/>
      <c r="P98" s="59"/>
      <c r="Q98" s="59"/>
      <c r="R98" s="59"/>
      <c r="S98" s="59"/>
      <c r="T98" s="59"/>
      <c r="U98" s="59"/>
      <c r="V98" s="59"/>
      <c r="W98" s="87"/>
      <c r="X98" s="87"/>
      <c r="Y98" s="87"/>
    </row>
    <row r="99" ht="15.75" customHeight="1">
      <c r="A99" s="67" t="s">
        <v>336</v>
      </c>
      <c r="B99" s="68" t="s">
        <v>337</v>
      </c>
      <c r="C99" s="69" t="str">
        <f>IFERROR(__xludf.DUMMYFUNCTION("arrayformula(VLOOKUP(to_Text(A99),to_Text(sheet2!$A$1:M1002),13,0))"),"MOC")</f>
        <v>MOC</v>
      </c>
      <c r="D99" s="70" t="str">
        <f>IFERROR(__xludf.DUMMYFUNCTION("arrayformula(VLOOKUP(to_Text(A99),to_Text(sheet2!$A$1:M1002),12,0))"),"QC")</f>
        <v>QC</v>
      </c>
      <c r="E99" s="71" t="s">
        <v>16</v>
      </c>
      <c r="F99" s="67" t="str">
        <f t="array" ref="F99">IFERROR(
  INDEX(ATTENDANCE_INPUT!D:D,
    MATCH(1,
      (ATTENDANCE_INPUT!A:A=A99) *
      (ATTENDANCE_INPUT!V:V=MAXIFS(ATTENDANCE_INPUT!V:V, ATTENDANCE_INPUT!A:A, A99)),
      0)),
  "")</f>
        <v>Anh To</v>
      </c>
      <c r="G99" s="72" t="str">
        <f t="array" ref="G99">IFERROR(
  INDEX(ATTENDANCE_INPUT!E:E,
    MATCH(1,
      (ATTENDANCE_INPUT!A:A=A99) *
      (ATTENDANCE_INPUT!V:V=MAXIFS(ATTENDANCE_INPUT!V:V, ATTENDANCE_INPUT!A:A, A99)),
      0)),
  "")</f>
        <v>Communication 2</v>
      </c>
      <c r="H99" s="73" t="str">
        <f t="array" ref="H99">IF(ISNA(MATCH(A99,sheet2!A:A,0)),"⏳ Chưa test",IFERROR(INDEX(LEVEL_HELPER!A:A,MATCH(INDEX(sheet2!N:N,MATCH(A99,sheet2!A:A,0)),LEVEL_HELPER!B:B,0)),"⏳ Chưa test"))</f>
        <v>Beginner</v>
      </c>
      <c r="I99" s="73" t="str">
        <f t="array" ref="I99">IF(ISNA(MATCH(A99,sheet2!A:A,0)),H99,IF(INDEX(sheet2!O:O,MATCH(A99,sheet2!A:A,0))&gt;0,IFERROR(INDEX(LEVEL_HELPER!A:A,MATCH(INDEX(sheet2!O:O,MATCH(A99,sheet2!A:A,0)),LEVEL_HELPER!B:B,0)),H99),H99))</f>
        <v>Pre-Intermediate 2</v>
      </c>
      <c r="J99" s="73">
        <f>IFERROR(MAXIFS(ATTENDANCE_LOG!F:F, ATTENDANCE_LOG!C:C, A99&amp;"", ATTENDANCE_LOG!G:G, "Present"), "")</f>
        <v>46094.41667</v>
      </c>
      <c r="K99" s="74" t="str">
        <f t="shared" si="1"/>
        <v/>
      </c>
      <c r="L99" s="75" t="str">
        <f t="shared" si="2"/>
        <v/>
      </c>
      <c r="M99" s="59" t="s">
        <v>36</v>
      </c>
      <c r="N99" s="77" t="s">
        <v>33</v>
      </c>
      <c r="O99" s="59"/>
      <c r="P99" s="59"/>
      <c r="Q99" s="59"/>
      <c r="R99" s="59">
        <v>247140.0</v>
      </c>
      <c r="S99" s="59" t="s">
        <v>172</v>
      </c>
      <c r="T99" s="59" t="s">
        <v>39</v>
      </c>
      <c r="U99" s="59" t="str">
        <f>IFERROR(__xludf.DUMMYFUNCTION("arrayformula(vlookup(to_text(R99),to_text($A$4:$B1087),2,0))"),"#N/A")</f>
        <v>#N/A</v>
      </c>
      <c r="V99" s="59"/>
      <c r="W99" s="87"/>
      <c r="X99" s="87"/>
      <c r="Y99" s="87"/>
    </row>
    <row r="100" ht="15.75" customHeight="1">
      <c r="A100" s="67" t="s">
        <v>338</v>
      </c>
      <c r="B100" s="68" t="s">
        <v>339</v>
      </c>
      <c r="C100" s="69" t="str">
        <f>IFERROR(__xludf.DUMMYFUNCTION("arrayformula(VLOOKUP(to_Text(A100),to_Text(sheet2!$A$1:M1002),13,0))"),"TBU")</f>
        <v>TBU</v>
      </c>
      <c r="D100" s="70" t="str">
        <f>IFERROR(__xludf.DUMMYFUNCTION("arrayformula(VLOOKUP(to_Text(A100),to_Text(sheet2!$A$1:M1002),12,0))"),"GSD")</f>
        <v>GSD</v>
      </c>
      <c r="E100" s="71" t="s">
        <v>16</v>
      </c>
      <c r="F100" s="67" t="str">
        <f t="array" ref="F100">IFERROR(
  INDEX(ATTENDANCE_INPUT!D:D,
    MATCH(1,
      (ATTENDANCE_INPUT!A:A=A100) *
      (ATTENDANCE_INPUT!V:V=MAXIFS(ATTENDANCE_INPUT!V:V, ATTENDANCE_INPUT!A:A, A100)),
      0)),
  "")</f>
        <v>Phu Nguyen</v>
      </c>
      <c r="G100" s="72" t="str">
        <f t="array" ref="G100">IFERROR(
  INDEX(ATTENDANCE_INPUT!E:E,
    MATCH(1,
      (ATTENDANCE_INPUT!A:A=A100) *
      (ATTENDANCE_INPUT!V:V=MAXIFS(ATTENDANCE_INPUT!V:V, ATTENDANCE_INPUT!A:A, A100)),
      0)),
  "")</f>
        <v>Communication 1</v>
      </c>
      <c r="H100" s="73" t="str">
        <f t="array" ref="H100">IF(ISNA(MATCH(A100,sheet2!A:A,0)),"⏳ Chưa test",IFERROR(INDEX(LEVEL_HELPER!A:A,MATCH(INDEX(sheet2!N:N,MATCH(A100,sheet2!A:A,0)),LEVEL_HELPER!B:B,0)),"⏳ Chưa test"))</f>
        <v>Beginner</v>
      </c>
      <c r="I100" s="73" t="str">
        <f t="array" ref="I100">IF(ISNA(MATCH(A100,sheet2!A:A,0)),H100,IF(INDEX(sheet2!O:O,MATCH(A100,sheet2!A:A,0))&gt;0,IFERROR(INDEX(LEVEL_HELPER!A:A,MATCH(INDEX(sheet2!O:O,MATCH(A100,sheet2!A:A,0)),LEVEL_HELPER!B:B,0)),H100),H100))</f>
        <v>Beginner</v>
      </c>
      <c r="J100" s="73">
        <f>IFERROR(MAXIFS(ATTENDANCE_LOG!F:F, ATTENDANCE_LOG!C:C, A100&amp;"", ATTENDANCE_LOG!G:G, "Present"), "")</f>
        <v>45979.58333</v>
      </c>
      <c r="K100" s="74" t="str">
        <f t="shared" si="1"/>
        <v/>
      </c>
      <c r="L100" s="75" t="str">
        <f t="shared" si="2"/>
        <v/>
      </c>
      <c r="M100" s="59" t="s">
        <v>36</v>
      </c>
      <c r="N100" s="77" t="s">
        <v>33</v>
      </c>
      <c r="O100" s="59"/>
      <c r="P100" s="59"/>
      <c r="Q100" s="59"/>
      <c r="R100" s="59"/>
      <c r="S100" s="59"/>
      <c r="T100" s="59"/>
      <c r="U100" s="59"/>
      <c r="V100" s="59"/>
      <c r="W100" s="87"/>
      <c r="X100" s="87"/>
      <c r="Y100" s="87"/>
    </row>
    <row r="101" ht="15.75" customHeight="1">
      <c r="A101" s="67" t="s">
        <v>340</v>
      </c>
      <c r="B101" s="68" t="s">
        <v>341</v>
      </c>
      <c r="C101" s="69" t="str">
        <f>IFERROR(__xludf.DUMMYFUNCTION("arrayformula(VLOOKUP(to_Text(A101),to_Text(sheet2!$A$1:M1002),13,0))"),"CHORUS")</f>
        <v>CHORUS</v>
      </c>
      <c r="D101" s="70" t="str">
        <f>IFERROR(__xludf.DUMMYFUNCTION("arrayformula(VLOOKUP(to_Text(A101),to_Text(sheet2!$A$1:M1002),12,0))"),"DEV")</f>
        <v>DEV</v>
      </c>
      <c r="E101" s="71" t="s">
        <v>16</v>
      </c>
      <c r="F101" s="67" t="str">
        <f t="array" ref="F101">IFERROR(
  INDEX(ATTENDANCE_INPUT!D:D,
    MATCH(1,
      (ATTENDANCE_INPUT!A:A=A101) *
      (ATTENDANCE_INPUT!V:V=MAXIFS(ATTENDANCE_INPUT!V:V, ATTENDANCE_INPUT!A:A, A101)),
      0)),
  "")</f>
        <v>Huy Tran 1</v>
      </c>
      <c r="G101" s="72" t="str">
        <f t="array" ref="G101">IFERROR(
  INDEX(ATTENDANCE_INPUT!E:E,
    MATCH(1,
      (ATTENDANCE_INPUT!A:A=A101) *
      (ATTENDANCE_INPUT!V:V=MAXIFS(ATTENDANCE_INPUT!V:V, ATTENDANCE_INPUT!A:A, A101)),
      0)),
  "")</f>
        <v>Communication 2</v>
      </c>
      <c r="H101" s="73" t="str">
        <f t="array" ref="H101">IF(ISNA(MATCH(A101,sheet2!A:A,0)),"⏳ Chưa test",IFERROR(INDEX(LEVEL_HELPER!A:A,MATCH(INDEX(sheet2!N:N,MATCH(A101,sheet2!A:A,0)),LEVEL_HELPER!B:B,0)),"⏳ Chưa test"))</f>
        <v>Beginner</v>
      </c>
      <c r="I101" s="73" t="str">
        <f t="array" ref="I101">IF(ISNA(MATCH(A101,sheet2!A:A,0)),H101,IF(INDEX(sheet2!O:O,MATCH(A101,sheet2!A:A,0))&gt;0,IFERROR(INDEX(LEVEL_HELPER!A:A,MATCH(INDEX(sheet2!O:O,MATCH(A101,sheet2!A:A,0)),LEVEL_HELPER!B:B,0)),H101),H101))</f>
        <v>Pre-Intermediate</v>
      </c>
      <c r="J101" s="73">
        <f>IFERROR(MAXIFS(ATTENDANCE_LOG!F:F, ATTENDANCE_LOG!C:C, A101&amp;"", ATTENDANCE_LOG!G:G, "Present"), "")</f>
        <v>45895.45833</v>
      </c>
      <c r="K101" s="74" t="str">
        <f t="shared" si="1"/>
        <v/>
      </c>
      <c r="L101" s="75" t="str">
        <f t="shared" si="2"/>
        <v/>
      </c>
      <c r="M101" s="59" t="s">
        <v>36</v>
      </c>
      <c r="N101" s="77" t="s">
        <v>33</v>
      </c>
      <c r="O101" s="59"/>
      <c r="P101" s="59"/>
      <c r="Q101" s="59"/>
      <c r="R101" s="59"/>
      <c r="S101" s="59"/>
      <c r="T101" s="59"/>
      <c r="U101" s="59"/>
      <c r="V101" s="59"/>
      <c r="W101" s="87"/>
      <c r="X101" s="87"/>
      <c r="Y101" s="87"/>
    </row>
    <row r="102" ht="15.75" customHeight="1">
      <c r="A102" s="67" t="s">
        <v>342</v>
      </c>
      <c r="B102" s="68" t="s">
        <v>343</v>
      </c>
      <c r="C102" s="69" t="str">
        <f>IFERROR(__xludf.DUMMYFUNCTION("arrayformula(VLOOKUP(to_Text(A102),to_Text(sheet2!$A$1:M1002),13,0))"),"MOC")</f>
        <v>MOC</v>
      </c>
      <c r="D102" s="70" t="str">
        <f>IFERROR(__xludf.DUMMYFUNCTION("arrayformula(VLOOKUP(to_Text(A102),to_Text(sheet2!$A$1:M1002),12,0))"),"QC")</f>
        <v>QC</v>
      </c>
      <c r="E102" s="71" t="s">
        <v>16</v>
      </c>
      <c r="F102" s="67" t="str">
        <f t="array" ref="F102">IFERROR(
  INDEX(ATTENDANCE_INPUT!D:D,
    MATCH(1,
      (ATTENDANCE_INPUT!A:A=A102) *
      (ATTENDANCE_INPUT!V:V=MAXIFS(ATTENDANCE_INPUT!V:V, ATTENDANCE_INPUT!A:A, A102)),
      0)),
  "")</f>
        <v>Thao Vu 1</v>
      </c>
      <c r="G102" s="72" t="str">
        <f t="array" ref="G102">IFERROR(
  INDEX(ATTENDANCE_INPUT!E:E,
    MATCH(1,
      (ATTENDANCE_INPUT!A:A=A102) *
      (ATTENDANCE_INPUT!V:V=MAXIFS(ATTENDANCE_INPUT!V:V, ATTENDANCE_INPUT!A:A, A102)),
      0)),
  "")</f>
        <v>Communication 1</v>
      </c>
      <c r="H102" s="73" t="str">
        <f t="array" ref="H102">IF(ISNA(MATCH(A102,sheet2!A:A,0)),"⏳ Chưa test",IFERROR(INDEX(LEVEL_HELPER!A:A,MATCH(INDEX(sheet2!N:N,MATCH(A102,sheet2!A:A,0)),LEVEL_HELPER!B:B,0)),"⏳ Chưa test"))</f>
        <v>Beginner</v>
      </c>
      <c r="I102" s="73" t="str">
        <f t="array" ref="I102">IF(ISNA(MATCH(A102,sheet2!A:A,0)),H102,IF(INDEX(sheet2!O:O,MATCH(A102,sheet2!A:A,0))&gt;0,IFERROR(INDEX(LEVEL_HELPER!A:A,MATCH(INDEX(sheet2!O:O,MATCH(A102,sheet2!A:A,0)),LEVEL_HELPER!B:B,0)),H102),H102))</f>
        <v>Beginner</v>
      </c>
      <c r="J102" s="73">
        <f>IFERROR(MAXIFS(ATTENDANCE_LOG!F:F, ATTENDANCE_LOG!C:C, A102&amp;"", ATTENDANCE_LOG!G:G, "Present"), "")</f>
        <v>45801.41667</v>
      </c>
      <c r="K102" s="74" t="str">
        <f t="shared" si="1"/>
        <v/>
      </c>
      <c r="L102" s="75" t="str">
        <f t="shared" si="2"/>
        <v/>
      </c>
      <c r="M102" s="80" t="s">
        <v>34</v>
      </c>
      <c r="N102" s="77" t="s">
        <v>33</v>
      </c>
      <c r="O102" s="59"/>
      <c r="P102" s="59"/>
      <c r="Q102" s="59"/>
      <c r="R102" s="59"/>
      <c r="S102" s="59"/>
      <c r="T102" s="59"/>
      <c r="U102" s="59"/>
      <c r="V102" s="59"/>
      <c r="W102" s="87"/>
      <c r="X102" s="87"/>
      <c r="Y102" s="87"/>
    </row>
    <row r="103" ht="15.75" customHeight="1">
      <c r="A103" s="67" t="s">
        <v>344</v>
      </c>
      <c r="B103" s="68" t="s">
        <v>345</v>
      </c>
      <c r="C103" s="69" t="str">
        <f>IFERROR(__xludf.DUMMYFUNCTION("arrayformula(VLOOKUP(to_Text(A103),to_Text(sheet2!$A$1:M1002),13,0))"),"ONC")</f>
        <v>ONC</v>
      </c>
      <c r="D103" s="70" t="str">
        <f>IFERROR(__xludf.DUMMYFUNCTION("arrayformula(VLOOKUP(to_Text(A103),to_Text(sheet2!$A$1:M1002),12,0))"),"DEV")</f>
        <v>DEV</v>
      </c>
      <c r="E103" s="68" t="str">
        <f>if(L103="⚠ Possibly Dropped","Inactive","Active")</f>
        <v>Active</v>
      </c>
      <c r="F103" s="67" t="str">
        <f t="array" ref="F103">IFERROR(
  INDEX(ATTENDANCE_INPUT!D:D,
    MATCH(1,
      (ATTENDANCE_INPUT!A:A=A103) *
      (ATTENDANCE_INPUT!V:V=MAXIFS(ATTENDANCE_INPUT!V:V, ATTENDANCE_INPUT!A:A, A103)),
      0)),
  "")</f>
        <v>Phuoc Ta</v>
      </c>
      <c r="G103" s="72" t="str">
        <f t="array" ref="G103">IFERROR(
  INDEX(ATTENDANCE_INPUT!E:E,
    MATCH(1,
      (ATTENDANCE_INPUT!A:A=A103) *
      (ATTENDANCE_INPUT!V:V=MAXIFS(ATTENDANCE_INPUT!V:V, ATTENDANCE_INPUT!A:A, A103)),
      0)),
  "")</f>
        <v>Communication 1</v>
      </c>
      <c r="H103" s="73" t="str">
        <f t="array" ref="H103">IF(ISNA(MATCH(A103,sheet2!A:A,0)),"⏳ Chưa test",IFERROR(INDEX(LEVEL_HELPER!A:A,MATCH(INDEX(sheet2!N:N,MATCH(A103,sheet2!A:A,0)),LEVEL_HELPER!B:B,0)),"⏳ Chưa test"))</f>
        <v>Beginner</v>
      </c>
      <c r="I103" s="73" t="str">
        <f t="array" ref="I103">IF(ISNA(MATCH(A103,sheet2!A:A,0)),H103,IF(INDEX(sheet2!O:O,MATCH(A103,sheet2!A:A,0))&gt;0,IFERROR(INDEX(LEVEL_HELPER!A:A,MATCH(INDEX(sheet2!O:O,MATCH(A103,sheet2!A:A,0)),LEVEL_HELPER!B:B,0)),H103),H103))</f>
        <v>Beginner</v>
      </c>
      <c r="J103" s="73">
        <f>IFERROR(MAXIFS(ATTENDANCE_LOG!F:F, ATTENDANCE_LOG!C:C, A103&amp;"", ATTENDANCE_LOG!G:G, "Present"), "")</f>
        <v>46126.45833</v>
      </c>
      <c r="K103" s="74" t="str">
        <f t="shared" si="1"/>
        <v/>
      </c>
      <c r="L103" s="75" t="str">
        <f t="shared" si="2"/>
        <v/>
      </c>
      <c r="M103" s="59"/>
      <c r="N103" s="77"/>
      <c r="O103" s="59"/>
      <c r="P103" s="59"/>
      <c r="Q103" s="59"/>
      <c r="R103" s="59"/>
      <c r="S103" s="59"/>
      <c r="T103" s="59"/>
      <c r="U103" s="59"/>
      <c r="V103" s="59"/>
      <c r="W103" s="87"/>
      <c r="X103" s="87"/>
      <c r="Y103" s="87"/>
    </row>
    <row r="104" ht="15.75" customHeight="1">
      <c r="A104" s="67" t="s">
        <v>346</v>
      </c>
      <c r="B104" s="68" t="s">
        <v>347</v>
      </c>
      <c r="C104" s="69" t="str">
        <f>IFERROR(__xludf.DUMMYFUNCTION("arrayformula(VLOOKUP(to_Text(A104),to_Text(sheet2!$A$1:M1002),13,0))"),"TBU")</f>
        <v>TBU</v>
      </c>
      <c r="D104" s="70" t="str">
        <f>IFERROR(__xludf.DUMMYFUNCTION("arrayformula(VLOOKUP(to_Text(A104),to_Text(sheet2!$A$1:M1002),12,0))"),"BA")</f>
        <v>BA</v>
      </c>
      <c r="E104" s="71" t="s">
        <v>16</v>
      </c>
      <c r="F104" s="67" t="str">
        <f t="array" ref="F104">IFERROR(
  INDEX(ATTENDANCE_INPUT!D:D,
    MATCH(1,
      (ATTENDANCE_INPUT!A:A=A104) *
      (ATTENDANCE_INPUT!V:V=MAXIFS(ATTENDANCE_INPUT!V:V, ATTENDANCE_INPUT!A:A, A104)),
      0)),
  "")</f>
        <v>Minh Nguyen</v>
      </c>
      <c r="G104" s="72" t="str">
        <f t="array" ref="G104">IFERROR(
  INDEX(ATTENDANCE_INPUT!E:E,
    MATCH(1,
      (ATTENDANCE_INPUT!A:A=A104) *
      (ATTENDANCE_INPUT!V:V=MAXIFS(ATTENDANCE_INPUT!V:V, ATTENDANCE_INPUT!A:A, A104)),
      0)),
  "")</f>
        <v>Communication 1</v>
      </c>
      <c r="H104" s="73" t="str">
        <f t="array" ref="H104">IF(ISNA(MATCH(A104,sheet2!A:A,0)),"⏳ Chưa test",IFERROR(INDEX(LEVEL_HELPER!A:A,MATCH(INDEX(sheet2!N:N,MATCH(A104,sheet2!A:A,0)),LEVEL_HELPER!B:B,0)),"⏳ Chưa test"))</f>
        <v>⏳ Chưa test</v>
      </c>
      <c r="I104" s="73" t="str">
        <f t="array" ref="I104">IF(ISNA(MATCH(A104,sheet2!A:A,0)),H104,IF(INDEX(sheet2!O:O,MATCH(A104,sheet2!A:A,0))&gt;0,IFERROR(INDEX(LEVEL_HELPER!A:A,MATCH(INDEX(sheet2!O:O,MATCH(A104,sheet2!A:A,0)),LEVEL_HELPER!B:B,0)),H104),H104))</f>
        <v>⏳ Chưa test</v>
      </c>
      <c r="J104" s="73">
        <f>IFERROR(MAXIFS(ATTENDANCE_LOG!F:F, ATTENDANCE_LOG!C:C, A104&amp;"", ATTENDANCE_LOG!G:G, "Present"), "")</f>
        <v>45712.58333</v>
      </c>
      <c r="K104" s="74" t="str">
        <f t="shared" si="1"/>
        <v/>
      </c>
      <c r="L104" s="75" t="str">
        <f t="shared" si="2"/>
        <v/>
      </c>
      <c r="M104" s="80" t="s">
        <v>36</v>
      </c>
      <c r="N104" s="77" t="s">
        <v>33</v>
      </c>
      <c r="O104" s="59"/>
      <c r="P104" s="59"/>
      <c r="Q104" s="59"/>
      <c r="R104" s="59"/>
      <c r="S104" s="59"/>
      <c r="T104" s="59"/>
      <c r="U104" s="59"/>
      <c r="V104" s="59"/>
      <c r="W104" s="87"/>
      <c r="X104" s="87"/>
      <c r="Y104" s="87"/>
    </row>
    <row r="105" ht="15.75" customHeight="1">
      <c r="A105" s="67" t="s">
        <v>348</v>
      </c>
      <c r="B105" s="68" t="s">
        <v>349</v>
      </c>
      <c r="C105" s="69" t="str">
        <f>IFERROR(__xludf.DUMMYFUNCTION("arrayformula(VLOOKUP(to_Text(A105),to_Text(sheet2!$A$1:M1002),13,0))"),"BSG")</f>
        <v>BSG</v>
      </c>
      <c r="D105" s="70" t="str">
        <f>IFERROR(__xludf.DUMMYFUNCTION("arrayformula(VLOOKUP(to_Text(A105),to_Text(sheet2!$A$1:M1002),12,0))"),"HR")</f>
        <v>HR</v>
      </c>
      <c r="E105" s="71" t="s">
        <v>16</v>
      </c>
      <c r="F105" s="67" t="str">
        <f t="array" ref="F105">IFERROR(
  INDEX(ATTENDANCE_INPUT!D:D,
    MATCH(1,
      (ATTENDANCE_INPUT!A:A=A105) *
      (ATTENDANCE_INPUT!V:V=MAXIFS(ATTENDANCE_INPUT!V:V, ATTENDANCE_INPUT!A:A, A105)),
      0)),
  "")</f>
        <v>Tan Tran</v>
      </c>
      <c r="G105" s="72" t="str">
        <f t="array" ref="G105">IFERROR(
  INDEX(ATTENDANCE_INPUT!E:E,
    MATCH(1,
      (ATTENDANCE_INPUT!A:A=A105) *
      (ATTENDANCE_INPUT!V:V=MAXIFS(ATTENDANCE_INPUT!V:V, ATTENDANCE_INPUT!A:A, A105)),
      0)),
  "")</f>
        <v>Business English</v>
      </c>
      <c r="H105" s="73" t="str">
        <f t="array" ref="H105">IF(ISNA(MATCH(A105,sheet2!A:A,0)),"⏳ Chưa test",IFERROR(INDEX(LEVEL_HELPER!A:A,MATCH(INDEX(sheet2!N:N,MATCH(A105,sheet2!A:A,0)),LEVEL_HELPER!B:B,0)),"⏳ Chưa test"))</f>
        <v>Pre-Intermediate</v>
      </c>
      <c r="I105" s="73" t="str">
        <f t="array" ref="I105">IF(ISNA(MATCH(A105,sheet2!A:A,0)),H105,IF(INDEX(sheet2!O:O,MATCH(A105,sheet2!A:A,0))&gt;0,IFERROR(INDEX(LEVEL_HELPER!A:A,MATCH(INDEX(sheet2!O:O,MATCH(A105,sheet2!A:A,0)),LEVEL_HELPER!B:B,0)),H105),H105))</f>
        <v>Intermediate</v>
      </c>
      <c r="J105" s="73">
        <f>IFERROR(MAXIFS(ATTENDANCE_LOG!F:F, ATTENDANCE_LOG!C:C, A105&amp;"", ATTENDANCE_LOG!G:G, "Present"), "")</f>
        <v>46008.45833</v>
      </c>
      <c r="K105" s="74" t="str">
        <f t="shared" si="1"/>
        <v/>
      </c>
      <c r="L105" s="75" t="str">
        <f t="shared" si="2"/>
        <v/>
      </c>
      <c r="M105" s="80" t="s">
        <v>34</v>
      </c>
      <c r="N105" s="76" t="s">
        <v>37</v>
      </c>
      <c r="O105" s="59"/>
      <c r="P105" s="59"/>
      <c r="Q105" s="59"/>
      <c r="R105" s="59"/>
      <c r="S105" s="59"/>
      <c r="T105" s="59"/>
      <c r="U105" s="59"/>
      <c r="V105" s="59"/>
      <c r="W105" s="87"/>
      <c r="X105" s="87"/>
      <c r="Y105" s="87"/>
    </row>
    <row r="106" ht="15.75" customHeight="1">
      <c r="A106" s="67" t="s">
        <v>350</v>
      </c>
      <c r="B106" s="68" t="s">
        <v>351</v>
      </c>
      <c r="C106" s="69" t="str">
        <f>IFERROR(__xludf.DUMMYFUNCTION("arrayformula(VLOOKUP(to_Text(A106),to_Text(sheet2!$A$1:M1002),13,0))"),"MOC")</f>
        <v>MOC</v>
      </c>
      <c r="D106" s="70" t="str">
        <f>IFERROR(__xludf.DUMMYFUNCTION("arrayformula(VLOOKUP(to_Text(A106),to_Text(sheet2!$A$1:M1002),12,0))"),"DEV")</f>
        <v>DEV</v>
      </c>
      <c r="E106" s="71" t="s">
        <v>16</v>
      </c>
      <c r="F106" s="67" t="str">
        <f t="array" ref="F106">IFERROR(
  INDEX(ATTENDANCE_INPUT!D:D,
    MATCH(1,
      (ATTENDANCE_INPUT!A:A=A106) *
      (ATTENDANCE_INPUT!V:V=MAXIFS(ATTENDANCE_INPUT!V:V, ATTENDANCE_INPUT!A:A, A106)),
      0)),
  "")</f>
        <v>Tai Pham</v>
      </c>
      <c r="G106" s="72" t="str">
        <f t="array" ref="G106">IFERROR(
  INDEX(ATTENDANCE_INPUT!E:E,
    MATCH(1,
      (ATTENDANCE_INPUT!A:A=A106) *
      (ATTENDANCE_INPUT!V:V=MAXIFS(ATTENDANCE_INPUT!V:V, ATTENDANCE_INPUT!A:A, A106)),
      0)),
  "")</f>
        <v>Communication 1</v>
      </c>
      <c r="H106" s="73" t="str">
        <f t="array" ref="H106">IF(ISNA(MATCH(A106,sheet2!A:A,0)),"⏳ Chưa test",IFERROR(INDEX(LEVEL_HELPER!A:A,MATCH(INDEX(sheet2!N:N,MATCH(A106,sheet2!A:A,0)),LEVEL_HELPER!B:B,0)),"⏳ Chưa test"))</f>
        <v>Beginner</v>
      </c>
      <c r="I106" s="73" t="str">
        <f t="array" ref="I106">IF(ISNA(MATCH(A106,sheet2!A:A,0)),H106,IF(INDEX(sheet2!O:O,MATCH(A106,sheet2!A:A,0))&gt;0,IFERROR(INDEX(LEVEL_HELPER!A:A,MATCH(INDEX(sheet2!O:O,MATCH(A106,sheet2!A:A,0)),LEVEL_HELPER!B:B,0)),H106),H106))</f>
        <v>Beginner</v>
      </c>
      <c r="J106" s="73">
        <f>IFERROR(MAXIFS(ATTENDANCE_LOG!F:F, ATTENDANCE_LOG!C:C, A106&amp;"", ATTENDANCE_LOG!G:G, "Present"), "")</f>
        <v>45853.54167</v>
      </c>
      <c r="K106" s="74" t="str">
        <f t="shared" si="1"/>
        <v/>
      </c>
      <c r="L106" s="75" t="str">
        <f t="shared" si="2"/>
        <v/>
      </c>
      <c r="M106" s="80" t="s">
        <v>34</v>
      </c>
      <c r="N106" s="77" t="s">
        <v>35</v>
      </c>
      <c r="O106" s="59"/>
      <c r="P106" s="59"/>
      <c r="Q106" s="59"/>
      <c r="R106" s="59"/>
      <c r="S106" s="59"/>
      <c r="T106" s="59"/>
      <c r="U106" s="59"/>
      <c r="V106" s="59"/>
      <c r="W106" s="87"/>
      <c r="X106" s="87"/>
      <c r="Y106" s="87"/>
    </row>
    <row r="107" ht="15.75" customHeight="1">
      <c r="A107" s="67" t="s">
        <v>352</v>
      </c>
      <c r="B107" s="68" t="s">
        <v>353</v>
      </c>
      <c r="C107" s="69" t="str">
        <f>IFERROR(__xludf.DUMMYFUNCTION("arrayformula(VLOOKUP(to_Text(A107),to_Text(sheet2!$A$1:M1002),13,0))"),"ONC")</f>
        <v>ONC</v>
      </c>
      <c r="D107" s="70" t="str">
        <f>IFERROR(__xludf.DUMMYFUNCTION("arrayformula(VLOOKUP(to_Text(A107),to_Text(sheet2!$A$1:M1002),12,0))"),"DEV")</f>
        <v>DEV</v>
      </c>
      <c r="E107" s="68" t="str">
        <f t="shared" ref="E107:E108" si="14">if(L107="⚠ Possibly Dropped","Inactive","Active")</f>
        <v>Inactive</v>
      </c>
      <c r="F107" s="67" t="str">
        <f t="array" ref="F107">IFERROR(
  INDEX(ATTENDANCE_INPUT!D:D,
    MATCH(1,
      (ATTENDANCE_INPUT!A:A=A107) *
      (ATTENDANCE_INPUT!V:V=MAXIFS(ATTENDANCE_INPUT!V:V, ATTENDANCE_INPUT!A:A, A107)),
      0)),
  "")</f>
        <v>Cuong Nguyen</v>
      </c>
      <c r="G107" s="72" t="str">
        <f t="array" ref="G107">IFERROR(
  INDEX(ATTENDANCE_INPUT!E:E,
    MATCH(1,
      (ATTENDANCE_INPUT!A:A=A107) *
      (ATTENDANCE_INPUT!V:V=MAXIFS(ATTENDANCE_INPUT!V:V, ATTENDANCE_INPUT!A:A, A107)),
      0)),
  "")</f>
        <v>Communication 2</v>
      </c>
      <c r="H107" s="73" t="str">
        <f t="array" ref="H107">IF(ISNA(MATCH(A107,sheet2!A:A,0)),"⏳ Chưa test",IFERROR(INDEX(LEVEL_HELPER!A:A,MATCH(INDEX(sheet2!N:N,MATCH(A107,sheet2!A:A,0)),LEVEL_HELPER!B:B,0)),"⏳ Chưa test"))</f>
        <v>Beginner</v>
      </c>
      <c r="I107" s="73" t="str">
        <f t="array" ref="I107">IF(ISNA(MATCH(A107,sheet2!A:A,0)),H107,IF(INDEX(sheet2!O:O,MATCH(A107,sheet2!A:A,0))&gt;0,IFERROR(INDEX(LEVEL_HELPER!A:A,MATCH(INDEX(sheet2!O:O,MATCH(A107,sheet2!A:A,0)),LEVEL_HELPER!B:B,0)),H107),H107))</f>
        <v>Pre-Intermediate 1</v>
      </c>
      <c r="J107" s="73">
        <f>IFERROR(MAXIFS(ATTENDANCE_LOG!F:F, ATTENDANCE_LOG!C:C, A107&amp;"", ATTENDANCE_LOG!G:G, "Present"), "")</f>
        <v>46084.41667</v>
      </c>
      <c r="K107" s="74">
        <f t="shared" si="1"/>
        <v>59</v>
      </c>
      <c r="L107" s="75" t="str">
        <f t="shared" si="2"/>
        <v>⚠ Possibly Dropped</v>
      </c>
      <c r="M107" s="59" t="s">
        <v>34</v>
      </c>
      <c r="N107" s="76" t="s">
        <v>37</v>
      </c>
      <c r="O107" s="59"/>
      <c r="P107" s="59"/>
      <c r="Q107" s="59"/>
      <c r="R107" s="59">
        <v>247068.0</v>
      </c>
      <c r="S107" s="59" t="s">
        <v>354</v>
      </c>
      <c r="T107" s="59" t="s">
        <v>179</v>
      </c>
      <c r="U107" s="59" t="e">
        <v>#N/A</v>
      </c>
      <c r="V107" s="59"/>
      <c r="W107" s="87"/>
      <c r="X107" s="87"/>
      <c r="Y107" s="87"/>
    </row>
    <row r="108" ht="15.75" customHeight="1">
      <c r="A108" s="67" t="s">
        <v>355</v>
      </c>
      <c r="B108" s="68" t="s">
        <v>356</v>
      </c>
      <c r="C108" s="69" t="str">
        <f>IFERROR(__xludf.DUMMYFUNCTION("arrayformula(VLOOKUP(to_Text(A108),to_Text(sheet2!$A$1:M1002),13,0))"),"MOC")</f>
        <v>MOC</v>
      </c>
      <c r="D108" s="70" t="str">
        <f>IFERROR(__xludf.DUMMYFUNCTION("arrayformula(VLOOKUP(to_Text(A108),to_Text(sheet2!$A$1:M1002),12,0))"),"DEV")</f>
        <v>DEV</v>
      </c>
      <c r="E108" s="68" t="str">
        <f t="shared" si="14"/>
        <v>Inactive</v>
      </c>
      <c r="F108" s="67" t="str">
        <f t="array" ref="F108">IFERROR(
  INDEX(ATTENDANCE_INPUT!D:D,
    MATCH(1,
      (ATTENDANCE_INPUT!A:A=A108) *
      (ATTENDANCE_INPUT!V:V=MAXIFS(ATTENDANCE_INPUT!V:V, ATTENDANCE_INPUT!A:A, A108)),
      0)),
  "")</f>
        <v>Quan Nguyen</v>
      </c>
      <c r="G108" s="72" t="str">
        <f t="array" ref="G108">IFERROR(
  INDEX(ATTENDANCE_INPUT!E:E,
    MATCH(1,
      (ATTENDANCE_INPUT!A:A=A108) *
      (ATTENDANCE_INPUT!V:V=MAXIFS(ATTENDANCE_INPUT!V:V, ATTENDANCE_INPUT!A:A, A108)),
      0)),
  "")</f>
        <v>Communication 1</v>
      </c>
      <c r="H108" s="73" t="str">
        <f t="array" ref="H108">IF(ISNA(MATCH(A108,sheet2!A:A,0)),"⏳ Chưa test",IFERROR(INDEX(LEVEL_HELPER!A:A,MATCH(INDEX(sheet2!N:N,MATCH(A108,sheet2!A:A,0)),LEVEL_HELPER!B:B,0)),"⏳ Chưa test"))</f>
        <v>Foundation</v>
      </c>
      <c r="I108" s="73" t="str">
        <f t="array" ref="I108">IF(ISNA(MATCH(A108,sheet2!A:A,0)),H108,IF(INDEX(sheet2!O:O,MATCH(A108,sheet2!A:A,0))&gt;0,IFERROR(INDEX(LEVEL_HELPER!A:A,MATCH(INDEX(sheet2!O:O,MATCH(A108,sheet2!A:A,0)),LEVEL_HELPER!B:B,0)),H108),H108))</f>
        <v>Foundation</v>
      </c>
      <c r="J108" s="73">
        <f>IFERROR(MAXIFS(ATTENDANCE_LOG!F:F, ATTENDANCE_LOG!C:C, A108&amp;"", ATTENDANCE_LOG!G:G, "Present"), "")</f>
        <v>45965.625</v>
      </c>
      <c r="K108" s="74">
        <f t="shared" si="1"/>
        <v>385</v>
      </c>
      <c r="L108" s="75" t="str">
        <f t="shared" si="2"/>
        <v>⚠ Possibly Dropped</v>
      </c>
      <c r="M108" s="59" t="s">
        <v>34</v>
      </c>
      <c r="N108" s="77" t="s">
        <v>35</v>
      </c>
      <c r="O108" s="59"/>
      <c r="P108" s="59"/>
      <c r="Q108" s="59"/>
      <c r="R108" s="59"/>
      <c r="S108" s="59"/>
      <c r="T108" s="59"/>
      <c r="U108" s="59"/>
      <c r="V108" s="59"/>
      <c r="W108" s="87"/>
      <c r="X108" s="87"/>
      <c r="Y108" s="87"/>
    </row>
    <row r="109" ht="15.75" customHeight="1">
      <c r="A109" s="67" t="s">
        <v>357</v>
      </c>
      <c r="B109" s="68" t="s">
        <v>358</v>
      </c>
      <c r="C109" s="69" t="str">
        <f>IFERROR(__xludf.DUMMYFUNCTION("arrayformula(VLOOKUP(to_Text(A109),to_Text(sheet2!$A$1:M1002),13,0))"),"CHORUS")</f>
        <v>CHORUS</v>
      </c>
      <c r="D109" s="70" t="str">
        <f>IFERROR(__xludf.DUMMYFUNCTION("arrayformula(VLOOKUP(to_Text(A109),to_Text(sheet2!$A$1:M1002),12,0))"),"DEV")</f>
        <v>DEV</v>
      </c>
      <c r="E109" s="71" t="s">
        <v>16</v>
      </c>
      <c r="F109" s="67" t="str">
        <f t="array" ref="F109">IFERROR(
  INDEX(ATTENDANCE_INPUT!D:D,
    MATCH(1,
      (ATTENDANCE_INPUT!A:A=A109) *
      (ATTENDANCE_INPUT!V:V=MAXIFS(ATTENDANCE_INPUT!V:V, ATTENDANCE_INPUT!A:A, A109)),
      0)),
  "")</f>
        <v>Nhat Nguyen</v>
      </c>
      <c r="G109" s="72" t="str">
        <f t="array" ref="G109">IFERROR(
  INDEX(ATTENDANCE_INPUT!E:E,
    MATCH(1,
      (ATTENDANCE_INPUT!A:A=A109) *
      (ATTENDANCE_INPUT!V:V=MAXIFS(ATTENDANCE_INPUT!V:V, ATTENDANCE_INPUT!A:A, A109)),
      0)),
  "")</f>
        <v>Communication 2</v>
      </c>
      <c r="H109" s="73" t="str">
        <f t="array" ref="H109">IF(ISNA(MATCH(A109,sheet2!A:A,0)),"⏳ Chưa test",IFERROR(INDEX(LEVEL_HELPER!A:A,MATCH(INDEX(sheet2!N:N,MATCH(A109,sheet2!A:A,0)),LEVEL_HELPER!B:B,0)),"⏳ Chưa test"))</f>
        <v>Pre-Intermediate</v>
      </c>
      <c r="I109" s="73" t="str">
        <f t="array" ref="I109">IF(ISNA(MATCH(A109,sheet2!A:A,0)),H109,IF(INDEX(sheet2!O:O,MATCH(A109,sheet2!A:A,0))&gt;0,IFERROR(INDEX(LEVEL_HELPER!A:A,MATCH(INDEX(sheet2!O:O,MATCH(A109,sheet2!A:A,0)),LEVEL_HELPER!B:B,0)),H109),H109))</f>
        <v>Pre-Intermediate 2</v>
      </c>
      <c r="J109" s="73">
        <f>IFERROR(MAXIFS(ATTENDANCE_LOG!F:F, ATTENDANCE_LOG!C:C, A109&amp;"", ATTENDANCE_LOG!G:G, "Present"), "")</f>
        <v>46021.375</v>
      </c>
      <c r="K109" s="74" t="str">
        <f t="shared" si="1"/>
        <v/>
      </c>
      <c r="L109" s="75" t="str">
        <f t="shared" si="2"/>
        <v/>
      </c>
      <c r="M109" s="59" t="s">
        <v>36</v>
      </c>
      <c r="N109" s="77" t="s">
        <v>33</v>
      </c>
      <c r="O109" s="59"/>
      <c r="P109" s="59"/>
      <c r="Q109" s="59"/>
      <c r="R109" s="59"/>
      <c r="S109" s="59"/>
      <c r="T109" s="59"/>
      <c r="U109" s="59"/>
      <c r="V109" s="59"/>
      <c r="W109" s="87"/>
      <c r="X109" s="87"/>
      <c r="Y109" s="87"/>
    </row>
    <row r="110" ht="15.75" customHeight="1">
      <c r="A110" s="67" t="s">
        <v>359</v>
      </c>
      <c r="B110" s="68" t="s">
        <v>360</v>
      </c>
      <c r="C110" s="69" t="str">
        <f>IFERROR(__xludf.DUMMYFUNCTION("arrayformula(VLOOKUP(to_Text(A110),to_Text(sheet2!$A$1:M1002),13,0))"),"CHORUS")</f>
        <v>CHORUS</v>
      </c>
      <c r="D110" s="70" t="str">
        <f>IFERROR(__xludf.DUMMYFUNCTION("arrayformula(VLOOKUP(to_Text(A110),to_Text(sheet2!$A$1:M1002),12,0))"),"DEV")</f>
        <v>DEV</v>
      </c>
      <c r="E110" s="68" t="str">
        <f t="shared" ref="E110:E111" si="15">if(L110="⚠ Possibly Dropped","Inactive","Active")</f>
        <v>Active</v>
      </c>
      <c r="F110" s="67" t="str">
        <f t="array" ref="F110">IFERROR(
  INDEX(ATTENDANCE_INPUT!D:D,
    MATCH(1,
      (ATTENDANCE_INPUT!A:A=A110) *
      (ATTENDANCE_INPUT!V:V=MAXIFS(ATTENDANCE_INPUT!V:V, ATTENDANCE_INPUT!A:A, A110)),
      0)),
  "")</f>
        <v>Phung Nguyen</v>
      </c>
      <c r="G110" s="72" t="str">
        <f t="array" ref="G110">IFERROR(
  INDEX(ATTENDANCE_INPUT!E:E,
    MATCH(1,
      (ATTENDANCE_INPUT!A:A=A110) *
      (ATTENDANCE_INPUT!V:V=MAXIFS(ATTENDANCE_INPUT!V:V, ATTENDANCE_INPUT!A:A, A110)),
      0)),
  "")</f>
        <v>Foundation</v>
      </c>
      <c r="H110" s="73" t="str">
        <f t="array" ref="H110">IF(ISNA(MATCH(A110,sheet2!A:A,0)),"⏳ Chưa test",IFERROR(INDEX(LEVEL_HELPER!A:A,MATCH(INDEX(sheet2!N:N,MATCH(A110,sheet2!A:A,0)),LEVEL_HELPER!B:B,0)),"⏳ Chưa test"))</f>
        <v>Foundation</v>
      </c>
      <c r="I110" s="73" t="str">
        <f t="array" ref="I110">IF(ISNA(MATCH(A110,sheet2!A:A,0)),H110,IF(INDEX(sheet2!O:O,MATCH(A110,sheet2!A:A,0))&gt;0,IFERROR(INDEX(LEVEL_HELPER!A:A,MATCH(INDEX(sheet2!O:O,MATCH(A110,sheet2!A:A,0)),LEVEL_HELPER!B:B,0)),H110),H110))</f>
        <v>Foundation</v>
      </c>
      <c r="J110" s="73">
        <f>IFERROR(MAXIFS(ATTENDANCE_LOG!F:F, ATTENDANCE_LOG!C:C, A110&amp;"", ATTENDANCE_LOG!G:G, "Present"), "")</f>
        <v>46135.45833</v>
      </c>
      <c r="K110" s="74" t="str">
        <f t="shared" si="1"/>
        <v/>
      </c>
      <c r="L110" s="75" t="str">
        <f t="shared" si="2"/>
        <v/>
      </c>
      <c r="M110" s="59"/>
      <c r="N110" s="77"/>
      <c r="O110" s="59"/>
      <c r="P110" s="59"/>
      <c r="Q110" s="59"/>
      <c r="R110" s="59"/>
      <c r="S110" s="59"/>
      <c r="T110" s="59"/>
      <c r="U110" s="59"/>
      <c r="V110" s="59"/>
      <c r="W110" s="87"/>
      <c r="X110" s="87"/>
      <c r="Y110" s="87"/>
    </row>
    <row r="111" ht="15.75" customHeight="1">
      <c r="A111" s="67" t="s">
        <v>361</v>
      </c>
      <c r="B111" s="68" t="s">
        <v>362</v>
      </c>
      <c r="C111" s="69" t="str">
        <f>IFERROR(__xludf.DUMMYFUNCTION("arrayformula(VLOOKUP(to_Text(A111),to_Text(sheet2!$A$1:M1002),13,0))"),"POC")</f>
        <v>POC</v>
      </c>
      <c r="D111" s="70" t="str">
        <f>IFERROR(__xludf.DUMMYFUNCTION("arrayformula(VLOOKUP(to_Text(A111),to_Text(sheet2!$A$1:M1002),12,0))"),"GSD")</f>
        <v>GSD</v>
      </c>
      <c r="E111" s="68" t="str">
        <f t="shared" si="15"/>
        <v>Active</v>
      </c>
      <c r="F111" s="67" t="str">
        <f t="array" ref="F111">IFERROR(
  INDEX(ATTENDANCE_INPUT!D:D,
    MATCH(1,
      (ATTENDANCE_INPUT!A:A=A111) *
      (ATTENDANCE_INPUT!V:V=MAXIFS(ATTENDANCE_INPUT!V:V, ATTENDANCE_INPUT!A:A, A111)),
      0)),
  "")</f>
        <v>Liên Nguyễn</v>
      </c>
      <c r="G111" s="72" t="str">
        <f t="array" ref="G111">IFERROR(
  INDEX(ATTENDANCE_INPUT!E:E,
    MATCH(1,
      (ATTENDANCE_INPUT!A:A=A111) *
      (ATTENDANCE_INPUT!V:V=MAXIFS(ATTENDANCE_INPUT!V:V, ATTENDANCE_INPUT!A:A, A111)),
      0)),
  "")</f>
        <v>Foundation</v>
      </c>
      <c r="H111" s="73" t="str">
        <f t="array" ref="H111">IF(ISNA(MATCH(A111,sheet2!A:A,0)),"⏳ Chưa test",IFERROR(INDEX(LEVEL_HELPER!A:A,MATCH(INDEX(sheet2!N:N,MATCH(A111,sheet2!A:A,0)),LEVEL_HELPER!B:B,0)),"⏳ Chưa test"))</f>
        <v>Foundation</v>
      </c>
      <c r="I111" s="73" t="str">
        <f t="array" ref="I111">IF(ISNA(MATCH(A111,sheet2!A:A,0)),H111,IF(INDEX(sheet2!O:O,MATCH(A111,sheet2!A:A,0))&gt;0,IFERROR(INDEX(LEVEL_HELPER!A:A,MATCH(INDEX(sheet2!O:O,MATCH(A111,sheet2!A:A,0)),LEVEL_HELPER!B:B,0)),H111),H111))</f>
        <v>Foundation</v>
      </c>
      <c r="J111" s="91">
        <f>IFERROR(MAXIFS(ATTENDANCE_LOG!F:F, ATTENDANCE_LOG!C:C, A111&amp;"", ATTENDANCE_LOG!G:G, "Present"), "")</f>
        <v>0</v>
      </c>
      <c r="K111" s="74" t="str">
        <f t="shared" si="1"/>
        <v/>
      </c>
      <c r="L111" s="75" t="str">
        <f t="shared" si="2"/>
        <v/>
      </c>
      <c r="M111" s="59"/>
      <c r="N111" s="77"/>
      <c r="O111" s="59"/>
      <c r="P111" s="59"/>
      <c r="Q111" s="59"/>
      <c r="R111" s="59">
        <v>247416.0</v>
      </c>
      <c r="S111" s="59" t="s">
        <v>146</v>
      </c>
      <c r="T111" s="59" t="s">
        <v>33</v>
      </c>
      <c r="U111" s="59" t="str">
        <f>IFERROR(__xludf.DUMMYFUNCTION("arrayformula(vlookup(to_text(R111),to_text($A$4:$B1008),2,0))"),"NGUYỄN THỊ LOAN")</f>
        <v>NGUYỄN THỊ LOAN</v>
      </c>
      <c r="V111" s="59"/>
      <c r="W111" s="87"/>
      <c r="X111" s="87"/>
      <c r="Y111" s="87"/>
    </row>
    <row r="112" ht="15.75" customHeight="1">
      <c r="A112" s="67" t="s">
        <v>363</v>
      </c>
      <c r="B112" s="68" t="s">
        <v>364</v>
      </c>
      <c r="C112" s="69" t="str">
        <f>IFERROR(__xludf.DUMMYFUNCTION("arrayformula(VLOOKUP(to_Text(A112),to_Text(sheet2!$A$1:M1002),13,0))"),"POC")</f>
        <v>POC</v>
      </c>
      <c r="D112" s="70" t="str">
        <f>IFERROR(__xludf.DUMMYFUNCTION("arrayformula(VLOOKUP(to_Text(A112),to_Text(sheet2!$A$1:M1002),12,0))"),"GSD")</f>
        <v>GSD</v>
      </c>
      <c r="E112" s="71" t="s">
        <v>16</v>
      </c>
      <c r="F112" s="67" t="str">
        <f t="array" ref="F112">IFERROR(
  INDEX(ATTENDANCE_INPUT!D:D,
    MATCH(1,
      (ATTENDANCE_INPUT!A:A=A112) *
      (ATTENDANCE_INPUT!V:V=MAXIFS(ATTENDANCE_INPUT!V:V, ATTENDANCE_INPUT!A:A, A112)),
      0)),
  "")</f>
        <v>Phu Nguyen</v>
      </c>
      <c r="G112" s="72" t="str">
        <f t="array" ref="G112">IFERROR(
  INDEX(ATTENDANCE_INPUT!E:E,
    MATCH(1,
      (ATTENDANCE_INPUT!A:A=A112) *
      (ATTENDANCE_INPUT!V:V=MAXIFS(ATTENDANCE_INPUT!V:V, ATTENDANCE_INPUT!A:A, A112)),
      0)),
  "")</f>
        <v>Communication 1</v>
      </c>
      <c r="H112" s="73" t="str">
        <f t="array" ref="H112">IF(ISNA(MATCH(A112,sheet2!A:A,0)),"⏳ Chưa test",IFERROR(INDEX(LEVEL_HELPER!A:A,MATCH(INDEX(sheet2!N:N,MATCH(A112,sheet2!A:A,0)),LEVEL_HELPER!B:B,0)),"⏳ Chưa test"))</f>
        <v>Beginner</v>
      </c>
      <c r="I112" s="73" t="str">
        <f t="array" ref="I112">IF(ISNA(MATCH(A112,sheet2!A:A,0)),H112,IF(INDEX(sheet2!O:O,MATCH(A112,sheet2!A:A,0))&gt;0,IFERROR(INDEX(LEVEL_HELPER!A:A,MATCH(INDEX(sheet2!O:O,MATCH(A112,sheet2!A:A,0)),LEVEL_HELPER!B:B,0)),H112),H112))</f>
        <v>Beginner</v>
      </c>
      <c r="J112" s="73">
        <f>IFERROR(MAXIFS(ATTENDANCE_LOG!F:F, ATTENDANCE_LOG!C:C, A112&amp;"", ATTENDANCE_LOG!G:G, "Present"), "")</f>
        <v>45930.54167</v>
      </c>
      <c r="K112" s="74" t="str">
        <f t="shared" si="1"/>
        <v/>
      </c>
      <c r="L112" s="75" t="str">
        <f t="shared" si="2"/>
        <v/>
      </c>
      <c r="M112" s="59" t="s">
        <v>36</v>
      </c>
      <c r="N112" s="77" t="s">
        <v>33</v>
      </c>
      <c r="O112" s="59"/>
      <c r="P112" s="59"/>
      <c r="Q112" s="59"/>
      <c r="R112" s="59"/>
      <c r="S112" s="59"/>
      <c r="T112" s="59"/>
      <c r="U112" s="59"/>
      <c r="V112" s="59"/>
      <c r="W112" s="87"/>
      <c r="X112" s="87"/>
      <c r="Y112" s="87"/>
    </row>
    <row r="113" ht="15.75" customHeight="1">
      <c r="A113" s="67" t="s">
        <v>365</v>
      </c>
      <c r="B113" s="68" t="s">
        <v>366</v>
      </c>
      <c r="C113" s="69" t="str">
        <f>IFERROR(__xludf.DUMMYFUNCTION("arrayformula(VLOOKUP(to_Text(A113),to_Text(sheet2!$A$1:M1002),13,0))"),"CHORUS")</f>
        <v>CHORUS</v>
      </c>
      <c r="D113" s="70" t="str">
        <f>IFERROR(__xludf.DUMMYFUNCTION("arrayformula(VLOOKUP(to_Text(A113),to_Text(sheet2!$A$1:M1002),12,0))"),"DEV")</f>
        <v>DEV</v>
      </c>
      <c r="E113" s="68" t="str">
        <f t="shared" ref="E113:E118" si="16">if(L113="⚠ Possibly Dropped","Inactive","Active")</f>
        <v>Active</v>
      </c>
      <c r="F113" s="67" t="str">
        <f t="array" ref="F113">IFERROR(
  INDEX(ATTENDANCE_INPUT!D:D,
    MATCH(1,
      (ATTENDANCE_INPUT!A:A=A113) *
      (ATTENDANCE_INPUT!V:V=MAXIFS(ATTENDANCE_INPUT!V:V, ATTENDANCE_INPUT!A:A, A113)),
      0)),
  "")</f>
        <v>Phung Nguyen</v>
      </c>
      <c r="G113" s="72" t="str">
        <f t="array" ref="G113">IFERROR(
  INDEX(ATTENDANCE_INPUT!E:E,
    MATCH(1,
      (ATTENDANCE_INPUT!A:A=A113) *
      (ATTENDANCE_INPUT!V:V=MAXIFS(ATTENDANCE_INPUT!V:V, ATTENDANCE_INPUT!A:A, A113)),
      0)),
  "")</f>
        <v>Foundation</v>
      </c>
      <c r="H113" s="73" t="str">
        <f t="array" ref="H113">IF(ISNA(MATCH(A113,sheet2!A:A,0)),"⏳ Chưa test",IFERROR(INDEX(LEVEL_HELPER!A:A,MATCH(INDEX(sheet2!N:N,MATCH(A113,sheet2!A:A,0)),LEVEL_HELPER!B:B,0)),"⏳ Chưa test"))</f>
        <v>Foundation</v>
      </c>
      <c r="I113" s="73" t="str">
        <f t="array" ref="I113">IF(ISNA(MATCH(A113,sheet2!A:A,0)),H113,IF(INDEX(sheet2!O:O,MATCH(A113,sheet2!A:A,0))&gt;0,IFERROR(INDEX(LEVEL_HELPER!A:A,MATCH(INDEX(sheet2!O:O,MATCH(A113,sheet2!A:A,0)),LEVEL_HELPER!B:B,0)),H113),H113))</f>
        <v>Foundation</v>
      </c>
      <c r="J113" s="73">
        <f>IFERROR(MAXIFS(ATTENDANCE_LOG!F:F, ATTENDANCE_LOG!C:C, A113&amp;"", ATTENDANCE_LOG!G:G, "Present"), "")</f>
        <v>46135.45833</v>
      </c>
      <c r="K113" s="74" t="str">
        <f t="shared" si="1"/>
        <v/>
      </c>
      <c r="L113" s="75" t="str">
        <f t="shared" si="2"/>
        <v/>
      </c>
      <c r="M113" s="59"/>
      <c r="N113" s="77"/>
      <c r="O113" s="59" t="s">
        <v>367</v>
      </c>
      <c r="P113" s="59"/>
      <c r="Q113" s="59"/>
      <c r="R113" s="59"/>
      <c r="S113" s="59"/>
      <c r="T113" s="59"/>
      <c r="U113" s="59"/>
      <c r="V113" s="59"/>
      <c r="W113" s="87"/>
      <c r="X113" s="87"/>
      <c r="Y113" s="87"/>
    </row>
    <row r="114" ht="15.75" customHeight="1">
      <c r="A114" s="67" t="s">
        <v>368</v>
      </c>
      <c r="B114" s="68" t="s">
        <v>369</v>
      </c>
      <c r="C114" s="69" t="str">
        <f>IFERROR(__xludf.DUMMYFUNCTION("arrayformula(VLOOKUP(to_Text(A114),to_Text(sheet2!$A$1:M1002),13,0))"),"ONC")</f>
        <v>ONC</v>
      </c>
      <c r="D114" s="70" t="str">
        <f>IFERROR(__xludf.DUMMYFUNCTION("arrayformula(VLOOKUP(to_Text(A114),to_Text(sheet2!$A$1:M1002),12,0))"),"DEV")</f>
        <v>DEV</v>
      </c>
      <c r="E114" s="68" t="str">
        <f t="shared" si="16"/>
        <v>Active</v>
      </c>
      <c r="F114" s="67" t="str">
        <f t="array" ref="F114">IFERROR(
  INDEX(ATTENDANCE_INPUT!D:D,
    MATCH(1,
      (ATTENDANCE_INPUT!A:A=A114) *
      (ATTENDANCE_INPUT!V:V=MAXIFS(ATTENDANCE_INPUT!V:V, ATTENDANCE_INPUT!A:A, A114)),
      0)),
  "")</f>
        <v>Phuoc Ta</v>
      </c>
      <c r="G114" s="72" t="str">
        <f t="array" ref="G114">IFERROR(
  INDEX(ATTENDANCE_INPUT!E:E,
    MATCH(1,
      (ATTENDANCE_INPUT!A:A=A114) *
      (ATTENDANCE_INPUT!V:V=MAXIFS(ATTENDANCE_INPUT!V:V, ATTENDANCE_INPUT!A:A, A114)),
      0)),
  "")</f>
        <v>Communication 1</v>
      </c>
      <c r="H114" s="73" t="str">
        <f t="array" ref="H114">IF(ISNA(MATCH(A114,sheet2!A:A,0)),"⏳ Chưa test",IFERROR(INDEX(LEVEL_HELPER!A:A,MATCH(INDEX(sheet2!N:N,MATCH(A114,sheet2!A:A,0)),LEVEL_HELPER!B:B,0)),"⏳ Chưa test"))</f>
        <v>Pre-Intermediate 1</v>
      </c>
      <c r="I114" s="73" t="str">
        <f t="array" ref="I114">IF(ISNA(MATCH(A114,sheet2!A:A,0)),H114,IF(INDEX(sheet2!O:O,MATCH(A114,sheet2!A:A,0))&gt;0,IFERROR(INDEX(LEVEL_HELPER!A:A,MATCH(INDEX(sheet2!O:O,MATCH(A114,sheet2!A:A,0)),LEVEL_HELPER!B:B,0)),H114),H114))</f>
        <v>Pre-Intermediate 1</v>
      </c>
      <c r="J114" s="73">
        <f>IFERROR(MAXIFS(ATTENDANCE_LOG!F:F, ATTENDANCE_LOG!C:C, A114&amp;"", ATTENDANCE_LOG!G:G, "Present"), "")</f>
        <v>46119.41667</v>
      </c>
      <c r="K114" s="74">
        <f t="shared" si="1"/>
        <v>-64</v>
      </c>
      <c r="L114" s="75" t="str">
        <f t="shared" si="2"/>
        <v/>
      </c>
      <c r="M114" s="59"/>
      <c r="N114" s="77"/>
      <c r="O114" s="59"/>
      <c r="P114" s="59"/>
      <c r="Q114" s="59"/>
      <c r="R114" s="59"/>
      <c r="S114" s="59"/>
      <c r="T114" s="59"/>
      <c r="U114" s="59"/>
      <c r="V114" s="59"/>
      <c r="W114" s="87"/>
      <c r="X114" s="87"/>
      <c r="Y114" s="87"/>
    </row>
    <row r="115" ht="15.75" customHeight="1">
      <c r="A115" s="67" t="s">
        <v>370</v>
      </c>
      <c r="B115" s="68" t="s">
        <v>371</v>
      </c>
      <c r="C115" s="69" t="str">
        <f>IFERROR(__xludf.DUMMYFUNCTION("arrayformula(VLOOKUP(to_Text(A115),to_Text(sheet2!$A$1:M1002),13,0))"),"ONC")</f>
        <v>ONC</v>
      </c>
      <c r="D115" s="70" t="str">
        <f>IFERROR(__xludf.DUMMYFUNCTION("arrayformula(VLOOKUP(to_Text(A115),to_Text(sheet2!$A$1:M1002),12,0))"),"QC")</f>
        <v>QC</v>
      </c>
      <c r="E115" s="68" t="str">
        <f t="shared" si="16"/>
        <v>Active</v>
      </c>
      <c r="F115" s="67" t="str">
        <f t="array" ref="F115">IFERROR(
  INDEX(ATTENDANCE_INPUT!D:D,
    MATCH(1,
      (ATTENDANCE_INPUT!A:A=A115) *
      (ATTENDANCE_INPUT!V:V=MAXIFS(ATTENDANCE_INPUT!V:V, ATTENDANCE_INPUT!A:A, A115)),
      0)),
  "")</f>
        <v>Nam Nguyen</v>
      </c>
      <c r="G115" s="72" t="str">
        <f t="array" ref="G115">IFERROR(
  INDEX(ATTENDANCE_INPUT!E:E,
    MATCH(1,
      (ATTENDANCE_INPUT!A:A=A115) *
      (ATTENDANCE_INPUT!V:V=MAXIFS(ATTENDANCE_INPUT!V:V, ATTENDANCE_INPUT!A:A, A115)),
      0)),
  "")</f>
        <v>Communication 1</v>
      </c>
      <c r="H115" s="73" t="str">
        <f t="array" ref="H115">IF(ISNA(MATCH(A115,sheet2!A:A,0)),"⏳ Chưa test",IFERROR(INDEX(LEVEL_HELPER!A:A,MATCH(INDEX(sheet2!N:N,MATCH(A115,sheet2!A:A,0)),LEVEL_HELPER!B:B,0)),"⏳ Chưa test"))</f>
        <v>Beginner</v>
      </c>
      <c r="I115" s="73" t="str">
        <f t="array" ref="I115">IF(ISNA(MATCH(A115,sheet2!A:A,0)),H115,IF(INDEX(sheet2!O:O,MATCH(A115,sheet2!A:A,0))&gt;0,IFERROR(INDEX(LEVEL_HELPER!A:A,MATCH(INDEX(sheet2!O:O,MATCH(A115,sheet2!A:A,0)),LEVEL_HELPER!B:B,0)),H115),H115))</f>
        <v>Beginner</v>
      </c>
      <c r="J115" s="73">
        <f>IFERROR(MAXIFS(ATTENDANCE_LOG!F:F, ATTENDANCE_LOG!C:C, A115&amp;"", ATTENDANCE_LOG!G:G, "Present"), "")</f>
        <v>46134.45833</v>
      </c>
      <c r="K115" s="74" t="str">
        <f t="shared" si="1"/>
        <v/>
      </c>
      <c r="L115" s="75" t="str">
        <f t="shared" si="2"/>
        <v/>
      </c>
      <c r="M115" s="59"/>
      <c r="N115" s="77"/>
      <c r="O115" s="59"/>
      <c r="P115" s="59"/>
      <c r="Q115" s="59"/>
      <c r="R115" s="59"/>
      <c r="S115" s="59"/>
      <c r="T115" s="59"/>
      <c r="U115" s="59"/>
      <c r="V115" s="59"/>
      <c r="W115" s="87"/>
      <c r="X115" s="87"/>
      <c r="Y115" s="87"/>
    </row>
    <row r="116" ht="15.75" customHeight="1">
      <c r="A116" s="67" t="s">
        <v>372</v>
      </c>
      <c r="B116" s="68" t="s">
        <v>373</v>
      </c>
      <c r="C116" s="69" t="str">
        <f>IFERROR(__xludf.DUMMYFUNCTION("arrayformula(VLOOKUP(to_Text(A116),to_Text(sheet2!$A$1:M1002),13,0))"),"POC")</f>
        <v>POC</v>
      </c>
      <c r="D116" s="70" t="str">
        <f>IFERROR(__xludf.DUMMYFUNCTION("arrayformula(VLOOKUP(to_Text(A116),to_Text(sheet2!$A$1:M1002),12,0))"),"GSD")</f>
        <v>GSD</v>
      </c>
      <c r="E116" s="68" t="str">
        <f t="shared" si="16"/>
        <v>Active</v>
      </c>
      <c r="F116" s="67" t="str">
        <f t="array" ref="F116">IFERROR(
  INDEX(ATTENDANCE_INPUT!D:D,
    MATCH(1,
      (ATTENDANCE_INPUT!A:A=A116) *
      (ATTENDANCE_INPUT!V:V=MAXIFS(ATTENDANCE_INPUT!V:V, ATTENDANCE_INPUT!A:A, A116)),
      0)),
  "")</f>
        <v>Vinh Tran</v>
      </c>
      <c r="G116" s="72" t="str">
        <f t="array" ref="G116">IFERROR(
  INDEX(ATTENDANCE_INPUT!E:E,
    MATCH(1,
      (ATTENDANCE_INPUT!A:A=A116) *
      (ATTENDANCE_INPUT!V:V=MAXIFS(ATTENDANCE_INPUT!V:V, ATTENDANCE_INPUT!A:A, A116)),
      0)),
  "")</f>
        <v>Communication 2</v>
      </c>
      <c r="H116" s="73" t="str">
        <f t="array" ref="H116">IF(ISNA(MATCH(A116,sheet2!A:A,0)),"⏳ Chưa test",IFERROR(INDEX(LEVEL_HELPER!A:A,MATCH(INDEX(sheet2!N:N,MATCH(A116,sheet2!A:A,0)),LEVEL_HELPER!B:B,0)),"⏳ Chưa test"))</f>
        <v>Beginner</v>
      </c>
      <c r="I116" s="73" t="str">
        <f t="array" ref="I116">IF(ISNA(MATCH(A116,sheet2!A:A,0)),H116,IF(INDEX(sheet2!O:O,MATCH(A116,sheet2!A:A,0))&gt;0,IFERROR(INDEX(LEVEL_HELPER!A:A,MATCH(INDEX(sheet2!O:O,MATCH(A116,sheet2!A:A,0)),LEVEL_HELPER!B:B,0)),H116),H116))</f>
        <v>Pre-Intermediate 1</v>
      </c>
      <c r="J116" s="73">
        <f>IFERROR(MAXIFS(ATTENDANCE_LOG!F:F, ATTENDANCE_LOG!C:C, A116&amp;"", ATTENDANCE_LOG!G:G, "Present"), "")</f>
        <v>46134.54167</v>
      </c>
      <c r="K116" s="74" t="str">
        <f t="shared" si="1"/>
        <v/>
      </c>
      <c r="L116" s="75" t="str">
        <f t="shared" si="2"/>
        <v/>
      </c>
      <c r="M116" s="59"/>
      <c r="N116" s="77"/>
      <c r="O116" s="59"/>
      <c r="P116" s="59"/>
      <c r="Q116" s="59"/>
      <c r="R116" s="59"/>
      <c r="S116" s="59"/>
      <c r="T116" s="59"/>
      <c r="U116" s="59"/>
      <c r="V116" s="59"/>
      <c r="W116" s="87"/>
      <c r="X116" s="87"/>
      <c r="Y116" s="87"/>
    </row>
    <row r="117" ht="15.75" customHeight="1">
      <c r="A117" s="67" t="s">
        <v>374</v>
      </c>
      <c r="B117" s="68" t="s">
        <v>375</v>
      </c>
      <c r="C117" s="69" t="str">
        <f>IFERROR(__xludf.DUMMYFUNCTION("arrayformula(VLOOKUP(to_Text(A117),to_Text(sheet2!$A$1:M1002),13,0))"),"ONC")</f>
        <v>ONC</v>
      </c>
      <c r="D117" s="70" t="str">
        <f>IFERROR(__xludf.DUMMYFUNCTION("arrayformula(VLOOKUP(to_Text(A117),to_Text(sheet2!$A$1:M1002),12,0))"),"DEV")</f>
        <v>DEV</v>
      </c>
      <c r="E117" s="68" t="str">
        <f t="shared" si="16"/>
        <v>Inactive</v>
      </c>
      <c r="F117" s="67" t="str">
        <f t="array" ref="F117">IFERROR(
  INDEX(ATTENDANCE_INPUT!D:D,
    MATCH(1,
      (ATTENDANCE_INPUT!A:A=A117) *
      (ATTENDANCE_INPUT!V:V=MAXIFS(ATTENDANCE_INPUT!V:V, ATTENDANCE_INPUT!A:A, A117)),
      0)),
  "")</f>
        <v>Nhat Phan 1</v>
      </c>
      <c r="G117" s="72" t="str">
        <f t="array" ref="G117">IFERROR(
  INDEX(ATTENDANCE_INPUT!E:E,
    MATCH(1,
      (ATTENDANCE_INPUT!A:A=A117) *
      (ATTENDANCE_INPUT!V:V=MAXIFS(ATTENDANCE_INPUT!V:V, ATTENDANCE_INPUT!A:A, A117)),
      0)),
  "")</f>
        <v>Communication 1</v>
      </c>
      <c r="H117" s="73" t="str">
        <f t="array" ref="H117">IF(ISNA(MATCH(A117,sheet2!A:A,0)),"⏳ Chưa test",IFERROR(INDEX(LEVEL_HELPER!A:A,MATCH(INDEX(sheet2!N:N,MATCH(A117,sheet2!A:A,0)),LEVEL_HELPER!B:B,0)),"⏳ Chưa test"))</f>
        <v>⏳ Chưa test</v>
      </c>
      <c r="I117" s="73" t="str">
        <f t="array" ref="I117">IF(ISNA(MATCH(A117,sheet2!A:A,0)),H117,IF(INDEX(sheet2!O:O,MATCH(A117,sheet2!A:A,0))&gt;0,IFERROR(INDEX(LEVEL_HELPER!A:A,MATCH(INDEX(sheet2!O:O,MATCH(A117,sheet2!A:A,0)),LEVEL_HELPER!B:B,0)),H117),H117))</f>
        <v>⏳ Chưa test</v>
      </c>
      <c r="J117" s="73">
        <f>IFERROR(MAXIFS(ATTENDANCE_LOG!F:F, ATTENDANCE_LOG!C:C, A117&amp;"", ATTENDANCE_LOG!G:G, "Present"), "")</f>
        <v>45819.41667</v>
      </c>
      <c r="K117" s="74">
        <f t="shared" si="1"/>
        <v>176</v>
      </c>
      <c r="L117" s="75" t="str">
        <f t="shared" si="2"/>
        <v>⚠ Possibly Dropped</v>
      </c>
      <c r="M117" s="59" t="s">
        <v>34</v>
      </c>
      <c r="N117" s="77" t="s">
        <v>41</v>
      </c>
      <c r="O117" s="59"/>
      <c r="P117" s="59"/>
      <c r="Q117" s="59"/>
      <c r="R117" s="59"/>
      <c r="S117" s="59"/>
      <c r="T117" s="59"/>
      <c r="U117" s="59"/>
      <c r="V117" s="59"/>
      <c r="W117" s="87"/>
      <c r="X117" s="87"/>
      <c r="Y117" s="87"/>
    </row>
    <row r="118" ht="15.75" customHeight="1">
      <c r="A118" s="67" t="s">
        <v>376</v>
      </c>
      <c r="B118" s="68" t="s">
        <v>377</v>
      </c>
      <c r="C118" s="69" t="str">
        <f>IFERROR(__xludf.DUMMYFUNCTION("arrayformula(VLOOKUP(to_Text(A118),to_Text(sheet2!$A$1:M1002),13,0))"),"CHORUS")</f>
        <v>CHORUS</v>
      </c>
      <c r="D118" s="70" t="str">
        <f>IFERROR(__xludf.DUMMYFUNCTION("arrayformula(VLOOKUP(to_Text(A118),to_Text(sheet2!$A$1:M1002),12,0))"),"QC")</f>
        <v>QC</v>
      </c>
      <c r="E118" s="68" t="str">
        <f t="shared" si="16"/>
        <v>Inactive</v>
      </c>
      <c r="F118" s="67" t="str">
        <f t="array" ref="F118">IFERROR(
  INDEX(ATTENDANCE_INPUT!D:D,
    MATCH(1,
      (ATTENDANCE_INPUT!A:A=A118) *
      (ATTENDANCE_INPUT!V:V=MAXIFS(ATTENDANCE_INPUT!V:V, ATTENDANCE_INPUT!A:A, A118)),
      0)),
  "")</f>
        <v>Huyen Vo</v>
      </c>
      <c r="G118" s="72" t="str">
        <f t="array" ref="G118">IFERROR(
  INDEX(ATTENDANCE_INPUT!E:E,
    MATCH(1,
      (ATTENDANCE_INPUT!A:A=A118) *
      (ATTENDANCE_INPUT!V:V=MAXIFS(ATTENDANCE_INPUT!V:V, ATTENDANCE_INPUT!A:A, A118)),
      0)),
  "")</f>
        <v>Communication 1</v>
      </c>
      <c r="H118" s="73" t="str">
        <f t="array" ref="H118">IF(ISNA(MATCH(A118,sheet2!A:A,0)),"⏳ Chưa test",IFERROR(INDEX(LEVEL_HELPER!A:A,MATCH(INDEX(sheet2!N:N,MATCH(A118,sheet2!A:A,0)),LEVEL_HELPER!B:B,0)),"⏳ Chưa test"))</f>
        <v>Beginner</v>
      </c>
      <c r="I118" s="73" t="str">
        <f t="array" ref="I118">IF(ISNA(MATCH(A118,sheet2!A:A,0)),H118,IF(INDEX(sheet2!O:O,MATCH(A118,sheet2!A:A,0))&gt;0,IFERROR(INDEX(LEVEL_HELPER!A:A,MATCH(INDEX(sheet2!O:O,MATCH(A118,sheet2!A:A,0)),LEVEL_HELPER!B:B,0)),H118),H118))</f>
        <v>Beginner</v>
      </c>
      <c r="J118" s="73">
        <f>IFERROR(MAXIFS(ATTENDANCE_LOG!F:F, ATTENDANCE_LOG!C:C, A118&amp;"", ATTENDANCE_LOG!G:G, "Present"), "")</f>
        <v>45784.375</v>
      </c>
      <c r="K118" s="74">
        <f t="shared" si="1"/>
        <v>300</v>
      </c>
      <c r="L118" s="75" t="str">
        <f t="shared" si="2"/>
        <v>⚠ Possibly Dropped</v>
      </c>
      <c r="M118" s="59" t="s">
        <v>34</v>
      </c>
      <c r="N118" s="77" t="s">
        <v>33</v>
      </c>
      <c r="O118" s="59" t="s">
        <v>378</v>
      </c>
      <c r="P118" s="59"/>
      <c r="Q118" s="59"/>
      <c r="R118" s="59">
        <v>247150.0</v>
      </c>
      <c r="S118" s="59" t="s">
        <v>121</v>
      </c>
      <c r="T118" s="59" t="s">
        <v>122</v>
      </c>
      <c r="U118" s="59" t="str">
        <f>IFERROR(__xludf.DUMMYFUNCTION("arrayformula(vlookup(to_text(R118),to_text($A$4:$B1030),2,0))"),"#N/A")</f>
        <v>#N/A</v>
      </c>
      <c r="V118" s="59"/>
      <c r="W118" s="87"/>
      <c r="X118" s="87"/>
      <c r="Y118" s="87"/>
    </row>
    <row r="119" ht="15.75" customHeight="1">
      <c r="A119" s="67" t="s">
        <v>379</v>
      </c>
      <c r="B119" s="68" t="s">
        <v>380</v>
      </c>
      <c r="C119" s="69" t="str">
        <f>IFERROR(__xludf.DUMMYFUNCTION("arrayformula(VLOOKUP(to_Text(A119),to_Text(sheet2!$A$1:M1002),13,0))"),"TBU")</f>
        <v>TBU</v>
      </c>
      <c r="D119" s="70" t="str">
        <f>IFERROR(__xludf.DUMMYFUNCTION("arrayformula(VLOOKUP(to_Text(A119),to_Text(sheet2!$A$1:M1002),12,0))"),"GSD")</f>
        <v>GSD</v>
      </c>
      <c r="E119" s="71" t="s">
        <v>16</v>
      </c>
      <c r="F119" s="67" t="str">
        <f t="array" ref="F119">IFERROR(
  INDEX(ATTENDANCE_INPUT!D:D,
    MATCH(1,
      (ATTENDANCE_INPUT!A:A=A119) *
      (ATTENDANCE_INPUT!V:V=MAXIFS(ATTENDANCE_INPUT!V:V, ATTENDANCE_INPUT!A:A, A119)),
      0)),
  "")</f>
        <v>Phu Nguyen</v>
      </c>
      <c r="G119" s="72" t="str">
        <f t="array" ref="G119">IFERROR(
  INDEX(ATTENDANCE_INPUT!E:E,
    MATCH(1,
      (ATTENDANCE_INPUT!A:A=A119) *
      (ATTENDANCE_INPUT!V:V=MAXIFS(ATTENDANCE_INPUT!V:V, ATTENDANCE_INPUT!A:A, A119)),
      0)),
  "")</f>
        <v>Communication 1</v>
      </c>
      <c r="H119" s="73" t="str">
        <f t="array" ref="H119">IF(ISNA(MATCH(A119,sheet2!A:A,0)),"⏳ Chưa test",IFERROR(INDEX(LEVEL_HELPER!A:A,MATCH(INDEX(sheet2!N:N,MATCH(A119,sheet2!A:A,0)),LEVEL_HELPER!B:B,0)),"⏳ Chưa test"))</f>
        <v>Beginner</v>
      </c>
      <c r="I119" s="73" t="str">
        <f t="array" ref="I119">IF(ISNA(MATCH(A119,sheet2!A:A,0)),H119,IF(INDEX(sheet2!O:O,MATCH(A119,sheet2!A:A,0))&gt;0,IFERROR(INDEX(LEVEL_HELPER!A:A,MATCH(INDEX(sheet2!O:O,MATCH(A119,sheet2!A:A,0)),LEVEL_HELPER!B:B,0)),H119),H119))</f>
        <v>Beginner</v>
      </c>
      <c r="J119" s="73">
        <f>IFERROR(MAXIFS(ATTENDANCE_LOG!F:F, ATTENDANCE_LOG!C:C, A119&amp;"", ATTENDANCE_LOG!G:G, "Present"), "")</f>
        <v>45979.58333</v>
      </c>
      <c r="K119" s="74" t="str">
        <f t="shared" si="1"/>
        <v/>
      </c>
      <c r="L119" s="75" t="str">
        <f t="shared" si="2"/>
        <v/>
      </c>
      <c r="M119" s="59" t="s">
        <v>36</v>
      </c>
      <c r="N119" s="77" t="s">
        <v>33</v>
      </c>
      <c r="O119" s="92" t="s">
        <v>381</v>
      </c>
      <c r="P119" s="59"/>
      <c r="Q119" s="59"/>
      <c r="R119" s="59"/>
      <c r="S119" s="59"/>
      <c r="T119" s="59"/>
      <c r="U119" s="59"/>
      <c r="V119" s="59"/>
      <c r="W119" s="87"/>
      <c r="X119" s="87"/>
      <c r="Y119" s="87"/>
    </row>
    <row r="120" ht="15.75" customHeight="1">
      <c r="A120" s="67" t="s">
        <v>382</v>
      </c>
      <c r="B120" s="68" t="s">
        <v>380</v>
      </c>
      <c r="C120" s="69" t="str">
        <f>IFERROR(__xludf.DUMMYFUNCTION("arrayformula(VLOOKUP(to_Text(A120),to_Text(sheet2!$A$1:M1002),13,0))"),"MOC")</f>
        <v>MOC</v>
      </c>
      <c r="D120" s="70" t="str">
        <f>IFERROR(__xludf.DUMMYFUNCTION("arrayformula(VLOOKUP(to_Text(A120),to_Text(sheet2!$A$1:M1002),12,0))"),"DEV")</f>
        <v>DEV</v>
      </c>
      <c r="E120" s="68" t="str">
        <f>if(L120="⚠ Possibly Dropped","Inactive","Active")</f>
        <v>Active</v>
      </c>
      <c r="F120" s="67" t="str">
        <f t="array" ref="F120">IFERROR(
  INDEX(ATTENDANCE_INPUT!D:D,
    MATCH(1,
      (ATTENDANCE_INPUT!A:A=A120) *
      (ATTENDANCE_INPUT!V:V=MAXIFS(ATTENDANCE_INPUT!V:V, ATTENDANCE_INPUT!A:A, A120)),
      0)),
  "")</f>
        <v>Dung Hoang</v>
      </c>
      <c r="G120" s="72" t="str">
        <f t="array" ref="G120">IFERROR(
  INDEX(ATTENDANCE_INPUT!E:E,
    MATCH(1,
      (ATTENDANCE_INPUT!A:A=A120) *
      (ATTENDANCE_INPUT!V:V=MAXIFS(ATTENDANCE_INPUT!V:V, ATTENDANCE_INPUT!A:A, A120)),
      0)),
  "")</f>
        <v>Communication 2</v>
      </c>
      <c r="H120" s="73" t="str">
        <f t="array" ref="H120">IF(ISNA(MATCH(A120,sheet2!A:A,0)),"⏳ Chưa test",IFERROR(INDEX(LEVEL_HELPER!A:A,MATCH(INDEX(sheet2!N:N,MATCH(A120,sheet2!A:A,0)),LEVEL_HELPER!B:B,0)),"⏳ Chưa test"))</f>
        <v>Beginner</v>
      </c>
      <c r="I120" s="73" t="str">
        <f t="array" ref="I120">IF(ISNA(MATCH(A120,sheet2!A:A,0)),H120,IF(INDEX(sheet2!O:O,MATCH(A120,sheet2!A:A,0))&gt;0,IFERROR(INDEX(LEVEL_HELPER!A:A,MATCH(INDEX(sheet2!O:O,MATCH(A120,sheet2!A:A,0)),LEVEL_HELPER!B:B,0)),H120),H120))</f>
        <v>Pre-Intermediate 1</v>
      </c>
      <c r="J120" s="73">
        <f>IFERROR(MAXIFS(ATTENDANCE_LOG!F:F, ATTENDANCE_LOG!C:C, A120&amp;"", ATTENDANCE_LOG!G:G, "Present"), "")</f>
        <v>46135.41667</v>
      </c>
      <c r="K120" s="74" t="str">
        <f t="shared" si="1"/>
        <v/>
      </c>
      <c r="L120" s="75" t="str">
        <f t="shared" si="2"/>
        <v/>
      </c>
      <c r="M120" s="59"/>
      <c r="N120" s="77"/>
      <c r="O120" s="59"/>
      <c r="P120" s="59"/>
      <c r="Q120" s="59"/>
      <c r="R120" s="59">
        <v>183405.0</v>
      </c>
      <c r="S120" s="59" t="s">
        <v>146</v>
      </c>
      <c r="T120" s="59" t="s">
        <v>33</v>
      </c>
      <c r="U120" s="59" t="str">
        <f>IFERROR(__xludf.DUMMYFUNCTION("arrayformula(vlookup(to_text(R120),to_text($A$4:$B1067),2,0))"),"#N/A")</f>
        <v>#N/A</v>
      </c>
      <c r="V120" s="59"/>
      <c r="W120" s="87"/>
      <c r="X120" s="87"/>
      <c r="Y120" s="87"/>
    </row>
    <row r="121" ht="15.75" customHeight="1">
      <c r="A121" s="67" t="s">
        <v>383</v>
      </c>
      <c r="B121" s="68" t="s">
        <v>384</v>
      </c>
      <c r="C121" s="69" t="str">
        <f>IFERROR(__xludf.DUMMYFUNCTION("arrayformula(VLOOKUP(to_Text(A121),to_Text(sheet2!$A$1:M1002),13,0))"),"TBU")</f>
        <v>TBU</v>
      </c>
      <c r="D121" s="70" t="str">
        <f>IFERROR(__xludf.DUMMYFUNCTION("arrayformula(VLOOKUP(to_Text(A121),to_Text(sheet2!$A$1:M1002),12,0))"),"SM")</f>
        <v>SM</v>
      </c>
      <c r="E121" s="68" t="s">
        <v>15</v>
      </c>
      <c r="F121" s="67" t="str">
        <f t="array" ref="F121">IFERROR(
  INDEX(ATTENDANCE_INPUT!D:D,
    MATCH(1,
      (ATTENDANCE_INPUT!A:A=A121) *
      (ATTENDANCE_INPUT!V:V=MAXIFS(ATTENDANCE_INPUT!V:V, ATTENDANCE_INPUT!A:A, A121)),
      0)),
  "")</f>
        <v>My Nguyen</v>
      </c>
      <c r="G121" s="72" t="str">
        <f t="array" ref="G121">IFERROR(
  INDEX(ATTENDANCE_INPUT!E:E,
    MATCH(1,
      (ATTENDANCE_INPUT!A:A=A121) *
      (ATTENDANCE_INPUT!V:V=MAXIFS(ATTENDANCE_INPUT!V:V, ATTENDANCE_INPUT!A:A, A121)),
      0)),
  "")</f>
        <v>Communication 2</v>
      </c>
      <c r="H121" s="73" t="str">
        <f t="array" ref="H121">IF(ISNA(MATCH(A121,sheet2!A:A,0)),"⏳ Chưa test",IFERROR(INDEX(LEVEL_HELPER!A:A,MATCH(INDEX(sheet2!N:N,MATCH(A121,sheet2!A:A,0)),LEVEL_HELPER!B:B,0)),"⏳ Chưa test"))</f>
        <v>Intermediate</v>
      </c>
      <c r="I121" s="73" t="str">
        <f t="array" ref="I121">IF(ISNA(MATCH(A121,sheet2!A:A,0)),H121,IF(INDEX(sheet2!O:O,MATCH(A121,sheet2!A:A,0))&gt;0,IFERROR(INDEX(LEVEL_HELPER!A:A,MATCH(INDEX(sheet2!O:O,MATCH(A121,sheet2!A:A,0)),LEVEL_HELPER!B:B,0)),H121),H121))</f>
        <v>Intermediate 2</v>
      </c>
      <c r="J121" s="73">
        <f>IFERROR(MAXIFS(ATTENDANCE_LOG!F:F, ATTENDANCE_LOG!C:C, A121&amp;"", ATTENDANCE_LOG!G:G, "Present"), "")</f>
        <v>46086.54167</v>
      </c>
      <c r="K121" s="74">
        <f t="shared" si="1"/>
        <v>-2</v>
      </c>
      <c r="L121" s="75" t="str">
        <f t="shared" si="2"/>
        <v/>
      </c>
      <c r="M121" s="59"/>
      <c r="N121" s="77"/>
      <c r="O121" s="59"/>
      <c r="P121" s="59"/>
      <c r="Q121" s="59"/>
      <c r="R121" s="59">
        <v>247193.0</v>
      </c>
      <c r="S121" s="59" t="s">
        <v>146</v>
      </c>
      <c r="T121" s="59" t="s">
        <v>33</v>
      </c>
      <c r="U121" s="59" t="str">
        <f>IFERROR(__xludf.DUMMYFUNCTION("arrayformula(vlookup(to_text(R121),to_text($A$4:$B1060),2,0))"),"#N/A")</f>
        <v>#N/A</v>
      </c>
      <c r="V121" s="59"/>
      <c r="W121" s="87"/>
      <c r="X121" s="87"/>
      <c r="Y121" s="87"/>
    </row>
    <row r="122" ht="15.75" customHeight="1">
      <c r="A122" s="67" t="s">
        <v>385</v>
      </c>
      <c r="B122" s="68" t="s">
        <v>386</v>
      </c>
      <c r="C122" s="69" t="str">
        <f>IFERROR(__xludf.DUMMYFUNCTION("arrayformula(VLOOKUP(to_Text(A122),to_Text(sheet2!$A$1:M1002),13,0))"),"LBU")</f>
        <v>LBU</v>
      </c>
      <c r="D122" s="70" t="str">
        <f>IFERROR(__xludf.DUMMYFUNCTION("arrayformula(VLOOKUP(to_Text(A122),to_Text(sheet2!$A$1:M1002),12,0))"),"GSD")</f>
        <v>GSD</v>
      </c>
      <c r="E122" s="68" t="str">
        <f t="shared" ref="E122:E123" si="17">if(L122="⚠ Possibly Dropped","Inactive","Active")</f>
        <v>Inactive</v>
      </c>
      <c r="F122" s="67" t="str">
        <f t="array" ref="F122">IFERROR(
  INDEX(ATTENDANCE_INPUT!D:D,
    MATCH(1,
      (ATTENDANCE_INPUT!A:A=A122) *
      (ATTENDANCE_INPUT!V:V=MAXIFS(ATTENDANCE_INPUT!V:V, ATTENDANCE_INPUT!A:A, A122)),
      0)),
  "")</f>
        <v>Liên Nguyễn</v>
      </c>
      <c r="G122" s="72" t="str">
        <f t="array" ref="G122">IFERROR(
  INDEX(ATTENDANCE_INPUT!E:E,
    MATCH(1,
      (ATTENDANCE_INPUT!A:A=A122) *
      (ATTENDANCE_INPUT!V:V=MAXIFS(ATTENDANCE_INPUT!V:V, ATTENDANCE_INPUT!A:A, A122)),
      0)),
  "")</f>
        <v>Foundation</v>
      </c>
      <c r="H122" s="73" t="str">
        <f t="array" ref="H122">IF(ISNA(MATCH(A122,sheet2!A:A,0)),"⏳ Chưa test",IFERROR(INDEX(LEVEL_HELPER!A:A,MATCH(INDEX(sheet2!N:N,MATCH(A122,sheet2!A:A,0)),LEVEL_HELPER!B:B,0)),"⏳ Chưa test"))</f>
        <v>Foundation</v>
      </c>
      <c r="I122" s="73" t="str">
        <f t="array" ref="I122">IF(ISNA(MATCH(A122,sheet2!A:A,0)),H122,IF(INDEX(sheet2!O:O,MATCH(A122,sheet2!A:A,0))&gt;0,IFERROR(INDEX(LEVEL_HELPER!A:A,MATCH(INDEX(sheet2!O:O,MATCH(A122,sheet2!A:A,0)),LEVEL_HELPER!B:B,0)),H122),H122))</f>
        <v>Foundation</v>
      </c>
      <c r="J122" s="73">
        <f>IFERROR(MAXIFS(ATTENDANCE_LOG!F:F, ATTENDANCE_LOG!C:C, A122&amp;"", ATTENDANCE_LOG!G:G, "Present"), "")</f>
        <v>46083.58333</v>
      </c>
      <c r="K122" s="74">
        <f t="shared" si="1"/>
        <v>87</v>
      </c>
      <c r="L122" s="75" t="str">
        <f t="shared" si="2"/>
        <v>⚠ Possibly Dropped</v>
      </c>
      <c r="M122" s="80" t="s">
        <v>36</v>
      </c>
      <c r="N122" s="77" t="s">
        <v>39</v>
      </c>
      <c r="O122" s="59"/>
      <c r="P122" s="59"/>
      <c r="Q122" s="59"/>
      <c r="R122" s="59"/>
      <c r="S122" s="59"/>
      <c r="T122" s="59"/>
      <c r="U122" s="59"/>
      <c r="V122" s="59"/>
      <c r="W122" s="87"/>
      <c r="X122" s="87"/>
      <c r="Y122" s="87"/>
    </row>
    <row r="123" ht="15.75" customHeight="1">
      <c r="A123" s="67" t="s">
        <v>387</v>
      </c>
      <c r="B123" s="68" t="s">
        <v>388</v>
      </c>
      <c r="C123" s="69" t="str">
        <f>IFERROR(__xludf.DUMMYFUNCTION("arrayformula(VLOOKUP(to_Text(A123),to_Text(sheet2!$A$1:M1002),13,0))"),"CHORUS")</f>
        <v>CHORUS</v>
      </c>
      <c r="D123" s="70" t="str">
        <f>IFERROR(__xludf.DUMMYFUNCTION("arrayformula(VLOOKUP(to_Text(A123),to_Text(sheet2!$A$1:M1002),12,0))"),"DEV")</f>
        <v>DEV</v>
      </c>
      <c r="E123" s="68" t="str">
        <f t="shared" si="17"/>
        <v>Inactive</v>
      </c>
      <c r="F123" s="67" t="str">
        <f t="array" ref="F123">IFERROR(
  INDEX(ATTENDANCE_INPUT!D:D,
    MATCH(1,
      (ATTENDANCE_INPUT!A:A=A123) *
      (ATTENDANCE_INPUT!V:V=MAXIFS(ATTENDANCE_INPUT!V:V, ATTENDANCE_INPUT!A:A, A123)),
      0)),
  "")</f>
        <v>Huyen Vo</v>
      </c>
      <c r="G123" s="72" t="str">
        <f t="array" ref="G123">IFERROR(
  INDEX(ATTENDANCE_INPUT!E:E,
    MATCH(1,
      (ATTENDANCE_INPUT!A:A=A123) *
      (ATTENDANCE_INPUT!V:V=MAXIFS(ATTENDANCE_INPUT!V:V, ATTENDANCE_INPUT!A:A, A123)),
      0)),
  "")</f>
        <v>Communication 1</v>
      </c>
      <c r="H123" s="73" t="str">
        <f t="array" ref="H123">IF(ISNA(MATCH(A123,sheet2!A:A,0)),"⏳ Chưa test",IFERROR(INDEX(LEVEL_HELPER!A:A,MATCH(INDEX(sheet2!N:N,MATCH(A123,sheet2!A:A,0)),LEVEL_HELPER!B:B,0)),"⏳ Chưa test"))</f>
        <v>Beginner</v>
      </c>
      <c r="I123" s="73" t="str">
        <f t="array" ref="I123">IF(ISNA(MATCH(A123,sheet2!A:A,0)),H123,IF(INDEX(sheet2!O:O,MATCH(A123,sheet2!A:A,0))&gt;0,IFERROR(INDEX(LEVEL_HELPER!A:A,MATCH(INDEX(sheet2!O:O,MATCH(A123,sheet2!A:A,0)),LEVEL_HELPER!B:B,0)),H123),H123))</f>
        <v>Beginner 2</v>
      </c>
      <c r="J123" s="73">
        <f>IFERROR(MAXIFS(ATTENDANCE_LOG!F:F, ATTENDANCE_LOG!C:C, A123&amp;"", ATTENDANCE_LOG!G:G, "Present"), "")</f>
        <v>45784.375</v>
      </c>
      <c r="K123" s="74">
        <f t="shared" si="1"/>
        <v>300</v>
      </c>
      <c r="L123" s="75" t="str">
        <f t="shared" si="2"/>
        <v>⚠ Possibly Dropped</v>
      </c>
      <c r="M123" s="59" t="s">
        <v>34</v>
      </c>
      <c r="N123" s="77" t="s">
        <v>33</v>
      </c>
      <c r="O123" s="59"/>
      <c r="P123" s="59"/>
      <c r="Q123" s="59"/>
      <c r="R123" s="59"/>
      <c r="S123" s="59"/>
      <c r="T123" s="59"/>
      <c r="U123" s="59"/>
      <c r="V123" s="59"/>
      <c r="W123" s="87"/>
      <c r="X123" s="87"/>
      <c r="Y123" s="87"/>
    </row>
    <row r="124" ht="15.75" customHeight="1">
      <c r="A124" s="67" t="s">
        <v>389</v>
      </c>
      <c r="B124" s="68" t="s">
        <v>390</v>
      </c>
      <c r="C124" s="69" t="str">
        <f>IFERROR(__xludf.DUMMYFUNCTION("arrayformula(VLOOKUP(to_Text(A124),to_Text(sheet2!$A$1:M1002),13,0))"),"TBU")</f>
        <v>TBU</v>
      </c>
      <c r="D124" s="70" t="str">
        <f>IFERROR(__xludf.DUMMYFUNCTION("arrayformula(VLOOKUP(to_Text(A124),to_Text(sheet2!$A$1:M1002),12,0))"),"BA")</f>
        <v>BA</v>
      </c>
      <c r="E124" s="71" t="s">
        <v>16</v>
      </c>
      <c r="F124" s="67" t="str">
        <f t="array" ref="F124">IFERROR(
  INDEX(ATTENDANCE_INPUT!D:D,
    MATCH(1,
      (ATTENDANCE_INPUT!A:A=A124) *
      (ATTENDANCE_INPUT!V:V=MAXIFS(ATTENDANCE_INPUT!V:V, ATTENDANCE_INPUT!A:A, A124)),
      0)),
  "")</f>
        <v>My Nguyen</v>
      </c>
      <c r="G124" s="72" t="str">
        <f t="array" ref="G124">IFERROR(
  INDEX(ATTENDANCE_INPUT!E:E,
    MATCH(1,
      (ATTENDANCE_INPUT!A:A=A124) *
      (ATTENDANCE_INPUT!V:V=MAXIFS(ATTENDANCE_INPUT!V:V, ATTENDANCE_INPUT!A:A, A124)),
      0)),
  "")</f>
        <v>Communication 2</v>
      </c>
      <c r="H124" s="73" t="str">
        <f t="array" ref="H124">IF(ISNA(MATCH(A124,sheet2!A:A,0)),"⏳ Chưa test",IFERROR(INDEX(LEVEL_HELPER!A:A,MATCH(INDEX(sheet2!N:N,MATCH(A124,sheet2!A:A,0)),LEVEL_HELPER!B:B,0)),"⏳ Chưa test"))</f>
        <v>Beginner</v>
      </c>
      <c r="I124" s="73" t="str">
        <f t="array" ref="I124">IF(ISNA(MATCH(A124,sheet2!A:A,0)),H124,IF(INDEX(sheet2!O:O,MATCH(A124,sheet2!A:A,0))&gt;0,IFERROR(INDEX(LEVEL_HELPER!A:A,MATCH(INDEX(sheet2!O:O,MATCH(A124,sheet2!A:A,0)),LEVEL_HELPER!B:B,0)),H124),H124))</f>
        <v>Pre-Intermediate 1</v>
      </c>
      <c r="J124" s="73">
        <f>IFERROR(MAXIFS(ATTENDANCE_LOG!F:F, ATTENDANCE_LOG!C:C, A124&amp;"", ATTENDANCE_LOG!G:G, "Present"), "")</f>
        <v>46086.54167</v>
      </c>
      <c r="K124" s="74">
        <f t="shared" si="1"/>
        <v>-2</v>
      </c>
      <c r="L124" s="75" t="str">
        <f t="shared" si="2"/>
        <v/>
      </c>
      <c r="M124" s="59" t="s">
        <v>34</v>
      </c>
      <c r="N124" s="77" t="s">
        <v>33</v>
      </c>
      <c r="O124" s="59"/>
      <c r="P124" s="59"/>
      <c r="Q124" s="59"/>
      <c r="R124" s="59"/>
      <c r="S124" s="59"/>
      <c r="T124" s="59"/>
      <c r="U124" s="59"/>
      <c r="V124" s="59"/>
      <c r="W124" s="87"/>
      <c r="X124" s="87"/>
      <c r="Y124" s="87"/>
    </row>
    <row r="125" ht="15.75" customHeight="1">
      <c r="A125" s="67" t="s">
        <v>391</v>
      </c>
      <c r="B125" s="68" t="s">
        <v>392</v>
      </c>
      <c r="C125" s="69" t="str">
        <f>IFERROR(__xludf.DUMMYFUNCTION("arrayformula(VLOOKUP(to_Text(A125),to_Text(sheet2!$A$1:M1002),13,0))"),"CHORUS")</f>
        <v>CHORUS</v>
      </c>
      <c r="D125" s="70" t="str">
        <f>IFERROR(__xludf.DUMMYFUNCTION("arrayformula(VLOOKUP(to_Text(A125),to_Text(sheet2!$A$1:M1002),12,0))"),"GSD")</f>
        <v>GSD</v>
      </c>
      <c r="E125" s="71" t="s">
        <v>16</v>
      </c>
      <c r="F125" s="67" t="str">
        <f t="array" ref="F125">IFERROR(
  INDEX(ATTENDANCE_INPUT!D:D,
    MATCH(1,
      (ATTENDANCE_INPUT!A:A=A125) *
      (ATTENDANCE_INPUT!V:V=MAXIFS(ATTENDANCE_INPUT!V:V, ATTENDANCE_INPUT!A:A, A125)),
      0)),
  "")</f>
        <v>Thanh Phung</v>
      </c>
      <c r="G125" s="72" t="str">
        <f t="array" ref="G125">IFERROR(
  INDEX(ATTENDANCE_INPUT!E:E,
    MATCH(1,
      (ATTENDANCE_INPUT!A:A=A125) *
      (ATTENDANCE_INPUT!V:V=MAXIFS(ATTENDANCE_INPUT!V:V, ATTENDANCE_INPUT!A:A, A125)),
      0)),
  "")</f>
        <v>Foundation</v>
      </c>
      <c r="H125" s="73" t="str">
        <f t="array" ref="H125">IF(ISNA(MATCH(A125,sheet2!A:A,0)),"⏳ Chưa test",IFERROR(INDEX(LEVEL_HELPER!A:A,MATCH(INDEX(sheet2!N:N,MATCH(A125,sheet2!A:A,0)),LEVEL_HELPER!B:B,0)),"⏳ Chưa test"))</f>
        <v>Foundation</v>
      </c>
      <c r="I125" s="73" t="str">
        <f t="array" ref="I125">IF(ISNA(MATCH(A125,sheet2!A:A,0)),H125,IF(INDEX(sheet2!O:O,MATCH(A125,sheet2!A:A,0))&gt;0,IFERROR(INDEX(LEVEL_HELPER!A:A,MATCH(INDEX(sheet2!O:O,MATCH(A125,sheet2!A:A,0)),LEVEL_HELPER!B:B,0)),H125),H125))</f>
        <v>Foundation</v>
      </c>
      <c r="J125" s="73">
        <f>IFERROR(MAXIFS(ATTENDANCE_LOG!F:F, ATTENDANCE_LOG!C:C, A125&amp;"", ATTENDANCE_LOG!G:G, "Present"), "")</f>
        <v>46010.54167</v>
      </c>
      <c r="K125" s="74" t="str">
        <f t="shared" si="1"/>
        <v/>
      </c>
      <c r="L125" s="75" t="str">
        <f t="shared" si="2"/>
        <v/>
      </c>
      <c r="M125" s="80" t="s">
        <v>36</v>
      </c>
      <c r="N125" s="76" t="s">
        <v>42</v>
      </c>
      <c r="O125" s="59"/>
      <c r="P125" s="59"/>
      <c r="Q125" s="59"/>
      <c r="R125" s="59"/>
      <c r="S125" s="59"/>
      <c r="T125" s="59"/>
      <c r="U125" s="59"/>
      <c r="V125" s="59"/>
      <c r="W125" s="87"/>
      <c r="X125" s="87"/>
      <c r="Y125" s="87"/>
    </row>
    <row r="126" ht="15.75" customHeight="1">
      <c r="A126" s="67" t="s">
        <v>393</v>
      </c>
      <c r="B126" s="68" t="s">
        <v>394</v>
      </c>
      <c r="C126" s="69" t="str">
        <f>IFERROR(__xludf.DUMMYFUNCTION("arrayformula(VLOOKUP(to_Text(A126),to_Text(sheet2!$A$1:M1002),13,0))"),"CHORUS")</f>
        <v>CHORUS</v>
      </c>
      <c r="D126" s="70" t="str">
        <f>IFERROR(__xludf.DUMMYFUNCTION("arrayformula(VLOOKUP(to_Text(A126),to_Text(sheet2!$A$1:M1002),12,0))"),"DEV")</f>
        <v>DEV</v>
      </c>
      <c r="E126" s="68" t="str">
        <f>if(L126="⚠ Possibly Dropped","Inactive","Active")</f>
        <v>Active</v>
      </c>
      <c r="F126" s="67" t="str">
        <f t="array" ref="F126">IFERROR(
  INDEX(ATTENDANCE_INPUT!D:D,
    MATCH(1,
      (ATTENDANCE_INPUT!A:A=A126) *
      (ATTENDANCE_INPUT!V:V=MAXIFS(ATTENDANCE_INPUT!V:V, ATTENDANCE_INPUT!A:A, A126)),
      0)),
  "")</f>
        <v>Phung Nguyen</v>
      </c>
      <c r="G126" s="72" t="str">
        <f t="array" ref="G126">IFERROR(
  INDEX(ATTENDANCE_INPUT!E:E,
    MATCH(1,
      (ATTENDANCE_INPUT!A:A=A126) *
      (ATTENDANCE_INPUT!V:V=MAXIFS(ATTENDANCE_INPUT!V:V, ATTENDANCE_INPUT!A:A, A126)),
      0)),
  "")</f>
        <v>Foundation</v>
      </c>
      <c r="H126" s="73" t="str">
        <f t="array" ref="H126">IF(ISNA(MATCH(A126,sheet2!A:A,0)),"⏳ Chưa test",IFERROR(INDEX(LEVEL_HELPER!A:A,MATCH(INDEX(sheet2!N:N,MATCH(A126,sheet2!A:A,0)),LEVEL_HELPER!B:B,0)),"⏳ Chưa test"))</f>
        <v>Foundation</v>
      </c>
      <c r="I126" s="73" t="str">
        <f t="array" ref="I126">IF(ISNA(MATCH(A126,sheet2!A:A,0)),H126,IF(INDEX(sheet2!O:O,MATCH(A126,sheet2!A:A,0))&gt;0,IFERROR(INDEX(LEVEL_HELPER!A:A,MATCH(INDEX(sheet2!O:O,MATCH(A126,sheet2!A:A,0)),LEVEL_HELPER!B:B,0)),H126),H126))</f>
        <v>Foundation</v>
      </c>
      <c r="J126" s="73">
        <f>IFERROR(MAXIFS(ATTENDANCE_LOG!F:F, ATTENDANCE_LOG!C:C, A126&amp;"", ATTENDANCE_LOG!G:G, "Present"), "")</f>
        <v>46135.45833</v>
      </c>
      <c r="K126" s="74" t="str">
        <f t="shared" si="1"/>
        <v/>
      </c>
      <c r="L126" s="75" t="str">
        <f t="shared" si="2"/>
        <v/>
      </c>
      <c r="M126" s="59"/>
      <c r="N126" s="77"/>
      <c r="O126" s="59"/>
      <c r="P126" s="59"/>
      <c r="Q126" s="59"/>
      <c r="R126" s="59"/>
      <c r="S126" s="59"/>
      <c r="T126" s="59"/>
      <c r="U126" s="59"/>
      <c r="V126" s="59"/>
      <c r="W126" s="87"/>
      <c r="X126" s="87"/>
      <c r="Y126" s="87"/>
    </row>
    <row r="127" ht="15.75" customHeight="1">
      <c r="A127" s="67" t="s">
        <v>395</v>
      </c>
      <c r="B127" s="68" t="s">
        <v>396</v>
      </c>
      <c r="C127" s="69" t="str">
        <f>IFERROR(__xludf.DUMMYFUNCTION("arrayformula(VLOOKUP(to_Text(A127),to_Text(sheet2!$A$1:M1002),13,0))"),"CHORUS")</f>
        <v>CHORUS</v>
      </c>
      <c r="D127" s="70" t="str">
        <f>IFERROR(__xludf.DUMMYFUNCTION("arrayformula(VLOOKUP(to_Text(A127),to_Text(sheet2!$A$1:M1002),12,0))"),"QC")</f>
        <v>QC</v>
      </c>
      <c r="E127" s="71" t="s">
        <v>16</v>
      </c>
      <c r="F127" s="67" t="str">
        <f t="array" ref="F127">IFERROR(
  INDEX(ATTENDANCE_INPUT!D:D,
    MATCH(1,
      (ATTENDANCE_INPUT!A:A=A127) *
      (ATTENDANCE_INPUT!V:V=MAXIFS(ATTENDANCE_INPUT!V:V, ATTENDANCE_INPUT!A:A, A127)),
      0)),
  "")</f>
        <v>Huy Tran 1</v>
      </c>
      <c r="G127" s="72" t="str">
        <f t="array" ref="G127">IFERROR(
  INDEX(ATTENDANCE_INPUT!E:E,
    MATCH(1,
      (ATTENDANCE_INPUT!A:A=A127) *
      (ATTENDANCE_INPUT!V:V=MAXIFS(ATTENDANCE_INPUT!V:V, ATTENDANCE_INPUT!A:A, A127)),
      0)),
  "")</f>
        <v>Communication 2</v>
      </c>
      <c r="H127" s="73" t="str">
        <f t="array" ref="H127">IF(ISNA(MATCH(A127,sheet2!A:A,0)),"⏳ Chưa test",IFERROR(INDEX(LEVEL_HELPER!A:A,MATCH(INDEX(sheet2!N:N,MATCH(A127,sheet2!A:A,0)),LEVEL_HELPER!B:B,0)),"⏳ Chưa test"))</f>
        <v>Pre-Intermediate</v>
      </c>
      <c r="I127" s="73" t="str">
        <f t="array" ref="I127">IF(ISNA(MATCH(A127,sheet2!A:A,0)),H127,IF(INDEX(sheet2!O:O,MATCH(A127,sheet2!A:A,0))&gt;0,IFERROR(INDEX(LEVEL_HELPER!A:A,MATCH(INDEX(sheet2!O:O,MATCH(A127,sheet2!A:A,0)),LEVEL_HELPER!B:B,0)),H127),H127))</f>
        <v>Pre-Intermediate</v>
      </c>
      <c r="J127" s="73">
        <f>IFERROR(MAXIFS(ATTENDANCE_LOG!F:F, ATTENDANCE_LOG!C:C, A127&amp;"", ATTENDANCE_LOG!G:G, "Present"), "")</f>
        <v>45895.45833</v>
      </c>
      <c r="K127" s="74" t="str">
        <f t="shared" si="1"/>
        <v/>
      </c>
      <c r="L127" s="75" t="str">
        <f t="shared" si="2"/>
        <v/>
      </c>
      <c r="M127" s="59" t="s">
        <v>36</v>
      </c>
      <c r="N127" s="77" t="s">
        <v>33</v>
      </c>
      <c r="O127" s="59"/>
      <c r="P127" s="59"/>
      <c r="Q127" s="59"/>
      <c r="R127" s="89"/>
      <c r="S127" s="89"/>
      <c r="T127" s="89"/>
      <c r="U127" s="89"/>
      <c r="V127" s="59"/>
      <c r="W127" s="87"/>
      <c r="X127" s="87"/>
      <c r="Y127" s="87"/>
    </row>
    <row r="128" ht="15.75" customHeight="1">
      <c r="A128" s="67" t="s">
        <v>397</v>
      </c>
      <c r="B128" s="68" t="s">
        <v>398</v>
      </c>
      <c r="C128" s="69" t="str">
        <f>IFERROR(__xludf.DUMMYFUNCTION("arrayformula(VLOOKUP(to_Text(A128),to_Text(sheet2!$A$1:M1002),13,0))"),"MOC")</f>
        <v>MOC</v>
      </c>
      <c r="D128" s="70" t="str">
        <f>IFERROR(__xludf.DUMMYFUNCTION("arrayformula(VLOOKUP(to_Text(A128),to_Text(sheet2!$A$1:M1002),12,0))"),"BC")</f>
        <v>BC</v>
      </c>
      <c r="E128" s="71" t="s">
        <v>16</v>
      </c>
      <c r="F128" s="67" t="str">
        <f t="array" ref="F128">IFERROR(
  INDEX(ATTENDANCE_INPUT!D:D,
    MATCH(1,
      (ATTENDANCE_INPUT!A:A=A128) *
      (ATTENDANCE_INPUT!V:V=MAXIFS(ATTENDANCE_INPUT!V:V, ATTENDANCE_INPUT!A:A, A128)),
      0)),
  "")</f>
        <v>Van Nguyen</v>
      </c>
      <c r="G128" s="72" t="str">
        <f t="array" ref="G128">IFERROR(
  INDEX(ATTENDANCE_INPUT!E:E,
    MATCH(1,
      (ATTENDANCE_INPUT!A:A=A128) *
      (ATTENDANCE_INPUT!V:V=MAXIFS(ATTENDANCE_INPUT!V:V, ATTENDANCE_INPUT!A:A, A128)),
      0)),
  "")</f>
        <v>Business English</v>
      </c>
      <c r="H128" s="73" t="str">
        <f t="array" ref="H128">IF(ISNA(MATCH(A128,sheet2!A:A,0)),"⏳ Chưa test",IFERROR(INDEX(LEVEL_HELPER!A:A,MATCH(INDEX(sheet2!N:N,MATCH(A128,sheet2!A:A,0)),LEVEL_HELPER!B:B,0)),"⏳ Chưa test"))</f>
        <v>Beginner</v>
      </c>
      <c r="I128" s="73" t="str">
        <f t="array" ref="I128">IF(ISNA(MATCH(A128,sheet2!A:A,0)),H128,IF(INDEX(sheet2!O:O,MATCH(A128,sheet2!A:A,0))&gt;0,IFERROR(INDEX(LEVEL_HELPER!A:A,MATCH(INDEX(sheet2!O:O,MATCH(A128,sheet2!A:A,0)),LEVEL_HELPER!B:B,0)),H128),H128))</f>
        <v>Intermediate 1</v>
      </c>
      <c r="J128" s="73">
        <f>IFERROR(MAXIFS(ATTENDANCE_LOG!F:F, ATTENDANCE_LOG!C:C, A128&amp;"", ATTENDANCE_LOG!G:G, "Present"), "")</f>
        <v>46127.625</v>
      </c>
      <c r="K128" s="74" t="str">
        <f t="shared" si="1"/>
        <v/>
      </c>
      <c r="L128" s="75" t="str">
        <f t="shared" si="2"/>
        <v/>
      </c>
      <c r="M128" s="80" t="s">
        <v>36</v>
      </c>
      <c r="N128" s="76" t="s">
        <v>42</v>
      </c>
      <c r="O128" s="59"/>
      <c r="P128" s="59"/>
      <c r="Q128" s="59"/>
      <c r="R128" s="59"/>
      <c r="S128" s="59"/>
      <c r="T128" s="59"/>
      <c r="U128" s="59"/>
      <c r="V128" s="59"/>
      <c r="W128" s="87"/>
      <c r="X128" s="87"/>
      <c r="Y128" s="87"/>
    </row>
    <row r="129" ht="15.75" customHeight="1">
      <c r="A129" s="67" t="s">
        <v>399</v>
      </c>
      <c r="B129" s="68" t="s">
        <v>400</v>
      </c>
      <c r="C129" s="69" t="str">
        <f>IFERROR(__xludf.DUMMYFUNCTION("arrayformula(VLOOKUP(to_Text(A129),to_Text(sheet2!$A$1:M1002),13,0))"),"LBU")</f>
        <v>LBU</v>
      </c>
      <c r="D129" s="70" t="str">
        <f>IFERROR(__xludf.DUMMYFUNCTION("arrayformula(VLOOKUP(to_Text(A129),to_Text(sheet2!$A$1:M1002),12,0))"),"UI/UX")</f>
        <v>UI/UX</v>
      </c>
      <c r="E129" s="71" t="s">
        <v>16</v>
      </c>
      <c r="F129" s="67" t="str">
        <f t="array" ref="F129">IFERROR(
  INDEX(ATTENDANCE_INPUT!D:D,
    MATCH(1,
      (ATTENDANCE_INPUT!A:A=A129) *
      (ATTENDANCE_INPUT!V:V=MAXIFS(ATTENDANCE_INPUT!V:V, ATTENDANCE_INPUT!A:A, A129)),
      0)),
  "")</f>
        <v>My Tran</v>
      </c>
      <c r="G129" s="72" t="str">
        <f t="array" ref="G129">IFERROR(
  INDEX(ATTENDANCE_INPUT!E:E,
    MATCH(1,
      (ATTENDANCE_INPUT!A:A=A129) *
      (ATTENDANCE_INPUT!V:V=MAXIFS(ATTENDANCE_INPUT!V:V, ATTENDANCE_INPUT!A:A, A129)),
      0)),
  "")</f>
        <v>Communication 2</v>
      </c>
      <c r="H129" s="73" t="str">
        <f t="array" ref="H129">IF(ISNA(MATCH(A129,sheet2!A:A,0)),"⏳ Chưa test",IFERROR(INDEX(LEVEL_HELPER!A:A,MATCH(INDEX(sheet2!N:N,MATCH(A129,sheet2!A:A,0)),LEVEL_HELPER!B:B,0)),"⏳ Chưa test"))</f>
        <v>Pre-Intermediate</v>
      </c>
      <c r="I129" s="73" t="str">
        <f t="array" ref="I129">IF(ISNA(MATCH(A129,sheet2!A:A,0)),H129,IF(INDEX(sheet2!O:O,MATCH(A129,sheet2!A:A,0))&gt;0,IFERROR(INDEX(LEVEL_HELPER!A:A,MATCH(INDEX(sheet2!O:O,MATCH(A129,sheet2!A:A,0)),LEVEL_HELPER!B:B,0)),H129),H129))</f>
        <v>Pre-Intermediate 2</v>
      </c>
      <c r="J129" s="73">
        <f>IFERROR(MAXIFS(ATTENDANCE_LOG!F:F, ATTENDANCE_LOG!C:C, A129&amp;"", ATTENDANCE_LOG!G:G, "Present"), "")</f>
        <v>46013.58333</v>
      </c>
      <c r="K129" s="74" t="str">
        <f t="shared" si="1"/>
        <v/>
      </c>
      <c r="L129" s="75" t="str">
        <f t="shared" si="2"/>
        <v/>
      </c>
      <c r="M129" s="59" t="s">
        <v>36</v>
      </c>
      <c r="N129" s="77" t="s">
        <v>33</v>
      </c>
      <c r="O129" s="59"/>
      <c r="P129" s="59"/>
      <c r="Q129" s="59"/>
      <c r="R129" s="59"/>
      <c r="S129" s="59"/>
      <c r="T129" s="59"/>
      <c r="U129" s="59"/>
      <c r="V129" s="59"/>
      <c r="W129" s="87"/>
      <c r="X129" s="87"/>
      <c r="Y129" s="87"/>
    </row>
    <row r="130" ht="15.75" customHeight="1">
      <c r="A130" s="67" t="s">
        <v>401</v>
      </c>
      <c r="B130" s="68" t="s">
        <v>402</v>
      </c>
      <c r="C130" s="69" t="str">
        <f>IFERROR(__xludf.DUMMYFUNCTION("arrayformula(VLOOKUP(to_Text(A130),to_Text(sheet2!$A$1:M1002),13,0))"),"POC")</f>
        <v>POC</v>
      </c>
      <c r="D130" s="70" t="str">
        <f>IFERROR(__xludf.DUMMYFUNCTION("arrayformula(VLOOKUP(to_Text(A130),to_Text(sheet2!$A$1:M1002),12,0))"),"DEV")</f>
        <v>DEV</v>
      </c>
      <c r="E130" s="68" t="str">
        <f>if(L130="⚠ Possibly Dropped","Inactive","Active")</f>
        <v>Active</v>
      </c>
      <c r="F130" s="67" t="str">
        <f t="array" ref="F130">IFERROR(
  INDEX(ATTENDANCE_INPUT!D:D,
    MATCH(1,
      (ATTENDANCE_INPUT!A:A=A130) *
      (ATTENDANCE_INPUT!V:V=MAXIFS(ATTENDANCE_INPUT!V:V, ATTENDANCE_INPUT!A:A, A130)),
      0)),
  "")</f>
        <v>Thien Truong</v>
      </c>
      <c r="G130" s="72" t="str">
        <f t="array" ref="G130">IFERROR(
  INDEX(ATTENDANCE_INPUT!E:E,
    MATCH(1,
      (ATTENDANCE_INPUT!A:A=A130) *
      (ATTENDANCE_INPUT!V:V=MAXIFS(ATTENDANCE_INPUT!V:V, ATTENDANCE_INPUT!A:A, A130)),
      0)),
  "")</f>
        <v>Communication 3</v>
      </c>
      <c r="H130" s="73" t="str">
        <f t="array" ref="H130">IF(ISNA(MATCH(A130,sheet2!A:A,0)),"⏳ Chưa test",IFERROR(INDEX(LEVEL_HELPER!A:A,MATCH(INDEX(sheet2!N:N,MATCH(A130,sheet2!A:A,0)),LEVEL_HELPER!B:B,0)),"⏳ Chưa test"))</f>
        <v>Beginner</v>
      </c>
      <c r="I130" s="73" t="str">
        <f t="array" ref="I130">IF(ISNA(MATCH(A130,sheet2!A:A,0)),H130,IF(INDEX(sheet2!O:O,MATCH(A130,sheet2!A:A,0))&gt;0,IFERROR(INDEX(LEVEL_HELPER!A:A,MATCH(INDEX(sheet2!O:O,MATCH(A130,sheet2!A:A,0)),LEVEL_HELPER!B:B,0)),H130),H130))</f>
        <v>Pre-Intermediate 3</v>
      </c>
      <c r="J130" s="73">
        <f>IFERROR(MAXIFS(ATTENDANCE_LOG!F:F, ATTENDANCE_LOG!C:C, A130&amp;"", ATTENDANCE_LOG!G:G, "Present"), "")</f>
        <v>46134.58333</v>
      </c>
      <c r="K130" s="74" t="str">
        <f t="shared" si="1"/>
        <v/>
      </c>
      <c r="L130" s="75" t="str">
        <f t="shared" si="2"/>
        <v/>
      </c>
      <c r="M130" s="59"/>
      <c r="N130" s="77"/>
      <c r="O130" s="59"/>
      <c r="P130" s="59"/>
      <c r="Q130" s="59"/>
      <c r="R130" s="59"/>
      <c r="S130" s="59"/>
      <c r="T130" s="59"/>
      <c r="U130" s="59"/>
      <c r="V130" s="59"/>
      <c r="W130" s="87"/>
      <c r="X130" s="87"/>
      <c r="Y130" s="87"/>
    </row>
    <row r="131" ht="15.75" customHeight="1">
      <c r="A131" s="81" t="s">
        <v>403</v>
      </c>
      <c r="B131" s="82" t="s">
        <v>404</v>
      </c>
      <c r="C131" s="69" t="str">
        <f>IFERROR(__xludf.DUMMYFUNCTION("arrayformula(VLOOKUP(to_Text(A131),to_Text(sheet2!$A$1:M1002),13,0))"),"ONC")</f>
        <v>ONC</v>
      </c>
      <c r="D131" s="70" t="str">
        <f>IFERROR(__xludf.DUMMYFUNCTION("arrayformula(VLOOKUP(to_Text(A131),to_Text(sheet2!$A$1:M1002),12,0))"),"DEV")</f>
        <v>DEV</v>
      </c>
      <c r="E131" s="68" t="s">
        <v>175</v>
      </c>
      <c r="F131" s="67" t="str">
        <f t="array" ref="F131">IFERROR(
  INDEX(ATTENDANCE_INPUT!D:D,
    MATCH(1,
      (ATTENDANCE_INPUT!A:A=A131) *
      (ATTENDANCE_INPUT!V:V=MAXIFS(ATTENDANCE_INPUT!V:V, ATTENDANCE_INPUT!A:A, A131)),
      0)),
  "")</f>
        <v>Nhat Phan 2</v>
      </c>
      <c r="G131" s="72" t="str">
        <f t="array" ref="G131">IFERROR(
  INDEX(ATTENDANCE_INPUT!E:E,
    MATCH(1,
      (ATTENDANCE_INPUT!A:A=A131) *
      (ATTENDANCE_INPUT!V:V=MAXIFS(ATTENDANCE_INPUT!V:V, ATTENDANCE_INPUT!A:A, A131)),
      0)),
  "")</f>
        <v>Communication 1</v>
      </c>
      <c r="H131" s="73" t="str">
        <f t="array" ref="H131">IF(ISNA(MATCH(A131,sheet2!A:A,0)),"⏳ Chưa test",IFERROR(INDEX(LEVEL_HELPER!A:A,MATCH(INDEX(sheet2!N:N,MATCH(A131,sheet2!A:A,0)),LEVEL_HELPER!B:B,0)),"⏳ Chưa test"))</f>
        <v>Pre-Intermediate</v>
      </c>
      <c r="I131" s="73" t="str">
        <f t="array" ref="I131">IF(ISNA(MATCH(A131,sheet2!A:A,0)),H131,IF(INDEX(sheet2!O:O,MATCH(A131,sheet2!A:A,0))&gt;0,IFERROR(INDEX(LEVEL_HELPER!A:A,MATCH(INDEX(sheet2!O:O,MATCH(A131,sheet2!A:A,0)),LEVEL_HELPER!B:B,0)),H131),H131))</f>
        <v>Intermediate</v>
      </c>
      <c r="J131" s="83">
        <f>IFERROR(MAXIFS(ATTENDANCE_LOG!F:F, ATTENDANCE_LOG!C:C, A131&amp;"", ATTENDANCE_LOG!G:G, "Present"), "")</f>
        <v>45772.41667</v>
      </c>
      <c r="K131" s="84" t="str">
        <f t="shared" si="1"/>
        <v/>
      </c>
      <c r="L131" s="85" t="str">
        <f t="shared" si="2"/>
        <v/>
      </c>
      <c r="M131" s="78"/>
      <c r="N131" s="77"/>
      <c r="O131" s="59"/>
      <c r="P131" s="59"/>
      <c r="Q131" s="59"/>
      <c r="R131" s="59"/>
      <c r="S131" s="59"/>
      <c r="T131" s="59"/>
      <c r="U131" s="59"/>
      <c r="V131" s="59"/>
      <c r="W131" s="60"/>
      <c r="X131" s="60"/>
      <c r="Y131" s="60"/>
    </row>
    <row r="132" ht="15.75" customHeight="1">
      <c r="A132" s="67" t="s">
        <v>405</v>
      </c>
      <c r="B132" s="68" t="s">
        <v>406</v>
      </c>
      <c r="C132" s="69" t="str">
        <f>IFERROR(__xludf.DUMMYFUNCTION("arrayformula(VLOOKUP(to_Text(A132),to_Text(sheet2!$A$1:M1002),13,0))"),"TBU")</f>
        <v>TBU</v>
      </c>
      <c r="D132" s="70" t="str">
        <f>IFERROR(__xludf.DUMMYFUNCTION("arrayformula(VLOOKUP(to_Text(A132),to_Text(sheet2!$A$1:M1002),12,0))"),"GSD")</f>
        <v>GSD</v>
      </c>
      <c r="E132" s="68" t="str">
        <f t="shared" ref="E132:E136" si="18">if(L132="⚠ Possibly Dropped","Inactive","Active")</f>
        <v>Inactive</v>
      </c>
      <c r="F132" s="67" t="str">
        <f t="array" ref="F132">IFERROR(
  INDEX(ATTENDANCE_INPUT!D:D,
    MATCH(1,
      (ATTENDANCE_INPUT!A:A=A132) *
      (ATTENDANCE_INPUT!V:V=MAXIFS(ATTENDANCE_INPUT!V:V, ATTENDANCE_INPUT!A:A, A132)),
      0)),
  "")</f>
        <v>Liên Nguyễn</v>
      </c>
      <c r="G132" s="72" t="str">
        <f t="array" ref="G132">IFERROR(
  INDEX(ATTENDANCE_INPUT!E:E,
    MATCH(1,
      (ATTENDANCE_INPUT!A:A=A132) *
      (ATTENDANCE_INPUT!V:V=MAXIFS(ATTENDANCE_INPUT!V:V, ATTENDANCE_INPUT!A:A, A132)),
      0)),
  "")</f>
        <v>Foundation</v>
      </c>
      <c r="H132" s="73" t="str">
        <f t="array" ref="H132">IF(ISNA(MATCH(A132,sheet2!A:A,0)),"⏳ Chưa test",IFERROR(INDEX(LEVEL_HELPER!A:A,MATCH(INDEX(sheet2!N:N,MATCH(A132,sheet2!A:A,0)),LEVEL_HELPER!B:B,0)),"⏳ Chưa test"))</f>
        <v>Foundation</v>
      </c>
      <c r="I132" s="73" t="str">
        <f t="array" ref="I132">IF(ISNA(MATCH(A132,sheet2!A:A,0)),H132,IF(INDEX(sheet2!O:O,MATCH(A132,sheet2!A:A,0))&gt;0,IFERROR(INDEX(LEVEL_HELPER!A:A,MATCH(INDEX(sheet2!O:O,MATCH(A132,sheet2!A:A,0)),LEVEL_HELPER!B:B,0)),H132),H132))</f>
        <v>Foundation</v>
      </c>
      <c r="J132" s="73">
        <f>IFERROR(MAXIFS(ATTENDANCE_LOG!F:F, ATTENDANCE_LOG!C:C, A132&amp;"", ATTENDANCE_LOG!G:G, "Present"), "")</f>
        <v>46083.58333</v>
      </c>
      <c r="K132" s="74">
        <f t="shared" si="1"/>
        <v>87</v>
      </c>
      <c r="L132" s="75" t="str">
        <f t="shared" si="2"/>
        <v>⚠ Possibly Dropped</v>
      </c>
      <c r="M132" s="59" t="s">
        <v>34</v>
      </c>
      <c r="N132" s="77" t="s">
        <v>35</v>
      </c>
      <c r="O132" s="59"/>
      <c r="P132" s="59"/>
      <c r="Q132" s="59"/>
      <c r="R132" s="59"/>
      <c r="S132" s="59"/>
      <c r="T132" s="59"/>
      <c r="U132" s="59"/>
      <c r="V132" s="59"/>
      <c r="W132" s="87"/>
      <c r="X132" s="87"/>
      <c r="Y132" s="87"/>
    </row>
    <row r="133" ht="15.75" customHeight="1">
      <c r="A133" s="67" t="s">
        <v>407</v>
      </c>
      <c r="B133" s="68" t="s">
        <v>408</v>
      </c>
      <c r="C133" s="69" t="str">
        <f>IFERROR(__xludf.DUMMYFUNCTION("arrayformula(VLOOKUP(to_Text(A133),to_Text(sheet2!$A$1:M1002),13,0))"),"MOC")</f>
        <v>MOC</v>
      </c>
      <c r="D133" s="70" t="str">
        <f>IFERROR(__xludf.DUMMYFUNCTION("arrayformula(VLOOKUP(to_Text(A133),to_Text(sheet2!$A$1:M1002),12,0))"),"DEV")</f>
        <v>DEV</v>
      </c>
      <c r="E133" s="68" t="str">
        <f t="shared" si="18"/>
        <v>Active</v>
      </c>
      <c r="F133" s="67" t="str">
        <f t="array" ref="F133">IFERROR(
  INDEX(ATTENDANCE_INPUT!D:D,
    MATCH(1,
      (ATTENDANCE_INPUT!A:A=A133) *
      (ATTENDANCE_INPUT!V:V=MAXIFS(ATTENDANCE_INPUT!V:V, ATTENDANCE_INPUT!A:A, A133)),
      0)),
  "")</f>
        <v>Quan Nguyen</v>
      </c>
      <c r="G133" s="72" t="str">
        <f t="array" ref="G133">IFERROR(
  INDEX(ATTENDANCE_INPUT!E:E,
    MATCH(1,
      (ATTENDANCE_INPUT!A:A=A133) *
      (ATTENDANCE_INPUT!V:V=MAXIFS(ATTENDANCE_INPUT!V:V, ATTENDANCE_INPUT!A:A, A133)),
      0)),
  "")</f>
        <v>Communication 2</v>
      </c>
      <c r="H133" s="73" t="str">
        <f t="array" ref="H133">IF(ISNA(MATCH(A133,sheet2!A:A,0)),"⏳ Chưa test",IFERROR(INDEX(LEVEL_HELPER!A:A,MATCH(INDEX(sheet2!N:N,MATCH(A133,sheet2!A:A,0)),LEVEL_HELPER!B:B,0)),"⏳ Chưa test"))</f>
        <v>Foundation</v>
      </c>
      <c r="I133" s="73" t="str">
        <f t="array" ref="I133">IF(ISNA(MATCH(A133,sheet2!A:A,0)),H133,IF(INDEX(sheet2!O:O,MATCH(A133,sheet2!A:A,0))&gt;0,IFERROR(INDEX(LEVEL_HELPER!A:A,MATCH(INDEX(sheet2!O:O,MATCH(A133,sheet2!A:A,0)),LEVEL_HELPER!B:B,0)),H133),H133))</f>
        <v>Pre-Intermediate 1</v>
      </c>
      <c r="J133" s="73">
        <f>IFERROR(MAXIFS(ATTENDANCE_LOG!F:F, ATTENDANCE_LOG!C:C, A133&amp;"", ATTENDANCE_LOG!G:G, "Present"), "")</f>
        <v>46119.625</v>
      </c>
      <c r="K133" s="74">
        <f t="shared" si="1"/>
        <v>-64</v>
      </c>
      <c r="L133" s="75" t="str">
        <f t="shared" si="2"/>
        <v/>
      </c>
      <c r="M133" s="59"/>
      <c r="N133" s="77"/>
      <c r="O133" s="59"/>
      <c r="P133" s="59"/>
      <c r="Q133" s="59"/>
      <c r="R133" s="59"/>
      <c r="S133" s="59"/>
      <c r="T133" s="59"/>
      <c r="U133" s="59"/>
      <c r="V133" s="59"/>
      <c r="W133" s="87"/>
      <c r="X133" s="87"/>
      <c r="Y133" s="87"/>
    </row>
    <row r="134" ht="15.75" customHeight="1">
      <c r="A134" s="67" t="s">
        <v>409</v>
      </c>
      <c r="B134" s="68" t="s">
        <v>410</v>
      </c>
      <c r="C134" s="69" t="str">
        <f>IFERROR(__xludf.DUMMYFUNCTION("arrayformula(VLOOKUP(to_Text(A134),to_Text(sheet2!$A$1:M1002),13,0))"),"CHORUS")</f>
        <v>CHORUS</v>
      </c>
      <c r="D134" s="70" t="str">
        <f>IFERROR(__xludf.DUMMYFUNCTION("arrayformula(VLOOKUP(to_Text(A134),to_Text(sheet2!$A$1:M1002),12,0))"),"QC")</f>
        <v>QC</v>
      </c>
      <c r="E134" s="68" t="str">
        <f t="shared" si="18"/>
        <v>Active</v>
      </c>
      <c r="F134" s="67" t="str">
        <f t="array" ref="F134">IFERROR(
  INDEX(ATTENDANCE_INPUT!D:D,
    MATCH(1,
      (ATTENDANCE_INPUT!A:A=A134) *
      (ATTENDANCE_INPUT!V:V=MAXIFS(ATTENDANCE_INPUT!V:V, ATTENDANCE_INPUT!A:A, A134)),
      0)),
  "")</f>
        <v>Phung Nguyen</v>
      </c>
      <c r="G134" s="72" t="str">
        <f t="array" ref="G134">IFERROR(
  INDEX(ATTENDANCE_INPUT!E:E,
    MATCH(1,
      (ATTENDANCE_INPUT!A:A=A134) *
      (ATTENDANCE_INPUT!V:V=MAXIFS(ATTENDANCE_INPUT!V:V, ATTENDANCE_INPUT!A:A, A134)),
      0)),
  "")</f>
        <v>Foundation</v>
      </c>
      <c r="H134" s="73" t="str">
        <f t="array" ref="H134">IF(ISNA(MATCH(A134,sheet2!A:A,0)),"⏳ Chưa test",IFERROR(INDEX(LEVEL_HELPER!A:A,MATCH(INDEX(sheet2!N:N,MATCH(A134,sheet2!A:A,0)),LEVEL_HELPER!B:B,0)),"⏳ Chưa test"))</f>
        <v>Foundation</v>
      </c>
      <c r="I134" s="73" t="str">
        <f t="array" ref="I134">IF(ISNA(MATCH(A134,sheet2!A:A,0)),H134,IF(INDEX(sheet2!O:O,MATCH(A134,sheet2!A:A,0))&gt;0,IFERROR(INDEX(LEVEL_HELPER!A:A,MATCH(INDEX(sheet2!O:O,MATCH(A134,sheet2!A:A,0)),LEVEL_HELPER!B:B,0)),H134),H134))</f>
        <v>Foundation</v>
      </c>
      <c r="J134" s="73">
        <f>IFERROR(MAXIFS(ATTENDANCE_LOG!F:F, ATTENDANCE_LOG!C:C, A134&amp;"", ATTENDANCE_LOG!G:G, "Present"), "")</f>
        <v>46135.45833</v>
      </c>
      <c r="K134" s="74" t="str">
        <f t="shared" si="1"/>
        <v/>
      </c>
      <c r="L134" s="75" t="str">
        <f t="shared" si="2"/>
        <v/>
      </c>
      <c r="M134" s="59"/>
      <c r="N134" s="77"/>
      <c r="O134" s="59"/>
      <c r="P134" s="59"/>
      <c r="Q134" s="59"/>
      <c r="R134" s="59"/>
      <c r="S134" s="59"/>
      <c r="T134" s="59"/>
      <c r="U134" s="59"/>
      <c r="V134" s="59"/>
      <c r="W134" s="87"/>
      <c r="X134" s="87"/>
      <c r="Y134" s="87"/>
    </row>
    <row r="135" ht="15.75" customHeight="1">
      <c r="A135" s="67" t="s">
        <v>411</v>
      </c>
      <c r="B135" s="68" t="s">
        <v>412</v>
      </c>
      <c r="C135" s="69" t="str">
        <f>IFERROR(__xludf.DUMMYFUNCTION("arrayformula(VLOOKUP(to_Text(A135),to_Text(sheet2!$A$1:M1002),13,0))"),"LBU")</f>
        <v>LBU</v>
      </c>
      <c r="D135" s="70" t="str">
        <f>IFERROR(__xludf.DUMMYFUNCTION("arrayformula(VLOOKUP(to_Text(A135),to_Text(sheet2!$A$1:M1002),12,0))"),"GSD")</f>
        <v>GSD</v>
      </c>
      <c r="E135" s="68" t="str">
        <f t="shared" si="18"/>
        <v>Inactive</v>
      </c>
      <c r="F135" s="67" t="str">
        <f t="array" ref="F135">IFERROR(
  INDEX(ATTENDANCE_INPUT!D:D,
    MATCH(1,
      (ATTENDANCE_INPUT!A:A=A135) *
      (ATTENDANCE_INPUT!V:V=MAXIFS(ATTENDANCE_INPUT!V:V, ATTENDANCE_INPUT!A:A, A135)),
      0)),
  "")</f>
        <v>Huong Le</v>
      </c>
      <c r="G135" s="72" t="str">
        <f t="array" ref="G135">IFERROR(
  INDEX(ATTENDANCE_INPUT!E:E,
    MATCH(1,
      (ATTENDANCE_INPUT!A:A=A135) *
      (ATTENDANCE_INPUT!V:V=MAXIFS(ATTENDANCE_INPUT!V:V, ATTENDANCE_INPUT!A:A, A135)),
      0)),
  "")</f>
        <v>Communication 2</v>
      </c>
      <c r="H135" s="73" t="str">
        <f t="array" ref="H135">IF(ISNA(MATCH(A135,sheet2!A:A,0)),"⏳ Chưa test",IFERROR(INDEX(LEVEL_HELPER!A:A,MATCH(INDEX(sheet2!N:N,MATCH(A135,sheet2!A:A,0)),LEVEL_HELPER!B:B,0)),"⏳ Chưa test"))</f>
        <v>Pre-Intermediate</v>
      </c>
      <c r="I135" s="73" t="str">
        <f t="array" ref="I135">IF(ISNA(MATCH(A135,sheet2!A:A,0)),H135,IF(INDEX(sheet2!O:O,MATCH(A135,sheet2!A:A,0))&gt;0,IFERROR(INDEX(LEVEL_HELPER!A:A,MATCH(INDEX(sheet2!O:O,MATCH(A135,sheet2!A:A,0)),LEVEL_HELPER!B:B,0)),H135),H135))</f>
        <v>Intermediate 1</v>
      </c>
      <c r="J135" s="73">
        <f>IFERROR(MAXIFS(ATTENDANCE_LOG!F:F, ATTENDANCE_LOG!C:C, A135&amp;"", ATTENDANCE_LOG!G:G, "Present"), "")</f>
        <v>46115.54167</v>
      </c>
      <c r="K135" s="74">
        <f t="shared" si="1"/>
        <v>58</v>
      </c>
      <c r="L135" s="75" t="str">
        <f t="shared" si="2"/>
        <v>⚠ Possibly Dropped</v>
      </c>
      <c r="M135" s="59"/>
      <c r="N135" s="77"/>
      <c r="O135" s="59"/>
      <c r="P135" s="59"/>
      <c r="Q135" s="59"/>
      <c r="R135" s="59">
        <v>203700.0</v>
      </c>
      <c r="S135" s="59" t="s">
        <v>121</v>
      </c>
      <c r="T135" s="59" t="s">
        <v>122</v>
      </c>
      <c r="U135" s="59" t="e">
        <v>#N/A</v>
      </c>
      <c r="V135" s="59"/>
      <c r="W135" s="87"/>
      <c r="X135" s="87"/>
      <c r="Y135" s="87"/>
    </row>
    <row r="136" ht="15.75" customHeight="1">
      <c r="A136" s="67" t="s">
        <v>413</v>
      </c>
      <c r="B136" s="68" t="s">
        <v>414</v>
      </c>
      <c r="C136" s="69" t="str">
        <f>IFERROR(__xludf.DUMMYFUNCTION("arrayformula(VLOOKUP(to_Text(A136),to_Text(sheet2!$A$1:M1002),13,0))"),"ONC")</f>
        <v>ONC</v>
      </c>
      <c r="D136" s="70" t="str">
        <f>IFERROR(__xludf.DUMMYFUNCTION("arrayformula(VLOOKUP(to_Text(A136),to_Text(sheet2!$A$1:M1002),12,0))"),"QC")</f>
        <v>QC</v>
      </c>
      <c r="E136" s="68" t="str">
        <f t="shared" si="18"/>
        <v>Active</v>
      </c>
      <c r="F136" s="67" t="str">
        <f t="array" ref="F136">IFERROR(
  INDEX(ATTENDANCE_INPUT!D:D,
    MATCH(1,
      (ATTENDANCE_INPUT!A:A=A136) *
      (ATTENDANCE_INPUT!V:V=MAXIFS(ATTENDANCE_INPUT!V:V, ATTENDANCE_INPUT!A:A, A136)),
      0)),
  "")</f>
        <v>Nam Nguyen</v>
      </c>
      <c r="G136" s="72" t="str">
        <f t="array" ref="G136">IFERROR(
  INDEX(ATTENDANCE_INPUT!E:E,
    MATCH(1,
      (ATTENDANCE_INPUT!A:A=A136) *
      (ATTENDANCE_INPUT!V:V=MAXIFS(ATTENDANCE_INPUT!V:V, ATTENDANCE_INPUT!A:A, A136)),
      0)),
  "")</f>
        <v>Communication 1</v>
      </c>
      <c r="H136" s="73" t="str">
        <f t="array" ref="H136">IF(ISNA(MATCH(A136,sheet2!A:A,0)),"⏳ Chưa test",IFERROR(INDEX(LEVEL_HELPER!A:A,MATCH(INDEX(sheet2!N:N,MATCH(A136,sheet2!A:A,0)),LEVEL_HELPER!B:B,0)),"⏳ Chưa test"))</f>
        <v>Beginner</v>
      </c>
      <c r="I136" s="73" t="str">
        <f t="array" ref="I136">IF(ISNA(MATCH(A136,sheet2!A:A,0)),H136,IF(INDEX(sheet2!O:O,MATCH(A136,sheet2!A:A,0))&gt;0,IFERROR(INDEX(LEVEL_HELPER!A:A,MATCH(INDEX(sheet2!O:O,MATCH(A136,sheet2!A:A,0)),LEVEL_HELPER!B:B,0)),H136),H136))</f>
        <v>Pre-Intermediate</v>
      </c>
      <c r="J136" s="73">
        <f>IFERROR(MAXIFS(ATTENDANCE_LOG!F:F, ATTENDANCE_LOG!C:C, A136&amp;"", ATTENDANCE_LOG!G:G, "Present"), "")</f>
        <v>46134.45833</v>
      </c>
      <c r="K136" s="74" t="str">
        <f t="shared" si="1"/>
        <v/>
      </c>
      <c r="L136" s="75" t="str">
        <f t="shared" si="2"/>
        <v/>
      </c>
      <c r="M136" s="59"/>
      <c r="N136" s="77"/>
      <c r="O136" s="59"/>
      <c r="P136" s="59"/>
      <c r="Q136" s="59"/>
      <c r="R136" s="59"/>
      <c r="S136" s="59"/>
      <c r="T136" s="59"/>
      <c r="U136" s="59"/>
      <c r="V136" s="59"/>
      <c r="W136" s="87"/>
      <c r="X136" s="87"/>
      <c r="Y136" s="87"/>
    </row>
    <row r="137" ht="15.75" customHeight="1">
      <c r="A137" s="67" t="s">
        <v>415</v>
      </c>
      <c r="B137" s="68" t="s">
        <v>416</v>
      </c>
      <c r="C137" s="69" t="str">
        <f>IFERROR(__xludf.DUMMYFUNCTION("arrayformula(VLOOKUP(to_Text(A137),to_Text(sheet2!$A$1:M1002),13,0))"),"CHORUS")</f>
        <v>CHORUS</v>
      </c>
      <c r="D137" s="70" t="str">
        <f>IFERROR(__xludf.DUMMYFUNCTION("arrayformula(VLOOKUP(to_Text(A137),to_Text(sheet2!$A$1:M1002),12,0))"),"QC")</f>
        <v>QC</v>
      </c>
      <c r="E137" s="71" t="s">
        <v>16</v>
      </c>
      <c r="F137" s="67" t="str">
        <f t="array" ref="F137">IFERROR(
  INDEX(ATTENDANCE_INPUT!D:D,
    MATCH(1,
      (ATTENDANCE_INPUT!A:A=A137) *
      (ATTENDANCE_INPUT!V:V=MAXIFS(ATTENDANCE_INPUT!V:V, ATTENDANCE_INPUT!A:A, A137)),
      0)),
  "")</f>
        <v>Buu Do 2</v>
      </c>
      <c r="G137" s="72" t="str">
        <f t="array" ref="G137">IFERROR(
  INDEX(ATTENDANCE_INPUT!E:E,
    MATCH(1,
      (ATTENDANCE_INPUT!A:A=A137) *
      (ATTENDANCE_INPUT!V:V=MAXIFS(ATTENDANCE_INPUT!V:V, ATTENDANCE_INPUT!A:A, A137)),
      0)),
  "")</f>
        <v>Communication 1</v>
      </c>
      <c r="H137" s="73" t="str">
        <f t="array" ref="H137">IF(ISNA(MATCH(A137,sheet2!A:A,0)),"⏳ Chưa test",IFERROR(INDEX(LEVEL_HELPER!A:A,MATCH(INDEX(sheet2!N:N,MATCH(A137,sheet2!A:A,0)),LEVEL_HELPER!B:B,0)),"⏳ Chưa test"))</f>
        <v>Beginner</v>
      </c>
      <c r="I137" s="73" t="str">
        <f t="array" ref="I137">IF(ISNA(MATCH(A137,sheet2!A:A,0)),H137,IF(INDEX(sheet2!O:O,MATCH(A137,sheet2!A:A,0))&gt;0,IFERROR(INDEX(LEVEL_HELPER!A:A,MATCH(INDEX(sheet2!O:O,MATCH(A137,sheet2!A:A,0)),LEVEL_HELPER!B:B,0)),H137),H137))</f>
        <v>Beginner</v>
      </c>
      <c r="J137" s="73">
        <f>IFERROR(MAXIFS(ATTENDANCE_LOG!F:F, ATTENDANCE_LOG!C:C, A137&amp;"", ATTENDANCE_LOG!G:G, "Present"), "")</f>
        <v>45882.54167</v>
      </c>
      <c r="K137" s="74" t="str">
        <f t="shared" si="1"/>
        <v/>
      </c>
      <c r="L137" s="75" t="str">
        <f t="shared" si="2"/>
        <v/>
      </c>
      <c r="M137" s="59" t="s">
        <v>36</v>
      </c>
      <c r="N137" s="77" t="s">
        <v>33</v>
      </c>
      <c r="O137" s="59"/>
      <c r="P137" s="59"/>
      <c r="Q137" s="59"/>
      <c r="R137" s="59">
        <v>247251.0</v>
      </c>
      <c r="S137" s="59" t="s">
        <v>121</v>
      </c>
      <c r="T137" s="59" t="s">
        <v>122</v>
      </c>
      <c r="U137" s="59" t="e">
        <v>#N/A</v>
      </c>
      <c r="V137" s="59"/>
      <c r="W137" s="87"/>
      <c r="X137" s="87"/>
      <c r="Y137" s="87"/>
    </row>
    <row r="138" ht="15.75" customHeight="1">
      <c r="A138" s="81" t="s">
        <v>417</v>
      </c>
      <c r="B138" s="82" t="s">
        <v>418</v>
      </c>
      <c r="C138" s="69" t="str">
        <f>IFERROR(__xludf.DUMMYFUNCTION("arrayformula(VLOOKUP(to_Text(A138),to_Text(sheet2!$A$1:M1002),13,0))"),"MOC")</f>
        <v>MOC</v>
      </c>
      <c r="D138" s="70" t="str">
        <f>IFERROR(__xludf.DUMMYFUNCTION("arrayformula(VLOOKUP(to_Text(A138),to_Text(sheet2!$A$1:M1002),12,0))"),"QC")</f>
        <v>QC</v>
      </c>
      <c r="E138" s="68" t="s">
        <v>175</v>
      </c>
      <c r="F138" s="67" t="str">
        <f t="array" ref="F138">IFERROR(
  INDEX(ATTENDANCE_INPUT!D:D,
    MATCH(1,
      (ATTENDANCE_INPUT!A:A=A138) *
      (ATTENDANCE_INPUT!V:V=MAXIFS(ATTENDANCE_INPUT!V:V, ATTENDANCE_INPUT!A:A, A138)),
      0)),
  "")</f>
        <v>Anh To</v>
      </c>
      <c r="G138" s="72" t="str">
        <f t="array" ref="G138">IFERROR(
  INDEX(ATTENDANCE_INPUT!E:E,
    MATCH(1,
      (ATTENDANCE_INPUT!A:A=A138) *
      (ATTENDANCE_INPUT!V:V=MAXIFS(ATTENDANCE_INPUT!V:V, ATTENDANCE_INPUT!A:A, A138)),
      0)),
  "")</f>
        <v>Communication 2</v>
      </c>
      <c r="H138" s="73" t="str">
        <f t="array" ref="H138">IF(ISNA(MATCH(A138,sheet2!A:A,0)),"⏳ Chưa test",IFERROR(INDEX(LEVEL_HELPER!A:A,MATCH(INDEX(sheet2!N:N,MATCH(A138,sheet2!A:A,0)),LEVEL_HELPER!B:B,0)),"⏳ Chưa test"))</f>
        <v>Beginner</v>
      </c>
      <c r="I138" s="73" t="str">
        <f t="array" ref="I138">IF(ISNA(MATCH(A138,sheet2!A:A,0)),H138,IF(INDEX(sheet2!O:O,MATCH(A138,sheet2!A:A,0))&gt;0,IFERROR(INDEX(LEVEL_HELPER!A:A,MATCH(INDEX(sheet2!O:O,MATCH(A138,sheet2!A:A,0)),LEVEL_HELPER!B:B,0)),H138),H138))</f>
        <v>Beginner 2</v>
      </c>
      <c r="J138" s="83">
        <f>IFERROR(MAXIFS(ATTENDANCE_LOG!F:F, ATTENDANCE_LOG!C:C, A138&amp;"", ATTENDANCE_LOG!G:G, "Present"), "")</f>
        <v>46094.41667</v>
      </c>
      <c r="K138" s="84" t="str">
        <f t="shared" si="1"/>
        <v/>
      </c>
      <c r="L138" s="85" t="str">
        <f t="shared" si="2"/>
        <v/>
      </c>
      <c r="M138" s="78"/>
      <c r="N138" s="77"/>
      <c r="O138" s="59"/>
      <c r="P138" s="59"/>
      <c r="Q138" s="59"/>
      <c r="R138" s="59">
        <v>247135.0</v>
      </c>
      <c r="S138" s="59" t="s">
        <v>172</v>
      </c>
      <c r="T138" s="59" t="s">
        <v>39</v>
      </c>
      <c r="U138" s="59" t="str">
        <f>IFERROR(__xludf.DUMMYFUNCTION("arrayformula(vlookup(to_text(R138),to_text($A$4:$B1125),2,0))"),"#N/A")</f>
        <v>#N/A</v>
      </c>
      <c r="V138" s="59"/>
      <c r="W138" s="60"/>
      <c r="X138" s="60"/>
      <c r="Y138" s="60"/>
    </row>
    <row r="139" ht="15.75" customHeight="1">
      <c r="A139" s="67" t="s">
        <v>419</v>
      </c>
      <c r="B139" s="68" t="s">
        <v>420</v>
      </c>
      <c r="C139" s="69" t="str">
        <f>IFERROR(__xludf.DUMMYFUNCTION("arrayformula(VLOOKUP(to_Text(A139),to_Text(sheet2!$A$1:M1002),13,0))"),"LBU")</f>
        <v>LBU</v>
      </c>
      <c r="D139" s="70" t="str">
        <f>IFERROR(__xludf.DUMMYFUNCTION("arrayformula(VLOOKUP(to_Text(A139),to_Text(sheet2!$A$1:M1002),12,0))"),"DEV")</f>
        <v>DEV</v>
      </c>
      <c r="E139" s="68" t="s">
        <v>15</v>
      </c>
      <c r="F139" s="67" t="str">
        <f t="array" ref="F139">IFERROR(
  INDEX(ATTENDANCE_INPUT!D:D,
    MATCH(1,
      (ATTENDANCE_INPUT!A:A=A139) *
      (ATTENDANCE_INPUT!V:V=MAXIFS(ATTENDANCE_INPUT!V:V, ATTENDANCE_INPUT!A:A, A139)),
      0)),
  "")</f>
        <v>Vinh Tran</v>
      </c>
      <c r="G139" s="72" t="str">
        <f t="array" ref="G139">IFERROR(
  INDEX(ATTENDANCE_INPUT!E:E,
    MATCH(1,
      (ATTENDANCE_INPUT!A:A=A139) *
      (ATTENDANCE_INPUT!V:V=MAXIFS(ATTENDANCE_INPUT!V:V, ATTENDANCE_INPUT!A:A, A139)),
      0)),
  "")</f>
        <v>Communication 2</v>
      </c>
      <c r="H139" s="73" t="str">
        <f t="array" ref="H139">IF(ISNA(MATCH(A139,sheet2!A:A,0)),"⏳ Chưa test",IFERROR(INDEX(LEVEL_HELPER!A:A,MATCH(INDEX(sheet2!N:N,MATCH(A139,sheet2!A:A,0)),LEVEL_HELPER!B:B,0)),"⏳ Chưa test"))</f>
        <v>Beginner</v>
      </c>
      <c r="I139" s="73" t="str">
        <f t="array" ref="I139">IF(ISNA(MATCH(A139,sheet2!A:A,0)),H139,IF(INDEX(sheet2!O:O,MATCH(A139,sheet2!A:A,0))&gt;0,IFERROR(INDEX(LEVEL_HELPER!A:A,MATCH(INDEX(sheet2!O:O,MATCH(A139,sheet2!A:A,0)),LEVEL_HELPER!B:B,0)),H139),H139))</f>
        <v>Pre-Intermediate 1</v>
      </c>
      <c r="J139" s="73">
        <f>IFERROR(MAXIFS(ATTENDANCE_LOG!F:F, ATTENDANCE_LOG!C:C, A139&amp;"", ATTENDANCE_LOG!G:G, "Present"), "")</f>
        <v>46107.54167</v>
      </c>
      <c r="K139" s="74" t="str">
        <f t="shared" si="1"/>
        <v/>
      </c>
      <c r="L139" s="75" t="str">
        <f t="shared" si="2"/>
        <v/>
      </c>
      <c r="M139" s="59"/>
      <c r="N139" s="77"/>
      <c r="O139" s="59"/>
      <c r="P139" s="59"/>
      <c r="Q139" s="59"/>
      <c r="R139" s="59"/>
      <c r="S139" s="59"/>
      <c r="T139" s="59"/>
      <c r="U139" s="59"/>
      <c r="V139" s="59"/>
      <c r="W139" s="87"/>
      <c r="X139" s="87"/>
      <c r="Y139" s="87"/>
    </row>
    <row r="140" ht="15.75" customHeight="1">
      <c r="A140" s="67" t="s">
        <v>421</v>
      </c>
      <c r="B140" s="68" t="s">
        <v>422</v>
      </c>
      <c r="C140" s="69" t="str">
        <f>IFERROR(__xludf.DUMMYFUNCTION("arrayformula(VLOOKUP(to_Text(A140),to_Text(sheet2!$A$1:M1002),13,0))"),"LBU")</f>
        <v>LBU</v>
      </c>
      <c r="D140" s="70" t="str">
        <f>IFERROR(__xludf.DUMMYFUNCTION("arrayformula(VLOOKUP(to_Text(A140),to_Text(sheet2!$A$1:M1002),12,0))"),"GSD")</f>
        <v>GSD</v>
      </c>
      <c r="E140" s="68" t="str">
        <f>if(L140="⚠ Possibly Dropped","Inactive","Active")</f>
        <v>Active</v>
      </c>
      <c r="F140" s="67" t="str">
        <f t="array" ref="F140">IFERROR(
  INDEX(ATTENDANCE_INPUT!D:D,
    MATCH(1,
      (ATTENDANCE_INPUT!A:A=A140) *
      (ATTENDANCE_INPUT!V:V=MAXIFS(ATTENDANCE_INPUT!V:V, ATTENDANCE_INPUT!A:A, A140)),
      0)),
  "")</f>
        <v>Vinh Nguyen</v>
      </c>
      <c r="G140" s="72" t="str">
        <f t="array" ref="G140">IFERROR(
  INDEX(ATTENDANCE_INPUT!E:E,
    MATCH(1,
      (ATTENDANCE_INPUT!A:A=A140) *
      (ATTENDANCE_INPUT!V:V=MAXIFS(ATTENDANCE_INPUT!V:V, ATTENDANCE_INPUT!A:A, A140)),
      0)),
  "")</f>
        <v>Communication 3</v>
      </c>
      <c r="H140" s="73" t="str">
        <f t="array" ref="H140">IF(ISNA(MATCH(A140,sheet2!A:A,0)),"⏳ Chưa test",IFERROR(INDEX(LEVEL_HELPER!A:A,MATCH(INDEX(sheet2!N:N,MATCH(A140,sheet2!A:A,0)),LEVEL_HELPER!B:B,0)),"⏳ Chưa test"))</f>
        <v>Beginner</v>
      </c>
      <c r="I140" s="73" t="str">
        <f t="array" ref="I140">IF(ISNA(MATCH(A140,sheet2!A:A,0)),H140,IF(INDEX(sheet2!O:O,MATCH(A140,sheet2!A:A,0))&gt;0,IFERROR(INDEX(LEVEL_HELPER!A:A,MATCH(INDEX(sheet2!O:O,MATCH(A140,sheet2!A:A,0)),LEVEL_HELPER!B:B,0)),H140),H140))</f>
        <v>Pre-Intermediate 2</v>
      </c>
      <c r="J140" s="73">
        <f>IFERROR(MAXIFS(ATTENDANCE_LOG!F:F, ATTENDANCE_LOG!C:C, A140&amp;"", ATTENDANCE_LOG!G:G, "Present"), "")</f>
        <v>46128.58333</v>
      </c>
      <c r="K140" s="74" t="str">
        <f t="shared" si="1"/>
        <v/>
      </c>
      <c r="L140" s="75" t="str">
        <f t="shared" si="2"/>
        <v/>
      </c>
      <c r="M140" s="59"/>
      <c r="N140" s="77"/>
      <c r="O140" s="59"/>
      <c r="P140" s="59"/>
      <c r="Q140" s="59"/>
      <c r="R140" s="59"/>
      <c r="S140" s="59"/>
      <c r="T140" s="59"/>
      <c r="U140" s="59"/>
      <c r="V140" s="59"/>
      <c r="W140" s="87"/>
      <c r="X140" s="87"/>
      <c r="Y140" s="87"/>
    </row>
    <row r="141" ht="15.75" customHeight="1">
      <c r="A141" s="67" t="s">
        <v>423</v>
      </c>
      <c r="B141" s="68" t="s">
        <v>424</v>
      </c>
      <c r="C141" s="69" t="str">
        <f>IFERROR(__xludf.DUMMYFUNCTION("arrayformula(VLOOKUP(to_Text(A141),to_Text(sheet2!$A$1:M1002),13,0))"),"CHORUS")</f>
        <v>CHORUS</v>
      </c>
      <c r="D141" s="70" t="str">
        <f>IFERROR(__xludf.DUMMYFUNCTION("arrayformula(VLOOKUP(to_Text(A141),to_Text(sheet2!$A$1:M1002),12,0))"),"DEV")</f>
        <v>DEV</v>
      </c>
      <c r="E141" s="71" t="s">
        <v>16</v>
      </c>
      <c r="F141" s="67" t="str">
        <f t="array" ref="F141">IFERROR(
  INDEX(ATTENDANCE_INPUT!D:D,
    MATCH(1,
      (ATTENDANCE_INPUT!A:A=A141) *
      (ATTENDANCE_INPUT!V:V=MAXIFS(ATTENDANCE_INPUT!V:V, ATTENDANCE_INPUT!A:A, A141)),
      0)),
  "")</f>
        <v>Yen Tran 1</v>
      </c>
      <c r="G141" s="72" t="str">
        <f t="array" ref="G141">IFERROR(
  INDEX(ATTENDANCE_INPUT!E:E,
    MATCH(1,
      (ATTENDANCE_INPUT!A:A=A141) *
      (ATTENDANCE_INPUT!V:V=MAXIFS(ATTENDANCE_INPUT!V:V, ATTENDANCE_INPUT!A:A, A141)),
      0)),
  "")</f>
        <v>Communication 1</v>
      </c>
      <c r="H141" s="73" t="str">
        <f t="array" ref="H141">IF(ISNA(MATCH(A141,sheet2!A:A,0)),"⏳ Chưa test",IFERROR(INDEX(LEVEL_HELPER!A:A,MATCH(INDEX(sheet2!N:N,MATCH(A141,sheet2!A:A,0)),LEVEL_HELPER!B:B,0)),"⏳ Chưa test"))</f>
        <v>Beginner</v>
      </c>
      <c r="I141" s="73" t="str">
        <f t="array" ref="I141">IF(ISNA(MATCH(A141,sheet2!A:A,0)),H141,IF(INDEX(sheet2!O:O,MATCH(A141,sheet2!A:A,0))&gt;0,IFERROR(INDEX(LEVEL_HELPER!A:A,MATCH(INDEX(sheet2!O:O,MATCH(A141,sheet2!A:A,0)),LEVEL_HELPER!B:B,0)),H141),H141))</f>
        <v>Pre-Intermediate 1</v>
      </c>
      <c r="J141" s="73">
        <f>IFERROR(MAXIFS(ATTENDANCE_LOG!F:F, ATTENDANCE_LOG!C:C, A141&amp;"", ATTENDANCE_LOG!G:G, "Present"), "")</f>
        <v>45887.54167</v>
      </c>
      <c r="K141" s="74" t="str">
        <f t="shared" si="1"/>
        <v/>
      </c>
      <c r="L141" s="75" t="str">
        <f t="shared" si="2"/>
        <v/>
      </c>
      <c r="M141" s="59" t="s">
        <v>34</v>
      </c>
      <c r="N141" s="76" t="s">
        <v>33</v>
      </c>
      <c r="O141" s="59"/>
      <c r="P141" s="59"/>
      <c r="Q141" s="59"/>
      <c r="R141" s="59"/>
      <c r="S141" s="59"/>
      <c r="T141" s="59"/>
      <c r="U141" s="59"/>
      <c r="V141" s="59"/>
      <c r="W141" s="87"/>
      <c r="X141" s="87"/>
      <c r="Y141" s="87"/>
    </row>
    <row r="142" ht="15.75" customHeight="1">
      <c r="A142" s="67" t="s">
        <v>425</v>
      </c>
      <c r="B142" s="68" t="s">
        <v>426</v>
      </c>
      <c r="C142" s="69" t="str">
        <f>IFERROR(__xludf.DUMMYFUNCTION("arrayformula(VLOOKUP(to_Text(A142),to_Text(sheet2!$A$1:M1002),13,0))"),"LBU")</f>
        <v>LBU</v>
      </c>
      <c r="D142" s="70" t="str">
        <f>IFERROR(__xludf.DUMMYFUNCTION("arrayformula(VLOOKUP(to_Text(A142),to_Text(sheet2!$A$1:M1002),12,0))"),"DEV")</f>
        <v>DEV</v>
      </c>
      <c r="E142" s="68" t="str">
        <f>if(L142="⚠ Possibly Dropped","Inactive","Active")</f>
        <v>Active</v>
      </c>
      <c r="F142" s="67" t="str">
        <f t="array" ref="F142">IFERROR(
  INDEX(ATTENDANCE_INPUT!D:D,
    MATCH(1,
      (ATTENDANCE_INPUT!A:A=A142) *
      (ATTENDANCE_INPUT!V:V=MAXIFS(ATTENDANCE_INPUT!V:V, ATTENDANCE_INPUT!A:A, A142)),
      0)),
  "")</f>
        <v>Dung Hoang</v>
      </c>
      <c r="G142" s="72" t="str">
        <f t="array" ref="G142">IFERROR(
  INDEX(ATTENDANCE_INPUT!E:E,
    MATCH(1,
      (ATTENDANCE_INPUT!A:A=A142) *
      (ATTENDANCE_INPUT!V:V=MAXIFS(ATTENDANCE_INPUT!V:V, ATTENDANCE_INPUT!A:A, A142)),
      0)),
  "")</f>
        <v>Communication 2</v>
      </c>
      <c r="H142" s="73" t="str">
        <f t="array" ref="H142">IF(ISNA(MATCH(A142,sheet2!A:A,0)),"⏳ Chưa test",IFERROR(INDEX(LEVEL_HELPER!A:A,MATCH(INDEX(sheet2!N:N,MATCH(A142,sheet2!A:A,0)),LEVEL_HELPER!B:B,0)),"⏳ Chưa test"))</f>
        <v>Beginner</v>
      </c>
      <c r="I142" s="73" t="str">
        <f t="array" ref="I142">IF(ISNA(MATCH(A142,sheet2!A:A,0)),H142,IF(INDEX(sheet2!O:O,MATCH(A142,sheet2!A:A,0))&gt;0,IFERROR(INDEX(LEVEL_HELPER!A:A,MATCH(INDEX(sheet2!O:O,MATCH(A142,sheet2!A:A,0)),LEVEL_HELPER!B:B,0)),H142),H142))</f>
        <v>Pre-Intermediate 2</v>
      </c>
      <c r="J142" s="73">
        <f>IFERROR(MAXIFS(ATTENDANCE_LOG!F:F, ATTENDANCE_LOG!C:C, A142&amp;"", ATTENDANCE_LOG!G:G, "Present"), "")</f>
        <v>46135.41667</v>
      </c>
      <c r="K142" s="74" t="str">
        <f t="shared" si="1"/>
        <v/>
      </c>
      <c r="L142" s="75" t="str">
        <f t="shared" si="2"/>
        <v/>
      </c>
      <c r="M142" s="59"/>
      <c r="N142" s="77"/>
      <c r="O142" s="59"/>
      <c r="P142" s="59"/>
      <c r="Q142" s="59"/>
      <c r="R142" s="59">
        <v>203646.0</v>
      </c>
      <c r="S142" s="59" t="s">
        <v>146</v>
      </c>
      <c r="T142" s="59" t="s">
        <v>33</v>
      </c>
      <c r="U142" s="59" t="str">
        <f>IFERROR(__xludf.DUMMYFUNCTION("arrayformula(vlookup(to_text(R142),to_text($A$4:$B1088),2,0))"),"#N/A")</f>
        <v>#N/A</v>
      </c>
      <c r="V142" s="59"/>
      <c r="W142" s="87"/>
      <c r="X142" s="87"/>
      <c r="Y142" s="87"/>
    </row>
    <row r="143" ht="15.75" customHeight="1">
      <c r="A143" s="67" t="s">
        <v>427</v>
      </c>
      <c r="B143" s="68" t="s">
        <v>428</v>
      </c>
      <c r="C143" s="69" t="str">
        <f>IFERROR(__xludf.DUMMYFUNCTION("arrayformula(VLOOKUP(to_Text(A143),to_Text(sheet2!$A$1:M1002),13,0))"),"LBU")</f>
        <v>LBU</v>
      </c>
      <c r="D143" s="70" t="str">
        <f>IFERROR(__xludf.DUMMYFUNCTION("arrayformula(VLOOKUP(to_Text(A143),to_Text(sheet2!$A$1:M1002),12,0))"),"GSD")</f>
        <v>GSD</v>
      </c>
      <c r="E143" s="71" t="s">
        <v>16</v>
      </c>
      <c r="F143" s="67" t="str">
        <f t="array" ref="F143">IFERROR(
  INDEX(ATTENDANCE_INPUT!D:D,
    MATCH(1,
      (ATTENDANCE_INPUT!A:A=A143) *
      (ATTENDANCE_INPUT!V:V=MAXIFS(ATTENDANCE_INPUT!V:V, ATTENDANCE_INPUT!A:A, A143)),
      0)),
  "")</f>
        <v>Quyen Nguyen</v>
      </c>
      <c r="G143" s="72" t="str">
        <f t="array" ref="G143">IFERROR(
  INDEX(ATTENDANCE_INPUT!E:E,
    MATCH(1,
      (ATTENDANCE_INPUT!A:A=A143) *
      (ATTENDANCE_INPUT!V:V=MAXIFS(ATTENDANCE_INPUT!V:V, ATTENDANCE_INPUT!A:A, A143)),
      0)),
  "")</f>
        <v>Communication 1</v>
      </c>
      <c r="H143" s="73" t="str">
        <f t="array" ref="H143">IF(ISNA(MATCH(A143,sheet2!A:A,0)),"⏳ Chưa test",IFERROR(INDEX(LEVEL_HELPER!A:A,MATCH(INDEX(sheet2!N:N,MATCH(A143,sheet2!A:A,0)),LEVEL_HELPER!B:B,0)),"⏳ Chưa test"))</f>
        <v>Beginner</v>
      </c>
      <c r="I143" s="73" t="str">
        <f t="array" ref="I143">IF(ISNA(MATCH(A143,sheet2!A:A,0)),H143,IF(INDEX(sheet2!O:O,MATCH(A143,sheet2!A:A,0))&gt;0,IFERROR(INDEX(LEVEL_HELPER!A:A,MATCH(INDEX(sheet2!O:O,MATCH(A143,sheet2!A:A,0)),LEVEL_HELPER!B:B,0)),H143),H143))</f>
        <v>Beginner</v>
      </c>
      <c r="J143" s="73">
        <f>IFERROR(MAXIFS(ATTENDANCE_LOG!F:F, ATTENDANCE_LOG!C:C, A143&amp;"", ATTENDANCE_LOG!G:G, "Present"), "")</f>
        <v>46094.54167</v>
      </c>
      <c r="K143" s="74" t="str">
        <f t="shared" si="1"/>
        <v/>
      </c>
      <c r="L143" s="75" t="str">
        <f t="shared" si="2"/>
        <v/>
      </c>
      <c r="M143" s="59" t="s">
        <v>36</v>
      </c>
      <c r="N143" s="77" t="s">
        <v>33</v>
      </c>
      <c r="O143" s="59"/>
      <c r="P143" s="59"/>
      <c r="Q143" s="59"/>
      <c r="R143" s="59"/>
      <c r="S143" s="59"/>
      <c r="T143" s="59"/>
      <c r="U143" s="59"/>
      <c r="V143" s="59"/>
      <c r="W143" s="87"/>
      <c r="X143" s="87"/>
      <c r="Y143" s="87"/>
    </row>
    <row r="144" ht="15.75" customHeight="1">
      <c r="A144" s="67" t="s">
        <v>429</v>
      </c>
      <c r="B144" s="68" t="s">
        <v>430</v>
      </c>
      <c r="C144" s="69" t="str">
        <f>IFERROR(__xludf.DUMMYFUNCTION("arrayformula(VLOOKUP(to_Text(A144),to_Text(sheet2!$A$1:M1002),13,0))"),"MOC")</f>
        <v>MOC</v>
      </c>
      <c r="D144" s="70" t="str">
        <f>IFERROR(__xludf.DUMMYFUNCTION("arrayformula(VLOOKUP(to_Text(A144),to_Text(sheet2!$A$1:M1002),12,0))"),"TA")</f>
        <v>TA</v>
      </c>
      <c r="E144" s="68" t="str">
        <f t="shared" ref="E144:E146" si="19">if(L144="⚠ Possibly Dropped","Inactive","Active")</f>
        <v>Active</v>
      </c>
      <c r="F144" s="67" t="str">
        <f t="array" ref="F144">IFERROR(
  INDEX(ATTENDANCE_INPUT!D:D,
    MATCH(1,
      (ATTENDANCE_INPUT!A:A=A144) *
      (ATTENDANCE_INPUT!V:V=MAXIFS(ATTENDANCE_INPUT!V:V, ATTENDANCE_INPUT!A:A, A144)),
      0)),
  "")</f>
        <v>Quan Nguyen</v>
      </c>
      <c r="G144" s="72" t="str">
        <f t="array" ref="G144">IFERROR(
  INDEX(ATTENDANCE_INPUT!E:E,
    MATCH(1,
      (ATTENDANCE_INPUT!A:A=A144) *
      (ATTENDANCE_INPUT!V:V=MAXIFS(ATTENDANCE_INPUT!V:V, ATTENDANCE_INPUT!A:A, A144)),
      0)),
  "")</f>
        <v>Communication 2</v>
      </c>
      <c r="H144" s="73" t="str">
        <f t="array" ref="H144">IF(ISNA(MATCH(A144,sheet2!A:A,0)),"⏳ Chưa test",IFERROR(INDEX(LEVEL_HELPER!A:A,MATCH(INDEX(sheet2!N:N,MATCH(A144,sheet2!A:A,0)),LEVEL_HELPER!B:B,0)),"⏳ Chưa test"))</f>
        <v>Foundation</v>
      </c>
      <c r="I144" s="73" t="str">
        <f t="array" ref="I144">IF(ISNA(MATCH(A144,sheet2!A:A,0)),H144,IF(INDEX(sheet2!O:O,MATCH(A144,sheet2!A:A,0))&gt;0,IFERROR(INDEX(LEVEL_HELPER!A:A,MATCH(INDEX(sheet2!O:O,MATCH(A144,sheet2!A:A,0)),LEVEL_HELPER!B:B,0)),H144),H144))</f>
        <v>Pre-Intermediate 1</v>
      </c>
      <c r="J144" s="73">
        <f>IFERROR(MAXIFS(ATTENDANCE_LOG!F:F, ATTENDANCE_LOG!C:C, A144&amp;"", ATTENDANCE_LOG!G:G, "Present"), "")</f>
        <v>46119.625</v>
      </c>
      <c r="K144" s="74">
        <f t="shared" si="1"/>
        <v>-64</v>
      </c>
      <c r="L144" s="75" t="str">
        <f t="shared" si="2"/>
        <v/>
      </c>
      <c r="M144" s="59"/>
      <c r="N144" s="77"/>
      <c r="O144" s="59"/>
      <c r="P144" s="59"/>
      <c r="Q144" s="59"/>
      <c r="R144" s="59"/>
      <c r="S144" s="59"/>
      <c r="T144" s="59"/>
      <c r="U144" s="59"/>
      <c r="V144" s="59"/>
      <c r="W144" s="87"/>
      <c r="X144" s="87"/>
      <c r="Y144" s="87"/>
    </row>
    <row r="145" ht="15.75" customHeight="1">
      <c r="A145" s="67" t="s">
        <v>431</v>
      </c>
      <c r="B145" s="68" t="s">
        <v>432</v>
      </c>
      <c r="C145" s="69" t="str">
        <f>IFERROR(__xludf.DUMMYFUNCTION("arrayformula(VLOOKUP(to_Text(A145),to_Text(sheet2!$A$1:M1002),13,0))"),"MOC")</f>
        <v>MOC</v>
      </c>
      <c r="D145" s="70" t="str">
        <f>IFERROR(__xludf.DUMMYFUNCTION("arrayformula(VLOOKUP(to_Text(A145),to_Text(sheet2!$A$1:M1002),12,0))"),"DEV")</f>
        <v>DEV</v>
      </c>
      <c r="E145" s="68" t="str">
        <f t="shared" si="19"/>
        <v>Active</v>
      </c>
      <c r="F145" s="67" t="str">
        <f t="array" ref="F145">IFERROR(
  INDEX(ATTENDANCE_INPUT!D:D,
    MATCH(1,
      (ATTENDANCE_INPUT!A:A=A145) *
      (ATTENDANCE_INPUT!V:V=MAXIFS(ATTENDANCE_INPUT!V:V, ATTENDANCE_INPUT!A:A, A145)),
      0)),
  "")</f>
        <v>Dung Hoang</v>
      </c>
      <c r="G145" s="72" t="str">
        <f t="array" ref="G145">IFERROR(
  INDEX(ATTENDANCE_INPUT!E:E,
    MATCH(1,
      (ATTENDANCE_INPUT!A:A=A145) *
      (ATTENDANCE_INPUT!V:V=MAXIFS(ATTENDANCE_INPUT!V:V, ATTENDANCE_INPUT!A:A, A145)),
      0)),
  "")</f>
        <v>Communication 2</v>
      </c>
      <c r="H145" s="73" t="str">
        <f t="array" ref="H145">IF(ISNA(MATCH(A145,sheet2!A:A,0)),"⏳ Chưa test",IFERROR(INDEX(LEVEL_HELPER!A:A,MATCH(INDEX(sheet2!N:N,MATCH(A145,sheet2!A:A,0)),LEVEL_HELPER!B:B,0)),"⏳ Chưa test"))</f>
        <v>Beginner</v>
      </c>
      <c r="I145" s="73" t="str">
        <f t="array" ref="I145">IF(ISNA(MATCH(A145,sheet2!A:A,0)),H145,IF(INDEX(sheet2!O:O,MATCH(A145,sheet2!A:A,0))&gt;0,IFERROR(INDEX(LEVEL_HELPER!A:A,MATCH(INDEX(sheet2!O:O,MATCH(A145,sheet2!A:A,0)),LEVEL_HELPER!B:B,0)),H145),H145))</f>
        <v>Intermediate 1</v>
      </c>
      <c r="J145" s="73">
        <f>IFERROR(MAXIFS(ATTENDANCE_LOG!F:F, ATTENDANCE_LOG!C:C, A145&amp;"", ATTENDANCE_LOG!G:G, "Present"), "")</f>
        <v>46135.41667</v>
      </c>
      <c r="K145" s="74" t="str">
        <f t="shared" si="1"/>
        <v/>
      </c>
      <c r="L145" s="75" t="str">
        <f t="shared" si="2"/>
        <v/>
      </c>
      <c r="M145" s="59"/>
      <c r="N145" s="77"/>
      <c r="O145" s="59"/>
      <c r="P145" s="59"/>
      <c r="Q145" s="59"/>
      <c r="R145" s="59">
        <v>183310.0</v>
      </c>
      <c r="S145" s="59" t="s">
        <v>146</v>
      </c>
      <c r="T145" s="59" t="s">
        <v>33</v>
      </c>
      <c r="U145" s="59" t="str">
        <f>IFERROR(__xludf.DUMMYFUNCTION("arrayformula(vlookup(to_text(R145),to_text($A$4:$B1090),2,0))"),"#N/A")</f>
        <v>#N/A</v>
      </c>
      <c r="V145" s="59"/>
      <c r="W145" s="87"/>
      <c r="X145" s="87"/>
      <c r="Y145" s="87"/>
    </row>
    <row r="146" ht="15.75" customHeight="1">
      <c r="A146" s="67" t="s">
        <v>433</v>
      </c>
      <c r="B146" s="68" t="s">
        <v>432</v>
      </c>
      <c r="C146" s="69" t="str">
        <f>IFERROR(__xludf.DUMMYFUNCTION("arrayformula(VLOOKUP(to_Text(A146),to_Text(sheet2!$A$1:M1002),13,0))"),"LBU")</f>
        <v>LBU</v>
      </c>
      <c r="D146" s="70" t="str">
        <f>IFERROR(__xludf.DUMMYFUNCTION("arrayformula(VLOOKUP(to_Text(A146),to_Text(sheet2!$A$1:M1002),12,0))"),"GSD")</f>
        <v>GSD</v>
      </c>
      <c r="E146" s="68" t="str">
        <f t="shared" si="19"/>
        <v>Active</v>
      </c>
      <c r="F146" s="67" t="str">
        <f t="array" ref="F146">IFERROR(
  INDEX(ATTENDANCE_INPUT!D:D,
    MATCH(1,
      (ATTENDANCE_INPUT!A:A=A146) *
      (ATTENDANCE_INPUT!V:V=MAXIFS(ATTENDANCE_INPUT!V:V, ATTENDANCE_INPUT!A:A, A146)),
      0)),
  "")</f>
        <v>Vinh Nguyen</v>
      </c>
      <c r="G146" s="72" t="str">
        <f t="array" ref="G146">IFERROR(
  INDEX(ATTENDANCE_INPUT!E:E,
    MATCH(1,
      (ATTENDANCE_INPUT!A:A=A146) *
      (ATTENDANCE_INPUT!V:V=MAXIFS(ATTENDANCE_INPUT!V:V, ATTENDANCE_INPUT!A:A, A146)),
      0)),
  "")</f>
        <v>Communication 3</v>
      </c>
      <c r="H146" s="73" t="str">
        <f t="array" ref="H146">IF(ISNA(MATCH(A146,sheet2!A:A,0)),"⏳ Chưa test",IFERROR(INDEX(LEVEL_HELPER!A:A,MATCH(INDEX(sheet2!N:N,MATCH(A146,sheet2!A:A,0)),LEVEL_HELPER!B:B,0)),"⏳ Chưa test"))</f>
        <v>Pre-Intermediate</v>
      </c>
      <c r="I146" s="73" t="str">
        <f t="array" ref="I146">IF(ISNA(MATCH(A146,sheet2!A:A,0)),H146,IF(INDEX(sheet2!O:O,MATCH(A146,sheet2!A:A,0))&gt;0,IFERROR(INDEX(LEVEL_HELPER!A:A,MATCH(INDEX(sheet2!O:O,MATCH(A146,sheet2!A:A,0)),LEVEL_HELPER!B:B,0)),H146),H146))</f>
        <v>Pre-Intermediate 2</v>
      </c>
      <c r="J146" s="73">
        <f>IFERROR(MAXIFS(ATTENDANCE_LOG!F:F, ATTENDANCE_LOG!C:C, A146&amp;"", ATTENDANCE_LOG!G:G, "Present"), "")</f>
        <v>46135.58333</v>
      </c>
      <c r="K146" s="74" t="str">
        <f t="shared" si="1"/>
        <v/>
      </c>
      <c r="L146" s="75" t="str">
        <f t="shared" si="2"/>
        <v/>
      </c>
      <c r="M146" s="59"/>
      <c r="N146" s="77"/>
      <c r="O146" s="59"/>
      <c r="P146" s="59"/>
      <c r="Q146" s="59"/>
      <c r="R146" s="59"/>
      <c r="S146" s="59"/>
      <c r="T146" s="59"/>
      <c r="U146" s="59"/>
      <c r="V146" s="59"/>
      <c r="W146" s="87"/>
      <c r="X146" s="87"/>
      <c r="Y146" s="87"/>
    </row>
    <row r="147" ht="15.75" customHeight="1">
      <c r="A147" s="67" t="s">
        <v>434</v>
      </c>
      <c r="B147" s="68" t="s">
        <v>435</v>
      </c>
      <c r="C147" s="69" t="str">
        <f>IFERROR(__xludf.DUMMYFUNCTION("arrayformula(VLOOKUP(to_Text(A147),to_Text(sheet2!$A$1:M1002),13,0))"),"TBU")</f>
        <v>TBU</v>
      </c>
      <c r="D147" s="70" t="str">
        <f>IFERROR(__xludf.DUMMYFUNCTION("arrayformula(VLOOKUP(to_Text(A147),to_Text(sheet2!$A$1:M1002),12,0))"),"DEV")</f>
        <v>DEV</v>
      </c>
      <c r="E147" s="71" t="s">
        <v>16</v>
      </c>
      <c r="F147" s="67" t="str">
        <f t="array" ref="F147">IFERROR(
  INDEX(ATTENDANCE_INPUT!D:D,
    MATCH(1,
      (ATTENDANCE_INPUT!A:A=A147) *
      (ATTENDANCE_INPUT!V:V=MAXIFS(ATTENDANCE_INPUT!V:V, ATTENDANCE_INPUT!A:A, A147)),
      0)),
  "")</f>
        <v>Qui Em</v>
      </c>
      <c r="G147" s="72" t="str">
        <f t="array" ref="G147">IFERROR(
  INDEX(ATTENDANCE_INPUT!E:E,
    MATCH(1,
      (ATTENDANCE_INPUT!A:A=A147) *
      (ATTENDANCE_INPUT!V:V=MAXIFS(ATTENDANCE_INPUT!V:V, ATTENDANCE_INPUT!A:A, A147)),
      0)),
  "")</f>
        <v>Communication 2</v>
      </c>
      <c r="H147" s="73" t="str">
        <f t="array" ref="H147">IF(ISNA(MATCH(A147,sheet2!A:A,0)),"⏳ Chưa test",IFERROR(INDEX(LEVEL_HELPER!A:A,MATCH(INDEX(sheet2!N:N,MATCH(A147,sheet2!A:A,0)),LEVEL_HELPER!B:B,0)),"⏳ Chưa test"))</f>
        <v>Beginner</v>
      </c>
      <c r="I147" s="73" t="str">
        <f t="array" ref="I147">IF(ISNA(MATCH(A147,sheet2!A:A,0)),H147,IF(INDEX(sheet2!O:O,MATCH(A147,sheet2!A:A,0))&gt;0,IFERROR(INDEX(LEVEL_HELPER!A:A,MATCH(INDEX(sheet2!O:O,MATCH(A147,sheet2!A:A,0)),LEVEL_HELPER!B:B,0)),H147),H147))</f>
        <v>Pre-Intermediate 2</v>
      </c>
      <c r="J147" s="73">
        <f>IFERROR(MAXIFS(ATTENDANCE_LOG!F:F, ATTENDANCE_LOG!C:C, A147&amp;"", ATTENDANCE_LOG!G:G, "Present"), "")</f>
        <v>45924.625</v>
      </c>
      <c r="K147" s="74" t="str">
        <f t="shared" si="1"/>
        <v/>
      </c>
      <c r="L147" s="75" t="str">
        <f t="shared" si="2"/>
        <v/>
      </c>
      <c r="M147" s="59" t="s">
        <v>36</v>
      </c>
      <c r="N147" s="77" t="s">
        <v>33</v>
      </c>
      <c r="O147" s="59"/>
      <c r="P147" s="59"/>
      <c r="Q147" s="59"/>
      <c r="R147" s="59"/>
      <c r="S147" s="59"/>
      <c r="T147" s="59"/>
      <c r="U147" s="59"/>
      <c r="V147" s="59"/>
      <c r="W147" s="87"/>
      <c r="X147" s="87"/>
      <c r="Y147" s="87"/>
    </row>
    <row r="148" ht="15.75" customHeight="1">
      <c r="A148" s="67" t="s">
        <v>436</v>
      </c>
      <c r="B148" s="68" t="s">
        <v>437</v>
      </c>
      <c r="C148" s="69" t="str">
        <f>IFERROR(__xludf.DUMMYFUNCTION("arrayformula(VLOOKUP(to_Text(A148),to_Text(sheet2!$A$1:M1002),13,0))"),"CHORUS")</f>
        <v>CHORUS</v>
      </c>
      <c r="D148" s="70" t="str">
        <f>IFERROR(__xludf.DUMMYFUNCTION("arrayformula(VLOOKUP(to_Text(A148),to_Text(sheet2!$A$1:M1002),12,0))"),"DEV")</f>
        <v>DEV</v>
      </c>
      <c r="E148" s="71" t="s">
        <v>16</v>
      </c>
      <c r="F148" s="67" t="str">
        <f t="array" ref="F148">IFERROR(
  INDEX(ATTENDANCE_INPUT!D:D,
    MATCH(1,
      (ATTENDANCE_INPUT!A:A=A148) *
      (ATTENDANCE_INPUT!V:V=MAXIFS(ATTENDANCE_INPUT!V:V, ATTENDANCE_INPUT!A:A, A148)),
      0)),
  "")</f>
        <v>Yen Tran 2</v>
      </c>
      <c r="G148" s="72" t="str">
        <f t="array" ref="G148">IFERROR(
  INDEX(ATTENDANCE_INPUT!E:E,
    MATCH(1,
      (ATTENDANCE_INPUT!A:A=A148) *
      (ATTENDANCE_INPUT!V:V=MAXIFS(ATTENDANCE_INPUT!V:V, ATTENDANCE_INPUT!A:A, A148)),
      0)),
  "")</f>
        <v>Communication 1</v>
      </c>
      <c r="H148" s="73" t="str">
        <f t="array" ref="H148">IF(ISNA(MATCH(A148,sheet2!A:A,0)),"⏳ Chưa test",IFERROR(INDEX(LEVEL_HELPER!A:A,MATCH(INDEX(sheet2!N:N,MATCH(A148,sheet2!A:A,0)),LEVEL_HELPER!B:B,0)),"⏳ Chưa test"))</f>
        <v>Beginner</v>
      </c>
      <c r="I148" s="73" t="str">
        <f t="array" ref="I148">IF(ISNA(MATCH(A148,sheet2!A:A,0)),H148,IF(INDEX(sheet2!O:O,MATCH(A148,sheet2!A:A,0))&gt;0,IFERROR(INDEX(LEVEL_HELPER!A:A,MATCH(INDEX(sheet2!O:O,MATCH(A148,sheet2!A:A,0)),LEVEL_HELPER!B:B,0)),H148),H148))</f>
        <v>Pre-Intermediate 2</v>
      </c>
      <c r="J148" s="73">
        <f>IFERROR(MAXIFS(ATTENDANCE_LOG!F:F, ATTENDANCE_LOG!C:C, A148&amp;"", ATTENDANCE_LOG!G:G, "Present"), "")</f>
        <v>45859.54167</v>
      </c>
      <c r="K148" s="74" t="str">
        <f t="shared" si="1"/>
        <v/>
      </c>
      <c r="L148" s="75" t="str">
        <f t="shared" si="2"/>
        <v/>
      </c>
      <c r="M148" s="59" t="s">
        <v>34</v>
      </c>
      <c r="N148" s="76" t="s">
        <v>37</v>
      </c>
      <c r="O148" s="59"/>
      <c r="P148" s="59"/>
      <c r="Q148" s="59"/>
      <c r="R148" s="59"/>
      <c r="S148" s="59"/>
      <c r="T148" s="59"/>
      <c r="U148" s="59"/>
      <c r="V148" s="59"/>
      <c r="W148" s="87"/>
      <c r="X148" s="87"/>
      <c r="Y148" s="87"/>
    </row>
    <row r="149" ht="15.75" customHeight="1">
      <c r="A149" s="67" t="s">
        <v>438</v>
      </c>
      <c r="B149" s="68" t="s">
        <v>439</v>
      </c>
      <c r="C149" s="69" t="str">
        <f>IFERROR(__xludf.DUMMYFUNCTION("arrayformula(VLOOKUP(to_Text(A149),to_Text(sheet2!$A$1:M1002),13,0))"),"ONC")</f>
        <v>ONC</v>
      </c>
      <c r="D149" s="70" t="str">
        <f>IFERROR(__xludf.DUMMYFUNCTION("arrayformula(VLOOKUP(to_Text(A149),to_Text(sheet2!$A$1:M1002),12,0))"),"DEV")</f>
        <v>DEV</v>
      </c>
      <c r="E149" s="71" t="s">
        <v>16</v>
      </c>
      <c r="F149" s="67" t="str">
        <f t="array" ref="F149">IFERROR(
  INDEX(ATTENDANCE_INPUT!D:D,
    MATCH(1,
      (ATTENDANCE_INPUT!A:A=A149) *
      (ATTENDANCE_INPUT!V:V=MAXIFS(ATTENDANCE_INPUT!V:V, ATTENDANCE_INPUT!A:A, A149)),
      0)),
  "")</f>
        <v>Lanh Le</v>
      </c>
      <c r="G149" s="72" t="str">
        <f t="array" ref="G149">IFERROR(
  INDEX(ATTENDANCE_INPUT!E:E,
    MATCH(1,
      (ATTENDANCE_INPUT!A:A=A149) *
      (ATTENDANCE_INPUT!V:V=MAXIFS(ATTENDANCE_INPUT!V:V, ATTENDANCE_INPUT!A:A, A149)),
      0)),
  "")</f>
        <v>Communication 2</v>
      </c>
      <c r="H149" s="73" t="str">
        <f t="array" ref="H149">IF(ISNA(MATCH(A149,sheet2!A:A,0)),"⏳ Chưa test",IFERROR(INDEX(LEVEL_HELPER!A:A,MATCH(INDEX(sheet2!N:N,MATCH(A149,sheet2!A:A,0)),LEVEL_HELPER!B:B,0)),"⏳ Chưa test"))</f>
        <v>Beginner</v>
      </c>
      <c r="I149" s="73" t="str">
        <f t="array" ref="I149">IF(ISNA(MATCH(A149,sheet2!A:A,0)),H149,IF(INDEX(sheet2!O:O,MATCH(A149,sheet2!A:A,0))&gt;0,IFERROR(INDEX(LEVEL_HELPER!A:A,MATCH(INDEX(sheet2!O:O,MATCH(A149,sheet2!A:A,0)),LEVEL_HELPER!B:B,0)),H149),H149))</f>
        <v>Beginner 2</v>
      </c>
      <c r="J149" s="73">
        <f>IFERROR(MAXIFS(ATTENDANCE_LOG!F:F, ATTENDANCE_LOG!C:C, A149&amp;"", ATTENDANCE_LOG!G:G, "Present"), "")</f>
        <v>45967.625</v>
      </c>
      <c r="K149" s="74">
        <f t="shared" si="1"/>
        <v>324</v>
      </c>
      <c r="L149" s="75" t="str">
        <f t="shared" si="2"/>
        <v>⚠ Possibly Dropped</v>
      </c>
      <c r="M149" s="80" t="s">
        <v>36</v>
      </c>
      <c r="N149" s="76" t="s">
        <v>33</v>
      </c>
      <c r="O149" s="59"/>
      <c r="P149" s="59"/>
      <c r="Q149" s="59"/>
      <c r="R149" s="59"/>
      <c r="S149" s="59"/>
      <c r="T149" s="59"/>
      <c r="U149" s="59"/>
      <c r="V149" s="59"/>
      <c r="W149" s="87"/>
      <c r="X149" s="87"/>
      <c r="Y149" s="87"/>
    </row>
    <row r="150" ht="15.75" customHeight="1">
      <c r="A150" s="67" t="s">
        <v>440</v>
      </c>
      <c r="B150" s="68" t="s">
        <v>441</v>
      </c>
      <c r="C150" s="69" t="str">
        <f>IFERROR(__xludf.DUMMYFUNCTION("arrayformula(VLOOKUP(to_Text(A150),to_Text(sheet2!$A$1:M1002),13,0))"),"LBU")</f>
        <v>LBU</v>
      </c>
      <c r="D150" s="70" t="str">
        <f>IFERROR(__xludf.DUMMYFUNCTION("arrayformula(VLOOKUP(to_Text(A150),to_Text(sheet2!$A$1:M1002),12,0))"),"DEV")</f>
        <v>DEV</v>
      </c>
      <c r="E150" s="71" t="s">
        <v>16</v>
      </c>
      <c r="F150" s="67" t="str">
        <f t="array" ref="F150">IFERROR(
  INDEX(ATTENDANCE_INPUT!D:D,
    MATCH(1,
      (ATTENDANCE_INPUT!A:A=A150) *
      (ATTENDANCE_INPUT!V:V=MAXIFS(ATTENDANCE_INPUT!V:V, ATTENDANCE_INPUT!A:A, A150)),
      0)),
  "")</f>
        <v>Huy Nguyen</v>
      </c>
      <c r="G150" s="72" t="str">
        <f t="array" ref="G150">IFERROR(
  INDEX(ATTENDANCE_INPUT!E:E,
    MATCH(1,
      (ATTENDANCE_INPUT!A:A=A150) *
      (ATTENDANCE_INPUT!V:V=MAXIFS(ATTENDANCE_INPUT!V:V, ATTENDANCE_INPUT!A:A, A150)),
      0)),
  "")</f>
        <v>Communication 1</v>
      </c>
      <c r="H150" s="73" t="str">
        <f t="array" ref="H150">IF(ISNA(MATCH(A150,sheet2!A:A,0)),"⏳ Chưa test",IFERROR(INDEX(LEVEL_HELPER!A:A,MATCH(INDEX(sheet2!N:N,MATCH(A150,sheet2!A:A,0)),LEVEL_HELPER!B:B,0)),"⏳ Chưa test"))</f>
        <v>Beginner</v>
      </c>
      <c r="I150" s="73" t="str">
        <f t="array" ref="I150">IF(ISNA(MATCH(A150,sheet2!A:A,0)),H150,IF(INDEX(sheet2!O:O,MATCH(A150,sheet2!A:A,0))&gt;0,IFERROR(INDEX(LEVEL_HELPER!A:A,MATCH(INDEX(sheet2!O:O,MATCH(A150,sheet2!A:A,0)),LEVEL_HELPER!B:B,0)),H150),H150))</f>
        <v>Beginner 2</v>
      </c>
      <c r="J150" s="73">
        <f>IFERROR(MAXIFS(ATTENDANCE_LOG!F:F, ATTENDANCE_LOG!C:C, A150&amp;"", ATTENDANCE_LOG!G:G, "Present"), "")</f>
        <v>45959.41667</v>
      </c>
      <c r="K150" s="74" t="str">
        <f t="shared" si="1"/>
        <v/>
      </c>
      <c r="L150" s="75" t="str">
        <f t="shared" si="2"/>
        <v/>
      </c>
      <c r="M150" s="59" t="s">
        <v>36</v>
      </c>
      <c r="N150" s="77" t="s">
        <v>33</v>
      </c>
      <c r="O150" s="59"/>
      <c r="P150" s="59"/>
      <c r="Q150" s="59"/>
      <c r="R150" s="59"/>
      <c r="S150" s="59"/>
      <c r="T150" s="59"/>
      <c r="U150" s="59"/>
      <c r="V150" s="59"/>
      <c r="W150" s="87"/>
      <c r="X150" s="87"/>
      <c r="Y150" s="87"/>
    </row>
    <row r="151" ht="15.75" customHeight="1">
      <c r="A151" s="67" t="s">
        <v>442</v>
      </c>
      <c r="B151" s="68" t="s">
        <v>443</v>
      </c>
      <c r="C151" s="69" t="str">
        <f>IFERROR(__xludf.DUMMYFUNCTION("arrayformula(VLOOKUP(to_Text(A151),to_Text(sheet2!$A$1:M1002),13,0))"),"MOC")</f>
        <v>MOC</v>
      </c>
      <c r="D151" s="70" t="str">
        <f>IFERROR(__xludf.DUMMYFUNCTION("arrayformula(VLOOKUP(to_Text(A151),to_Text(sheet2!$A$1:M1002),12,0))"),"DEV")</f>
        <v>DEV</v>
      </c>
      <c r="E151" s="71" t="s">
        <v>16</v>
      </c>
      <c r="F151" s="67" t="str">
        <f t="array" ref="F151">IFERROR(
  INDEX(ATTENDANCE_INPUT!D:D,
    MATCH(1,
      (ATTENDANCE_INPUT!A:A=A151) *
      (ATTENDANCE_INPUT!V:V=MAXIFS(ATTENDANCE_INPUT!V:V, ATTENDANCE_INPUT!A:A, A151)),
      0)),
  "")</f>
        <v>Anh Ha</v>
      </c>
      <c r="G151" s="72" t="str">
        <f t="array" ref="G151">IFERROR(
  INDEX(ATTENDANCE_INPUT!E:E,
    MATCH(1,
      (ATTENDANCE_INPUT!A:A=A151) *
      (ATTENDANCE_INPUT!V:V=MAXIFS(ATTENDANCE_INPUT!V:V, ATTENDANCE_INPUT!A:A, A151)),
      0)),
  "")</f>
        <v>Communication 2</v>
      </c>
      <c r="H151" s="73" t="str">
        <f t="array" ref="H151">IF(ISNA(MATCH(A151,sheet2!A:A,0)),"⏳ Chưa test",IFERROR(INDEX(LEVEL_HELPER!A:A,MATCH(INDEX(sheet2!N:N,MATCH(A151,sheet2!A:A,0)),LEVEL_HELPER!B:B,0)),"⏳ Chưa test"))</f>
        <v>Beginner</v>
      </c>
      <c r="I151" s="73" t="str">
        <f t="array" ref="I151">IF(ISNA(MATCH(A151,sheet2!A:A,0)),H151,IF(INDEX(sheet2!O:O,MATCH(A151,sheet2!A:A,0))&gt;0,IFERROR(INDEX(LEVEL_HELPER!A:A,MATCH(INDEX(sheet2!O:O,MATCH(A151,sheet2!A:A,0)),LEVEL_HELPER!B:B,0)),H151),H151))</f>
        <v>Pre-Intermediate 2</v>
      </c>
      <c r="J151" s="73">
        <f>IFERROR(MAXIFS(ATTENDANCE_LOG!F:F, ATTENDANCE_LOG!C:C, A151&amp;"", ATTENDANCE_LOG!G:G, "Present"), "")</f>
        <v>46106.54167</v>
      </c>
      <c r="K151" s="74" t="str">
        <f t="shared" si="1"/>
        <v/>
      </c>
      <c r="L151" s="75" t="str">
        <f t="shared" si="2"/>
        <v/>
      </c>
      <c r="M151" s="59" t="s">
        <v>34</v>
      </c>
      <c r="N151" s="77" t="s">
        <v>37</v>
      </c>
      <c r="O151" s="90" t="s">
        <v>444</v>
      </c>
      <c r="P151" s="59"/>
      <c r="Q151" s="59"/>
      <c r="R151" s="59">
        <v>247311.0</v>
      </c>
      <c r="S151" s="59" t="s">
        <v>146</v>
      </c>
      <c r="T151" s="59" t="s">
        <v>33</v>
      </c>
      <c r="U151" s="59" t="str">
        <f>IFERROR(__xludf.DUMMYFUNCTION("arrayformula(vlookup(to_text(R151),to_text($A$4:$B1146),2,0))"),"#N/A")</f>
        <v>#N/A</v>
      </c>
      <c r="V151" s="77" t="s">
        <v>41</v>
      </c>
      <c r="W151" s="87"/>
      <c r="X151" s="87"/>
      <c r="Y151" s="87"/>
    </row>
    <row r="152" ht="15.75" customHeight="1">
      <c r="A152" s="67" t="s">
        <v>445</v>
      </c>
      <c r="B152" s="68" t="s">
        <v>446</v>
      </c>
      <c r="C152" s="69" t="str">
        <f>IFERROR(__xludf.DUMMYFUNCTION("arrayformula(VLOOKUP(to_Text(A152),to_Text(sheet2!$A$1:M1002),13,0))"),"LBU")</f>
        <v>LBU</v>
      </c>
      <c r="D152" s="70" t="str">
        <f>IFERROR(__xludf.DUMMYFUNCTION("arrayformula(VLOOKUP(to_Text(A152),to_Text(sheet2!$A$1:M1002),12,0))"),"DEV")</f>
        <v>DEV</v>
      </c>
      <c r="E152" s="68" t="s">
        <v>175</v>
      </c>
      <c r="F152" s="67" t="str">
        <f t="array" ref="F152">IFERROR(
  INDEX(ATTENDANCE_INPUT!D:D,
    MATCH(1,
      (ATTENDANCE_INPUT!A:A=A152) *
      (ATTENDANCE_INPUT!V:V=MAXIFS(ATTENDANCE_INPUT!V:V, ATTENDANCE_INPUT!A:A, A152)),
      0)),
  "")</f>
        <v>Dat Nguyen</v>
      </c>
      <c r="G152" s="72" t="str">
        <f t="array" ref="G152">IFERROR(
  INDEX(ATTENDANCE_INPUT!E:E,
    MATCH(1,
      (ATTENDANCE_INPUT!A:A=A152) *
      (ATTENDANCE_INPUT!V:V=MAXIFS(ATTENDANCE_INPUT!V:V, ATTENDANCE_INPUT!A:A, A152)),
      0)),
  "")</f>
        <v>Communication 1</v>
      </c>
      <c r="H152" s="73" t="str">
        <f t="array" ref="H152">IF(ISNA(MATCH(A152,sheet2!A:A,0)),"⏳ Chưa test",IFERROR(INDEX(LEVEL_HELPER!A:A,MATCH(INDEX(sheet2!N:N,MATCH(A152,sheet2!A:A,0)),LEVEL_HELPER!B:B,0)),"⏳ Chưa test"))</f>
        <v>Intermediate</v>
      </c>
      <c r="I152" s="73" t="str">
        <f t="array" ref="I152">IF(ISNA(MATCH(A152,sheet2!A:A,0)),H152,IF(INDEX(sheet2!O:O,MATCH(A152,sheet2!A:A,0))&gt;0,IFERROR(INDEX(LEVEL_HELPER!A:A,MATCH(INDEX(sheet2!O:O,MATCH(A152,sheet2!A:A,0)),LEVEL_HELPER!B:B,0)),H152),H152))</f>
        <v>Intermediate</v>
      </c>
      <c r="J152" s="73">
        <f>IFERROR(MAXIFS(ATTENDANCE_LOG!F:F, ATTENDANCE_LOG!C:C, A152&amp;"", ATTENDANCE_LOG!G:G, "Present"), "")</f>
        <v>45807.58333</v>
      </c>
      <c r="K152" s="74" t="str">
        <f t="shared" si="1"/>
        <v/>
      </c>
      <c r="L152" s="75" t="str">
        <f t="shared" si="2"/>
        <v/>
      </c>
      <c r="M152" s="59" t="s">
        <v>38</v>
      </c>
      <c r="N152" s="77"/>
      <c r="O152" s="78"/>
      <c r="P152" s="78"/>
      <c r="Q152" s="78"/>
      <c r="R152" s="78">
        <v>237009.0</v>
      </c>
      <c r="S152" s="78" t="s">
        <v>178</v>
      </c>
      <c r="T152" s="78" t="s">
        <v>179</v>
      </c>
      <c r="U152" s="78" t="e">
        <v>#N/A</v>
      </c>
      <c r="V152" s="78"/>
      <c r="W152" s="60"/>
      <c r="X152" s="60"/>
      <c r="Y152" s="60"/>
    </row>
    <row r="153" ht="15.75" customHeight="1">
      <c r="A153" s="67" t="s">
        <v>447</v>
      </c>
      <c r="B153" s="68" t="s">
        <v>448</v>
      </c>
      <c r="C153" s="69" t="str">
        <f>IFERROR(__xludf.DUMMYFUNCTION("arrayformula(VLOOKUP(to_Text(A153),to_Text(sheet2!$A$1:M1002),13,0))"),"MOC")</f>
        <v>MOC</v>
      </c>
      <c r="D153" s="70" t="str">
        <f>IFERROR(__xludf.DUMMYFUNCTION("arrayformula(VLOOKUP(to_Text(A153),to_Text(sheet2!$A$1:M1002),12,0))"),"GSD")</f>
        <v>GSD</v>
      </c>
      <c r="E153" s="68" t="str">
        <f>if(L153="⚠ Possibly Dropped","Inactive","Active")</f>
        <v>Active</v>
      </c>
      <c r="F153" s="67" t="str">
        <f t="array" ref="F153">IFERROR(
  INDEX(ATTENDANCE_INPUT!D:D,
    MATCH(1,
      (ATTENDANCE_INPUT!A:A=A153) *
      (ATTENDANCE_INPUT!V:V=MAXIFS(ATTENDANCE_INPUT!V:V, ATTENDANCE_INPUT!A:A, A153)),
      0)),
  "")</f>
        <v>Thuong Tran</v>
      </c>
      <c r="G153" s="72" t="str">
        <f t="array" ref="G153">IFERROR(
  INDEX(ATTENDANCE_INPUT!E:E,
    MATCH(1,
      (ATTENDANCE_INPUT!A:A=A153) *
      (ATTENDANCE_INPUT!V:V=MAXIFS(ATTENDANCE_INPUT!V:V, ATTENDANCE_INPUT!A:A, A153)),
      0)),
  "")</f>
        <v>Business English</v>
      </c>
      <c r="H153" s="73" t="str">
        <f t="array" ref="H153">IF(ISNA(MATCH(A153,sheet2!A:A,0)),"⏳ Chưa test",IFERROR(INDEX(LEVEL_HELPER!A:A,MATCH(INDEX(sheet2!N:N,MATCH(A153,sheet2!A:A,0)),LEVEL_HELPER!B:B,0)),"⏳ Chưa test"))</f>
        <v>Beginner</v>
      </c>
      <c r="I153" s="73" t="str">
        <f t="array" ref="I153">IF(ISNA(MATCH(A153,sheet2!A:A,0)),H153,IF(INDEX(sheet2!O:O,MATCH(A153,sheet2!A:A,0))&gt;0,IFERROR(INDEX(LEVEL_HELPER!A:A,MATCH(INDEX(sheet2!O:O,MATCH(A153,sheet2!A:A,0)),LEVEL_HELPER!B:B,0)),H153),H153))</f>
        <v>Intermediate 1</v>
      </c>
      <c r="J153" s="73">
        <f>IFERROR(MAXIFS(ATTENDANCE_LOG!F:F, ATTENDANCE_LOG!C:C, A153&amp;"", ATTENDANCE_LOG!G:G, "Present"), "")</f>
        <v>46126.54167</v>
      </c>
      <c r="K153" s="74" t="str">
        <f t="shared" si="1"/>
        <v/>
      </c>
      <c r="L153" s="75" t="str">
        <f t="shared" si="2"/>
        <v/>
      </c>
      <c r="M153" s="59"/>
      <c r="N153" s="77"/>
      <c r="O153" s="59"/>
      <c r="P153" s="59"/>
      <c r="Q153" s="59"/>
      <c r="R153" s="59"/>
      <c r="S153" s="59"/>
      <c r="T153" s="59"/>
      <c r="U153" s="59"/>
      <c r="V153" s="59"/>
      <c r="W153" s="87"/>
      <c r="X153" s="87"/>
      <c r="Y153" s="87"/>
    </row>
    <row r="154" ht="15.75" customHeight="1">
      <c r="A154" s="67" t="s">
        <v>449</v>
      </c>
      <c r="B154" s="68" t="s">
        <v>450</v>
      </c>
      <c r="C154" s="69" t="str">
        <f>IFERROR(__xludf.DUMMYFUNCTION("arrayformula(VLOOKUP(to_Text(A154),to_Text(sheet2!$A$1:M1002),13,0))"),"POC")</f>
        <v>POC</v>
      </c>
      <c r="D154" s="70" t="str">
        <f>IFERROR(__xludf.DUMMYFUNCTION("arrayformula(VLOOKUP(to_Text(A154),to_Text(sheet2!$A$1:M1002),12,0))"),"GSD")</f>
        <v>GSD</v>
      </c>
      <c r="E154" s="71" t="s">
        <v>16</v>
      </c>
      <c r="F154" s="67" t="str">
        <f t="array" ref="F154">IFERROR(
  INDEX(ATTENDANCE_INPUT!D:D,
    MATCH(1,
      (ATTENDANCE_INPUT!A:A=A154) *
      (ATTENDANCE_INPUT!V:V=MAXIFS(ATTENDANCE_INPUT!V:V, ATTENDANCE_INPUT!A:A, A154)),
      0)),
  "")</f>
        <v>Phu Nguyen</v>
      </c>
      <c r="G154" s="72" t="str">
        <f t="array" ref="G154">IFERROR(
  INDEX(ATTENDANCE_INPUT!E:E,
    MATCH(1,
      (ATTENDANCE_INPUT!A:A=A154) *
      (ATTENDANCE_INPUT!V:V=MAXIFS(ATTENDANCE_INPUT!V:V, ATTENDANCE_INPUT!A:A, A154)),
      0)),
  "")</f>
        <v>Communication 1</v>
      </c>
      <c r="H154" s="73" t="str">
        <f t="array" ref="H154">IF(ISNA(MATCH(A154,sheet2!A:A,0)),"⏳ Chưa test",IFERROR(INDEX(LEVEL_HELPER!A:A,MATCH(INDEX(sheet2!N:N,MATCH(A154,sheet2!A:A,0)),LEVEL_HELPER!B:B,0)),"⏳ Chưa test"))</f>
        <v>Beginner</v>
      </c>
      <c r="I154" s="73" t="str">
        <f t="array" ref="I154">IF(ISNA(MATCH(A154,sheet2!A:A,0)),H154,IF(INDEX(sheet2!O:O,MATCH(A154,sheet2!A:A,0))&gt;0,IFERROR(INDEX(LEVEL_HELPER!A:A,MATCH(INDEX(sheet2!O:O,MATCH(A154,sheet2!A:A,0)),LEVEL_HELPER!B:B,0)),H154),H154))</f>
        <v>Beginner</v>
      </c>
      <c r="J154" s="73">
        <f>IFERROR(MAXIFS(ATTENDANCE_LOG!F:F, ATTENDANCE_LOG!C:C, A154&amp;"", ATTENDANCE_LOG!G:G, "Present"), "")</f>
        <v>45958.54167</v>
      </c>
      <c r="K154" s="74" t="str">
        <f t="shared" si="1"/>
        <v/>
      </c>
      <c r="L154" s="75" t="str">
        <f t="shared" si="2"/>
        <v/>
      </c>
      <c r="M154" s="59" t="s">
        <v>36</v>
      </c>
      <c r="N154" s="77" t="s">
        <v>33</v>
      </c>
      <c r="O154" s="59"/>
      <c r="P154" s="59"/>
      <c r="Q154" s="59"/>
      <c r="R154" s="59"/>
      <c r="S154" s="59"/>
      <c r="T154" s="59"/>
      <c r="U154" s="59"/>
      <c r="V154" s="59"/>
      <c r="W154" s="87"/>
      <c r="X154" s="87"/>
      <c r="Y154" s="87"/>
    </row>
    <row r="155" ht="15.75" customHeight="1">
      <c r="A155" s="67" t="s">
        <v>451</v>
      </c>
      <c r="B155" s="68" t="s">
        <v>452</v>
      </c>
      <c r="C155" s="69" t="str">
        <f>IFERROR(__xludf.DUMMYFUNCTION("arrayformula(VLOOKUP(to_Text(A155),to_Text(sheet2!$A$1:M1002),13,0))"),"LBU")</f>
        <v>LBU</v>
      </c>
      <c r="D155" s="70" t="str">
        <f>IFERROR(__xludf.DUMMYFUNCTION("arrayformula(VLOOKUP(to_Text(A155),to_Text(sheet2!$A$1:M1002),12,0))"),"GSD")</f>
        <v>GSD</v>
      </c>
      <c r="E155" s="68" t="str">
        <f t="shared" ref="E155:E156" si="20">if(L155="⚠ Possibly Dropped","Inactive","Active")</f>
        <v>Inactive</v>
      </c>
      <c r="F155" s="67" t="str">
        <f t="array" ref="F155">IFERROR(
  INDEX(ATTENDANCE_INPUT!D:D,
    MATCH(1,
      (ATTENDANCE_INPUT!A:A=A155) *
      (ATTENDANCE_INPUT!V:V=MAXIFS(ATTENDANCE_INPUT!V:V, ATTENDANCE_INPUT!A:A, A155)),
      0)),
  "")</f>
        <v>Huong Le</v>
      </c>
      <c r="G155" s="72" t="str">
        <f t="array" ref="G155">IFERROR(
  INDEX(ATTENDANCE_INPUT!E:E,
    MATCH(1,
      (ATTENDANCE_INPUT!A:A=A155) *
      (ATTENDANCE_INPUT!V:V=MAXIFS(ATTENDANCE_INPUT!V:V, ATTENDANCE_INPUT!A:A, A155)),
      0)),
  "")</f>
        <v>Communication 2</v>
      </c>
      <c r="H155" s="73" t="str">
        <f t="array" ref="H155">IF(ISNA(MATCH(A155,sheet2!A:A,0)),"⏳ Chưa test",IFERROR(INDEX(LEVEL_HELPER!A:A,MATCH(INDEX(sheet2!N:N,MATCH(A155,sheet2!A:A,0)),LEVEL_HELPER!B:B,0)),"⏳ Chưa test"))</f>
        <v>Beginner</v>
      </c>
      <c r="I155" s="73" t="str">
        <f t="array" ref="I155">IF(ISNA(MATCH(A155,sheet2!A:A,0)),H155,IF(INDEX(sheet2!O:O,MATCH(A155,sheet2!A:A,0))&gt;0,IFERROR(INDEX(LEVEL_HELPER!A:A,MATCH(INDEX(sheet2!O:O,MATCH(A155,sheet2!A:A,0)),LEVEL_HELPER!B:B,0)),H155),H155))</f>
        <v>Intermediate 2</v>
      </c>
      <c r="J155" s="73">
        <f>IFERROR(MAXIFS(ATTENDANCE_LOG!F:F, ATTENDANCE_LOG!C:C, A155&amp;"", ATTENDANCE_LOG!G:G, "Present"), "")</f>
        <v>46115.54167</v>
      </c>
      <c r="K155" s="74">
        <f t="shared" si="1"/>
        <v>58</v>
      </c>
      <c r="L155" s="75" t="str">
        <f t="shared" si="2"/>
        <v>⚠ Possibly Dropped</v>
      </c>
      <c r="M155" s="59"/>
      <c r="N155" s="77"/>
      <c r="O155" s="59"/>
      <c r="P155" s="59"/>
      <c r="Q155" s="59"/>
      <c r="R155" s="89"/>
      <c r="S155" s="89"/>
      <c r="T155" s="89"/>
      <c r="U155" s="89"/>
      <c r="V155" s="59"/>
      <c r="W155" s="87"/>
      <c r="X155" s="87"/>
      <c r="Y155" s="87"/>
    </row>
    <row r="156" ht="15.75" customHeight="1">
      <c r="A156" s="67" t="s">
        <v>453</v>
      </c>
      <c r="B156" s="68" t="s">
        <v>454</v>
      </c>
      <c r="C156" s="69" t="str">
        <f>IFERROR(__xludf.DUMMYFUNCTION("arrayformula(VLOOKUP(to_Text(A156),to_Text(sheet2!$A$1:M1002),13,0))"),"MOC")</f>
        <v>MOC</v>
      </c>
      <c r="D156" s="70" t="str">
        <f>IFERROR(__xludf.DUMMYFUNCTION("arrayformula(VLOOKUP(to_Text(A156),to_Text(sheet2!$A$1:M1002),12,0))"),"DEV")</f>
        <v>DEV</v>
      </c>
      <c r="E156" s="68" t="str">
        <f t="shared" si="20"/>
        <v>Active</v>
      </c>
      <c r="F156" s="67" t="str">
        <f t="array" ref="F156">IFERROR(
  INDEX(ATTENDANCE_INPUT!D:D,
    MATCH(1,
      (ATTENDANCE_INPUT!A:A=A156) *
      (ATTENDANCE_INPUT!V:V=MAXIFS(ATTENDANCE_INPUT!V:V, ATTENDANCE_INPUT!A:A, A156)),
      0)),
  "")</f>
        <v>Dung Hoang</v>
      </c>
      <c r="G156" s="72" t="str">
        <f t="array" ref="G156">IFERROR(
  INDEX(ATTENDANCE_INPUT!E:E,
    MATCH(1,
      (ATTENDANCE_INPUT!A:A=A156) *
      (ATTENDANCE_INPUT!V:V=MAXIFS(ATTENDANCE_INPUT!V:V, ATTENDANCE_INPUT!A:A, A156)),
      0)),
  "")</f>
        <v>Communication 2</v>
      </c>
      <c r="H156" s="73" t="str">
        <f t="array" ref="H156">IF(ISNA(MATCH(A156,sheet2!A:A,0)),"⏳ Chưa test",IFERROR(INDEX(LEVEL_HELPER!A:A,MATCH(INDEX(sheet2!N:N,MATCH(A156,sheet2!A:A,0)),LEVEL_HELPER!B:B,0)),"⏳ Chưa test"))</f>
        <v>Beginner</v>
      </c>
      <c r="I156" s="73" t="str">
        <f t="array" ref="I156">IF(ISNA(MATCH(A156,sheet2!A:A,0)),H156,IF(INDEX(sheet2!O:O,MATCH(A156,sheet2!A:A,0))&gt;0,IFERROR(INDEX(LEVEL_HELPER!A:A,MATCH(INDEX(sheet2!O:O,MATCH(A156,sheet2!A:A,0)),LEVEL_HELPER!B:B,0)),H156),H156))</f>
        <v>Pre-Intermediate 1</v>
      </c>
      <c r="J156" s="73">
        <f>IFERROR(MAXIFS(ATTENDANCE_LOG!F:F, ATTENDANCE_LOG!C:C, A156&amp;"", ATTENDANCE_LOG!G:G, "Present"), "")</f>
        <v>46135.41667</v>
      </c>
      <c r="K156" s="74" t="str">
        <f t="shared" si="1"/>
        <v/>
      </c>
      <c r="L156" s="75" t="str">
        <f t="shared" si="2"/>
        <v/>
      </c>
      <c r="M156" s="59"/>
      <c r="N156" s="77"/>
      <c r="O156" s="59"/>
      <c r="P156" s="59"/>
      <c r="Q156" s="59"/>
      <c r="R156" s="59">
        <v>227227.0</v>
      </c>
      <c r="S156" s="59" t="s">
        <v>121</v>
      </c>
      <c r="T156" s="59" t="s">
        <v>122</v>
      </c>
      <c r="U156" s="59" t="str">
        <f>IFERROR(__xludf.DUMMYFUNCTION("arrayformula(vlookup(to_text(R156),to_text($A$4:$B1100),2,0))"),"#N/A")</f>
        <v>#N/A</v>
      </c>
      <c r="V156" s="59"/>
      <c r="W156" s="87"/>
      <c r="X156" s="87"/>
      <c r="Y156" s="87"/>
    </row>
    <row r="157" ht="15.75" customHeight="1">
      <c r="A157" s="67" t="s">
        <v>455</v>
      </c>
      <c r="B157" s="68" t="s">
        <v>456</v>
      </c>
      <c r="C157" s="69" t="str">
        <f>IFERROR(__xludf.DUMMYFUNCTION("arrayformula(VLOOKUP(to_Text(A157),to_Text(sheet2!$A$1:M1002),13,0))"),"POC")</f>
        <v>POC</v>
      </c>
      <c r="D157" s="70" t="str">
        <f>IFERROR(__xludf.DUMMYFUNCTION("arrayformula(VLOOKUP(to_Text(A157),to_Text(sheet2!$A$1:M1002),12,0))"),"GSD")</f>
        <v>GSD</v>
      </c>
      <c r="E157" s="71" t="s">
        <v>16</v>
      </c>
      <c r="F157" s="67" t="str">
        <f t="array" ref="F157">IFERROR(
  INDEX(ATTENDANCE_INPUT!D:D,
    MATCH(1,
      (ATTENDANCE_INPUT!A:A=A157) *
      (ATTENDANCE_INPUT!V:V=MAXIFS(ATTENDANCE_INPUT!V:V, ATTENDANCE_INPUT!A:A, A157)),
      0)),
  "")</f>
        <v>Phu Nguyen</v>
      </c>
      <c r="G157" s="72" t="str">
        <f t="array" ref="G157">IFERROR(
  INDEX(ATTENDANCE_INPUT!E:E,
    MATCH(1,
      (ATTENDANCE_INPUT!A:A=A157) *
      (ATTENDANCE_INPUT!V:V=MAXIFS(ATTENDANCE_INPUT!V:V, ATTENDANCE_INPUT!A:A, A157)),
      0)),
  "")</f>
        <v>Communication 1</v>
      </c>
      <c r="H157" s="73" t="str">
        <f t="array" ref="H157">IF(ISNA(MATCH(A157,sheet2!A:A,0)),"⏳ Chưa test",IFERROR(INDEX(LEVEL_HELPER!A:A,MATCH(INDEX(sheet2!N:N,MATCH(A157,sheet2!A:A,0)),LEVEL_HELPER!B:B,0)),"⏳ Chưa test"))</f>
        <v>Beginner</v>
      </c>
      <c r="I157" s="73" t="str">
        <f t="array" ref="I157">IF(ISNA(MATCH(A157,sheet2!A:A,0)),H157,IF(INDEX(sheet2!O:O,MATCH(A157,sheet2!A:A,0))&gt;0,IFERROR(INDEX(LEVEL_HELPER!A:A,MATCH(INDEX(sheet2!O:O,MATCH(A157,sheet2!A:A,0)),LEVEL_HELPER!B:B,0)),H157),H157))</f>
        <v>Beginner</v>
      </c>
      <c r="J157" s="73">
        <f>IFERROR(MAXIFS(ATTENDANCE_LOG!F:F, ATTENDANCE_LOG!C:C, A157&amp;"", ATTENDANCE_LOG!G:G, "Present"), "")</f>
        <v>45944.54167</v>
      </c>
      <c r="K157" s="74" t="str">
        <f t="shared" si="1"/>
        <v/>
      </c>
      <c r="L157" s="75" t="str">
        <f t="shared" si="2"/>
        <v/>
      </c>
      <c r="M157" s="59" t="s">
        <v>36</v>
      </c>
      <c r="N157" s="77" t="s">
        <v>33</v>
      </c>
      <c r="O157" s="59"/>
      <c r="P157" s="59"/>
      <c r="Q157" s="59"/>
      <c r="R157" s="59"/>
      <c r="S157" s="59"/>
      <c r="T157" s="59"/>
      <c r="U157" s="59"/>
      <c r="V157" s="59"/>
      <c r="W157" s="87"/>
      <c r="X157" s="87"/>
      <c r="Y157" s="87"/>
    </row>
    <row r="158" ht="15.75" customHeight="1">
      <c r="A158" s="67" t="s">
        <v>457</v>
      </c>
      <c r="B158" s="68" t="s">
        <v>458</v>
      </c>
      <c r="C158" s="69" t="str">
        <f>IFERROR(__xludf.DUMMYFUNCTION("arrayformula(VLOOKUP(to_Text(A158),to_Text(sheet2!$A$1:M1002),13,0))"),"CHORUS")</f>
        <v>CHORUS</v>
      </c>
      <c r="D158" s="70" t="str">
        <f>IFERROR(__xludf.DUMMYFUNCTION("arrayformula(VLOOKUP(to_Text(A158),to_Text(sheet2!$A$1:M1002),12,0))"),"QC")</f>
        <v>QC</v>
      </c>
      <c r="E158" s="68" t="str">
        <f t="shared" ref="E158:E159" si="21">if(L158="⚠ Possibly Dropped","Inactive","Active")</f>
        <v>Inactive</v>
      </c>
      <c r="F158" s="67" t="str">
        <f t="array" ref="F158">IFERROR(
  INDEX(ATTENDANCE_INPUT!D:D,
    MATCH(1,
      (ATTENDANCE_INPUT!A:A=A158) *
      (ATTENDANCE_INPUT!V:V=MAXIFS(ATTENDANCE_INPUT!V:V, ATTENDANCE_INPUT!A:A, A158)),
      0)),
  "")</f>
        <v>Yen Tran 3</v>
      </c>
      <c r="G158" s="72" t="str">
        <f t="array" ref="G158">IFERROR(
  INDEX(ATTENDANCE_INPUT!E:E,
    MATCH(1,
      (ATTENDANCE_INPUT!A:A=A158) *
      (ATTENDANCE_INPUT!V:V=MAXIFS(ATTENDANCE_INPUT!V:V, ATTENDANCE_INPUT!A:A, A158)),
      0)),
  "")</f>
        <v>Communication 1</v>
      </c>
      <c r="H158" s="73" t="str">
        <f t="array" ref="H158">IF(ISNA(MATCH(A158,sheet2!A:A,0)),"⏳ Chưa test",IFERROR(INDEX(LEVEL_HELPER!A:A,MATCH(INDEX(sheet2!N:N,MATCH(A158,sheet2!A:A,0)),LEVEL_HELPER!B:B,0)),"⏳ Chưa test"))</f>
        <v>Pre-Intermediate</v>
      </c>
      <c r="I158" s="73" t="str">
        <f t="array" ref="I158">IF(ISNA(MATCH(A158,sheet2!A:A,0)),H158,IF(INDEX(sheet2!O:O,MATCH(A158,sheet2!A:A,0))&gt;0,IFERROR(INDEX(LEVEL_HELPER!A:A,MATCH(INDEX(sheet2!O:O,MATCH(A158,sheet2!A:A,0)),LEVEL_HELPER!B:B,0)),H158),H158))</f>
        <v>Pre-Intermediate</v>
      </c>
      <c r="J158" s="73">
        <f>IFERROR(MAXIFS(ATTENDANCE_LOG!F:F, ATTENDANCE_LOG!C:C, A158&amp;"", ATTENDANCE_LOG!G:G, "Present"), "")</f>
        <v>45817.41667</v>
      </c>
      <c r="K158" s="74">
        <f t="shared" si="1"/>
        <v>237</v>
      </c>
      <c r="L158" s="75" t="str">
        <f t="shared" si="2"/>
        <v>⚠ Possibly Dropped</v>
      </c>
      <c r="M158" s="59" t="s">
        <v>34</v>
      </c>
      <c r="N158" s="77" t="s">
        <v>33</v>
      </c>
      <c r="O158" s="59"/>
      <c r="P158" s="59"/>
      <c r="Q158" s="59"/>
      <c r="R158" s="59"/>
      <c r="S158" s="59"/>
      <c r="T158" s="59"/>
      <c r="U158" s="59"/>
      <c r="V158" s="59"/>
      <c r="W158" s="87"/>
      <c r="X158" s="87"/>
      <c r="Y158" s="87"/>
    </row>
    <row r="159" ht="15.75" customHeight="1">
      <c r="A159" s="67" t="s">
        <v>459</v>
      </c>
      <c r="B159" s="68" t="s">
        <v>460</v>
      </c>
      <c r="C159" s="69" t="str">
        <f>IFERROR(__xludf.DUMMYFUNCTION("arrayformula(VLOOKUP(to_Text(A159),to_Text(sheet2!$A$1:M1002),13,0))"),"POC")</f>
        <v>POC</v>
      </c>
      <c r="D159" s="70" t="str">
        <f>IFERROR(__xludf.DUMMYFUNCTION("arrayformula(VLOOKUP(to_Text(A159),to_Text(sheet2!$A$1:M1002),12,0))"),"GSD")</f>
        <v>GSD</v>
      </c>
      <c r="E159" s="68" t="str">
        <f t="shared" si="21"/>
        <v>Active</v>
      </c>
      <c r="F159" s="67" t="str">
        <f t="array" ref="F159">IFERROR(
  INDEX(ATTENDANCE_INPUT!D:D,
    MATCH(1,
      (ATTENDANCE_INPUT!A:A=A159) *
      (ATTENDANCE_INPUT!V:V=MAXIFS(ATTENDANCE_INPUT!V:V, ATTENDANCE_INPUT!A:A, A159)),
      0)),
  "")</f>
        <v>Vinh Tran</v>
      </c>
      <c r="G159" s="72" t="str">
        <f t="array" ref="G159">IFERROR(
  INDEX(ATTENDANCE_INPUT!E:E,
    MATCH(1,
      (ATTENDANCE_INPUT!A:A=A159) *
      (ATTENDANCE_INPUT!V:V=MAXIFS(ATTENDANCE_INPUT!V:V, ATTENDANCE_INPUT!A:A, A159)),
      0)),
  "")</f>
        <v>Communication 2</v>
      </c>
      <c r="H159" s="73" t="str">
        <f t="array" ref="H159">IF(ISNA(MATCH(A159,sheet2!A:A,0)),"⏳ Chưa test",IFERROR(INDEX(LEVEL_HELPER!A:A,MATCH(INDEX(sheet2!N:N,MATCH(A159,sheet2!A:A,0)),LEVEL_HELPER!B:B,0)),"⏳ Chưa test"))</f>
        <v>Beginner</v>
      </c>
      <c r="I159" s="73" t="str">
        <f t="array" ref="I159">IF(ISNA(MATCH(A159,sheet2!A:A,0)),H159,IF(INDEX(sheet2!O:O,MATCH(A159,sheet2!A:A,0))&gt;0,IFERROR(INDEX(LEVEL_HELPER!A:A,MATCH(INDEX(sheet2!O:O,MATCH(A159,sheet2!A:A,0)),LEVEL_HELPER!B:B,0)),H159),H159))</f>
        <v>Pre-Intermediate 2</v>
      </c>
      <c r="J159" s="73">
        <f>IFERROR(MAXIFS(ATTENDANCE_LOG!F:F, ATTENDANCE_LOG!C:C, A159&amp;"", ATTENDANCE_LOG!G:G, "Present"), "")</f>
        <v>46134.54167</v>
      </c>
      <c r="K159" s="74" t="str">
        <f t="shared" si="1"/>
        <v/>
      </c>
      <c r="L159" s="75" t="str">
        <f t="shared" si="2"/>
        <v/>
      </c>
      <c r="M159" s="59"/>
      <c r="N159" s="77"/>
      <c r="O159" s="59"/>
      <c r="P159" s="59"/>
      <c r="Q159" s="59"/>
      <c r="R159" s="59"/>
      <c r="S159" s="59"/>
      <c r="T159" s="59"/>
      <c r="U159" s="59"/>
      <c r="V159" s="59"/>
      <c r="W159" s="87"/>
      <c r="X159" s="87"/>
      <c r="Y159" s="87"/>
    </row>
    <row r="160" ht="15.75" customHeight="1">
      <c r="A160" s="67" t="s">
        <v>461</v>
      </c>
      <c r="B160" s="68" t="s">
        <v>462</v>
      </c>
      <c r="C160" s="69" t="str">
        <f>IFERROR(__xludf.DUMMYFUNCTION("arrayformula(VLOOKUP(to_Text(A160),to_Text(sheet2!$A$1:M1002),13,0))"),"LBU")</f>
        <v>LBU</v>
      </c>
      <c r="D160" s="70" t="str">
        <f>IFERROR(__xludf.DUMMYFUNCTION("arrayformula(VLOOKUP(to_Text(A160),to_Text(sheet2!$A$1:M1002),12,0))"),"QC")</f>
        <v>QC</v>
      </c>
      <c r="E160" s="71" t="s">
        <v>16</v>
      </c>
      <c r="F160" s="67" t="str">
        <f t="array" ref="F160">IFERROR(
  INDEX(ATTENDANCE_INPUT!D:D,
    MATCH(1,
      (ATTENDANCE_INPUT!A:A=A160) *
      (ATTENDANCE_INPUT!V:V=MAXIFS(ATTENDANCE_INPUT!V:V, ATTENDANCE_INPUT!A:A, A160)),
      0)),
  "")</f>
        <v>Huy Nguyen</v>
      </c>
      <c r="G160" s="72" t="str">
        <f t="array" ref="G160">IFERROR(
  INDEX(ATTENDANCE_INPUT!E:E,
    MATCH(1,
      (ATTENDANCE_INPUT!A:A=A160) *
      (ATTENDANCE_INPUT!V:V=MAXIFS(ATTENDANCE_INPUT!V:V, ATTENDANCE_INPUT!A:A, A160)),
      0)),
  "")</f>
        <v>Communication 1</v>
      </c>
      <c r="H160" s="73" t="str">
        <f t="array" ref="H160">IF(ISNA(MATCH(A160,sheet2!A:A,0)),"⏳ Chưa test",IFERROR(INDEX(LEVEL_HELPER!A:A,MATCH(INDEX(sheet2!N:N,MATCH(A160,sheet2!A:A,0)),LEVEL_HELPER!B:B,0)),"⏳ Chưa test"))</f>
        <v>Beginner</v>
      </c>
      <c r="I160" s="73" t="str">
        <f t="array" ref="I160">IF(ISNA(MATCH(A160,sheet2!A:A,0)),H160,IF(INDEX(sheet2!O:O,MATCH(A160,sheet2!A:A,0))&gt;0,IFERROR(INDEX(LEVEL_HELPER!A:A,MATCH(INDEX(sheet2!O:O,MATCH(A160,sheet2!A:A,0)),LEVEL_HELPER!B:B,0)),H160),H160))</f>
        <v>Pre-Intermediate 2</v>
      </c>
      <c r="J160" s="73">
        <f>IFERROR(MAXIFS(ATTENDANCE_LOG!F:F, ATTENDANCE_LOG!C:C, A160&amp;"", ATTENDANCE_LOG!G:G, "Present"), "")</f>
        <v>45959.41667</v>
      </c>
      <c r="K160" s="74" t="str">
        <f t="shared" si="1"/>
        <v/>
      </c>
      <c r="L160" s="75" t="str">
        <f t="shared" si="2"/>
        <v/>
      </c>
      <c r="M160" s="59" t="s">
        <v>34</v>
      </c>
      <c r="N160" s="77" t="s">
        <v>33</v>
      </c>
      <c r="O160" s="59"/>
      <c r="P160" s="59"/>
      <c r="Q160" s="59"/>
      <c r="R160" s="59">
        <v>247278.0</v>
      </c>
      <c r="S160" s="59" t="s">
        <v>146</v>
      </c>
      <c r="T160" s="59" t="s">
        <v>33</v>
      </c>
      <c r="U160" s="59" t="e">
        <v>#N/A</v>
      </c>
      <c r="V160" s="59"/>
      <c r="W160" s="87"/>
      <c r="X160" s="87"/>
      <c r="Y160" s="87"/>
    </row>
    <row r="161" ht="15.75" customHeight="1">
      <c r="A161" s="67" t="s">
        <v>463</v>
      </c>
      <c r="B161" s="68" t="s">
        <v>464</v>
      </c>
      <c r="C161" s="69" t="str">
        <f>IFERROR(__xludf.DUMMYFUNCTION("arrayformula(VLOOKUP(to_Text(A161),to_Text(sheet2!$A$1:M1002),13,0))"),"MOC")</f>
        <v>MOC</v>
      </c>
      <c r="D161" s="70" t="str">
        <f>IFERROR(__xludf.DUMMYFUNCTION("arrayformula(VLOOKUP(to_Text(A161),to_Text(sheet2!$A$1:M1002),12,0))"),"QC")</f>
        <v>QC</v>
      </c>
      <c r="E161" s="71" t="s">
        <v>16</v>
      </c>
      <c r="F161" s="67" t="str">
        <f t="array" ref="F161">IFERROR(
  INDEX(ATTENDANCE_INPUT!D:D,
    MATCH(1,
      (ATTENDANCE_INPUT!A:A=A161) *
      (ATTENDANCE_INPUT!V:V=MAXIFS(ATTENDANCE_INPUT!V:V, ATTENDANCE_INPUT!A:A, A161)),
      0)),
  "")</f>
        <v>Anh Ha</v>
      </c>
      <c r="G161" s="72" t="str">
        <f t="array" ref="G161">IFERROR(
  INDEX(ATTENDANCE_INPUT!E:E,
    MATCH(1,
      (ATTENDANCE_INPUT!A:A=A161) *
      (ATTENDANCE_INPUT!V:V=MAXIFS(ATTENDANCE_INPUT!V:V, ATTENDANCE_INPUT!A:A, A161)),
      0)),
  "")</f>
        <v>Communication 2</v>
      </c>
      <c r="H161" s="73" t="str">
        <f t="array" ref="H161">IF(ISNA(MATCH(A161,sheet2!A:A,0)),"⏳ Chưa test",IFERROR(INDEX(LEVEL_HELPER!A:A,MATCH(INDEX(sheet2!N:N,MATCH(A161,sheet2!A:A,0)),LEVEL_HELPER!B:B,0)),"⏳ Chưa test"))</f>
        <v>Beginner</v>
      </c>
      <c r="I161" s="73" t="str">
        <f t="array" ref="I161">IF(ISNA(MATCH(A161,sheet2!A:A,0)),H161,IF(INDEX(sheet2!O:O,MATCH(A161,sheet2!A:A,0))&gt;0,IFERROR(INDEX(LEVEL_HELPER!A:A,MATCH(INDEX(sheet2!O:O,MATCH(A161,sheet2!A:A,0)),LEVEL_HELPER!B:B,0)),H161),H161))</f>
        <v>Beginner 2</v>
      </c>
      <c r="J161" s="73">
        <f>IFERROR(MAXIFS(ATTENDANCE_LOG!F:F, ATTENDANCE_LOG!C:C, A161&amp;"", ATTENDANCE_LOG!G:G, "Present"), "")</f>
        <v>46050.41667</v>
      </c>
      <c r="K161" s="74" t="str">
        <f t="shared" si="1"/>
        <v/>
      </c>
      <c r="L161" s="75" t="str">
        <f t="shared" si="2"/>
        <v/>
      </c>
      <c r="M161" s="59" t="s">
        <v>34</v>
      </c>
      <c r="N161" s="77" t="s">
        <v>37</v>
      </c>
      <c r="O161" s="59"/>
      <c r="P161" s="59"/>
      <c r="Q161" s="59"/>
      <c r="R161" s="59">
        <v>247324.0</v>
      </c>
      <c r="S161" s="59" t="s">
        <v>327</v>
      </c>
      <c r="T161" s="59" t="s">
        <v>327</v>
      </c>
      <c r="U161" s="59" t="str">
        <f>IFERROR(__xludf.DUMMYFUNCTION("arrayformula(vlookup(to_text(R161),to_text($A$4:$B1155),2,0))"),"#N/A")</f>
        <v>#N/A</v>
      </c>
      <c r="V161" s="77" t="s">
        <v>465</v>
      </c>
      <c r="W161" s="87"/>
      <c r="X161" s="87"/>
      <c r="Y161" s="87"/>
    </row>
    <row r="162" ht="15.75" customHeight="1">
      <c r="A162" s="67" t="s">
        <v>466</v>
      </c>
      <c r="B162" s="68" t="s">
        <v>467</v>
      </c>
      <c r="C162" s="69" t="str">
        <f>IFERROR(__xludf.DUMMYFUNCTION("arrayformula(VLOOKUP(to_Text(A162),to_Text(sheet2!$A$1:M1002),13,0))"),"LBU")</f>
        <v>LBU</v>
      </c>
      <c r="D162" s="70" t="str">
        <f>IFERROR(__xludf.DUMMYFUNCTION("arrayformula(VLOOKUP(to_Text(A162),to_Text(sheet2!$A$1:M1002),12,0))"),"GSD")</f>
        <v>GSD</v>
      </c>
      <c r="E162" s="68" t="str">
        <f t="shared" ref="E162:E164" si="22">if(L162="⚠ Possibly Dropped","Inactive","Active")</f>
        <v>Inactive</v>
      </c>
      <c r="F162" s="67" t="str">
        <f t="array" ref="F162">IFERROR(
  INDEX(ATTENDANCE_INPUT!D:D,
    MATCH(1,
      (ATTENDANCE_INPUT!A:A=A162) *
      (ATTENDANCE_INPUT!V:V=MAXIFS(ATTENDANCE_INPUT!V:V, ATTENDANCE_INPUT!A:A, A162)),
      0)),
  "")</f>
        <v>Huong Le</v>
      </c>
      <c r="G162" s="72" t="str">
        <f t="array" ref="G162">IFERROR(
  INDEX(ATTENDANCE_INPUT!E:E,
    MATCH(1,
      (ATTENDANCE_INPUT!A:A=A162) *
      (ATTENDANCE_INPUT!V:V=MAXIFS(ATTENDANCE_INPUT!V:V, ATTENDANCE_INPUT!A:A, A162)),
      0)),
  "")</f>
        <v>Communication 2</v>
      </c>
      <c r="H162" s="73" t="str">
        <f t="array" ref="H162">IF(ISNA(MATCH(A162,sheet2!A:A,0)),"⏳ Chưa test",IFERROR(INDEX(LEVEL_HELPER!A:A,MATCH(INDEX(sheet2!N:N,MATCH(A162,sheet2!A:A,0)),LEVEL_HELPER!B:B,0)),"⏳ Chưa test"))</f>
        <v>Beginner</v>
      </c>
      <c r="I162" s="73" t="str">
        <f t="array" ref="I162">IF(ISNA(MATCH(A162,sheet2!A:A,0)),H162,IF(INDEX(sheet2!O:O,MATCH(A162,sheet2!A:A,0))&gt;0,IFERROR(INDEX(LEVEL_HELPER!A:A,MATCH(INDEX(sheet2!O:O,MATCH(A162,sheet2!A:A,0)),LEVEL_HELPER!B:B,0)),H162),H162))</f>
        <v>Pre-Intermediate 1</v>
      </c>
      <c r="J162" s="73">
        <f>IFERROR(MAXIFS(ATTENDANCE_LOG!F:F, ATTENDANCE_LOG!C:C, A162&amp;"", ATTENDANCE_LOG!G:G, "Present"), "")</f>
        <v>46115.54167</v>
      </c>
      <c r="K162" s="74">
        <f t="shared" si="1"/>
        <v>58</v>
      </c>
      <c r="L162" s="75" t="str">
        <f t="shared" si="2"/>
        <v>⚠ Possibly Dropped</v>
      </c>
      <c r="M162" s="59"/>
      <c r="N162" s="77"/>
      <c r="O162" s="59"/>
      <c r="P162" s="59"/>
      <c r="Q162" s="59"/>
      <c r="R162" s="89"/>
      <c r="S162" s="89"/>
      <c r="T162" s="89"/>
      <c r="U162" s="89"/>
      <c r="V162" s="59"/>
      <c r="W162" s="87"/>
      <c r="X162" s="87"/>
      <c r="Y162" s="87"/>
    </row>
    <row r="163" ht="15.75" customHeight="1">
      <c r="A163" s="67" t="s">
        <v>468</v>
      </c>
      <c r="B163" s="68" t="s">
        <v>469</v>
      </c>
      <c r="C163" s="69" t="str">
        <f>IFERROR(__xludf.DUMMYFUNCTION("arrayformula(VLOOKUP(to_Text(A163),to_Text(sheet2!$A$1:M1002),13,0))"),"POC")</f>
        <v>POC</v>
      </c>
      <c r="D163" s="70" t="str">
        <f>IFERROR(__xludf.DUMMYFUNCTION("arrayformula(VLOOKUP(to_Text(A163),to_Text(sheet2!$A$1:M1002),12,0))"),"GSD")</f>
        <v>GSD</v>
      </c>
      <c r="E163" s="68" t="str">
        <f t="shared" si="22"/>
        <v>Active</v>
      </c>
      <c r="F163" s="67" t="str">
        <f t="array" ref="F163">IFERROR(
  INDEX(ATTENDANCE_INPUT!D:D,
    MATCH(1,
      (ATTENDANCE_INPUT!A:A=A163) *
      (ATTENDANCE_INPUT!V:V=MAXIFS(ATTENDANCE_INPUT!V:V, ATTENDANCE_INPUT!A:A, A163)),
      0)),
  "")</f>
        <v>Trang Nguyen</v>
      </c>
      <c r="G163" s="72" t="str">
        <f t="array" ref="G163">IFERROR(
  INDEX(ATTENDANCE_INPUT!E:E,
    MATCH(1,
      (ATTENDANCE_INPUT!A:A=A163) *
      (ATTENDANCE_INPUT!V:V=MAXIFS(ATTENDANCE_INPUT!V:V, ATTENDANCE_INPUT!A:A, A163)),
      0)),
  "")</f>
        <v>Communication 1</v>
      </c>
      <c r="H163" s="73" t="str">
        <f t="array" ref="H163">IF(ISNA(MATCH(A163,sheet2!A:A,0)),"⏳ Chưa test",IFERROR(INDEX(LEVEL_HELPER!A:A,MATCH(INDEX(sheet2!N:N,MATCH(A163,sheet2!A:A,0)),LEVEL_HELPER!B:B,0)),"⏳ Chưa test"))</f>
        <v>Foundation</v>
      </c>
      <c r="I163" s="73" t="str">
        <f t="array" ref="I163">IF(ISNA(MATCH(A163,sheet2!A:A,0)),H163,IF(INDEX(sheet2!O:O,MATCH(A163,sheet2!A:A,0))&gt;0,IFERROR(INDEX(LEVEL_HELPER!A:A,MATCH(INDEX(sheet2!O:O,MATCH(A163,sheet2!A:A,0)),LEVEL_HELPER!B:B,0)),H163),H163))</f>
        <v>Foundation</v>
      </c>
      <c r="J163" s="73">
        <f>IFERROR(MAXIFS(ATTENDANCE_LOG!F:F, ATTENDANCE_LOG!C:C, A163&amp;"", ATTENDANCE_LOG!G:G, "Present"), "")</f>
        <v>46126.625</v>
      </c>
      <c r="K163" s="74" t="str">
        <f t="shared" si="1"/>
        <v/>
      </c>
      <c r="L163" s="75" t="str">
        <f t="shared" si="2"/>
        <v/>
      </c>
      <c r="M163" s="59"/>
      <c r="N163" s="77"/>
      <c r="O163" s="59"/>
      <c r="P163" s="59"/>
      <c r="Q163" s="59"/>
      <c r="R163" s="59"/>
      <c r="S163" s="59"/>
      <c r="T163" s="59"/>
      <c r="U163" s="59"/>
      <c r="V163" s="59"/>
      <c r="W163" s="87"/>
      <c r="X163" s="87"/>
      <c r="Y163" s="87"/>
    </row>
    <row r="164" ht="15.75" customHeight="1">
      <c r="A164" s="67" t="s">
        <v>470</v>
      </c>
      <c r="B164" s="68" t="s">
        <v>471</v>
      </c>
      <c r="C164" s="69" t="str">
        <f>IFERROR(__xludf.DUMMYFUNCTION("arrayformula(VLOOKUP(to_Text(A164),to_Text(sheet2!$A$1:M1002),13,0))"),"TBU")</f>
        <v>TBU</v>
      </c>
      <c r="D164" s="70" t="str">
        <f>IFERROR(__xludf.DUMMYFUNCTION("arrayformula(VLOOKUP(to_Text(A164),to_Text(sheet2!$A$1:M1002),12,0))"),"GSD")</f>
        <v>GSD</v>
      </c>
      <c r="E164" s="68" t="str">
        <f t="shared" si="22"/>
        <v>Active</v>
      </c>
      <c r="F164" s="67" t="str">
        <f t="array" ref="F164">IFERROR(
  INDEX(ATTENDANCE_INPUT!D:D,
    MATCH(1,
      (ATTENDANCE_INPUT!A:A=A164) *
      (ATTENDANCE_INPUT!V:V=MAXIFS(ATTENDANCE_INPUT!V:V, ATTENDANCE_INPUT!A:A, A164)),
      0)),
  "")</f>
        <v>Trang Nguyen</v>
      </c>
      <c r="G164" s="72" t="str">
        <f t="array" ref="G164">IFERROR(
  INDEX(ATTENDANCE_INPUT!E:E,
    MATCH(1,
      (ATTENDANCE_INPUT!A:A=A164) *
      (ATTENDANCE_INPUT!V:V=MAXIFS(ATTENDANCE_INPUT!V:V, ATTENDANCE_INPUT!A:A, A164)),
      0)),
  "")</f>
        <v>Communication 1</v>
      </c>
      <c r="H164" s="73" t="str">
        <f t="array" ref="H164">IF(ISNA(MATCH(A164,sheet2!A:A,0)),"⏳ Chưa test",IFERROR(INDEX(LEVEL_HELPER!A:A,MATCH(INDEX(sheet2!N:N,MATCH(A164,sheet2!A:A,0)),LEVEL_HELPER!B:B,0)),"⏳ Chưa test"))</f>
        <v>Foundation</v>
      </c>
      <c r="I164" s="73" t="str">
        <f t="array" ref="I164">IF(ISNA(MATCH(A164,sheet2!A:A,0)),H164,IF(INDEX(sheet2!O:O,MATCH(A164,sheet2!A:A,0))&gt;0,IFERROR(INDEX(LEVEL_HELPER!A:A,MATCH(INDEX(sheet2!O:O,MATCH(A164,sheet2!A:A,0)),LEVEL_HELPER!B:B,0)),H164),H164))</f>
        <v>Beginner</v>
      </c>
      <c r="J164" s="73">
        <f>IFERROR(MAXIFS(ATTENDANCE_LOG!F:F, ATTENDANCE_LOG!C:C, A164&amp;"", ATTENDANCE_LOG!G:G, "Present"), "")</f>
        <v>46129.625</v>
      </c>
      <c r="K164" s="74" t="str">
        <f t="shared" si="1"/>
        <v/>
      </c>
      <c r="L164" s="75" t="str">
        <f t="shared" si="2"/>
        <v/>
      </c>
      <c r="M164" s="59"/>
      <c r="N164" s="77"/>
      <c r="O164" s="59"/>
      <c r="P164" s="59"/>
      <c r="Q164" s="59"/>
      <c r="R164" s="59"/>
      <c r="S164" s="59"/>
      <c r="T164" s="59"/>
      <c r="U164" s="59"/>
      <c r="V164" s="59"/>
      <c r="W164" s="87"/>
      <c r="X164" s="87"/>
      <c r="Y164" s="87"/>
    </row>
    <row r="165" ht="15.75" customHeight="1">
      <c r="A165" s="67" t="s">
        <v>472</v>
      </c>
      <c r="B165" s="68" t="s">
        <v>473</v>
      </c>
      <c r="C165" s="69" t="str">
        <f>IFERROR(__xludf.DUMMYFUNCTION("arrayformula(VLOOKUP(to_Text(A165),to_Text(sheet2!$A$1:M1002),13,0))"),"LBU")</f>
        <v>LBU</v>
      </c>
      <c r="D165" s="70" t="str">
        <f>IFERROR(__xludf.DUMMYFUNCTION("arrayformula(VLOOKUP(to_Text(A165),to_Text(sheet2!$A$1:M1002),12,0))"),"QC")</f>
        <v>QC</v>
      </c>
      <c r="E165" s="71" t="s">
        <v>16</v>
      </c>
      <c r="F165" s="67" t="str">
        <f t="array" ref="F165">IFERROR(
  INDEX(ATTENDANCE_INPUT!D:D,
    MATCH(1,
      (ATTENDANCE_INPUT!A:A=A165) *
      (ATTENDANCE_INPUT!V:V=MAXIFS(ATTENDANCE_INPUT!V:V, ATTENDANCE_INPUT!A:A, A165)),
      0)),
  "")</f>
        <v>Thuong Tran</v>
      </c>
      <c r="G165" s="72" t="str">
        <f t="array" ref="G165">IFERROR(
  INDEX(ATTENDANCE_INPUT!E:E,
    MATCH(1,
      (ATTENDANCE_INPUT!A:A=A165) *
      (ATTENDANCE_INPUT!V:V=MAXIFS(ATTENDANCE_INPUT!V:V, ATTENDANCE_INPUT!A:A, A165)),
      0)),
  "")</f>
        <v>Communication 1</v>
      </c>
      <c r="H165" s="73" t="str">
        <f t="array" ref="H165">IF(ISNA(MATCH(A165,sheet2!A:A,0)),"⏳ Chưa test",IFERROR(INDEX(LEVEL_HELPER!A:A,MATCH(INDEX(sheet2!N:N,MATCH(A165,sheet2!A:A,0)),LEVEL_HELPER!B:B,0)),"⏳ Chưa test"))</f>
        <v>Beginner</v>
      </c>
      <c r="I165" s="73" t="str">
        <f t="array" ref="I165">IF(ISNA(MATCH(A165,sheet2!A:A,0)),H165,IF(INDEX(sheet2!O:O,MATCH(A165,sheet2!A:A,0))&gt;0,IFERROR(INDEX(LEVEL_HELPER!A:A,MATCH(INDEX(sheet2!O:O,MATCH(A165,sheet2!A:A,0)),LEVEL_HELPER!B:B,0)),H165),H165))</f>
        <v>Beginner</v>
      </c>
      <c r="J165" s="73">
        <f>IFERROR(MAXIFS(ATTENDANCE_LOG!F:F, ATTENDANCE_LOG!C:C, A165&amp;"", ATTENDANCE_LOG!G:G, "Present"), "")</f>
        <v>45827.54167</v>
      </c>
      <c r="K165" s="74" t="str">
        <f t="shared" si="1"/>
        <v/>
      </c>
      <c r="L165" s="75" t="str">
        <f t="shared" si="2"/>
        <v/>
      </c>
      <c r="M165" s="80" t="s">
        <v>34</v>
      </c>
      <c r="N165" s="77" t="s">
        <v>33</v>
      </c>
      <c r="O165" s="59"/>
      <c r="P165" s="59"/>
      <c r="Q165" s="59"/>
      <c r="R165" s="59"/>
      <c r="S165" s="59"/>
      <c r="T165" s="59"/>
      <c r="U165" s="59"/>
      <c r="V165" s="59"/>
      <c r="W165" s="87"/>
      <c r="X165" s="87"/>
      <c r="Y165" s="87"/>
    </row>
    <row r="166" ht="15.75" customHeight="1">
      <c r="A166" s="67" t="s">
        <v>474</v>
      </c>
      <c r="B166" s="68" t="s">
        <v>475</v>
      </c>
      <c r="C166" s="69" t="str">
        <f>IFERROR(__xludf.DUMMYFUNCTION("arrayformula(VLOOKUP(to_Text(A166),to_Text(sheet2!$A$1:M1002),13,0))"),"POC")</f>
        <v>POC</v>
      </c>
      <c r="D166" s="70" t="str">
        <f>IFERROR(__xludf.DUMMYFUNCTION("arrayformula(VLOOKUP(to_Text(A166),to_Text(sheet2!$A$1:M1002),12,0))"),"QC")</f>
        <v>QC</v>
      </c>
      <c r="E166" s="68" t="str">
        <f>if(L166="⚠ Possibly Dropped","Inactive","Active")</f>
        <v>Active</v>
      </c>
      <c r="F166" s="67" t="str">
        <f t="array" ref="F166">IFERROR(
  INDEX(ATTENDANCE_INPUT!D:D,
    MATCH(1,
      (ATTENDANCE_INPUT!A:A=A166) *
      (ATTENDANCE_INPUT!V:V=MAXIFS(ATTENDANCE_INPUT!V:V, ATTENDANCE_INPUT!A:A, A166)),
      0)),
  "")</f>
        <v>Thien Truong</v>
      </c>
      <c r="G166" s="72" t="str">
        <f t="array" ref="G166">IFERROR(
  INDEX(ATTENDANCE_INPUT!E:E,
    MATCH(1,
      (ATTENDANCE_INPUT!A:A=A166) *
      (ATTENDANCE_INPUT!V:V=MAXIFS(ATTENDANCE_INPUT!V:V, ATTENDANCE_INPUT!A:A, A166)),
      0)),
  "")</f>
        <v>Communication 3</v>
      </c>
      <c r="H166" s="73" t="str">
        <f t="array" ref="H166">IF(ISNA(MATCH(A166,sheet2!A:A,0)),"⏳ Chưa test",IFERROR(INDEX(LEVEL_HELPER!A:A,MATCH(INDEX(sheet2!N:N,MATCH(A166,sheet2!A:A,0)),LEVEL_HELPER!B:B,0)),"⏳ Chưa test"))</f>
        <v>Beginner</v>
      </c>
      <c r="I166" s="73" t="str">
        <f t="array" ref="I166">IF(ISNA(MATCH(A166,sheet2!A:A,0)),H166,IF(INDEX(sheet2!O:O,MATCH(A166,sheet2!A:A,0))&gt;0,IFERROR(INDEX(LEVEL_HELPER!A:A,MATCH(INDEX(sheet2!O:O,MATCH(A166,sheet2!A:A,0)),LEVEL_HELPER!B:B,0)),H166),H166))</f>
        <v>Pre-Intermediate 2</v>
      </c>
      <c r="J166" s="73">
        <f>IFERROR(MAXIFS(ATTENDANCE_LOG!F:F, ATTENDANCE_LOG!C:C, A166&amp;"", ATTENDANCE_LOG!G:G, "Present"), "")</f>
        <v>46134.58333</v>
      </c>
      <c r="K166" s="74" t="str">
        <f t="shared" si="1"/>
        <v/>
      </c>
      <c r="L166" s="75" t="str">
        <f t="shared" si="2"/>
        <v/>
      </c>
      <c r="M166" s="59"/>
      <c r="N166" s="77"/>
      <c r="O166" s="59"/>
      <c r="P166" s="59"/>
      <c r="Q166" s="59"/>
      <c r="R166" s="59">
        <v>247249.0</v>
      </c>
      <c r="S166" s="59" t="s">
        <v>172</v>
      </c>
      <c r="T166" s="59" t="s">
        <v>39</v>
      </c>
      <c r="U166" s="59" t="e">
        <v>#N/A</v>
      </c>
      <c r="V166" s="59"/>
      <c r="W166" s="87"/>
      <c r="X166" s="87"/>
      <c r="Y166" s="87"/>
    </row>
    <row r="167" ht="15.75" customHeight="1">
      <c r="A167" s="67" t="s">
        <v>476</v>
      </c>
      <c r="B167" s="68" t="s">
        <v>477</v>
      </c>
      <c r="C167" s="69" t="str">
        <f>IFERROR(__xludf.DUMMYFUNCTION("arrayformula(VLOOKUP(to_Text(A167),to_Text(sheet2!$A$1:M1002),13,0))"),"CHORUS")</f>
        <v>CHORUS</v>
      </c>
      <c r="D167" s="70" t="str">
        <f>IFERROR(__xludf.DUMMYFUNCTION("arrayformula(VLOOKUP(to_Text(A167),to_Text(sheet2!$A$1:M1002),12,0))"),"DEV")</f>
        <v>DEV</v>
      </c>
      <c r="E167" s="71" t="s">
        <v>16</v>
      </c>
      <c r="F167" s="67" t="str">
        <f t="array" ref="F167">IFERROR(
  INDEX(ATTENDANCE_INPUT!D:D,
    MATCH(1,
      (ATTENDANCE_INPUT!A:A=A167) *
      (ATTENDANCE_INPUT!V:V=MAXIFS(ATTENDANCE_INPUT!V:V, ATTENDANCE_INPUT!A:A, A167)),
      0)),
  "")</f>
        <v>Yen Tran 2</v>
      </c>
      <c r="G167" s="72" t="str">
        <f t="array" ref="G167">IFERROR(
  INDEX(ATTENDANCE_INPUT!E:E,
    MATCH(1,
      (ATTENDANCE_INPUT!A:A=A167) *
      (ATTENDANCE_INPUT!V:V=MAXIFS(ATTENDANCE_INPUT!V:V, ATTENDANCE_INPUT!A:A, A167)),
      0)),
  "")</f>
        <v>Communication 1</v>
      </c>
      <c r="H167" s="73" t="str">
        <f t="array" ref="H167">IF(ISNA(MATCH(A167,sheet2!A:A,0)),"⏳ Chưa test",IFERROR(INDEX(LEVEL_HELPER!A:A,MATCH(INDEX(sheet2!N:N,MATCH(A167,sheet2!A:A,0)),LEVEL_HELPER!B:B,0)),"⏳ Chưa test"))</f>
        <v>Beginner</v>
      </c>
      <c r="I167" s="73" t="str">
        <f t="array" ref="I167">IF(ISNA(MATCH(A167,sheet2!A:A,0)),H167,IF(INDEX(sheet2!O:O,MATCH(A167,sheet2!A:A,0))&gt;0,IFERROR(INDEX(LEVEL_HELPER!A:A,MATCH(INDEX(sheet2!O:O,MATCH(A167,sheet2!A:A,0)),LEVEL_HELPER!B:B,0)),H167),H167))</f>
        <v>Beginner</v>
      </c>
      <c r="J167" s="73">
        <f>IFERROR(MAXIFS(ATTENDANCE_LOG!F:F, ATTENDANCE_LOG!C:C, A167&amp;"", ATTENDANCE_LOG!G:G, "Present"), "")</f>
        <v>45859.54167</v>
      </c>
      <c r="K167" s="74" t="str">
        <f t="shared" si="1"/>
        <v/>
      </c>
      <c r="L167" s="75" t="str">
        <f t="shared" si="2"/>
        <v/>
      </c>
      <c r="M167" s="59" t="s">
        <v>34</v>
      </c>
      <c r="N167" s="76" t="s">
        <v>37</v>
      </c>
      <c r="O167" s="59"/>
      <c r="P167" s="59"/>
      <c r="Q167" s="59"/>
      <c r="R167" s="59"/>
      <c r="S167" s="59"/>
      <c r="T167" s="59"/>
      <c r="U167" s="59"/>
      <c r="V167" s="59"/>
      <c r="W167" s="87"/>
      <c r="X167" s="87"/>
      <c r="Y167" s="87"/>
    </row>
    <row r="168" ht="15.75" customHeight="1">
      <c r="A168" s="67" t="s">
        <v>478</v>
      </c>
      <c r="B168" s="68" t="s">
        <v>479</v>
      </c>
      <c r="C168" s="69" t="str">
        <f>IFERROR(__xludf.DUMMYFUNCTION("arrayformula(VLOOKUP(to_Text(A168),to_Text(sheet2!$A$1:M1002),13,0))"),"CHORUS")</f>
        <v>CHORUS</v>
      </c>
      <c r="D168" s="70" t="str">
        <f>IFERROR(__xludf.DUMMYFUNCTION("arrayformula(VLOOKUP(to_Text(A168),to_Text(sheet2!$A$1:M1002),12,0))"),"UI/UX")</f>
        <v>UI/UX</v>
      </c>
      <c r="E168" s="71" t="s">
        <v>16</v>
      </c>
      <c r="F168" s="67" t="str">
        <f t="array" ref="F168">IFERROR(
  INDEX(ATTENDANCE_INPUT!D:D,
    MATCH(1,
      (ATTENDANCE_INPUT!A:A=A168) *
      (ATTENDANCE_INPUT!V:V=MAXIFS(ATTENDANCE_INPUT!V:V, ATTENDANCE_INPUT!A:A, A168)),
      0)),
  "")</f>
        <v>Phung Nguyen</v>
      </c>
      <c r="G168" s="72" t="str">
        <f t="array" ref="G168">IFERROR(
  INDEX(ATTENDANCE_INPUT!E:E,
    MATCH(1,
      (ATTENDANCE_INPUT!A:A=A168) *
      (ATTENDANCE_INPUT!V:V=MAXIFS(ATTENDANCE_INPUT!V:V, ATTENDANCE_INPUT!A:A, A168)),
      0)),
  "")</f>
        <v>Foundation</v>
      </c>
      <c r="H168" s="73" t="str">
        <f t="array" ref="H168">IF(ISNA(MATCH(A168,sheet2!A:A,0)),"⏳ Chưa test",IFERROR(INDEX(LEVEL_HELPER!A:A,MATCH(INDEX(sheet2!N:N,MATCH(A168,sheet2!A:A,0)),LEVEL_HELPER!B:B,0)),"⏳ Chưa test"))</f>
        <v>Foundation</v>
      </c>
      <c r="I168" s="73" t="str">
        <f t="array" ref="I168">IF(ISNA(MATCH(A168,sheet2!A:A,0)),H168,IF(INDEX(sheet2!O:O,MATCH(A168,sheet2!A:A,0))&gt;0,IFERROR(INDEX(LEVEL_HELPER!A:A,MATCH(INDEX(sheet2!O:O,MATCH(A168,sheet2!A:A,0)),LEVEL_HELPER!B:B,0)),H168),H168))</f>
        <v>Foundation</v>
      </c>
      <c r="J168" s="73">
        <f>IFERROR(MAXIFS(ATTENDANCE_LOG!F:F, ATTENDANCE_LOG!C:C, A168&amp;"", ATTENDANCE_LOG!G:G, "Present"), "")</f>
        <v>46134.41667</v>
      </c>
      <c r="K168" s="74" t="str">
        <f t="shared" si="1"/>
        <v/>
      </c>
      <c r="L168" s="75" t="str">
        <f t="shared" si="2"/>
        <v/>
      </c>
      <c r="M168" s="59" t="s">
        <v>36</v>
      </c>
      <c r="N168" s="77" t="s">
        <v>33</v>
      </c>
      <c r="O168" s="59" t="s">
        <v>236</v>
      </c>
      <c r="P168" s="59"/>
      <c r="Q168" s="59"/>
      <c r="R168" s="59"/>
      <c r="S168" s="59"/>
      <c r="T168" s="59"/>
      <c r="U168" s="59"/>
      <c r="V168" s="59"/>
      <c r="W168" s="87"/>
      <c r="X168" s="87"/>
      <c r="Y168" s="87"/>
    </row>
    <row r="169" ht="15.75" customHeight="1">
      <c r="A169" s="67" t="s">
        <v>480</v>
      </c>
      <c r="B169" s="68" t="s">
        <v>481</v>
      </c>
      <c r="C169" s="69" t="str">
        <f>IFERROR(__xludf.DUMMYFUNCTION("arrayformula(VLOOKUP(to_Text(A169),to_Text(sheet2!$A$1:M1002),13,0))"),"BSG")</f>
        <v>BSG</v>
      </c>
      <c r="D169" s="70" t="str">
        <f>IFERROR(__xludf.DUMMYFUNCTION("arrayformula(VLOOKUP(to_Text(A169),to_Text(sheet2!$A$1:M1002),12,0))"),"HR")</f>
        <v>HR</v>
      </c>
      <c r="E169" s="71" t="s">
        <v>16</v>
      </c>
      <c r="F169" s="67" t="str">
        <f t="array" ref="F169">IFERROR(
  INDEX(ATTENDANCE_INPUT!D:D,
    MATCH(1,
      (ATTENDANCE_INPUT!A:A=A169) *
      (ATTENDANCE_INPUT!V:V=MAXIFS(ATTENDANCE_INPUT!V:V, ATTENDANCE_INPUT!A:A, A169)),
      0)),
  "")</f>
        <v>Nhat Bui</v>
      </c>
      <c r="G169" s="72" t="str">
        <f t="array" ref="G169">IFERROR(
  INDEX(ATTENDANCE_INPUT!E:E,
    MATCH(1,
      (ATTENDANCE_INPUT!A:A=A169) *
      (ATTENDANCE_INPUT!V:V=MAXIFS(ATTENDANCE_INPUT!V:V, ATTENDANCE_INPUT!A:A, A169)),
      0)),
  "")</f>
        <v>Communication 1</v>
      </c>
      <c r="H169" s="73" t="str">
        <f t="array" ref="H169">IF(ISNA(MATCH(A169,sheet2!A:A,0)),"⏳ Chưa test",IFERROR(INDEX(LEVEL_HELPER!A:A,MATCH(INDEX(sheet2!N:N,MATCH(A169,sheet2!A:A,0)),LEVEL_HELPER!B:B,0)),"⏳ Chưa test"))</f>
        <v>Beginner</v>
      </c>
      <c r="I169" s="73" t="str">
        <f t="array" ref="I169">IF(ISNA(MATCH(A169,sheet2!A:A,0)),H169,IF(INDEX(sheet2!O:O,MATCH(A169,sheet2!A:A,0))&gt;0,IFERROR(INDEX(LEVEL_HELPER!A:A,MATCH(INDEX(sheet2!O:O,MATCH(A169,sheet2!A:A,0)),LEVEL_HELPER!B:B,0)),H169),H169))</f>
        <v>Beginner</v>
      </c>
      <c r="J169" s="73">
        <f>IFERROR(MAXIFS(ATTENDANCE_LOG!F:F, ATTENDANCE_LOG!C:C, A169&amp;"", ATTENDANCE_LOG!G:G, "Present"), "")</f>
        <v>45769.58333</v>
      </c>
      <c r="K169" s="74" t="str">
        <f t="shared" si="1"/>
        <v/>
      </c>
      <c r="L169" s="75" t="str">
        <f t="shared" si="2"/>
        <v/>
      </c>
      <c r="M169" s="80" t="s">
        <v>34</v>
      </c>
      <c r="N169" s="77" t="s">
        <v>35</v>
      </c>
      <c r="O169" s="59"/>
      <c r="P169" s="59"/>
      <c r="Q169" s="59"/>
      <c r="R169" s="59"/>
      <c r="S169" s="59"/>
      <c r="T169" s="59"/>
      <c r="U169" s="59"/>
      <c r="V169" s="59"/>
      <c r="W169" s="87"/>
      <c r="X169" s="87"/>
      <c r="Y169" s="87"/>
    </row>
    <row r="170" ht="15.75" customHeight="1">
      <c r="A170" s="81" t="s">
        <v>482</v>
      </c>
      <c r="B170" s="82" t="s">
        <v>483</v>
      </c>
      <c r="C170" s="69" t="str">
        <f>IFERROR(__xludf.DUMMYFUNCTION("arrayformula(VLOOKUP(to_Text(A170),to_Text(sheet2!$A$1:M1002),13,0))"),"TBU")</f>
        <v>TBU</v>
      </c>
      <c r="D170" s="70" t="str">
        <f>IFERROR(__xludf.DUMMYFUNCTION("arrayformula(VLOOKUP(to_Text(A170),to_Text(sheet2!$A$1:M1002),12,0))"),"QC")</f>
        <v>QC</v>
      </c>
      <c r="E170" s="68" t="s">
        <v>175</v>
      </c>
      <c r="F170" s="67" t="str">
        <f t="array" ref="F170">IFERROR(
  INDEX(ATTENDANCE_INPUT!D:D,
    MATCH(1,
      (ATTENDANCE_INPUT!A:A=A170) *
      (ATTENDANCE_INPUT!V:V=MAXIFS(ATTENDANCE_INPUT!V:V, ATTENDANCE_INPUT!A:A, A170)),
      0)),
  "")</f>
        <v>Dat Nguyen</v>
      </c>
      <c r="G170" s="72" t="str">
        <f t="array" ref="G170">IFERROR(
  INDEX(ATTENDANCE_INPUT!E:E,
    MATCH(1,
      (ATTENDANCE_INPUT!A:A=A170) *
      (ATTENDANCE_INPUT!V:V=MAXIFS(ATTENDANCE_INPUT!V:V, ATTENDANCE_INPUT!A:A, A170)),
      0)),
  "")</f>
        <v>Communication 1</v>
      </c>
      <c r="H170" s="73" t="str">
        <f t="array" ref="H170">IF(ISNA(MATCH(A170,sheet2!A:A,0)),"⏳ Chưa test",IFERROR(INDEX(LEVEL_HELPER!A:A,MATCH(INDEX(sheet2!N:N,MATCH(A170,sheet2!A:A,0)),LEVEL_HELPER!B:B,0)),"⏳ Chưa test"))</f>
        <v>Pre-Intermediate</v>
      </c>
      <c r="I170" s="73" t="str">
        <f t="array" ref="I170">IF(ISNA(MATCH(A170,sheet2!A:A,0)),H170,IF(INDEX(sheet2!O:O,MATCH(A170,sheet2!A:A,0))&gt;0,IFERROR(INDEX(LEVEL_HELPER!A:A,MATCH(INDEX(sheet2!O:O,MATCH(A170,sheet2!A:A,0)),LEVEL_HELPER!B:B,0)),H170),H170))</f>
        <v>Pre-Intermediate 2</v>
      </c>
      <c r="J170" s="83">
        <f>IFERROR(MAXIFS(ATTENDANCE_LOG!F:F, ATTENDANCE_LOG!C:C, A170&amp;"", ATTENDANCE_LOG!G:G, "Present"), "")</f>
        <v>45807.58333</v>
      </c>
      <c r="K170" s="84" t="str">
        <f t="shared" si="1"/>
        <v/>
      </c>
      <c r="L170" s="85" t="str">
        <f t="shared" si="2"/>
        <v/>
      </c>
      <c r="M170" s="93" t="s">
        <v>36</v>
      </c>
      <c r="N170" s="76" t="s">
        <v>42</v>
      </c>
      <c r="O170" s="59"/>
      <c r="P170" s="59"/>
      <c r="Q170" s="59"/>
      <c r="R170" s="59">
        <v>237037.0</v>
      </c>
      <c r="S170" s="59" t="s">
        <v>178</v>
      </c>
      <c r="T170" s="59" t="s">
        <v>179</v>
      </c>
      <c r="U170" s="59" t="e">
        <v>#N/A</v>
      </c>
      <c r="V170" s="59"/>
      <c r="W170" s="60"/>
      <c r="X170" s="60"/>
      <c r="Y170" s="60"/>
    </row>
    <row r="171" ht="15.75" customHeight="1">
      <c r="A171" s="67" t="s">
        <v>484</v>
      </c>
      <c r="B171" s="68" t="s">
        <v>485</v>
      </c>
      <c r="C171" s="69" t="str">
        <f>IFERROR(__xludf.DUMMYFUNCTION("arrayformula(VLOOKUP(to_Text(A171),to_Text(sheet2!$A$1:M1002),13,0))"),"ONC")</f>
        <v>ONC</v>
      </c>
      <c r="D171" s="70" t="str">
        <f>IFERROR(__xludf.DUMMYFUNCTION("arrayformula(VLOOKUP(to_Text(A171),to_Text(sheet2!$A$1:M1002),12,0))"),"GSD")</f>
        <v>GSD</v>
      </c>
      <c r="E171" s="71" t="s">
        <v>16</v>
      </c>
      <c r="F171" s="67" t="str">
        <f t="array" ref="F171">IFERROR(
  INDEX(ATTENDANCE_INPUT!D:D,
    MATCH(1,
      (ATTENDANCE_INPUT!A:A=A171) *
      (ATTENDANCE_INPUT!V:V=MAXIFS(ATTENDANCE_INPUT!V:V, ATTENDANCE_INPUT!A:A, A171)),
      0)),
  "")</f>
        <v>Huong Le</v>
      </c>
      <c r="G171" s="72" t="str">
        <f t="array" ref="G171">IFERROR(
  INDEX(ATTENDANCE_INPUT!E:E,
    MATCH(1,
      (ATTENDANCE_INPUT!A:A=A171) *
      (ATTENDANCE_INPUT!V:V=MAXIFS(ATTENDANCE_INPUT!V:V, ATTENDANCE_INPUT!A:A, A171)),
      0)),
  "")</f>
        <v>Communication 2</v>
      </c>
      <c r="H171" s="73" t="str">
        <f t="array" ref="H171">IF(ISNA(MATCH(A171,sheet2!A:A,0)),"⏳ Chưa test",IFERROR(INDEX(LEVEL_HELPER!A:A,MATCH(INDEX(sheet2!N:N,MATCH(A171,sheet2!A:A,0)),LEVEL_HELPER!B:B,0)),"⏳ Chưa test"))</f>
        <v>Pre-Intermediate</v>
      </c>
      <c r="I171" s="73" t="str">
        <f t="array" ref="I171">IF(ISNA(MATCH(A171,sheet2!A:A,0)),H171,IF(INDEX(sheet2!O:O,MATCH(A171,sheet2!A:A,0))&gt;0,IFERROR(INDEX(LEVEL_HELPER!A:A,MATCH(INDEX(sheet2!O:O,MATCH(A171,sheet2!A:A,0)),LEVEL_HELPER!B:B,0)),H171),H171))</f>
        <v>Pre-Intermediate 2</v>
      </c>
      <c r="J171" s="73">
        <f>IFERROR(MAXIFS(ATTENDANCE_LOG!F:F, ATTENDANCE_LOG!C:C, A171&amp;"", ATTENDANCE_LOG!G:G, "Present"), "")</f>
        <v>46017.54167</v>
      </c>
      <c r="K171" s="74" t="str">
        <f t="shared" si="1"/>
        <v/>
      </c>
      <c r="L171" s="75" t="str">
        <f t="shared" si="2"/>
        <v/>
      </c>
      <c r="M171" s="80" t="s">
        <v>36</v>
      </c>
      <c r="N171" s="76" t="s">
        <v>42</v>
      </c>
      <c r="O171" s="59"/>
      <c r="P171" s="59"/>
      <c r="Q171" s="59"/>
      <c r="R171" s="89"/>
      <c r="S171" s="89"/>
      <c r="T171" s="89"/>
      <c r="U171" s="89"/>
      <c r="V171" s="59"/>
      <c r="W171" s="87"/>
      <c r="X171" s="87"/>
      <c r="Y171" s="87"/>
    </row>
    <row r="172" ht="15.75" customHeight="1">
      <c r="A172" s="67" t="s">
        <v>486</v>
      </c>
      <c r="B172" s="68" t="s">
        <v>487</v>
      </c>
      <c r="C172" s="69" t="str">
        <f>IFERROR(__xludf.DUMMYFUNCTION("arrayformula(VLOOKUP(to_Text(A172),to_Text(sheet2!$A$1:M1002),13,0))"),"MOC")</f>
        <v>MOC</v>
      </c>
      <c r="D172" s="70" t="str">
        <f>IFERROR(__xludf.DUMMYFUNCTION("arrayformula(VLOOKUP(to_Text(A172),to_Text(sheet2!$A$1:M1002),12,0))"),"GSD")</f>
        <v>GSD</v>
      </c>
      <c r="E172" s="68" t="str">
        <f>if(L172="⚠ Possibly Dropped","Inactive","Active")</f>
        <v>Active</v>
      </c>
      <c r="F172" s="67" t="str">
        <f t="array" ref="F172">IFERROR(
  INDEX(ATTENDANCE_INPUT!D:D,
    MATCH(1,
      (ATTENDANCE_INPUT!A:A=A172) *
      (ATTENDANCE_INPUT!V:V=MAXIFS(ATTENDANCE_INPUT!V:V, ATTENDANCE_INPUT!A:A, A172)),
      0)),
  "")</f>
        <v>Thuong Tran</v>
      </c>
      <c r="G172" s="72" t="str">
        <f t="array" ref="G172">IFERROR(
  INDEX(ATTENDANCE_INPUT!E:E,
    MATCH(1,
      (ATTENDANCE_INPUT!A:A=A172) *
      (ATTENDANCE_INPUT!V:V=MAXIFS(ATTENDANCE_INPUT!V:V, ATTENDANCE_INPUT!A:A, A172)),
      0)),
  "")</f>
        <v>Business English</v>
      </c>
      <c r="H172" s="73" t="str">
        <f t="array" ref="H172">IF(ISNA(MATCH(A172,sheet2!A:A,0)),"⏳ Chưa test",IFERROR(INDEX(LEVEL_HELPER!A:A,MATCH(INDEX(sheet2!N:N,MATCH(A172,sheet2!A:A,0)),LEVEL_HELPER!B:B,0)),"⏳ Chưa test"))</f>
        <v>Beginner</v>
      </c>
      <c r="I172" s="73" t="str">
        <f t="array" ref="I172">IF(ISNA(MATCH(A172,sheet2!A:A,0)),H172,IF(INDEX(sheet2!O:O,MATCH(A172,sheet2!A:A,0))&gt;0,IFERROR(INDEX(LEVEL_HELPER!A:A,MATCH(INDEX(sheet2!O:O,MATCH(A172,sheet2!A:A,0)),LEVEL_HELPER!B:B,0)),H172),H172))</f>
        <v>Intermediate 1</v>
      </c>
      <c r="J172" s="73">
        <f>IFERROR(MAXIFS(ATTENDANCE_LOG!F:F, ATTENDANCE_LOG!C:C, A172&amp;"", ATTENDANCE_LOG!G:G, "Present"), "")</f>
        <v>46126.54167</v>
      </c>
      <c r="K172" s="74" t="str">
        <f t="shared" si="1"/>
        <v/>
      </c>
      <c r="L172" s="75" t="str">
        <f t="shared" si="2"/>
        <v/>
      </c>
      <c r="M172" s="59"/>
      <c r="N172" s="77"/>
      <c r="O172" s="59"/>
      <c r="P172" s="59"/>
      <c r="Q172" s="59"/>
      <c r="R172" s="59"/>
      <c r="S172" s="59"/>
      <c r="T172" s="59"/>
      <c r="U172" s="59"/>
      <c r="V172" s="59"/>
      <c r="W172" s="87"/>
      <c r="X172" s="87"/>
      <c r="Y172" s="87"/>
    </row>
    <row r="173" ht="15.75" customHeight="1">
      <c r="A173" s="67" t="s">
        <v>488</v>
      </c>
      <c r="B173" s="68" t="s">
        <v>489</v>
      </c>
      <c r="C173" s="69" t="str">
        <f>IFERROR(__xludf.DUMMYFUNCTION("arrayformula(VLOOKUP(to_Text(A173),to_Text(sheet2!$A$1:M1002),13,0))"),"CHORUS")</f>
        <v>CHORUS</v>
      </c>
      <c r="D173" s="70" t="str">
        <f>IFERROR(__xludf.DUMMYFUNCTION("arrayformula(VLOOKUP(to_Text(A173),to_Text(sheet2!$A$1:M1002),12,0))"),"QC")</f>
        <v>QC</v>
      </c>
      <c r="E173" s="71" t="s">
        <v>16</v>
      </c>
      <c r="F173" s="67" t="str">
        <f t="array" ref="F173">IFERROR(
  INDEX(ATTENDANCE_INPUT!D:D,
    MATCH(1,
      (ATTENDANCE_INPUT!A:A=A173) *
      (ATTENDANCE_INPUT!V:V=MAXIFS(ATTENDANCE_INPUT!V:V, ATTENDANCE_INPUT!A:A, A173)),
      0)),
  "")</f>
        <v>Yen Tran 2</v>
      </c>
      <c r="G173" s="72" t="str">
        <f t="array" ref="G173">IFERROR(
  INDEX(ATTENDANCE_INPUT!E:E,
    MATCH(1,
      (ATTENDANCE_INPUT!A:A=A173) *
      (ATTENDANCE_INPUT!V:V=MAXIFS(ATTENDANCE_INPUT!V:V, ATTENDANCE_INPUT!A:A, A173)),
      0)),
  "")</f>
        <v>Communication 1</v>
      </c>
      <c r="H173" s="73" t="str">
        <f t="array" ref="H173">IF(ISNA(MATCH(A173,sheet2!A:A,0)),"⏳ Chưa test",IFERROR(INDEX(LEVEL_HELPER!A:A,MATCH(INDEX(sheet2!N:N,MATCH(A173,sheet2!A:A,0)),LEVEL_HELPER!B:B,0)),"⏳ Chưa test"))</f>
        <v>Pre-Intermediate</v>
      </c>
      <c r="I173" s="73" t="str">
        <f t="array" ref="I173">IF(ISNA(MATCH(A173,sheet2!A:A,0)),H173,IF(INDEX(sheet2!O:O,MATCH(A173,sheet2!A:A,0))&gt;0,IFERROR(INDEX(LEVEL_HELPER!A:A,MATCH(INDEX(sheet2!O:O,MATCH(A173,sheet2!A:A,0)),LEVEL_HELPER!B:B,0)),H173),H173))</f>
        <v>Beginner 2</v>
      </c>
      <c r="J173" s="73">
        <f>IFERROR(MAXIFS(ATTENDANCE_LOG!F:F, ATTENDANCE_LOG!C:C, A173&amp;"", ATTENDANCE_LOG!G:G, "Present"), "")</f>
        <v>45859.54167</v>
      </c>
      <c r="K173" s="74" t="str">
        <f t="shared" si="1"/>
        <v/>
      </c>
      <c r="L173" s="75" t="str">
        <f t="shared" si="2"/>
        <v/>
      </c>
      <c r="M173" s="59" t="s">
        <v>34</v>
      </c>
      <c r="N173" s="76" t="s">
        <v>37</v>
      </c>
      <c r="O173" s="59"/>
      <c r="P173" s="59"/>
      <c r="Q173" s="59"/>
      <c r="R173" s="59"/>
      <c r="S173" s="59"/>
      <c r="T173" s="59"/>
      <c r="U173" s="59"/>
      <c r="V173" s="59"/>
      <c r="W173" s="87"/>
      <c r="X173" s="87"/>
      <c r="Y173" s="87"/>
    </row>
    <row r="174" ht="15.75" customHeight="1">
      <c r="A174" s="67" t="s">
        <v>490</v>
      </c>
      <c r="B174" s="68" t="s">
        <v>491</v>
      </c>
      <c r="C174" s="69" t="str">
        <f>IFERROR(__xludf.DUMMYFUNCTION("arrayformula(VLOOKUP(to_Text(A174),to_Text(sheet2!$A$1:M1002),13,0))"),"TBU")</f>
        <v>TBU</v>
      </c>
      <c r="D174" s="70" t="str">
        <f>IFERROR(__xludf.DUMMYFUNCTION("arrayformula(VLOOKUP(to_Text(A174),to_Text(sheet2!$A$1:M1002),12,0))"),"GSD")</f>
        <v>GSD</v>
      </c>
      <c r="E174" s="71" t="s">
        <v>16</v>
      </c>
      <c r="F174" s="67" t="str">
        <f t="array" ref="F174">IFERROR(
  INDEX(ATTENDANCE_INPUT!D:D,
    MATCH(1,
      (ATTENDANCE_INPUT!A:A=A174) *
      (ATTENDANCE_INPUT!V:V=MAXIFS(ATTENDANCE_INPUT!V:V, ATTENDANCE_INPUT!A:A, A174)),
      0)),
  "")</f>
        <v>Phu Nguyen</v>
      </c>
      <c r="G174" s="72" t="str">
        <f t="array" ref="G174">IFERROR(
  INDEX(ATTENDANCE_INPUT!E:E,
    MATCH(1,
      (ATTENDANCE_INPUT!A:A=A174) *
      (ATTENDANCE_INPUT!V:V=MAXIFS(ATTENDANCE_INPUT!V:V, ATTENDANCE_INPUT!A:A, A174)),
      0)),
  "")</f>
        <v>Communication 1</v>
      </c>
      <c r="H174" s="73" t="str">
        <f t="array" ref="H174">IF(ISNA(MATCH(A174,sheet2!A:A,0)),"⏳ Chưa test",IFERROR(INDEX(LEVEL_HELPER!A:A,MATCH(INDEX(sheet2!N:N,MATCH(A174,sheet2!A:A,0)),LEVEL_HELPER!B:B,0)),"⏳ Chưa test"))</f>
        <v>Beginner</v>
      </c>
      <c r="I174" s="73" t="str">
        <f t="array" ref="I174">IF(ISNA(MATCH(A174,sheet2!A:A,0)),H174,IF(INDEX(sheet2!O:O,MATCH(A174,sheet2!A:A,0))&gt;0,IFERROR(INDEX(LEVEL_HELPER!A:A,MATCH(INDEX(sheet2!O:O,MATCH(A174,sheet2!A:A,0)),LEVEL_HELPER!B:B,0)),H174),H174))</f>
        <v>Beginner</v>
      </c>
      <c r="J174" s="73">
        <f>IFERROR(MAXIFS(ATTENDANCE_LOG!F:F, ATTENDANCE_LOG!C:C, A174&amp;"", ATTENDANCE_LOG!G:G, "Present"), "")</f>
        <v>46135.625</v>
      </c>
      <c r="K174" s="74" t="str">
        <f t="shared" si="1"/>
        <v/>
      </c>
      <c r="L174" s="75" t="str">
        <f t="shared" si="2"/>
        <v/>
      </c>
      <c r="M174" s="59" t="s">
        <v>36</v>
      </c>
      <c r="N174" s="77" t="s">
        <v>33</v>
      </c>
      <c r="O174" s="59"/>
      <c r="P174" s="59"/>
      <c r="Q174" s="59"/>
      <c r="R174" s="59"/>
      <c r="S174" s="59"/>
      <c r="T174" s="59"/>
      <c r="U174" s="59"/>
      <c r="V174" s="59"/>
      <c r="W174" s="87"/>
      <c r="X174" s="87"/>
      <c r="Y174" s="87"/>
    </row>
    <row r="175" ht="15.75" customHeight="1">
      <c r="A175" s="67" t="s">
        <v>492</v>
      </c>
      <c r="B175" s="68" t="s">
        <v>493</v>
      </c>
      <c r="C175" s="69" t="str">
        <f>IFERROR(__xludf.DUMMYFUNCTION("arrayformula(VLOOKUP(to_Text(A175),to_Text(sheet2!$A$1:M1002),13,0))"),"LBU")</f>
        <v>LBU</v>
      </c>
      <c r="D175" s="70" t="str">
        <f>IFERROR(__xludf.DUMMYFUNCTION("arrayformula(VLOOKUP(to_Text(A175),to_Text(sheet2!$A$1:M1002),12,0))"),"DEV")</f>
        <v>DEV</v>
      </c>
      <c r="E175" s="71" t="s">
        <v>16</v>
      </c>
      <c r="F175" s="67" t="str">
        <f t="array" ref="F175">IFERROR(
  INDEX(ATTENDANCE_INPUT!D:D,
    MATCH(1,
      (ATTENDANCE_INPUT!A:A=A175) *
      (ATTENDANCE_INPUT!V:V=MAXIFS(ATTENDANCE_INPUT!V:V, ATTENDANCE_INPUT!A:A, A175)),
      0)),
  "")</f>
        <v>Dung Hoang</v>
      </c>
      <c r="G175" s="72" t="str">
        <f t="array" ref="G175">IFERROR(
  INDEX(ATTENDANCE_INPUT!E:E,
    MATCH(1,
      (ATTENDANCE_INPUT!A:A=A175) *
      (ATTENDANCE_INPUT!V:V=MAXIFS(ATTENDANCE_INPUT!V:V, ATTENDANCE_INPUT!A:A, A175)),
      0)),
  "")</f>
        <v>Communication 1</v>
      </c>
      <c r="H175" s="73" t="str">
        <f t="array" ref="H175">IF(ISNA(MATCH(A175,sheet2!A:A,0)),"⏳ Chưa test",IFERROR(INDEX(LEVEL_HELPER!A:A,MATCH(INDEX(sheet2!N:N,MATCH(A175,sheet2!A:A,0)),LEVEL_HELPER!B:B,0)),"⏳ Chưa test"))</f>
        <v>⏳ Chưa test</v>
      </c>
      <c r="I175" s="73" t="str">
        <f t="array" ref="I175">IF(ISNA(MATCH(A175,sheet2!A:A,0)),H175,IF(INDEX(sheet2!O:O,MATCH(A175,sheet2!A:A,0))&gt;0,IFERROR(INDEX(LEVEL_HELPER!A:A,MATCH(INDEX(sheet2!O:O,MATCH(A175,sheet2!A:A,0)),LEVEL_HELPER!B:B,0)),H175),H175))</f>
        <v>⏳ Chưa test</v>
      </c>
      <c r="J175" s="91">
        <f>IFERROR(MAXIFS(ATTENDANCE_LOG!F:F, ATTENDANCE_LOG!C:C, A175&amp;"", ATTENDANCE_LOG!G:G, "Present"), "")</f>
        <v>0</v>
      </c>
      <c r="K175" s="74" t="str">
        <f t="shared" si="1"/>
        <v/>
      </c>
      <c r="L175" s="75" t="str">
        <f t="shared" si="2"/>
        <v/>
      </c>
      <c r="M175" s="59"/>
      <c r="N175" s="77" t="s">
        <v>35</v>
      </c>
      <c r="O175" s="59"/>
      <c r="P175" s="59"/>
      <c r="Q175" s="59"/>
      <c r="R175" s="59">
        <v>213820.0</v>
      </c>
      <c r="S175" s="59" t="s">
        <v>146</v>
      </c>
      <c r="T175" s="59" t="s">
        <v>33</v>
      </c>
      <c r="U175" s="59" t="str">
        <f>IFERROR(__xludf.DUMMYFUNCTION("arrayformula(vlookup(to_text(R175),to_text($A$4:$B1118),2,0))"),"TRẦN THỊ NI NA")</f>
        <v>TRẦN THỊ NI NA</v>
      </c>
      <c r="V175" s="59"/>
      <c r="W175" s="87"/>
      <c r="X175" s="87"/>
      <c r="Y175" s="87"/>
    </row>
    <row r="176" ht="15.75" customHeight="1">
      <c r="A176" s="67" t="s">
        <v>494</v>
      </c>
      <c r="B176" s="68" t="s">
        <v>495</v>
      </c>
      <c r="C176" s="69" t="str">
        <f>IFERROR(__xludf.DUMMYFUNCTION("arrayformula(VLOOKUP(to_Text(A176),to_Text(sheet2!$A$1:M1002),13,0))"),"LBU")</f>
        <v>LBU</v>
      </c>
      <c r="D176" s="70" t="str">
        <f>IFERROR(__xludf.DUMMYFUNCTION("arrayformula(VLOOKUP(to_Text(A176),to_Text(sheet2!$A$1:M1002),12,0))"),"GSD")</f>
        <v>GSD</v>
      </c>
      <c r="E176" s="68" t="str">
        <f t="shared" ref="E176:E179" si="23">if(L176="⚠ Possibly Dropped","Inactive","Active")</f>
        <v>Active</v>
      </c>
      <c r="F176" s="67" t="str">
        <f t="array" ref="F176">IFERROR(
  INDEX(ATTENDANCE_INPUT!D:D,
    MATCH(1,
      (ATTENDANCE_INPUT!A:A=A176) *
      (ATTENDANCE_INPUT!V:V=MAXIFS(ATTENDANCE_INPUT!V:V, ATTENDANCE_INPUT!A:A, A176)),
      0)),
  "")</f>
        <v>Vinh Nguyen</v>
      </c>
      <c r="G176" s="72" t="str">
        <f t="array" ref="G176">IFERROR(
  INDEX(ATTENDANCE_INPUT!E:E,
    MATCH(1,
      (ATTENDANCE_INPUT!A:A=A176) *
      (ATTENDANCE_INPUT!V:V=MAXIFS(ATTENDANCE_INPUT!V:V, ATTENDANCE_INPUT!A:A, A176)),
      0)),
  "")</f>
        <v>Communication 3</v>
      </c>
      <c r="H176" s="73" t="str">
        <f t="array" ref="H176">IF(ISNA(MATCH(A176,sheet2!A:A,0)),"⏳ Chưa test",IFERROR(INDEX(LEVEL_HELPER!A:A,MATCH(INDEX(sheet2!N:N,MATCH(A176,sheet2!A:A,0)),LEVEL_HELPER!B:B,0)),"⏳ Chưa test"))</f>
        <v>Beginner</v>
      </c>
      <c r="I176" s="73" t="str">
        <f t="array" ref="I176">IF(ISNA(MATCH(A176,sheet2!A:A,0)),H176,IF(INDEX(sheet2!O:O,MATCH(A176,sheet2!A:A,0))&gt;0,IFERROR(INDEX(LEVEL_HELPER!A:A,MATCH(INDEX(sheet2!O:O,MATCH(A176,sheet2!A:A,0)),LEVEL_HELPER!B:B,0)),H176),H176))</f>
        <v>Pre-Intermediate 2</v>
      </c>
      <c r="J176" s="73">
        <f>IFERROR(MAXIFS(ATTENDANCE_LOG!F:F, ATTENDANCE_LOG!C:C, A176&amp;"", ATTENDANCE_LOG!G:G, "Present"), "")</f>
        <v>46135.58333</v>
      </c>
      <c r="K176" s="74" t="str">
        <f t="shared" si="1"/>
        <v/>
      </c>
      <c r="L176" s="75" t="str">
        <f t="shared" si="2"/>
        <v/>
      </c>
      <c r="M176" s="59"/>
      <c r="N176" s="77"/>
      <c r="O176" s="59"/>
      <c r="P176" s="59"/>
      <c r="Q176" s="59"/>
      <c r="R176" s="59"/>
      <c r="S176" s="59"/>
      <c r="T176" s="59"/>
      <c r="U176" s="59"/>
      <c r="V176" s="59"/>
      <c r="W176" s="87"/>
      <c r="X176" s="87"/>
      <c r="Y176" s="87"/>
    </row>
    <row r="177" ht="15.75" customHeight="1">
      <c r="A177" s="67" t="s">
        <v>496</v>
      </c>
      <c r="B177" s="68" t="s">
        <v>497</v>
      </c>
      <c r="C177" s="69" t="str">
        <f>IFERROR(__xludf.DUMMYFUNCTION("arrayformula(VLOOKUP(to_Text(A177),to_Text(sheet2!$A$1:M1002),13,0))"),"ONC")</f>
        <v>ONC</v>
      </c>
      <c r="D177" s="70" t="str">
        <f>IFERROR(__xludf.DUMMYFUNCTION("arrayformula(VLOOKUP(to_Text(A177),to_Text(sheet2!$A$1:M1002),12,0))"),"GSD")</f>
        <v>GSD</v>
      </c>
      <c r="E177" s="68" t="str">
        <f t="shared" si="23"/>
        <v>Inactive</v>
      </c>
      <c r="F177" s="67" t="str">
        <f t="array" ref="F177">IFERROR(
  INDEX(ATTENDANCE_INPUT!D:D,
    MATCH(1,
      (ATTENDANCE_INPUT!A:A=A177) *
      (ATTENDANCE_INPUT!V:V=MAXIFS(ATTENDANCE_INPUT!V:V, ATTENDANCE_INPUT!A:A, A177)),
      0)),
  "")</f>
        <v>Duc Nguyen</v>
      </c>
      <c r="G177" s="72" t="str">
        <f t="array" ref="G177">IFERROR(
  INDEX(ATTENDANCE_INPUT!E:E,
    MATCH(1,
      (ATTENDANCE_INPUT!A:A=A177) *
      (ATTENDANCE_INPUT!V:V=MAXIFS(ATTENDANCE_INPUT!V:V, ATTENDANCE_INPUT!A:A, A177)),
      0)),
  "")</f>
        <v>Communication 1</v>
      </c>
      <c r="H177" s="73" t="str">
        <f t="array" ref="H177">IF(ISNA(MATCH(A177,sheet2!A:A,0)),"⏳ Chưa test",IFERROR(INDEX(LEVEL_HELPER!A:A,MATCH(INDEX(sheet2!N:N,MATCH(A177,sheet2!A:A,0)),LEVEL_HELPER!B:B,0)),"⏳ Chưa test"))</f>
        <v>⏳ Chưa test</v>
      </c>
      <c r="I177" s="73" t="str">
        <f t="array" ref="I177">IF(ISNA(MATCH(A177,sheet2!A:A,0)),H177,IF(INDEX(sheet2!O:O,MATCH(A177,sheet2!A:A,0))&gt;0,IFERROR(INDEX(LEVEL_HELPER!A:A,MATCH(INDEX(sheet2!O:O,MATCH(A177,sheet2!A:A,0)),LEVEL_HELPER!B:B,0)),H177),H177))</f>
        <v>⏳ Chưa test</v>
      </c>
      <c r="J177" s="73">
        <f>IFERROR(MAXIFS(ATTENDANCE_LOG!F:F, ATTENDANCE_LOG!C:C, A177&amp;"", ATTENDANCE_LOG!G:G, "Present"), "")</f>
        <v>45839.58333</v>
      </c>
      <c r="K177" s="74">
        <f t="shared" si="1"/>
        <v>479</v>
      </c>
      <c r="L177" s="75" t="str">
        <f t="shared" si="2"/>
        <v>⚠ Possibly Dropped</v>
      </c>
      <c r="M177" s="80" t="s">
        <v>36</v>
      </c>
      <c r="N177" s="76" t="s">
        <v>42</v>
      </c>
      <c r="O177" s="59"/>
      <c r="P177" s="59"/>
      <c r="Q177" s="59"/>
      <c r="R177" s="59">
        <v>247299.0</v>
      </c>
      <c r="S177" s="59" t="s">
        <v>178</v>
      </c>
      <c r="T177" s="59" t="s">
        <v>179</v>
      </c>
      <c r="U177" s="59" t="str">
        <f>IFERROR(__xludf.DUMMYFUNCTION("arrayformula(vlookup(to_text(R177),to_text($A$4:$B1128),2,0))"),"#N/A")</f>
        <v>#N/A</v>
      </c>
      <c r="V177" s="59"/>
      <c r="W177" s="87"/>
      <c r="X177" s="87"/>
      <c r="Y177" s="87"/>
    </row>
    <row r="178" ht="15.75" customHeight="1">
      <c r="A178" s="67" t="s">
        <v>498</v>
      </c>
      <c r="B178" s="68" t="s">
        <v>499</v>
      </c>
      <c r="C178" s="69" t="str">
        <f>IFERROR(__xludf.DUMMYFUNCTION("arrayformula(VLOOKUP(to_Text(A178),to_Text(sheet2!$A$1:M1002),13,0))"),"LBU")</f>
        <v>LBU</v>
      </c>
      <c r="D178" s="70" t="str">
        <f>IFERROR(__xludf.DUMMYFUNCTION("arrayformula(VLOOKUP(to_Text(A178),to_Text(sheet2!$A$1:M1002),12,0))"),"GSD")</f>
        <v>GSD</v>
      </c>
      <c r="E178" s="68" t="str">
        <f t="shared" si="23"/>
        <v>Active</v>
      </c>
      <c r="F178" s="67" t="str">
        <f t="array" ref="F178">IFERROR(
  INDEX(ATTENDANCE_INPUT!D:D,
    MATCH(1,
      (ATTENDANCE_INPUT!A:A=A178) *
      (ATTENDANCE_INPUT!V:V=MAXIFS(ATTENDANCE_INPUT!V:V, ATTENDANCE_INPUT!A:A, A178)),
      0)),
  "")</f>
        <v>Vinh Nguyen</v>
      </c>
      <c r="G178" s="72" t="str">
        <f t="array" ref="G178">IFERROR(
  INDEX(ATTENDANCE_INPUT!E:E,
    MATCH(1,
      (ATTENDANCE_INPUT!A:A=A178) *
      (ATTENDANCE_INPUT!V:V=MAXIFS(ATTENDANCE_INPUT!V:V, ATTENDANCE_INPUT!A:A, A178)),
      0)),
  "")</f>
        <v>Communication 3</v>
      </c>
      <c r="H178" s="73" t="str">
        <f t="array" ref="H178">IF(ISNA(MATCH(A178,sheet2!A:A,0)),"⏳ Chưa test",IFERROR(INDEX(LEVEL_HELPER!A:A,MATCH(INDEX(sheet2!N:N,MATCH(A178,sheet2!A:A,0)),LEVEL_HELPER!B:B,0)),"⏳ Chưa test"))</f>
        <v>Beginner</v>
      </c>
      <c r="I178" s="73" t="str">
        <f t="array" ref="I178">IF(ISNA(MATCH(A178,sheet2!A:A,0)),H178,IF(INDEX(sheet2!O:O,MATCH(A178,sheet2!A:A,0))&gt;0,IFERROR(INDEX(LEVEL_HELPER!A:A,MATCH(INDEX(sheet2!O:O,MATCH(A178,sheet2!A:A,0)),LEVEL_HELPER!B:B,0)),H178),H178))</f>
        <v>Pre-Intermediate 1</v>
      </c>
      <c r="J178" s="73">
        <f>IFERROR(MAXIFS(ATTENDANCE_LOG!F:F, ATTENDANCE_LOG!C:C, A178&amp;"", ATTENDANCE_LOG!G:G, "Present"), "")</f>
        <v>46135.58333</v>
      </c>
      <c r="K178" s="74" t="str">
        <f t="shared" si="1"/>
        <v/>
      </c>
      <c r="L178" s="75" t="str">
        <f t="shared" si="2"/>
        <v/>
      </c>
      <c r="M178" s="59"/>
      <c r="N178" s="77"/>
      <c r="O178" s="59"/>
      <c r="P178" s="59"/>
      <c r="Q178" s="59"/>
      <c r="R178" s="59"/>
      <c r="S178" s="59"/>
      <c r="T178" s="59"/>
      <c r="U178" s="59"/>
      <c r="V178" s="59"/>
      <c r="W178" s="87"/>
      <c r="X178" s="87"/>
      <c r="Y178" s="87"/>
    </row>
    <row r="179" ht="15.75" customHeight="1">
      <c r="A179" s="67" t="s">
        <v>500</v>
      </c>
      <c r="B179" s="68" t="s">
        <v>501</v>
      </c>
      <c r="C179" s="69" t="str">
        <f>IFERROR(__xludf.DUMMYFUNCTION("arrayformula(VLOOKUP(to_Text(A179),to_Text(sheet2!$A$1:M1002),13,0))"),"POC")</f>
        <v>POC</v>
      </c>
      <c r="D179" s="70" t="str">
        <f>IFERROR(__xludf.DUMMYFUNCTION("arrayformula(VLOOKUP(to_Text(A179),to_Text(sheet2!$A$1:M1002),12,0))"),"BA")</f>
        <v>BA</v>
      </c>
      <c r="E179" s="68" t="str">
        <f t="shared" si="23"/>
        <v>Active</v>
      </c>
      <c r="F179" s="67" t="str">
        <f t="array" ref="F179">IFERROR(
  INDEX(ATTENDANCE_INPUT!D:D,
    MATCH(1,
      (ATTENDANCE_INPUT!A:A=A179) *
      (ATTENDANCE_INPUT!V:V=MAXIFS(ATTENDANCE_INPUT!V:V, ATTENDANCE_INPUT!A:A, A179)),
      0)),
  "")</f>
        <v>Phu Nguyen</v>
      </c>
      <c r="G179" s="72" t="str">
        <f t="array" ref="G179">IFERROR(
  INDEX(ATTENDANCE_INPUT!E:E,
    MATCH(1,
      (ATTENDANCE_INPUT!A:A=A179) *
      (ATTENDANCE_INPUT!V:V=MAXIFS(ATTENDANCE_INPUT!V:V, ATTENDANCE_INPUT!A:A, A179)),
      0)),
  "")</f>
        <v>Communication 1</v>
      </c>
      <c r="H179" s="73" t="str">
        <f t="array" ref="H179">IF(ISNA(MATCH(A179,sheet2!A:A,0)),"⏳ Chưa test",IFERROR(INDEX(LEVEL_HELPER!A:A,MATCH(INDEX(sheet2!N:N,MATCH(A179,sheet2!A:A,0)),LEVEL_HELPER!B:B,0)),"⏳ Chưa test"))</f>
        <v>Beginner</v>
      </c>
      <c r="I179" s="73" t="str">
        <f t="array" ref="I179">IF(ISNA(MATCH(A179,sheet2!A:A,0)),H179,IF(INDEX(sheet2!O:O,MATCH(A179,sheet2!A:A,0))&gt;0,IFERROR(INDEX(LEVEL_HELPER!A:A,MATCH(INDEX(sheet2!O:O,MATCH(A179,sheet2!A:A,0)),LEVEL_HELPER!B:B,0)),H179),H179))</f>
        <v>Beginner</v>
      </c>
      <c r="J179" s="91">
        <f>IFERROR(MAXIFS(ATTENDANCE_LOG!F:F, ATTENDANCE_LOG!C:C, A179&amp;"", ATTENDANCE_LOG!G:G, "Present"), "")</f>
        <v>0</v>
      </c>
      <c r="K179" s="74" t="str">
        <f t="shared" si="1"/>
        <v/>
      </c>
      <c r="L179" s="75" t="str">
        <f t="shared" si="2"/>
        <v/>
      </c>
      <c r="M179" s="59"/>
      <c r="N179" s="77"/>
      <c r="O179" s="59"/>
      <c r="P179" s="59"/>
      <c r="Q179" s="59"/>
      <c r="R179" s="59"/>
      <c r="S179" s="59"/>
      <c r="T179" s="59"/>
      <c r="U179" s="59"/>
      <c r="V179" s="59"/>
      <c r="W179" s="87"/>
      <c r="X179" s="87"/>
      <c r="Y179" s="87"/>
    </row>
    <row r="180" ht="15.75" customHeight="1">
      <c r="A180" s="67" t="s">
        <v>502</v>
      </c>
      <c r="B180" s="68" t="s">
        <v>503</v>
      </c>
      <c r="C180" s="69" t="str">
        <f>IFERROR(__xludf.DUMMYFUNCTION("arrayformula(VLOOKUP(to_Text(A180),to_Text(sheet2!$A$1:M1002),13,0))"),"LBU")</f>
        <v>LBU</v>
      </c>
      <c r="D180" s="70" t="str">
        <f>IFERROR(__xludf.DUMMYFUNCTION("arrayformula(VLOOKUP(to_Text(A180),to_Text(sheet2!$A$1:M1002),12,0))"),"GSD")</f>
        <v>GSD</v>
      </c>
      <c r="E180" s="71" t="s">
        <v>16</v>
      </c>
      <c r="F180" s="67" t="str">
        <f t="array" ref="F180">IFERROR(
  INDEX(ATTENDANCE_INPUT!D:D,
    MATCH(1,
      (ATTENDANCE_INPUT!A:A=A180) *
      (ATTENDANCE_INPUT!V:V=MAXIFS(ATTENDANCE_INPUT!V:V, ATTENDANCE_INPUT!A:A, A180)),
      0)),
  "")</f>
        <v>Quyen Nguyen</v>
      </c>
      <c r="G180" s="72" t="str">
        <f t="array" ref="G180">IFERROR(
  INDEX(ATTENDANCE_INPUT!E:E,
    MATCH(1,
      (ATTENDANCE_INPUT!A:A=A180) *
      (ATTENDANCE_INPUT!V:V=MAXIFS(ATTENDANCE_INPUT!V:V, ATTENDANCE_INPUT!A:A, A180)),
      0)),
  "")</f>
        <v>Communication 1</v>
      </c>
      <c r="H180" s="73" t="str">
        <f t="array" ref="H180">IF(ISNA(MATCH(A180,sheet2!A:A,0)),"⏳ Chưa test",IFERROR(INDEX(LEVEL_HELPER!A:A,MATCH(INDEX(sheet2!N:N,MATCH(A180,sheet2!A:A,0)),LEVEL_HELPER!B:B,0)),"⏳ Chưa test"))</f>
        <v>Pre-Intermediate 1</v>
      </c>
      <c r="I180" s="73" t="str">
        <f t="array" ref="I180">IF(ISNA(MATCH(A180,sheet2!A:A,0)),H180,IF(INDEX(sheet2!O:O,MATCH(A180,sheet2!A:A,0))&gt;0,IFERROR(INDEX(LEVEL_HELPER!A:A,MATCH(INDEX(sheet2!O:O,MATCH(A180,sheet2!A:A,0)),LEVEL_HELPER!B:B,0)),H180),H180))</f>
        <v>Pre-Intermediate 1</v>
      </c>
      <c r="J180" s="73">
        <f>IFERROR(MAXIFS(ATTENDANCE_LOG!F:F, ATTENDANCE_LOG!C:C, A180&amp;"", ATTENDANCE_LOG!G:G, "Present"), "")</f>
        <v>46094.54167</v>
      </c>
      <c r="K180" s="74" t="str">
        <f t="shared" si="1"/>
        <v/>
      </c>
      <c r="L180" s="75" t="str">
        <f t="shared" si="2"/>
        <v/>
      </c>
      <c r="M180" s="59" t="s">
        <v>36</v>
      </c>
      <c r="N180" s="77" t="s">
        <v>33</v>
      </c>
      <c r="O180" s="59"/>
      <c r="P180" s="59"/>
      <c r="Q180" s="59"/>
      <c r="R180" s="59"/>
      <c r="S180" s="59"/>
      <c r="T180" s="59"/>
      <c r="U180" s="59"/>
      <c r="V180" s="59"/>
      <c r="W180" s="87"/>
      <c r="X180" s="87"/>
      <c r="Y180" s="87"/>
    </row>
    <row r="181" ht="15.75" customHeight="1">
      <c r="A181" s="67" t="s">
        <v>504</v>
      </c>
      <c r="B181" s="68" t="s">
        <v>505</v>
      </c>
      <c r="C181" s="69" t="str">
        <f>IFERROR(__xludf.DUMMYFUNCTION("arrayformula(VLOOKUP(to_Text(A181),to_Text(sheet2!$A$1:M1002),13,0))"),"CHORUS")</f>
        <v>CHORUS</v>
      </c>
      <c r="D181" s="70" t="str">
        <f>IFERROR(__xludf.DUMMYFUNCTION("arrayformula(VLOOKUP(to_Text(A181),to_Text(sheet2!$A$1:M1002),12,0))"),"DEV")</f>
        <v>DEV</v>
      </c>
      <c r="E181" s="71" t="s">
        <v>16</v>
      </c>
      <c r="F181" s="67" t="str">
        <f t="array" ref="F181">IFERROR(
  INDEX(ATTENDANCE_INPUT!D:D,
    MATCH(1,
      (ATTENDANCE_INPUT!A:A=A181) *
      (ATTENDANCE_INPUT!V:V=MAXIFS(ATTENDANCE_INPUT!V:V, ATTENDANCE_INPUT!A:A, A181)),
      0)),
  "")</f>
        <v>Huy Tran 1</v>
      </c>
      <c r="G181" s="72" t="str">
        <f t="array" ref="G181">IFERROR(
  INDEX(ATTENDANCE_INPUT!E:E,
    MATCH(1,
      (ATTENDANCE_INPUT!A:A=A181) *
      (ATTENDANCE_INPUT!V:V=MAXIFS(ATTENDANCE_INPUT!V:V, ATTENDANCE_INPUT!A:A, A181)),
      0)),
  "")</f>
        <v>Communication 2</v>
      </c>
      <c r="H181" s="73" t="str">
        <f t="array" ref="H181">IF(ISNA(MATCH(A181,sheet2!A:A,0)),"⏳ Chưa test",IFERROR(INDEX(LEVEL_HELPER!A:A,MATCH(INDEX(sheet2!N:N,MATCH(A181,sheet2!A:A,0)),LEVEL_HELPER!B:B,0)),"⏳ Chưa test"))</f>
        <v>Beginner</v>
      </c>
      <c r="I181" s="73" t="str">
        <f t="array" ref="I181">IF(ISNA(MATCH(A181,sheet2!A:A,0)),H181,IF(INDEX(sheet2!O:O,MATCH(A181,sheet2!A:A,0))&gt;0,IFERROR(INDEX(LEVEL_HELPER!A:A,MATCH(INDEX(sheet2!O:O,MATCH(A181,sheet2!A:A,0)),LEVEL_HELPER!B:B,0)),H181),H181))</f>
        <v>Beginner</v>
      </c>
      <c r="J181" s="73">
        <f>IFERROR(MAXIFS(ATTENDANCE_LOG!F:F, ATTENDANCE_LOG!C:C, A181&amp;"", ATTENDANCE_LOG!G:G, "Present"), "")</f>
        <v>45853.375</v>
      </c>
      <c r="K181" s="74" t="str">
        <f t="shared" si="1"/>
        <v/>
      </c>
      <c r="L181" s="75" t="str">
        <f t="shared" si="2"/>
        <v/>
      </c>
      <c r="M181" s="59" t="s">
        <v>36</v>
      </c>
      <c r="N181" s="77" t="s">
        <v>33</v>
      </c>
      <c r="O181" s="59"/>
      <c r="P181" s="59"/>
      <c r="Q181" s="59"/>
      <c r="R181" s="59"/>
      <c r="S181" s="59"/>
      <c r="T181" s="59"/>
      <c r="U181" s="59"/>
      <c r="V181" s="59"/>
      <c r="W181" s="87"/>
      <c r="X181" s="87"/>
      <c r="Y181" s="87"/>
    </row>
    <row r="182" ht="15.75" customHeight="1">
      <c r="A182" s="67" t="s">
        <v>506</v>
      </c>
      <c r="B182" s="68" t="s">
        <v>507</v>
      </c>
      <c r="C182" s="69" t="str">
        <f>IFERROR(__xludf.DUMMYFUNCTION("arrayformula(VLOOKUP(to_Text(A182),to_Text(sheet2!$A$1:M1002),13,0))"),"CHORUS")</f>
        <v>CHORUS</v>
      </c>
      <c r="D182" s="70" t="str">
        <f>IFERROR(__xludf.DUMMYFUNCTION("arrayformula(VLOOKUP(to_Text(A182),to_Text(sheet2!$A$1:M1002),12,0))"),"TA")</f>
        <v>TA</v>
      </c>
      <c r="E182" s="71" t="s">
        <v>16</v>
      </c>
      <c r="F182" s="67" t="str">
        <f t="array" ref="F182">IFERROR(
  INDEX(ATTENDANCE_INPUT!D:D,
    MATCH(1,
      (ATTENDANCE_INPUT!A:A=A182) *
      (ATTENDANCE_INPUT!V:V=MAXIFS(ATTENDANCE_INPUT!V:V, ATTENDANCE_INPUT!A:A, A182)),
      0)),
  "")</f>
        <v>Buu Do 1</v>
      </c>
      <c r="G182" s="72" t="str">
        <f t="array" ref="G182">IFERROR(
  INDEX(ATTENDANCE_INPUT!E:E,
    MATCH(1,
      (ATTENDANCE_INPUT!A:A=A182) *
      (ATTENDANCE_INPUT!V:V=MAXIFS(ATTENDANCE_INPUT!V:V, ATTENDANCE_INPUT!A:A, A182)),
      0)),
  "")</f>
        <v>Communication 1</v>
      </c>
      <c r="H182" s="73" t="str">
        <f t="array" ref="H182">IF(ISNA(MATCH(A182,sheet2!A:A,0)),"⏳ Chưa test",IFERROR(INDEX(LEVEL_HELPER!A:A,MATCH(INDEX(sheet2!N:N,MATCH(A182,sheet2!A:A,0)),LEVEL_HELPER!B:B,0)),"⏳ Chưa test"))</f>
        <v>Beginner</v>
      </c>
      <c r="I182" s="73" t="str">
        <f t="array" ref="I182">IF(ISNA(MATCH(A182,sheet2!A:A,0)),H182,IF(INDEX(sheet2!O:O,MATCH(A182,sheet2!A:A,0))&gt;0,IFERROR(INDEX(LEVEL_HELPER!A:A,MATCH(INDEX(sheet2!O:O,MATCH(A182,sheet2!A:A,0)),LEVEL_HELPER!B:B,0)),H182),H182))</f>
        <v>Beginner</v>
      </c>
      <c r="J182" s="73">
        <f>IFERROR(MAXIFS(ATTENDANCE_LOG!F:F, ATTENDANCE_LOG!C:C, A182&amp;"", ATTENDANCE_LOG!G:G, "Present"), "")</f>
        <v>45827.58333</v>
      </c>
      <c r="K182" s="74" t="str">
        <f t="shared" si="1"/>
        <v/>
      </c>
      <c r="L182" s="75" t="str">
        <f t="shared" si="2"/>
        <v/>
      </c>
      <c r="M182" s="59" t="s">
        <v>34</v>
      </c>
      <c r="N182" s="77" t="s">
        <v>33</v>
      </c>
      <c r="O182" s="59"/>
      <c r="P182" s="59"/>
      <c r="Q182" s="59"/>
      <c r="R182" s="59">
        <v>213885.0</v>
      </c>
      <c r="S182" s="59" t="s">
        <v>172</v>
      </c>
      <c r="T182" s="59" t="s">
        <v>39</v>
      </c>
      <c r="U182" s="59" t="e">
        <v>#N/A</v>
      </c>
      <c r="V182" s="59"/>
      <c r="W182" s="87"/>
      <c r="X182" s="87"/>
      <c r="Y182" s="87"/>
    </row>
    <row r="183" ht="15.75" customHeight="1">
      <c r="A183" s="67" t="s">
        <v>508</v>
      </c>
      <c r="B183" s="68" t="s">
        <v>509</v>
      </c>
      <c r="C183" s="69" t="str">
        <f>IFERROR(__xludf.DUMMYFUNCTION("arrayformula(VLOOKUP(to_Text(A183),to_Text(sheet2!$A$1:M1002),13,0))"),"MOC")</f>
        <v>MOC</v>
      </c>
      <c r="D183" s="70" t="str">
        <f>IFERROR(__xludf.DUMMYFUNCTION("arrayformula(VLOOKUP(to_Text(A183),to_Text(sheet2!$A$1:M1002),12,0))"),"GSD")</f>
        <v>GSD</v>
      </c>
      <c r="E183" s="71" t="s">
        <v>16</v>
      </c>
      <c r="F183" s="67" t="str">
        <f t="array" ref="F183">IFERROR(
  INDEX(ATTENDANCE_INPUT!D:D,
    MATCH(1,
      (ATTENDANCE_INPUT!A:A=A183) *
      (ATTENDANCE_INPUT!V:V=MAXIFS(ATTENDANCE_INPUT!V:V, ATTENDANCE_INPUT!A:A, A183)),
      0)),
  "")</f>
        <v>Thuong Tran</v>
      </c>
      <c r="G183" s="72" t="str">
        <f t="array" ref="G183">IFERROR(
  INDEX(ATTENDANCE_INPUT!E:E,
    MATCH(1,
      (ATTENDANCE_INPUT!A:A=A183) *
      (ATTENDANCE_INPUT!V:V=MAXIFS(ATTENDANCE_INPUT!V:V, ATTENDANCE_INPUT!A:A, A183)),
      0)),
  "")</f>
        <v>Business English</v>
      </c>
      <c r="H183" s="73" t="str">
        <f t="array" ref="H183">IF(ISNA(MATCH(A183,sheet2!A:A,0)),"⏳ Chưa test",IFERROR(INDEX(LEVEL_HELPER!A:A,MATCH(INDEX(sheet2!N:N,MATCH(A183,sheet2!A:A,0)),LEVEL_HELPER!B:B,0)),"⏳ Chưa test"))</f>
        <v>Beginner</v>
      </c>
      <c r="I183" s="73" t="str">
        <f t="array" ref="I183">IF(ISNA(MATCH(A183,sheet2!A:A,0)),H183,IF(INDEX(sheet2!O:O,MATCH(A183,sheet2!A:A,0))&gt;0,IFERROR(INDEX(LEVEL_HELPER!A:A,MATCH(INDEX(sheet2!O:O,MATCH(A183,sheet2!A:A,0)),LEVEL_HELPER!B:B,0)),H183),H183))</f>
        <v>Intermediate 2</v>
      </c>
      <c r="J183" s="73">
        <f>IFERROR(MAXIFS(ATTENDANCE_LOG!F:F, ATTENDANCE_LOG!C:C, A183&amp;"", ATTENDANCE_LOG!G:G, "Present"), "")</f>
        <v>46119.54167</v>
      </c>
      <c r="K183" s="74">
        <f t="shared" si="1"/>
        <v>-64</v>
      </c>
      <c r="L183" s="75" t="str">
        <f t="shared" si="2"/>
        <v/>
      </c>
      <c r="M183" s="80" t="s">
        <v>36</v>
      </c>
      <c r="N183" s="76" t="s">
        <v>42</v>
      </c>
      <c r="O183" s="59"/>
      <c r="P183" s="59"/>
      <c r="Q183" s="59"/>
      <c r="R183" s="59"/>
      <c r="S183" s="59"/>
      <c r="T183" s="59"/>
      <c r="U183" s="59"/>
      <c r="V183" s="59"/>
      <c r="W183" s="87"/>
      <c r="X183" s="87"/>
      <c r="Y183" s="87"/>
    </row>
    <row r="184" ht="15.75" customHeight="1">
      <c r="A184" s="67" t="s">
        <v>510</v>
      </c>
      <c r="B184" s="68" t="s">
        <v>511</v>
      </c>
      <c r="C184" s="69" t="str">
        <f>IFERROR(__xludf.DUMMYFUNCTION("arrayformula(VLOOKUP(to_Text(A184),to_Text(sheet2!$A$1:M1002),13,0))"),"ONC")</f>
        <v>ONC</v>
      </c>
      <c r="D184" s="70" t="str">
        <f>IFERROR(__xludf.DUMMYFUNCTION("arrayformula(VLOOKUP(to_Text(A184),to_Text(sheet2!$A$1:M1002),12,0))"),"DEV")</f>
        <v>DEV</v>
      </c>
      <c r="E184" s="68" t="str">
        <f>if(L184="⚠ Possibly Dropped","Inactive","Active")</f>
        <v>Inactive</v>
      </c>
      <c r="F184" s="67" t="str">
        <f t="array" ref="F184">IFERROR(
  INDEX(ATTENDANCE_INPUT!D:D,
    MATCH(1,
      (ATTENDANCE_INPUT!A:A=A184) *
      (ATTENDANCE_INPUT!V:V=MAXIFS(ATTENDANCE_INPUT!V:V, ATTENDANCE_INPUT!A:A, A184)),
      0)),
  "")</f>
        <v>Cuong Nguyen</v>
      </c>
      <c r="G184" s="72" t="str">
        <f t="array" ref="G184">IFERROR(
  INDEX(ATTENDANCE_INPUT!E:E,
    MATCH(1,
      (ATTENDANCE_INPUT!A:A=A184) *
      (ATTENDANCE_INPUT!V:V=MAXIFS(ATTENDANCE_INPUT!V:V, ATTENDANCE_INPUT!A:A, A184)),
      0)),
  "")</f>
        <v>Communication 2</v>
      </c>
      <c r="H184" s="73" t="str">
        <f t="array" ref="H184">IF(ISNA(MATCH(A184,sheet2!A:A,0)),"⏳ Chưa test",IFERROR(INDEX(LEVEL_HELPER!A:A,MATCH(INDEX(sheet2!N:N,MATCH(A184,sheet2!A:A,0)),LEVEL_HELPER!B:B,0)),"⏳ Chưa test"))</f>
        <v>Pre-Intermediate</v>
      </c>
      <c r="I184" s="73" t="str">
        <f t="array" ref="I184">IF(ISNA(MATCH(A184,sheet2!A:A,0)),H184,IF(INDEX(sheet2!O:O,MATCH(A184,sheet2!A:A,0))&gt;0,IFERROR(INDEX(LEVEL_HELPER!A:A,MATCH(INDEX(sheet2!O:O,MATCH(A184,sheet2!A:A,0)),LEVEL_HELPER!B:B,0)),H184),H184))</f>
        <v>Intermediate 1</v>
      </c>
      <c r="J184" s="73">
        <f>IFERROR(MAXIFS(ATTENDANCE_LOG!F:F, ATTENDANCE_LOG!C:C, A184&amp;"", ATTENDANCE_LOG!G:G, "Present"), "")</f>
        <v>46084.41667</v>
      </c>
      <c r="K184" s="74">
        <f t="shared" si="1"/>
        <v>59</v>
      </c>
      <c r="L184" s="75" t="str">
        <f t="shared" si="2"/>
        <v>⚠ Possibly Dropped</v>
      </c>
      <c r="M184" s="80" t="s">
        <v>34</v>
      </c>
      <c r="N184" s="76" t="s">
        <v>42</v>
      </c>
      <c r="O184" s="59"/>
      <c r="P184" s="59"/>
      <c r="Q184" s="59"/>
      <c r="R184" s="59">
        <v>227003.0</v>
      </c>
      <c r="S184" s="59" t="s">
        <v>354</v>
      </c>
      <c r="T184" s="59" t="s">
        <v>179</v>
      </c>
      <c r="U184" s="59" t="e">
        <v>#N/A</v>
      </c>
      <c r="V184" s="59"/>
      <c r="W184" s="87"/>
      <c r="X184" s="87"/>
      <c r="Y184" s="87"/>
    </row>
    <row r="185" ht="15.75" customHeight="1">
      <c r="A185" s="67" t="s">
        <v>512</v>
      </c>
      <c r="B185" s="68" t="s">
        <v>513</v>
      </c>
      <c r="C185" s="69" t="str">
        <f>IFERROR(__xludf.DUMMYFUNCTION("arrayformula(VLOOKUP(to_Text(A185),to_Text(sheet2!$A$1:M1002),13,0))"),"MOC")</f>
        <v>MOC</v>
      </c>
      <c r="D185" s="70" t="str">
        <f>IFERROR(__xludf.DUMMYFUNCTION("arrayformula(VLOOKUP(to_Text(A185),to_Text(sheet2!$A$1:M1002),12,0))"),"DEV")</f>
        <v>DEV</v>
      </c>
      <c r="E185" s="71" t="s">
        <v>16</v>
      </c>
      <c r="F185" s="67" t="str">
        <f t="array" ref="F185">IFERROR(
  INDEX(ATTENDANCE_INPUT!D:D,
    MATCH(1,
      (ATTENDANCE_INPUT!A:A=A185) *
      (ATTENDANCE_INPUT!V:V=MAXIFS(ATTENDANCE_INPUT!V:V, ATTENDANCE_INPUT!A:A, A185)),
      0)),
  "")</f>
        <v>Van Nguyen</v>
      </c>
      <c r="G185" s="72" t="str">
        <f t="array" ref="G185">IFERROR(
  INDEX(ATTENDANCE_INPUT!E:E,
    MATCH(1,
      (ATTENDANCE_INPUT!A:A=A185) *
      (ATTENDANCE_INPUT!V:V=MAXIFS(ATTENDANCE_INPUT!V:V, ATTENDANCE_INPUT!A:A, A185)),
      0)),
  "")</f>
        <v>Communication 2</v>
      </c>
      <c r="H185" s="73" t="str">
        <f t="array" ref="H185">IF(ISNA(MATCH(A185,sheet2!A:A,0)),"⏳ Chưa test",IFERROR(INDEX(LEVEL_HELPER!A:A,MATCH(INDEX(sheet2!N:N,MATCH(A185,sheet2!A:A,0)),LEVEL_HELPER!B:B,0)),"⏳ Chưa test"))</f>
        <v>Beginner</v>
      </c>
      <c r="I185" s="73" t="str">
        <f t="array" ref="I185">IF(ISNA(MATCH(A185,sheet2!A:A,0)),H185,IF(INDEX(sheet2!O:O,MATCH(A185,sheet2!A:A,0))&gt;0,IFERROR(INDEX(LEVEL_HELPER!A:A,MATCH(INDEX(sheet2!O:O,MATCH(A185,sheet2!A:A,0)),LEVEL_HELPER!B:B,0)),H185),H185))</f>
        <v>Pre-Intermediate</v>
      </c>
      <c r="J185" s="73">
        <f>IFERROR(MAXIFS(ATTENDANCE_LOG!F:F, ATTENDANCE_LOG!C:C, A185&amp;"", ATTENDANCE_LOG!G:G, "Present"), "")</f>
        <v>45974.45833</v>
      </c>
      <c r="K185" s="74" t="str">
        <f t="shared" si="1"/>
        <v/>
      </c>
      <c r="L185" s="75" t="str">
        <f t="shared" si="2"/>
        <v/>
      </c>
      <c r="M185" s="59" t="s">
        <v>34</v>
      </c>
      <c r="N185" s="77" t="s">
        <v>33</v>
      </c>
      <c r="O185" s="59"/>
      <c r="P185" s="59"/>
      <c r="Q185" s="59"/>
      <c r="R185" s="59"/>
      <c r="S185" s="59"/>
      <c r="T185" s="59"/>
      <c r="U185" s="59"/>
      <c r="V185" s="59"/>
      <c r="W185" s="87"/>
      <c r="X185" s="87"/>
      <c r="Y185" s="87"/>
    </row>
    <row r="186" ht="15.75" customHeight="1">
      <c r="A186" s="67" t="s">
        <v>514</v>
      </c>
      <c r="B186" s="68" t="s">
        <v>515</v>
      </c>
      <c r="C186" s="69" t="str">
        <f>IFERROR(__xludf.DUMMYFUNCTION("arrayformula(VLOOKUP(to_Text(A186),to_Text(sheet2!$A$1:M1002),13,0))"),"TBU")</f>
        <v>TBU</v>
      </c>
      <c r="D186" s="70" t="str">
        <f>IFERROR(__xludf.DUMMYFUNCTION("arrayformula(VLOOKUP(to_Text(A186),to_Text(sheet2!$A$1:M1002),12,0))"),"DEV")</f>
        <v>DEV</v>
      </c>
      <c r="E186" s="71" t="s">
        <v>16</v>
      </c>
      <c r="F186" s="67" t="str">
        <f t="array" ref="F186">IFERROR(
  INDEX(ATTENDANCE_INPUT!D:D,
    MATCH(1,
      (ATTENDANCE_INPUT!A:A=A186) *
      (ATTENDANCE_INPUT!V:V=MAXIFS(ATTENDANCE_INPUT!V:V, ATTENDANCE_INPUT!A:A, A186)),
      0)),
  "")</f>
        <v>Minh Nguyen</v>
      </c>
      <c r="G186" s="72" t="str">
        <f t="array" ref="G186">IFERROR(
  INDEX(ATTENDANCE_INPUT!E:E,
    MATCH(1,
      (ATTENDANCE_INPUT!A:A=A186) *
      (ATTENDANCE_INPUT!V:V=MAXIFS(ATTENDANCE_INPUT!V:V, ATTENDANCE_INPUT!A:A, A186)),
      0)),
  "")</f>
        <v>Communication 1</v>
      </c>
      <c r="H186" s="73" t="str">
        <f t="array" ref="H186">IF(ISNA(MATCH(A186,sheet2!A:A,0)),"⏳ Chưa test",IFERROR(INDEX(LEVEL_HELPER!A:A,MATCH(INDEX(sheet2!N:N,MATCH(A186,sheet2!A:A,0)),LEVEL_HELPER!B:B,0)),"⏳ Chưa test"))</f>
        <v>⏳ Chưa test</v>
      </c>
      <c r="I186" s="73" t="str">
        <f t="array" ref="I186">IF(ISNA(MATCH(A186,sheet2!A:A,0)),H186,IF(INDEX(sheet2!O:O,MATCH(A186,sheet2!A:A,0))&gt;0,IFERROR(INDEX(LEVEL_HELPER!A:A,MATCH(INDEX(sheet2!O:O,MATCH(A186,sheet2!A:A,0)),LEVEL_HELPER!B:B,0)),H186),H186))</f>
        <v>⏳ Chưa test</v>
      </c>
      <c r="J186" s="73">
        <f>IFERROR(MAXIFS(ATTENDANCE_LOG!F:F, ATTENDANCE_LOG!C:C, A186&amp;"", ATTENDANCE_LOG!G:G, "Present"), "")</f>
        <v>45705.58333</v>
      </c>
      <c r="K186" s="74" t="str">
        <f t="shared" si="1"/>
        <v/>
      </c>
      <c r="L186" s="75" t="str">
        <f t="shared" si="2"/>
        <v/>
      </c>
      <c r="M186" s="80" t="s">
        <v>36</v>
      </c>
      <c r="N186" s="77" t="s">
        <v>33</v>
      </c>
      <c r="O186" s="59"/>
      <c r="P186" s="59"/>
      <c r="Q186" s="59"/>
      <c r="R186" s="59"/>
      <c r="S186" s="59"/>
      <c r="T186" s="59"/>
      <c r="U186" s="59"/>
      <c r="V186" s="59"/>
      <c r="W186" s="87"/>
      <c r="X186" s="87"/>
      <c r="Y186" s="87"/>
    </row>
    <row r="187" ht="15.75" customHeight="1">
      <c r="A187" s="67" t="s">
        <v>516</v>
      </c>
      <c r="B187" s="68" t="s">
        <v>517</v>
      </c>
      <c r="C187" s="69" t="str">
        <f>IFERROR(__xludf.DUMMYFUNCTION("arrayformula(VLOOKUP(to_Text(A187),to_Text(sheet2!$A$1:M1002),13,0))"),"POC")</f>
        <v>POC</v>
      </c>
      <c r="D187" s="70" t="str">
        <f>IFERROR(__xludf.DUMMYFUNCTION("arrayformula(VLOOKUP(to_Text(A187),to_Text(sheet2!$A$1:M1002),12,0))"),"GSD")</f>
        <v>GSD</v>
      </c>
      <c r="E187" s="68" t="str">
        <f>if(L187="⚠ Possibly Dropped","Inactive","Active")</f>
        <v>Active</v>
      </c>
      <c r="F187" s="67" t="str">
        <f t="array" ref="F187">IFERROR(
  INDEX(ATTENDANCE_INPUT!D:D,
    MATCH(1,
      (ATTENDANCE_INPUT!A:A=A187) *
      (ATTENDANCE_INPUT!V:V=MAXIFS(ATTENDANCE_INPUT!V:V, ATTENDANCE_INPUT!A:A, A187)),
      0)),
  "")</f>
        <v>Trang Nguyen</v>
      </c>
      <c r="G187" s="72" t="str">
        <f t="array" ref="G187">IFERROR(
  INDEX(ATTENDANCE_INPUT!E:E,
    MATCH(1,
      (ATTENDANCE_INPUT!A:A=A187) *
      (ATTENDANCE_INPUT!V:V=MAXIFS(ATTENDANCE_INPUT!V:V, ATTENDANCE_INPUT!A:A, A187)),
      0)),
  "")</f>
        <v>Communication 1</v>
      </c>
      <c r="H187" s="73" t="str">
        <f t="array" ref="H187">IF(ISNA(MATCH(A187,sheet2!A:A,0)),"⏳ Chưa test",IFERROR(INDEX(LEVEL_HELPER!A:A,MATCH(INDEX(sheet2!N:N,MATCH(A187,sheet2!A:A,0)),LEVEL_HELPER!B:B,0)),"⏳ Chưa test"))</f>
        <v>Foundation</v>
      </c>
      <c r="I187" s="73" t="str">
        <f t="array" ref="I187">IF(ISNA(MATCH(A187,sheet2!A:A,0)),H187,IF(INDEX(sheet2!O:O,MATCH(A187,sheet2!A:A,0))&gt;0,IFERROR(INDEX(LEVEL_HELPER!A:A,MATCH(INDEX(sheet2!O:O,MATCH(A187,sheet2!A:A,0)),LEVEL_HELPER!B:B,0)),H187),H187))</f>
        <v>Foundation</v>
      </c>
      <c r="J187" s="73">
        <f>IFERROR(MAXIFS(ATTENDANCE_LOG!F:F, ATTENDANCE_LOG!C:C, A187&amp;"", ATTENDANCE_LOG!G:G, "Present"), "")</f>
        <v>46129.625</v>
      </c>
      <c r="K187" s="74" t="str">
        <f t="shared" si="1"/>
        <v/>
      </c>
      <c r="L187" s="75" t="str">
        <f t="shared" si="2"/>
        <v/>
      </c>
      <c r="M187" s="59"/>
      <c r="N187" s="77"/>
      <c r="O187" s="59"/>
      <c r="P187" s="59"/>
      <c r="Q187" s="59"/>
      <c r="R187" s="59"/>
      <c r="S187" s="59"/>
      <c r="T187" s="59"/>
      <c r="U187" s="59"/>
      <c r="V187" s="59"/>
      <c r="W187" s="87"/>
      <c r="X187" s="87"/>
      <c r="Y187" s="87"/>
    </row>
    <row r="188" ht="15.75" customHeight="1">
      <c r="A188" s="67" t="s">
        <v>518</v>
      </c>
      <c r="B188" s="68" t="s">
        <v>519</v>
      </c>
      <c r="C188" s="69" t="str">
        <f>IFERROR(__xludf.DUMMYFUNCTION("arrayformula(VLOOKUP(to_Text(A188),to_Text(sheet2!$A$1:M1002),13,0))"),"TBU")</f>
        <v>TBU</v>
      </c>
      <c r="D188" s="70" t="str">
        <f>IFERROR(__xludf.DUMMYFUNCTION("arrayformula(VLOOKUP(to_Text(A188),to_Text(sheet2!$A$1:M1002),12,0))"),"DEV")</f>
        <v>DEV</v>
      </c>
      <c r="E188" s="71" t="s">
        <v>16</v>
      </c>
      <c r="F188" s="67" t="str">
        <f t="array" ref="F188">IFERROR(
  INDEX(ATTENDANCE_INPUT!D:D,
    MATCH(1,
      (ATTENDANCE_INPUT!A:A=A188) *
      (ATTENDANCE_INPUT!V:V=MAXIFS(ATTENDANCE_INPUT!V:V, ATTENDANCE_INPUT!A:A, A188)),
      0)),
  "")</f>
        <v>Minh Nguyen</v>
      </c>
      <c r="G188" s="72" t="str">
        <f t="array" ref="G188">IFERROR(
  INDEX(ATTENDANCE_INPUT!E:E,
    MATCH(1,
      (ATTENDANCE_INPUT!A:A=A188) *
      (ATTENDANCE_INPUT!V:V=MAXIFS(ATTENDANCE_INPUT!V:V, ATTENDANCE_INPUT!A:A, A188)),
      0)),
  "")</f>
        <v>Communication 1</v>
      </c>
      <c r="H188" s="73" t="str">
        <f t="array" ref="H188">IF(ISNA(MATCH(A188,sheet2!A:A,0)),"⏳ Chưa test",IFERROR(INDEX(LEVEL_HELPER!A:A,MATCH(INDEX(sheet2!N:N,MATCH(A188,sheet2!A:A,0)),LEVEL_HELPER!B:B,0)),"⏳ Chưa test"))</f>
        <v>⏳ Chưa test</v>
      </c>
      <c r="I188" s="73" t="str">
        <f t="array" ref="I188">IF(ISNA(MATCH(A188,sheet2!A:A,0)),H188,IF(INDEX(sheet2!O:O,MATCH(A188,sheet2!A:A,0))&gt;0,IFERROR(INDEX(LEVEL_HELPER!A:A,MATCH(INDEX(sheet2!O:O,MATCH(A188,sheet2!A:A,0)),LEVEL_HELPER!B:B,0)),H188),H188))</f>
        <v>⏳ Chưa test</v>
      </c>
      <c r="J188" s="73">
        <f>IFERROR(MAXIFS(ATTENDANCE_LOG!F:F, ATTENDANCE_LOG!C:C, A188&amp;"", ATTENDANCE_LOG!G:G, "Present"), "")</f>
        <v>45705.58333</v>
      </c>
      <c r="K188" s="74" t="str">
        <f t="shared" si="1"/>
        <v/>
      </c>
      <c r="L188" s="75" t="str">
        <f t="shared" si="2"/>
        <v/>
      </c>
      <c r="M188" s="80" t="s">
        <v>36</v>
      </c>
      <c r="N188" s="77" t="s">
        <v>33</v>
      </c>
      <c r="O188" s="59"/>
      <c r="P188" s="59"/>
      <c r="Q188" s="59"/>
      <c r="R188" s="59"/>
      <c r="S188" s="59"/>
      <c r="T188" s="59"/>
      <c r="U188" s="59"/>
      <c r="V188" s="59"/>
      <c r="W188" s="87"/>
      <c r="X188" s="87"/>
      <c r="Y188" s="87"/>
    </row>
    <row r="189" ht="15.75" customHeight="1">
      <c r="A189" s="67" t="s">
        <v>520</v>
      </c>
      <c r="B189" s="68" t="s">
        <v>521</v>
      </c>
      <c r="C189" s="69" t="str">
        <f>IFERROR(__xludf.DUMMYFUNCTION("arrayformula(VLOOKUP(to_Text(A189),to_Text(sheet2!$A$1:M1002),13,0))"),"LBU")</f>
        <v>LBU</v>
      </c>
      <c r="D189" s="70" t="str">
        <f>IFERROR(__xludf.DUMMYFUNCTION("arrayformula(VLOOKUP(to_Text(A189),to_Text(sheet2!$A$1:M1002),12,0))"),"DEV")</f>
        <v>DEV</v>
      </c>
      <c r="E189" s="71" t="s">
        <v>16</v>
      </c>
      <c r="F189" s="67" t="str">
        <f t="array" ref="F189">IFERROR(
  INDEX(ATTENDANCE_INPUT!D:D,
    MATCH(1,
      (ATTENDANCE_INPUT!A:A=A189) *
      (ATTENDANCE_INPUT!V:V=MAXIFS(ATTENDANCE_INPUT!V:V, ATTENDANCE_INPUT!A:A, A189)),
      0)),
  "")</f>
        <v>My Tran</v>
      </c>
      <c r="G189" s="72" t="str">
        <f t="array" ref="G189">IFERROR(
  INDEX(ATTENDANCE_INPUT!E:E,
    MATCH(1,
      (ATTENDANCE_INPUT!A:A=A189) *
      (ATTENDANCE_INPUT!V:V=MAXIFS(ATTENDANCE_INPUT!V:V, ATTENDANCE_INPUT!A:A, A189)),
      0)),
  "")</f>
        <v>Communication 1</v>
      </c>
      <c r="H189" s="73" t="str">
        <f t="array" ref="H189">IF(ISNA(MATCH(A189,sheet2!A:A,0)),"⏳ Chưa test",IFERROR(INDEX(LEVEL_HELPER!A:A,MATCH(INDEX(sheet2!N:N,MATCH(A189,sheet2!A:A,0)),LEVEL_HELPER!B:B,0)),"⏳ Chưa test"))</f>
        <v>Beginner</v>
      </c>
      <c r="I189" s="73" t="str">
        <f t="array" ref="I189">IF(ISNA(MATCH(A189,sheet2!A:A,0)),H189,IF(INDEX(sheet2!O:O,MATCH(A189,sheet2!A:A,0))&gt;0,IFERROR(INDEX(LEVEL_HELPER!A:A,MATCH(INDEX(sheet2!O:O,MATCH(A189,sheet2!A:A,0)),LEVEL_HELPER!B:B,0)),H189),H189))</f>
        <v>Beginner</v>
      </c>
      <c r="J189" s="73">
        <f>IFERROR(MAXIFS(ATTENDANCE_LOG!F:F, ATTENDANCE_LOG!C:C, A189&amp;"", ATTENDANCE_LOG!G:G, "Present"), "")</f>
        <v>45868.375</v>
      </c>
      <c r="K189" s="74" t="str">
        <f t="shared" si="1"/>
        <v/>
      </c>
      <c r="L189" s="75" t="str">
        <f t="shared" si="2"/>
        <v/>
      </c>
      <c r="M189" s="59" t="s">
        <v>36</v>
      </c>
      <c r="N189" s="77" t="s">
        <v>35</v>
      </c>
      <c r="O189" s="59"/>
      <c r="P189" s="59"/>
      <c r="Q189" s="59"/>
      <c r="R189" s="59"/>
      <c r="S189" s="59"/>
      <c r="T189" s="59"/>
      <c r="U189" s="59"/>
      <c r="V189" s="59"/>
      <c r="W189" s="87"/>
      <c r="X189" s="87"/>
      <c r="Y189" s="87"/>
    </row>
    <row r="190" ht="15.75" customHeight="1">
      <c r="A190" s="67" t="s">
        <v>522</v>
      </c>
      <c r="B190" s="68" t="s">
        <v>523</v>
      </c>
      <c r="C190" s="69" t="str">
        <f>IFERROR(__xludf.DUMMYFUNCTION("arrayformula(VLOOKUP(to_Text(A190),to_Text(sheet2!$A$1:M1002),13,0))"),"TBU")</f>
        <v>TBU</v>
      </c>
      <c r="D190" s="70" t="str">
        <f>IFERROR(__xludf.DUMMYFUNCTION("arrayformula(VLOOKUP(to_Text(A190),to_Text(sheet2!$A$1:M1002),12,0))"),"DEV")</f>
        <v>DEV</v>
      </c>
      <c r="E190" s="71" t="s">
        <v>16</v>
      </c>
      <c r="F190" s="67" t="str">
        <f t="array" ref="F190">IFERROR(
  INDEX(ATTENDANCE_INPUT!D:D,
    MATCH(1,
      (ATTENDANCE_INPUT!A:A=A190) *
      (ATTENDANCE_INPUT!V:V=MAXIFS(ATTENDANCE_INPUT!V:V, ATTENDANCE_INPUT!A:A, A190)),
      0)),
  "")</f>
        <v>Minh Nguyen</v>
      </c>
      <c r="G190" s="72" t="str">
        <f t="array" ref="G190">IFERROR(
  INDEX(ATTENDANCE_INPUT!E:E,
    MATCH(1,
      (ATTENDANCE_INPUT!A:A=A190) *
      (ATTENDANCE_INPUT!V:V=MAXIFS(ATTENDANCE_INPUT!V:V, ATTENDANCE_INPUT!A:A, A190)),
      0)),
  "")</f>
        <v>Communication 1</v>
      </c>
      <c r="H190" s="73" t="str">
        <f t="array" ref="H190">IF(ISNA(MATCH(A190,sheet2!A:A,0)),"⏳ Chưa test",IFERROR(INDEX(LEVEL_HELPER!A:A,MATCH(INDEX(sheet2!N:N,MATCH(A190,sheet2!A:A,0)),LEVEL_HELPER!B:B,0)),"⏳ Chưa test"))</f>
        <v>⏳ Chưa test</v>
      </c>
      <c r="I190" s="73" t="str">
        <f t="array" ref="I190">IF(ISNA(MATCH(A190,sheet2!A:A,0)),H190,IF(INDEX(sheet2!O:O,MATCH(A190,sheet2!A:A,0))&gt;0,IFERROR(INDEX(LEVEL_HELPER!A:A,MATCH(INDEX(sheet2!O:O,MATCH(A190,sheet2!A:A,0)),LEVEL_HELPER!B:B,0)),H190),H190))</f>
        <v>⏳ Chưa test</v>
      </c>
      <c r="J190" s="73">
        <f>IFERROR(MAXIFS(ATTENDANCE_LOG!F:F, ATTENDANCE_LOG!C:C, A190&amp;"", ATTENDANCE_LOG!G:G, "Present"), "")</f>
        <v>45712.58333</v>
      </c>
      <c r="K190" s="74" t="str">
        <f t="shared" si="1"/>
        <v/>
      </c>
      <c r="L190" s="75" t="str">
        <f t="shared" si="2"/>
        <v/>
      </c>
      <c r="M190" s="80" t="s">
        <v>36</v>
      </c>
      <c r="N190" s="77" t="s">
        <v>33</v>
      </c>
      <c r="O190" s="59"/>
      <c r="P190" s="59"/>
      <c r="Q190" s="59"/>
      <c r="R190" s="59"/>
      <c r="S190" s="59"/>
      <c r="T190" s="59"/>
      <c r="U190" s="59"/>
      <c r="V190" s="59"/>
      <c r="W190" s="87"/>
      <c r="X190" s="87"/>
      <c r="Y190" s="87"/>
    </row>
    <row r="191" ht="15.75" customHeight="1">
      <c r="A191" s="67" t="s">
        <v>524</v>
      </c>
      <c r="B191" s="68" t="s">
        <v>525</v>
      </c>
      <c r="C191" s="69" t="str">
        <f>IFERROR(__xludf.DUMMYFUNCTION("arrayformula(VLOOKUP(to_Text(A191),to_Text(sheet2!$A$1:M1002),13,0))"),"MOC")</f>
        <v>MOC</v>
      </c>
      <c r="D191" s="70" t="str">
        <f>IFERROR(__xludf.DUMMYFUNCTION("arrayformula(VLOOKUP(to_Text(A191),to_Text(sheet2!$A$1:M1002),12,0))"),"DEV")</f>
        <v>DEV</v>
      </c>
      <c r="E191" s="71" t="s">
        <v>16</v>
      </c>
      <c r="F191" s="67" t="str">
        <f t="array" ref="F191">IFERROR(
  INDEX(ATTENDANCE_INPUT!D:D,
    MATCH(1,
      (ATTENDANCE_INPUT!A:A=A191) *
      (ATTENDANCE_INPUT!V:V=MAXIFS(ATTENDANCE_INPUT!V:V, ATTENDANCE_INPUT!A:A, A191)),
      0)),
  "")</f>
        <v>Van Nguyen</v>
      </c>
      <c r="G191" s="72" t="str">
        <f t="array" ref="G191">IFERROR(
  INDEX(ATTENDANCE_INPUT!E:E,
    MATCH(1,
      (ATTENDANCE_INPUT!A:A=A191) *
      (ATTENDANCE_INPUT!V:V=MAXIFS(ATTENDANCE_INPUT!V:V, ATTENDANCE_INPUT!A:A, A191)),
      0)),
  "")</f>
        <v>Communication 2</v>
      </c>
      <c r="H191" s="73" t="str">
        <f t="array" ref="H191">IF(ISNA(MATCH(A191,sheet2!A:A,0)),"⏳ Chưa test",IFERROR(INDEX(LEVEL_HELPER!A:A,MATCH(INDEX(sheet2!N:N,MATCH(A191,sheet2!A:A,0)),LEVEL_HELPER!B:B,0)),"⏳ Chưa test"))</f>
        <v>Foundation</v>
      </c>
      <c r="I191" s="73" t="str">
        <f t="array" ref="I191">IF(ISNA(MATCH(A191,sheet2!A:A,0)),H191,IF(INDEX(sheet2!O:O,MATCH(A191,sheet2!A:A,0))&gt;0,IFERROR(INDEX(LEVEL_HELPER!A:A,MATCH(INDEX(sheet2!O:O,MATCH(A191,sheet2!A:A,0)),LEVEL_HELPER!B:B,0)),H191),H191))</f>
        <v>Pre-Intermediate 2</v>
      </c>
      <c r="J191" s="73">
        <f>IFERROR(MAXIFS(ATTENDANCE_LOG!F:F, ATTENDANCE_LOG!C:C, A191&amp;"", ATTENDANCE_LOG!G:G, "Present"), "")</f>
        <v>46051.41667</v>
      </c>
      <c r="K191" s="74" t="str">
        <f t="shared" si="1"/>
        <v/>
      </c>
      <c r="L191" s="75" t="str">
        <f t="shared" si="2"/>
        <v/>
      </c>
      <c r="M191" s="59" t="s">
        <v>34</v>
      </c>
      <c r="N191" s="77" t="s">
        <v>33</v>
      </c>
      <c r="O191" s="59"/>
      <c r="P191" s="59"/>
      <c r="Q191" s="59"/>
      <c r="R191" s="59"/>
      <c r="S191" s="59"/>
      <c r="T191" s="59"/>
      <c r="U191" s="59"/>
      <c r="V191" s="59"/>
      <c r="W191" s="87"/>
      <c r="X191" s="87"/>
      <c r="Y191" s="87"/>
    </row>
    <row r="192" ht="15.75" customHeight="1">
      <c r="A192" s="67" t="s">
        <v>526</v>
      </c>
      <c r="B192" s="68" t="s">
        <v>527</v>
      </c>
      <c r="C192" s="69" t="str">
        <f>IFERROR(__xludf.DUMMYFUNCTION("arrayformula(VLOOKUP(to_Text(A192),to_Text(sheet2!$A$1:M1002),13,0))"),"MOC")</f>
        <v>MOC</v>
      </c>
      <c r="D192" s="70" t="str">
        <f>IFERROR(__xludf.DUMMYFUNCTION("arrayformula(VLOOKUP(to_Text(A192),to_Text(sheet2!$A$1:M1002),12,0))"),"DEV")</f>
        <v>DEV</v>
      </c>
      <c r="E192" s="71" t="s">
        <v>16</v>
      </c>
      <c r="F192" s="67" t="str">
        <f t="array" ref="F192">IFERROR(
  INDEX(ATTENDANCE_INPUT!D:D,
    MATCH(1,
      (ATTENDANCE_INPUT!A:A=A192) *
      (ATTENDANCE_INPUT!V:V=MAXIFS(ATTENDANCE_INPUT!V:V, ATTENDANCE_INPUT!A:A, A192)),
      0)),
  "")</f>
        <v>Tai Pham</v>
      </c>
      <c r="G192" s="72" t="str">
        <f t="array" ref="G192">IFERROR(
  INDEX(ATTENDANCE_INPUT!E:E,
    MATCH(1,
      (ATTENDANCE_INPUT!A:A=A192) *
      (ATTENDANCE_INPUT!V:V=MAXIFS(ATTENDANCE_INPUT!V:V, ATTENDANCE_INPUT!A:A, A192)),
      0)),
  "")</f>
        <v>Communication 2</v>
      </c>
      <c r="H192" s="73" t="str">
        <f t="array" ref="H192">IF(ISNA(MATCH(A192,sheet2!A:A,0)),"⏳ Chưa test",IFERROR(INDEX(LEVEL_HELPER!A:A,MATCH(INDEX(sheet2!N:N,MATCH(A192,sheet2!A:A,0)),LEVEL_HELPER!B:B,0)),"⏳ Chưa test"))</f>
        <v>Beginner</v>
      </c>
      <c r="I192" s="73" t="str">
        <f t="array" ref="I192">IF(ISNA(MATCH(A192,sheet2!A:A,0)),H192,IF(INDEX(sheet2!O:O,MATCH(A192,sheet2!A:A,0))&gt;0,IFERROR(INDEX(LEVEL_HELPER!A:A,MATCH(INDEX(sheet2!O:O,MATCH(A192,sheet2!A:A,0)),LEVEL_HELPER!B:B,0)),H192),H192))</f>
        <v>Pre-Intermediate 1</v>
      </c>
      <c r="J192" s="73">
        <f>IFERROR(MAXIFS(ATTENDANCE_LOG!F:F, ATTENDANCE_LOG!C:C, A192&amp;"", ATTENDANCE_LOG!G:G, "Present"), "")</f>
        <v>46035.41667</v>
      </c>
      <c r="K192" s="74" t="str">
        <f t="shared" si="1"/>
        <v/>
      </c>
      <c r="L192" s="75" t="str">
        <f t="shared" si="2"/>
        <v/>
      </c>
      <c r="M192" s="59" t="s">
        <v>34</v>
      </c>
      <c r="N192" s="77" t="s">
        <v>33</v>
      </c>
      <c r="O192" s="59"/>
      <c r="P192" s="59"/>
      <c r="Q192" s="59"/>
      <c r="R192" s="59"/>
      <c r="S192" s="59"/>
      <c r="T192" s="59"/>
      <c r="U192" s="59"/>
      <c r="V192" s="59"/>
      <c r="W192" s="87"/>
      <c r="X192" s="87"/>
      <c r="Y192" s="87"/>
    </row>
    <row r="193" ht="15.75" customHeight="1">
      <c r="A193" s="67" t="s">
        <v>528</v>
      </c>
      <c r="B193" s="68" t="s">
        <v>529</v>
      </c>
      <c r="C193" s="69" t="str">
        <f>IFERROR(__xludf.DUMMYFUNCTION("arrayformula(VLOOKUP(to_Text(A193),to_Text(sheet2!$A$1:M1002),13,0))"),"TBU")</f>
        <v>TBU</v>
      </c>
      <c r="D193" s="70" t="str">
        <f>IFERROR(__xludf.DUMMYFUNCTION("arrayformula(VLOOKUP(to_Text(A193),to_Text(sheet2!$A$1:M1002),12,0))"),"DEV")</f>
        <v>DEV</v>
      </c>
      <c r="E193" s="68" t="s">
        <v>15</v>
      </c>
      <c r="F193" s="67" t="str">
        <f t="array" ref="F193">IFERROR(
  INDEX(ATTENDANCE_INPUT!D:D,
    MATCH(1,
      (ATTENDANCE_INPUT!A:A=A193) *
      (ATTENDANCE_INPUT!V:V=MAXIFS(ATTENDANCE_INPUT!V:V, ATTENDANCE_INPUT!A:A, A193)),
      0)),
  "")</f>
        <v>Hung Nguyen</v>
      </c>
      <c r="G193" s="72" t="str">
        <f t="array" ref="G193">IFERROR(
  INDEX(ATTENDANCE_INPUT!E:E,
    MATCH(1,
      (ATTENDANCE_INPUT!A:A=A193) *
      (ATTENDANCE_INPUT!V:V=MAXIFS(ATTENDANCE_INPUT!V:V, ATTENDANCE_INPUT!A:A, A193)),
      0)),
  "")</f>
        <v>Communication 2</v>
      </c>
      <c r="H193" s="73" t="str">
        <f t="array" ref="H193">IF(ISNA(MATCH(A193,sheet2!A:A,0)),"⏳ Chưa test",IFERROR(INDEX(LEVEL_HELPER!A:A,MATCH(INDEX(sheet2!N:N,MATCH(A193,sheet2!A:A,0)),LEVEL_HELPER!B:B,0)),"⏳ Chưa test"))</f>
        <v>Beginner</v>
      </c>
      <c r="I193" s="73" t="str">
        <f t="array" ref="I193">IF(ISNA(MATCH(A193,sheet2!A:A,0)),H193,IF(INDEX(sheet2!O:O,MATCH(A193,sheet2!A:A,0))&gt;0,IFERROR(INDEX(LEVEL_HELPER!A:A,MATCH(INDEX(sheet2!O:O,MATCH(A193,sheet2!A:A,0)),LEVEL_HELPER!B:B,0)),H193),H193))</f>
        <v>Intermediate 1</v>
      </c>
      <c r="J193" s="73">
        <f>IFERROR(MAXIFS(ATTENDANCE_LOG!F:F, ATTENDANCE_LOG!C:C, A193&amp;"", ATTENDANCE_LOG!G:G, "Present"), "")</f>
        <v>46104.41667</v>
      </c>
      <c r="K193" s="74" t="str">
        <f t="shared" si="1"/>
        <v/>
      </c>
      <c r="L193" s="75" t="str">
        <f t="shared" si="2"/>
        <v/>
      </c>
      <c r="M193" s="59"/>
      <c r="N193" s="77"/>
      <c r="O193" s="59"/>
      <c r="P193" s="59"/>
      <c r="Q193" s="59"/>
      <c r="R193" s="59">
        <v>193552.0</v>
      </c>
      <c r="S193" s="59" t="s">
        <v>121</v>
      </c>
      <c r="T193" s="59" t="s">
        <v>122</v>
      </c>
      <c r="U193" s="59" t="str">
        <f>IFERROR(__xludf.DUMMYFUNCTION("arrayformula(vlookup(to_text(R193),to_text($A$4:$B1131),2,0))"),"#N/A")</f>
        <v>#N/A</v>
      </c>
      <c r="V193" s="59"/>
      <c r="W193" s="87"/>
      <c r="X193" s="87"/>
      <c r="Y193" s="87"/>
    </row>
    <row r="194" ht="15.75" customHeight="1">
      <c r="A194" s="67" t="s">
        <v>530</v>
      </c>
      <c r="B194" s="68" t="s">
        <v>531</v>
      </c>
      <c r="C194" s="69" t="str">
        <f>IFERROR(__xludf.DUMMYFUNCTION("arrayformula(VLOOKUP(to_Text(A194),to_Text(sheet2!$A$1:M1002),13,0))"),"MOC")</f>
        <v>MOC</v>
      </c>
      <c r="D194" s="70" t="str">
        <f>IFERROR(__xludf.DUMMYFUNCTION("arrayformula(VLOOKUP(to_Text(A194),to_Text(sheet2!$A$1:M1002),12,0))"),"DEV")</f>
        <v>DEV</v>
      </c>
      <c r="E194" s="68" t="str">
        <f t="shared" ref="E194:E195" si="24">if(L194="⚠ Possibly Dropped","Inactive","Active")</f>
        <v>Active</v>
      </c>
      <c r="F194" s="67" t="str">
        <f t="array" ref="F194">IFERROR(
  INDEX(ATTENDANCE_INPUT!D:D,
    MATCH(1,
      (ATTENDANCE_INPUT!A:A=A194) *
      (ATTENDANCE_INPUT!V:V=MAXIFS(ATTENDANCE_INPUT!V:V, ATTENDANCE_INPUT!A:A, A194)),
      0)),
  "")</f>
        <v>Van Nguyen</v>
      </c>
      <c r="G194" s="72" t="str">
        <f t="array" ref="G194">IFERROR(
  INDEX(ATTENDANCE_INPUT!E:E,
    MATCH(1,
      (ATTENDANCE_INPUT!A:A=A194) *
      (ATTENDANCE_INPUT!V:V=MAXIFS(ATTENDANCE_INPUT!V:V, ATTENDANCE_INPUT!A:A, A194)),
      0)),
  "")</f>
        <v>Business English</v>
      </c>
      <c r="H194" s="73" t="str">
        <f t="array" ref="H194">IF(ISNA(MATCH(A194,sheet2!A:A,0)),"⏳ Chưa test",IFERROR(INDEX(LEVEL_HELPER!A:A,MATCH(INDEX(sheet2!N:N,MATCH(A194,sheet2!A:A,0)),LEVEL_HELPER!B:B,0)),"⏳ Chưa test"))</f>
        <v>Beginner</v>
      </c>
      <c r="I194" s="73" t="str">
        <f t="array" ref="I194">IF(ISNA(MATCH(A194,sheet2!A:A,0)),H194,IF(INDEX(sheet2!O:O,MATCH(A194,sheet2!A:A,0))&gt;0,IFERROR(INDEX(LEVEL_HELPER!A:A,MATCH(INDEX(sheet2!O:O,MATCH(A194,sheet2!A:A,0)),LEVEL_HELPER!B:B,0)),H194),H194))</f>
        <v>Intermediate 1</v>
      </c>
      <c r="J194" s="73">
        <f>IFERROR(MAXIFS(ATTENDANCE_LOG!F:F, ATTENDANCE_LOG!C:C, A194&amp;"", ATTENDANCE_LOG!G:G, "Present"), "")</f>
        <v>46127.625</v>
      </c>
      <c r="K194" s="74" t="str">
        <f t="shared" si="1"/>
        <v/>
      </c>
      <c r="L194" s="75" t="str">
        <f t="shared" si="2"/>
        <v/>
      </c>
      <c r="M194" s="59"/>
      <c r="N194" s="77"/>
      <c r="O194" s="59"/>
      <c r="P194" s="59"/>
      <c r="Q194" s="59"/>
      <c r="R194" s="59"/>
      <c r="S194" s="59"/>
      <c r="T194" s="59"/>
      <c r="U194" s="59"/>
      <c r="V194" s="59"/>
      <c r="W194" s="87"/>
      <c r="X194" s="87"/>
      <c r="Y194" s="87"/>
    </row>
    <row r="195" ht="15.75" customHeight="1">
      <c r="A195" s="67" t="s">
        <v>532</v>
      </c>
      <c r="B195" s="68" t="s">
        <v>533</v>
      </c>
      <c r="C195" s="69" t="str">
        <f>IFERROR(__xludf.DUMMYFUNCTION("arrayformula(VLOOKUP(to_Text(A195),to_Text(sheet2!$A$1:M1002),13,0))"),"TBU")</f>
        <v>TBU</v>
      </c>
      <c r="D195" s="70" t="str">
        <f>IFERROR(__xludf.DUMMYFUNCTION("arrayformula(VLOOKUP(to_Text(A195),to_Text(sheet2!$A$1:M1002),12,0))"),"GSD")</f>
        <v>GSD</v>
      </c>
      <c r="E195" s="68" t="str">
        <f t="shared" si="24"/>
        <v>Inactive</v>
      </c>
      <c r="F195" s="67" t="str">
        <f t="array" ref="F195">IFERROR(
  INDEX(ATTENDANCE_INPUT!D:D,
    MATCH(1,
      (ATTENDANCE_INPUT!A:A=A195) *
      (ATTENDANCE_INPUT!V:V=MAXIFS(ATTENDANCE_INPUT!V:V, ATTENDANCE_INPUT!A:A, A195)),
      0)),
  "")</f>
        <v>Liên Nguyễn</v>
      </c>
      <c r="G195" s="72" t="str">
        <f t="array" ref="G195">IFERROR(
  INDEX(ATTENDANCE_INPUT!E:E,
    MATCH(1,
      (ATTENDANCE_INPUT!A:A=A195) *
      (ATTENDANCE_INPUT!V:V=MAXIFS(ATTENDANCE_INPUT!V:V, ATTENDANCE_INPUT!A:A, A195)),
      0)),
  "")</f>
        <v>Foundation</v>
      </c>
      <c r="H195" s="73" t="str">
        <f t="array" ref="H195">IF(ISNA(MATCH(A195,sheet2!A:A,0)),"⏳ Chưa test",IFERROR(INDEX(LEVEL_HELPER!A:A,MATCH(INDEX(sheet2!N:N,MATCH(A195,sheet2!A:A,0)),LEVEL_HELPER!B:B,0)),"⏳ Chưa test"))</f>
        <v>Foundation</v>
      </c>
      <c r="I195" s="73" t="str">
        <f t="array" ref="I195">IF(ISNA(MATCH(A195,sheet2!A:A,0)),H195,IF(INDEX(sheet2!O:O,MATCH(A195,sheet2!A:A,0))&gt;0,IFERROR(INDEX(LEVEL_HELPER!A:A,MATCH(INDEX(sheet2!O:O,MATCH(A195,sheet2!A:A,0)),LEVEL_HELPER!B:B,0)),H195),H195))</f>
        <v>Foundation</v>
      </c>
      <c r="J195" s="73">
        <f>IFERROR(MAXIFS(ATTENDANCE_LOG!F:F, ATTENDANCE_LOG!C:C, A195&amp;"", ATTENDANCE_LOG!G:G, "Present"), "")</f>
        <v>46083.58333</v>
      </c>
      <c r="K195" s="74">
        <f t="shared" si="1"/>
        <v>87</v>
      </c>
      <c r="L195" s="75" t="str">
        <f t="shared" si="2"/>
        <v>⚠ Possibly Dropped</v>
      </c>
      <c r="M195" s="59" t="s">
        <v>34</v>
      </c>
      <c r="N195" s="77" t="s">
        <v>35</v>
      </c>
      <c r="O195" s="59"/>
      <c r="P195" s="59"/>
      <c r="Q195" s="59"/>
      <c r="R195" s="59"/>
      <c r="S195" s="59"/>
      <c r="T195" s="59"/>
      <c r="U195" s="59"/>
      <c r="V195" s="59"/>
      <c r="W195" s="87"/>
      <c r="X195" s="87"/>
      <c r="Y195" s="87"/>
    </row>
    <row r="196" ht="15.75" customHeight="1">
      <c r="A196" s="67" t="s">
        <v>534</v>
      </c>
      <c r="B196" s="68" t="s">
        <v>535</v>
      </c>
      <c r="C196" s="69" t="str">
        <f>IFERROR(__xludf.DUMMYFUNCTION("arrayformula(VLOOKUP(to_Text(A196),to_Text(sheet2!$A$1:M1002),13,0))"),"LBU")</f>
        <v>LBU</v>
      </c>
      <c r="D196" s="70" t="str">
        <f>IFERROR(__xludf.DUMMYFUNCTION("arrayformula(VLOOKUP(to_Text(A196),to_Text(sheet2!$A$1:M1002),12,0))"),"QC")</f>
        <v>QC</v>
      </c>
      <c r="E196" s="71" t="s">
        <v>16</v>
      </c>
      <c r="F196" s="67" t="str">
        <f t="array" ref="F196">IFERROR(
  INDEX(ATTENDANCE_INPUT!D:D,
    MATCH(1,
      (ATTENDANCE_INPUT!A:A=A196) *
      (ATTENDANCE_INPUT!V:V=MAXIFS(ATTENDANCE_INPUT!V:V, ATTENDANCE_INPUT!A:A, A196)),
      0)),
  "")</f>
        <v>My Tran</v>
      </c>
      <c r="G196" s="72" t="str">
        <f t="array" ref="G196">IFERROR(
  INDEX(ATTENDANCE_INPUT!E:E,
    MATCH(1,
      (ATTENDANCE_INPUT!A:A=A196) *
      (ATTENDANCE_INPUT!V:V=MAXIFS(ATTENDANCE_INPUT!V:V, ATTENDANCE_INPUT!A:A, A196)),
      0)),
  "")</f>
        <v>Communication 2</v>
      </c>
      <c r="H196" s="73" t="str">
        <f t="array" ref="H196">IF(ISNA(MATCH(A196,sheet2!A:A,0)),"⏳ Chưa test",IFERROR(INDEX(LEVEL_HELPER!A:A,MATCH(INDEX(sheet2!N:N,MATCH(A196,sheet2!A:A,0)),LEVEL_HELPER!B:B,0)),"⏳ Chưa test"))</f>
        <v>Beginner</v>
      </c>
      <c r="I196" s="73" t="str">
        <f t="array" ref="I196">IF(ISNA(MATCH(A196,sheet2!A:A,0)),H196,IF(INDEX(sheet2!O:O,MATCH(A196,sheet2!A:A,0))&gt;0,IFERROR(INDEX(LEVEL_HELPER!A:A,MATCH(INDEX(sheet2!O:O,MATCH(A196,sheet2!A:A,0)),LEVEL_HELPER!B:B,0)),H196),H196))</f>
        <v>Pre-Intermediate 1</v>
      </c>
      <c r="J196" s="73">
        <f>IFERROR(MAXIFS(ATTENDANCE_LOG!F:F, ATTENDANCE_LOG!C:C, A196&amp;"", ATTENDANCE_LOG!G:G, "Present"), "")</f>
        <v>46013.58333</v>
      </c>
      <c r="K196" s="74" t="str">
        <f t="shared" si="1"/>
        <v/>
      </c>
      <c r="L196" s="75" t="str">
        <f t="shared" si="2"/>
        <v/>
      </c>
      <c r="M196" s="59" t="s">
        <v>34</v>
      </c>
      <c r="N196" s="77" t="s">
        <v>33</v>
      </c>
      <c r="O196" s="59"/>
      <c r="P196" s="59"/>
      <c r="Q196" s="59"/>
      <c r="R196" s="59">
        <v>247282.0</v>
      </c>
      <c r="S196" s="59" t="s">
        <v>146</v>
      </c>
      <c r="T196" s="59" t="s">
        <v>33</v>
      </c>
      <c r="U196" s="59" t="e">
        <v>#N/A</v>
      </c>
      <c r="V196" s="59"/>
      <c r="W196" s="87"/>
      <c r="X196" s="87"/>
      <c r="Y196" s="87"/>
    </row>
    <row r="197" ht="15.75" customHeight="1">
      <c r="A197" s="67" t="s">
        <v>536</v>
      </c>
      <c r="B197" s="68" t="s">
        <v>537</v>
      </c>
      <c r="C197" s="69" t="str">
        <f>IFERROR(__xludf.DUMMYFUNCTION("arrayformula(VLOOKUP(to_Text(A197),to_Text(sheet2!$A$1:M1002),13,0))"),"POC")</f>
        <v>POC</v>
      </c>
      <c r="D197" s="70" t="str">
        <f>IFERROR(__xludf.DUMMYFUNCTION("arrayformula(VLOOKUP(to_Text(A197),to_Text(sheet2!$A$1:M1002),12,0))"),"GSD")</f>
        <v>GSD</v>
      </c>
      <c r="E197" s="68" t="str">
        <f t="shared" ref="E197:E202" si="25">if(L197="⚠ Possibly Dropped","Inactive","Active")</f>
        <v>Active</v>
      </c>
      <c r="F197" s="67" t="str">
        <f t="array" ref="F197">IFERROR(
  INDEX(ATTENDANCE_INPUT!D:D,
    MATCH(1,
      (ATTENDANCE_INPUT!A:A=A197) *
      (ATTENDANCE_INPUT!V:V=MAXIFS(ATTENDANCE_INPUT!V:V, ATTENDANCE_INPUT!A:A, A197)),
      0)),
  "")</f>
        <v>Vinh Tran</v>
      </c>
      <c r="G197" s="72" t="str">
        <f t="array" ref="G197">IFERROR(
  INDEX(ATTENDANCE_INPUT!E:E,
    MATCH(1,
      (ATTENDANCE_INPUT!A:A=A197) *
      (ATTENDANCE_INPUT!V:V=MAXIFS(ATTENDANCE_INPUT!V:V, ATTENDANCE_INPUT!A:A, A197)),
      0)),
  "")</f>
        <v>Communication 2</v>
      </c>
      <c r="H197" s="73" t="str">
        <f t="array" ref="H197">IF(ISNA(MATCH(A197,sheet2!A:A,0)),"⏳ Chưa test",IFERROR(INDEX(LEVEL_HELPER!A:A,MATCH(INDEX(sheet2!N:N,MATCH(A197,sheet2!A:A,0)),LEVEL_HELPER!B:B,0)),"⏳ Chưa test"))</f>
        <v>Beginner</v>
      </c>
      <c r="I197" s="73" t="str">
        <f t="array" ref="I197">IF(ISNA(MATCH(A197,sheet2!A:A,0)),H197,IF(INDEX(sheet2!O:O,MATCH(A197,sheet2!A:A,0))&gt;0,IFERROR(INDEX(LEVEL_HELPER!A:A,MATCH(INDEX(sheet2!O:O,MATCH(A197,sheet2!A:A,0)),LEVEL_HELPER!B:B,0)),H197),H197))</f>
        <v>Pre-Intermediate 2</v>
      </c>
      <c r="J197" s="73">
        <f>IFERROR(MAXIFS(ATTENDANCE_LOG!F:F, ATTENDANCE_LOG!C:C, A197&amp;"", ATTENDANCE_LOG!G:G, "Present"), "")</f>
        <v>46128.54167</v>
      </c>
      <c r="K197" s="74" t="str">
        <f t="shared" si="1"/>
        <v/>
      </c>
      <c r="L197" s="75" t="str">
        <f t="shared" si="2"/>
        <v/>
      </c>
      <c r="M197" s="59"/>
      <c r="N197" s="77"/>
      <c r="O197" s="59"/>
      <c r="P197" s="59"/>
      <c r="Q197" s="59"/>
      <c r="R197" s="59"/>
      <c r="S197" s="59"/>
      <c r="T197" s="59"/>
      <c r="U197" s="59"/>
      <c r="V197" s="59"/>
      <c r="W197" s="87"/>
      <c r="X197" s="87"/>
      <c r="Y197" s="87"/>
    </row>
    <row r="198" ht="15.75" customHeight="1">
      <c r="A198" s="67" t="s">
        <v>538</v>
      </c>
      <c r="B198" s="68" t="s">
        <v>539</v>
      </c>
      <c r="C198" s="69" t="str">
        <f>IFERROR(__xludf.DUMMYFUNCTION("arrayformula(VLOOKUP(to_Text(A198),to_Text(sheet2!$A$1:M1002),13,0))"),"MOC")</f>
        <v>MOC</v>
      </c>
      <c r="D198" s="70" t="str">
        <f>IFERROR(__xludf.DUMMYFUNCTION("arrayformula(VLOOKUP(to_Text(A198),to_Text(sheet2!$A$1:M1002),12,0))"),"DEV")</f>
        <v>DEV</v>
      </c>
      <c r="E198" s="68" t="str">
        <f t="shared" si="25"/>
        <v>Active</v>
      </c>
      <c r="F198" s="67" t="str">
        <f t="array" ref="F198">IFERROR(
  INDEX(ATTENDANCE_INPUT!D:D,
    MATCH(1,
      (ATTENDANCE_INPUT!A:A=A198) *
      (ATTENDANCE_INPUT!V:V=MAXIFS(ATTENDANCE_INPUT!V:V, ATTENDANCE_INPUT!A:A, A198)),
      0)),
  "")</f>
        <v>Quan Nguyen</v>
      </c>
      <c r="G198" s="72" t="str">
        <f t="array" ref="G198">IFERROR(
  INDEX(ATTENDANCE_INPUT!E:E,
    MATCH(1,
      (ATTENDANCE_INPUT!A:A=A198) *
      (ATTENDANCE_INPUT!V:V=MAXIFS(ATTENDANCE_INPUT!V:V, ATTENDANCE_INPUT!A:A, A198)),
      0)),
  "")</f>
        <v>Communication 2</v>
      </c>
      <c r="H198" s="73" t="str">
        <f t="array" ref="H198">IF(ISNA(MATCH(A198,sheet2!A:A,0)),"⏳ Chưa test",IFERROR(INDEX(LEVEL_HELPER!A:A,MATCH(INDEX(sheet2!N:N,MATCH(A198,sheet2!A:A,0)),LEVEL_HELPER!B:B,0)),"⏳ Chưa test"))</f>
        <v>Foundation</v>
      </c>
      <c r="I198" s="73" t="str">
        <f t="array" ref="I198">IF(ISNA(MATCH(A198,sheet2!A:A,0)),H198,IF(INDEX(sheet2!O:O,MATCH(A198,sheet2!A:A,0))&gt;0,IFERROR(INDEX(LEVEL_HELPER!A:A,MATCH(INDEX(sheet2!O:O,MATCH(A198,sheet2!A:A,0)),LEVEL_HELPER!B:B,0)),H198),H198))</f>
        <v>Pre-Intermediate 1</v>
      </c>
      <c r="J198" s="73">
        <f>IFERROR(MAXIFS(ATTENDANCE_LOG!F:F, ATTENDANCE_LOG!C:C, A198&amp;"", ATTENDANCE_LOG!G:G, "Present"), "")</f>
        <v>46119.625</v>
      </c>
      <c r="K198" s="74">
        <f t="shared" si="1"/>
        <v>-64</v>
      </c>
      <c r="L198" s="75" t="str">
        <f t="shared" si="2"/>
        <v/>
      </c>
      <c r="M198" s="59"/>
      <c r="N198" s="77"/>
      <c r="O198" s="59" t="s">
        <v>540</v>
      </c>
      <c r="P198" s="59"/>
      <c r="Q198" s="59"/>
      <c r="R198" s="59"/>
      <c r="S198" s="59"/>
      <c r="T198" s="59"/>
      <c r="U198" s="59"/>
      <c r="V198" s="59"/>
      <c r="W198" s="87"/>
      <c r="X198" s="87"/>
      <c r="Y198" s="87"/>
    </row>
    <row r="199" ht="15.75" customHeight="1">
      <c r="A199" s="67" t="s">
        <v>541</v>
      </c>
      <c r="B199" s="68" t="s">
        <v>542</v>
      </c>
      <c r="C199" s="69" t="str">
        <f>IFERROR(__xludf.DUMMYFUNCTION("arrayformula(VLOOKUP(to_Text(A199),to_Text(sheet2!$A$1:M1002),13,0))"),"CHORUS")</f>
        <v>CHORUS</v>
      </c>
      <c r="D199" s="70" t="str">
        <f>IFERROR(__xludf.DUMMYFUNCTION("arrayformula(VLOOKUP(to_Text(A199),to_Text(sheet2!$A$1:M1002),12,0))"),"SM")</f>
        <v>SM</v>
      </c>
      <c r="E199" s="68" t="str">
        <f t="shared" si="25"/>
        <v>Inactive</v>
      </c>
      <c r="F199" s="67" t="str">
        <f t="array" ref="F199">IFERROR(
  INDEX(ATTENDANCE_INPUT!D:D,
    MATCH(1,
      (ATTENDANCE_INPUT!A:A=A199) *
      (ATTENDANCE_INPUT!V:V=MAXIFS(ATTENDANCE_INPUT!V:V, ATTENDANCE_INPUT!A:A, A199)),
      0)),
  "")</f>
        <v>Yen Tran 3</v>
      </c>
      <c r="G199" s="72" t="str">
        <f t="array" ref="G199">IFERROR(
  INDEX(ATTENDANCE_INPUT!E:E,
    MATCH(1,
      (ATTENDANCE_INPUT!A:A=A199) *
      (ATTENDANCE_INPUT!V:V=MAXIFS(ATTENDANCE_INPUT!V:V, ATTENDANCE_INPUT!A:A, A199)),
      0)),
  "")</f>
        <v>Communication 1</v>
      </c>
      <c r="H199" s="73" t="str">
        <f t="array" ref="H199">IF(ISNA(MATCH(A199,sheet2!A:A,0)),"⏳ Chưa test",IFERROR(INDEX(LEVEL_HELPER!A:A,MATCH(INDEX(sheet2!N:N,MATCH(A199,sheet2!A:A,0)),LEVEL_HELPER!B:B,0)),"⏳ Chưa test"))</f>
        <v>Beginner</v>
      </c>
      <c r="I199" s="73" t="str">
        <f t="array" ref="I199">IF(ISNA(MATCH(A199,sheet2!A:A,0)),H199,IF(INDEX(sheet2!O:O,MATCH(A199,sheet2!A:A,0))&gt;0,IFERROR(INDEX(LEVEL_HELPER!A:A,MATCH(INDEX(sheet2!O:O,MATCH(A199,sheet2!A:A,0)),LEVEL_HELPER!B:B,0)),H199),H199))</f>
        <v>Beginner</v>
      </c>
      <c r="J199" s="73">
        <f>IFERROR(MAXIFS(ATTENDANCE_LOG!F:F, ATTENDANCE_LOG!C:C, A199&amp;"", ATTENDANCE_LOG!G:G, "Present"), "")</f>
        <v>45846.45833</v>
      </c>
      <c r="K199" s="74">
        <f t="shared" si="1"/>
        <v>267</v>
      </c>
      <c r="L199" s="75" t="str">
        <f t="shared" si="2"/>
        <v>⚠ Possibly Dropped</v>
      </c>
      <c r="M199" s="59" t="s">
        <v>36</v>
      </c>
      <c r="N199" s="77" t="s">
        <v>37</v>
      </c>
      <c r="O199" s="59"/>
      <c r="P199" s="59"/>
      <c r="Q199" s="59"/>
      <c r="R199" s="59"/>
      <c r="S199" s="59"/>
      <c r="T199" s="59"/>
      <c r="U199" s="59"/>
      <c r="V199" s="59"/>
      <c r="W199" s="87"/>
      <c r="X199" s="87"/>
      <c r="Y199" s="87"/>
    </row>
    <row r="200" ht="15.75" customHeight="1">
      <c r="A200" s="67" t="s">
        <v>543</v>
      </c>
      <c r="B200" s="68" t="s">
        <v>544</v>
      </c>
      <c r="C200" s="69" t="str">
        <f>IFERROR(__xludf.DUMMYFUNCTION("arrayformula(VLOOKUP(to_Text(A200),to_Text(sheet2!$A$1:M1002),13,0))"),"ONC")</f>
        <v>ONC</v>
      </c>
      <c r="D200" s="70" t="str">
        <f>IFERROR(__xludf.DUMMYFUNCTION("arrayformula(VLOOKUP(to_Text(A200),to_Text(sheet2!$A$1:M1002),12,0))"),"DEV")</f>
        <v>DEV</v>
      </c>
      <c r="E200" s="68" t="str">
        <f t="shared" si="25"/>
        <v>Active</v>
      </c>
      <c r="F200" s="67" t="str">
        <f t="array" ref="F200">IFERROR(
  INDEX(ATTENDANCE_INPUT!D:D,
    MATCH(1,
      (ATTENDANCE_INPUT!A:A=A200) *
      (ATTENDANCE_INPUT!V:V=MAXIFS(ATTENDANCE_INPUT!V:V, ATTENDANCE_INPUT!A:A, A200)),
      0)),
  "")</f>
        <v>Phuoc Ta</v>
      </c>
      <c r="G200" s="72" t="str">
        <f t="array" ref="G200">IFERROR(
  INDEX(ATTENDANCE_INPUT!E:E,
    MATCH(1,
      (ATTENDANCE_INPUT!A:A=A200) *
      (ATTENDANCE_INPUT!V:V=MAXIFS(ATTENDANCE_INPUT!V:V, ATTENDANCE_INPUT!A:A, A200)),
      0)),
  "")</f>
        <v>Communication 1</v>
      </c>
      <c r="H200" s="73" t="str">
        <f t="array" ref="H200">IF(ISNA(MATCH(A200,sheet2!A:A,0)),"⏳ Chưa test",IFERROR(INDEX(LEVEL_HELPER!A:A,MATCH(INDEX(sheet2!N:N,MATCH(A200,sheet2!A:A,0)),LEVEL_HELPER!B:B,0)),"⏳ Chưa test"))</f>
        <v>Pre-Intermediate 1</v>
      </c>
      <c r="I200" s="73" t="str">
        <f t="array" ref="I200">IF(ISNA(MATCH(A200,sheet2!A:A,0)),H200,IF(INDEX(sheet2!O:O,MATCH(A200,sheet2!A:A,0))&gt;0,IFERROR(INDEX(LEVEL_HELPER!A:A,MATCH(INDEX(sheet2!O:O,MATCH(A200,sheet2!A:A,0)),LEVEL_HELPER!B:B,0)),H200),H200))</f>
        <v>Pre-Intermediate 1</v>
      </c>
      <c r="J200" s="73">
        <f>IFERROR(MAXIFS(ATTENDANCE_LOG!F:F, ATTENDANCE_LOG!C:C, A200&amp;"", ATTENDANCE_LOG!G:G, "Present"), "")</f>
        <v>46126.45833</v>
      </c>
      <c r="K200" s="74" t="str">
        <f t="shared" si="1"/>
        <v/>
      </c>
      <c r="L200" s="75" t="str">
        <f t="shared" si="2"/>
        <v/>
      </c>
      <c r="M200" s="59"/>
      <c r="N200" s="77"/>
      <c r="O200" s="59"/>
      <c r="P200" s="59"/>
      <c r="Q200" s="59"/>
      <c r="R200" s="59"/>
      <c r="S200" s="59"/>
      <c r="T200" s="59"/>
      <c r="U200" s="59"/>
      <c r="V200" s="59"/>
      <c r="W200" s="87"/>
      <c r="X200" s="87"/>
      <c r="Y200" s="87"/>
    </row>
    <row r="201" ht="15.75" customHeight="1">
      <c r="A201" s="67" t="s">
        <v>545</v>
      </c>
      <c r="B201" s="68" t="s">
        <v>546</v>
      </c>
      <c r="C201" s="69" t="str">
        <f>IFERROR(__xludf.DUMMYFUNCTION("arrayformula(VLOOKUP(to_Text(A201),to_Text(sheet2!$A$1:M1002),13,0))"),"POC")</f>
        <v>POC</v>
      </c>
      <c r="D201" s="70" t="str">
        <f>IFERROR(__xludf.DUMMYFUNCTION("arrayformula(VLOOKUP(to_Text(A201),to_Text(sheet2!$A$1:M1002),12,0))"),"GSD")</f>
        <v>GSD</v>
      </c>
      <c r="E201" s="68" t="str">
        <f t="shared" si="25"/>
        <v>Active</v>
      </c>
      <c r="F201" s="67" t="str">
        <f t="array" ref="F201">IFERROR(
  INDEX(ATTENDANCE_INPUT!D:D,
    MATCH(1,
      (ATTENDANCE_INPUT!A:A=A201) *
      (ATTENDANCE_INPUT!V:V=MAXIFS(ATTENDANCE_INPUT!V:V, ATTENDANCE_INPUT!A:A, A201)),
      0)),
  "")</f>
        <v>Thanh Phung</v>
      </c>
      <c r="G201" s="72" t="str">
        <f t="array" ref="G201">IFERROR(
  INDEX(ATTENDANCE_INPUT!E:E,
    MATCH(1,
      (ATTENDANCE_INPUT!A:A=A201) *
      (ATTENDANCE_INPUT!V:V=MAXIFS(ATTENDANCE_INPUT!V:V, ATTENDANCE_INPUT!A:A, A201)),
      0)),
  "")</f>
        <v>Extension of Foundation</v>
      </c>
      <c r="H201" s="73" t="str">
        <f t="array" ref="H201">IF(ISNA(MATCH(A201,sheet2!A:A,0)),"⏳ Chưa test",IFERROR(INDEX(LEVEL_HELPER!A:A,MATCH(INDEX(sheet2!N:N,MATCH(A201,sheet2!A:A,0)),LEVEL_HELPER!B:B,0)),"⏳ Chưa test"))</f>
        <v>Foundation</v>
      </c>
      <c r="I201" s="73" t="str">
        <f t="array" ref="I201">IF(ISNA(MATCH(A201,sheet2!A:A,0)),H201,IF(INDEX(sheet2!O:O,MATCH(A201,sheet2!A:A,0))&gt;0,IFERROR(INDEX(LEVEL_HELPER!A:A,MATCH(INDEX(sheet2!O:O,MATCH(A201,sheet2!A:A,0)),LEVEL_HELPER!B:B,0)),H201),H201))</f>
        <v>Foundation</v>
      </c>
      <c r="J201" s="73">
        <f>IFERROR(MAXIFS(ATTENDANCE_LOG!F:F, ATTENDANCE_LOG!C:C, A201&amp;"", ATTENDANCE_LOG!G:G, "Present"), "")</f>
        <v>46129.58333</v>
      </c>
      <c r="K201" s="74" t="str">
        <f t="shared" si="1"/>
        <v/>
      </c>
      <c r="L201" s="75" t="str">
        <f t="shared" si="2"/>
        <v/>
      </c>
      <c r="M201" s="59"/>
      <c r="N201" s="77"/>
      <c r="O201" s="59"/>
      <c r="P201" s="59"/>
      <c r="Q201" s="59"/>
      <c r="R201" s="59"/>
      <c r="S201" s="59"/>
      <c r="T201" s="59"/>
      <c r="U201" s="59"/>
      <c r="V201" s="59"/>
      <c r="W201" s="87"/>
      <c r="X201" s="87"/>
      <c r="Y201" s="87"/>
    </row>
    <row r="202" ht="15.75" customHeight="1">
      <c r="A202" s="67" t="s">
        <v>547</v>
      </c>
      <c r="B202" s="68" t="s">
        <v>548</v>
      </c>
      <c r="C202" s="69" t="str">
        <f>IFERROR(__xludf.DUMMYFUNCTION("arrayformula(VLOOKUP(to_Text(A202),to_Text(sheet2!$A$1:M1002),13,0))"),"LBU")</f>
        <v>LBU</v>
      </c>
      <c r="D202" s="70" t="str">
        <f>IFERROR(__xludf.DUMMYFUNCTION("arrayformula(VLOOKUP(to_Text(A202),to_Text(sheet2!$A$1:M1002),12,0))"),"GSD")</f>
        <v>GSD</v>
      </c>
      <c r="E202" s="68" t="str">
        <f t="shared" si="25"/>
        <v>Inactive</v>
      </c>
      <c r="F202" s="67" t="str">
        <f t="array" ref="F202">IFERROR(
  INDEX(ATTENDANCE_INPUT!D:D,
    MATCH(1,
      (ATTENDANCE_INPUT!A:A=A202) *
      (ATTENDANCE_INPUT!V:V=MAXIFS(ATTENDANCE_INPUT!V:V, ATTENDANCE_INPUT!A:A, A202)),
      0)),
  "")</f>
        <v>Huong Le</v>
      </c>
      <c r="G202" s="72" t="str">
        <f t="array" ref="G202">IFERROR(
  INDEX(ATTENDANCE_INPUT!E:E,
    MATCH(1,
      (ATTENDANCE_INPUT!A:A=A202) *
      (ATTENDANCE_INPUT!V:V=MAXIFS(ATTENDANCE_INPUT!V:V, ATTENDANCE_INPUT!A:A, A202)),
      0)),
  "")</f>
        <v>Communication 2</v>
      </c>
      <c r="H202" s="73" t="str">
        <f t="array" ref="H202">IF(ISNA(MATCH(A202,sheet2!A:A,0)),"⏳ Chưa test",IFERROR(INDEX(LEVEL_HELPER!A:A,MATCH(INDEX(sheet2!N:N,MATCH(A202,sheet2!A:A,0)),LEVEL_HELPER!B:B,0)),"⏳ Chưa test"))</f>
        <v>Intermediate</v>
      </c>
      <c r="I202" s="73" t="str">
        <f t="array" ref="I202">IF(ISNA(MATCH(A202,sheet2!A:A,0)),H202,IF(INDEX(sheet2!O:O,MATCH(A202,sheet2!A:A,0))&gt;0,IFERROR(INDEX(LEVEL_HELPER!A:A,MATCH(INDEX(sheet2!O:O,MATCH(A202,sheet2!A:A,0)),LEVEL_HELPER!B:B,0)),H202),H202))</f>
        <v>Intermediate 1</v>
      </c>
      <c r="J202" s="73">
        <f>IFERROR(MAXIFS(ATTENDANCE_LOG!F:F, ATTENDANCE_LOG!C:C, A202&amp;"", ATTENDANCE_LOG!G:G, "Present"), "")</f>
        <v>46115.54167</v>
      </c>
      <c r="K202" s="74">
        <f t="shared" si="1"/>
        <v>58</v>
      </c>
      <c r="L202" s="75" t="str">
        <f t="shared" si="2"/>
        <v>⚠ Possibly Dropped</v>
      </c>
      <c r="M202" s="59"/>
      <c r="N202" s="77"/>
      <c r="O202" s="59"/>
      <c r="P202" s="59"/>
      <c r="Q202" s="59"/>
      <c r="R202" s="59">
        <v>213812.0</v>
      </c>
      <c r="S202" s="59" t="s">
        <v>178</v>
      </c>
      <c r="T202" s="59" t="s">
        <v>179</v>
      </c>
      <c r="U202" s="59" t="str">
        <f>IFERROR(__xludf.DUMMYFUNCTION("arrayformula(vlookup(to_text(R202),to_text($A$4:$B1152),2,0))"),"#N/A")</f>
        <v>#N/A</v>
      </c>
      <c r="V202" s="59"/>
      <c r="W202" s="87"/>
      <c r="X202" s="87"/>
      <c r="Y202" s="87"/>
    </row>
    <row r="203" ht="15.75" customHeight="1">
      <c r="A203" s="67" t="s">
        <v>549</v>
      </c>
      <c r="B203" s="68" t="s">
        <v>550</v>
      </c>
      <c r="C203" s="69" t="str">
        <f>IFERROR(__xludf.DUMMYFUNCTION("arrayformula(VLOOKUP(to_Text(A203),to_Text(sheet2!$A$1:M1002),13,0))"),"CHORUS")</f>
        <v>CHORUS</v>
      </c>
      <c r="D203" s="70" t="str">
        <f>IFERROR(__xludf.DUMMYFUNCTION("arrayformula(VLOOKUP(to_Text(A203),to_Text(sheet2!$A$1:M1002),12,0))"),"DEV")</f>
        <v>DEV</v>
      </c>
      <c r="E203" s="71" t="s">
        <v>16</v>
      </c>
      <c r="F203" s="67" t="str">
        <f t="array" ref="F203">IFERROR(
  INDEX(ATTENDANCE_INPUT!D:D,
    MATCH(1,
      (ATTENDANCE_INPUT!A:A=A203) *
      (ATTENDANCE_INPUT!V:V=MAXIFS(ATTENDANCE_INPUT!V:V, ATTENDANCE_INPUT!A:A, A203)),
      0)),
  "")</f>
        <v>Yen Tran 2</v>
      </c>
      <c r="G203" s="72" t="str">
        <f t="array" ref="G203">IFERROR(
  INDEX(ATTENDANCE_INPUT!E:E,
    MATCH(1,
      (ATTENDANCE_INPUT!A:A=A203) *
      (ATTENDANCE_INPUT!V:V=MAXIFS(ATTENDANCE_INPUT!V:V, ATTENDANCE_INPUT!A:A, A203)),
      0)),
  "")</f>
        <v>Communication 1</v>
      </c>
      <c r="H203" s="73" t="str">
        <f t="array" ref="H203">IF(ISNA(MATCH(A203,sheet2!A:A,0)),"⏳ Chưa test",IFERROR(INDEX(LEVEL_HELPER!A:A,MATCH(INDEX(sheet2!N:N,MATCH(A203,sheet2!A:A,0)),LEVEL_HELPER!B:B,0)),"⏳ Chưa test"))</f>
        <v>Pre-Intermediate</v>
      </c>
      <c r="I203" s="73" t="str">
        <f t="array" ref="I203">IF(ISNA(MATCH(A203,sheet2!A:A,0)),H203,IF(INDEX(sheet2!O:O,MATCH(A203,sheet2!A:A,0))&gt;0,IFERROR(INDEX(LEVEL_HELPER!A:A,MATCH(INDEX(sheet2!O:O,MATCH(A203,sheet2!A:A,0)),LEVEL_HELPER!B:B,0)),H203),H203))</f>
        <v>Pre-Intermediate 1</v>
      </c>
      <c r="J203" s="73">
        <f>IFERROR(MAXIFS(ATTENDANCE_LOG!F:F, ATTENDANCE_LOG!C:C, A203&amp;"", ATTENDANCE_LOG!G:G, "Present"), "")</f>
        <v>45859.54167</v>
      </c>
      <c r="K203" s="74" t="str">
        <f t="shared" si="1"/>
        <v/>
      </c>
      <c r="L203" s="75" t="str">
        <f t="shared" si="2"/>
        <v/>
      </c>
      <c r="M203" s="59" t="s">
        <v>34</v>
      </c>
      <c r="N203" s="76" t="s">
        <v>37</v>
      </c>
      <c r="O203" s="59"/>
      <c r="P203" s="59"/>
      <c r="Q203" s="59"/>
      <c r="R203" s="59"/>
      <c r="S203" s="59"/>
      <c r="T203" s="59"/>
      <c r="U203" s="59"/>
      <c r="V203" s="59"/>
      <c r="W203" s="87"/>
      <c r="X203" s="87"/>
      <c r="Y203" s="87"/>
    </row>
    <row r="204" ht="15.75" customHeight="1">
      <c r="A204" s="67" t="s">
        <v>551</v>
      </c>
      <c r="B204" s="68" t="s">
        <v>552</v>
      </c>
      <c r="C204" s="69" t="str">
        <f>IFERROR(__xludf.DUMMYFUNCTION("arrayformula(VLOOKUP(to_Text(A204),to_Text(sheet2!$A$1:M1002),13,0))"),"TBU")</f>
        <v>TBU</v>
      </c>
      <c r="D204" s="70" t="str">
        <f>IFERROR(__xludf.DUMMYFUNCTION("arrayformula(VLOOKUP(to_Text(A204),to_Text(sheet2!$A$1:M1002),12,0))"),"GSD")</f>
        <v>GSD</v>
      </c>
      <c r="E204" s="71" t="s">
        <v>16</v>
      </c>
      <c r="F204" s="67" t="str">
        <f t="array" ref="F204">IFERROR(
  INDEX(ATTENDANCE_INPUT!D:D,
    MATCH(1,
      (ATTENDANCE_INPUT!A:A=A204) *
      (ATTENDANCE_INPUT!V:V=MAXIFS(ATTENDANCE_INPUT!V:V, ATTENDANCE_INPUT!A:A, A204)),
      0)),
  "")</f>
        <v>Phu Nguyen</v>
      </c>
      <c r="G204" s="72" t="str">
        <f t="array" ref="G204">IFERROR(
  INDEX(ATTENDANCE_INPUT!E:E,
    MATCH(1,
      (ATTENDANCE_INPUT!A:A=A204) *
      (ATTENDANCE_INPUT!V:V=MAXIFS(ATTENDANCE_INPUT!V:V, ATTENDANCE_INPUT!A:A, A204)),
      0)),
  "")</f>
        <v>Communication 1</v>
      </c>
      <c r="H204" s="73" t="str">
        <f t="array" ref="H204">IF(ISNA(MATCH(A204,sheet2!A:A,0)),"⏳ Chưa test",IFERROR(INDEX(LEVEL_HELPER!A:A,MATCH(INDEX(sheet2!N:N,MATCH(A204,sheet2!A:A,0)),LEVEL_HELPER!B:B,0)),"⏳ Chưa test"))</f>
        <v>Beginner</v>
      </c>
      <c r="I204" s="73" t="str">
        <f t="array" ref="I204">IF(ISNA(MATCH(A204,sheet2!A:A,0)),H204,IF(INDEX(sheet2!O:O,MATCH(A204,sheet2!A:A,0))&gt;0,IFERROR(INDEX(LEVEL_HELPER!A:A,MATCH(INDEX(sheet2!O:O,MATCH(A204,sheet2!A:A,0)),LEVEL_HELPER!B:B,0)),H204),H204))</f>
        <v>Beginner</v>
      </c>
      <c r="J204" s="73">
        <f>IFERROR(MAXIFS(ATTENDANCE_LOG!F:F, ATTENDANCE_LOG!C:C, A204&amp;"", ATTENDANCE_LOG!G:G, "Present"), "")</f>
        <v>45979.58333</v>
      </c>
      <c r="K204" s="74" t="str">
        <f t="shared" si="1"/>
        <v/>
      </c>
      <c r="L204" s="75" t="str">
        <f t="shared" si="2"/>
        <v/>
      </c>
      <c r="M204" s="59" t="s">
        <v>36</v>
      </c>
      <c r="N204" s="77" t="s">
        <v>33</v>
      </c>
      <c r="O204" s="59"/>
      <c r="P204" s="59"/>
      <c r="Q204" s="59"/>
      <c r="R204" s="59"/>
      <c r="S204" s="59"/>
      <c r="T204" s="59"/>
      <c r="U204" s="59"/>
      <c r="V204" s="59"/>
      <c r="W204" s="87"/>
      <c r="X204" s="87"/>
      <c r="Y204" s="87"/>
    </row>
    <row r="205" ht="15.75" customHeight="1">
      <c r="A205" s="67" t="s">
        <v>553</v>
      </c>
      <c r="B205" s="68" t="s">
        <v>554</v>
      </c>
      <c r="C205" s="69" t="str">
        <f>IFERROR(__xludf.DUMMYFUNCTION("arrayformula(VLOOKUP(to_Text(A205),to_Text(sheet2!$A$1:M1002),13,0))"),"ONC")</f>
        <v>ONC</v>
      </c>
      <c r="D205" s="70" t="str">
        <f>IFERROR(__xludf.DUMMYFUNCTION("arrayformula(VLOOKUP(to_Text(A205),to_Text(sheet2!$A$1:M1002),12,0))"),"DEV")</f>
        <v>DEV</v>
      </c>
      <c r="E205" s="71" t="s">
        <v>15</v>
      </c>
      <c r="F205" s="67" t="str">
        <f t="array" ref="F205">IFERROR(
  INDEX(ATTENDANCE_INPUT!D:D,
    MATCH(1,
      (ATTENDANCE_INPUT!A:A=A205) *
      (ATTENDANCE_INPUT!V:V=MAXIFS(ATTENDANCE_INPUT!V:V, ATTENDANCE_INPUT!A:A, A205)),
      0)),
  "")</f>
        <v>Lanh Le</v>
      </c>
      <c r="G205" s="72" t="str">
        <f t="array" ref="G205">IFERROR(
  INDEX(ATTENDANCE_INPUT!E:E,
    MATCH(1,
      (ATTENDANCE_INPUT!A:A=A205) *
      (ATTENDANCE_INPUT!V:V=MAXIFS(ATTENDANCE_INPUT!V:V, ATTENDANCE_INPUT!A:A, A205)),
      0)),
  "")</f>
        <v>Communication 3</v>
      </c>
      <c r="H205" s="73" t="str">
        <f t="array" ref="H205">IF(ISNA(MATCH(A205,sheet2!A:A,0)),"⏳ Chưa test",IFERROR(INDEX(LEVEL_HELPER!A:A,MATCH(INDEX(sheet2!N:N,MATCH(A205,sheet2!A:A,0)),LEVEL_HELPER!B:B,0)),"⏳ Chưa test"))</f>
        <v>Beginner</v>
      </c>
      <c r="I205" s="73" t="str">
        <f t="array" ref="I205">IF(ISNA(MATCH(A205,sheet2!A:A,0)),H205,IF(INDEX(sheet2!O:O,MATCH(A205,sheet2!A:A,0))&gt;0,IFERROR(INDEX(LEVEL_HELPER!A:A,MATCH(INDEX(sheet2!O:O,MATCH(A205,sheet2!A:A,0)),LEVEL_HELPER!B:B,0)),H205),H205))</f>
        <v>Intermediate 1</v>
      </c>
      <c r="J205" s="73">
        <f>IFERROR(MAXIFS(ATTENDANCE_LOG!F:F, ATTENDANCE_LOG!C:C, A205&amp;"", ATTENDANCE_LOG!G:G, "Present"), "")</f>
        <v>46113.45833</v>
      </c>
      <c r="K205" s="74">
        <f t="shared" si="1"/>
        <v>117</v>
      </c>
      <c r="L205" s="75" t="str">
        <f t="shared" si="2"/>
        <v>⚠ Possibly Dropped</v>
      </c>
      <c r="M205" s="59"/>
      <c r="N205" s="77"/>
      <c r="O205" s="59" t="s">
        <v>555</v>
      </c>
      <c r="P205" s="59"/>
      <c r="Q205" s="59"/>
      <c r="R205" s="59"/>
      <c r="S205" s="59"/>
      <c r="T205" s="59"/>
      <c r="U205" s="59"/>
      <c r="V205" s="59"/>
      <c r="W205" s="87"/>
      <c r="X205" s="87"/>
      <c r="Y205" s="87"/>
    </row>
    <row r="206" ht="15.75" customHeight="1">
      <c r="A206" s="67" t="s">
        <v>556</v>
      </c>
      <c r="B206" s="68" t="s">
        <v>557</v>
      </c>
      <c r="C206" s="69" t="str">
        <f>IFERROR(__xludf.DUMMYFUNCTION("arrayformula(VLOOKUP(to_Text(A206),to_Text(sheet2!$A$1:M1002),13,0))"),"ONC")</f>
        <v>ONC</v>
      </c>
      <c r="D206" s="70" t="str">
        <f>IFERROR(__xludf.DUMMYFUNCTION("arrayformula(VLOOKUP(to_Text(A206),to_Text(sheet2!$A$1:M1002),12,0))"),"DEV")</f>
        <v>DEV</v>
      </c>
      <c r="E206" s="71" t="s">
        <v>16</v>
      </c>
      <c r="F206" s="67" t="str">
        <f t="array" ref="F206">IFERROR(
  INDEX(ATTENDANCE_INPUT!D:D,
    MATCH(1,
      (ATTENDANCE_INPUT!A:A=A206) *
      (ATTENDANCE_INPUT!V:V=MAXIFS(ATTENDANCE_INPUT!V:V, ATTENDANCE_INPUT!A:A, A206)),
      0)),
  "")</f>
        <v>Nhat Phan 1</v>
      </c>
      <c r="G206" s="72" t="str">
        <f t="array" ref="G206">IFERROR(
  INDEX(ATTENDANCE_INPUT!E:E,
    MATCH(1,
      (ATTENDANCE_INPUT!A:A=A206) *
      (ATTENDANCE_INPUT!V:V=MAXIFS(ATTENDANCE_INPUT!V:V, ATTENDANCE_INPUT!A:A, A206)),
      0)),
  "")</f>
        <v>Communication 2</v>
      </c>
      <c r="H206" s="73" t="str">
        <f t="array" ref="H206">IF(ISNA(MATCH(A206,sheet2!A:A,0)),"⏳ Chưa test",IFERROR(INDEX(LEVEL_HELPER!A:A,MATCH(INDEX(sheet2!N:N,MATCH(A206,sheet2!A:A,0)),LEVEL_HELPER!B:B,0)),"⏳ Chưa test"))</f>
        <v>Pre-Intermediate</v>
      </c>
      <c r="I206" s="73" t="str">
        <f t="array" ref="I206">IF(ISNA(MATCH(A206,sheet2!A:A,0)),H206,IF(INDEX(sheet2!O:O,MATCH(A206,sheet2!A:A,0))&gt;0,IFERROR(INDEX(LEVEL_HELPER!A:A,MATCH(INDEX(sheet2!O:O,MATCH(A206,sheet2!A:A,0)),LEVEL_HELPER!B:B,0)),H206),H206))</f>
        <v>Pre-Intermediate 2</v>
      </c>
      <c r="J206" s="73">
        <f>IFERROR(MAXIFS(ATTENDANCE_LOG!F:F, ATTENDANCE_LOG!C:C, A206&amp;"", ATTENDANCE_LOG!G:G, "Present"), "")</f>
        <v>46021.58333</v>
      </c>
      <c r="K206" s="74" t="str">
        <f t="shared" si="1"/>
        <v/>
      </c>
      <c r="L206" s="75" t="str">
        <f t="shared" si="2"/>
        <v/>
      </c>
      <c r="M206" s="59" t="s">
        <v>34</v>
      </c>
      <c r="N206" s="77" t="s">
        <v>33</v>
      </c>
      <c r="O206" s="59"/>
      <c r="P206" s="59"/>
      <c r="Q206" s="59"/>
      <c r="R206" s="59"/>
      <c r="S206" s="59"/>
      <c r="T206" s="59"/>
      <c r="U206" s="59"/>
      <c r="V206" s="59"/>
      <c r="W206" s="87"/>
      <c r="X206" s="87"/>
      <c r="Y206" s="87"/>
    </row>
    <row r="207" ht="15.75" customHeight="1">
      <c r="A207" s="67" t="s">
        <v>558</v>
      </c>
      <c r="B207" s="68" t="s">
        <v>559</v>
      </c>
      <c r="C207" s="69" t="str">
        <f>IFERROR(__xludf.DUMMYFUNCTION("arrayformula(VLOOKUP(to_Text(A207),to_Text(sheet2!$A$1:M1002),13,0))"),"POC")</f>
        <v>POC</v>
      </c>
      <c r="D207" s="70" t="str">
        <f>IFERROR(__xludf.DUMMYFUNCTION("arrayformula(VLOOKUP(to_Text(A207),to_Text(sheet2!$A$1:M1002),12,0))"),"GSD")</f>
        <v>GSD</v>
      </c>
      <c r="E207" s="68" t="str">
        <f>if(L207="⚠ Possibly Dropped","Inactive","Active")</f>
        <v>Active</v>
      </c>
      <c r="F207" s="67" t="str">
        <f t="array" ref="F207">IFERROR(
  INDEX(ATTENDANCE_INPUT!D:D,
    MATCH(1,
      (ATTENDANCE_INPUT!A:A=A207) *
      (ATTENDANCE_INPUT!V:V=MAXIFS(ATTENDANCE_INPUT!V:V, ATTENDANCE_INPUT!A:A, A207)),
      0)),
  "")</f>
        <v>Thanh Phung</v>
      </c>
      <c r="G207" s="72" t="str">
        <f t="array" ref="G207">IFERROR(
  INDEX(ATTENDANCE_INPUT!E:E,
    MATCH(1,
      (ATTENDANCE_INPUT!A:A=A207) *
      (ATTENDANCE_INPUT!V:V=MAXIFS(ATTENDANCE_INPUT!V:V, ATTENDANCE_INPUT!A:A, A207)),
      0)),
  "")</f>
        <v>Extension of Foundation</v>
      </c>
      <c r="H207" s="73" t="str">
        <f t="array" ref="H207">IF(ISNA(MATCH(A207,sheet2!A:A,0)),"⏳ Chưa test",IFERROR(INDEX(LEVEL_HELPER!A:A,MATCH(INDEX(sheet2!N:N,MATCH(A207,sheet2!A:A,0)),LEVEL_HELPER!B:B,0)),"⏳ Chưa test"))</f>
        <v>Foundation</v>
      </c>
      <c r="I207" s="73" t="str">
        <f t="array" ref="I207">IF(ISNA(MATCH(A207,sheet2!A:A,0)),H207,IF(INDEX(sheet2!O:O,MATCH(A207,sheet2!A:A,0))&gt;0,IFERROR(INDEX(LEVEL_HELPER!A:A,MATCH(INDEX(sheet2!O:O,MATCH(A207,sheet2!A:A,0)),LEVEL_HELPER!B:B,0)),H207),H207))</f>
        <v>Foundation</v>
      </c>
      <c r="J207" s="73">
        <f>IFERROR(MAXIFS(ATTENDANCE_LOG!F:F, ATTENDANCE_LOG!C:C, A207&amp;"", ATTENDANCE_LOG!G:G, "Present"), "")</f>
        <v>46129.58333</v>
      </c>
      <c r="K207" s="74" t="str">
        <f t="shared" si="1"/>
        <v/>
      </c>
      <c r="L207" s="75" t="str">
        <f t="shared" si="2"/>
        <v/>
      </c>
      <c r="M207" s="59"/>
      <c r="N207" s="77"/>
      <c r="O207" s="59"/>
      <c r="P207" s="59"/>
      <c r="Q207" s="59"/>
      <c r="R207" s="59"/>
      <c r="S207" s="59"/>
      <c r="T207" s="59"/>
      <c r="U207" s="59"/>
      <c r="V207" s="59"/>
      <c r="W207" s="87"/>
      <c r="X207" s="87"/>
      <c r="Y207" s="87"/>
    </row>
    <row r="208" ht="15.75" customHeight="1">
      <c r="A208" s="67" t="s">
        <v>560</v>
      </c>
      <c r="B208" s="68" t="s">
        <v>561</v>
      </c>
      <c r="C208" s="69" t="str">
        <f>IFERROR(__xludf.DUMMYFUNCTION("arrayformula(VLOOKUP(to_Text(A208),to_Text(sheet2!$A$1:M1002),13,0))"),"CHORUS")</f>
        <v>CHORUS</v>
      </c>
      <c r="D208" s="70" t="str">
        <f>IFERROR(__xludf.DUMMYFUNCTION("arrayformula(VLOOKUP(to_Text(A208),to_Text(sheet2!$A$1:M1002),12,0))"),"QC")</f>
        <v>QC</v>
      </c>
      <c r="E208" s="71" t="s">
        <v>16</v>
      </c>
      <c r="F208" s="67" t="str">
        <f t="array" ref="F208">IFERROR(
  INDEX(ATTENDANCE_INPUT!D:D,
    MATCH(1,
      (ATTENDANCE_INPUT!A:A=A208) *
      (ATTENDANCE_INPUT!V:V=MAXIFS(ATTENDANCE_INPUT!V:V, ATTENDANCE_INPUT!A:A, A208)),
      0)),
  "")</f>
        <v>Buu Do 2</v>
      </c>
      <c r="G208" s="72" t="str">
        <f t="array" ref="G208">IFERROR(
  INDEX(ATTENDANCE_INPUT!E:E,
    MATCH(1,
      (ATTENDANCE_INPUT!A:A=A208) *
      (ATTENDANCE_INPUT!V:V=MAXIFS(ATTENDANCE_INPUT!V:V, ATTENDANCE_INPUT!A:A, A208)),
      0)),
  "")</f>
        <v>Communication 1</v>
      </c>
      <c r="H208" s="73" t="str">
        <f t="array" ref="H208">IF(ISNA(MATCH(A208,sheet2!A:A,0)),"⏳ Chưa test",IFERROR(INDEX(LEVEL_HELPER!A:A,MATCH(INDEX(sheet2!N:N,MATCH(A208,sheet2!A:A,0)),LEVEL_HELPER!B:B,0)),"⏳ Chưa test"))</f>
        <v>Beginner</v>
      </c>
      <c r="I208" s="73" t="str">
        <f t="array" ref="I208">IF(ISNA(MATCH(A208,sheet2!A:A,0)),H208,IF(INDEX(sheet2!O:O,MATCH(A208,sheet2!A:A,0))&gt;0,IFERROR(INDEX(LEVEL_HELPER!A:A,MATCH(INDEX(sheet2!O:O,MATCH(A208,sheet2!A:A,0)),LEVEL_HELPER!B:B,0)),H208),H208))</f>
        <v>Beginner</v>
      </c>
      <c r="J208" s="73">
        <f>IFERROR(MAXIFS(ATTENDANCE_LOG!F:F, ATTENDANCE_LOG!C:C, A208&amp;"", ATTENDANCE_LOG!G:G, "Present"), "")</f>
        <v>45882.54167</v>
      </c>
      <c r="K208" s="74" t="str">
        <f t="shared" si="1"/>
        <v/>
      </c>
      <c r="L208" s="75" t="str">
        <f t="shared" si="2"/>
        <v/>
      </c>
      <c r="M208" s="59" t="s">
        <v>36</v>
      </c>
      <c r="N208" s="77" t="s">
        <v>33</v>
      </c>
      <c r="O208" s="59"/>
      <c r="P208" s="59"/>
      <c r="Q208" s="59"/>
      <c r="R208" s="59">
        <v>247283.0</v>
      </c>
      <c r="S208" s="59" t="s">
        <v>146</v>
      </c>
      <c r="T208" s="59" t="s">
        <v>33</v>
      </c>
      <c r="U208" s="59" t="e">
        <v>#N/A</v>
      </c>
      <c r="V208" s="59"/>
      <c r="W208" s="87"/>
      <c r="X208" s="87"/>
      <c r="Y208" s="87"/>
    </row>
    <row r="209" ht="15.75" customHeight="1">
      <c r="A209" s="67" t="s">
        <v>562</v>
      </c>
      <c r="B209" s="68" t="s">
        <v>563</v>
      </c>
      <c r="C209" s="69" t="str">
        <f>IFERROR(__xludf.DUMMYFUNCTION("arrayformula(VLOOKUP(to_Text(A209),to_Text(sheet2!$A$1:M1002),13,0))"),"MOC")</f>
        <v>MOC</v>
      </c>
      <c r="D209" s="70" t="str">
        <f>IFERROR(__xludf.DUMMYFUNCTION("arrayformula(VLOOKUP(to_Text(A209),to_Text(sheet2!$A$1:M1002),12,0))"),"DEV")</f>
        <v>DEV</v>
      </c>
      <c r="E209" s="71" t="s">
        <v>16</v>
      </c>
      <c r="F209" s="67" t="str">
        <f t="array" ref="F209">IFERROR(
  INDEX(ATTENDANCE_INPUT!D:D,
    MATCH(1,
      (ATTENDANCE_INPUT!A:A=A209) *
      (ATTENDANCE_INPUT!V:V=MAXIFS(ATTENDANCE_INPUT!V:V, ATTENDANCE_INPUT!A:A, A209)),
      0)),
  "")</f>
        <v>Tai Pham</v>
      </c>
      <c r="G209" s="72" t="str">
        <f t="array" ref="G209">IFERROR(
  INDEX(ATTENDANCE_INPUT!E:E,
    MATCH(1,
      (ATTENDANCE_INPUT!A:A=A209) *
      (ATTENDANCE_INPUT!V:V=MAXIFS(ATTENDANCE_INPUT!V:V, ATTENDANCE_INPUT!A:A, A209)),
      0)),
  "")</f>
        <v>Communication 2</v>
      </c>
      <c r="H209" s="73" t="str">
        <f t="array" ref="H209">IF(ISNA(MATCH(A209,sheet2!A:A,0)),"⏳ Chưa test",IFERROR(INDEX(LEVEL_HELPER!A:A,MATCH(INDEX(sheet2!N:N,MATCH(A209,sheet2!A:A,0)),LEVEL_HELPER!B:B,0)),"⏳ Chưa test"))</f>
        <v>Beginner</v>
      </c>
      <c r="I209" s="73" t="str">
        <f t="array" ref="I209">IF(ISNA(MATCH(A209,sheet2!A:A,0)),H209,IF(INDEX(sheet2!O:O,MATCH(A209,sheet2!A:A,0))&gt;0,IFERROR(INDEX(LEVEL_HELPER!A:A,MATCH(INDEX(sheet2!O:O,MATCH(A209,sheet2!A:A,0)),LEVEL_HELPER!B:B,0)),H209),H209))</f>
        <v>Pre-Intermediate 2</v>
      </c>
      <c r="J209" s="73">
        <f>IFERROR(MAXIFS(ATTENDANCE_LOG!F:F, ATTENDANCE_LOG!C:C, A209&amp;"", ATTENDANCE_LOG!G:G, "Present"), "")</f>
        <v>46035.41667</v>
      </c>
      <c r="K209" s="74" t="str">
        <f t="shared" si="1"/>
        <v/>
      </c>
      <c r="L209" s="75" t="str">
        <f t="shared" si="2"/>
        <v/>
      </c>
      <c r="M209" s="59" t="s">
        <v>34</v>
      </c>
      <c r="N209" s="77" t="s">
        <v>37</v>
      </c>
      <c r="O209" s="59"/>
      <c r="P209" s="59"/>
      <c r="Q209" s="59"/>
      <c r="R209" s="59"/>
      <c r="S209" s="59"/>
      <c r="T209" s="59"/>
      <c r="U209" s="59"/>
      <c r="V209" s="59"/>
      <c r="W209" s="87"/>
      <c r="X209" s="87"/>
      <c r="Y209" s="87"/>
    </row>
    <row r="210" ht="15.75" customHeight="1">
      <c r="A210" s="67" t="s">
        <v>564</v>
      </c>
      <c r="B210" s="68" t="s">
        <v>565</v>
      </c>
      <c r="C210" s="69" t="str">
        <f>IFERROR(__xludf.DUMMYFUNCTION("arrayformula(VLOOKUP(to_Text(A210),to_Text(sheet2!$A$1:M1002),13,0))"),"BSG")</f>
        <v>BSG</v>
      </c>
      <c r="D210" s="70" t="str">
        <f>IFERROR(__xludf.DUMMYFUNCTION("arrayformula(VLOOKUP(to_Text(A210),to_Text(sheet2!$A$1:M1002),12,0))"),"Admin")</f>
        <v>Admin</v>
      </c>
      <c r="E210" s="71" t="s">
        <v>16</v>
      </c>
      <c r="F210" s="67" t="str">
        <f t="array" ref="F210">IFERROR(
  INDEX(ATTENDANCE_INPUT!D:D,
    MATCH(1,
      (ATTENDANCE_INPUT!A:A=A210) *
      (ATTENDANCE_INPUT!V:V=MAXIFS(ATTENDANCE_INPUT!V:V, ATTENDANCE_INPUT!A:A, A210)),
      0)),
  "")</f>
        <v>Nhat Bui</v>
      </c>
      <c r="G210" s="72" t="str">
        <f t="array" ref="G210">IFERROR(
  INDEX(ATTENDANCE_INPUT!E:E,
    MATCH(1,
      (ATTENDANCE_INPUT!A:A=A210) *
      (ATTENDANCE_INPUT!V:V=MAXIFS(ATTENDANCE_INPUT!V:V, ATTENDANCE_INPUT!A:A, A210)),
      0)),
  "")</f>
        <v>Communication 1</v>
      </c>
      <c r="H210" s="73" t="str">
        <f t="array" ref="H210">IF(ISNA(MATCH(A210,sheet2!A:A,0)),"⏳ Chưa test",IFERROR(INDEX(LEVEL_HELPER!A:A,MATCH(INDEX(sheet2!N:N,MATCH(A210,sheet2!A:A,0)),LEVEL_HELPER!B:B,0)),"⏳ Chưa test"))</f>
        <v>Beginner</v>
      </c>
      <c r="I210" s="73" t="str">
        <f t="array" ref="I210">IF(ISNA(MATCH(A210,sheet2!A:A,0)),H210,IF(INDEX(sheet2!O:O,MATCH(A210,sheet2!A:A,0))&gt;0,IFERROR(INDEX(LEVEL_HELPER!A:A,MATCH(INDEX(sheet2!O:O,MATCH(A210,sheet2!A:A,0)),LEVEL_HELPER!B:B,0)),H210),H210))</f>
        <v>Beginner</v>
      </c>
      <c r="J210" s="73">
        <f>IFERROR(MAXIFS(ATTENDANCE_LOG!F:F, ATTENDANCE_LOG!C:C, A210&amp;"", ATTENDANCE_LOG!G:G, "Present"), "")</f>
        <v>45653.41667</v>
      </c>
      <c r="K210" s="74" t="str">
        <f t="shared" si="1"/>
        <v/>
      </c>
      <c r="L210" s="75" t="str">
        <f t="shared" si="2"/>
        <v/>
      </c>
      <c r="M210" s="80" t="s">
        <v>36</v>
      </c>
      <c r="N210" s="77" t="s">
        <v>33</v>
      </c>
      <c r="O210" s="59"/>
      <c r="P210" s="59"/>
      <c r="Q210" s="59"/>
      <c r="R210" s="59"/>
      <c r="S210" s="59"/>
      <c r="T210" s="59"/>
      <c r="U210" s="59"/>
      <c r="V210" s="59"/>
      <c r="W210" s="87"/>
      <c r="X210" s="87"/>
      <c r="Y210" s="87"/>
    </row>
    <row r="211" ht="15.75" customHeight="1">
      <c r="A211" s="67" t="s">
        <v>566</v>
      </c>
      <c r="B211" s="68" t="s">
        <v>567</v>
      </c>
      <c r="C211" s="69" t="str">
        <f>IFERROR(__xludf.DUMMYFUNCTION("arrayformula(VLOOKUP(to_Text(A211),to_Text(sheet2!$A$1:M1002),13,0))"),"LBU")</f>
        <v>LBU</v>
      </c>
      <c r="D211" s="70" t="str">
        <f>IFERROR(__xludf.DUMMYFUNCTION("arrayformula(VLOOKUP(to_Text(A211),to_Text(sheet2!$A$1:M1002),12,0))"),"BA")</f>
        <v>BA</v>
      </c>
      <c r="E211" s="71" t="s">
        <v>16</v>
      </c>
      <c r="F211" s="67" t="str">
        <f t="array" ref="F211">IFERROR(
  INDEX(ATTENDANCE_INPUT!D:D,
    MATCH(1,
      (ATTENDANCE_INPUT!A:A=A211) *
      (ATTENDANCE_INPUT!V:V=MAXIFS(ATTENDANCE_INPUT!V:V, ATTENDANCE_INPUT!A:A, A211)),
      0)),
  "")</f>
        <v>Vinh Nguyen</v>
      </c>
      <c r="G211" s="72" t="str">
        <f t="array" ref="G211">IFERROR(
  INDEX(ATTENDANCE_INPUT!E:E,
    MATCH(1,
      (ATTENDANCE_INPUT!A:A=A211) *
      (ATTENDANCE_INPUT!V:V=MAXIFS(ATTENDANCE_INPUT!V:V, ATTENDANCE_INPUT!A:A, A211)),
      0)),
  "")</f>
        <v>Communication 2</v>
      </c>
      <c r="H211" s="73" t="str">
        <f t="array" ref="H211">IF(ISNA(MATCH(A211,sheet2!A:A,0)),"⏳ Chưa test",IFERROR(INDEX(LEVEL_HELPER!A:A,MATCH(INDEX(sheet2!N:N,MATCH(A211,sheet2!A:A,0)),LEVEL_HELPER!B:B,0)),"⏳ Chưa test"))</f>
        <v>Beginner</v>
      </c>
      <c r="I211" s="73" t="str">
        <f t="array" ref="I211">IF(ISNA(MATCH(A211,sheet2!A:A,0)),H211,IF(INDEX(sheet2!O:O,MATCH(A211,sheet2!A:A,0))&gt;0,IFERROR(INDEX(LEVEL_HELPER!A:A,MATCH(INDEX(sheet2!O:O,MATCH(A211,sheet2!A:A,0)),LEVEL_HELPER!B:B,0)),H211),H211))</f>
        <v>Beginner 2</v>
      </c>
      <c r="J211" s="73">
        <f>IFERROR(MAXIFS(ATTENDANCE_LOG!F:F, ATTENDANCE_LOG!C:C, A211&amp;"", ATTENDANCE_LOG!G:G, "Present"), "")</f>
        <v>45897.58333</v>
      </c>
      <c r="K211" s="74" t="str">
        <f t="shared" si="1"/>
        <v/>
      </c>
      <c r="L211" s="75" t="str">
        <f t="shared" si="2"/>
        <v/>
      </c>
      <c r="M211" s="59" t="s">
        <v>36</v>
      </c>
      <c r="N211" s="77" t="s">
        <v>33</v>
      </c>
      <c r="O211" s="59"/>
      <c r="P211" s="59"/>
      <c r="Q211" s="59"/>
      <c r="R211" s="59"/>
      <c r="S211" s="59"/>
      <c r="T211" s="59"/>
      <c r="U211" s="59"/>
      <c r="V211" s="59"/>
      <c r="W211" s="87"/>
      <c r="X211" s="87"/>
      <c r="Y211" s="87"/>
    </row>
    <row r="212" ht="15.75" customHeight="1">
      <c r="A212" s="67" t="s">
        <v>568</v>
      </c>
      <c r="B212" s="68" t="s">
        <v>569</v>
      </c>
      <c r="C212" s="69" t="str">
        <f>IFERROR(__xludf.DUMMYFUNCTION("arrayformula(VLOOKUP(to_Text(A212),to_Text(sheet2!$A$1:M1002),13,0))"),"LBU")</f>
        <v>LBU</v>
      </c>
      <c r="D212" s="70" t="str">
        <f>IFERROR(__xludf.DUMMYFUNCTION("arrayformula(VLOOKUP(to_Text(A212),to_Text(sheet2!$A$1:M1002),12,0))"),"DEV")</f>
        <v>DEV</v>
      </c>
      <c r="E212" s="68" t="s">
        <v>175</v>
      </c>
      <c r="F212" s="67" t="str">
        <f t="array" ref="F212">IFERROR(
  INDEX(ATTENDANCE_INPUT!D:D,
    MATCH(1,
      (ATTENDANCE_INPUT!A:A=A212) *
      (ATTENDANCE_INPUT!V:V=MAXIFS(ATTENDANCE_INPUT!V:V, ATTENDANCE_INPUT!A:A, A212)),
      0)),
  "")</f>
        <v>Nhat Nguyen</v>
      </c>
      <c r="G212" s="72" t="str">
        <f t="array" ref="G212">IFERROR(
  INDEX(ATTENDANCE_INPUT!E:E,
    MATCH(1,
      (ATTENDANCE_INPUT!A:A=A212) *
      (ATTENDANCE_INPUT!V:V=MAXIFS(ATTENDANCE_INPUT!V:V, ATTENDANCE_INPUT!A:A, A212)),
      0)),
  "")</f>
        <v>Communication 2</v>
      </c>
      <c r="H212" s="73" t="str">
        <f t="array" ref="H212">IF(ISNA(MATCH(A212,sheet2!A:A,0)),"⏳ Chưa test",IFERROR(INDEX(LEVEL_HELPER!A:A,MATCH(INDEX(sheet2!N:N,MATCH(A212,sheet2!A:A,0)),LEVEL_HELPER!B:B,0)),"⏳ Chưa test"))</f>
        <v>Beginner</v>
      </c>
      <c r="I212" s="73" t="str">
        <f t="array" ref="I212">IF(ISNA(MATCH(A212,sheet2!A:A,0)),H212,IF(INDEX(sheet2!O:O,MATCH(A212,sheet2!A:A,0))&gt;0,IFERROR(INDEX(LEVEL_HELPER!A:A,MATCH(INDEX(sheet2!O:O,MATCH(A212,sheet2!A:A,0)),LEVEL_HELPER!B:B,0)),H212),H212))</f>
        <v>Intermediate 1</v>
      </c>
      <c r="J212" s="73">
        <f>IFERROR(MAXIFS(ATTENDANCE_LOG!F:F, ATTENDANCE_LOG!C:C, A212&amp;"", ATTENDANCE_LOG!G:G, "Present"), "")</f>
        <v>46083.45833</v>
      </c>
      <c r="K212" s="74">
        <f t="shared" si="1"/>
        <v>87</v>
      </c>
      <c r="L212" s="75" t="str">
        <f t="shared" si="2"/>
        <v>⚠ Possibly Dropped</v>
      </c>
      <c r="M212" s="59"/>
      <c r="N212" s="77"/>
      <c r="O212" s="78"/>
      <c r="P212" s="78"/>
      <c r="Q212" s="78"/>
      <c r="R212" s="78"/>
      <c r="S212" s="78"/>
      <c r="T212" s="78"/>
      <c r="U212" s="78"/>
      <c r="V212" s="78"/>
      <c r="W212" s="60"/>
      <c r="X212" s="60"/>
      <c r="Y212" s="60"/>
    </row>
    <row r="213" ht="15.75" customHeight="1">
      <c r="A213" s="67" t="s">
        <v>570</v>
      </c>
      <c r="B213" s="68" t="s">
        <v>571</v>
      </c>
      <c r="C213" s="69" t="str">
        <f>IFERROR(__xludf.DUMMYFUNCTION("arrayformula(VLOOKUP(to_Text(A213),to_Text(sheet2!$A$1:M1002),13,0))"),"CHORUS")</f>
        <v>CHORUS</v>
      </c>
      <c r="D213" s="70" t="str">
        <f>IFERROR(__xludf.DUMMYFUNCTION("arrayformula(VLOOKUP(to_Text(A213),to_Text(sheet2!$A$1:M1002),12,0))"),"Designer")</f>
        <v>Designer</v>
      </c>
      <c r="E213" s="71" t="s">
        <v>16</v>
      </c>
      <c r="F213" s="67" t="str">
        <f t="array" ref="F213">IFERROR(
  INDEX(ATTENDANCE_INPUT!D:D,
    MATCH(1,
      (ATTENDANCE_INPUT!A:A=A213) *
      (ATTENDANCE_INPUT!V:V=MAXIFS(ATTENDANCE_INPUT!V:V, ATTENDANCE_INPUT!A:A, A213)),
      0)),
  "")</f>
        <v>Tan Tran</v>
      </c>
      <c r="G213" s="72" t="str">
        <f t="array" ref="G213">IFERROR(
  INDEX(ATTENDANCE_INPUT!E:E,
    MATCH(1,
      (ATTENDANCE_INPUT!A:A=A213) *
      (ATTENDANCE_INPUT!V:V=MAXIFS(ATTENDANCE_INPUT!V:V, ATTENDANCE_INPUT!A:A, A213)),
      0)),
  "")</f>
        <v>Business English</v>
      </c>
      <c r="H213" s="73" t="str">
        <f t="array" ref="H213">IF(ISNA(MATCH(A213,sheet2!A:A,0)),"⏳ Chưa test",IFERROR(INDEX(LEVEL_HELPER!A:A,MATCH(INDEX(sheet2!N:N,MATCH(A213,sheet2!A:A,0)),LEVEL_HELPER!B:B,0)),"⏳ Chưa test"))</f>
        <v>Intermediate</v>
      </c>
      <c r="I213" s="73" t="str">
        <f t="array" ref="I213">IF(ISNA(MATCH(A213,sheet2!A:A,0)),H213,IF(INDEX(sheet2!O:O,MATCH(A213,sheet2!A:A,0))&gt;0,IFERROR(INDEX(LEVEL_HELPER!A:A,MATCH(INDEX(sheet2!O:O,MATCH(A213,sheet2!A:A,0)),LEVEL_HELPER!B:B,0)),H213),H213))</f>
        <v>Upper-Intermediate</v>
      </c>
      <c r="J213" s="73">
        <f>IFERROR(MAXIFS(ATTENDANCE_LOG!F:F, ATTENDANCE_LOG!C:C, A213&amp;"", ATTENDANCE_LOG!G:G, "Present"), "")</f>
        <v>46050.54167</v>
      </c>
      <c r="K213" s="74" t="str">
        <f t="shared" si="1"/>
        <v/>
      </c>
      <c r="L213" s="75" t="str">
        <f t="shared" si="2"/>
        <v/>
      </c>
      <c r="M213" s="59" t="s">
        <v>34</v>
      </c>
      <c r="N213" s="77" t="s">
        <v>37</v>
      </c>
      <c r="O213" s="59"/>
      <c r="P213" s="59"/>
      <c r="Q213" s="59"/>
      <c r="R213" s="59"/>
      <c r="S213" s="59"/>
      <c r="T213" s="59"/>
      <c r="U213" s="59"/>
      <c r="V213" s="59"/>
      <c r="W213" s="87"/>
      <c r="X213" s="87"/>
      <c r="Y213" s="87"/>
    </row>
    <row r="214" ht="15.75" customHeight="1">
      <c r="A214" s="67" t="s">
        <v>572</v>
      </c>
      <c r="B214" s="68" t="s">
        <v>573</v>
      </c>
      <c r="C214" s="69" t="str">
        <f>IFERROR(__xludf.DUMMYFUNCTION("arrayformula(VLOOKUP(to_Text(A214),to_Text(sheet2!$A$1:M1002),13,0))"),"TBU")</f>
        <v>TBU</v>
      </c>
      <c r="D214" s="70" t="str">
        <f>IFERROR(__xludf.DUMMYFUNCTION("arrayformula(VLOOKUP(to_Text(A214),to_Text(sheet2!$A$1:M1002),12,0))"),"DEV")</f>
        <v>DEV</v>
      </c>
      <c r="E214" s="71" t="s">
        <v>16</v>
      </c>
      <c r="F214" s="67" t="str">
        <f t="array" ref="F214">IFERROR(
  INDEX(ATTENDANCE_INPUT!D:D,
    MATCH(1,
      (ATTENDANCE_INPUT!A:A=A214) *
      (ATTENDANCE_INPUT!V:V=MAXIFS(ATTENDANCE_INPUT!V:V, ATTENDANCE_INPUT!A:A, A214)),
      0)),
  "")</f>
        <v>Thien Truong</v>
      </c>
      <c r="G214" s="72" t="str">
        <f t="array" ref="G214">IFERROR(
  INDEX(ATTENDANCE_INPUT!E:E,
    MATCH(1,
      (ATTENDANCE_INPUT!A:A=A214) *
      (ATTENDANCE_INPUT!V:V=MAXIFS(ATTENDANCE_INPUT!V:V, ATTENDANCE_INPUT!A:A, A214)),
      0)),
  "")</f>
        <v>Communication 2</v>
      </c>
      <c r="H214" s="73" t="str">
        <f t="array" ref="H214">IF(ISNA(MATCH(A214,sheet2!A:A,0)),"⏳ Chưa test",IFERROR(INDEX(LEVEL_HELPER!A:A,MATCH(INDEX(sheet2!N:N,MATCH(A214,sheet2!A:A,0)),LEVEL_HELPER!B:B,0)),"⏳ Chưa test"))</f>
        <v>Beginner</v>
      </c>
      <c r="I214" s="73" t="str">
        <f t="array" ref="I214">IF(ISNA(MATCH(A214,sheet2!A:A,0)),H214,IF(INDEX(sheet2!O:O,MATCH(A214,sheet2!A:A,0))&gt;0,IFERROR(INDEX(LEVEL_HELPER!A:A,MATCH(INDEX(sheet2!O:O,MATCH(A214,sheet2!A:A,0)),LEVEL_HELPER!B:B,0)),H214),H214))</f>
        <v>Pre-Intermediate 1</v>
      </c>
      <c r="J214" s="73">
        <f>IFERROR(MAXIFS(ATTENDANCE_LOG!F:F, ATTENDANCE_LOG!C:C, A214&amp;"", ATTENDANCE_LOG!G:G, "Present"), "")</f>
        <v>46048.41667</v>
      </c>
      <c r="K214" s="74" t="str">
        <f t="shared" si="1"/>
        <v/>
      </c>
      <c r="L214" s="75" t="str">
        <f t="shared" si="2"/>
        <v/>
      </c>
      <c r="M214" s="80" t="s">
        <v>36</v>
      </c>
      <c r="N214" s="76" t="s">
        <v>42</v>
      </c>
      <c r="O214" s="59"/>
      <c r="P214" s="59"/>
      <c r="Q214" s="59"/>
      <c r="R214" s="59"/>
      <c r="S214" s="59"/>
      <c r="T214" s="59"/>
      <c r="U214" s="59"/>
      <c r="V214" s="59"/>
      <c r="W214" s="87"/>
      <c r="X214" s="87"/>
      <c r="Y214" s="87"/>
    </row>
    <row r="215" ht="15.75" customHeight="1">
      <c r="A215" s="67" t="s">
        <v>574</v>
      </c>
      <c r="B215" s="68" t="s">
        <v>575</v>
      </c>
      <c r="C215" s="69" t="str">
        <f>IFERROR(__xludf.DUMMYFUNCTION("arrayformula(VLOOKUP(to_Text(A215),to_Text(sheet2!$A$1:M1002),13,0))"),"TBU")</f>
        <v>TBU</v>
      </c>
      <c r="D215" s="70" t="str">
        <f>IFERROR(__xludf.DUMMYFUNCTION("arrayformula(VLOOKUP(to_Text(A215),to_Text(sheet2!$A$1:M1002),12,0))"),"GSD")</f>
        <v>GSD</v>
      </c>
      <c r="E215" s="68" t="str">
        <f>if(L215="⚠ Possibly Dropped","Inactive","Active")</f>
        <v>Active</v>
      </c>
      <c r="F215" s="67" t="str">
        <f t="array" ref="F215">IFERROR(
  INDEX(ATTENDANCE_INPUT!D:D,
    MATCH(1,
      (ATTENDANCE_INPUT!A:A=A215) *
      (ATTENDANCE_INPUT!V:V=MAXIFS(ATTENDANCE_INPUT!V:V, ATTENDANCE_INPUT!A:A, A215)),
      0)),
  "")</f>
        <v>Thanh Phung</v>
      </c>
      <c r="G215" s="72" t="str">
        <f t="array" ref="G215">IFERROR(
  INDEX(ATTENDANCE_INPUT!E:E,
    MATCH(1,
      (ATTENDANCE_INPUT!A:A=A215) *
      (ATTENDANCE_INPUT!V:V=MAXIFS(ATTENDANCE_INPUT!V:V, ATTENDANCE_INPUT!A:A, A215)),
      0)),
  "")</f>
        <v>Extension of Foundation</v>
      </c>
      <c r="H215" s="73" t="str">
        <f t="array" ref="H215">IF(ISNA(MATCH(A215,sheet2!A:A,0)),"⏳ Chưa test",IFERROR(INDEX(LEVEL_HELPER!A:A,MATCH(INDEX(sheet2!N:N,MATCH(A215,sheet2!A:A,0)),LEVEL_HELPER!B:B,0)),"⏳ Chưa test"))</f>
        <v>Foundation</v>
      </c>
      <c r="I215" s="73" t="str">
        <f t="array" ref="I215">IF(ISNA(MATCH(A215,sheet2!A:A,0)),H215,IF(INDEX(sheet2!O:O,MATCH(A215,sheet2!A:A,0))&gt;0,IFERROR(INDEX(LEVEL_HELPER!A:A,MATCH(INDEX(sheet2!O:O,MATCH(A215,sheet2!A:A,0)),LEVEL_HELPER!B:B,0)),H215),H215))</f>
        <v>Foundation</v>
      </c>
      <c r="J215" s="73">
        <f>IFERROR(MAXIFS(ATTENDANCE_LOG!F:F, ATTENDANCE_LOG!C:C, A215&amp;"", ATTENDANCE_LOG!G:G, "Present"), "")</f>
        <v>46129.58333</v>
      </c>
      <c r="K215" s="74" t="str">
        <f t="shared" si="1"/>
        <v/>
      </c>
      <c r="L215" s="75" t="str">
        <f t="shared" si="2"/>
        <v/>
      </c>
      <c r="M215" s="59"/>
      <c r="N215" s="77"/>
      <c r="O215" s="92"/>
      <c r="P215" s="59"/>
      <c r="Q215" s="59"/>
      <c r="R215" s="59"/>
      <c r="S215" s="59"/>
      <c r="T215" s="59"/>
      <c r="U215" s="59"/>
      <c r="V215" s="59"/>
      <c r="W215" s="87"/>
      <c r="X215" s="87"/>
      <c r="Y215" s="87"/>
    </row>
    <row r="216" ht="15.75" customHeight="1">
      <c r="A216" s="67" t="s">
        <v>576</v>
      </c>
      <c r="B216" s="68" t="s">
        <v>577</v>
      </c>
      <c r="C216" s="69" t="str">
        <f>IFERROR(__xludf.DUMMYFUNCTION("arrayformula(VLOOKUP(to_Text(A216),to_Text(sheet2!$A$1:M1002),13,0))"),"POC")</f>
        <v>POC</v>
      </c>
      <c r="D216" s="70" t="str">
        <f>IFERROR(__xludf.DUMMYFUNCTION("arrayformula(VLOOKUP(to_Text(A216),to_Text(sheet2!$A$1:M1002),12,0))"),"DEV")</f>
        <v>DEV</v>
      </c>
      <c r="E216" s="71" t="s">
        <v>16</v>
      </c>
      <c r="F216" s="67" t="str">
        <f t="array" ref="F216">IFERROR(
  INDEX(ATTENDANCE_INPUT!D:D,
    MATCH(1,
      (ATTENDANCE_INPUT!A:A=A216) *
      (ATTENDANCE_INPUT!V:V=MAXIFS(ATTENDANCE_INPUT!V:V, ATTENDANCE_INPUT!A:A, A216)),
      0)),
  "")</f>
        <v>Thien Truong</v>
      </c>
      <c r="G216" s="72" t="str">
        <f t="array" ref="G216">IFERROR(
  INDEX(ATTENDANCE_INPUT!E:E,
    MATCH(1,
      (ATTENDANCE_INPUT!A:A=A216) *
      (ATTENDANCE_INPUT!V:V=MAXIFS(ATTENDANCE_INPUT!V:V, ATTENDANCE_INPUT!A:A, A216)),
      0)),
  "")</f>
        <v>Communication 2</v>
      </c>
      <c r="H216" s="73" t="str">
        <f t="array" ref="H216">IF(ISNA(MATCH(A216,sheet2!A:A,0)),"⏳ Chưa test",IFERROR(INDEX(LEVEL_HELPER!A:A,MATCH(INDEX(sheet2!N:N,MATCH(A216,sheet2!A:A,0)),LEVEL_HELPER!B:B,0)),"⏳ Chưa test"))</f>
        <v>Pre-Intermediate</v>
      </c>
      <c r="I216" s="73" t="str">
        <f t="array" ref="I216">IF(ISNA(MATCH(A216,sheet2!A:A,0)),H216,IF(INDEX(sheet2!O:O,MATCH(A216,sheet2!A:A,0))&gt;0,IFERROR(INDEX(LEVEL_HELPER!A:A,MATCH(INDEX(sheet2!O:O,MATCH(A216,sheet2!A:A,0)),LEVEL_HELPER!B:B,0)),H216),H216))</f>
        <v>Pre-Intermediate 2</v>
      </c>
      <c r="J216" s="73">
        <f>IFERROR(MAXIFS(ATTENDANCE_LOG!F:F, ATTENDANCE_LOG!C:C, A216&amp;"", ATTENDANCE_LOG!G:G, "Present"), "")</f>
        <v>46048.41667</v>
      </c>
      <c r="K216" s="74" t="str">
        <f t="shared" si="1"/>
        <v/>
      </c>
      <c r="L216" s="75" t="str">
        <f t="shared" si="2"/>
        <v/>
      </c>
      <c r="M216" s="59" t="s">
        <v>34</v>
      </c>
      <c r="N216" s="77" t="s">
        <v>35</v>
      </c>
      <c r="O216" s="59" t="s">
        <v>578</v>
      </c>
      <c r="P216" s="59"/>
      <c r="Q216" s="59"/>
      <c r="R216" s="59"/>
      <c r="S216" s="59"/>
      <c r="T216" s="59"/>
      <c r="U216" s="59"/>
      <c r="V216" s="59"/>
      <c r="W216" s="87"/>
      <c r="X216" s="87"/>
      <c r="Y216" s="87"/>
    </row>
    <row r="217" ht="15.75" customHeight="1">
      <c r="A217" s="67" t="s">
        <v>579</v>
      </c>
      <c r="B217" s="68" t="s">
        <v>580</v>
      </c>
      <c r="C217" s="69" t="str">
        <f>IFERROR(__xludf.DUMMYFUNCTION("arrayformula(VLOOKUP(to_Text(A217),to_Text(sheet2!$A$1:M1002),13,0))"),"ONC")</f>
        <v>ONC</v>
      </c>
      <c r="D217" s="70" t="str">
        <f>IFERROR(__xludf.DUMMYFUNCTION("arrayformula(VLOOKUP(to_Text(A217),to_Text(sheet2!$A$1:M1002),12,0))"),"DEV")</f>
        <v>DEV</v>
      </c>
      <c r="E217" s="68" t="str">
        <f t="shared" ref="E217:E218" si="26">if(L217="⚠ Possibly Dropped","Inactive","Active")</f>
        <v>Active</v>
      </c>
      <c r="F217" s="67" t="str">
        <f t="array" ref="F217">IFERROR(
  INDEX(ATTENDANCE_INPUT!D:D,
    MATCH(1,
      (ATTENDANCE_INPUT!A:A=A217) *
      (ATTENDANCE_INPUT!V:V=MAXIFS(ATTENDANCE_INPUT!V:V, ATTENDANCE_INPUT!A:A, A217)),
      0)),
  "")</f>
        <v>Phuoc Ta</v>
      </c>
      <c r="G217" s="72" t="str">
        <f t="array" ref="G217">IFERROR(
  INDEX(ATTENDANCE_INPUT!E:E,
    MATCH(1,
      (ATTENDANCE_INPUT!A:A=A217) *
      (ATTENDANCE_INPUT!V:V=MAXIFS(ATTENDANCE_INPUT!V:V, ATTENDANCE_INPUT!A:A, A217)),
      0)),
  "")</f>
        <v>Communication 1</v>
      </c>
      <c r="H217" s="73" t="str">
        <f t="array" ref="H217">IF(ISNA(MATCH(A217,sheet2!A:A,0)),"⏳ Chưa test",IFERROR(INDEX(LEVEL_HELPER!A:A,MATCH(INDEX(sheet2!N:N,MATCH(A217,sheet2!A:A,0)),LEVEL_HELPER!B:B,0)),"⏳ Chưa test"))</f>
        <v>Beginner</v>
      </c>
      <c r="I217" s="73" t="str">
        <f t="array" ref="I217">IF(ISNA(MATCH(A217,sheet2!A:A,0)),H217,IF(INDEX(sheet2!O:O,MATCH(A217,sheet2!A:A,0))&gt;0,IFERROR(INDEX(LEVEL_HELPER!A:A,MATCH(INDEX(sheet2!O:O,MATCH(A217,sheet2!A:A,0)),LEVEL_HELPER!B:B,0)),H217),H217))</f>
        <v>Beginner</v>
      </c>
      <c r="J217" s="73">
        <f>IFERROR(MAXIFS(ATTENDANCE_LOG!F:F, ATTENDANCE_LOG!C:C, A217&amp;"", ATTENDANCE_LOG!G:G, "Present"), "")</f>
        <v>46112.45833</v>
      </c>
      <c r="K217" s="74" t="str">
        <f t="shared" si="1"/>
        <v/>
      </c>
      <c r="L217" s="75" t="str">
        <f t="shared" si="2"/>
        <v/>
      </c>
      <c r="M217" s="59"/>
      <c r="N217" s="77"/>
      <c r="O217" s="59"/>
      <c r="P217" s="59"/>
      <c r="Q217" s="59"/>
      <c r="R217" s="59"/>
      <c r="S217" s="59"/>
      <c r="T217" s="59"/>
      <c r="U217" s="59"/>
      <c r="V217" s="59"/>
      <c r="W217" s="87"/>
      <c r="X217" s="87"/>
      <c r="Y217" s="87"/>
    </row>
    <row r="218" ht="15.75" customHeight="1">
      <c r="A218" s="67" t="s">
        <v>581</v>
      </c>
      <c r="B218" s="68" t="s">
        <v>582</v>
      </c>
      <c r="C218" s="69" t="str">
        <f>IFERROR(__xludf.DUMMYFUNCTION("arrayformula(VLOOKUP(to_Text(A218),to_Text(sheet2!$A$1:M1002),13,0))"),"ONC")</f>
        <v>ONC</v>
      </c>
      <c r="D218" s="70" t="str">
        <f>IFERROR(__xludf.DUMMYFUNCTION("arrayformula(VLOOKUP(to_Text(A218),to_Text(sheet2!$A$1:M1002),12,0))"),"DEV")</f>
        <v>DEV</v>
      </c>
      <c r="E218" s="68" t="str">
        <f t="shared" si="26"/>
        <v>Active</v>
      </c>
      <c r="F218" s="67" t="str">
        <f t="array" ref="F218">IFERROR(
  INDEX(ATTENDANCE_INPUT!D:D,
    MATCH(1,
      (ATTENDANCE_INPUT!A:A=A218) *
      (ATTENDANCE_INPUT!V:V=MAXIFS(ATTENDANCE_INPUT!V:V, ATTENDANCE_INPUT!A:A, A218)),
      0)),
  "")</f>
        <v>Phuoc Ta</v>
      </c>
      <c r="G218" s="72" t="str">
        <f t="array" ref="G218">IFERROR(
  INDEX(ATTENDANCE_INPUT!E:E,
    MATCH(1,
      (ATTENDANCE_INPUT!A:A=A218) *
      (ATTENDANCE_INPUT!V:V=MAXIFS(ATTENDANCE_INPUT!V:V, ATTENDANCE_INPUT!A:A, A218)),
      0)),
  "")</f>
        <v>Communication 1</v>
      </c>
      <c r="H218" s="73" t="str">
        <f t="array" ref="H218">IF(ISNA(MATCH(A218,sheet2!A:A,0)),"⏳ Chưa test",IFERROR(INDEX(LEVEL_HELPER!A:A,MATCH(INDEX(sheet2!N:N,MATCH(A218,sheet2!A:A,0)),LEVEL_HELPER!B:B,0)),"⏳ Chưa test"))</f>
        <v>Beginner</v>
      </c>
      <c r="I218" s="73" t="str">
        <f t="array" ref="I218">IF(ISNA(MATCH(A218,sheet2!A:A,0)),H218,IF(INDEX(sheet2!O:O,MATCH(A218,sheet2!A:A,0))&gt;0,IFERROR(INDEX(LEVEL_HELPER!A:A,MATCH(INDEX(sheet2!O:O,MATCH(A218,sheet2!A:A,0)),LEVEL_HELPER!B:B,0)),H218),H218))</f>
        <v>Beginner</v>
      </c>
      <c r="J218" s="73">
        <f>IFERROR(MAXIFS(ATTENDANCE_LOG!F:F, ATTENDANCE_LOG!C:C, A218&amp;"", ATTENDANCE_LOG!G:G, "Present"), "")</f>
        <v>46126.45833</v>
      </c>
      <c r="K218" s="74" t="str">
        <f t="shared" si="1"/>
        <v/>
      </c>
      <c r="L218" s="75" t="str">
        <f t="shared" si="2"/>
        <v/>
      </c>
      <c r="M218" s="59"/>
      <c r="N218" s="77"/>
      <c r="O218" s="59"/>
      <c r="P218" s="59"/>
      <c r="Q218" s="59"/>
      <c r="R218" s="59"/>
      <c r="S218" s="59"/>
      <c r="T218" s="59"/>
      <c r="U218" s="59"/>
      <c r="V218" s="59"/>
      <c r="W218" s="87"/>
      <c r="X218" s="87"/>
      <c r="Y218" s="87"/>
    </row>
    <row r="219" ht="15.75" customHeight="1">
      <c r="A219" s="67" t="s">
        <v>583</v>
      </c>
      <c r="B219" s="68" t="s">
        <v>584</v>
      </c>
      <c r="C219" s="69" t="str">
        <f>IFERROR(__xludf.DUMMYFUNCTION("arrayformula(VLOOKUP(to_Text(A219),to_Text(sheet2!$A$1:M1002),13,0))"),"CHORUS")</f>
        <v>CHORUS</v>
      </c>
      <c r="D219" s="70" t="str">
        <f>IFERROR(__xludf.DUMMYFUNCTION("arrayformula(VLOOKUP(to_Text(A219),to_Text(sheet2!$A$1:M1002),12,0))"),"DEV")</f>
        <v>DEV</v>
      </c>
      <c r="E219" s="71" t="s">
        <v>16</v>
      </c>
      <c r="F219" s="67" t="str">
        <f t="array" ref="F219">IFERROR(
  INDEX(ATTENDANCE_INPUT!D:D,
    MATCH(1,
      (ATTENDANCE_INPUT!A:A=A219) *
      (ATTENDANCE_INPUT!V:V=MAXIFS(ATTENDANCE_INPUT!V:V, ATTENDANCE_INPUT!A:A, A219)),
      0)),
  "")</f>
        <v>Huy Tran 1</v>
      </c>
      <c r="G219" s="72" t="str">
        <f t="array" ref="G219">IFERROR(
  INDEX(ATTENDANCE_INPUT!E:E,
    MATCH(1,
      (ATTENDANCE_INPUT!A:A=A219) *
      (ATTENDANCE_INPUT!V:V=MAXIFS(ATTENDANCE_INPUT!V:V, ATTENDANCE_INPUT!A:A, A219)),
      0)),
  "")</f>
        <v>Communication 2</v>
      </c>
      <c r="H219" s="73" t="str">
        <f t="array" ref="H219">IF(ISNA(MATCH(A219,sheet2!A:A,0)),"⏳ Chưa test",IFERROR(INDEX(LEVEL_HELPER!A:A,MATCH(INDEX(sheet2!N:N,MATCH(A219,sheet2!A:A,0)),LEVEL_HELPER!B:B,0)),"⏳ Chưa test"))</f>
        <v>Pre-Intermediate</v>
      </c>
      <c r="I219" s="73" t="str">
        <f t="array" ref="I219">IF(ISNA(MATCH(A219,sheet2!A:A,0)),H219,IF(INDEX(sheet2!O:O,MATCH(A219,sheet2!A:A,0))&gt;0,IFERROR(INDEX(LEVEL_HELPER!A:A,MATCH(INDEX(sheet2!O:O,MATCH(A219,sheet2!A:A,0)),LEVEL_HELPER!B:B,0)),H219),H219))</f>
        <v>Intermediate</v>
      </c>
      <c r="J219" s="73">
        <f>IFERROR(MAXIFS(ATTENDANCE_LOG!F:F, ATTENDANCE_LOG!C:C, A219&amp;"", ATTENDANCE_LOG!G:G, "Present"), "")</f>
        <v>45895.45833</v>
      </c>
      <c r="K219" s="74" t="str">
        <f t="shared" si="1"/>
        <v/>
      </c>
      <c r="L219" s="75" t="str">
        <f t="shared" si="2"/>
        <v/>
      </c>
      <c r="M219" s="59" t="s">
        <v>36</v>
      </c>
      <c r="N219" s="77" t="s">
        <v>33</v>
      </c>
      <c r="O219" s="59"/>
      <c r="P219" s="59"/>
      <c r="Q219" s="59"/>
      <c r="R219" s="59"/>
      <c r="S219" s="59"/>
      <c r="T219" s="59"/>
      <c r="U219" s="59"/>
      <c r="V219" s="59"/>
      <c r="W219" s="87"/>
      <c r="X219" s="87"/>
      <c r="Y219" s="87"/>
    </row>
    <row r="220" ht="15.75" customHeight="1">
      <c r="A220" s="67" t="s">
        <v>585</v>
      </c>
      <c r="B220" s="68" t="s">
        <v>586</v>
      </c>
      <c r="C220" s="69" t="str">
        <f>IFERROR(__xludf.DUMMYFUNCTION("arrayformula(VLOOKUP(to_Text(A220),to_Text(sheet2!$A$1:M1002),13,0))"),"CHORUS")</f>
        <v>CHORUS</v>
      </c>
      <c r="D220" s="70" t="str">
        <f>IFERROR(__xludf.DUMMYFUNCTION("arrayformula(VLOOKUP(to_Text(A220),to_Text(sheet2!$A$1:M1002),12,0))"),"DEV")</f>
        <v>DEV</v>
      </c>
      <c r="E220" s="68" t="str">
        <f>if(L220="⚠ Possibly Dropped","Inactive","Active")</f>
        <v>Active</v>
      </c>
      <c r="F220" s="67" t="str">
        <f t="array" ref="F220">IFERROR(
  INDEX(ATTENDANCE_INPUT!D:D,
    MATCH(1,
      (ATTENDANCE_INPUT!A:A=A220) *
      (ATTENDANCE_INPUT!V:V=MAXIFS(ATTENDANCE_INPUT!V:V, ATTENDANCE_INPUT!A:A, A220)),
      0)),
  "")</f>
        <v>Phung Nguyen</v>
      </c>
      <c r="G220" s="72" t="str">
        <f t="array" ref="G220">IFERROR(
  INDEX(ATTENDANCE_INPUT!E:E,
    MATCH(1,
      (ATTENDANCE_INPUT!A:A=A220) *
      (ATTENDANCE_INPUT!V:V=MAXIFS(ATTENDANCE_INPUT!V:V, ATTENDANCE_INPUT!A:A, A220)),
      0)),
  "")</f>
        <v>Foundation</v>
      </c>
      <c r="H220" s="73" t="str">
        <f t="array" ref="H220">IF(ISNA(MATCH(A220,sheet2!A:A,0)),"⏳ Chưa test",IFERROR(INDEX(LEVEL_HELPER!A:A,MATCH(INDEX(sheet2!N:N,MATCH(A220,sheet2!A:A,0)),LEVEL_HELPER!B:B,0)),"⏳ Chưa test"))</f>
        <v>Foundation</v>
      </c>
      <c r="I220" s="73" t="str">
        <f t="array" ref="I220">IF(ISNA(MATCH(A220,sheet2!A:A,0)),H220,IF(INDEX(sheet2!O:O,MATCH(A220,sheet2!A:A,0))&gt;0,IFERROR(INDEX(LEVEL_HELPER!A:A,MATCH(INDEX(sheet2!O:O,MATCH(A220,sheet2!A:A,0)),LEVEL_HELPER!B:B,0)),H220),H220))</f>
        <v>Foundation</v>
      </c>
      <c r="J220" s="73">
        <f>IFERROR(MAXIFS(ATTENDANCE_LOG!F:F, ATTENDANCE_LOG!C:C, A220&amp;"", ATTENDANCE_LOG!G:G, "Present"), "")</f>
        <v>46135.45833</v>
      </c>
      <c r="K220" s="74" t="str">
        <f t="shared" si="1"/>
        <v/>
      </c>
      <c r="L220" s="75" t="str">
        <f t="shared" si="2"/>
        <v/>
      </c>
      <c r="M220" s="59"/>
      <c r="N220" s="77"/>
      <c r="O220" s="59"/>
      <c r="P220" s="59"/>
      <c r="Q220" s="59"/>
      <c r="R220" s="59"/>
      <c r="S220" s="59"/>
      <c r="T220" s="59"/>
      <c r="U220" s="59"/>
      <c r="V220" s="59"/>
      <c r="W220" s="87"/>
      <c r="X220" s="87"/>
      <c r="Y220" s="87"/>
    </row>
    <row r="221" ht="15.75" customHeight="1">
      <c r="A221" s="67" t="s">
        <v>587</v>
      </c>
      <c r="B221" s="68" t="s">
        <v>588</v>
      </c>
      <c r="C221" s="69" t="str">
        <f>IFERROR(__xludf.DUMMYFUNCTION("arrayformula(VLOOKUP(to_Text(A221),to_Text(sheet2!$A$1:M1002),13,0))"),"LBU")</f>
        <v>LBU</v>
      </c>
      <c r="D221" s="70" t="str">
        <f>IFERROR(__xludf.DUMMYFUNCTION("arrayformula(VLOOKUP(to_Text(A221),to_Text(sheet2!$A$1:M1002),12,0))"),"DEV")</f>
        <v>DEV</v>
      </c>
      <c r="E221" s="68" t="s">
        <v>175</v>
      </c>
      <c r="F221" s="67" t="str">
        <f t="array" ref="F221">IFERROR(
  INDEX(ATTENDANCE_INPUT!D:D,
    MATCH(1,
      (ATTENDANCE_INPUT!A:A=A221) *
      (ATTENDANCE_INPUT!V:V=MAXIFS(ATTENDANCE_INPUT!V:V, ATTENDANCE_INPUT!A:A, A221)),
      0)),
  "")</f>
        <v>Anh To</v>
      </c>
      <c r="G221" s="72" t="str">
        <f t="array" ref="G221">IFERROR(
  INDEX(ATTENDANCE_INPUT!E:E,
    MATCH(1,
      (ATTENDANCE_INPUT!A:A=A221) *
      (ATTENDANCE_INPUT!V:V=MAXIFS(ATTENDANCE_INPUT!V:V, ATTENDANCE_INPUT!A:A, A221)),
      0)),
  "")</f>
        <v>Communication 1</v>
      </c>
      <c r="H221" s="73" t="str">
        <f t="array" ref="H221">IF(ISNA(MATCH(A221,sheet2!A:A,0)),"⏳ Chưa test",IFERROR(INDEX(LEVEL_HELPER!A:A,MATCH(INDEX(sheet2!N:N,MATCH(A221,sheet2!A:A,0)),LEVEL_HELPER!B:B,0)),"⏳ Chưa test"))</f>
        <v>Beginner</v>
      </c>
      <c r="I221" s="73" t="str">
        <f t="array" ref="I221">IF(ISNA(MATCH(A221,sheet2!A:A,0)),H221,IF(INDEX(sheet2!O:O,MATCH(A221,sheet2!A:A,0))&gt;0,IFERROR(INDEX(LEVEL_HELPER!A:A,MATCH(INDEX(sheet2!O:O,MATCH(A221,sheet2!A:A,0)),LEVEL_HELPER!B:B,0)),H221),H221))</f>
        <v>Pre-Intermediate 1</v>
      </c>
      <c r="J221" s="73">
        <f>IFERROR(MAXIFS(ATTENDANCE_LOG!F:F, ATTENDANCE_LOG!C:C, A221&amp;"", ATTENDANCE_LOG!G:G, "Present"), "")</f>
        <v>45894.54167</v>
      </c>
      <c r="K221" s="74" t="str">
        <f t="shared" si="1"/>
        <v/>
      </c>
      <c r="L221" s="75" t="str">
        <f t="shared" si="2"/>
        <v/>
      </c>
      <c r="M221" s="59" t="s">
        <v>34</v>
      </c>
      <c r="N221" s="77" t="s">
        <v>33</v>
      </c>
      <c r="O221" s="78"/>
      <c r="P221" s="78"/>
      <c r="Q221" s="78"/>
      <c r="R221" s="78">
        <v>247142.0</v>
      </c>
      <c r="S221" s="78" t="s">
        <v>172</v>
      </c>
      <c r="T221" s="78" t="s">
        <v>39</v>
      </c>
      <c r="U221" s="78" t="str">
        <f>IFERROR(__xludf.DUMMYFUNCTION("arrayformula(vlookup(to_text(R221),to_text($A$4:$B1207),2,0))"),"#N/A")</f>
        <v>#N/A</v>
      </c>
      <c r="V221" s="78"/>
      <c r="W221" s="60"/>
      <c r="X221" s="60"/>
      <c r="Y221" s="60"/>
    </row>
    <row r="222" ht="15.75" customHeight="1">
      <c r="A222" s="67" t="s">
        <v>589</v>
      </c>
      <c r="B222" s="68" t="s">
        <v>590</v>
      </c>
      <c r="C222" s="69" t="str">
        <f>IFERROR(__xludf.DUMMYFUNCTION("arrayformula(VLOOKUP(to_Text(A222),to_Text(sheet2!$A$1:M1002),13,0))"),"TBU")</f>
        <v>TBU</v>
      </c>
      <c r="D222" s="70" t="str">
        <f>IFERROR(__xludf.DUMMYFUNCTION("arrayformula(VLOOKUP(to_Text(A222),to_Text(sheet2!$A$1:M1002),12,0))"),"DEV")</f>
        <v>DEV</v>
      </c>
      <c r="E222" s="71" t="s">
        <v>16</v>
      </c>
      <c r="F222" s="67" t="str">
        <f t="array" ref="F222">IFERROR(
  INDEX(ATTENDANCE_INPUT!D:D,
    MATCH(1,
      (ATTENDANCE_INPUT!A:A=A222) *
      (ATTENDANCE_INPUT!V:V=MAXIFS(ATTENDANCE_INPUT!V:V, ATTENDANCE_INPUT!A:A, A222)),
      0)),
  "")</f>
        <v>Minh Nguyen</v>
      </c>
      <c r="G222" s="72" t="str">
        <f t="array" ref="G222">IFERROR(
  INDEX(ATTENDANCE_INPUT!E:E,
    MATCH(1,
      (ATTENDANCE_INPUT!A:A=A222) *
      (ATTENDANCE_INPUT!V:V=MAXIFS(ATTENDANCE_INPUT!V:V, ATTENDANCE_INPUT!A:A, A222)),
      0)),
  "")</f>
        <v>Communication 1</v>
      </c>
      <c r="H222" s="73" t="str">
        <f t="array" ref="H222">IF(ISNA(MATCH(A222,sheet2!A:A,0)),"⏳ Chưa test",IFERROR(INDEX(LEVEL_HELPER!A:A,MATCH(INDEX(sheet2!N:N,MATCH(A222,sheet2!A:A,0)),LEVEL_HELPER!B:B,0)),"⏳ Chưa test"))</f>
        <v>⏳ Chưa test</v>
      </c>
      <c r="I222" s="73" t="str">
        <f t="array" ref="I222">IF(ISNA(MATCH(A222,sheet2!A:A,0)),H222,IF(INDEX(sheet2!O:O,MATCH(A222,sheet2!A:A,0))&gt;0,IFERROR(INDEX(LEVEL_HELPER!A:A,MATCH(INDEX(sheet2!O:O,MATCH(A222,sheet2!A:A,0)),LEVEL_HELPER!B:B,0)),H222),H222))</f>
        <v>⏳ Chưa test</v>
      </c>
      <c r="J222" s="73">
        <f>IFERROR(MAXIFS(ATTENDANCE_LOG!F:F, ATTENDANCE_LOG!C:C, A222&amp;"", ATTENDANCE_LOG!G:G, "Present"), "")</f>
        <v>45705.58333</v>
      </c>
      <c r="K222" s="74" t="str">
        <f t="shared" si="1"/>
        <v/>
      </c>
      <c r="L222" s="75" t="str">
        <f t="shared" si="2"/>
        <v/>
      </c>
      <c r="M222" s="80" t="s">
        <v>36</v>
      </c>
      <c r="N222" s="77" t="s">
        <v>33</v>
      </c>
      <c r="O222" s="59"/>
      <c r="P222" s="59"/>
      <c r="Q222" s="59"/>
      <c r="R222" s="59"/>
      <c r="S222" s="59"/>
      <c r="T222" s="59"/>
      <c r="U222" s="59"/>
      <c r="V222" s="59"/>
      <c r="W222" s="87"/>
      <c r="X222" s="87"/>
      <c r="Y222" s="87"/>
    </row>
    <row r="223" ht="15.75" customHeight="1">
      <c r="A223" s="67" t="s">
        <v>591</v>
      </c>
      <c r="B223" s="68" t="s">
        <v>592</v>
      </c>
      <c r="C223" s="69" t="str">
        <f>IFERROR(__xludf.DUMMYFUNCTION("arrayformula(VLOOKUP(to_Text(A223),to_Text(sheet2!$A$1:M1002),13,0))"),"LBU")</f>
        <v>LBU</v>
      </c>
      <c r="D223" s="70" t="str">
        <f>IFERROR(__xludf.DUMMYFUNCTION("arrayformula(VLOOKUP(to_Text(A223),to_Text(sheet2!$A$1:M1002),12,0))"),"DEV")</f>
        <v>DEV</v>
      </c>
      <c r="E223" s="68" t="str">
        <f>if(L223="⚠ Possibly Dropped","Inactive","Active")</f>
        <v>Inactive</v>
      </c>
      <c r="F223" s="67" t="str">
        <f t="array" ref="F223">IFERROR(
  INDEX(ATTENDANCE_INPUT!D:D,
    MATCH(1,
      (ATTENDANCE_INPUT!A:A=A223) *
      (ATTENDANCE_INPUT!V:V=MAXIFS(ATTENDANCE_INPUT!V:V, ATTENDANCE_INPUT!A:A, A223)),
      0)),
  "")</f>
        <v>Dung Hoang</v>
      </c>
      <c r="G223" s="72" t="str">
        <f t="array" ref="G223">IFERROR(
  INDEX(ATTENDANCE_INPUT!E:E,
    MATCH(1,
      (ATTENDANCE_INPUT!A:A=A223) *
      (ATTENDANCE_INPUT!V:V=MAXIFS(ATTENDANCE_INPUT!V:V, ATTENDANCE_INPUT!A:A, A223)),
      0)),
  "")</f>
        <v>Communication 1</v>
      </c>
      <c r="H223" s="73" t="str">
        <f t="array" ref="H223">IF(ISNA(MATCH(A223,sheet2!A:A,0)),"⏳ Chưa test",IFERROR(INDEX(LEVEL_HELPER!A:A,MATCH(INDEX(sheet2!N:N,MATCH(A223,sheet2!A:A,0)),LEVEL_HELPER!B:B,0)),"⏳ Chưa test"))</f>
        <v>⏳ Chưa test</v>
      </c>
      <c r="I223" s="73" t="str">
        <f t="array" ref="I223">IF(ISNA(MATCH(A223,sheet2!A:A,0)),H223,IF(INDEX(sheet2!O:O,MATCH(A223,sheet2!A:A,0))&gt;0,IFERROR(INDEX(LEVEL_HELPER!A:A,MATCH(INDEX(sheet2!O:O,MATCH(A223,sheet2!A:A,0)),LEVEL_HELPER!B:B,0)),H223),H223))</f>
        <v>⏳ Chưa test</v>
      </c>
      <c r="J223" s="73">
        <f>IFERROR(MAXIFS(ATTENDANCE_LOG!F:F, ATTENDANCE_LOG!C:C, A223&amp;"", ATTENDANCE_LOG!G:G, "Present"), "")</f>
        <v>45818.375</v>
      </c>
      <c r="K223" s="74">
        <f t="shared" si="1"/>
        <v>207</v>
      </c>
      <c r="L223" s="75" t="str">
        <f t="shared" si="2"/>
        <v>⚠ Possibly Dropped</v>
      </c>
      <c r="M223" s="80" t="s">
        <v>36</v>
      </c>
      <c r="N223" s="76" t="s">
        <v>42</v>
      </c>
      <c r="O223" s="59"/>
      <c r="P223" s="59"/>
      <c r="Q223" s="59"/>
      <c r="R223" s="59">
        <v>237236.0</v>
      </c>
      <c r="S223" s="59" t="s">
        <v>121</v>
      </c>
      <c r="T223" s="59" t="s">
        <v>122</v>
      </c>
      <c r="U223" s="59" t="str">
        <f>IFERROR(__xludf.DUMMYFUNCTION("arrayformula(vlookup(to_text(R223),to_text($A$4:$B1165),2,0))"),"#N/A")</f>
        <v>#N/A</v>
      </c>
      <c r="V223" s="59"/>
      <c r="W223" s="87"/>
      <c r="X223" s="87"/>
      <c r="Y223" s="87"/>
    </row>
    <row r="224" ht="15.75" customHeight="1">
      <c r="A224" s="81" t="s">
        <v>593</v>
      </c>
      <c r="B224" s="82" t="s">
        <v>594</v>
      </c>
      <c r="C224" s="69" t="str">
        <f>IFERROR(__xludf.DUMMYFUNCTION("arrayformula(VLOOKUP(to_Text(A224),to_Text(sheet2!$A$1:M1002),13,0))"),"MOC")</f>
        <v>MOC</v>
      </c>
      <c r="D224" s="70" t="str">
        <f>IFERROR(__xludf.DUMMYFUNCTION("arrayformula(VLOOKUP(to_Text(A224),to_Text(sheet2!$A$1:M1002),12,0))"),"DEV")</f>
        <v>DEV</v>
      </c>
      <c r="E224" s="68" t="s">
        <v>175</v>
      </c>
      <c r="F224" s="67" t="str">
        <f t="array" ref="F224">IFERROR(
  INDEX(ATTENDANCE_INPUT!D:D,
    MATCH(1,
      (ATTENDANCE_INPUT!A:A=A224) *
      (ATTENDANCE_INPUT!V:V=MAXIFS(ATTENDANCE_INPUT!V:V, ATTENDANCE_INPUT!A:A, A224)),
      0)),
  "")</f>
        <v>Anh To</v>
      </c>
      <c r="G224" s="72" t="str">
        <f t="array" ref="G224">IFERROR(
  INDEX(ATTENDANCE_INPUT!E:E,
    MATCH(1,
      (ATTENDANCE_INPUT!A:A=A224) *
      (ATTENDANCE_INPUT!V:V=MAXIFS(ATTENDANCE_INPUT!V:V, ATTENDANCE_INPUT!A:A, A224)),
      0)),
  "")</f>
        <v>Communication 2</v>
      </c>
      <c r="H224" s="73" t="str">
        <f t="array" ref="H224">IF(ISNA(MATCH(A224,sheet2!A:A,0)),"⏳ Chưa test",IFERROR(INDEX(LEVEL_HELPER!A:A,MATCH(INDEX(sheet2!N:N,MATCH(A224,sheet2!A:A,0)),LEVEL_HELPER!B:B,0)),"⏳ Chưa test"))</f>
        <v>Beginner</v>
      </c>
      <c r="I224" s="73" t="str">
        <f t="array" ref="I224">IF(ISNA(MATCH(A224,sheet2!A:A,0)),H224,IF(INDEX(sheet2!O:O,MATCH(A224,sheet2!A:A,0))&gt;0,IFERROR(INDEX(LEVEL_HELPER!A:A,MATCH(INDEX(sheet2!O:O,MATCH(A224,sheet2!A:A,0)),LEVEL_HELPER!B:B,0)),H224),H224))</f>
        <v>Beginner 2</v>
      </c>
      <c r="J224" s="83">
        <f>IFERROR(MAXIFS(ATTENDANCE_LOG!F:F, ATTENDANCE_LOG!C:C, A224&amp;"", ATTENDANCE_LOG!G:G, "Present"), "")</f>
        <v>46094.41667</v>
      </c>
      <c r="K224" s="84" t="str">
        <f t="shared" si="1"/>
        <v/>
      </c>
      <c r="L224" s="85" t="str">
        <f t="shared" si="2"/>
        <v/>
      </c>
      <c r="M224" s="78"/>
      <c r="N224" s="77"/>
      <c r="O224" s="59"/>
      <c r="P224" s="59"/>
      <c r="Q224" s="59"/>
      <c r="R224" s="59">
        <v>247213.0</v>
      </c>
      <c r="S224" s="59" t="s">
        <v>172</v>
      </c>
      <c r="T224" s="59" t="s">
        <v>39</v>
      </c>
      <c r="U224" s="59" t="str">
        <f>IFERROR(__xludf.DUMMYFUNCTION("arrayformula(vlookup(to_text(R224),to_text($A$4:$B1209),2,0))"),"#N/A")</f>
        <v>#N/A</v>
      </c>
      <c r="V224" s="59"/>
      <c r="W224" s="60"/>
      <c r="X224" s="60"/>
      <c r="Y224" s="60"/>
    </row>
    <row r="225" ht="15.75" customHeight="1">
      <c r="A225" s="67" t="s">
        <v>595</v>
      </c>
      <c r="B225" s="68" t="s">
        <v>596</v>
      </c>
      <c r="C225" s="69" t="str">
        <f>IFERROR(__xludf.DUMMYFUNCTION("arrayformula(VLOOKUP(to_Text(A225),to_Text(sheet2!$A$1:M1002),13,0))"),"LBU")</f>
        <v>LBU</v>
      </c>
      <c r="D225" s="70" t="str">
        <f>IFERROR(__xludf.DUMMYFUNCTION("arrayformula(VLOOKUP(to_Text(A225),to_Text(sheet2!$A$1:M1002),12,0))"),"DEV")</f>
        <v>DEV</v>
      </c>
      <c r="E225" s="71" t="s">
        <v>16</v>
      </c>
      <c r="F225" s="67" t="str">
        <f t="array" ref="F225">IFERROR(
  INDEX(ATTENDANCE_INPUT!D:D,
    MATCH(1,
      (ATTENDANCE_INPUT!A:A=A225) *
      (ATTENDANCE_INPUT!V:V=MAXIFS(ATTENDANCE_INPUT!V:V, ATTENDANCE_INPUT!A:A, A225)),
      0)),
  "")</f>
        <v>My Tran</v>
      </c>
      <c r="G225" s="72" t="str">
        <f t="array" ref="G225">IFERROR(
  INDEX(ATTENDANCE_INPUT!E:E,
    MATCH(1,
      (ATTENDANCE_INPUT!A:A=A225) *
      (ATTENDANCE_INPUT!V:V=MAXIFS(ATTENDANCE_INPUT!V:V, ATTENDANCE_INPUT!A:A, A225)),
      0)),
  "")</f>
        <v>Communication 2</v>
      </c>
      <c r="H225" s="73" t="str">
        <f t="array" ref="H225">IF(ISNA(MATCH(A225,sheet2!A:A,0)),"⏳ Chưa test",IFERROR(INDEX(LEVEL_HELPER!A:A,MATCH(INDEX(sheet2!N:N,MATCH(A225,sheet2!A:A,0)),LEVEL_HELPER!B:B,0)),"⏳ Chưa test"))</f>
        <v>Beginner</v>
      </c>
      <c r="I225" s="73" t="str">
        <f t="array" ref="I225">IF(ISNA(MATCH(A225,sheet2!A:A,0)),H225,IF(INDEX(sheet2!O:O,MATCH(A225,sheet2!A:A,0))&gt;0,IFERROR(INDEX(LEVEL_HELPER!A:A,MATCH(INDEX(sheet2!O:O,MATCH(A225,sheet2!A:A,0)),LEVEL_HELPER!B:B,0)),H225),H225))</f>
        <v>Beginner</v>
      </c>
      <c r="J225" s="73">
        <f>IFERROR(MAXIFS(ATTENDANCE_LOG!F:F, ATTENDANCE_LOG!C:C, A225&amp;"", ATTENDANCE_LOG!G:G, "Present"), "")</f>
        <v>46013.58333</v>
      </c>
      <c r="K225" s="74" t="str">
        <f t="shared" si="1"/>
        <v/>
      </c>
      <c r="L225" s="75" t="str">
        <f t="shared" si="2"/>
        <v/>
      </c>
      <c r="M225" s="80" t="s">
        <v>36</v>
      </c>
      <c r="N225" s="76" t="s">
        <v>42</v>
      </c>
      <c r="O225" s="59"/>
      <c r="P225" s="59"/>
      <c r="Q225" s="59"/>
      <c r="R225" s="59"/>
      <c r="S225" s="59"/>
      <c r="T225" s="59"/>
      <c r="U225" s="59"/>
      <c r="V225" s="59"/>
      <c r="W225" s="87"/>
      <c r="X225" s="87"/>
      <c r="Y225" s="87"/>
    </row>
    <row r="226" ht="15.75" customHeight="1">
      <c r="A226" s="67" t="s">
        <v>597</v>
      </c>
      <c r="B226" s="68" t="s">
        <v>598</v>
      </c>
      <c r="C226" s="69" t="str">
        <f>IFERROR(__xludf.DUMMYFUNCTION("arrayformula(VLOOKUP(to_Text(A226),to_Text(sheet2!$A$1:M1002),13,0))"),"MOC")</f>
        <v>MOC</v>
      </c>
      <c r="D226" s="70" t="str">
        <f>IFERROR(__xludf.DUMMYFUNCTION("arrayformula(VLOOKUP(to_Text(A226),to_Text(sheet2!$A$1:M1002),12,0))"),"GSD")</f>
        <v>GSD</v>
      </c>
      <c r="E226" s="68" t="str">
        <f>if(L226="⚠ Possibly Dropped","Inactive","Active")</f>
        <v>Active</v>
      </c>
      <c r="F226" s="67" t="str">
        <f t="array" ref="F226">IFERROR(
  INDEX(ATTENDANCE_INPUT!D:D,
    MATCH(1,
      (ATTENDANCE_INPUT!A:A=A226) *
      (ATTENDANCE_INPUT!V:V=MAXIFS(ATTENDANCE_INPUT!V:V, ATTENDANCE_INPUT!A:A, A226)),
      0)),
  "")</f>
        <v>Thuong Tran</v>
      </c>
      <c r="G226" s="72" t="str">
        <f t="array" ref="G226">IFERROR(
  INDEX(ATTENDANCE_INPUT!E:E,
    MATCH(1,
      (ATTENDANCE_INPUT!A:A=A226) *
      (ATTENDANCE_INPUT!V:V=MAXIFS(ATTENDANCE_INPUT!V:V, ATTENDANCE_INPUT!A:A, A226)),
      0)),
  "")</f>
        <v>Business English</v>
      </c>
      <c r="H226" s="73" t="str">
        <f t="array" ref="H226">IF(ISNA(MATCH(A226,sheet2!A:A,0)),"⏳ Chưa test",IFERROR(INDEX(LEVEL_HELPER!A:A,MATCH(INDEX(sheet2!N:N,MATCH(A226,sheet2!A:A,0)),LEVEL_HELPER!B:B,0)),"⏳ Chưa test"))</f>
        <v>Beginner</v>
      </c>
      <c r="I226" s="73" t="str">
        <f t="array" ref="I226">IF(ISNA(MATCH(A226,sheet2!A:A,0)),H226,IF(INDEX(sheet2!O:O,MATCH(A226,sheet2!A:A,0))&gt;0,IFERROR(INDEX(LEVEL_HELPER!A:A,MATCH(INDEX(sheet2!O:O,MATCH(A226,sheet2!A:A,0)),LEVEL_HELPER!B:B,0)),H226),H226))</f>
        <v>Intermediate 1</v>
      </c>
      <c r="J226" s="73">
        <f>IFERROR(MAXIFS(ATTENDANCE_LOG!F:F, ATTENDANCE_LOG!C:C, A226&amp;"", ATTENDANCE_LOG!G:G, "Present"), "")</f>
        <v>46126.54167</v>
      </c>
      <c r="K226" s="74" t="str">
        <f t="shared" si="1"/>
        <v/>
      </c>
      <c r="L226" s="75" t="str">
        <f t="shared" si="2"/>
        <v/>
      </c>
      <c r="M226" s="59"/>
      <c r="N226" s="77"/>
      <c r="O226" s="59"/>
      <c r="P226" s="59"/>
      <c r="Q226" s="59"/>
      <c r="R226" s="59"/>
      <c r="S226" s="59"/>
      <c r="T226" s="59"/>
      <c r="U226" s="59"/>
      <c r="V226" s="59"/>
      <c r="W226" s="87"/>
      <c r="X226" s="87"/>
      <c r="Y226" s="87"/>
    </row>
    <row r="227" ht="15.75" customHeight="1">
      <c r="A227" s="67" t="s">
        <v>599</v>
      </c>
      <c r="B227" s="68" t="s">
        <v>600</v>
      </c>
      <c r="C227" s="69" t="str">
        <f>IFERROR(__xludf.DUMMYFUNCTION("arrayformula(VLOOKUP(to_Text(A227),to_Text(sheet2!$A$1:M1002),13,0))"),"ONC")</f>
        <v>ONC</v>
      </c>
      <c r="D227" s="70" t="str">
        <f>IFERROR(__xludf.DUMMYFUNCTION("arrayformula(VLOOKUP(to_Text(A227),to_Text(sheet2!$A$1:M1002),12,0))"),"DEV")</f>
        <v>DEV</v>
      </c>
      <c r="E227" s="68" t="s">
        <v>15</v>
      </c>
      <c r="F227" s="67" t="str">
        <f t="array" ref="F227">IFERROR(
  INDEX(ATTENDANCE_INPUT!D:D,
    MATCH(1,
      (ATTENDANCE_INPUT!A:A=A227) *
      (ATTENDANCE_INPUT!V:V=MAXIFS(ATTENDANCE_INPUT!V:V, ATTENDANCE_INPUT!A:A, A227)),
      0)),
  "")</f>
        <v>Lanh Le</v>
      </c>
      <c r="G227" s="72" t="str">
        <f t="array" ref="G227">IFERROR(
  INDEX(ATTENDANCE_INPUT!E:E,
    MATCH(1,
      (ATTENDANCE_INPUT!A:A=A227) *
      (ATTENDANCE_INPUT!V:V=MAXIFS(ATTENDANCE_INPUT!V:V, ATTENDANCE_INPUT!A:A, A227)),
      0)),
  "")</f>
        <v>Communication 3</v>
      </c>
      <c r="H227" s="73" t="str">
        <f t="array" ref="H227">IF(ISNA(MATCH(A227,sheet2!A:A,0)),"⏳ Chưa test",IFERROR(INDEX(LEVEL_HELPER!A:A,MATCH(INDEX(sheet2!N:N,MATCH(A227,sheet2!A:A,0)),LEVEL_HELPER!B:B,0)),"⏳ Chưa test"))</f>
        <v>Pre-Intermediate</v>
      </c>
      <c r="I227" s="73" t="str">
        <f t="array" ref="I227">IF(ISNA(MATCH(A227,sheet2!A:A,0)),H227,IF(INDEX(sheet2!O:O,MATCH(A227,sheet2!A:A,0))&gt;0,IFERROR(INDEX(LEVEL_HELPER!A:A,MATCH(INDEX(sheet2!O:O,MATCH(A227,sheet2!A:A,0)),LEVEL_HELPER!B:B,0)),H227),H227))</f>
        <v>Pre-Intermediate 2</v>
      </c>
      <c r="J227" s="73">
        <f>IFERROR(MAXIFS(ATTENDANCE_LOG!F:F, ATTENDANCE_LOG!C:C, A227&amp;"", ATTENDANCE_LOG!G:G, "Present"), "")</f>
        <v>46113.45833</v>
      </c>
      <c r="K227" s="74">
        <f t="shared" si="1"/>
        <v>117</v>
      </c>
      <c r="L227" s="75" t="str">
        <f t="shared" si="2"/>
        <v>⚠ Possibly Dropped</v>
      </c>
      <c r="M227" s="59"/>
      <c r="N227" s="77"/>
      <c r="O227" s="59"/>
      <c r="P227" s="59"/>
      <c r="Q227" s="59"/>
      <c r="R227" s="59">
        <v>183421.0</v>
      </c>
      <c r="S227" s="59"/>
      <c r="T227" s="59"/>
      <c r="U227" s="59" t="str">
        <f>IFERROR(__xludf.DUMMYFUNCTION("arrayformula(vlookup(to_text(R227),to_text($A$4:$B1128),2,0))"),"NGUYỄN TẤT ĐẠT")</f>
        <v>NGUYỄN TẤT ĐẠT</v>
      </c>
      <c r="V227" s="59"/>
      <c r="W227" s="87"/>
      <c r="X227" s="87"/>
      <c r="Y227" s="87"/>
    </row>
    <row r="228" ht="15.75" customHeight="1">
      <c r="A228" s="67" t="s">
        <v>601</v>
      </c>
      <c r="B228" s="68" t="s">
        <v>602</v>
      </c>
      <c r="C228" s="69" t="str">
        <f>IFERROR(__xludf.DUMMYFUNCTION("arrayformula(VLOOKUP(to_Text(A228),to_Text(sheet2!$A$1:M1002),13,0))"),"LBU")</f>
        <v>LBU</v>
      </c>
      <c r="D228" s="70" t="str">
        <f>IFERROR(__xludf.DUMMYFUNCTION("arrayformula(VLOOKUP(to_Text(A228),to_Text(sheet2!$A$1:M1002),12,0))"),"QC")</f>
        <v>QC</v>
      </c>
      <c r="E228" s="71" t="s">
        <v>16</v>
      </c>
      <c r="F228" s="67" t="str">
        <f t="array" ref="F228">IFERROR(
  INDEX(ATTENDANCE_INPUT!D:D,
    MATCH(1,
      (ATTENDANCE_INPUT!A:A=A228) *
      (ATTENDANCE_INPUT!V:V=MAXIFS(ATTENDANCE_INPUT!V:V, ATTENDANCE_INPUT!A:A, A228)),
      0)),
  "")</f>
        <v>Thao Vu 2</v>
      </c>
      <c r="G228" s="72" t="str">
        <f t="array" ref="G228">IFERROR(
  INDEX(ATTENDANCE_INPUT!E:E,
    MATCH(1,
      (ATTENDANCE_INPUT!A:A=A228) *
      (ATTENDANCE_INPUT!V:V=MAXIFS(ATTENDANCE_INPUT!V:V, ATTENDANCE_INPUT!A:A, A228)),
      0)),
  "")</f>
        <v>Communication 1</v>
      </c>
      <c r="H228" s="73" t="str">
        <f t="array" ref="H228">IF(ISNA(MATCH(A228,sheet2!A:A,0)),"⏳ Chưa test",IFERROR(INDEX(LEVEL_HELPER!A:A,MATCH(INDEX(sheet2!N:N,MATCH(A228,sheet2!A:A,0)),LEVEL_HELPER!B:B,0)),"⏳ Chưa test"))</f>
        <v>Intermediate</v>
      </c>
      <c r="I228" s="73" t="str">
        <f t="array" ref="I228">IF(ISNA(MATCH(A228,sheet2!A:A,0)),H228,IF(INDEX(sheet2!O:O,MATCH(A228,sheet2!A:A,0))&gt;0,IFERROR(INDEX(LEVEL_HELPER!A:A,MATCH(INDEX(sheet2!O:O,MATCH(A228,sheet2!A:A,0)),LEVEL_HELPER!B:B,0)),H228),H228))</f>
        <v>Intermediate</v>
      </c>
      <c r="J228" s="73">
        <f>IFERROR(MAXIFS(ATTENDANCE_LOG!F:F, ATTENDANCE_LOG!C:C, A228&amp;"", ATTENDANCE_LOG!G:G, "Present"), "")</f>
        <v>45801.41667</v>
      </c>
      <c r="K228" s="74" t="str">
        <f t="shared" si="1"/>
        <v/>
      </c>
      <c r="L228" s="75" t="str">
        <f t="shared" si="2"/>
        <v/>
      </c>
      <c r="M228" s="80" t="s">
        <v>36</v>
      </c>
      <c r="N228" s="76" t="s">
        <v>42</v>
      </c>
      <c r="O228" s="59"/>
      <c r="P228" s="59"/>
      <c r="Q228" s="59"/>
      <c r="R228" s="59"/>
      <c r="S228" s="59"/>
      <c r="T228" s="59"/>
      <c r="U228" s="59"/>
      <c r="V228" s="59"/>
      <c r="W228" s="87"/>
      <c r="X228" s="87"/>
      <c r="Y228" s="87"/>
    </row>
    <row r="229" ht="15.75" customHeight="1">
      <c r="A229" s="67" t="s">
        <v>603</v>
      </c>
      <c r="B229" s="68" t="s">
        <v>604</v>
      </c>
      <c r="C229" s="69" t="str">
        <f>IFERROR(__xludf.DUMMYFUNCTION("arrayformula(VLOOKUP(to_Text(A229),to_Text(sheet2!$A$1:M1002),13,0))"),"TBU")</f>
        <v>TBU</v>
      </c>
      <c r="D229" s="70" t="str">
        <f>IFERROR(__xludf.DUMMYFUNCTION("arrayformula(VLOOKUP(to_Text(A229),to_Text(sheet2!$A$1:M1002),12,0))"),"DEV")</f>
        <v>DEV</v>
      </c>
      <c r="E229" s="68" t="s">
        <v>15</v>
      </c>
      <c r="F229" s="67" t="str">
        <f t="array" ref="F229">IFERROR(
  INDEX(ATTENDANCE_INPUT!D:D,
    MATCH(1,
      (ATTENDANCE_INPUT!A:A=A229) *
      (ATTENDANCE_INPUT!V:V=MAXIFS(ATTENDANCE_INPUT!V:V, ATTENDANCE_INPUT!A:A, A229)),
      0)),
  "")</f>
        <v>Hung Nguyen</v>
      </c>
      <c r="G229" s="72" t="str">
        <f t="array" ref="G229">IFERROR(
  INDEX(ATTENDANCE_INPUT!E:E,
    MATCH(1,
      (ATTENDANCE_INPUT!A:A=A229) *
      (ATTENDANCE_INPUT!V:V=MAXIFS(ATTENDANCE_INPUT!V:V, ATTENDANCE_INPUT!A:A, A229)),
      0)),
  "")</f>
        <v>Communication 2</v>
      </c>
      <c r="H229" s="73" t="str">
        <f t="array" ref="H229">IF(ISNA(MATCH(A229,sheet2!A:A,0)),"⏳ Chưa test",IFERROR(INDEX(LEVEL_HELPER!A:A,MATCH(INDEX(sheet2!N:N,MATCH(A229,sheet2!A:A,0)),LEVEL_HELPER!B:B,0)),"⏳ Chưa test"))</f>
        <v>Beginner</v>
      </c>
      <c r="I229" s="73" t="str">
        <f t="array" ref="I229">IF(ISNA(MATCH(A229,sheet2!A:A,0)),H229,IF(INDEX(sheet2!O:O,MATCH(A229,sheet2!A:A,0))&gt;0,IFERROR(INDEX(LEVEL_HELPER!A:A,MATCH(INDEX(sheet2!O:O,MATCH(A229,sheet2!A:A,0)),LEVEL_HELPER!B:B,0)),H229),H229))</f>
        <v>Intermediate 1</v>
      </c>
      <c r="J229" s="73">
        <f>IFERROR(MAXIFS(ATTENDANCE_LOG!F:F, ATTENDANCE_LOG!C:C, A229&amp;"", ATTENDANCE_LOG!G:G, "Present"), "")</f>
        <v>46104.41667</v>
      </c>
      <c r="K229" s="74" t="str">
        <f t="shared" si="1"/>
        <v/>
      </c>
      <c r="L229" s="75" t="str">
        <f t="shared" si="2"/>
        <v/>
      </c>
      <c r="M229" s="59"/>
      <c r="N229" s="77"/>
      <c r="O229" s="59"/>
      <c r="P229" s="59"/>
      <c r="Q229" s="59"/>
      <c r="R229" s="59"/>
      <c r="S229" s="59"/>
      <c r="T229" s="59"/>
      <c r="U229" s="59"/>
      <c r="V229" s="59"/>
      <c r="W229" s="87"/>
      <c r="X229" s="87"/>
      <c r="Y229" s="87"/>
    </row>
    <row r="230" ht="15.75" customHeight="1">
      <c r="A230" s="67" t="s">
        <v>605</v>
      </c>
      <c r="B230" s="68" t="s">
        <v>606</v>
      </c>
      <c r="C230" s="69" t="str">
        <f>IFERROR(__xludf.DUMMYFUNCTION("arrayformula(VLOOKUP(to_Text(A230),to_Text(sheet2!$A$1:M1002),13,0))"),"LBU")</f>
        <v>LBU</v>
      </c>
      <c r="D230" s="70" t="str">
        <f>IFERROR(__xludf.DUMMYFUNCTION("arrayformula(VLOOKUP(to_Text(A230),to_Text(sheet2!$A$1:M1002),12,0))"),"DEV")</f>
        <v>DEV</v>
      </c>
      <c r="E230" s="71" t="s">
        <v>16</v>
      </c>
      <c r="F230" s="67" t="str">
        <f t="array" ref="F230">IFERROR(
  INDEX(ATTENDANCE_INPUT!D:D,
    MATCH(1,
      (ATTENDANCE_INPUT!A:A=A230) *
      (ATTENDANCE_INPUT!V:V=MAXIFS(ATTENDANCE_INPUT!V:V, ATTENDANCE_INPUT!A:A, A230)),
      0)),
  "")</f>
        <v>Buu Do 1</v>
      </c>
      <c r="G230" s="72" t="str">
        <f t="array" ref="G230">IFERROR(
  INDEX(ATTENDANCE_INPUT!E:E,
    MATCH(1,
      (ATTENDANCE_INPUT!A:A=A230) *
      (ATTENDANCE_INPUT!V:V=MAXIFS(ATTENDANCE_INPUT!V:V, ATTENDANCE_INPUT!A:A, A230)),
      0)),
  "")</f>
        <v>Communication 1</v>
      </c>
      <c r="H230" s="73" t="str">
        <f t="array" ref="H230">IF(ISNA(MATCH(A230,sheet2!A:A,0)),"⏳ Chưa test",IFERROR(INDEX(LEVEL_HELPER!A:A,MATCH(INDEX(sheet2!N:N,MATCH(A230,sheet2!A:A,0)),LEVEL_HELPER!B:B,0)),"⏳ Chưa test"))</f>
        <v>Beginner</v>
      </c>
      <c r="I230" s="73" t="str">
        <f t="array" ref="I230">IF(ISNA(MATCH(A230,sheet2!A:A,0)),H230,IF(INDEX(sheet2!O:O,MATCH(A230,sheet2!A:A,0))&gt;0,IFERROR(INDEX(LEVEL_HELPER!A:A,MATCH(INDEX(sheet2!O:O,MATCH(A230,sheet2!A:A,0)),LEVEL_HELPER!B:B,0)),H230),H230))</f>
        <v>Beginner</v>
      </c>
      <c r="J230" s="73">
        <f>IFERROR(MAXIFS(ATTENDANCE_LOG!F:F, ATTENDANCE_LOG!C:C, A230&amp;"", ATTENDANCE_LOG!G:G, "Present"), "")</f>
        <v>45827.58333</v>
      </c>
      <c r="K230" s="74" t="str">
        <f t="shared" si="1"/>
        <v/>
      </c>
      <c r="L230" s="75" t="str">
        <f t="shared" si="2"/>
        <v/>
      </c>
      <c r="M230" s="59" t="s">
        <v>34</v>
      </c>
      <c r="N230" s="77" t="s">
        <v>33</v>
      </c>
      <c r="O230" s="59"/>
      <c r="P230" s="59"/>
      <c r="Q230" s="59"/>
      <c r="R230" s="59">
        <v>247366.0</v>
      </c>
      <c r="S230" s="59" t="s">
        <v>172</v>
      </c>
      <c r="T230" s="59" t="s">
        <v>39</v>
      </c>
      <c r="U230" s="59" t="e">
        <v>#N/A</v>
      </c>
      <c r="V230" s="59"/>
      <c r="W230" s="87"/>
      <c r="X230" s="87"/>
      <c r="Y230" s="87"/>
    </row>
    <row r="231" ht="15.75" customHeight="1">
      <c r="A231" s="67" t="s">
        <v>607</v>
      </c>
      <c r="B231" s="68" t="s">
        <v>608</v>
      </c>
      <c r="C231" s="69" t="str">
        <f>IFERROR(__xludf.DUMMYFUNCTION("arrayformula(VLOOKUP(to_Text(A231),to_Text(sheet2!$A$1:M1002),13,0))"),"CHORUS")</f>
        <v>CHORUS</v>
      </c>
      <c r="D231" s="70" t="str">
        <f>IFERROR(__xludf.DUMMYFUNCTION("arrayformula(VLOOKUP(to_Text(A231),to_Text(sheet2!$A$1:M1002),12,0))"),"DEV")</f>
        <v>DEV</v>
      </c>
      <c r="E231" s="68" t="s">
        <v>175</v>
      </c>
      <c r="F231" s="67" t="str">
        <f t="array" ref="F231">IFERROR(
  INDEX(ATTENDANCE_INPUT!D:D,
    MATCH(1,
      (ATTENDANCE_INPUT!A:A=A231) *
      (ATTENDANCE_INPUT!V:V=MAXIFS(ATTENDANCE_INPUT!V:V, ATTENDANCE_INPUT!A:A, A231)),
      0)),
  "")</f>
        <v>Qui Em</v>
      </c>
      <c r="G231" s="72" t="str">
        <f t="array" ref="G231">IFERROR(
  INDEX(ATTENDANCE_INPUT!E:E,
    MATCH(1,
      (ATTENDANCE_INPUT!A:A=A231) *
      (ATTENDANCE_INPUT!V:V=MAXIFS(ATTENDANCE_INPUT!V:V, ATTENDANCE_INPUT!A:A, A231)),
      0)),
  "")</f>
        <v>Communication 1</v>
      </c>
      <c r="H231" s="73" t="str">
        <f t="array" ref="H231">IF(ISNA(MATCH(A231,sheet2!A:A,0)),"⏳ Chưa test",IFERROR(INDEX(LEVEL_HELPER!A:A,MATCH(INDEX(sheet2!N:N,MATCH(A231,sheet2!A:A,0)),LEVEL_HELPER!B:B,0)),"⏳ Chưa test"))</f>
        <v>Beginner</v>
      </c>
      <c r="I231" s="73" t="str">
        <f t="array" ref="I231">IF(ISNA(MATCH(A231,sheet2!A:A,0)),H231,IF(INDEX(sheet2!O:O,MATCH(A231,sheet2!A:A,0))&gt;0,IFERROR(INDEX(LEVEL_HELPER!A:A,MATCH(INDEX(sheet2!O:O,MATCH(A231,sheet2!A:A,0)),LEVEL_HELPER!B:B,0)),H231),H231))</f>
        <v>Pre-Intermediate 2</v>
      </c>
      <c r="J231" s="73">
        <f>IFERROR(MAXIFS(ATTENDANCE_LOG!F:F, ATTENDANCE_LOG!C:C, A231&amp;"", ATTENDANCE_LOG!G:G, "Present"), "")</f>
        <v>45807.41667</v>
      </c>
      <c r="K231" s="74" t="str">
        <f t="shared" si="1"/>
        <v/>
      </c>
      <c r="L231" s="75" t="str">
        <f t="shared" si="2"/>
        <v/>
      </c>
      <c r="M231" s="59" t="s">
        <v>40</v>
      </c>
      <c r="N231" s="77"/>
      <c r="O231" s="78"/>
      <c r="P231" s="78"/>
      <c r="Q231" s="78"/>
      <c r="R231" s="78"/>
      <c r="S231" s="78"/>
      <c r="T231" s="78"/>
      <c r="U231" s="78"/>
      <c r="V231" s="78"/>
      <c r="W231" s="60"/>
      <c r="X231" s="60"/>
      <c r="Y231" s="60"/>
    </row>
    <row r="232" ht="15.75" customHeight="1">
      <c r="A232" s="67" t="s">
        <v>609</v>
      </c>
      <c r="B232" s="68" t="s">
        <v>610</v>
      </c>
      <c r="C232" s="69" t="str">
        <f>IFERROR(__xludf.DUMMYFUNCTION("arrayformula(VLOOKUP(to_Text(A232),to_Text(sheet2!$A$1:M1002),13,0))"),"POC")</f>
        <v>POC</v>
      </c>
      <c r="D232" s="70" t="str">
        <f>IFERROR(__xludf.DUMMYFUNCTION("arrayformula(VLOOKUP(to_Text(A232),to_Text(sheet2!$A$1:M1002),12,0))"),"GSD")</f>
        <v>GSD</v>
      </c>
      <c r="E232" s="68" t="str">
        <f>if(L232="⚠ Possibly Dropped","Inactive","Active")</f>
        <v>Active</v>
      </c>
      <c r="F232" s="67" t="str">
        <f t="array" ref="F232">IFERROR(
  INDEX(ATTENDANCE_INPUT!D:D,
    MATCH(1,
      (ATTENDANCE_INPUT!A:A=A232) *
      (ATTENDANCE_INPUT!V:V=MAXIFS(ATTENDANCE_INPUT!V:V, ATTENDANCE_INPUT!A:A, A232)),
      0)),
  "")</f>
        <v>Vinh Tran</v>
      </c>
      <c r="G232" s="72" t="str">
        <f t="array" ref="G232">IFERROR(
  INDEX(ATTENDANCE_INPUT!E:E,
    MATCH(1,
      (ATTENDANCE_INPUT!A:A=A232) *
      (ATTENDANCE_INPUT!V:V=MAXIFS(ATTENDANCE_INPUT!V:V, ATTENDANCE_INPUT!A:A, A232)),
      0)),
  "")</f>
        <v>Communication 2</v>
      </c>
      <c r="H232" s="73" t="str">
        <f t="array" ref="H232">IF(ISNA(MATCH(A232,sheet2!A:A,0)),"⏳ Chưa test",IFERROR(INDEX(LEVEL_HELPER!A:A,MATCH(INDEX(sheet2!N:N,MATCH(A232,sheet2!A:A,0)),LEVEL_HELPER!B:B,0)),"⏳ Chưa test"))</f>
        <v>Beginner</v>
      </c>
      <c r="I232" s="73" t="str">
        <f t="array" ref="I232">IF(ISNA(MATCH(A232,sheet2!A:A,0)),H232,IF(INDEX(sheet2!O:O,MATCH(A232,sheet2!A:A,0))&gt;0,IFERROR(INDEX(LEVEL_HELPER!A:A,MATCH(INDEX(sheet2!O:O,MATCH(A232,sheet2!A:A,0)),LEVEL_HELPER!B:B,0)),H232),H232))</f>
        <v>Pre-Intermediate 2</v>
      </c>
      <c r="J232" s="73">
        <f>IFERROR(MAXIFS(ATTENDANCE_LOG!F:F, ATTENDANCE_LOG!C:C, A232&amp;"", ATTENDANCE_LOG!G:G, "Present"), "")</f>
        <v>46134.54167</v>
      </c>
      <c r="K232" s="74" t="str">
        <f t="shared" si="1"/>
        <v/>
      </c>
      <c r="L232" s="75" t="str">
        <f t="shared" si="2"/>
        <v/>
      </c>
      <c r="M232" s="59"/>
      <c r="N232" s="77"/>
      <c r="O232" s="59"/>
      <c r="P232" s="59"/>
      <c r="Q232" s="59"/>
      <c r="R232" s="59"/>
      <c r="S232" s="59"/>
      <c r="T232" s="59"/>
      <c r="U232" s="59"/>
      <c r="V232" s="59"/>
      <c r="W232" s="87"/>
      <c r="X232" s="87"/>
      <c r="Y232" s="87"/>
    </row>
    <row r="233" ht="15.75" customHeight="1">
      <c r="A233" s="67" t="s">
        <v>611</v>
      </c>
      <c r="B233" s="68" t="s">
        <v>612</v>
      </c>
      <c r="C233" s="69" t="str">
        <f>IFERROR(__xludf.DUMMYFUNCTION("arrayformula(VLOOKUP(to_Text(A233),to_Text(sheet2!$A$1:M1002),13,0))"),"LBU")</f>
        <v>LBU</v>
      </c>
      <c r="D233" s="70" t="str">
        <f>IFERROR(__xludf.DUMMYFUNCTION("arrayformula(VLOOKUP(to_Text(A233),to_Text(sheet2!$A$1:M1002),12,0))"),"QC")</f>
        <v>QC</v>
      </c>
      <c r="E233" s="68" t="s">
        <v>15</v>
      </c>
      <c r="F233" s="67" t="str">
        <f t="array" ref="F233">IFERROR(
  INDEX(ATTENDANCE_INPUT!D:D,
    MATCH(1,
      (ATTENDANCE_INPUT!A:A=A233) *
      (ATTENDANCE_INPUT!V:V=MAXIFS(ATTENDANCE_INPUT!V:V, ATTENDANCE_INPUT!A:A, A233)),
      0)),
  "")</f>
        <v>Lanh Le</v>
      </c>
      <c r="G233" s="72" t="str">
        <f t="array" ref="G233">IFERROR(
  INDEX(ATTENDANCE_INPUT!E:E,
    MATCH(1,
      (ATTENDANCE_INPUT!A:A=A233) *
      (ATTENDANCE_INPUT!V:V=MAXIFS(ATTENDANCE_INPUT!V:V, ATTENDANCE_INPUT!A:A, A233)),
      0)),
  "")</f>
        <v>Communication 3</v>
      </c>
      <c r="H233" s="73" t="str">
        <f t="array" ref="H233">IF(ISNA(MATCH(A233,sheet2!A:A,0)),"⏳ Chưa test",IFERROR(INDEX(LEVEL_HELPER!A:A,MATCH(INDEX(sheet2!N:N,MATCH(A233,sheet2!A:A,0)),LEVEL_HELPER!B:B,0)),"⏳ Chưa test"))</f>
        <v>Beginner</v>
      </c>
      <c r="I233" s="73" t="str">
        <f t="array" ref="I233">IF(ISNA(MATCH(A233,sheet2!A:A,0)),H233,IF(INDEX(sheet2!O:O,MATCH(A233,sheet2!A:A,0))&gt;0,IFERROR(INDEX(LEVEL_HELPER!A:A,MATCH(INDEX(sheet2!O:O,MATCH(A233,sheet2!A:A,0)),LEVEL_HELPER!B:B,0)),H233),H233))</f>
        <v>Intermediate 1</v>
      </c>
      <c r="J233" s="73">
        <f>IFERROR(MAXIFS(ATTENDANCE_LOG!F:F, ATTENDANCE_LOG!C:C, A233&amp;"", ATTENDANCE_LOG!G:G, "Present"), "")</f>
        <v>46113.45833</v>
      </c>
      <c r="K233" s="74">
        <f t="shared" si="1"/>
        <v>117</v>
      </c>
      <c r="L233" s="75" t="str">
        <f t="shared" si="2"/>
        <v>⚠ Possibly Dropped</v>
      </c>
      <c r="M233" s="59"/>
      <c r="N233" s="77"/>
      <c r="O233" s="59"/>
      <c r="P233" s="59"/>
      <c r="Q233" s="59"/>
      <c r="R233" s="59">
        <v>193548.0</v>
      </c>
      <c r="S233" s="59"/>
      <c r="T233" s="59"/>
      <c r="U233" s="59" t="str">
        <f>IFERROR(__xludf.DUMMYFUNCTION("arrayformula(vlookup(to_text(R233),to_text($A$4:$B1133),2,0))"),"NGUYỄN THIÊN ÂN")</f>
        <v>NGUYỄN THIÊN ÂN</v>
      </c>
      <c r="V233" s="59"/>
      <c r="W233" s="87"/>
      <c r="X233" s="87"/>
      <c r="Y233" s="87"/>
    </row>
    <row r="234" ht="15.75" customHeight="1">
      <c r="A234" s="67" t="s">
        <v>613</v>
      </c>
      <c r="B234" s="68" t="s">
        <v>614</v>
      </c>
      <c r="C234" s="69" t="str">
        <f>IFERROR(__xludf.DUMMYFUNCTION("arrayformula(VLOOKUP(to_Text(A234),to_Text(sheet2!$A$1:M1002),13,0))"),"ONC")</f>
        <v>ONC</v>
      </c>
      <c r="D234" s="70" t="str">
        <f>IFERROR(__xludf.DUMMYFUNCTION("arrayformula(VLOOKUP(to_Text(A234),to_Text(sheet2!$A$1:M1002),12,0))"),"DEV")</f>
        <v>DEV</v>
      </c>
      <c r="E234" s="68" t="str">
        <f>if(L234="⚠ Possibly Dropped","Inactive","Active")</f>
        <v>Active</v>
      </c>
      <c r="F234" s="67" t="str">
        <f t="array" ref="F234">IFERROR(
  INDEX(ATTENDANCE_INPUT!D:D,
    MATCH(1,
      (ATTENDANCE_INPUT!A:A=A234) *
      (ATTENDANCE_INPUT!V:V=MAXIFS(ATTENDANCE_INPUT!V:V, ATTENDANCE_INPUT!A:A, A234)),
      0)),
  "")</f>
        <v>Phuoc Ta</v>
      </c>
      <c r="G234" s="72" t="str">
        <f t="array" ref="G234">IFERROR(
  INDEX(ATTENDANCE_INPUT!E:E,
    MATCH(1,
      (ATTENDANCE_INPUT!A:A=A234) *
      (ATTENDANCE_INPUT!V:V=MAXIFS(ATTENDANCE_INPUT!V:V, ATTENDANCE_INPUT!A:A, A234)),
      0)),
  "")</f>
        <v>Communication 1</v>
      </c>
      <c r="H234" s="73" t="str">
        <f t="array" ref="H234">IF(ISNA(MATCH(A234,sheet2!A:A,0)),"⏳ Chưa test",IFERROR(INDEX(LEVEL_HELPER!A:A,MATCH(INDEX(sheet2!N:N,MATCH(A234,sheet2!A:A,0)),LEVEL_HELPER!B:B,0)),"⏳ Chưa test"))</f>
        <v>Beginner</v>
      </c>
      <c r="I234" s="73" t="str">
        <f t="array" ref="I234">IF(ISNA(MATCH(A234,sheet2!A:A,0)),H234,IF(INDEX(sheet2!O:O,MATCH(A234,sheet2!A:A,0))&gt;0,IFERROR(INDEX(LEVEL_HELPER!A:A,MATCH(INDEX(sheet2!O:O,MATCH(A234,sheet2!A:A,0)),LEVEL_HELPER!B:B,0)),H234),H234))</f>
        <v>Beginner</v>
      </c>
      <c r="J234" s="73">
        <f>IFERROR(MAXIFS(ATTENDANCE_LOG!F:F, ATTENDANCE_LOG!C:C, A234&amp;"", ATTENDANCE_LOG!G:G, "Present"), "")</f>
        <v>46126.45833</v>
      </c>
      <c r="K234" s="74" t="str">
        <f t="shared" si="1"/>
        <v/>
      </c>
      <c r="L234" s="75" t="str">
        <f t="shared" si="2"/>
        <v/>
      </c>
      <c r="M234" s="59"/>
      <c r="N234" s="77"/>
      <c r="O234" s="59"/>
      <c r="P234" s="59"/>
      <c r="Q234" s="59"/>
      <c r="R234" s="59"/>
      <c r="S234" s="59"/>
      <c r="T234" s="59"/>
      <c r="U234" s="59"/>
      <c r="V234" s="59"/>
      <c r="W234" s="87"/>
      <c r="X234" s="87"/>
      <c r="Y234" s="87"/>
    </row>
    <row r="235" ht="15.75" customHeight="1">
      <c r="A235" s="67" t="s">
        <v>615</v>
      </c>
      <c r="B235" s="68" t="s">
        <v>616</v>
      </c>
      <c r="C235" s="69" t="str">
        <f>IFERROR(__xludf.DUMMYFUNCTION("arrayformula(VLOOKUP(to_Text(A235),to_Text(sheet2!$A$1:M1002),13,0))"),"LBU")</f>
        <v>LBU</v>
      </c>
      <c r="D235" s="70" t="str">
        <f>IFERROR(__xludf.DUMMYFUNCTION("arrayformula(VLOOKUP(to_Text(A235),to_Text(sheet2!$A$1:M1002),12,0))"),"QC")</f>
        <v>QC</v>
      </c>
      <c r="E235" s="71" t="s">
        <v>16</v>
      </c>
      <c r="F235" s="67" t="str">
        <f t="array" ref="F235">IFERROR(
  INDEX(ATTENDANCE_INPUT!D:D,
    MATCH(1,
      (ATTENDANCE_INPUT!A:A=A235) *
      (ATTENDANCE_INPUT!V:V=MAXIFS(ATTENDANCE_INPUT!V:V, ATTENDANCE_INPUT!A:A, A235)),
      0)),
  "")</f>
        <v>My Tran</v>
      </c>
      <c r="G235" s="72" t="str">
        <f t="array" ref="G235">IFERROR(
  INDEX(ATTENDANCE_INPUT!E:E,
    MATCH(1,
      (ATTENDANCE_INPUT!A:A=A235) *
      (ATTENDANCE_INPUT!V:V=MAXIFS(ATTENDANCE_INPUT!V:V, ATTENDANCE_INPUT!A:A, A235)),
      0)),
  "")</f>
        <v>Communication 2</v>
      </c>
      <c r="H235" s="73" t="str">
        <f t="array" ref="H235">IF(ISNA(MATCH(A235,sheet2!A:A,0)),"⏳ Chưa test",IFERROR(INDEX(LEVEL_HELPER!A:A,MATCH(INDEX(sheet2!N:N,MATCH(A235,sheet2!A:A,0)),LEVEL_HELPER!B:B,0)),"⏳ Chưa test"))</f>
        <v>Beginner</v>
      </c>
      <c r="I235" s="73" t="str">
        <f t="array" ref="I235">IF(ISNA(MATCH(A235,sheet2!A:A,0)),H235,IF(INDEX(sheet2!O:O,MATCH(A235,sheet2!A:A,0))&gt;0,IFERROR(INDEX(LEVEL_HELPER!A:A,MATCH(INDEX(sheet2!O:O,MATCH(A235,sheet2!A:A,0)),LEVEL_HELPER!B:B,0)),H235),H235))</f>
        <v>Pre-Intermediate 2</v>
      </c>
      <c r="J235" s="73">
        <f>IFERROR(MAXIFS(ATTENDANCE_LOG!F:F, ATTENDANCE_LOG!C:C, A235&amp;"", ATTENDANCE_LOG!G:G, "Present"), "")</f>
        <v>46013.58333</v>
      </c>
      <c r="K235" s="74" t="str">
        <f t="shared" si="1"/>
        <v/>
      </c>
      <c r="L235" s="75" t="str">
        <f t="shared" si="2"/>
        <v/>
      </c>
      <c r="M235" s="59" t="s">
        <v>36</v>
      </c>
      <c r="N235" s="77" t="s">
        <v>33</v>
      </c>
      <c r="O235" s="59"/>
      <c r="P235" s="59"/>
      <c r="Q235" s="59"/>
      <c r="R235" s="59"/>
      <c r="S235" s="59"/>
      <c r="T235" s="59"/>
      <c r="U235" s="59"/>
      <c r="V235" s="59"/>
      <c r="W235" s="87"/>
      <c r="X235" s="87"/>
      <c r="Y235" s="87"/>
    </row>
    <row r="236" ht="15.75" customHeight="1">
      <c r="A236" s="67" t="s">
        <v>617</v>
      </c>
      <c r="B236" s="68" t="s">
        <v>618</v>
      </c>
      <c r="C236" s="69" t="str">
        <f>IFERROR(__xludf.DUMMYFUNCTION("arrayformula(VLOOKUP(to_Text(A236),to_Text(sheet2!$A$1:M1002),13,0))"),"ONC")</f>
        <v>ONC</v>
      </c>
      <c r="D236" s="70" t="str">
        <f>IFERROR(__xludf.DUMMYFUNCTION("arrayformula(VLOOKUP(to_Text(A236),to_Text(sheet2!$A$1:M1002),12,0))"),"DEV")</f>
        <v>DEV</v>
      </c>
      <c r="E236" s="68" t="str">
        <f>if(L236="⚠ Possibly Dropped","Inactive","Active")</f>
        <v>Inactive</v>
      </c>
      <c r="F236" s="67" t="str">
        <f t="array" ref="F236">IFERROR(
  INDEX(ATTENDANCE_INPUT!D:D,
    MATCH(1,
      (ATTENDANCE_INPUT!A:A=A236) *
      (ATTENDANCE_INPUT!V:V=MAXIFS(ATTENDANCE_INPUT!V:V, ATTENDANCE_INPUT!A:A, A236)),
      0)),
  "")</f>
        <v>Cuong Nguyen</v>
      </c>
      <c r="G236" s="72" t="str">
        <f t="array" ref="G236">IFERROR(
  INDEX(ATTENDANCE_INPUT!E:E,
    MATCH(1,
      (ATTENDANCE_INPUT!A:A=A236) *
      (ATTENDANCE_INPUT!V:V=MAXIFS(ATTENDANCE_INPUT!V:V, ATTENDANCE_INPUT!A:A, A236)),
      0)),
  "")</f>
        <v>Communication 2</v>
      </c>
      <c r="H236" s="73" t="str">
        <f t="array" ref="H236">IF(ISNA(MATCH(A236,sheet2!A:A,0)),"⏳ Chưa test",IFERROR(INDEX(LEVEL_HELPER!A:A,MATCH(INDEX(sheet2!N:N,MATCH(A236,sheet2!A:A,0)),LEVEL_HELPER!B:B,0)),"⏳ Chưa test"))</f>
        <v>Beginner</v>
      </c>
      <c r="I236" s="73" t="str">
        <f t="array" ref="I236">IF(ISNA(MATCH(A236,sheet2!A:A,0)),H236,IF(INDEX(sheet2!O:O,MATCH(A236,sheet2!A:A,0))&gt;0,IFERROR(INDEX(LEVEL_HELPER!A:A,MATCH(INDEX(sheet2!O:O,MATCH(A236,sheet2!A:A,0)),LEVEL_HELPER!B:B,0)),H236),H236))</f>
        <v>Pre-Intermediate 2</v>
      </c>
      <c r="J236" s="73">
        <f>IFERROR(MAXIFS(ATTENDANCE_LOG!F:F, ATTENDANCE_LOG!C:C, A236&amp;"", ATTENDANCE_LOG!G:G, "Present"), "")</f>
        <v>46084.41667</v>
      </c>
      <c r="K236" s="74">
        <f t="shared" si="1"/>
        <v>59</v>
      </c>
      <c r="L236" s="75" t="str">
        <f t="shared" si="2"/>
        <v>⚠ Possibly Dropped</v>
      </c>
      <c r="M236" s="59" t="s">
        <v>34</v>
      </c>
      <c r="N236" s="76" t="s">
        <v>37</v>
      </c>
      <c r="O236" s="59"/>
      <c r="P236" s="59"/>
      <c r="Q236" s="59"/>
      <c r="R236" s="59">
        <v>237122.0</v>
      </c>
      <c r="S236" s="59" t="s">
        <v>354</v>
      </c>
      <c r="T236" s="59" t="s">
        <v>179</v>
      </c>
      <c r="U236" s="59" t="e">
        <v>#N/A</v>
      </c>
      <c r="V236" s="59"/>
      <c r="W236" s="87"/>
      <c r="X236" s="87"/>
      <c r="Y236" s="87"/>
    </row>
    <row r="237" ht="15.75" customHeight="1">
      <c r="A237" s="67" t="s">
        <v>619</v>
      </c>
      <c r="B237" s="68" t="s">
        <v>620</v>
      </c>
      <c r="C237" s="69" t="str">
        <f>IFERROR(__xludf.DUMMYFUNCTION("arrayformula(VLOOKUP(to_Text(A237),to_Text(sheet2!$A$1:M1002),13,0))"),"LBU")</f>
        <v>LBU</v>
      </c>
      <c r="D237" s="70" t="str">
        <f>IFERROR(__xludf.DUMMYFUNCTION("arrayformula(VLOOKUP(to_Text(A237),to_Text(sheet2!$A$1:M1002),12,0))"),"Designer")</f>
        <v>Designer</v>
      </c>
      <c r="E237" s="71" t="s">
        <v>16</v>
      </c>
      <c r="F237" s="67" t="str">
        <f t="array" ref="F237">IFERROR(
  INDEX(ATTENDANCE_INPUT!D:D,
    MATCH(1,
      (ATTENDANCE_INPUT!A:A=A237) *
      (ATTENDANCE_INPUT!V:V=MAXIFS(ATTENDANCE_INPUT!V:V, ATTENDANCE_INPUT!A:A, A237)),
      0)),
  "")</f>
        <v>Tan Tran</v>
      </c>
      <c r="G237" s="72" t="str">
        <f t="array" ref="G237">IFERROR(
  INDEX(ATTENDANCE_INPUT!E:E,
    MATCH(1,
      (ATTENDANCE_INPUT!A:A=A237) *
      (ATTENDANCE_INPUT!V:V=MAXIFS(ATTENDANCE_INPUT!V:V, ATTENDANCE_INPUT!A:A, A237)),
      0)),
  "")</f>
        <v>Business English</v>
      </c>
      <c r="H237" s="73" t="str">
        <f t="array" ref="H237">IF(ISNA(MATCH(A237,sheet2!A:A,0)),"⏳ Chưa test",IFERROR(INDEX(LEVEL_HELPER!A:A,MATCH(INDEX(sheet2!N:N,MATCH(A237,sheet2!A:A,0)),LEVEL_HELPER!B:B,0)),"⏳ Chưa test"))</f>
        <v>Intermediate</v>
      </c>
      <c r="I237" s="73" t="str">
        <f t="array" ref="I237">IF(ISNA(MATCH(A237,sheet2!A:A,0)),H237,IF(INDEX(sheet2!O:O,MATCH(A237,sheet2!A:A,0))&gt;0,IFERROR(INDEX(LEVEL_HELPER!A:A,MATCH(INDEX(sheet2!O:O,MATCH(A237,sheet2!A:A,0)),LEVEL_HELPER!B:B,0)),H237),H237))</f>
        <v>Upper-Intermediate</v>
      </c>
      <c r="J237" s="73">
        <f>IFERROR(MAXIFS(ATTENDANCE_LOG!F:F, ATTENDANCE_LOG!C:C, A237&amp;"", ATTENDANCE_LOG!G:G, "Present"), "")</f>
        <v>46050.54167</v>
      </c>
      <c r="K237" s="74" t="str">
        <f t="shared" si="1"/>
        <v/>
      </c>
      <c r="L237" s="75" t="str">
        <f t="shared" si="2"/>
        <v/>
      </c>
      <c r="M237" s="59" t="s">
        <v>34</v>
      </c>
      <c r="N237" s="77" t="s">
        <v>37</v>
      </c>
      <c r="O237" s="59"/>
      <c r="P237" s="59"/>
      <c r="Q237" s="59"/>
      <c r="R237" s="59"/>
      <c r="S237" s="59"/>
      <c r="T237" s="59"/>
      <c r="U237" s="59"/>
      <c r="V237" s="59"/>
      <c r="W237" s="87"/>
      <c r="X237" s="87"/>
      <c r="Y237" s="87"/>
    </row>
    <row r="238" ht="15.75" customHeight="1">
      <c r="A238" s="67" t="s">
        <v>621</v>
      </c>
      <c r="B238" s="68" t="s">
        <v>622</v>
      </c>
      <c r="C238" s="69" t="str">
        <f>IFERROR(__xludf.DUMMYFUNCTION("arrayformula(VLOOKUP(to_Text(A238),to_Text(sheet2!$A$1:M1002),13,0))"),"MOC")</f>
        <v>MOC</v>
      </c>
      <c r="D238" s="70" t="str">
        <f>IFERROR(__xludf.DUMMYFUNCTION("arrayformula(VLOOKUP(to_Text(A238),to_Text(sheet2!$A$1:M1002),12,0))"),"DEV")</f>
        <v>DEV</v>
      </c>
      <c r="E238" s="68" t="str">
        <f>if(L238="⚠ Possibly Dropped","Inactive","Active")</f>
        <v>Active</v>
      </c>
      <c r="F238" s="67" t="str">
        <f t="array" ref="F238">IFERROR(
  INDEX(ATTENDANCE_INPUT!D:D,
    MATCH(1,
      (ATTENDANCE_INPUT!A:A=A238) *
      (ATTENDANCE_INPUT!V:V=MAXIFS(ATTENDANCE_INPUT!V:V, ATTENDANCE_INPUT!A:A, A238)),
      0)),
  "")</f>
        <v>Van Nguyen</v>
      </c>
      <c r="G238" s="72" t="str">
        <f t="array" ref="G238">IFERROR(
  INDEX(ATTENDANCE_INPUT!E:E,
    MATCH(1,
      (ATTENDANCE_INPUT!A:A=A238) *
      (ATTENDANCE_INPUT!V:V=MAXIFS(ATTENDANCE_INPUT!V:V, ATTENDANCE_INPUT!A:A, A238)),
      0)),
  "")</f>
        <v>Business English</v>
      </c>
      <c r="H238" s="73" t="str">
        <f t="array" ref="H238">IF(ISNA(MATCH(A238,sheet2!A:A,0)),"⏳ Chưa test",IFERROR(INDEX(LEVEL_HELPER!A:A,MATCH(INDEX(sheet2!N:N,MATCH(A238,sheet2!A:A,0)),LEVEL_HELPER!B:B,0)),"⏳ Chưa test"))</f>
        <v>Beginner</v>
      </c>
      <c r="I238" s="73" t="str">
        <f t="array" ref="I238">IF(ISNA(MATCH(A238,sheet2!A:A,0)),H238,IF(INDEX(sheet2!O:O,MATCH(A238,sheet2!A:A,0))&gt;0,IFERROR(INDEX(LEVEL_HELPER!A:A,MATCH(INDEX(sheet2!O:O,MATCH(A238,sheet2!A:A,0)),LEVEL_HELPER!B:B,0)),H238),H238))</f>
        <v>Intermediate 1</v>
      </c>
      <c r="J238" s="73">
        <f>IFERROR(MAXIFS(ATTENDANCE_LOG!F:F, ATTENDANCE_LOG!C:C, A238&amp;"", ATTENDANCE_LOG!G:G, "Present"), "")</f>
        <v>46127.625</v>
      </c>
      <c r="K238" s="74" t="str">
        <f t="shared" si="1"/>
        <v/>
      </c>
      <c r="L238" s="75" t="str">
        <f t="shared" si="2"/>
        <v/>
      </c>
      <c r="M238" s="59"/>
      <c r="N238" s="77"/>
      <c r="O238" s="59"/>
      <c r="P238" s="59"/>
      <c r="Q238" s="59"/>
      <c r="R238" s="59"/>
      <c r="S238" s="59"/>
      <c r="T238" s="59"/>
      <c r="U238" s="59"/>
      <c r="V238" s="59"/>
      <c r="W238" s="87"/>
      <c r="X238" s="87"/>
      <c r="Y238" s="87"/>
    </row>
    <row r="239" ht="15.75" customHeight="1">
      <c r="A239" s="67" t="s">
        <v>623</v>
      </c>
      <c r="B239" s="68" t="s">
        <v>624</v>
      </c>
      <c r="C239" s="69" t="str">
        <f>IFERROR(__xludf.DUMMYFUNCTION("arrayformula(VLOOKUP(to_Text(A239),to_Text(sheet2!$A$1:M1002),13,0))"),"MOC")</f>
        <v>MOC</v>
      </c>
      <c r="D239" s="70" t="str">
        <f>IFERROR(__xludf.DUMMYFUNCTION("arrayformula(VLOOKUP(to_Text(A239),to_Text(sheet2!$A$1:M1002),12,0))"),"GSD")</f>
        <v>GSD</v>
      </c>
      <c r="E239" s="71" t="s">
        <v>16</v>
      </c>
      <c r="F239" s="67" t="str">
        <f t="array" ref="F239">IFERROR(
  INDEX(ATTENDANCE_INPUT!D:D,
    MATCH(1,
      (ATTENDANCE_INPUT!A:A=A239) *
      (ATTENDANCE_INPUT!V:V=MAXIFS(ATTENDANCE_INPUT!V:V, ATTENDANCE_INPUT!A:A, A239)),
      0)),
  "")</f>
        <v>Thuong Tran</v>
      </c>
      <c r="G239" s="72" t="str">
        <f t="array" ref="G239">IFERROR(
  INDEX(ATTENDANCE_INPUT!E:E,
    MATCH(1,
      (ATTENDANCE_INPUT!A:A=A239) *
      (ATTENDANCE_INPUT!V:V=MAXIFS(ATTENDANCE_INPUT!V:V, ATTENDANCE_INPUT!A:A, A239)),
      0)),
  "")</f>
        <v>Business English</v>
      </c>
      <c r="H239" s="73" t="str">
        <f t="array" ref="H239">IF(ISNA(MATCH(A239,sheet2!A:A,0)),"⏳ Chưa test",IFERROR(INDEX(LEVEL_HELPER!A:A,MATCH(INDEX(sheet2!N:N,MATCH(A239,sheet2!A:A,0)),LEVEL_HELPER!B:B,0)),"⏳ Chưa test"))</f>
        <v>Beginner</v>
      </c>
      <c r="I239" s="73" t="str">
        <f t="array" ref="I239">IF(ISNA(MATCH(A239,sheet2!A:A,0)),H239,IF(INDEX(sheet2!O:O,MATCH(A239,sheet2!A:A,0))&gt;0,IFERROR(INDEX(LEVEL_HELPER!A:A,MATCH(INDEX(sheet2!O:O,MATCH(A239,sheet2!A:A,0)),LEVEL_HELPER!B:B,0)),H239),H239))</f>
        <v>Pre-Intermediate 1</v>
      </c>
      <c r="J239" s="73">
        <f>IFERROR(MAXIFS(ATTENDANCE_LOG!F:F, ATTENDANCE_LOG!C:C, A239&amp;"", ATTENDANCE_LOG!G:G, "Present"), "")</f>
        <v>46098.54167</v>
      </c>
      <c r="K239" s="74" t="str">
        <f t="shared" si="1"/>
        <v/>
      </c>
      <c r="L239" s="75" t="str">
        <f t="shared" si="2"/>
        <v/>
      </c>
      <c r="M239" s="59" t="s">
        <v>36</v>
      </c>
      <c r="N239" s="77" t="s">
        <v>33</v>
      </c>
      <c r="O239" s="59"/>
      <c r="P239" s="59"/>
      <c r="Q239" s="59"/>
      <c r="R239" s="59"/>
      <c r="S239" s="59"/>
      <c r="T239" s="59"/>
      <c r="U239" s="59"/>
      <c r="V239" s="59"/>
      <c r="W239" s="87"/>
      <c r="X239" s="87"/>
      <c r="Y239" s="87"/>
    </row>
    <row r="240" ht="15.75" customHeight="1">
      <c r="A240" s="67" t="s">
        <v>625</v>
      </c>
      <c r="B240" s="68" t="s">
        <v>626</v>
      </c>
      <c r="C240" s="69" t="str">
        <f>IFERROR(__xludf.DUMMYFUNCTION("arrayformula(VLOOKUP(to_Text(A240),to_Text(sheet2!$A$1:M1002),13,0))"),"CHORUS")</f>
        <v>CHORUS</v>
      </c>
      <c r="D240" s="70" t="str">
        <f>IFERROR(__xludf.DUMMYFUNCTION("arrayformula(VLOOKUP(to_Text(A240),to_Text(sheet2!$A$1:M1002),12,0))"),"DEV")</f>
        <v>DEV</v>
      </c>
      <c r="E240" s="71" t="s">
        <v>16</v>
      </c>
      <c r="F240" s="67" t="str">
        <f t="array" ref="F240">IFERROR(
  INDEX(ATTENDANCE_INPUT!D:D,
    MATCH(1,
      (ATTENDANCE_INPUT!A:A=A240) *
      (ATTENDANCE_INPUT!V:V=MAXIFS(ATTENDANCE_INPUT!V:V, ATTENDANCE_INPUT!A:A, A240)),
      0)),
  "")</f>
        <v>Nhat Nguyen</v>
      </c>
      <c r="G240" s="72" t="str">
        <f t="array" ref="G240">IFERROR(
  INDEX(ATTENDANCE_INPUT!E:E,
    MATCH(1,
      (ATTENDANCE_INPUT!A:A=A240) *
      (ATTENDANCE_INPUT!V:V=MAXIFS(ATTENDANCE_INPUT!V:V, ATTENDANCE_INPUT!A:A, A240)),
      0)),
  "")</f>
        <v>Communication 2</v>
      </c>
      <c r="H240" s="73" t="str">
        <f t="array" ref="H240">IF(ISNA(MATCH(A240,sheet2!A:A,0)),"⏳ Chưa test",IFERROR(INDEX(LEVEL_HELPER!A:A,MATCH(INDEX(sheet2!N:N,MATCH(A240,sheet2!A:A,0)),LEVEL_HELPER!B:B,0)),"⏳ Chưa test"))</f>
        <v>Beginner</v>
      </c>
      <c r="I240" s="73" t="str">
        <f t="array" ref="I240">IF(ISNA(MATCH(A240,sheet2!A:A,0)),H240,IF(INDEX(sheet2!O:O,MATCH(A240,sheet2!A:A,0))&gt;0,IFERROR(INDEX(LEVEL_HELPER!A:A,MATCH(INDEX(sheet2!O:O,MATCH(A240,sheet2!A:A,0)),LEVEL_HELPER!B:B,0)),H240),H240))</f>
        <v>Pre-Intermediate 1</v>
      </c>
      <c r="J240" s="73">
        <f>IFERROR(MAXIFS(ATTENDANCE_LOG!F:F, ATTENDANCE_LOG!C:C, A240&amp;"", ATTENDANCE_LOG!G:G, "Present"), "")</f>
        <v>46021.375</v>
      </c>
      <c r="K240" s="74" t="str">
        <f t="shared" si="1"/>
        <v/>
      </c>
      <c r="L240" s="75" t="str">
        <f t="shared" si="2"/>
        <v/>
      </c>
      <c r="M240" s="59" t="s">
        <v>36</v>
      </c>
      <c r="N240" s="77" t="s">
        <v>35</v>
      </c>
      <c r="O240" s="59"/>
      <c r="P240" s="59"/>
      <c r="Q240" s="59"/>
      <c r="R240" s="59"/>
      <c r="S240" s="59"/>
      <c r="T240" s="59"/>
      <c r="U240" s="59"/>
      <c r="V240" s="59"/>
      <c r="W240" s="87"/>
      <c r="X240" s="87"/>
      <c r="Y240" s="87"/>
    </row>
    <row r="241" ht="15.75" customHeight="1">
      <c r="A241" s="67" t="s">
        <v>627</v>
      </c>
      <c r="B241" s="68" t="s">
        <v>628</v>
      </c>
      <c r="C241" s="69" t="str">
        <f>IFERROR(__xludf.DUMMYFUNCTION("arrayformula(VLOOKUP(to_Text(A241),to_Text(sheet2!$A$1:M1002),13,0))"),"CHORUS")</f>
        <v>CHORUS</v>
      </c>
      <c r="D241" s="70" t="str">
        <f>IFERROR(__xludf.DUMMYFUNCTION("arrayformula(VLOOKUP(to_Text(A241),to_Text(sheet2!$A$1:M1002),12,0))"),"UI/UX")</f>
        <v>UI/UX</v>
      </c>
      <c r="E241" s="71" t="s">
        <v>16</v>
      </c>
      <c r="F241" s="67" t="str">
        <f t="array" ref="F241">IFERROR(
  INDEX(ATTENDANCE_INPUT!D:D,
    MATCH(1,
      (ATTENDANCE_INPUT!A:A=A241) *
      (ATTENDANCE_INPUT!V:V=MAXIFS(ATTENDANCE_INPUT!V:V, ATTENDANCE_INPUT!A:A, A241)),
      0)),
  "")</f>
        <v>Huy Tran 1</v>
      </c>
      <c r="G241" s="72" t="str">
        <f t="array" ref="G241">IFERROR(
  INDEX(ATTENDANCE_INPUT!E:E,
    MATCH(1,
      (ATTENDANCE_INPUT!A:A=A241) *
      (ATTENDANCE_INPUT!V:V=MAXIFS(ATTENDANCE_INPUT!V:V, ATTENDANCE_INPUT!A:A, A241)),
      0)),
  "")</f>
        <v>Communication 1</v>
      </c>
      <c r="H241" s="73" t="str">
        <f t="array" ref="H241">IF(ISNA(MATCH(A241,sheet2!A:A,0)),"⏳ Chưa test",IFERROR(INDEX(LEVEL_HELPER!A:A,MATCH(INDEX(sheet2!N:N,MATCH(A241,sheet2!A:A,0)),LEVEL_HELPER!B:B,0)),"⏳ Chưa test"))</f>
        <v>Beginner</v>
      </c>
      <c r="I241" s="73" t="str">
        <f t="array" ref="I241">IF(ISNA(MATCH(A241,sheet2!A:A,0)),H241,IF(INDEX(sheet2!O:O,MATCH(A241,sheet2!A:A,0))&gt;0,IFERROR(INDEX(LEVEL_HELPER!A:A,MATCH(INDEX(sheet2!O:O,MATCH(A241,sheet2!A:A,0)),LEVEL_HELPER!B:B,0)),H241),H241))</f>
        <v>Pre-Intermediate</v>
      </c>
      <c r="J241" s="73">
        <f>IFERROR(MAXIFS(ATTENDANCE_LOG!F:F, ATTENDANCE_LOG!C:C, A241&amp;"", ATTENDANCE_LOG!G:G, "Present"), "")</f>
        <v>45799.375</v>
      </c>
      <c r="K241" s="74" t="str">
        <f t="shared" si="1"/>
        <v/>
      </c>
      <c r="L241" s="75" t="str">
        <f t="shared" si="2"/>
        <v/>
      </c>
      <c r="M241" s="59" t="s">
        <v>36</v>
      </c>
      <c r="N241" s="77" t="s">
        <v>39</v>
      </c>
      <c r="O241" s="59"/>
      <c r="P241" s="59"/>
      <c r="Q241" s="59"/>
      <c r="R241" s="59"/>
      <c r="S241" s="59"/>
      <c r="T241" s="59"/>
      <c r="U241" s="59"/>
      <c r="V241" s="59"/>
      <c r="W241" s="87"/>
      <c r="X241" s="87"/>
      <c r="Y241" s="87"/>
    </row>
    <row r="242" ht="15.75" customHeight="1">
      <c r="A242" s="67" t="s">
        <v>629</v>
      </c>
      <c r="B242" s="68" t="s">
        <v>630</v>
      </c>
      <c r="C242" s="69" t="str">
        <f>IFERROR(__xludf.DUMMYFUNCTION("arrayformula(VLOOKUP(to_Text(A242),to_Text(sheet2!$A$1:M1002),13,0))"),"MOC")</f>
        <v>MOC</v>
      </c>
      <c r="D242" s="70" t="str">
        <f>IFERROR(__xludf.DUMMYFUNCTION("arrayformula(VLOOKUP(to_Text(A242),to_Text(sheet2!$A$1:M1002),12,0))"),"DEV")</f>
        <v>DEV</v>
      </c>
      <c r="E242" s="68" t="str">
        <f>if(L242="⚠ Possibly Dropped","Inactive","Active")</f>
        <v>Inactive</v>
      </c>
      <c r="F242" s="67" t="str">
        <f t="array" ref="F242">IFERROR(
  INDEX(ATTENDANCE_INPUT!D:D,
    MATCH(1,
      (ATTENDANCE_INPUT!A:A=A242) *
      (ATTENDANCE_INPUT!V:V=MAXIFS(ATTENDANCE_INPUT!V:V, ATTENDANCE_INPUT!A:A, A242)),
      0)),
  "")</f>
        <v>Quan Nguyen</v>
      </c>
      <c r="G242" s="72" t="str">
        <f t="array" ref="G242">IFERROR(
  INDEX(ATTENDANCE_INPUT!E:E,
    MATCH(1,
      (ATTENDANCE_INPUT!A:A=A242) *
      (ATTENDANCE_INPUT!V:V=MAXIFS(ATTENDANCE_INPUT!V:V, ATTENDANCE_INPUT!A:A, A242)),
      0)),
  "")</f>
        <v>Communication 1</v>
      </c>
      <c r="H242" s="73" t="str">
        <f t="array" ref="H242">IF(ISNA(MATCH(A242,sheet2!A:A,0)),"⏳ Chưa test",IFERROR(INDEX(LEVEL_HELPER!A:A,MATCH(INDEX(sheet2!N:N,MATCH(A242,sheet2!A:A,0)),LEVEL_HELPER!B:B,0)),"⏳ Chưa test"))</f>
        <v>Foundation</v>
      </c>
      <c r="I242" s="73" t="str">
        <f t="array" ref="I242">IF(ISNA(MATCH(A242,sheet2!A:A,0)),H242,IF(INDEX(sheet2!O:O,MATCH(A242,sheet2!A:A,0))&gt;0,IFERROR(INDEX(LEVEL_HELPER!A:A,MATCH(INDEX(sheet2!O:O,MATCH(A242,sheet2!A:A,0)),LEVEL_HELPER!B:B,0)),H242),H242))</f>
        <v>Foundation</v>
      </c>
      <c r="J242" s="73">
        <f>IFERROR(MAXIFS(ATTENDANCE_LOG!F:F, ATTENDANCE_LOG!C:C, A242&amp;"", ATTENDANCE_LOG!G:G, "Present"), "")</f>
        <v>45972.625</v>
      </c>
      <c r="K242" s="74">
        <f t="shared" si="1"/>
        <v>171</v>
      </c>
      <c r="L242" s="75" t="str">
        <f t="shared" si="2"/>
        <v>⚠ Possibly Dropped</v>
      </c>
      <c r="M242" s="59" t="s">
        <v>34</v>
      </c>
      <c r="N242" s="77" t="s">
        <v>35</v>
      </c>
      <c r="O242" s="59"/>
      <c r="P242" s="59"/>
      <c r="Q242" s="59"/>
      <c r="R242" s="59"/>
      <c r="S242" s="59"/>
      <c r="T242" s="59"/>
      <c r="U242" s="59"/>
      <c r="V242" s="59"/>
      <c r="W242" s="87"/>
      <c r="X242" s="87"/>
      <c r="Y242" s="87"/>
    </row>
    <row r="243" ht="15.75" customHeight="1">
      <c r="A243" s="67" t="s">
        <v>631</v>
      </c>
      <c r="B243" s="68" t="s">
        <v>632</v>
      </c>
      <c r="C243" s="69" t="str">
        <f>IFERROR(__xludf.DUMMYFUNCTION("arrayformula(VLOOKUP(to_Text(A243),to_Text(sheet2!$A$1:M1002),13,0))"),"LBU")</f>
        <v>LBU</v>
      </c>
      <c r="D243" s="70" t="str">
        <f>IFERROR(__xludf.DUMMYFUNCTION("arrayformula(VLOOKUP(to_Text(A243),to_Text(sheet2!$A$1:M1002),12,0))"),"Designer")</f>
        <v>Designer</v>
      </c>
      <c r="E243" s="71" t="s">
        <v>16</v>
      </c>
      <c r="F243" s="67" t="str">
        <f t="array" ref="F243">IFERROR(
  INDEX(ATTENDANCE_INPUT!D:D,
    MATCH(1,
      (ATTENDANCE_INPUT!A:A=A243) *
      (ATTENDANCE_INPUT!V:V=MAXIFS(ATTENDANCE_INPUT!V:V, ATTENDANCE_INPUT!A:A, A243)),
      0)),
  "")</f>
        <v>Tan Tran</v>
      </c>
      <c r="G243" s="72" t="str">
        <f t="array" ref="G243">IFERROR(
  INDEX(ATTENDANCE_INPUT!E:E,
    MATCH(1,
      (ATTENDANCE_INPUT!A:A=A243) *
      (ATTENDANCE_INPUT!V:V=MAXIFS(ATTENDANCE_INPUT!V:V, ATTENDANCE_INPUT!A:A, A243)),
      0)),
  "")</f>
        <v>Business English</v>
      </c>
      <c r="H243" s="73" t="str">
        <f t="array" ref="H243">IF(ISNA(MATCH(A243,sheet2!A:A,0)),"⏳ Chưa test",IFERROR(INDEX(LEVEL_HELPER!A:A,MATCH(INDEX(sheet2!N:N,MATCH(A243,sheet2!A:A,0)),LEVEL_HELPER!B:B,0)),"⏳ Chưa test"))</f>
        <v>Intermediate</v>
      </c>
      <c r="I243" s="73" t="str">
        <f t="array" ref="I243">IF(ISNA(MATCH(A243,sheet2!A:A,0)),H243,IF(INDEX(sheet2!O:O,MATCH(A243,sheet2!A:A,0))&gt;0,IFERROR(INDEX(LEVEL_HELPER!A:A,MATCH(INDEX(sheet2!O:O,MATCH(A243,sheet2!A:A,0)),LEVEL_HELPER!B:B,0)),H243),H243))</f>
        <v>Upper-Intermediate</v>
      </c>
      <c r="J243" s="73">
        <f>IFERROR(MAXIFS(ATTENDANCE_LOG!F:F, ATTENDANCE_LOG!C:C, A243&amp;"", ATTENDANCE_LOG!G:G, "Present"), "")</f>
        <v>46050.54167</v>
      </c>
      <c r="K243" s="74" t="str">
        <f t="shared" si="1"/>
        <v/>
      </c>
      <c r="L243" s="75" t="str">
        <f t="shared" si="2"/>
        <v/>
      </c>
      <c r="M243" s="59" t="s">
        <v>34</v>
      </c>
      <c r="N243" s="77" t="s">
        <v>37</v>
      </c>
      <c r="O243" s="59"/>
      <c r="P243" s="59"/>
      <c r="Q243" s="59"/>
      <c r="R243" s="59"/>
      <c r="S243" s="59"/>
      <c r="T243" s="59"/>
      <c r="U243" s="59"/>
      <c r="V243" s="59"/>
      <c r="W243" s="87"/>
      <c r="X243" s="87"/>
      <c r="Y243" s="87"/>
    </row>
    <row r="244" ht="15.75" customHeight="1">
      <c r="A244" s="67" t="s">
        <v>633</v>
      </c>
      <c r="B244" s="68" t="s">
        <v>634</v>
      </c>
      <c r="C244" s="69" t="str">
        <f>IFERROR(__xludf.DUMMYFUNCTION("arrayformula(VLOOKUP(to_Text(A244),to_Text(sheet2!$A$1:M1002),13,0))"),"MOC")</f>
        <v>MOC</v>
      </c>
      <c r="D244" s="70" t="str">
        <f>IFERROR(__xludf.DUMMYFUNCTION("arrayformula(VLOOKUP(to_Text(A244),to_Text(sheet2!$A$1:M1002),12,0))"),"DEV")</f>
        <v>DEV</v>
      </c>
      <c r="E244" s="71" t="s">
        <v>16</v>
      </c>
      <c r="F244" s="67" t="str">
        <f t="array" ref="F244">IFERROR(
  INDEX(ATTENDANCE_INPUT!D:D,
    MATCH(1,
      (ATTENDANCE_INPUT!A:A=A244) *
      (ATTENDANCE_INPUT!V:V=MAXIFS(ATTENDANCE_INPUT!V:V, ATTENDANCE_INPUT!A:A, A244)),
      0)),
  "")</f>
        <v>Anh Ha</v>
      </c>
      <c r="G244" s="72" t="str">
        <f t="array" ref="G244">IFERROR(
  INDEX(ATTENDANCE_INPUT!E:E,
    MATCH(1,
      (ATTENDANCE_INPUT!A:A=A244) *
      (ATTENDANCE_INPUT!V:V=MAXIFS(ATTENDANCE_INPUT!V:V, ATTENDANCE_INPUT!A:A, A244)),
      0)),
  "")</f>
        <v>Communication 2</v>
      </c>
      <c r="H244" s="73" t="str">
        <f t="array" ref="H244">IF(ISNA(MATCH(A244,sheet2!A:A,0)),"⏳ Chưa test",IFERROR(INDEX(LEVEL_HELPER!A:A,MATCH(INDEX(sheet2!N:N,MATCH(A244,sheet2!A:A,0)),LEVEL_HELPER!B:B,0)),"⏳ Chưa test"))</f>
        <v>Beginner</v>
      </c>
      <c r="I244" s="73" t="str">
        <f t="array" ref="I244">IF(ISNA(MATCH(A244,sheet2!A:A,0)),H244,IF(INDEX(sheet2!O:O,MATCH(A244,sheet2!A:A,0))&gt;0,IFERROR(INDEX(LEVEL_HELPER!A:A,MATCH(INDEX(sheet2!O:O,MATCH(A244,sheet2!A:A,0)),LEVEL_HELPER!B:B,0)),H244),H244))</f>
        <v>Pre-Intermediate 1</v>
      </c>
      <c r="J244" s="73">
        <f>IFERROR(MAXIFS(ATTENDANCE_LOG!F:F, ATTENDANCE_LOG!C:C, A244&amp;"", ATTENDANCE_LOG!G:G, "Present"), "")</f>
        <v>46106.54167</v>
      </c>
      <c r="K244" s="74" t="str">
        <f t="shared" si="1"/>
        <v/>
      </c>
      <c r="L244" s="75" t="str">
        <f t="shared" si="2"/>
        <v/>
      </c>
      <c r="M244" s="59" t="s">
        <v>34</v>
      </c>
      <c r="N244" s="77" t="s">
        <v>37</v>
      </c>
      <c r="O244" s="59"/>
      <c r="P244" s="59"/>
      <c r="Q244" s="59"/>
      <c r="R244" s="59">
        <v>247323.0</v>
      </c>
      <c r="S244" s="59" t="s">
        <v>146</v>
      </c>
      <c r="T244" s="59" t="s">
        <v>33</v>
      </c>
      <c r="U244" s="59" t="str">
        <f>IFERROR(__xludf.DUMMYFUNCTION("arrayformula(vlookup(to_text(R244),to_text($A$4:$B1237),2,0))"),"#N/A")</f>
        <v>#N/A</v>
      </c>
      <c r="V244" s="77" t="s">
        <v>327</v>
      </c>
      <c r="W244" s="87"/>
      <c r="X244" s="87"/>
      <c r="Y244" s="87"/>
    </row>
    <row r="245" ht="15.75" customHeight="1">
      <c r="A245" s="67" t="s">
        <v>635</v>
      </c>
      <c r="B245" s="68" t="s">
        <v>636</v>
      </c>
      <c r="C245" s="69" t="str">
        <f>IFERROR(__xludf.DUMMYFUNCTION("arrayformula(VLOOKUP(to_Text(A245),to_Text(sheet2!$A$1:M1002),13,0))"),"LBU")</f>
        <v>LBU</v>
      </c>
      <c r="D245" s="70" t="str">
        <f>IFERROR(__xludf.DUMMYFUNCTION("arrayformula(VLOOKUP(to_Text(A245),to_Text(sheet2!$A$1:M1002),12,0))"),"QC")</f>
        <v>QC</v>
      </c>
      <c r="E245" s="71" t="s">
        <v>16</v>
      </c>
      <c r="F245" s="67" t="str">
        <f t="array" ref="F245">IFERROR(
  INDEX(ATTENDANCE_INPUT!D:D,
    MATCH(1,
      (ATTENDANCE_INPUT!A:A=A245) *
      (ATTENDANCE_INPUT!V:V=MAXIFS(ATTENDANCE_INPUT!V:V, ATTENDANCE_INPUT!A:A, A245)),
      0)),
  "")</f>
        <v>Tan Tran</v>
      </c>
      <c r="G245" s="72" t="str">
        <f t="array" ref="G245">IFERROR(
  INDEX(ATTENDANCE_INPUT!E:E,
    MATCH(1,
      (ATTENDANCE_INPUT!A:A=A245) *
      (ATTENDANCE_INPUT!V:V=MAXIFS(ATTENDANCE_INPUT!V:V, ATTENDANCE_INPUT!A:A, A245)),
      0)),
  "")</f>
        <v>Business English</v>
      </c>
      <c r="H245" s="73" t="str">
        <f t="array" ref="H245">IF(ISNA(MATCH(A245,sheet2!A:A,0)),"⏳ Chưa test",IFERROR(INDEX(LEVEL_HELPER!A:A,MATCH(INDEX(sheet2!N:N,MATCH(A245,sheet2!A:A,0)),LEVEL_HELPER!B:B,0)),"⏳ Chưa test"))</f>
        <v>Intermediate</v>
      </c>
      <c r="I245" s="73" t="str">
        <f t="array" ref="I245">IF(ISNA(MATCH(A245,sheet2!A:A,0)),H245,IF(INDEX(sheet2!O:O,MATCH(A245,sheet2!A:A,0))&gt;0,IFERROR(INDEX(LEVEL_HELPER!A:A,MATCH(INDEX(sheet2!O:O,MATCH(A245,sheet2!A:A,0)),LEVEL_HELPER!B:B,0)),H245),H245))</f>
        <v>Upper-Intermediate</v>
      </c>
      <c r="J245" s="73">
        <f>IFERROR(MAXIFS(ATTENDANCE_LOG!F:F, ATTENDANCE_LOG!C:C, A245&amp;"", ATTENDANCE_LOG!G:G, "Present"), "")</f>
        <v>46050.54167</v>
      </c>
      <c r="K245" s="74" t="str">
        <f t="shared" si="1"/>
        <v/>
      </c>
      <c r="L245" s="75" t="str">
        <f t="shared" si="2"/>
        <v/>
      </c>
      <c r="M245" s="59" t="s">
        <v>34</v>
      </c>
      <c r="N245" s="77" t="s">
        <v>37</v>
      </c>
      <c r="O245" s="59"/>
      <c r="P245" s="59"/>
      <c r="Q245" s="59"/>
      <c r="R245" s="59"/>
      <c r="S245" s="59"/>
      <c r="T245" s="59"/>
      <c r="U245" s="59"/>
      <c r="V245" s="59"/>
      <c r="W245" s="87"/>
      <c r="X245" s="87"/>
      <c r="Y245" s="87"/>
    </row>
    <row r="246" ht="15.75" customHeight="1">
      <c r="A246" s="67" t="s">
        <v>637</v>
      </c>
      <c r="B246" s="68" t="s">
        <v>638</v>
      </c>
      <c r="C246" s="69" t="str">
        <f>IFERROR(__xludf.DUMMYFUNCTION("arrayformula(VLOOKUP(to_Text(A246),to_Text(sheet2!$A$1:M1002),13,0))"),"TBU")</f>
        <v>TBU</v>
      </c>
      <c r="D246" s="70" t="str">
        <f>IFERROR(__xludf.DUMMYFUNCTION("arrayformula(VLOOKUP(to_Text(A246),to_Text(sheet2!$A$1:M1002),12,0))"),"DEV")</f>
        <v>DEV</v>
      </c>
      <c r="E246" s="71" t="s">
        <v>16</v>
      </c>
      <c r="F246" s="67" t="str">
        <f t="array" ref="F246">IFERROR(
  INDEX(ATTENDANCE_INPUT!D:D,
    MATCH(1,
      (ATTENDANCE_INPUT!A:A=A246) *
      (ATTENDANCE_INPUT!V:V=MAXIFS(ATTENDANCE_INPUT!V:V, ATTENDANCE_INPUT!A:A, A246)),
      0)),
  "")</f>
        <v>My Nguyen</v>
      </c>
      <c r="G246" s="72" t="str">
        <f t="array" ref="G246">IFERROR(
  INDEX(ATTENDANCE_INPUT!E:E,
    MATCH(1,
      (ATTENDANCE_INPUT!A:A=A246) *
      (ATTENDANCE_INPUT!V:V=MAXIFS(ATTENDANCE_INPUT!V:V, ATTENDANCE_INPUT!A:A, A246)),
      0)),
  "")</f>
        <v>Communication 2</v>
      </c>
      <c r="H246" s="73" t="str">
        <f t="array" ref="H246">IF(ISNA(MATCH(A246,sheet2!A:A,0)),"⏳ Chưa test",IFERROR(INDEX(LEVEL_HELPER!A:A,MATCH(INDEX(sheet2!N:N,MATCH(A246,sheet2!A:A,0)),LEVEL_HELPER!B:B,0)),"⏳ Chưa test"))</f>
        <v>Beginner</v>
      </c>
      <c r="I246" s="73" t="str">
        <f t="array" ref="I246">IF(ISNA(MATCH(A246,sheet2!A:A,0)),H246,IF(INDEX(sheet2!O:O,MATCH(A246,sheet2!A:A,0))&gt;0,IFERROR(INDEX(LEVEL_HELPER!A:A,MATCH(INDEX(sheet2!O:O,MATCH(A246,sheet2!A:A,0)),LEVEL_HELPER!B:B,0)),H246),H246))</f>
        <v>Pre-Intermediate 1</v>
      </c>
      <c r="J246" s="73">
        <f>IFERROR(MAXIFS(ATTENDANCE_LOG!F:F, ATTENDANCE_LOG!C:C, A246&amp;"", ATTENDANCE_LOG!G:G, "Present"), "")</f>
        <v>46052.45833</v>
      </c>
      <c r="K246" s="74" t="str">
        <f t="shared" si="1"/>
        <v/>
      </c>
      <c r="L246" s="75" t="str">
        <f t="shared" si="2"/>
        <v/>
      </c>
      <c r="M246" s="59" t="s">
        <v>34</v>
      </c>
      <c r="N246" s="77" t="s">
        <v>33</v>
      </c>
      <c r="O246" s="59"/>
      <c r="P246" s="59"/>
      <c r="Q246" s="59"/>
      <c r="R246" s="59"/>
      <c r="S246" s="59"/>
      <c r="T246" s="59"/>
      <c r="U246" s="59"/>
      <c r="V246" s="59"/>
      <c r="W246" s="87"/>
      <c r="X246" s="87"/>
      <c r="Y246" s="87"/>
    </row>
    <row r="247" ht="15.75" customHeight="1">
      <c r="A247" s="67" t="s">
        <v>639</v>
      </c>
      <c r="B247" s="68" t="s">
        <v>640</v>
      </c>
      <c r="C247" s="69" t="str">
        <f>IFERROR(__xludf.DUMMYFUNCTION("arrayformula(VLOOKUP(to_Text(A247),to_Text(sheet2!$A$1:M1002),13,0))"),"ONC")</f>
        <v>ONC</v>
      </c>
      <c r="D247" s="70" t="str">
        <f>IFERROR(__xludf.DUMMYFUNCTION("arrayformula(VLOOKUP(to_Text(A247),to_Text(sheet2!$A$1:M1002),12,0))"),"DEV")</f>
        <v>DEV</v>
      </c>
      <c r="E247" s="71" t="s">
        <v>16</v>
      </c>
      <c r="F247" s="67" t="str">
        <f t="array" ref="F247">IFERROR(
  INDEX(ATTENDANCE_INPUT!D:D,
    MATCH(1,
      (ATTENDANCE_INPUT!A:A=A247) *
      (ATTENDANCE_INPUT!V:V=MAXIFS(ATTENDANCE_INPUT!V:V, ATTENDANCE_INPUT!A:A, A247)),
      0)),
  "")</f>
        <v>Nhat Phan 1</v>
      </c>
      <c r="G247" s="72" t="str">
        <f t="array" ref="G247">IFERROR(
  INDEX(ATTENDANCE_INPUT!E:E,
    MATCH(1,
      (ATTENDANCE_INPUT!A:A=A247) *
      (ATTENDANCE_INPUT!V:V=MAXIFS(ATTENDANCE_INPUT!V:V, ATTENDANCE_INPUT!A:A, A247)),
      0)),
  "")</f>
        <v>Communication 2</v>
      </c>
      <c r="H247" s="73" t="str">
        <f t="array" ref="H247">IF(ISNA(MATCH(A247,sheet2!A:A,0)),"⏳ Chưa test",IFERROR(INDEX(LEVEL_HELPER!A:A,MATCH(INDEX(sheet2!N:N,MATCH(A247,sheet2!A:A,0)),LEVEL_HELPER!B:B,0)),"⏳ Chưa test"))</f>
        <v>Beginner</v>
      </c>
      <c r="I247" s="73" t="str">
        <f t="array" ref="I247">IF(ISNA(MATCH(A247,sheet2!A:A,0)),H247,IF(INDEX(sheet2!O:O,MATCH(A247,sheet2!A:A,0))&gt;0,IFERROR(INDEX(LEVEL_HELPER!A:A,MATCH(INDEX(sheet2!O:O,MATCH(A247,sheet2!A:A,0)),LEVEL_HELPER!B:B,0)),H247),H247))</f>
        <v>Pre-Intermediate</v>
      </c>
      <c r="J247" s="73">
        <f>IFERROR(MAXIFS(ATTENDANCE_LOG!F:F, ATTENDANCE_LOG!C:C, A247&amp;"", ATTENDANCE_LOG!G:G, "Present"), "")</f>
        <v>46021.58333</v>
      </c>
      <c r="K247" s="74" t="str">
        <f t="shared" si="1"/>
        <v/>
      </c>
      <c r="L247" s="75" t="str">
        <f t="shared" si="2"/>
        <v/>
      </c>
      <c r="M247" s="59" t="s">
        <v>34</v>
      </c>
      <c r="N247" s="77" t="s">
        <v>33</v>
      </c>
      <c r="O247" s="59"/>
      <c r="P247" s="59"/>
      <c r="Q247" s="59"/>
      <c r="R247" s="59"/>
      <c r="S247" s="59"/>
      <c r="T247" s="59"/>
      <c r="U247" s="59"/>
      <c r="V247" s="59"/>
      <c r="W247" s="87"/>
      <c r="X247" s="87"/>
      <c r="Y247" s="87"/>
    </row>
    <row r="248" ht="15.75" customHeight="1">
      <c r="A248" s="67" t="s">
        <v>641</v>
      </c>
      <c r="B248" s="68" t="s">
        <v>642</v>
      </c>
      <c r="C248" s="69" t="str">
        <f>IFERROR(__xludf.DUMMYFUNCTION("arrayformula(VLOOKUP(to_Text(A248),to_Text(sheet2!$A$1:M1002),13,0))"),"MOC")</f>
        <v>MOC</v>
      </c>
      <c r="D248" s="70" t="str">
        <f>IFERROR(__xludf.DUMMYFUNCTION("arrayformula(VLOOKUP(to_Text(A248),to_Text(sheet2!$A$1:M1002),12,0))"),"DEV")</f>
        <v>DEV</v>
      </c>
      <c r="E248" s="71" t="s">
        <v>16</v>
      </c>
      <c r="F248" s="67" t="str">
        <f t="array" ref="F248">IFERROR(
  INDEX(ATTENDANCE_INPUT!D:D,
    MATCH(1,
      (ATTENDANCE_INPUT!A:A=A248) *
      (ATTENDANCE_INPUT!V:V=MAXIFS(ATTENDANCE_INPUT!V:V, ATTENDANCE_INPUT!A:A, A248)),
      0)),
  "")</f>
        <v>Anh Ha</v>
      </c>
      <c r="G248" s="72" t="str">
        <f t="array" ref="G248">IFERROR(
  INDEX(ATTENDANCE_INPUT!E:E,
    MATCH(1,
      (ATTENDANCE_INPUT!A:A=A248) *
      (ATTENDANCE_INPUT!V:V=MAXIFS(ATTENDANCE_INPUT!V:V, ATTENDANCE_INPUT!A:A, A248)),
      0)),
  "")</f>
        <v>Communication 2</v>
      </c>
      <c r="H248" s="73" t="str">
        <f t="array" ref="H248">IF(ISNA(MATCH(A248,sheet2!A:A,0)),"⏳ Chưa test",IFERROR(INDEX(LEVEL_HELPER!A:A,MATCH(INDEX(sheet2!N:N,MATCH(A248,sheet2!A:A,0)),LEVEL_HELPER!B:B,0)),"⏳ Chưa test"))</f>
        <v>Beginner</v>
      </c>
      <c r="I248" s="73" t="str">
        <f t="array" ref="I248">IF(ISNA(MATCH(A248,sheet2!A:A,0)),H248,IF(INDEX(sheet2!O:O,MATCH(A248,sheet2!A:A,0))&gt;0,IFERROR(INDEX(LEVEL_HELPER!A:A,MATCH(INDEX(sheet2!O:O,MATCH(A248,sheet2!A:A,0)),LEVEL_HELPER!B:B,0)),H248),H248))</f>
        <v>Intermediate 1</v>
      </c>
      <c r="J248" s="73">
        <f>IFERROR(MAXIFS(ATTENDANCE_LOG!F:F, ATTENDANCE_LOG!C:C, A248&amp;"", ATTENDANCE_LOG!G:G, "Present"), "")</f>
        <v>46106.54167</v>
      </c>
      <c r="K248" s="74" t="str">
        <f t="shared" si="1"/>
        <v/>
      </c>
      <c r="L248" s="75" t="str">
        <f t="shared" si="2"/>
        <v/>
      </c>
      <c r="M248" s="59" t="s">
        <v>34</v>
      </c>
      <c r="N248" s="77" t="s">
        <v>37</v>
      </c>
      <c r="O248" s="59"/>
      <c r="P248" s="59"/>
      <c r="Q248" s="59"/>
      <c r="R248" s="59">
        <v>237172.0</v>
      </c>
      <c r="S248" s="59" t="s">
        <v>146</v>
      </c>
      <c r="T248" s="59" t="s">
        <v>33</v>
      </c>
      <c r="U248" s="59" t="str">
        <f>IFERROR(__xludf.DUMMYFUNCTION("arrayformula(vlookup(to_text(R248),to_text($A$4:$B1240),2,0))"),"#N/A")</f>
        <v>#N/A</v>
      </c>
      <c r="V248" s="77" t="s">
        <v>35</v>
      </c>
      <c r="W248" s="87"/>
      <c r="X248" s="87"/>
      <c r="Y248" s="87"/>
    </row>
    <row r="249" ht="15.75" customHeight="1">
      <c r="A249" s="67" t="s">
        <v>643</v>
      </c>
      <c r="B249" s="68" t="s">
        <v>644</v>
      </c>
      <c r="C249" s="69" t="str">
        <f>IFERROR(__xludf.DUMMYFUNCTION("arrayformula(VLOOKUP(to_Text(A249),to_Text(sheet2!$A$1:M1002),13,0))"),"ONC")</f>
        <v>ONC</v>
      </c>
      <c r="D249" s="70" t="str">
        <f>IFERROR(__xludf.DUMMYFUNCTION("arrayformula(VLOOKUP(to_Text(A249),to_Text(sheet2!$A$1:M1002),12,0))"),"DEV")</f>
        <v>DEV</v>
      </c>
      <c r="E249" s="71" t="s">
        <v>16</v>
      </c>
      <c r="F249" s="67" t="str">
        <f t="array" ref="F249">IFERROR(
  INDEX(ATTENDANCE_INPUT!D:D,
    MATCH(1,
      (ATTENDANCE_INPUT!A:A=A249) *
      (ATTENDANCE_INPUT!V:V=MAXIFS(ATTENDANCE_INPUT!V:V, ATTENDANCE_INPUT!A:A, A249)),
      0)),
  "")</f>
        <v>Nhat Phan 1</v>
      </c>
      <c r="G249" s="72" t="str">
        <f t="array" ref="G249">IFERROR(
  INDEX(ATTENDANCE_INPUT!E:E,
    MATCH(1,
      (ATTENDANCE_INPUT!A:A=A249) *
      (ATTENDANCE_INPUT!V:V=MAXIFS(ATTENDANCE_INPUT!V:V, ATTENDANCE_INPUT!A:A, A249)),
      0)),
  "")</f>
        <v>Communication 2</v>
      </c>
      <c r="H249" s="73" t="str">
        <f t="array" ref="H249">IF(ISNA(MATCH(A249,sheet2!A:A,0)),"⏳ Chưa test",IFERROR(INDEX(LEVEL_HELPER!A:A,MATCH(INDEX(sheet2!N:N,MATCH(A249,sheet2!A:A,0)),LEVEL_HELPER!B:B,0)),"⏳ Chưa test"))</f>
        <v>Beginner</v>
      </c>
      <c r="I249" s="73" t="str">
        <f t="array" ref="I249">IF(ISNA(MATCH(A249,sheet2!A:A,0)),H249,IF(INDEX(sheet2!O:O,MATCH(A249,sheet2!A:A,0))&gt;0,IFERROR(INDEX(LEVEL_HELPER!A:A,MATCH(INDEX(sheet2!O:O,MATCH(A249,sheet2!A:A,0)),LEVEL_HELPER!B:B,0)),H249),H249))</f>
        <v>Pre-Intermediate 1</v>
      </c>
      <c r="J249" s="73">
        <f>IFERROR(MAXIFS(ATTENDANCE_LOG!F:F, ATTENDANCE_LOG!C:C, A249&amp;"", ATTENDANCE_LOG!G:G, "Present"), "")</f>
        <v>46021.58333</v>
      </c>
      <c r="K249" s="74" t="str">
        <f t="shared" si="1"/>
        <v/>
      </c>
      <c r="L249" s="75" t="str">
        <f t="shared" si="2"/>
        <v/>
      </c>
      <c r="M249" s="59" t="s">
        <v>34</v>
      </c>
      <c r="N249" s="77" t="s">
        <v>33</v>
      </c>
      <c r="O249" s="59"/>
      <c r="P249" s="59"/>
      <c r="Q249" s="59"/>
      <c r="R249" s="59"/>
      <c r="S249" s="59"/>
      <c r="T249" s="59"/>
      <c r="U249" s="59"/>
      <c r="V249" s="59"/>
      <c r="W249" s="87"/>
      <c r="X249" s="87"/>
      <c r="Y249" s="87"/>
    </row>
    <row r="250" ht="15.75" customHeight="1">
      <c r="A250" s="67" t="s">
        <v>645</v>
      </c>
      <c r="B250" s="68" t="s">
        <v>646</v>
      </c>
      <c r="C250" s="69" t="str">
        <f>IFERROR(__xludf.DUMMYFUNCTION("arrayformula(VLOOKUP(to_Text(A250),to_Text(sheet2!$A$1:M1002),13,0))"),"TBU")</f>
        <v>TBU</v>
      </c>
      <c r="D250" s="70" t="str">
        <f>IFERROR(__xludf.DUMMYFUNCTION("arrayformula(VLOOKUP(to_Text(A250),to_Text(sheet2!$A$1:M1002),12,0))"),"DEV")</f>
        <v>DEV</v>
      </c>
      <c r="E250" s="71" t="s">
        <v>16</v>
      </c>
      <c r="F250" s="67" t="str">
        <f t="array" ref="F250">IFERROR(
  INDEX(ATTENDANCE_INPUT!D:D,
    MATCH(1,
      (ATTENDANCE_INPUT!A:A=A250) *
      (ATTENDANCE_INPUT!V:V=MAXIFS(ATTENDANCE_INPUT!V:V, ATTENDANCE_INPUT!A:A, A250)),
      0)),
  "")</f>
        <v>Minh Nguyen</v>
      </c>
      <c r="G250" s="72" t="str">
        <f t="array" ref="G250">IFERROR(
  INDEX(ATTENDANCE_INPUT!E:E,
    MATCH(1,
      (ATTENDANCE_INPUT!A:A=A250) *
      (ATTENDANCE_INPUT!V:V=MAXIFS(ATTENDANCE_INPUT!V:V, ATTENDANCE_INPUT!A:A, A250)),
      0)),
  "")</f>
        <v>Communication 1</v>
      </c>
      <c r="H250" s="73" t="str">
        <f t="array" ref="H250">IF(ISNA(MATCH(A250,sheet2!A:A,0)),"⏳ Chưa test",IFERROR(INDEX(LEVEL_HELPER!A:A,MATCH(INDEX(sheet2!N:N,MATCH(A250,sheet2!A:A,0)),LEVEL_HELPER!B:B,0)),"⏳ Chưa test"))</f>
        <v>⏳ Chưa test</v>
      </c>
      <c r="I250" s="73" t="str">
        <f t="array" ref="I250">IF(ISNA(MATCH(A250,sheet2!A:A,0)),H250,IF(INDEX(sheet2!O:O,MATCH(A250,sheet2!A:A,0))&gt;0,IFERROR(INDEX(LEVEL_HELPER!A:A,MATCH(INDEX(sheet2!O:O,MATCH(A250,sheet2!A:A,0)),LEVEL_HELPER!B:B,0)),H250),H250))</f>
        <v>⏳ Chưa test</v>
      </c>
      <c r="J250" s="73">
        <f>IFERROR(MAXIFS(ATTENDANCE_LOG!F:F, ATTENDANCE_LOG!C:C, A250&amp;"", ATTENDANCE_LOG!G:G, "Present"), "")</f>
        <v>45712.58333</v>
      </c>
      <c r="K250" s="74" t="str">
        <f t="shared" si="1"/>
        <v/>
      </c>
      <c r="L250" s="75" t="str">
        <f t="shared" si="2"/>
        <v/>
      </c>
      <c r="M250" s="80" t="s">
        <v>36</v>
      </c>
      <c r="N250" s="77" t="s">
        <v>33</v>
      </c>
      <c r="O250" s="59"/>
      <c r="P250" s="59"/>
      <c r="Q250" s="59"/>
      <c r="R250" s="59"/>
      <c r="S250" s="59"/>
      <c r="T250" s="59"/>
      <c r="U250" s="59"/>
      <c r="V250" s="59"/>
      <c r="W250" s="87"/>
      <c r="X250" s="87"/>
      <c r="Y250" s="87"/>
    </row>
    <row r="251" ht="15.75" customHeight="1">
      <c r="A251" s="67" t="s">
        <v>647</v>
      </c>
      <c r="B251" s="68" t="s">
        <v>648</v>
      </c>
      <c r="C251" s="69" t="str">
        <f>IFERROR(__xludf.DUMMYFUNCTION("arrayformula(VLOOKUP(to_Text(A251),to_Text(sheet2!$A$1:M1002),13,0))"),"BSG")</f>
        <v>BSG</v>
      </c>
      <c r="D251" s="70" t="str">
        <f>IFERROR(__xludf.DUMMYFUNCTION("arrayformula(VLOOKUP(to_Text(A251),to_Text(sheet2!$A$1:M1002),12,0))"),"Admin")</f>
        <v>Admin</v>
      </c>
      <c r="E251" s="68" t="str">
        <f t="shared" ref="E251:E252" si="27">if(L251="⚠ Possibly Dropped","Inactive","Active")</f>
        <v>Inactive</v>
      </c>
      <c r="F251" s="67" t="str">
        <f t="array" ref="F251">IFERROR(
  INDEX(ATTENDANCE_INPUT!D:D,
    MATCH(1,
      (ATTENDANCE_INPUT!A:A=A251) *
      (ATTENDANCE_INPUT!V:V=MAXIFS(ATTENDANCE_INPUT!V:V, ATTENDANCE_INPUT!A:A, A251)),
      0)),
  "")</f>
        <v>Nhat Bui</v>
      </c>
      <c r="G251" s="72" t="str">
        <f t="array" ref="G251">IFERROR(
  INDEX(ATTENDANCE_INPUT!E:E,
    MATCH(1,
      (ATTENDANCE_INPUT!A:A=A251) *
      (ATTENDANCE_INPUT!V:V=MAXIFS(ATTENDANCE_INPUT!V:V, ATTENDANCE_INPUT!A:A, A251)),
      0)),
  "")</f>
        <v>Communication 1</v>
      </c>
      <c r="H251" s="73" t="str">
        <f t="array" ref="H251">IF(ISNA(MATCH(A251,sheet2!A:A,0)),"⏳ Chưa test",IFERROR(INDEX(LEVEL_HELPER!A:A,MATCH(INDEX(sheet2!N:N,MATCH(A251,sheet2!A:A,0)),LEVEL_HELPER!B:B,0)),"⏳ Chưa test"))</f>
        <v>Beginner</v>
      </c>
      <c r="I251" s="73" t="str">
        <f t="array" ref="I251">IF(ISNA(MATCH(A251,sheet2!A:A,0)),H251,IF(INDEX(sheet2!O:O,MATCH(A251,sheet2!A:A,0))&gt;0,IFERROR(INDEX(LEVEL_HELPER!A:A,MATCH(INDEX(sheet2!O:O,MATCH(A251,sheet2!A:A,0)),LEVEL_HELPER!B:B,0)),H251),H251))</f>
        <v>Beginner</v>
      </c>
      <c r="J251" s="73">
        <f>IFERROR(MAXIFS(ATTENDANCE_LOG!F:F, ATTENDANCE_LOG!C:C, A251&amp;"", ATTENDANCE_LOG!G:G, "Present"), "")</f>
        <v>45698.54167</v>
      </c>
      <c r="K251" s="74">
        <f t="shared" si="1"/>
        <v>211</v>
      </c>
      <c r="L251" s="75" t="str">
        <f t="shared" si="2"/>
        <v>⚠ Possibly Dropped</v>
      </c>
      <c r="M251" s="80" t="s">
        <v>34</v>
      </c>
      <c r="N251" s="77" t="s">
        <v>33</v>
      </c>
      <c r="O251" s="59"/>
      <c r="P251" s="59"/>
      <c r="Q251" s="59"/>
      <c r="R251" s="59"/>
      <c r="S251" s="59"/>
      <c r="T251" s="59"/>
      <c r="U251" s="59"/>
      <c r="V251" s="59"/>
      <c r="W251" s="87"/>
      <c r="X251" s="87"/>
      <c r="Y251" s="87"/>
    </row>
    <row r="252" ht="15.75" customHeight="1">
      <c r="A252" s="67" t="s">
        <v>649</v>
      </c>
      <c r="B252" s="68" t="s">
        <v>650</v>
      </c>
      <c r="C252" s="69" t="str">
        <f>IFERROR(__xludf.DUMMYFUNCTION("arrayformula(VLOOKUP(to_Text(A252),to_Text(sheet2!$A$1:M1002),13,0))"),"MOC")</f>
        <v>MOC</v>
      </c>
      <c r="D252" s="70" t="str">
        <f>IFERROR(__xludf.DUMMYFUNCTION("arrayformula(VLOOKUP(to_Text(A252),to_Text(sheet2!$A$1:M1002),12,0))"),"GSD")</f>
        <v>GSD</v>
      </c>
      <c r="E252" s="68" t="str">
        <f t="shared" si="27"/>
        <v>Active</v>
      </c>
      <c r="F252" s="67" t="str">
        <f t="array" ref="F252">IFERROR(
  INDEX(ATTENDANCE_INPUT!D:D,
    MATCH(1,
      (ATTENDANCE_INPUT!A:A=A252) *
      (ATTENDANCE_INPUT!V:V=MAXIFS(ATTENDANCE_INPUT!V:V, ATTENDANCE_INPUT!A:A, A252)),
      0)),
  "")</f>
        <v>Thuong Tran</v>
      </c>
      <c r="G252" s="72" t="str">
        <f t="array" ref="G252">IFERROR(
  INDEX(ATTENDANCE_INPUT!E:E,
    MATCH(1,
      (ATTENDANCE_INPUT!A:A=A252) *
      (ATTENDANCE_INPUT!V:V=MAXIFS(ATTENDANCE_INPUT!V:V, ATTENDANCE_INPUT!A:A, A252)),
      0)),
  "")</f>
        <v>Business English</v>
      </c>
      <c r="H252" s="73" t="str">
        <f t="array" ref="H252">IF(ISNA(MATCH(A252,sheet2!A:A,0)),"⏳ Chưa test",IFERROR(INDEX(LEVEL_HELPER!A:A,MATCH(INDEX(sheet2!N:N,MATCH(A252,sheet2!A:A,0)),LEVEL_HELPER!B:B,0)),"⏳ Chưa test"))</f>
        <v>Beginner</v>
      </c>
      <c r="I252" s="73" t="str">
        <f t="array" ref="I252">IF(ISNA(MATCH(A252,sheet2!A:A,0)),H252,IF(INDEX(sheet2!O:O,MATCH(A252,sheet2!A:A,0))&gt;0,IFERROR(INDEX(LEVEL_HELPER!A:A,MATCH(INDEX(sheet2!O:O,MATCH(A252,sheet2!A:A,0)),LEVEL_HELPER!B:B,0)),H252),H252))</f>
        <v>Intermediate 1</v>
      </c>
      <c r="J252" s="73">
        <f>IFERROR(MAXIFS(ATTENDANCE_LOG!F:F, ATTENDANCE_LOG!C:C, A252&amp;"", ATTENDANCE_LOG!G:G, "Present"), "")</f>
        <v>46119.54167</v>
      </c>
      <c r="K252" s="74">
        <f t="shared" si="1"/>
        <v>-64</v>
      </c>
      <c r="L252" s="75" t="str">
        <f t="shared" si="2"/>
        <v/>
      </c>
      <c r="M252" s="59"/>
      <c r="N252" s="77"/>
      <c r="O252" s="59"/>
      <c r="P252" s="59"/>
      <c r="Q252" s="59"/>
      <c r="R252" s="59"/>
      <c r="S252" s="59"/>
      <c r="T252" s="59"/>
      <c r="U252" s="59"/>
      <c r="V252" s="59"/>
      <c r="W252" s="87"/>
      <c r="X252" s="87"/>
      <c r="Y252" s="87"/>
    </row>
    <row r="253" ht="15.75" customHeight="1">
      <c r="A253" s="67" t="s">
        <v>651</v>
      </c>
      <c r="B253" s="68" t="s">
        <v>652</v>
      </c>
      <c r="C253" s="69" t="str">
        <f>IFERROR(__xludf.DUMMYFUNCTION("arrayformula(VLOOKUP(to_Text(A253),to_Text(sheet2!$A$1:M1002),13,0))"),"LBU")</f>
        <v>LBU</v>
      </c>
      <c r="D253" s="70" t="str">
        <f>IFERROR(__xludf.DUMMYFUNCTION("arrayformula(VLOOKUP(to_Text(A253),to_Text(sheet2!$A$1:M1002),12,0))"),"QC")</f>
        <v>QC</v>
      </c>
      <c r="E253" s="71" t="s">
        <v>16</v>
      </c>
      <c r="F253" s="67" t="str">
        <f t="array" ref="F253">IFERROR(
  INDEX(ATTENDANCE_INPUT!D:D,
    MATCH(1,
      (ATTENDANCE_INPUT!A:A=A253) *
      (ATTENDANCE_INPUT!V:V=MAXIFS(ATTENDANCE_INPUT!V:V, ATTENDANCE_INPUT!A:A, A253)),
      0)),
  "")</f>
        <v>My Tran</v>
      </c>
      <c r="G253" s="72" t="str">
        <f t="array" ref="G253">IFERROR(
  INDEX(ATTENDANCE_INPUT!E:E,
    MATCH(1,
      (ATTENDANCE_INPUT!A:A=A253) *
      (ATTENDANCE_INPUT!V:V=MAXIFS(ATTENDANCE_INPUT!V:V, ATTENDANCE_INPUT!A:A, A253)),
      0)),
  "")</f>
        <v>Communication 2</v>
      </c>
      <c r="H253" s="73" t="str">
        <f t="array" ref="H253">IF(ISNA(MATCH(A253,sheet2!A:A,0)),"⏳ Chưa test",IFERROR(INDEX(LEVEL_HELPER!A:A,MATCH(INDEX(sheet2!N:N,MATCH(A253,sheet2!A:A,0)),LEVEL_HELPER!B:B,0)),"⏳ Chưa test"))</f>
        <v>Beginner</v>
      </c>
      <c r="I253" s="73" t="str">
        <f t="array" ref="I253">IF(ISNA(MATCH(A253,sheet2!A:A,0)),H253,IF(INDEX(sheet2!O:O,MATCH(A253,sheet2!A:A,0))&gt;0,IFERROR(INDEX(LEVEL_HELPER!A:A,MATCH(INDEX(sheet2!O:O,MATCH(A253,sheet2!A:A,0)),LEVEL_HELPER!B:B,0)),H253),H253))</f>
        <v>Pre-Intermediate 1</v>
      </c>
      <c r="J253" s="73">
        <f>IFERROR(MAXIFS(ATTENDANCE_LOG!F:F, ATTENDANCE_LOG!C:C, A253&amp;"", ATTENDANCE_LOG!G:G, "Present"), "")</f>
        <v>46013.58333</v>
      </c>
      <c r="K253" s="74" t="str">
        <f t="shared" si="1"/>
        <v/>
      </c>
      <c r="L253" s="75" t="str">
        <f t="shared" si="2"/>
        <v/>
      </c>
      <c r="M253" s="59" t="s">
        <v>36</v>
      </c>
      <c r="N253" s="77" t="s">
        <v>33</v>
      </c>
      <c r="O253" s="59"/>
      <c r="P253" s="59"/>
      <c r="Q253" s="59"/>
      <c r="R253" s="59"/>
      <c r="S253" s="59"/>
      <c r="T253" s="59"/>
      <c r="U253" s="59"/>
      <c r="V253" s="59"/>
      <c r="W253" s="87"/>
      <c r="X253" s="87"/>
      <c r="Y253" s="87"/>
    </row>
    <row r="254" ht="15.75" customHeight="1">
      <c r="A254" s="67" t="s">
        <v>653</v>
      </c>
      <c r="B254" s="68" t="s">
        <v>654</v>
      </c>
      <c r="C254" s="69" t="str">
        <f>IFERROR(__xludf.DUMMYFUNCTION("arrayformula(VLOOKUP(to_Text(A254),to_Text(sheet2!$A$1:M1002),13,0))"),"ONC")</f>
        <v>ONC</v>
      </c>
      <c r="D254" s="70" t="str">
        <f>IFERROR(__xludf.DUMMYFUNCTION("arrayformula(VLOOKUP(to_Text(A254),to_Text(sheet2!$A$1:M1002),12,0))"),"QC")</f>
        <v>QC</v>
      </c>
      <c r="E254" s="68" t="str">
        <f>if(L254="⚠ Possibly Dropped","Inactive","Active")</f>
        <v>Active</v>
      </c>
      <c r="F254" s="67" t="str">
        <f t="array" ref="F254">IFERROR(
  INDEX(ATTENDANCE_INPUT!D:D,
    MATCH(1,
      (ATTENDANCE_INPUT!A:A=A254) *
      (ATTENDANCE_INPUT!V:V=MAXIFS(ATTENDANCE_INPUT!V:V, ATTENDANCE_INPUT!A:A, A254)),
      0)),
  "")</f>
        <v>Nam Nguyen</v>
      </c>
      <c r="G254" s="72" t="str">
        <f t="array" ref="G254">IFERROR(
  INDEX(ATTENDANCE_INPUT!E:E,
    MATCH(1,
      (ATTENDANCE_INPUT!A:A=A254) *
      (ATTENDANCE_INPUT!V:V=MAXIFS(ATTENDANCE_INPUT!V:V, ATTENDANCE_INPUT!A:A, A254)),
      0)),
  "")</f>
        <v>Communication 1</v>
      </c>
      <c r="H254" s="73" t="str">
        <f t="array" ref="H254">IF(ISNA(MATCH(A254,sheet2!A:A,0)),"⏳ Chưa test",IFERROR(INDEX(LEVEL_HELPER!A:A,MATCH(INDEX(sheet2!N:N,MATCH(A254,sheet2!A:A,0)),LEVEL_HELPER!B:B,0)),"⏳ Chưa test"))</f>
        <v>Foundation</v>
      </c>
      <c r="I254" s="73" t="str">
        <f t="array" ref="I254">IF(ISNA(MATCH(A254,sheet2!A:A,0)),H254,IF(INDEX(sheet2!O:O,MATCH(A254,sheet2!A:A,0))&gt;0,IFERROR(INDEX(LEVEL_HELPER!A:A,MATCH(INDEX(sheet2!O:O,MATCH(A254,sheet2!A:A,0)),LEVEL_HELPER!B:B,0)),H254),H254))</f>
        <v>Foundation</v>
      </c>
      <c r="J254" s="73">
        <f>IFERROR(MAXIFS(ATTENDANCE_LOG!F:F, ATTENDANCE_LOG!C:C, A254&amp;"", ATTENDANCE_LOG!G:G, "Present"), "")</f>
        <v>46134.45833</v>
      </c>
      <c r="K254" s="74" t="str">
        <f t="shared" si="1"/>
        <v/>
      </c>
      <c r="L254" s="75" t="str">
        <f t="shared" si="2"/>
        <v/>
      </c>
      <c r="M254" s="59"/>
      <c r="N254" s="77"/>
      <c r="O254" s="59"/>
      <c r="P254" s="59"/>
      <c r="Q254" s="59"/>
      <c r="R254" s="59"/>
      <c r="S254" s="59"/>
      <c r="T254" s="59"/>
      <c r="U254" s="59"/>
      <c r="V254" s="59"/>
      <c r="W254" s="87"/>
      <c r="X254" s="87"/>
      <c r="Y254" s="87"/>
    </row>
    <row r="255" ht="15.75" customHeight="1">
      <c r="A255" s="67" t="s">
        <v>655</v>
      </c>
      <c r="B255" s="68" t="s">
        <v>656</v>
      </c>
      <c r="C255" s="69" t="str">
        <f>IFERROR(__xludf.DUMMYFUNCTION("arrayformula(VLOOKUP(to_Text(A255),to_Text(sheet2!$A$1:M1002),13,0))"),"LBU")</f>
        <v>LBU</v>
      </c>
      <c r="D255" s="70" t="str">
        <f>IFERROR(__xludf.DUMMYFUNCTION("arrayformula(VLOOKUP(to_Text(A255),to_Text(sheet2!$A$1:M1002),12,0))"),"GSD")</f>
        <v>GSD</v>
      </c>
      <c r="E255" s="71" t="s">
        <v>16</v>
      </c>
      <c r="F255" s="67" t="str">
        <f t="array" ref="F255">IFERROR(
  INDEX(ATTENDANCE_INPUT!D:D,
    MATCH(1,
      (ATTENDANCE_INPUT!A:A=A255) *
      (ATTENDANCE_INPUT!V:V=MAXIFS(ATTENDANCE_INPUT!V:V, ATTENDANCE_INPUT!A:A, A255)),
      0)),
  "")</f>
        <v>Quyen Nguyen</v>
      </c>
      <c r="G255" s="72" t="str">
        <f t="array" ref="G255">IFERROR(
  INDEX(ATTENDANCE_INPUT!E:E,
    MATCH(1,
      (ATTENDANCE_INPUT!A:A=A255) *
      (ATTENDANCE_INPUT!V:V=MAXIFS(ATTENDANCE_INPUT!V:V, ATTENDANCE_INPUT!A:A, A255)),
      0)),
  "")</f>
        <v>Communication 1</v>
      </c>
      <c r="H255" s="73" t="str">
        <f t="array" ref="H255">IF(ISNA(MATCH(A255,sheet2!A:A,0)),"⏳ Chưa test",IFERROR(INDEX(LEVEL_HELPER!A:A,MATCH(INDEX(sheet2!N:N,MATCH(A255,sheet2!A:A,0)),LEVEL_HELPER!B:B,0)),"⏳ Chưa test"))</f>
        <v>Beginner</v>
      </c>
      <c r="I255" s="73" t="str">
        <f t="array" ref="I255">IF(ISNA(MATCH(A255,sheet2!A:A,0)),H255,IF(INDEX(sheet2!O:O,MATCH(A255,sheet2!A:A,0))&gt;0,IFERROR(INDEX(LEVEL_HELPER!A:A,MATCH(INDEX(sheet2!O:O,MATCH(A255,sheet2!A:A,0)),LEVEL_HELPER!B:B,0)),H255),H255))</f>
        <v>Beginner</v>
      </c>
      <c r="J255" s="73">
        <f>IFERROR(MAXIFS(ATTENDANCE_LOG!F:F, ATTENDANCE_LOG!C:C, A255&amp;"", ATTENDANCE_LOG!G:G, "Present"), "")</f>
        <v>46094.54167</v>
      </c>
      <c r="K255" s="74" t="str">
        <f t="shared" si="1"/>
        <v/>
      </c>
      <c r="L255" s="75" t="str">
        <f t="shared" si="2"/>
        <v/>
      </c>
      <c r="M255" s="59" t="s">
        <v>36</v>
      </c>
      <c r="N255" s="77" t="s">
        <v>33</v>
      </c>
      <c r="O255" s="59"/>
      <c r="P255" s="59"/>
      <c r="Q255" s="59"/>
      <c r="R255" s="59"/>
      <c r="S255" s="59"/>
      <c r="T255" s="59"/>
      <c r="U255" s="59"/>
      <c r="V255" s="59"/>
      <c r="W255" s="87"/>
      <c r="X255" s="87"/>
      <c r="Y255" s="87"/>
    </row>
    <row r="256" ht="15.75" customHeight="1">
      <c r="A256" s="67" t="s">
        <v>657</v>
      </c>
      <c r="B256" s="68" t="s">
        <v>658</v>
      </c>
      <c r="C256" s="69" t="str">
        <f>IFERROR(__xludf.DUMMYFUNCTION("arrayformula(VLOOKUP(to_Text(A256),to_Text(sheet2!$A$1:M1002),13,0))"),"POC")</f>
        <v>POC</v>
      </c>
      <c r="D256" s="70" t="str">
        <f>IFERROR(__xludf.DUMMYFUNCTION("arrayformula(VLOOKUP(to_Text(A256),to_Text(sheet2!$A$1:M1002),12,0))"),"QC")</f>
        <v>QC</v>
      </c>
      <c r="E256" s="68" t="str">
        <f t="shared" ref="E256:E258" si="28">if(L256="⚠ Possibly Dropped","Inactive","Active")</f>
        <v>Active</v>
      </c>
      <c r="F256" s="67" t="str">
        <f t="array" ref="F256">IFERROR(
  INDEX(ATTENDANCE_INPUT!D:D,
    MATCH(1,
      (ATTENDANCE_INPUT!A:A=A256) *
      (ATTENDANCE_INPUT!V:V=MAXIFS(ATTENDANCE_INPUT!V:V, ATTENDANCE_INPUT!A:A, A256)),
      0)),
  "")</f>
        <v>Anh Vu</v>
      </c>
      <c r="G256" s="72" t="str">
        <f t="array" ref="G256">IFERROR(
  INDEX(ATTENDANCE_INPUT!E:E,
    MATCH(1,
      (ATTENDANCE_INPUT!A:A=A256) *
      (ATTENDANCE_INPUT!V:V=MAXIFS(ATTENDANCE_INPUT!V:V, ATTENDANCE_INPUT!A:A, A256)),
      0)),
  "")</f>
        <v>Business English</v>
      </c>
      <c r="H256" s="73" t="str">
        <f t="array" ref="H256">IF(ISNA(MATCH(A256,sheet2!A:A,0)),"⏳ Chưa test",IFERROR(INDEX(LEVEL_HELPER!A:A,MATCH(INDEX(sheet2!N:N,MATCH(A256,sheet2!A:A,0)),LEVEL_HELPER!B:B,0)),"⏳ Chưa test"))</f>
        <v>Intermediate</v>
      </c>
      <c r="I256" s="73" t="str">
        <f t="array" ref="I256">IF(ISNA(MATCH(A256,sheet2!A:A,0)),H256,IF(INDEX(sheet2!O:O,MATCH(A256,sheet2!A:A,0))&gt;0,IFERROR(INDEX(LEVEL_HELPER!A:A,MATCH(INDEX(sheet2!O:O,MATCH(A256,sheet2!A:A,0)),LEVEL_HELPER!B:B,0)),H256),H256))</f>
        <v>Intermediate 2</v>
      </c>
      <c r="J256" s="73">
        <f>IFERROR(MAXIFS(ATTENDANCE_LOG!F:F, ATTENDANCE_LOG!C:C, A256&amp;"", ATTENDANCE_LOG!G:G, "Present"), "")</f>
        <v>46127.58333</v>
      </c>
      <c r="K256" s="74" t="str">
        <f t="shared" si="1"/>
        <v/>
      </c>
      <c r="L256" s="75" t="str">
        <f t="shared" si="2"/>
        <v/>
      </c>
      <c r="M256" s="59"/>
      <c r="N256" s="77"/>
      <c r="O256" s="59"/>
      <c r="P256" s="59"/>
      <c r="Q256" s="59"/>
      <c r="R256" s="59">
        <v>247174.0</v>
      </c>
      <c r="S256" s="59" t="s">
        <v>172</v>
      </c>
      <c r="T256" s="59" t="s">
        <v>39</v>
      </c>
      <c r="U256" s="59" t="e">
        <v>#N/A</v>
      </c>
      <c r="V256" s="59"/>
      <c r="W256" s="87"/>
      <c r="X256" s="87"/>
      <c r="Y256" s="87"/>
    </row>
    <row r="257" ht="15.75" customHeight="1">
      <c r="A257" s="67" t="s">
        <v>659</v>
      </c>
      <c r="B257" s="68" t="s">
        <v>660</v>
      </c>
      <c r="C257" s="69" t="str">
        <f>IFERROR(__xludf.DUMMYFUNCTION("arrayformula(VLOOKUP(to_Text(A257),to_Text(sheet2!$A$1:M1002),13,0))"),"POC")</f>
        <v>POC</v>
      </c>
      <c r="D257" s="70" t="str">
        <f>IFERROR(__xludf.DUMMYFUNCTION("arrayformula(VLOOKUP(to_Text(A257),to_Text(sheet2!$A$1:M1002),12,0))"),"QC")</f>
        <v>QC</v>
      </c>
      <c r="E257" s="68" t="str">
        <f t="shared" si="28"/>
        <v>Active</v>
      </c>
      <c r="F257" s="67" t="str">
        <f t="array" ref="F257">IFERROR(
  INDEX(ATTENDANCE_INPUT!D:D,
    MATCH(1,
      (ATTENDANCE_INPUT!A:A=A257) *
      (ATTENDANCE_INPUT!V:V=MAXIFS(ATTENDANCE_INPUT!V:V, ATTENDANCE_INPUT!A:A, A257)),
      0)),
  "")</f>
        <v>Anh Vu</v>
      </c>
      <c r="G257" s="72" t="str">
        <f t="array" ref="G257">IFERROR(
  INDEX(ATTENDANCE_INPUT!E:E,
    MATCH(1,
      (ATTENDANCE_INPUT!A:A=A257) *
      (ATTENDANCE_INPUT!V:V=MAXIFS(ATTENDANCE_INPUT!V:V, ATTENDANCE_INPUT!A:A, A257)),
      0)),
  "")</f>
        <v>Business English</v>
      </c>
      <c r="H257" s="73" t="str">
        <f t="array" ref="H257">IF(ISNA(MATCH(A257,sheet2!A:A,0)),"⏳ Chưa test",IFERROR(INDEX(LEVEL_HELPER!A:A,MATCH(INDEX(sheet2!N:N,MATCH(A257,sheet2!A:A,0)),LEVEL_HELPER!B:B,0)),"⏳ Chưa test"))</f>
        <v>Beginner</v>
      </c>
      <c r="I257" s="73" t="str">
        <f t="array" ref="I257">IF(ISNA(MATCH(A257,sheet2!A:A,0)),H257,IF(INDEX(sheet2!O:O,MATCH(A257,sheet2!A:A,0))&gt;0,IFERROR(INDEX(LEVEL_HELPER!A:A,MATCH(INDEX(sheet2!O:O,MATCH(A257,sheet2!A:A,0)),LEVEL_HELPER!B:B,0)),H257),H257))</f>
        <v>Intermediate 1</v>
      </c>
      <c r="J257" s="73">
        <f>IFERROR(MAXIFS(ATTENDANCE_LOG!F:F, ATTENDANCE_LOG!C:C, A257&amp;"", ATTENDANCE_LOG!G:G, "Present"), "")</f>
        <v>46127.58333</v>
      </c>
      <c r="K257" s="74" t="str">
        <f t="shared" si="1"/>
        <v/>
      </c>
      <c r="L257" s="75" t="str">
        <f t="shared" si="2"/>
        <v/>
      </c>
      <c r="M257" s="59"/>
      <c r="N257" s="77"/>
      <c r="O257" s="59"/>
      <c r="P257" s="59"/>
      <c r="Q257" s="59"/>
      <c r="R257" s="59">
        <v>247212.0</v>
      </c>
      <c r="S257" s="59" t="s">
        <v>172</v>
      </c>
      <c r="T257" s="59" t="s">
        <v>39</v>
      </c>
      <c r="U257" s="59" t="e">
        <v>#N/A</v>
      </c>
      <c r="V257" s="59"/>
      <c r="W257" s="87"/>
      <c r="X257" s="87"/>
      <c r="Y257" s="87"/>
    </row>
    <row r="258" ht="15.75" customHeight="1">
      <c r="A258" s="67" t="s">
        <v>661</v>
      </c>
      <c r="B258" s="68" t="s">
        <v>662</v>
      </c>
      <c r="C258" s="69" t="str">
        <f>IFERROR(__xludf.DUMMYFUNCTION("arrayformula(VLOOKUP(to_Text(A258),to_Text(sheet2!$A$1:M1002),13,0))"),"CHORUS")</f>
        <v>CHORUS</v>
      </c>
      <c r="D258" s="70" t="str">
        <f>IFERROR(__xludf.DUMMYFUNCTION("arrayformula(VLOOKUP(to_Text(A258),to_Text(sheet2!$A$1:M1002),12,0))"),"SM")</f>
        <v>SM</v>
      </c>
      <c r="E258" s="68" t="str">
        <f t="shared" si="28"/>
        <v>Inactive</v>
      </c>
      <c r="F258" s="67" t="str">
        <f t="array" ref="F258">IFERROR(
  INDEX(ATTENDANCE_INPUT!D:D,
    MATCH(1,
      (ATTENDANCE_INPUT!A:A=A258) *
      (ATTENDANCE_INPUT!V:V=MAXIFS(ATTENDANCE_INPUT!V:V, ATTENDANCE_INPUT!A:A, A258)),
      0)),
  "")</f>
        <v>Yen Tran 3</v>
      </c>
      <c r="G258" s="72" t="str">
        <f t="array" ref="G258">IFERROR(
  INDEX(ATTENDANCE_INPUT!E:E,
    MATCH(1,
      (ATTENDANCE_INPUT!A:A=A258) *
      (ATTENDANCE_INPUT!V:V=MAXIFS(ATTENDANCE_INPUT!V:V, ATTENDANCE_INPUT!A:A, A258)),
      0)),
  "")</f>
        <v>Communication 1</v>
      </c>
      <c r="H258" s="73" t="str">
        <f t="array" ref="H258">IF(ISNA(MATCH(A258,sheet2!A:A,0)),"⏳ Chưa test",IFERROR(INDEX(LEVEL_HELPER!A:A,MATCH(INDEX(sheet2!N:N,MATCH(A258,sheet2!A:A,0)),LEVEL_HELPER!B:B,0)),"⏳ Chưa test"))</f>
        <v>Pre-Intermediate</v>
      </c>
      <c r="I258" s="73" t="str">
        <f t="array" ref="I258">IF(ISNA(MATCH(A258,sheet2!A:A,0)),H258,IF(INDEX(sheet2!O:O,MATCH(A258,sheet2!A:A,0))&gt;0,IFERROR(INDEX(LEVEL_HELPER!A:A,MATCH(INDEX(sheet2!O:O,MATCH(A258,sheet2!A:A,0)),LEVEL_HELPER!B:B,0)),H258),H258))</f>
        <v>Pre-Intermediate</v>
      </c>
      <c r="J258" s="73">
        <f>IFERROR(MAXIFS(ATTENDANCE_LOG!F:F, ATTENDANCE_LOG!C:C, A258&amp;"", ATTENDANCE_LOG!G:G, "Present"), "")</f>
        <v>45846.45833</v>
      </c>
      <c r="K258" s="74">
        <f t="shared" si="1"/>
        <v>267</v>
      </c>
      <c r="L258" s="75" t="str">
        <f t="shared" si="2"/>
        <v>⚠ Possibly Dropped</v>
      </c>
      <c r="M258" s="59" t="s">
        <v>34</v>
      </c>
      <c r="N258" s="77" t="s">
        <v>41</v>
      </c>
      <c r="O258" s="92"/>
      <c r="P258" s="59"/>
      <c r="Q258" s="59"/>
      <c r="R258" s="59"/>
      <c r="S258" s="59"/>
      <c r="T258" s="59"/>
      <c r="U258" s="59"/>
      <c r="V258" s="59"/>
      <c r="W258" s="87"/>
      <c r="X258" s="87"/>
      <c r="Y258" s="87"/>
    </row>
    <row r="259" ht="15.75" customHeight="1">
      <c r="A259" s="67" t="s">
        <v>663</v>
      </c>
      <c r="B259" s="68" t="s">
        <v>664</v>
      </c>
      <c r="C259" s="69" t="str">
        <f>IFERROR(__xludf.DUMMYFUNCTION("arrayformula(VLOOKUP(to_Text(A259),to_Text(sheet2!$A$1:M1002),13,0))"),"TBU")</f>
        <v>TBU</v>
      </c>
      <c r="D259" s="70" t="str">
        <f>IFERROR(__xludf.DUMMYFUNCTION("arrayformula(VLOOKUP(to_Text(A259),to_Text(sheet2!$A$1:M1002),12,0))"),"DEV")</f>
        <v>DEV</v>
      </c>
      <c r="E259" s="71" t="s">
        <v>16</v>
      </c>
      <c r="F259" s="67" t="str">
        <f t="array" ref="F259">IFERROR(
  INDEX(ATTENDANCE_INPUT!D:D,
    MATCH(1,
      (ATTENDANCE_INPUT!A:A=A259) *
      (ATTENDANCE_INPUT!V:V=MAXIFS(ATTENDANCE_INPUT!V:V, ATTENDANCE_INPUT!A:A, A259)),
      0)),
  "")</f>
        <v>My Nguyen</v>
      </c>
      <c r="G259" s="72" t="str">
        <f t="array" ref="G259">IFERROR(
  INDEX(ATTENDANCE_INPUT!E:E,
    MATCH(1,
      (ATTENDANCE_INPUT!A:A=A259) *
      (ATTENDANCE_INPUT!V:V=MAXIFS(ATTENDANCE_INPUT!V:V, ATTENDANCE_INPUT!A:A, A259)),
      0)),
  "")</f>
        <v>Communication 2</v>
      </c>
      <c r="H259" s="73" t="str">
        <f t="array" ref="H259">IF(ISNA(MATCH(A259,sheet2!A:A,0)),"⏳ Chưa test",IFERROR(INDEX(LEVEL_HELPER!A:A,MATCH(INDEX(sheet2!N:N,MATCH(A259,sheet2!A:A,0)),LEVEL_HELPER!B:B,0)),"⏳ Chưa test"))</f>
        <v>Beginner</v>
      </c>
      <c r="I259" s="73" t="str">
        <f t="array" ref="I259">IF(ISNA(MATCH(A259,sheet2!A:A,0)),H259,IF(INDEX(sheet2!O:O,MATCH(A259,sheet2!A:A,0))&gt;0,IFERROR(INDEX(LEVEL_HELPER!A:A,MATCH(INDEX(sheet2!O:O,MATCH(A259,sheet2!A:A,0)),LEVEL_HELPER!B:B,0)),H259),H259))</f>
        <v>Beginner</v>
      </c>
      <c r="J259" s="73">
        <f>IFERROR(MAXIFS(ATTENDANCE_LOG!F:F, ATTENDANCE_LOG!C:C, A259&amp;"", ATTENDANCE_LOG!G:G, "Present"), "")</f>
        <v>46086.54167</v>
      </c>
      <c r="K259" s="74">
        <f t="shared" si="1"/>
        <v>-2</v>
      </c>
      <c r="L259" s="75" t="str">
        <f t="shared" si="2"/>
        <v/>
      </c>
      <c r="M259" s="59" t="s">
        <v>34</v>
      </c>
      <c r="N259" s="77" t="s">
        <v>33</v>
      </c>
      <c r="O259" s="59"/>
      <c r="P259" s="59"/>
      <c r="Q259" s="59"/>
      <c r="R259" s="59"/>
      <c r="S259" s="59"/>
      <c r="T259" s="59"/>
      <c r="U259" s="59"/>
      <c r="V259" s="59"/>
      <c r="W259" s="87"/>
      <c r="X259" s="87"/>
      <c r="Y259" s="87"/>
    </row>
    <row r="260" ht="15.75" customHeight="1">
      <c r="A260" s="67" t="s">
        <v>665</v>
      </c>
      <c r="B260" s="68" t="s">
        <v>666</v>
      </c>
      <c r="C260" s="69" t="str">
        <f>IFERROR(__xludf.DUMMYFUNCTION("arrayformula(VLOOKUP(to_Text(A260),to_Text(sheet2!$A$1:M1002),13,0))"),"TBU")</f>
        <v>TBU</v>
      </c>
      <c r="D260" s="70" t="str">
        <f>IFERROR(__xludf.DUMMYFUNCTION("arrayformula(VLOOKUP(to_Text(A260),to_Text(sheet2!$A$1:M1002),12,0))"),"DEV")</f>
        <v>DEV</v>
      </c>
      <c r="E260" s="68" t="s">
        <v>15</v>
      </c>
      <c r="F260" s="67" t="str">
        <f t="array" ref="F260">IFERROR(
  INDEX(ATTENDANCE_INPUT!D:D,
    MATCH(1,
      (ATTENDANCE_INPUT!A:A=A260) *
      (ATTENDANCE_INPUT!V:V=MAXIFS(ATTENDANCE_INPUT!V:V, ATTENDANCE_INPUT!A:A, A260)),
      0)),
  "")</f>
        <v>Hung Nguyen</v>
      </c>
      <c r="G260" s="72" t="str">
        <f t="array" ref="G260">IFERROR(
  INDEX(ATTENDANCE_INPUT!E:E,
    MATCH(1,
      (ATTENDANCE_INPUT!A:A=A260) *
      (ATTENDANCE_INPUT!V:V=MAXIFS(ATTENDANCE_INPUT!V:V, ATTENDANCE_INPUT!A:A, A260)),
      0)),
  "")</f>
        <v>Communication 2</v>
      </c>
      <c r="H260" s="73" t="str">
        <f t="array" ref="H260">IF(ISNA(MATCH(A260,sheet2!A:A,0)),"⏳ Chưa test",IFERROR(INDEX(LEVEL_HELPER!A:A,MATCH(INDEX(sheet2!N:N,MATCH(A260,sheet2!A:A,0)),LEVEL_HELPER!B:B,0)),"⏳ Chưa test"))</f>
        <v>Beginner</v>
      </c>
      <c r="I260" s="73" t="str">
        <f t="array" ref="I260">IF(ISNA(MATCH(A260,sheet2!A:A,0)),H260,IF(INDEX(sheet2!O:O,MATCH(A260,sheet2!A:A,0))&gt;0,IFERROR(INDEX(LEVEL_HELPER!A:A,MATCH(INDEX(sheet2!O:O,MATCH(A260,sheet2!A:A,0)),LEVEL_HELPER!B:B,0)),H260),H260))</f>
        <v>Intermediate 1</v>
      </c>
      <c r="J260" s="73">
        <f>IFERROR(MAXIFS(ATTENDANCE_LOG!F:F, ATTENDANCE_LOG!C:C, A260&amp;"", ATTENDANCE_LOG!G:G, "Present"), "")</f>
        <v>46104.41667</v>
      </c>
      <c r="K260" s="74" t="str">
        <f t="shared" si="1"/>
        <v/>
      </c>
      <c r="L260" s="75" t="str">
        <f t="shared" si="2"/>
        <v/>
      </c>
      <c r="M260" s="59"/>
      <c r="N260" s="77"/>
      <c r="O260" s="59"/>
      <c r="P260" s="59"/>
      <c r="Q260" s="59"/>
      <c r="R260" s="59"/>
      <c r="S260" s="59"/>
      <c r="T260" s="59"/>
      <c r="U260" s="59"/>
      <c r="V260" s="59"/>
      <c r="W260" s="87"/>
      <c r="X260" s="87"/>
      <c r="Y260" s="87"/>
    </row>
    <row r="261" ht="15.75" customHeight="1">
      <c r="A261" s="67" t="s">
        <v>667</v>
      </c>
      <c r="B261" s="68" t="s">
        <v>668</v>
      </c>
      <c r="C261" s="69" t="str">
        <f>IFERROR(__xludf.DUMMYFUNCTION("arrayformula(VLOOKUP(to_Text(A261),to_Text(sheet2!$A$1:M1002),13,0))"),"CHORUS")</f>
        <v>CHORUS</v>
      </c>
      <c r="D261" s="70" t="str">
        <f>IFERROR(__xludf.DUMMYFUNCTION("arrayformula(VLOOKUP(to_Text(A261),to_Text(sheet2!$A$1:M1002),12,0))"),"UI/UX")</f>
        <v>UI/UX</v>
      </c>
      <c r="E261" s="71" t="s">
        <v>16</v>
      </c>
      <c r="F261" s="67" t="str">
        <f t="array" ref="F261">IFERROR(
  INDEX(ATTENDANCE_INPUT!D:D,
    MATCH(1,
      (ATTENDANCE_INPUT!A:A=A261) *
      (ATTENDANCE_INPUT!V:V=MAXIFS(ATTENDANCE_INPUT!V:V, ATTENDANCE_INPUT!A:A, A261)),
      0)),
  "")</f>
        <v>Tan Tran</v>
      </c>
      <c r="G261" s="72" t="str">
        <f t="array" ref="G261">IFERROR(
  INDEX(ATTENDANCE_INPUT!E:E,
    MATCH(1,
      (ATTENDANCE_INPUT!A:A=A261) *
      (ATTENDANCE_INPUT!V:V=MAXIFS(ATTENDANCE_INPUT!V:V, ATTENDANCE_INPUT!A:A, A261)),
      0)),
  "")</f>
        <v>Business English</v>
      </c>
      <c r="H261" s="73" t="str">
        <f t="array" ref="H261">IF(ISNA(MATCH(A261,sheet2!A:A,0)),"⏳ Chưa test",IFERROR(INDEX(LEVEL_HELPER!A:A,MATCH(INDEX(sheet2!N:N,MATCH(A261,sheet2!A:A,0)),LEVEL_HELPER!B:B,0)),"⏳ Chưa test"))</f>
        <v>Intermediate</v>
      </c>
      <c r="I261" s="73" t="str">
        <f t="array" ref="I261">IF(ISNA(MATCH(A261,sheet2!A:A,0)),H261,IF(INDEX(sheet2!O:O,MATCH(A261,sheet2!A:A,0))&gt;0,IFERROR(INDEX(LEVEL_HELPER!A:A,MATCH(INDEX(sheet2!O:O,MATCH(A261,sheet2!A:A,0)),LEVEL_HELPER!B:B,0)),H261),H261))</f>
        <v>Upper-Intermediate</v>
      </c>
      <c r="J261" s="73">
        <f>IFERROR(MAXIFS(ATTENDANCE_LOG!F:F, ATTENDANCE_LOG!C:C, A261&amp;"", ATTENDANCE_LOG!G:G, "Present"), "")</f>
        <v>46050.54167</v>
      </c>
      <c r="K261" s="74" t="str">
        <f t="shared" si="1"/>
        <v/>
      </c>
      <c r="L261" s="75" t="str">
        <f t="shared" si="2"/>
        <v/>
      </c>
      <c r="M261" s="59" t="s">
        <v>34</v>
      </c>
      <c r="N261" s="77" t="s">
        <v>37</v>
      </c>
      <c r="O261" s="59"/>
      <c r="P261" s="59"/>
      <c r="Q261" s="59"/>
      <c r="R261" s="59"/>
      <c r="S261" s="59"/>
      <c r="T261" s="59"/>
      <c r="U261" s="59"/>
      <c r="V261" s="59"/>
      <c r="W261" s="87"/>
      <c r="X261" s="87"/>
      <c r="Y261" s="87"/>
    </row>
    <row r="262" ht="15.75" customHeight="1">
      <c r="A262" s="67" t="s">
        <v>669</v>
      </c>
      <c r="B262" s="68" t="s">
        <v>670</v>
      </c>
      <c r="C262" s="69" t="str">
        <f>IFERROR(__xludf.DUMMYFUNCTION("arrayformula(VLOOKUP(to_Text(A262),to_Text(sheet2!$A$1:M1002),13,0))"),"ONC")</f>
        <v>ONC</v>
      </c>
      <c r="D262" s="70" t="str">
        <f>IFERROR(__xludf.DUMMYFUNCTION("arrayformula(VLOOKUP(to_Text(A262),to_Text(sheet2!$A$1:M1002),12,0))"),"Management")</f>
        <v>Management</v>
      </c>
      <c r="E262" s="71" t="s">
        <v>16</v>
      </c>
      <c r="F262" s="67" t="str">
        <f t="array" ref="F262">IFERROR(
  INDEX(ATTENDANCE_INPUT!D:D,
    MATCH(1,
      (ATTENDANCE_INPUT!A:A=A262) *
      (ATTENDANCE_INPUT!V:V=MAXIFS(ATTENDANCE_INPUT!V:V, ATTENDANCE_INPUT!A:A, A262)),
      0)),
  "")</f>
        <v>Huy Nguyen</v>
      </c>
      <c r="G262" s="72" t="str">
        <f t="array" ref="G262">IFERROR(
  INDEX(ATTENDANCE_INPUT!E:E,
    MATCH(1,
      (ATTENDANCE_INPUT!A:A=A262) *
      (ATTENDANCE_INPUT!V:V=MAXIFS(ATTENDANCE_INPUT!V:V, ATTENDANCE_INPUT!A:A, A262)),
      0)),
  "")</f>
        <v>Communication 1</v>
      </c>
      <c r="H262" s="73" t="str">
        <f t="array" ref="H262">IF(ISNA(MATCH(A262,sheet2!A:A,0)),"⏳ Chưa test",IFERROR(INDEX(LEVEL_HELPER!A:A,MATCH(INDEX(sheet2!N:N,MATCH(A262,sheet2!A:A,0)),LEVEL_HELPER!B:B,0)),"⏳ Chưa test"))</f>
        <v>Pre-Intermediate</v>
      </c>
      <c r="I262" s="73" t="str">
        <f t="array" ref="I262">IF(ISNA(MATCH(A262,sheet2!A:A,0)),H262,IF(INDEX(sheet2!O:O,MATCH(A262,sheet2!A:A,0))&gt;0,IFERROR(INDEX(LEVEL_HELPER!A:A,MATCH(INDEX(sheet2!O:O,MATCH(A262,sheet2!A:A,0)),LEVEL_HELPER!B:B,0)),H262),H262))</f>
        <v>Pre-Intermediate</v>
      </c>
      <c r="J262" s="73">
        <f>IFERROR(MAXIFS(ATTENDANCE_LOG!F:F, ATTENDANCE_LOG!C:C, A262&amp;"", ATTENDANCE_LOG!G:G, "Present"), "")</f>
        <v>45896.58333</v>
      </c>
      <c r="K262" s="74" t="str">
        <f t="shared" si="1"/>
        <v/>
      </c>
      <c r="L262" s="75" t="str">
        <f t="shared" si="2"/>
        <v/>
      </c>
      <c r="M262" s="59" t="s">
        <v>36</v>
      </c>
      <c r="N262" s="77" t="s">
        <v>33</v>
      </c>
      <c r="O262" s="59"/>
      <c r="P262" s="59"/>
      <c r="Q262" s="59"/>
      <c r="R262" s="89"/>
      <c r="S262" s="89"/>
      <c r="T262" s="89"/>
      <c r="U262" s="89"/>
      <c r="V262" s="59"/>
      <c r="W262" s="87"/>
      <c r="X262" s="87"/>
      <c r="Y262" s="87"/>
    </row>
    <row r="263" ht="15.75" customHeight="1">
      <c r="A263" s="67" t="s">
        <v>671</v>
      </c>
      <c r="B263" s="68" t="s">
        <v>672</v>
      </c>
      <c r="C263" s="69" t="str">
        <f>IFERROR(__xludf.DUMMYFUNCTION("arrayformula(VLOOKUP(to_Text(A263),to_Text(sheet2!$A$1:M1002),13,0))"),"MOC")</f>
        <v>MOC</v>
      </c>
      <c r="D263" s="70" t="str">
        <f>IFERROR(__xludf.DUMMYFUNCTION("arrayformula(VLOOKUP(to_Text(A263),to_Text(sheet2!$A$1:M1002),12,0))"),"DEV")</f>
        <v>DEV</v>
      </c>
      <c r="E263" s="71" t="s">
        <v>16</v>
      </c>
      <c r="F263" s="67" t="str">
        <f t="array" ref="F263">IFERROR(
  INDEX(ATTENDANCE_INPUT!D:D,
    MATCH(1,
      (ATTENDANCE_INPUT!A:A=A263) *
      (ATTENDANCE_INPUT!V:V=MAXIFS(ATTENDANCE_INPUT!V:V, ATTENDANCE_INPUT!A:A, A263)),
      0)),
  "")</f>
        <v>Anh Ha</v>
      </c>
      <c r="G263" s="72" t="str">
        <f t="array" ref="G263">IFERROR(
  INDEX(ATTENDANCE_INPUT!E:E,
    MATCH(1,
      (ATTENDANCE_INPUT!A:A=A263) *
      (ATTENDANCE_INPUT!V:V=MAXIFS(ATTENDANCE_INPUT!V:V, ATTENDANCE_INPUT!A:A, A263)),
      0)),
  "")</f>
        <v>Communication 2</v>
      </c>
      <c r="H263" s="73" t="str">
        <f t="array" ref="H263">IF(ISNA(MATCH(A263,sheet2!A:A,0)),"⏳ Chưa test",IFERROR(INDEX(LEVEL_HELPER!A:A,MATCH(INDEX(sheet2!N:N,MATCH(A263,sheet2!A:A,0)),LEVEL_HELPER!B:B,0)),"⏳ Chưa test"))</f>
        <v>Beginner</v>
      </c>
      <c r="I263" s="73" t="str">
        <f t="array" ref="I263">IF(ISNA(MATCH(A263,sheet2!A:A,0)),H263,IF(INDEX(sheet2!O:O,MATCH(A263,sheet2!A:A,0))&gt;0,IFERROR(INDEX(LEVEL_HELPER!A:A,MATCH(INDEX(sheet2!O:O,MATCH(A263,sheet2!A:A,0)),LEVEL_HELPER!B:B,0)),H263),H263))</f>
        <v>Pre-Intermediate 2</v>
      </c>
      <c r="J263" s="73">
        <f>IFERROR(MAXIFS(ATTENDANCE_LOG!F:F, ATTENDANCE_LOG!C:C, A263&amp;"", ATTENDANCE_LOG!G:G, "Present"), "")</f>
        <v>46106.54167</v>
      </c>
      <c r="K263" s="74" t="str">
        <f t="shared" si="1"/>
        <v/>
      </c>
      <c r="L263" s="75" t="str">
        <f t="shared" si="2"/>
        <v/>
      </c>
      <c r="M263" s="59" t="s">
        <v>34</v>
      </c>
      <c r="N263" s="77" t="s">
        <v>37</v>
      </c>
      <c r="O263" s="59"/>
      <c r="P263" s="59"/>
      <c r="Q263" s="59"/>
      <c r="R263" s="59">
        <v>247040.0</v>
      </c>
      <c r="S263" s="59" t="s">
        <v>146</v>
      </c>
      <c r="T263" s="59" t="s">
        <v>33</v>
      </c>
      <c r="U263" s="59" t="str">
        <f>IFERROR(__xludf.DUMMYFUNCTION("arrayformula(vlookup(to_text(R263),to_text($A$4:$B1254),2,0))"),"#N/A")</f>
        <v>#N/A</v>
      </c>
      <c r="V263" s="77" t="s">
        <v>39</v>
      </c>
      <c r="W263" s="87"/>
      <c r="X263" s="87"/>
      <c r="Y263" s="87"/>
    </row>
    <row r="264" ht="15.75" customHeight="1">
      <c r="A264" s="67" t="s">
        <v>673</v>
      </c>
      <c r="B264" s="68" t="s">
        <v>674</v>
      </c>
      <c r="C264" s="69" t="str">
        <f>IFERROR(__xludf.DUMMYFUNCTION("arrayformula(VLOOKUP(to_Text(A264),to_Text(sheet2!$A$1:M1002),13,0))"),"ONC")</f>
        <v>ONC</v>
      </c>
      <c r="D264" s="70" t="str">
        <f>IFERROR(__xludf.DUMMYFUNCTION("arrayformula(VLOOKUP(to_Text(A264),to_Text(sheet2!$A$1:M1002),12,0))"),"DEV")</f>
        <v>DEV</v>
      </c>
      <c r="E264" s="68" t="str">
        <f t="shared" ref="E264:E265" si="29">if(L264="⚠ Possibly Dropped","Inactive","Active")</f>
        <v>Active</v>
      </c>
      <c r="F264" s="67" t="str">
        <f t="array" ref="F264">IFERROR(
  INDEX(ATTENDANCE_INPUT!D:D,
    MATCH(1,
      (ATTENDANCE_INPUT!A:A=A264) *
      (ATTENDANCE_INPUT!V:V=MAXIFS(ATTENDANCE_INPUT!V:V, ATTENDANCE_INPUT!A:A, A264)),
      0)),
  "")</f>
        <v>Nam Nguyen</v>
      </c>
      <c r="G264" s="72" t="str">
        <f t="array" ref="G264">IFERROR(
  INDEX(ATTENDANCE_INPUT!E:E,
    MATCH(1,
      (ATTENDANCE_INPUT!A:A=A264) *
      (ATTENDANCE_INPUT!V:V=MAXIFS(ATTENDANCE_INPUT!V:V, ATTENDANCE_INPUT!A:A, A264)),
      0)),
  "")</f>
        <v>Communication 1</v>
      </c>
      <c r="H264" s="73" t="str">
        <f t="array" ref="H264">IF(ISNA(MATCH(A264,sheet2!A:A,0)),"⏳ Chưa test",IFERROR(INDEX(LEVEL_HELPER!A:A,MATCH(INDEX(sheet2!N:N,MATCH(A264,sheet2!A:A,0)),LEVEL_HELPER!B:B,0)),"⏳ Chưa test"))</f>
        <v>Foundation</v>
      </c>
      <c r="I264" s="73" t="str">
        <f t="array" ref="I264">IF(ISNA(MATCH(A264,sheet2!A:A,0)),H264,IF(INDEX(sheet2!O:O,MATCH(A264,sheet2!A:A,0))&gt;0,IFERROR(INDEX(LEVEL_HELPER!A:A,MATCH(INDEX(sheet2!O:O,MATCH(A264,sheet2!A:A,0)),LEVEL_HELPER!B:B,0)),H264),H264))</f>
        <v>Foundation</v>
      </c>
      <c r="J264" s="73">
        <f>IFERROR(MAXIFS(ATTENDANCE_LOG!F:F, ATTENDANCE_LOG!C:C, A264&amp;"", ATTENDANCE_LOG!G:G, "Present"), "")</f>
        <v>46134.45833</v>
      </c>
      <c r="K264" s="74" t="str">
        <f t="shared" si="1"/>
        <v/>
      </c>
      <c r="L264" s="75" t="str">
        <f t="shared" si="2"/>
        <v/>
      </c>
      <c r="M264" s="59"/>
      <c r="N264" s="77"/>
      <c r="O264" s="59"/>
      <c r="P264" s="59"/>
      <c r="Q264" s="59"/>
      <c r="R264" s="59"/>
      <c r="S264" s="59"/>
      <c r="T264" s="59"/>
      <c r="U264" s="59"/>
      <c r="V264" s="59"/>
      <c r="W264" s="87"/>
      <c r="X264" s="87"/>
      <c r="Y264" s="87"/>
    </row>
    <row r="265" ht="15.75" customHeight="1">
      <c r="A265" s="67" t="s">
        <v>675</v>
      </c>
      <c r="B265" s="68" t="s">
        <v>676</v>
      </c>
      <c r="C265" s="69" t="str">
        <f>IFERROR(__xludf.DUMMYFUNCTION("arrayformula(VLOOKUP(to_Text(A265),to_Text(sheet2!$A$1:M1002),13,0))"),"MOC")</f>
        <v>MOC</v>
      </c>
      <c r="D265" s="70" t="str">
        <f>IFERROR(__xludf.DUMMYFUNCTION("arrayformula(VLOOKUP(to_Text(A265),to_Text(sheet2!$A$1:M1002),12,0))"),"QC")</f>
        <v>QC</v>
      </c>
      <c r="E265" s="68" t="str">
        <f t="shared" si="29"/>
        <v>Inactive</v>
      </c>
      <c r="F265" s="67" t="str">
        <f t="array" ref="F265">IFERROR(
  INDEX(ATTENDANCE_INPUT!D:D,
    MATCH(1,
      (ATTENDANCE_INPUT!A:A=A265) *
      (ATTENDANCE_INPUT!V:V=MAXIFS(ATTENDANCE_INPUT!V:V, ATTENDANCE_INPUT!A:A, A265)),
      0)),
  "")</f>
        <v>Nhat Nguyen</v>
      </c>
      <c r="G265" s="72" t="str">
        <f t="array" ref="G265">IFERROR(
  INDEX(ATTENDANCE_INPUT!E:E,
    MATCH(1,
      (ATTENDANCE_INPUT!A:A=A265) *
      (ATTENDANCE_INPUT!V:V=MAXIFS(ATTENDANCE_INPUT!V:V, ATTENDANCE_INPUT!A:A, A265)),
      0)),
  "")</f>
        <v>Communication 1</v>
      </c>
      <c r="H265" s="73" t="str">
        <f t="array" ref="H265">IF(ISNA(MATCH(A265,sheet2!A:A,0)),"⏳ Chưa test",IFERROR(INDEX(LEVEL_HELPER!A:A,MATCH(INDEX(sheet2!N:N,MATCH(A265,sheet2!A:A,0)),LEVEL_HELPER!B:B,0)),"⏳ Chưa test"))</f>
        <v>Pre-Intermediate</v>
      </c>
      <c r="I265" s="73" t="str">
        <f t="array" ref="I265">IF(ISNA(MATCH(A265,sheet2!A:A,0)),H265,IF(INDEX(sheet2!O:O,MATCH(A265,sheet2!A:A,0))&gt;0,IFERROR(INDEX(LEVEL_HELPER!A:A,MATCH(INDEX(sheet2!O:O,MATCH(A265,sheet2!A:A,0)),LEVEL_HELPER!B:B,0)),H265),H265))</f>
        <v>Pre-Intermediate 1</v>
      </c>
      <c r="J265" s="73">
        <f>IFERROR(MAXIFS(ATTENDANCE_LOG!F:F, ATTENDANCE_LOG!C:C, A265&amp;"", ATTENDANCE_LOG!G:G, "Present"), "")</f>
        <v>45841.41667</v>
      </c>
      <c r="K265" s="74">
        <f t="shared" si="1"/>
        <v>420</v>
      </c>
      <c r="L265" s="75" t="str">
        <f t="shared" si="2"/>
        <v>⚠ Possibly Dropped</v>
      </c>
      <c r="M265" s="80" t="s">
        <v>34</v>
      </c>
      <c r="N265" s="77" t="s">
        <v>35</v>
      </c>
      <c r="O265" s="92"/>
      <c r="P265" s="59"/>
      <c r="Q265" s="59"/>
      <c r="R265" s="59"/>
      <c r="S265" s="59"/>
      <c r="T265" s="59"/>
      <c r="U265" s="59"/>
      <c r="V265" s="59"/>
      <c r="W265" s="87"/>
      <c r="X265" s="87"/>
      <c r="Y265" s="87"/>
    </row>
    <row r="266" ht="15.75" customHeight="1">
      <c r="A266" s="67" t="s">
        <v>677</v>
      </c>
      <c r="B266" s="68" t="s">
        <v>678</v>
      </c>
      <c r="C266" s="69" t="str">
        <f>IFERROR(__xludf.DUMMYFUNCTION("arrayformula(VLOOKUP(to_Text(A266),to_Text(sheet2!$A$1:M1002),13,0))"),"CHORUS")</f>
        <v>CHORUS</v>
      </c>
      <c r="D266" s="70" t="str">
        <f>IFERROR(__xludf.DUMMYFUNCTION("arrayformula(VLOOKUP(to_Text(A266),to_Text(sheet2!$A$1:M1002),12,0))"),"DEV")</f>
        <v>DEV</v>
      </c>
      <c r="E266" s="71" t="s">
        <v>16</v>
      </c>
      <c r="F266" s="67" t="str">
        <f t="array" ref="F266">IFERROR(
  INDEX(ATTENDANCE_INPUT!D:D,
    MATCH(1,
      (ATTENDANCE_INPUT!A:A=A266) *
      (ATTENDANCE_INPUT!V:V=MAXIFS(ATTENDANCE_INPUT!V:V, ATTENDANCE_INPUT!A:A, A266)),
      0)),
  "")</f>
        <v>Buu Do 1</v>
      </c>
      <c r="G266" s="72" t="str">
        <f t="array" ref="G266">IFERROR(
  INDEX(ATTENDANCE_INPUT!E:E,
    MATCH(1,
      (ATTENDANCE_INPUT!A:A=A266) *
      (ATTENDANCE_INPUT!V:V=MAXIFS(ATTENDANCE_INPUT!V:V, ATTENDANCE_INPUT!A:A, A266)),
      0)),
  "")</f>
        <v>Communication 1</v>
      </c>
      <c r="H266" s="73" t="str">
        <f t="array" ref="H266">IF(ISNA(MATCH(A266,sheet2!A:A,0)),"⏳ Chưa test",IFERROR(INDEX(LEVEL_HELPER!A:A,MATCH(INDEX(sheet2!N:N,MATCH(A266,sheet2!A:A,0)),LEVEL_HELPER!B:B,0)),"⏳ Chưa test"))</f>
        <v>Beginner</v>
      </c>
      <c r="I266" s="73" t="str">
        <f t="array" ref="I266">IF(ISNA(MATCH(A266,sheet2!A:A,0)),H266,IF(INDEX(sheet2!O:O,MATCH(A266,sheet2!A:A,0))&gt;0,IFERROR(INDEX(LEVEL_HELPER!A:A,MATCH(INDEX(sheet2!O:O,MATCH(A266,sheet2!A:A,0)),LEVEL_HELPER!B:B,0)),H266),H266))</f>
        <v>Pre-Intermediate 1</v>
      </c>
      <c r="J266" s="73">
        <f>IFERROR(MAXIFS(ATTENDANCE_LOG!F:F, ATTENDANCE_LOG!C:C, A266&amp;"", ATTENDANCE_LOG!G:G, "Present"), "")</f>
        <v>45954.375</v>
      </c>
      <c r="K266" s="74" t="str">
        <f t="shared" si="1"/>
        <v/>
      </c>
      <c r="L266" s="75" t="str">
        <f t="shared" si="2"/>
        <v/>
      </c>
      <c r="M266" s="59" t="s">
        <v>34</v>
      </c>
      <c r="N266" s="77" t="s">
        <v>33</v>
      </c>
      <c r="O266" s="59"/>
      <c r="P266" s="59"/>
      <c r="Q266" s="59"/>
      <c r="R266" s="59">
        <v>183411.0</v>
      </c>
      <c r="S266" s="59" t="s">
        <v>172</v>
      </c>
      <c r="T266" s="59" t="s">
        <v>39</v>
      </c>
      <c r="U266" s="59" t="e">
        <v>#N/A</v>
      </c>
      <c r="V266" s="59"/>
      <c r="W266" s="87"/>
      <c r="X266" s="87"/>
      <c r="Y266" s="87"/>
    </row>
    <row r="267" ht="15.75" customHeight="1">
      <c r="A267" s="67" t="s">
        <v>679</v>
      </c>
      <c r="B267" s="68" t="s">
        <v>680</v>
      </c>
      <c r="C267" s="69" t="str">
        <f>IFERROR(__xludf.DUMMYFUNCTION("arrayformula(VLOOKUP(to_Text(A267),to_Text(sheet2!$A$1:M1002),13,0))"),"MOC")</f>
        <v>MOC</v>
      </c>
      <c r="D267" s="70" t="str">
        <f>IFERROR(__xludf.DUMMYFUNCTION("arrayformula(VLOOKUP(to_Text(A267),to_Text(sheet2!$A$1:M1002),12,0))"),"DEV")</f>
        <v>DEV</v>
      </c>
      <c r="E267" s="68" t="str">
        <f>if(L267="⚠ Possibly Dropped","Inactive","Active")</f>
        <v>Inactive</v>
      </c>
      <c r="F267" s="67" t="str">
        <f t="array" ref="F267">IFERROR(
  INDEX(ATTENDANCE_INPUT!D:D,
    MATCH(1,
      (ATTENDANCE_INPUT!A:A=A267) *
      (ATTENDANCE_INPUT!V:V=MAXIFS(ATTENDANCE_INPUT!V:V, ATTENDANCE_INPUT!A:A, A267)),
      0)),
  "")</f>
        <v>Quan Nguyen</v>
      </c>
      <c r="G267" s="72" t="str">
        <f t="array" ref="G267">IFERROR(
  INDEX(ATTENDANCE_INPUT!E:E,
    MATCH(1,
      (ATTENDANCE_INPUT!A:A=A267) *
      (ATTENDANCE_INPUT!V:V=MAXIFS(ATTENDANCE_INPUT!V:V, ATTENDANCE_INPUT!A:A, A267)),
      0)),
  "")</f>
        <v>Communication 1</v>
      </c>
      <c r="H267" s="73" t="str">
        <f t="array" ref="H267">IF(ISNA(MATCH(A267,sheet2!A:A,0)),"⏳ Chưa test",IFERROR(INDEX(LEVEL_HELPER!A:A,MATCH(INDEX(sheet2!N:N,MATCH(A267,sheet2!A:A,0)),LEVEL_HELPER!B:B,0)),"⏳ Chưa test"))</f>
        <v>Foundation</v>
      </c>
      <c r="I267" s="73" t="str">
        <f t="array" ref="I267">IF(ISNA(MATCH(A267,sheet2!A:A,0)),H267,IF(INDEX(sheet2!O:O,MATCH(A267,sheet2!A:A,0))&gt;0,IFERROR(INDEX(LEVEL_HELPER!A:A,MATCH(INDEX(sheet2!O:O,MATCH(A267,sheet2!A:A,0)),LEVEL_HELPER!B:B,0)),H267),H267))</f>
        <v>Pre-Intermediate 2</v>
      </c>
      <c r="J267" s="73">
        <f>IFERROR(MAXIFS(ATTENDANCE_LOG!F:F, ATTENDANCE_LOG!C:C, A267&amp;"", ATTENDANCE_LOG!G:G, "Present"), "")</f>
        <v>46000.625</v>
      </c>
      <c r="K267" s="74">
        <f t="shared" si="1"/>
        <v>231</v>
      </c>
      <c r="L267" s="75" t="str">
        <f t="shared" si="2"/>
        <v>⚠ Possibly Dropped</v>
      </c>
      <c r="M267" s="59" t="s">
        <v>34</v>
      </c>
      <c r="N267" s="77" t="s">
        <v>35</v>
      </c>
      <c r="O267" s="59"/>
      <c r="P267" s="59"/>
      <c r="Q267" s="59"/>
      <c r="R267" s="59"/>
      <c r="S267" s="59"/>
      <c r="T267" s="59"/>
      <c r="U267" s="59"/>
      <c r="V267" s="59"/>
      <c r="W267" s="87"/>
      <c r="X267" s="87"/>
      <c r="Y267" s="87"/>
    </row>
    <row r="268" ht="15.75" customHeight="1">
      <c r="A268" s="67" t="s">
        <v>681</v>
      </c>
      <c r="B268" s="68" t="s">
        <v>682</v>
      </c>
      <c r="C268" s="69" t="str">
        <f>IFERROR(__xludf.DUMMYFUNCTION("arrayformula(VLOOKUP(to_Text(A268),to_Text(sheet2!$A$1:M1002),13,0))"),"MOC")</f>
        <v>MOC</v>
      </c>
      <c r="D268" s="70" t="str">
        <f>IFERROR(__xludf.DUMMYFUNCTION("arrayformula(VLOOKUP(to_Text(A268),to_Text(sheet2!$A$1:M1002),12,0))"),"DEV")</f>
        <v>DEV</v>
      </c>
      <c r="E268" s="71" t="s">
        <v>16</v>
      </c>
      <c r="F268" s="67" t="str">
        <f t="array" ref="F268">IFERROR(
  INDEX(ATTENDANCE_INPUT!D:D,
    MATCH(1,
      (ATTENDANCE_INPUT!A:A=A268) *
      (ATTENDANCE_INPUT!V:V=MAXIFS(ATTENDANCE_INPUT!V:V, ATTENDANCE_INPUT!A:A, A268)),
      0)),
  "")</f>
        <v>Huy Nguyen</v>
      </c>
      <c r="G268" s="72" t="str">
        <f t="array" ref="G268">IFERROR(
  INDEX(ATTENDANCE_INPUT!E:E,
    MATCH(1,
      (ATTENDANCE_INPUT!A:A=A268) *
      (ATTENDANCE_INPUT!V:V=MAXIFS(ATTENDANCE_INPUT!V:V, ATTENDANCE_INPUT!A:A, A268)),
      0)),
  "")</f>
        <v>Communication 1</v>
      </c>
      <c r="H268" s="73" t="str">
        <f t="array" ref="H268">IF(ISNA(MATCH(A268,sheet2!A:A,0)),"⏳ Chưa test",IFERROR(INDEX(LEVEL_HELPER!A:A,MATCH(INDEX(sheet2!N:N,MATCH(A268,sheet2!A:A,0)),LEVEL_HELPER!B:B,0)),"⏳ Chưa test"))</f>
        <v>Beginner</v>
      </c>
      <c r="I268" s="73" t="str">
        <f t="array" ref="I268">IF(ISNA(MATCH(A268,sheet2!A:A,0)),H268,IF(INDEX(sheet2!O:O,MATCH(A268,sheet2!A:A,0))&gt;0,IFERROR(INDEX(LEVEL_HELPER!A:A,MATCH(INDEX(sheet2!O:O,MATCH(A268,sheet2!A:A,0)),LEVEL_HELPER!B:B,0)),H268),H268))</f>
        <v>Pre-Intermediate 1</v>
      </c>
      <c r="J268" s="73">
        <f>IFERROR(MAXIFS(ATTENDANCE_LOG!F:F, ATTENDANCE_LOG!C:C, A268&amp;"", ATTENDANCE_LOG!G:G, "Present"), "")</f>
        <v>45959.41667</v>
      </c>
      <c r="K268" s="74" t="str">
        <f t="shared" si="1"/>
        <v/>
      </c>
      <c r="L268" s="75" t="str">
        <f t="shared" si="2"/>
        <v/>
      </c>
      <c r="M268" s="59" t="s">
        <v>34</v>
      </c>
      <c r="N268" s="77" t="s">
        <v>35</v>
      </c>
      <c r="O268" s="92"/>
      <c r="P268" s="59"/>
      <c r="Q268" s="59"/>
      <c r="R268" s="59"/>
      <c r="S268" s="59"/>
      <c r="T268" s="59"/>
      <c r="U268" s="59"/>
      <c r="V268" s="59"/>
      <c r="W268" s="87"/>
      <c r="X268" s="87"/>
      <c r="Y268" s="87"/>
    </row>
    <row r="269" ht="15.75" customHeight="1">
      <c r="A269" s="67" t="s">
        <v>683</v>
      </c>
      <c r="B269" s="68" t="s">
        <v>684</v>
      </c>
      <c r="C269" s="69" t="str">
        <f>IFERROR(__xludf.DUMMYFUNCTION("arrayformula(VLOOKUP(to_Text(A269),to_Text(sheet2!$A$1:M1002),13,0))"),"POC")</f>
        <v>POC</v>
      </c>
      <c r="D269" s="70" t="str">
        <f>IFERROR(__xludf.DUMMYFUNCTION("arrayformula(VLOOKUP(to_Text(A269),to_Text(sheet2!$A$1:M1002),12,0))"),"DEV")</f>
        <v>DEV</v>
      </c>
      <c r="E269" s="68" t="str">
        <f>if(L269="⚠ Possibly Dropped","Inactive","Active")</f>
        <v>Active</v>
      </c>
      <c r="F269" s="67" t="str">
        <f t="array" ref="F269">IFERROR(
  INDEX(ATTENDANCE_INPUT!D:D,
    MATCH(1,
      (ATTENDANCE_INPUT!A:A=A269) *
      (ATTENDANCE_INPUT!V:V=MAXIFS(ATTENDANCE_INPUT!V:V, ATTENDANCE_INPUT!A:A, A269)),
      0)),
  "")</f>
        <v>Thien Truong</v>
      </c>
      <c r="G269" s="72" t="str">
        <f t="array" ref="G269">IFERROR(
  INDEX(ATTENDANCE_INPUT!E:E,
    MATCH(1,
      (ATTENDANCE_INPUT!A:A=A269) *
      (ATTENDANCE_INPUT!V:V=MAXIFS(ATTENDANCE_INPUT!V:V, ATTENDANCE_INPUT!A:A, A269)),
      0)),
  "")</f>
        <v>Communication 3</v>
      </c>
      <c r="H269" s="73" t="str">
        <f t="array" ref="H269">IF(ISNA(MATCH(A269,sheet2!A:A,0)),"⏳ Chưa test",IFERROR(INDEX(LEVEL_HELPER!A:A,MATCH(INDEX(sheet2!N:N,MATCH(A269,sheet2!A:A,0)),LEVEL_HELPER!B:B,0)),"⏳ Chưa test"))</f>
        <v>Beginner</v>
      </c>
      <c r="I269" s="73" t="str">
        <f t="array" ref="I269">IF(ISNA(MATCH(A269,sheet2!A:A,0)),H269,IF(INDEX(sheet2!O:O,MATCH(A269,sheet2!A:A,0))&gt;0,IFERROR(INDEX(LEVEL_HELPER!A:A,MATCH(INDEX(sheet2!O:O,MATCH(A269,sheet2!A:A,0)),LEVEL_HELPER!B:B,0)),H269),H269))</f>
        <v>Pre-Intermediate 2</v>
      </c>
      <c r="J269" s="73">
        <f>IFERROR(MAXIFS(ATTENDANCE_LOG!F:F, ATTENDANCE_LOG!C:C, A269&amp;"", ATTENDANCE_LOG!G:G, "Present"), "")</f>
        <v>46134.58333</v>
      </c>
      <c r="K269" s="74" t="str">
        <f t="shared" si="1"/>
        <v/>
      </c>
      <c r="L269" s="75" t="str">
        <f t="shared" si="2"/>
        <v/>
      </c>
      <c r="M269" s="59"/>
      <c r="N269" s="77"/>
      <c r="O269" s="59"/>
      <c r="P269" s="59"/>
      <c r="Q269" s="59"/>
      <c r="R269" s="59"/>
      <c r="S269" s="59"/>
      <c r="T269" s="59"/>
      <c r="U269" s="59"/>
      <c r="V269" s="59"/>
      <c r="W269" s="87"/>
      <c r="X269" s="87"/>
      <c r="Y269" s="87"/>
    </row>
    <row r="270" ht="15.75" customHeight="1">
      <c r="A270" s="67" t="s">
        <v>685</v>
      </c>
      <c r="B270" s="68" t="s">
        <v>686</v>
      </c>
      <c r="C270" s="69" t="str">
        <f>IFERROR(__xludf.DUMMYFUNCTION("arrayformula(VLOOKUP(to_Text(A270),to_Text(sheet2!$A$1:M1002),13,0))"),"LBU")</f>
        <v>LBU</v>
      </c>
      <c r="D270" s="70" t="str">
        <f>IFERROR(__xludf.DUMMYFUNCTION("arrayformula(VLOOKUP(to_Text(A270),to_Text(sheet2!$A$1:M1002),12,0))"),"DEV")</f>
        <v>DEV</v>
      </c>
      <c r="E270" s="71" t="s">
        <v>16</v>
      </c>
      <c r="F270" s="67" t="str">
        <f t="array" ref="F270">IFERROR(
  INDEX(ATTENDANCE_INPUT!D:D,
    MATCH(1,
      (ATTENDANCE_INPUT!A:A=A270) *
      (ATTENDANCE_INPUT!V:V=MAXIFS(ATTENDANCE_INPUT!V:V, ATTENDANCE_INPUT!A:A, A270)),
      0)),
  "")</f>
        <v>Huy Nguyen</v>
      </c>
      <c r="G270" s="72" t="str">
        <f t="array" ref="G270">IFERROR(
  INDEX(ATTENDANCE_INPUT!E:E,
    MATCH(1,
      (ATTENDANCE_INPUT!A:A=A270) *
      (ATTENDANCE_INPUT!V:V=MAXIFS(ATTENDANCE_INPUT!V:V, ATTENDANCE_INPUT!A:A, A270)),
      0)),
  "")</f>
        <v>Communication 1</v>
      </c>
      <c r="H270" s="73" t="str">
        <f t="array" ref="H270">IF(ISNA(MATCH(A270,sheet2!A:A,0)),"⏳ Chưa test",IFERROR(INDEX(LEVEL_HELPER!A:A,MATCH(INDEX(sheet2!N:N,MATCH(A270,sheet2!A:A,0)),LEVEL_HELPER!B:B,0)),"⏳ Chưa test"))</f>
        <v>Beginner</v>
      </c>
      <c r="I270" s="73" t="str">
        <f t="array" ref="I270">IF(ISNA(MATCH(A270,sheet2!A:A,0)),H270,IF(INDEX(sheet2!O:O,MATCH(A270,sheet2!A:A,0))&gt;0,IFERROR(INDEX(LEVEL_HELPER!A:A,MATCH(INDEX(sheet2!O:O,MATCH(A270,sheet2!A:A,0)),LEVEL_HELPER!B:B,0)),H270),H270))</f>
        <v>Beginner 2</v>
      </c>
      <c r="J270" s="73">
        <f>IFERROR(MAXIFS(ATTENDANCE_LOG!F:F, ATTENDANCE_LOG!C:C, A270&amp;"", ATTENDANCE_LOG!G:G, "Present"), "")</f>
        <v>45959.41667</v>
      </c>
      <c r="K270" s="74" t="str">
        <f t="shared" si="1"/>
        <v/>
      </c>
      <c r="L270" s="75" t="str">
        <f t="shared" si="2"/>
        <v/>
      </c>
      <c r="M270" s="59" t="s">
        <v>36</v>
      </c>
      <c r="N270" s="77" t="s">
        <v>33</v>
      </c>
      <c r="O270" s="59" t="s">
        <v>367</v>
      </c>
      <c r="P270" s="59"/>
      <c r="Q270" s="59"/>
      <c r="R270" s="59"/>
      <c r="S270" s="59"/>
      <c r="T270" s="59"/>
      <c r="U270" s="59"/>
      <c r="V270" s="59"/>
      <c r="W270" s="87"/>
      <c r="X270" s="87"/>
      <c r="Y270" s="87"/>
    </row>
    <row r="271" ht="15.75" customHeight="1">
      <c r="A271" s="67" t="s">
        <v>687</v>
      </c>
      <c r="B271" s="68" t="s">
        <v>688</v>
      </c>
      <c r="C271" s="69" t="str">
        <f>IFERROR(__xludf.DUMMYFUNCTION("arrayformula(VLOOKUP(to_Text(A271),to_Text(sheet2!$A$1:M1002),13,0))"),"CHORUS")</f>
        <v>CHORUS</v>
      </c>
      <c r="D271" s="70" t="str">
        <f>IFERROR(__xludf.DUMMYFUNCTION("arrayformula(VLOOKUP(to_Text(A271),to_Text(sheet2!$A$1:M1002),12,0))"),"DEV")</f>
        <v>DEV</v>
      </c>
      <c r="E271" s="71" t="s">
        <v>16</v>
      </c>
      <c r="F271" s="67" t="str">
        <f t="array" ref="F271">IFERROR(
  INDEX(ATTENDANCE_INPUT!D:D,
    MATCH(1,
      (ATTENDANCE_INPUT!A:A=A271) *
      (ATTENDANCE_INPUT!V:V=MAXIFS(ATTENDANCE_INPUT!V:V, ATTENDANCE_INPUT!A:A, A271)),
      0)),
  "")</f>
        <v>Buu Do 1</v>
      </c>
      <c r="G271" s="72" t="str">
        <f t="array" ref="G271">IFERROR(
  INDEX(ATTENDANCE_INPUT!E:E,
    MATCH(1,
      (ATTENDANCE_INPUT!A:A=A271) *
      (ATTENDANCE_INPUT!V:V=MAXIFS(ATTENDANCE_INPUT!V:V, ATTENDANCE_INPUT!A:A, A271)),
      0)),
  "")</f>
        <v>Communication 1</v>
      </c>
      <c r="H271" s="73" t="str">
        <f t="array" ref="H271">IF(ISNA(MATCH(A271,sheet2!A:A,0)),"⏳ Chưa test",IFERROR(INDEX(LEVEL_HELPER!A:A,MATCH(INDEX(sheet2!N:N,MATCH(A271,sheet2!A:A,0)),LEVEL_HELPER!B:B,0)),"⏳ Chưa test"))</f>
        <v>Beginner</v>
      </c>
      <c r="I271" s="73" t="str">
        <f t="array" ref="I271">IF(ISNA(MATCH(A271,sheet2!A:A,0)),H271,IF(INDEX(sheet2!O:O,MATCH(A271,sheet2!A:A,0))&gt;0,IFERROR(INDEX(LEVEL_HELPER!A:A,MATCH(INDEX(sheet2!O:O,MATCH(A271,sheet2!A:A,0)),LEVEL_HELPER!B:B,0)),H271),H271))</f>
        <v>Pre-Intermediate 1</v>
      </c>
      <c r="J271" s="73">
        <f>IFERROR(MAXIFS(ATTENDANCE_LOG!F:F, ATTENDANCE_LOG!C:C, A271&amp;"", ATTENDANCE_LOG!G:G, "Present"), "")</f>
        <v>45954.375</v>
      </c>
      <c r="K271" s="74" t="str">
        <f t="shared" si="1"/>
        <v/>
      </c>
      <c r="L271" s="75" t="str">
        <f t="shared" si="2"/>
        <v/>
      </c>
      <c r="M271" s="59" t="s">
        <v>34</v>
      </c>
      <c r="N271" s="77" t="s">
        <v>33</v>
      </c>
      <c r="O271" s="59"/>
      <c r="P271" s="59"/>
      <c r="Q271" s="59"/>
      <c r="R271" s="59">
        <v>237259.0</v>
      </c>
      <c r="S271" s="59" t="s">
        <v>121</v>
      </c>
      <c r="T271" s="59" t="s">
        <v>122</v>
      </c>
      <c r="U271" s="59" t="e">
        <v>#N/A</v>
      </c>
      <c r="V271" s="59"/>
      <c r="W271" s="87"/>
      <c r="X271" s="87"/>
      <c r="Y271" s="87"/>
    </row>
    <row r="272" ht="15.75" customHeight="1">
      <c r="A272" s="67" t="s">
        <v>689</v>
      </c>
      <c r="B272" s="68" t="s">
        <v>690</v>
      </c>
      <c r="C272" s="69" t="str">
        <f>IFERROR(__xludf.DUMMYFUNCTION("arrayformula(VLOOKUP(to_Text(A272),to_Text(sheet2!$A$1:M1002),13,0))"),"CHORUS")</f>
        <v>CHORUS</v>
      </c>
      <c r="D272" s="70" t="str">
        <f>IFERROR(__xludf.DUMMYFUNCTION("arrayformula(VLOOKUP(to_Text(A272),to_Text(sheet2!$A$1:M1002),12,0))"),"TA")</f>
        <v>TA</v>
      </c>
      <c r="E272" s="71" t="s">
        <v>16</v>
      </c>
      <c r="F272" s="67" t="str">
        <f t="array" ref="F272">IFERROR(
  INDEX(ATTENDANCE_INPUT!D:D,
    MATCH(1,
      (ATTENDANCE_INPUT!A:A=A272) *
      (ATTENDANCE_INPUT!V:V=MAXIFS(ATTENDANCE_INPUT!V:V, ATTENDANCE_INPUT!A:A, A272)),
      0)),
  "")</f>
        <v>Huy Tran 1</v>
      </c>
      <c r="G272" s="72" t="str">
        <f t="array" ref="G272">IFERROR(
  INDEX(ATTENDANCE_INPUT!E:E,
    MATCH(1,
      (ATTENDANCE_INPUT!A:A=A272) *
      (ATTENDANCE_INPUT!V:V=MAXIFS(ATTENDANCE_INPUT!V:V, ATTENDANCE_INPUT!A:A, A272)),
      0)),
  "")</f>
        <v>Communication 1</v>
      </c>
      <c r="H272" s="73" t="str">
        <f t="array" ref="H272">IF(ISNA(MATCH(A272,sheet2!A:A,0)),"⏳ Chưa test",IFERROR(INDEX(LEVEL_HELPER!A:A,MATCH(INDEX(sheet2!N:N,MATCH(A272,sheet2!A:A,0)),LEVEL_HELPER!B:B,0)),"⏳ Chưa test"))</f>
        <v>Beginner</v>
      </c>
      <c r="I272" s="73" t="str">
        <f t="array" ref="I272">IF(ISNA(MATCH(A272,sheet2!A:A,0)),H272,IF(INDEX(sheet2!O:O,MATCH(A272,sheet2!A:A,0))&gt;0,IFERROR(INDEX(LEVEL_HELPER!A:A,MATCH(INDEX(sheet2!O:O,MATCH(A272,sheet2!A:A,0)),LEVEL_HELPER!B:B,0)),H272),H272))</f>
        <v>Pre-Intermediate</v>
      </c>
      <c r="J272" s="73">
        <f>IFERROR(MAXIFS(ATTENDANCE_LOG!F:F, ATTENDANCE_LOG!C:C, A272&amp;"", ATTENDANCE_LOG!G:G, "Present"), "")</f>
        <v>45799.375</v>
      </c>
      <c r="K272" s="74" t="str">
        <f t="shared" si="1"/>
        <v/>
      </c>
      <c r="L272" s="75" t="str">
        <f t="shared" si="2"/>
        <v/>
      </c>
      <c r="M272" s="59" t="s">
        <v>36</v>
      </c>
      <c r="N272" s="77" t="s">
        <v>33</v>
      </c>
      <c r="O272" s="59"/>
      <c r="P272" s="59"/>
      <c r="Q272" s="59"/>
      <c r="R272" s="59"/>
      <c r="S272" s="59"/>
      <c r="T272" s="59"/>
      <c r="U272" s="59"/>
      <c r="V272" s="59"/>
      <c r="W272" s="87"/>
      <c r="X272" s="87"/>
      <c r="Y272" s="87"/>
    </row>
    <row r="273" ht="15.75" customHeight="1">
      <c r="A273" s="67" t="s">
        <v>691</v>
      </c>
      <c r="B273" s="68" t="s">
        <v>692</v>
      </c>
      <c r="C273" s="69" t="str">
        <f>IFERROR(__xludf.DUMMYFUNCTION("arrayformula(VLOOKUP(to_Text(A273),to_Text(sheet2!$A$1:M1002),13,0))"),"MOC")</f>
        <v>MOC</v>
      </c>
      <c r="D273" s="70" t="str">
        <f>IFERROR(__xludf.DUMMYFUNCTION("arrayformula(VLOOKUP(to_Text(A273),to_Text(sheet2!$A$1:M1002),12,0))"),"DEV")</f>
        <v>DEV</v>
      </c>
      <c r="E273" s="68" t="str">
        <f>if(L273="⚠ Possibly Dropped","Inactive","Active")</f>
        <v>Active</v>
      </c>
      <c r="F273" s="67" t="str">
        <f t="array" ref="F273">IFERROR(
  INDEX(ATTENDANCE_INPUT!D:D,
    MATCH(1,
      (ATTENDANCE_INPUT!A:A=A273) *
      (ATTENDANCE_INPUT!V:V=MAXIFS(ATTENDANCE_INPUT!V:V, ATTENDANCE_INPUT!A:A, A273)),
      0)),
  "")</f>
        <v>Quan Nguyen</v>
      </c>
      <c r="G273" s="72" t="str">
        <f t="array" ref="G273">IFERROR(
  INDEX(ATTENDANCE_INPUT!E:E,
    MATCH(1,
      (ATTENDANCE_INPUT!A:A=A273) *
      (ATTENDANCE_INPUT!V:V=MAXIFS(ATTENDANCE_INPUT!V:V, ATTENDANCE_INPUT!A:A, A273)),
      0)),
  "")</f>
        <v>Communication 2</v>
      </c>
      <c r="H273" s="73" t="str">
        <f t="array" ref="H273">IF(ISNA(MATCH(A273,sheet2!A:A,0)),"⏳ Chưa test",IFERROR(INDEX(LEVEL_HELPER!A:A,MATCH(INDEX(sheet2!N:N,MATCH(A273,sheet2!A:A,0)),LEVEL_HELPER!B:B,0)),"⏳ Chưa test"))</f>
        <v>Foundation</v>
      </c>
      <c r="I273" s="73" t="str">
        <f t="array" ref="I273">IF(ISNA(MATCH(A273,sheet2!A:A,0)),H273,IF(INDEX(sheet2!O:O,MATCH(A273,sheet2!A:A,0))&gt;0,IFERROR(INDEX(LEVEL_HELPER!A:A,MATCH(INDEX(sheet2!O:O,MATCH(A273,sheet2!A:A,0)),LEVEL_HELPER!B:B,0)),H273),H273))</f>
        <v>Pre-Intermediate 2</v>
      </c>
      <c r="J273" s="73">
        <f>IFERROR(MAXIFS(ATTENDANCE_LOG!F:F, ATTENDANCE_LOG!C:C, A273&amp;"", ATTENDANCE_LOG!G:G, "Present"), "")</f>
        <v>46119.625</v>
      </c>
      <c r="K273" s="74">
        <f t="shared" si="1"/>
        <v>-64</v>
      </c>
      <c r="L273" s="75" t="str">
        <f t="shared" si="2"/>
        <v/>
      </c>
      <c r="M273" s="59"/>
      <c r="N273" s="77"/>
      <c r="O273" s="59"/>
      <c r="P273" s="59"/>
      <c r="Q273" s="59"/>
      <c r="R273" s="59"/>
      <c r="S273" s="59"/>
      <c r="T273" s="59"/>
      <c r="U273" s="59"/>
      <c r="V273" s="59"/>
      <c r="W273" s="87"/>
      <c r="X273" s="87"/>
      <c r="Y273" s="87"/>
    </row>
    <row r="274" ht="15.75" customHeight="1">
      <c r="A274" s="67" t="s">
        <v>693</v>
      </c>
      <c r="B274" s="68" t="s">
        <v>694</v>
      </c>
      <c r="C274" s="69" t="str">
        <f>IFERROR(__xludf.DUMMYFUNCTION("arrayformula(VLOOKUP(to_Text(A274),to_Text(sheet2!$A$1:M1002),13,0))"),"MOC")</f>
        <v>MOC</v>
      </c>
      <c r="D274" s="70" t="str">
        <f>IFERROR(__xludf.DUMMYFUNCTION("arrayformula(VLOOKUP(to_Text(A274),to_Text(sheet2!$A$1:M1002),12,0))"),"DEV")</f>
        <v>DEV</v>
      </c>
      <c r="E274" s="71" t="s">
        <v>16</v>
      </c>
      <c r="F274" s="67" t="str">
        <f t="array" ref="F274">IFERROR(
  INDEX(ATTENDANCE_INPUT!D:D,
    MATCH(1,
      (ATTENDANCE_INPUT!A:A=A274) *
      (ATTENDANCE_INPUT!V:V=MAXIFS(ATTENDANCE_INPUT!V:V, ATTENDANCE_INPUT!A:A, A274)),
      0)),
  "")</f>
        <v>Tai Pham</v>
      </c>
      <c r="G274" s="72" t="str">
        <f t="array" ref="G274">IFERROR(
  INDEX(ATTENDANCE_INPUT!E:E,
    MATCH(1,
      (ATTENDANCE_INPUT!A:A=A274) *
      (ATTENDANCE_INPUT!V:V=MAXIFS(ATTENDANCE_INPUT!V:V, ATTENDANCE_INPUT!A:A, A274)),
      0)),
  "")</f>
        <v>Communication 2</v>
      </c>
      <c r="H274" s="73" t="str">
        <f t="array" ref="H274">IF(ISNA(MATCH(A274,sheet2!A:A,0)),"⏳ Chưa test",IFERROR(INDEX(LEVEL_HELPER!A:A,MATCH(INDEX(sheet2!N:N,MATCH(A274,sheet2!A:A,0)),LEVEL_HELPER!B:B,0)),"⏳ Chưa test"))</f>
        <v>Beginner</v>
      </c>
      <c r="I274" s="73" t="str">
        <f t="array" ref="I274">IF(ISNA(MATCH(A274,sheet2!A:A,0)),H274,IF(INDEX(sheet2!O:O,MATCH(A274,sheet2!A:A,0))&gt;0,IFERROR(INDEX(LEVEL_HELPER!A:A,MATCH(INDEX(sheet2!O:O,MATCH(A274,sheet2!A:A,0)),LEVEL_HELPER!B:B,0)),H274),H274))</f>
        <v>Pre-Intermediate 2</v>
      </c>
      <c r="J274" s="73">
        <f>IFERROR(MAXIFS(ATTENDANCE_LOG!F:F, ATTENDANCE_LOG!C:C, A274&amp;"", ATTENDANCE_LOG!G:G, "Present"), "")</f>
        <v>46035.41667</v>
      </c>
      <c r="K274" s="74" t="str">
        <f t="shared" si="1"/>
        <v/>
      </c>
      <c r="L274" s="75" t="str">
        <f t="shared" si="2"/>
        <v/>
      </c>
      <c r="M274" s="59" t="s">
        <v>34</v>
      </c>
      <c r="N274" s="77" t="s">
        <v>37</v>
      </c>
      <c r="O274" s="59"/>
      <c r="P274" s="59"/>
      <c r="Q274" s="59"/>
      <c r="R274" s="59"/>
      <c r="S274" s="59"/>
      <c r="T274" s="59"/>
      <c r="U274" s="59"/>
      <c r="V274" s="59"/>
      <c r="W274" s="87"/>
      <c r="X274" s="87"/>
      <c r="Y274" s="87"/>
    </row>
    <row r="275" ht="15.75" customHeight="1">
      <c r="A275" s="67" t="s">
        <v>695</v>
      </c>
      <c r="B275" s="68" t="s">
        <v>696</v>
      </c>
      <c r="C275" s="69" t="str">
        <f>IFERROR(__xludf.DUMMYFUNCTION("arrayformula(VLOOKUP(to_Text(A275),to_Text(sheet2!$A$1:M1002),13,0))"),"ONC")</f>
        <v>ONC</v>
      </c>
      <c r="D275" s="70" t="str">
        <f>IFERROR(__xludf.DUMMYFUNCTION("arrayformula(VLOOKUP(to_Text(A275),to_Text(sheet2!$A$1:M1002),12,0))"),"DEV")</f>
        <v>DEV</v>
      </c>
      <c r="E275" s="68" t="str">
        <f t="shared" ref="E275:E276" si="30">if(L275="⚠ Possibly Dropped","Inactive","Active")</f>
        <v>Inactive</v>
      </c>
      <c r="F275" s="67" t="str">
        <f t="array" ref="F275">IFERROR(
  INDEX(ATTENDANCE_INPUT!D:D,
    MATCH(1,
      (ATTENDANCE_INPUT!A:A=A275) *
      (ATTENDANCE_INPUT!V:V=MAXIFS(ATTENDANCE_INPUT!V:V, ATTENDANCE_INPUT!A:A, A275)),
      0)),
  "")</f>
        <v>Cuong Nguyen</v>
      </c>
      <c r="G275" s="72" t="str">
        <f t="array" ref="G275">IFERROR(
  INDEX(ATTENDANCE_INPUT!E:E,
    MATCH(1,
      (ATTENDANCE_INPUT!A:A=A275) *
      (ATTENDANCE_INPUT!V:V=MAXIFS(ATTENDANCE_INPUT!V:V, ATTENDANCE_INPUT!A:A, A275)),
      0)),
  "")</f>
        <v>Communication 1</v>
      </c>
      <c r="H275" s="73" t="str">
        <f t="array" ref="H275">IF(ISNA(MATCH(A275,sheet2!A:A,0)),"⏳ Chưa test",IFERROR(INDEX(LEVEL_HELPER!A:A,MATCH(INDEX(sheet2!N:N,MATCH(A275,sheet2!A:A,0)),LEVEL_HELPER!B:B,0)),"⏳ Chưa test"))</f>
        <v>⏳ Chưa test</v>
      </c>
      <c r="I275" s="73" t="str">
        <f t="array" ref="I275">IF(ISNA(MATCH(A275,sheet2!A:A,0)),H275,IF(INDEX(sheet2!O:O,MATCH(A275,sheet2!A:A,0))&gt;0,IFERROR(INDEX(LEVEL_HELPER!A:A,MATCH(INDEX(sheet2!O:O,MATCH(A275,sheet2!A:A,0)),LEVEL_HELPER!B:B,0)),H275),H275))</f>
        <v>⏳ Chưa test</v>
      </c>
      <c r="J275" s="73">
        <f>IFERROR(MAXIFS(ATTENDANCE_LOG!F:F, ATTENDANCE_LOG!C:C, A275&amp;"", ATTENDANCE_LOG!G:G, "Present"), "")</f>
        <v>45820.375</v>
      </c>
      <c r="K275" s="74">
        <f t="shared" si="1"/>
        <v>146</v>
      </c>
      <c r="L275" s="75" t="str">
        <f t="shared" si="2"/>
        <v>⚠ Possibly Dropped</v>
      </c>
      <c r="M275" s="80" t="s">
        <v>34</v>
      </c>
      <c r="N275" s="76" t="s">
        <v>42</v>
      </c>
      <c r="O275" s="59"/>
      <c r="P275" s="59"/>
      <c r="Q275" s="59"/>
      <c r="R275" s="59">
        <v>237137.0</v>
      </c>
      <c r="S275" s="59" t="s">
        <v>354</v>
      </c>
      <c r="T275" s="59" t="s">
        <v>179</v>
      </c>
      <c r="U275" s="59" t="e">
        <v>#N/A</v>
      </c>
      <c r="V275" s="59"/>
      <c r="W275" s="87"/>
      <c r="X275" s="87"/>
      <c r="Y275" s="87"/>
    </row>
    <row r="276" ht="15.75" customHeight="1">
      <c r="A276" s="67" t="s">
        <v>697</v>
      </c>
      <c r="B276" s="68" t="s">
        <v>698</v>
      </c>
      <c r="C276" s="69" t="str">
        <f>IFERROR(__xludf.DUMMYFUNCTION("arrayformula(VLOOKUP(to_Text(A276),to_Text(sheet2!$A$1:M1002),13,0))"),"TBU")</f>
        <v>TBU</v>
      </c>
      <c r="D276" s="70" t="str">
        <f>IFERROR(__xludf.DUMMYFUNCTION("arrayformula(VLOOKUP(to_Text(A276),to_Text(sheet2!$A$1:M1002),12,0))"),"DEV")</f>
        <v>DEV</v>
      </c>
      <c r="E276" s="68" t="str">
        <f t="shared" si="30"/>
        <v>Inactive</v>
      </c>
      <c r="F276" s="67" t="str">
        <f t="array" ref="F276">IFERROR(
  INDEX(ATTENDANCE_INPUT!D:D,
    MATCH(1,
      (ATTENDANCE_INPUT!A:A=A276) *
      (ATTENDANCE_INPUT!V:V=MAXIFS(ATTENDANCE_INPUT!V:V, ATTENDANCE_INPUT!A:A, A276)),
      0)),
  "")</f>
        <v>Nhat Nguyen</v>
      </c>
      <c r="G276" s="72" t="str">
        <f t="array" ref="G276">IFERROR(
  INDEX(ATTENDANCE_INPUT!E:E,
    MATCH(1,
      (ATTENDANCE_INPUT!A:A=A276) *
      (ATTENDANCE_INPUT!V:V=MAXIFS(ATTENDANCE_INPUT!V:V, ATTENDANCE_INPUT!A:A, A276)),
      0)),
  "")</f>
        <v>Communication 2</v>
      </c>
      <c r="H276" s="73" t="str">
        <f t="array" ref="H276">IF(ISNA(MATCH(A276,sheet2!A:A,0)),"⏳ Chưa test",IFERROR(INDEX(LEVEL_HELPER!A:A,MATCH(INDEX(sheet2!N:N,MATCH(A276,sheet2!A:A,0)),LEVEL_HELPER!B:B,0)),"⏳ Chưa test"))</f>
        <v>Beginner</v>
      </c>
      <c r="I276" s="73" t="str">
        <f t="array" ref="I276">IF(ISNA(MATCH(A276,sheet2!A:A,0)),H276,IF(INDEX(sheet2!O:O,MATCH(A276,sheet2!A:A,0))&gt;0,IFERROR(INDEX(LEVEL_HELPER!A:A,MATCH(INDEX(sheet2!O:O,MATCH(A276,sheet2!A:A,0)),LEVEL_HELPER!B:B,0)),H276),H276))</f>
        <v>Pre-Intermediate 1</v>
      </c>
      <c r="J276" s="73">
        <f>IFERROR(MAXIFS(ATTENDANCE_LOG!F:F, ATTENDANCE_LOG!C:C, A276&amp;"", ATTENDANCE_LOG!G:G, "Present"), "")</f>
        <v>45996.41667</v>
      </c>
      <c r="K276" s="74">
        <f t="shared" si="1"/>
        <v>354</v>
      </c>
      <c r="L276" s="75" t="str">
        <f t="shared" si="2"/>
        <v>⚠ Possibly Dropped</v>
      </c>
      <c r="M276" s="59" t="s">
        <v>36</v>
      </c>
      <c r="N276" s="77" t="s">
        <v>35</v>
      </c>
      <c r="O276" s="59"/>
      <c r="P276" s="59"/>
      <c r="Q276" s="59"/>
      <c r="R276" s="59"/>
      <c r="S276" s="59"/>
      <c r="T276" s="59"/>
      <c r="U276" s="59"/>
      <c r="V276" s="59"/>
      <c r="W276" s="87"/>
      <c r="X276" s="87"/>
      <c r="Y276" s="87"/>
    </row>
    <row r="277" ht="15.75" customHeight="1">
      <c r="A277" s="67" t="s">
        <v>699</v>
      </c>
      <c r="B277" s="68" t="s">
        <v>700</v>
      </c>
      <c r="C277" s="69" t="str">
        <f>IFERROR(__xludf.DUMMYFUNCTION("arrayformula(VLOOKUP(to_Text(A277),to_Text(sheet2!$A$1:M1002),13,0))"),"LBU")</f>
        <v>LBU</v>
      </c>
      <c r="D277" s="70" t="str">
        <f>IFERROR(__xludf.DUMMYFUNCTION("arrayformula(VLOOKUP(to_Text(A277),to_Text(sheet2!$A$1:M1002),12,0))"),"QC")</f>
        <v>QC</v>
      </c>
      <c r="E277" s="71" t="s">
        <v>16</v>
      </c>
      <c r="F277" s="67" t="str">
        <f t="array" ref="F277">IFERROR(
  INDEX(ATTENDANCE_INPUT!D:D,
    MATCH(1,
      (ATTENDANCE_INPUT!A:A=A277) *
      (ATTENDANCE_INPUT!V:V=MAXIFS(ATTENDANCE_INPUT!V:V, ATTENDANCE_INPUT!A:A, A277)),
      0)),
  "")</f>
        <v>Thao Vu 2</v>
      </c>
      <c r="G277" s="72" t="str">
        <f t="array" ref="G277">IFERROR(
  INDEX(ATTENDANCE_INPUT!E:E,
    MATCH(1,
      (ATTENDANCE_INPUT!A:A=A277) *
      (ATTENDANCE_INPUT!V:V=MAXIFS(ATTENDANCE_INPUT!V:V, ATTENDANCE_INPUT!A:A, A277)),
      0)),
  "")</f>
        <v>Communication 2</v>
      </c>
      <c r="H277" s="73" t="str">
        <f t="array" ref="H277">IF(ISNA(MATCH(A277,sheet2!A:A,0)),"⏳ Chưa test",IFERROR(INDEX(LEVEL_HELPER!A:A,MATCH(INDEX(sheet2!N:N,MATCH(A277,sheet2!A:A,0)),LEVEL_HELPER!B:B,0)),"⏳ Chưa test"))</f>
        <v>Pre-Intermediate</v>
      </c>
      <c r="I277" s="73" t="str">
        <f t="array" ref="I277">IF(ISNA(MATCH(A277,sheet2!A:A,0)),H277,IF(INDEX(sheet2!O:O,MATCH(A277,sheet2!A:A,0))&gt;0,IFERROR(INDEX(LEVEL_HELPER!A:A,MATCH(INDEX(sheet2!O:O,MATCH(A277,sheet2!A:A,0)),LEVEL_HELPER!B:B,0)),H277),H277))</f>
        <v>Intermediate</v>
      </c>
      <c r="J277" s="73">
        <f>IFERROR(MAXIFS(ATTENDANCE_LOG!F:F, ATTENDANCE_LOG!C:C, A277&amp;"", ATTENDANCE_LOG!G:G, "Present"), "")</f>
        <v>45859.41667</v>
      </c>
      <c r="K277" s="74" t="str">
        <f t="shared" si="1"/>
        <v/>
      </c>
      <c r="L277" s="75" t="str">
        <f t="shared" si="2"/>
        <v/>
      </c>
      <c r="M277" s="59" t="s">
        <v>36</v>
      </c>
      <c r="N277" s="77" t="s">
        <v>33</v>
      </c>
      <c r="O277" s="59"/>
      <c r="P277" s="59"/>
      <c r="Q277" s="59"/>
      <c r="R277" s="59"/>
      <c r="S277" s="59"/>
      <c r="T277" s="59"/>
      <c r="U277" s="59"/>
      <c r="V277" s="59"/>
      <c r="W277" s="87"/>
      <c r="X277" s="87"/>
      <c r="Y277" s="87"/>
    </row>
    <row r="278" ht="15.75" customHeight="1">
      <c r="A278" s="67" t="s">
        <v>701</v>
      </c>
      <c r="B278" s="68" t="s">
        <v>702</v>
      </c>
      <c r="C278" s="69" t="str">
        <f>IFERROR(__xludf.DUMMYFUNCTION("arrayformula(VLOOKUP(to_Text(A278),to_Text(sheet2!$A$1:M1002),13,0))"),"CHORUS")</f>
        <v>CHORUS</v>
      </c>
      <c r="D278" s="70" t="str">
        <f>IFERROR(__xludf.DUMMYFUNCTION("arrayformula(VLOOKUP(to_Text(A278),to_Text(sheet2!$A$1:M1002),12,0))"),"DEV")</f>
        <v>DEV</v>
      </c>
      <c r="E278" s="71" t="s">
        <v>16</v>
      </c>
      <c r="F278" s="67" t="str">
        <f t="array" ref="F278">IFERROR(
  INDEX(ATTENDANCE_INPUT!D:D,
    MATCH(1,
      (ATTENDANCE_INPUT!A:A=A278) *
      (ATTENDANCE_INPUT!V:V=MAXIFS(ATTENDANCE_INPUT!V:V, ATTENDANCE_INPUT!A:A, A278)),
      0)),
  "")</f>
        <v>Buu Do 1</v>
      </c>
      <c r="G278" s="72" t="str">
        <f t="array" ref="G278">IFERROR(
  INDEX(ATTENDANCE_INPUT!E:E,
    MATCH(1,
      (ATTENDANCE_INPUT!A:A=A278) *
      (ATTENDANCE_INPUT!V:V=MAXIFS(ATTENDANCE_INPUT!V:V, ATTENDANCE_INPUT!A:A, A278)),
      0)),
  "")</f>
        <v>Communication 1</v>
      </c>
      <c r="H278" s="73" t="str">
        <f t="array" ref="H278">IF(ISNA(MATCH(A278,sheet2!A:A,0)),"⏳ Chưa test",IFERROR(INDEX(LEVEL_HELPER!A:A,MATCH(INDEX(sheet2!N:N,MATCH(A278,sheet2!A:A,0)),LEVEL_HELPER!B:B,0)),"⏳ Chưa test"))</f>
        <v>Beginner</v>
      </c>
      <c r="I278" s="73" t="str">
        <f t="array" ref="I278">IF(ISNA(MATCH(A278,sheet2!A:A,0)),H278,IF(INDEX(sheet2!O:O,MATCH(A278,sheet2!A:A,0))&gt;0,IFERROR(INDEX(LEVEL_HELPER!A:A,MATCH(INDEX(sheet2!O:O,MATCH(A278,sheet2!A:A,0)),LEVEL_HELPER!B:B,0)),H278),H278))</f>
        <v>Pre-Intermediate 2</v>
      </c>
      <c r="J278" s="73">
        <f>IFERROR(MAXIFS(ATTENDANCE_LOG!F:F, ATTENDANCE_LOG!C:C, A278&amp;"", ATTENDANCE_LOG!G:G, "Present"), "")</f>
        <v>45954.375</v>
      </c>
      <c r="K278" s="74" t="str">
        <f t="shared" si="1"/>
        <v/>
      </c>
      <c r="L278" s="75" t="str">
        <f t="shared" si="2"/>
        <v/>
      </c>
      <c r="M278" s="59" t="s">
        <v>34</v>
      </c>
      <c r="N278" s="77" t="s">
        <v>33</v>
      </c>
      <c r="O278" s="59"/>
      <c r="P278" s="59"/>
      <c r="Q278" s="59"/>
      <c r="R278" s="59">
        <v>247164.0</v>
      </c>
      <c r="S278" s="59" t="s">
        <v>146</v>
      </c>
      <c r="T278" s="59" t="s">
        <v>33</v>
      </c>
      <c r="U278" s="59" t="e">
        <v>#N/A</v>
      </c>
      <c r="V278" s="59"/>
      <c r="W278" s="87"/>
      <c r="X278" s="87"/>
      <c r="Y278" s="87"/>
    </row>
    <row r="279" ht="15.75" customHeight="1">
      <c r="A279" s="67" t="s">
        <v>703</v>
      </c>
      <c r="B279" s="68" t="s">
        <v>704</v>
      </c>
      <c r="C279" s="69" t="str">
        <f>IFERROR(__xludf.DUMMYFUNCTION("arrayformula(VLOOKUP(to_Text(A279),to_Text(sheet2!$A$1:M1002),13,0))"),"CHORUS")</f>
        <v>CHORUS</v>
      </c>
      <c r="D279" s="70" t="str">
        <f>IFERROR(__xludf.DUMMYFUNCTION("arrayformula(VLOOKUP(to_Text(A279),to_Text(sheet2!$A$1:M1002),12,0))"),"DEV")</f>
        <v>DEV</v>
      </c>
      <c r="E279" s="71" t="s">
        <v>16</v>
      </c>
      <c r="F279" s="67" t="str">
        <f t="array" ref="F279">IFERROR(
  INDEX(ATTENDANCE_INPUT!D:D,
    MATCH(1,
      (ATTENDANCE_INPUT!A:A=A279) *
      (ATTENDANCE_INPUT!V:V=MAXIFS(ATTENDANCE_INPUT!V:V, ATTENDANCE_INPUT!A:A, A279)),
      0)),
  "")</f>
        <v>Yen Tran 3</v>
      </c>
      <c r="G279" s="72" t="str">
        <f t="array" ref="G279">IFERROR(
  INDEX(ATTENDANCE_INPUT!E:E,
    MATCH(1,
      (ATTENDANCE_INPUT!A:A=A279) *
      (ATTENDANCE_INPUT!V:V=MAXIFS(ATTENDANCE_INPUT!V:V, ATTENDANCE_INPUT!A:A, A279)),
      0)),
  "")</f>
        <v>Communication 1</v>
      </c>
      <c r="H279" s="73" t="str">
        <f t="array" ref="H279">IF(ISNA(MATCH(A279,sheet2!A:A,0)),"⏳ Chưa test",IFERROR(INDEX(LEVEL_HELPER!A:A,MATCH(INDEX(sheet2!N:N,MATCH(A279,sheet2!A:A,0)),LEVEL_HELPER!B:B,0)),"⏳ Chưa test"))</f>
        <v>Beginner</v>
      </c>
      <c r="I279" s="73" t="str">
        <f t="array" ref="I279">IF(ISNA(MATCH(A279,sheet2!A:A,0)),H279,IF(INDEX(sheet2!O:O,MATCH(A279,sheet2!A:A,0))&gt;0,IFERROR(INDEX(LEVEL_HELPER!A:A,MATCH(INDEX(sheet2!O:O,MATCH(A279,sheet2!A:A,0)),LEVEL_HELPER!B:B,0)),H279),H279))</f>
        <v>Beginner</v>
      </c>
      <c r="J279" s="73">
        <f>IFERROR(MAXIFS(ATTENDANCE_LOG!F:F, ATTENDANCE_LOG!C:C, A279&amp;"", ATTENDANCE_LOG!G:G, "Present"), "")</f>
        <v>45831.45833</v>
      </c>
      <c r="K279" s="74" t="str">
        <f t="shared" si="1"/>
        <v/>
      </c>
      <c r="L279" s="75" t="str">
        <f t="shared" si="2"/>
        <v/>
      </c>
      <c r="M279" s="59" t="s">
        <v>36</v>
      </c>
      <c r="N279" s="77" t="s">
        <v>39</v>
      </c>
      <c r="O279" s="59"/>
      <c r="P279" s="59"/>
      <c r="Q279" s="59"/>
      <c r="R279" s="59"/>
      <c r="S279" s="59"/>
      <c r="T279" s="59"/>
      <c r="U279" s="59"/>
      <c r="V279" s="59"/>
      <c r="W279" s="87"/>
      <c r="X279" s="87"/>
      <c r="Y279" s="87"/>
    </row>
    <row r="280" ht="15.75" customHeight="1">
      <c r="A280" s="67" t="s">
        <v>705</v>
      </c>
      <c r="B280" s="68" t="s">
        <v>706</v>
      </c>
      <c r="C280" s="69" t="str">
        <f>IFERROR(__xludf.DUMMYFUNCTION("arrayformula(VLOOKUP(to_Text(A280),to_Text(sheet2!$A$1:M1002),13,0))"),"LBU")</f>
        <v>LBU</v>
      </c>
      <c r="D280" s="70" t="str">
        <f>IFERROR(__xludf.DUMMYFUNCTION("arrayformula(VLOOKUP(to_Text(A280),to_Text(sheet2!$A$1:M1002),12,0))"),"BC")</f>
        <v>BC</v>
      </c>
      <c r="E280" s="71" t="s">
        <v>16</v>
      </c>
      <c r="F280" s="67" t="str">
        <f t="array" ref="F280">IFERROR(
  INDEX(ATTENDANCE_INPUT!D:D,
    MATCH(1,
      (ATTENDANCE_INPUT!A:A=A280) *
      (ATTENDANCE_INPUT!V:V=MAXIFS(ATTENDANCE_INPUT!V:V, ATTENDANCE_INPUT!A:A, A280)),
      0)),
  "")</f>
        <v>Quyen Nguyen</v>
      </c>
      <c r="G280" s="72" t="str">
        <f t="array" ref="G280">IFERROR(
  INDEX(ATTENDANCE_INPUT!E:E,
    MATCH(1,
      (ATTENDANCE_INPUT!A:A=A280) *
      (ATTENDANCE_INPUT!V:V=MAXIFS(ATTENDANCE_INPUT!V:V, ATTENDANCE_INPUT!A:A, A280)),
      0)),
  "")</f>
        <v>Communication 1</v>
      </c>
      <c r="H280" s="73" t="str">
        <f t="array" ref="H280">IF(ISNA(MATCH(A280,sheet2!A:A,0)),"⏳ Chưa test",IFERROR(INDEX(LEVEL_HELPER!A:A,MATCH(INDEX(sheet2!N:N,MATCH(A280,sheet2!A:A,0)),LEVEL_HELPER!B:B,0)),"⏳ Chưa test"))</f>
        <v>Beginner</v>
      </c>
      <c r="I280" s="73" t="str">
        <f t="array" ref="I280">IF(ISNA(MATCH(A280,sheet2!A:A,0)),H280,IF(INDEX(sheet2!O:O,MATCH(A280,sheet2!A:A,0))&gt;0,IFERROR(INDEX(LEVEL_HELPER!A:A,MATCH(INDEX(sheet2!O:O,MATCH(A280,sheet2!A:A,0)),LEVEL_HELPER!B:B,0)),H280),H280))</f>
        <v>Beginner</v>
      </c>
      <c r="J280" s="73">
        <f>IFERROR(MAXIFS(ATTENDANCE_LOG!F:F, ATTENDANCE_LOG!C:C, A280&amp;"", ATTENDANCE_LOG!G:G, "Present"), "")</f>
        <v>46006.54167</v>
      </c>
      <c r="K280" s="74" t="str">
        <f t="shared" si="1"/>
        <v/>
      </c>
      <c r="L280" s="75" t="str">
        <f t="shared" si="2"/>
        <v/>
      </c>
      <c r="M280" s="80" t="s">
        <v>36</v>
      </c>
      <c r="N280" s="77" t="s">
        <v>33</v>
      </c>
      <c r="O280" s="59"/>
      <c r="P280" s="59"/>
      <c r="Q280" s="59"/>
      <c r="R280" s="59"/>
      <c r="S280" s="59"/>
      <c r="T280" s="59"/>
      <c r="U280" s="59"/>
      <c r="V280" s="59"/>
      <c r="W280" s="87"/>
      <c r="X280" s="87"/>
      <c r="Y280" s="87"/>
    </row>
    <row r="281" ht="15.75" customHeight="1">
      <c r="A281" s="67" t="s">
        <v>707</v>
      </c>
      <c r="B281" s="68" t="s">
        <v>708</v>
      </c>
      <c r="C281" s="69" t="str">
        <f>IFERROR(__xludf.DUMMYFUNCTION("arrayformula(VLOOKUP(to_Text(A281),to_Text(sheet2!$A$1:M1002),13,0))"),"CHORUS")</f>
        <v>CHORUS</v>
      </c>
      <c r="D281" s="70" t="str">
        <f>IFERROR(__xludf.DUMMYFUNCTION("arrayformula(VLOOKUP(to_Text(A281),to_Text(sheet2!$A$1:M1002),12,0))"),"SM")</f>
        <v>SM</v>
      </c>
      <c r="E281" s="68" t="str">
        <f>if(L281="⚠ Possibly Dropped","Inactive","Active")</f>
        <v>Inactive</v>
      </c>
      <c r="F281" s="67" t="str">
        <f t="array" ref="F281">IFERROR(
  INDEX(ATTENDANCE_INPUT!D:D,
    MATCH(1,
      (ATTENDANCE_INPUT!A:A=A281) *
      (ATTENDANCE_INPUT!V:V=MAXIFS(ATTENDANCE_INPUT!V:V, ATTENDANCE_INPUT!A:A, A281)),
      0)),
  "")</f>
        <v>Yen Tran 3</v>
      </c>
      <c r="G281" s="72" t="str">
        <f t="array" ref="G281">IFERROR(
  INDEX(ATTENDANCE_INPUT!E:E,
    MATCH(1,
      (ATTENDANCE_INPUT!A:A=A281) *
      (ATTENDANCE_INPUT!V:V=MAXIFS(ATTENDANCE_INPUT!V:V, ATTENDANCE_INPUT!A:A, A281)),
      0)),
  "")</f>
        <v>Communication 1</v>
      </c>
      <c r="H281" s="73" t="str">
        <f t="array" ref="H281">IF(ISNA(MATCH(A281,sheet2!A:A,0)),"⏳ Chưa test",IFERROR(INDEX(LEVEL_HELPER!A:A,MATCH(INDEX(sheet2!N:N,MATCH(A281,sheet2!A:A,0)),LEVEL_HELPER!B:B,0)),"⏳ Chưa test"))</f>
        <v>Beginner</v>
      </c>
      <c r="I281" s="73" t="str">
        <f t="array" ref="I281">IF(ISNA(MATCH(A281,sheet2!A:A,0)),H281,IF(INDEX(sheet2!O:O,MATCH(A281,sheet2!A:A,0))&gt;0,IFERROR(INDEX(LEVEL_HELPER!A:A,MATCH(INDEX(sheet2!O:O,MATCH(A281,sheet2!A:A,0)),LEVEL_HELPER!B:B,0)),H281),H281))</f>
        <v>Beginner</v>
      </c>
      <c r="J281" s="73">
        <f>IFERROR(MAXIFS(ATTENDANCE_LOG!F:F, ATTENDANCE_LOG!C:C, A281&amp;"", ATTENDANCE_LOG!G:G, "Present"), "")</f>
        <v>45846.45833</v>
      </c>
      <c r="K281" s="74">
        <f t="shared" si="1"/>
        <v>267</v>
      </c>
      <c r="L281" s="75" t="str">
        <f t="shared" si="2"/>
        <v>⚠ Possibly Dropped</v>
      </c>
      <c r="M281" s="59" t="s">
        <v>34</v>
      </c>
      <c r="N281" s="77" t="s">
        <v>33</v>
      </c>
      <c r="O281" s="59"/>
      <c r="P281" s="59"/>
      <c r="Q281" s="59"/>
      <c r="R281" s="59"/>
      <c r="S281" s="59"/>
      <c r="T281" s="59"/>
      <c r="U281" s="59"/>
      <c r="V281" s="59"/>
      <c r="W281" s="87"/>
      <c r="X281" s="87"/>
      <c r="Y281" s="87"/>
    </row>
    <row r="282" ht="15.75" customHeight="1">
      <c r="A282" s="67" t="s">
        <v>709</v>
      </c>
      <c r="B282" s="68" t="s">
        <v>710</v>
      </c>
      <c r="C282" s="69" t="str">
        <f>IFERROR(__xludf.DUMMYFUNCTION("arrayformula(VLOOKUP(to_Text(A282),to_Text(sheet2!$A$1:M1002),13,0))"),"LBU")</f>
        <v>LBU</v>
      </c>
      <c r="D282" s="70" t="str">
        <f>IFERROR(__xludf.DUMMYFUNCTION("arrayformula(VLOOKUP(to_Text(A282),to_Text(sheet2!$A$1:M1002),12,0))"),"DEV")</f>
        <v>DEV</v>
      </c>
      <c r="E282" s="71" t="s">
        <v>16</v>
      </c>
      <c r="F282" s="67" t="str">
        <f t="array" ref="F282">IFERROR(
  INDEX(ATTENDANCE_INPUT!D:D,
    MATCH(1,
      (ATTENDANCE_INPUT!A:A=A282) *
      (ATTENDANCE_INPUT!V:V=MAXIFS(ATTENDANCE_INPUT!V:V, ATTENDANCE_INPUT!A:A, A282)),
      0)),
  "")</f>
        <v>Huy Nguyen</v>
      </c>
      <c r="G282" s="72" t="str">
        <f t="array" ref="G282">IFERROR(
  INDEX(ATTENDANCE_INPUT!E:E,
    MATCH(1,
      (ATTENDANCE_INPUT!A:A=A282) *
      (ATTENDANCE_INPUT!V:V=MAXIFS(ATTENDANCE_INPUT!V:V, ATTENDANCE_INPUT!A:A, A282)),
      0)),
  "")</f>
        <v>Communication 1</v>
      </c>
      <c r="H282" s="73" t="str">
        <f t="array" ref="H282">IF(ISNA(MATCH(A282,sheet2!A:A,0)),"⏳ Chưa test",IFERROR(INDEX(LEVEL_HELPER!A:A,MATCH(INDEX(sheet2!N:N,MATCH(A282,sheet2!A:A,0)),LEVEL_HELPER!B:B,0)),"⏳ Chưa test"))</f>
        <v>Beginner</v>
      </c>
      <c r="I282" s="73" t="str">
        <f t="array" ref="I282">IF(ISNA(MATCH(A282,sheet2!A:A,0)),H282,IF(INDEX(sheet2!O:O,MATCH(A282,sheet2!A:A,0))&gt;0,IFERROR(INDEX(LEVEL_HELPER!A:A,MATCH(INDEX(sheet2!O:O,MATCH(A282,sheet2!A:A,0)),LEVEL_HELPER!B:B,0)),H282),H282))</f>
        <v>Pre-Intermediate 2</v>
      </c>
      <c r="J282" s="73">
        <f>IFERROR(MAXIFS(ATTENDANCE_LOG!F:F, ATTENDANCE_LOG!C:C, A282&amp;"", ATTENDANCE_LOG!G:G, "Present"), "")</f>
        <v>45959.41667</v>
      </c>
      <c r="K282" s="74" t="str">
        <f t="shared" si="1"/>
        <v/>
      </c>
      <c r="L282" s="75" t="str">
        <f t="shared" si="2"/>
        <v/>
      </c>
      <c r="M282" s="59" t="s">
        <v>36</v>
      </c>
      <c r="N282" s="77" t="s">
        <v>33</v>
      </c>
      <c r="O282" s="59"/>
      <c r="P282" s="59"/>
      <c r="Q282" s="59"/>
      <c r="R282" s="59"/>
      <c r="S282" s="59"/>
      <c r="T282" s="59"/>
      <c r="U282" s="59"/>
      <c r="V282" s="59"/>
      <c r="W282" s="87"/>
      <c r="X282" s="87"/>
      <c r="Y282" s="87"/>
    </row>
    <row r="283" ht="15.75" customHeight="1">
      <c r="A283" s="67" t="s">
        <v>711</v>
      </c>
      <c r="B283" s="68" t="s">
        <v>712</v>
      </c>
      <c r="C283" s="69" t="str">
        <f>IFERROR(__xludf.DUMMYFUNCTION("arrayformula(VLOOKUP(to_Text(A283),to_Text(sheet2!$A$1:M1002),13,0))"),"CHORUS")</f>
        <v>CHORUS</v>
      </c>
      <c r="D283" s="70" t="str">
        <f>IFERROR(__xludf.DUMMYFUNCTION("arrayformula(VLOOKUP(to_Text(A283),to_Text(sheet2!$A$1:M1002),12,0))"),"PPO")</f>
        <v>PPO</v>
      </c>
      <c r="E283" s="71" t="s">
        <v>16</v>
      </c>
      <c r="F283" s="67" t="str">
        <f t="array" ref="F283">IFERROR(
  INDEX(ATTENDANCE_INPUT!D:D,
    MATCH(1,
      (ATTENDANCE_INPUT!A:A=A283) *
      (ATTENDANCE_INPUT!V:V=MAXIFS(ATTENDANCE_INPUT!V:V, ATTENDANCE_INPUT!A:A, A283)),
      0)),
  "")</f>
        <v>Yen Tran 1</v>
      </c>
      <c r="G283" s="72" t="str">
        <f t="array" ref="G283">IFERROR(
  INDEX(ATTENDANCE_INPUT!E:E,
    MATCH(1,
      (ATTENDANCE_INPUT!A:A=A283) *
      (ATTENDANCE_INPUT!V:V=MAXIFS(ATTENDANCE_INPUT!V:V, ATTENDANCE_INPUT!A:A, A283)),
      0)),
  "")</f>
        <v>Communication 1</v>
      </c>
      <c r="H283" s="73" t="str">
        <f t="array" ref="H283">IF(ISNA(MATCH(A283,sheet2!A:A,0)),"⏳ Chưa test",IFERROR(INDEX(LEVEL_HELPER!A:A,MATCH(INDEX(sheet2!N:N,MATCH(A283,sheet2!A:A,0)),LEVEL_HELPER!B:B,0)),"⏳ Chưa test"))</f>
        <v>Pre-Intermediate</v>
      </c>
      <c r="I283" s="73" t="str">
        <f t="array" ref="I283">IF(ISNA(MATCH(A283,sheet2!A:A,0)),H283,IF(INDEX(sheet2!O:O,MATCH(A283,sheet2!A:A,0))&gt;0,IFERROR(INDEX(LEVEL_HELPER!A:A,MATCH(INDEX(sheet2!O:O,MATCH(A283,sheet2!A:A,0)),LEVEL_HELPER!B:B,0)),H283),H283))</f>
        <v>Intermediate</v>
      </c>
      <c r="J283" s="73">
        <f>IFERROR(MAXIFS(ATTENDANCE_LOG!F:F, ATTENDANCE_LOG!C:C, A283&amp;"", ATTENDANCE_LOG!G:G, "Present"), "")</f>
        <v>45887.54167</v>
      </c>
      <c r="K283" s="74" t="str">
        <f t="shared" si="1"/>
        <v/>
      </c>
      <c r="L283" s="75" t="str">
        <f t="shared" si="2"/>
        <v/>
      </c>
      <c r="M283" s="59" t="s">
        <v>34</v>
      </c>
      <c r="N283" s="76" t="s">
        <v>33</v>
      </c>
      <c r="O283" s="59"/>
      <c r="P283" s="59"/>
      <c r="Q283" s="59"/>
      <c r="R283" s="59"/>
      <c r="S283" s="59"/>
      <c r="T283" s="59"/>
      <c r="U283" s="59"/>
      <c r="V283" s="59"/>
      <c r="W283" s="87"/>
      <c r="X283" s="87"/>
      <c r="Y283" s="87"/>
    </row>
    <row r="284" ht="15.75" customHeight="1">
      <c r="A284" s="67" t="s">
        <v>713</v>
      </c>
      <c r="B284" s="68" t="s">
        <v>714</v>
      </c>
      <c r="C284" s="69" t="str">
        <f>IFERROR(__xludf.DUMMYFUNCTION("arrayformula(VLOOKUP(to_Text(A284),to_Text(sheet2!$A$1:M1002),13,0))"),"CHORUS")</f>
        <v>CHORUS</v>
      </c>
      <c r="D284" s="70" t="str">
        <f>IFERROR(__xludf.DUMMYFUNCTION("arrayformula(VLOOKUP(to_Text(A284),to_Text(sheet2!$A$1:M1002),12,0))"),"DEV")</f>
        <v>DEV</v>
      </c>
      <c r="E284" s="68" t="str">
        <f>if(L284="⚠ Possibly Dropped","Inactive","Active")</f>
        <v>Inactive</v>
      </c>
      <c r="F284" s="67" t="str">
        <f t="array" ref="F284">IFERROR(
  INDEX(ATTENDANCE_INPUT!D:D,
    MATCH(1,
      (ATTENDANCE_INPUT!A:A=A284) *
      (ATTENDANCE_INPUT!V:V=MAXIFS(ATTENDANCE_INPUT!V:V, ATTENDANCE_INPUT!A:A, A284)),
      0)),
  "")</f>
        <v>Yen Tran 1</v>
      </c>
      <c r="G284" s="72" t="str">
        <f t="array" ref="G284">IFERROR(
  INDEX(ATTENDANCE_INPUT!E:E,
    MATCH(1,
      (ATTENDANCE_INPUT!A:A=A284) *
      (ATTENDANCE_INPUT!V:V=MAXIFS(ATTENDANCE_INPUT!V:V, ATTENDANCE_INPUT!A:A, A284)),
      0)),
  "")</f>
        <v>Communication 1</v>
      </c>
      <c r="H284" s="73" t="str">
        <f t="array" ref="H284">IF(ISNA(MATCH(A284,sheet2!A:A,0)),"⏳ Chưa test",IFERROR(INDEX(LEVEL_HELPER!A:A,MATCH(INDEX(sheet2!N:N,MATCH(A284,sheet2!A:A,0)),LEVEL_HELPER!B:B,0)),"⏳ Chưa test"))</f>
        <v>Beginner</v>
      </c>
      <c r="I284" s="73" t="str">
        <f t="array" ref="I284">IF(ISNA(MATCH(A284,sheet2!A:A,0)),H284,IF(INDEX(sheet2!O:O,MATCH(A284,sheet2!A:A,0))&gt;0,IFERROR(INDEX(LEVEL_HELPER!A:A,MATCH(INDEX(sheet2!O:O,MATCH(A284,sheet2!A:A,0)),LEVEL_HELPER!B:B,0)),H284),H284))</f>
        <v>Beginner</v>
      </c>
      <c r="J284" s="73">
        <f>IFERROR(MAXIFS(ATTENDANCE_LOG!F:F, ATTENDANCE_LOG!C:C, A284&amp;"", ATTENDANCE_LOG!G:G, "Present"), "")</f>
        <v>45817.54167</v>
      </c>
      <c r="K284" s="74">
        <f t="shared" si="1"/>
        <v>237</v>
      </c>
      <c r="L284" s="75" t="str">
        <f t="shared" si="2"/>
        <v>⚠ Possibly Dropped</v>
      </c>
      <c r="M284" s="59" t="s">
        <v>36</v>
      </c>
      <c r="N284" s="77" t="s">
        <v>33</v>
      </c>
      <c r="O284" s="59"/>
      <c r="P284" s="59"/>
      <c r="Q284" s="59"/>
      <c r="R284" s="59"/>
      <c r="S284" s="59"/>
      <c r="T284" s="59"/>
      <c r="U284" s="59"/>
      <c r="V284" s="59"/>
      <c r="W284" s="87"/>
      <c r="X284" s="87"/>
      <c r="Y284" s="87"/>
    </row>
    <row r="285" ht="15.75" customHeight="1">
      <c r="A285" s="67" t="s">
        <v>715</v>
      </c>
      <c r="B285" s="68" t="s">
        <v>716</v>
      </c>
      <c r="C285" s="69" t="str">
        <f>IFERROR(__xludf.DUMMYFUNCTION("arrayformula(VLOOKUP(to_Text(A285),to_Text(sheet2!$A$1:M1002),13,0))"),"ONC")</f>
        <v>ONC</v>
      </c>
      <c r="D285" s="70" t="str">
        <f>IFERROR(__xludf.DUMMYFUNCTION("arrayformula(VLOOKUP(to_Text(A285),to_Text(sheet2!$A$1:M1002),12,0))"),"DEV")</f>
        <v>DEV</v>
      </c>
      <c r="E285" s="71" t="s">
        <v>16</v>
      </c>
      <c r="F285" s="67" t="str">
        <f t="array" ref="F285">IFERROR(
  INDEX(ATTENDANCE_INPUT!D:D,
    MATCH(1,
      (ATTENDANCE_INPUT!A:A=A285) *
      (ATTENDANCE_INPUT!V:V=MAXIFS(ATTENDANCE_INPUT!V:V, ATTENDANCE_INPUT!A:A, A285)),
      0)),
  "")</f>
        <v>Nhat Phan 1</v>
      </c>
      <c r="G285" s="72" t="str">
        <f t="array" ref="G285">IFERROR(
  INDEX(ATTENDANCE_INPUT!E:E,
    MATCH(1,
      (ATTENDANCE_INPUT!A:A=A285) *
      (ATTENDANCE_INPUT!V:V=MAXIFS(ATTENDANCE_INPUT!V:V, ATTENDANCE_INPUT!A:A, A285)),
      0)),
  "")</f>
        <v>Communication 2</v>
      </c>
      <c r="H285" s="73" t="str">
        <f t="array" ref="H285">IF(ISNA(MATCH(A285,sheet2!A:A,0)),"⏳ Chưa test",IFERROR(INDEX(LEVEL_HELPER!A:A,MATCH(INDEX(sheet2!N:N,MATCH(A285,sheet2!A:A,0)),LEVEL_HELPER!B:B,0)),"⏳ Chưa test"))</f>
        <v>Pre-Intermediate</v>
      </c>
      <c r="I285" s="73" t="str">
        <f t="array" ref="I285">IF(ISNA(MATCH(A285,sheet2!A:A,0)),H285,IF(INDEX(sheet2!O:O,MATCH(A285,sheet2!A:A,0))&gt;0,IFERROR(INDEX(LEVEL_HELPER!A:A,MATCH(INDEX(sheet2!O:O,MATCH(A285,sheet2!A:A,0)),LEVEL_HELPER!B:B,0)),H285),H285))</f>
        <v>Pre-Intermediate</v>
      </c>
      <c r="J285" s="73">
        <f>IFERROR(MAXIFS(ATTENDANCE_LOG!F:F, ATTENDANCE_LOG!C:C, A285&amp;"", ATTENDANCE_LOG!G:G, "Present"), "")</f>
        <v>46021.58333</v>
      </c>
      <c r="K285" s="74" t="str">
        <f t="shared" si="1"/>
        <v/>
      </c>
      <c r="L285" s="75" t="str">
        <f t="shared" si="2"/>
        <v/>
      </c>
      <c r="M285" s="59" t="s">
        <v>34</v>
      </c>
      <c r="N285" s="77" t="s">
        <v>33</v>
      </c>
      <c r="O285" s="59"/>
      <c r="P285" s="59"/>
      <c r="Q285" s="59"/>
      <c r="R285" s="59"/>
      <c r="S285" s="59"/>
      <c r="T285" s="59"/>
      <c r="U285" s="59"/>
      <c r="V285" s="59"/>
      <c r="W285" s="87"/>
      <c r="X285" s="87"/>
      <c r="Y285" s="87"/>
    </row>
    <row r="286" ht="15.75" customHeight="1">
      <c r="A286" s="67" t="s">
        <v>717</v>
      </c>
      <c r="B286" s="68" t="s">
        <v>718</v>
      </c>
      <c r="C286" s="69" t="str">
        <f>IFERROR(__xludf.DUMMYFUNCTION("arrayformula(VLOOKUP(to_Text(A286),to_Text(sheet2!$A$1:M1002),13,0))"),"ONC")</f>
        <v>ONC</v>
      </c>
      <c r="D286" s="70" t="str">
        <f>IFERROR(__xludf.DUMMYFUNCTION("arrayformula(VLOOKUP(to_Text(A286),to_Text(sheet2!$A$1:M1002),12,0))"),"QC")</f>
        <v>QC</v>
      </c>
      <c r="E286" s="71" t="s">
        <v>16</v>
      </c>
      <c r="F286" s="67" t="str">
        <f t="array" ref="F286">IFERROR(
  INDEX(ATTENDANCE_INPUT!D:D,
    MATCH(1,
      (ATTENDANCE_INPUT!A:A=A286) *
      (ATTENDANCE_INPUT!V:V=MAXIFS(ATTENDANCE_INPUT!V:V, ATTENDANCE_INPUT!A:A, A286)),
      0)),
  "")</f>
        <v>Thao Vu 1</v>
      </c>
      <c r="G286" s="72" t="str">
        <f t="array" ref="G286">IFERROR(
  INDEX(ATTENDANCE_INPUT!E:E,
    MATCH(1,
      (ATTENDANCE_INPUT!A:A=A286) *
      (ATTENDANCE_INPUT!V:V=MAXIFS(ATTENDANCE_INPUT!V:V, ATTENDANCE_INPUT!A:A, A286)),
      0)),
  "")</f>
        <v>Communication 1</v>
      </c>
      <c r="H286" s="73" t="str">
        <f t="array" ref="H286">IF(ISNA(MATCH(A286,sheet2!A:A,0)),"⏳ Chưa test",IFERROR(INDEX(LEVEL_HELPER!A:A,MATCH(INDEX(sheet2!N:N,MATCH(A286,sheet2!A:A,0)),LEVEL_HELPER!B:B,0)),"⏳ Chưa test"))</f>
        <v>Intermediate</v>
      </c>
      <c r="I286" s="73" t="str">
        <f t="array" ref="I286">IF(ISNA(MATCH(A286,sheet2!A:A,0)),H286,IF(INDEX(sheet2!O:O,MATCH(A286,sheet2!A:A,0))&gt;0,IFERROR(INDEX(LEVEL_HELPER!A:A,MATCH(INDEX(sheet2!O:O,MATCH(A286,sheet2!A:A,0)),LEVEL_HELPER!B:B,0)),H286),H286))</f>
        <v>Pre-Intermediate</v>
      </c>
      <c r="J286" s="73">
        <f>IFERROR(MAXIFS(ATTENDANCE_LOG!F:F, ATTENDANCE_LOG!C:C, A286&amp;"", ATTENDANCE_LOG!G:G, "Present"), "")</f>
        <v>45801.41667</v>
      </c>
      <c r="K286" s="74" t="str">
        <f t="shared" si="1"/>
        <v/>
      </c>
      <c r="L286" s="75" t="str">
        <f t="shared" si="2"/>
        <v/>
      </c>
      <c r="M286" s="80" t="s">
        <v>34</v>
      </c>
      <c r="N286" s="77" t="s">
        <v>33</v>
      </c>
      <c r="O286" s="59" t="s">
        <v>555</v>
      </c>
      <c r="P286" s="59"/>
      <c r="Q286" s="59"/>
      <c r="R286" s="59"/>
      <c r="S286" s="59"/>
      <c r="T286" s="59"/>
      <c r="U286" s="59"/>
      <c r="V286" s="59"/>
      <c r="W286" s="87"/>
      <c r="X286" s="87"/>
      <c r="Y286" s="87"/>
    </row>
    <row r="287" ht="15.75" customHeight="1">
      <c r="A287" s="67" t="s">
        <v>719</v>
      </c>
      <c r="B287" s="68" t="s">
        <v>720</v>
      </c>
      <c r="C287" s="69" t="str">
        <f>IFERROR(__xludf.DUMMYFUNCTION("arrayformula(VLOOKUP(to_Text(A287),to_Text(sheet2!$A$1:M1002),13,0))"),"MOC")</f>
        <v>MOC</v>
      </c>
      <c r="D287" s="70" t="str">
        <f>IFERROR(__xludf.DUMMYFUNCTION("arrayformula(VLOOKUP(to_Text(A287),to_Text(sheet2!$A$1:M1002),12,0))"),"BC")</f>
        <v>BC</v>
      </c>
      <c r="E287" s="71" t="s">
        <v>16</v>
      </c>
      <c r="F287" s="67" t="str">
        <f t="array" ref="F287">IFERROR(
  INDEX(ATTENDANCE_INPUT!D:D,
    MATCH(1,
      (ATTENDANCE_INPUT!A:A=A287) *
      (ATTENDANCE_INPUT!V:V=MAXIFS(ATTENDANCE_INPUT!V:V, ATTENDANCE_INPUT!A:A, A287)),
      0)),
  "")</f>
        <v>Van Nguyen</v>
      </c>
      <c r="G287" s="72" t="str">
        <f t="array" ref="G287">IFERROR(
  INDEX(ATTENDANCE_INPUT!E:E,
    MATCH(1,
      (ATTENDANCE_INPUT!A:A=A287) *
      (ATTENDANCE_INPUT!V:V=MAXIFS(ATTENDANCE_INPUT!V:V, ATTENDANCE_INPUT!A:A, A287)),
      0)),
  "")</f>
        <v>Communication 2</v>
      </c>
      <c r="H287" s="73" t="str">
        <f t="array" ref="H287">IF(ISNA(MATCH(A287,sheet2!A:A,0)),"⏳ Chưa test",IFERROR(INDEX(LEVEL_HELPER!A:A,MATCH(INDEX(sheet2!N:N,MATCH(A287,sheet2!A:A,0)),LEVEL_HELPER!B:B,0)),"⏳ Chưa test"))</f>
        <v>Not Placement</v>
      </c>
      <c r="I287" s="73" t="str">
        <f t="array" ref="I287">IF(ISNA(MATCH(A287,sheet2!A:A,0)),H287,IF(INDEX(sheet2!O:O,MATCH(A287,sheet2!A:A,0))&gt;0,IFERROR(INDEX(LEVEL_HELPER!A:A,MATCH(INDEX(sheet2!O:O,MATCH(A287,sheet2!A:A,0)),LEVEL_HELPER!B:B,0)),H287),H287))</f>
        <v>Intermediate 1</v>
      </c>
      <c r="J287" s="73">
        <f>IFERROR(MAXIFS(ATTENDANCE_LOG!F:F, ATTENDANCE_LOG!C:C, A287&amp;"", ATTENDANCE_LOG!G:G, "Present"), "")</f>
        <v>46051.41667</v>
      </c>
      <c r="K287" s="74" t="str">
        <f t="shared" si="1"/>
        <v/>
      </c>
      <c r="L287" s="75" t="str">
        <f t="shared" si="2"/>
        <v/>
      </c>
      <c r="M287" s="59" t="s">
        <v>36</v>
      </c>
      <c r="N287" s="77" t="s">
        <v>33</v>
      </c>
      <c r="O287" s="59"/>
      <c r="P287" s="59"/>
      <c r="Q287" s="59"/>
      <c r="R287" s="59"/>
      <c r="S287" s="59"/>
      <c r="T287" s="59"/>
      <c r="U287" s="59"/>
      <c r="V287" s="59"/>
      <c r="W287" s="87"/>
      <c r="X287" s="87"/>
      <c r="Y287" s="87"/>
    </row>
    <row r="288" ht="15.75" customHeight="1">
      <c r="A288" s="67" t="s">
        <v>721</v>
      </c>
      <c r="B288" s="68" t="s">
        <v>722</v>
      </c>
      <c r="C288" s="69" t="str">
        <f>IFERROR(__xludf.DUMMYFUNCTION("arrayformula(VLOOKUP(to_Text(A288),to_Text(sheet2!$A$1:M1002),13,0))"),"POC")</f>
        <v>POC</v>
      </c>
      <c r="D288" s="70" t="str">
        <f>IFERROR(__xludf.DUMMYFUNCTION("arrayformula(VLOOKUP(to_Text(A288),to_Text(sheet2!$A$1:M1002),12,0))"),"QC")</f>
        <v>QC</v>
      </c>
      <c r="E288" s="68" t="str">
        <f>if(L288="⚠ Possibly Dropped","Inactive","Active")</f>
        <v>Active</v>
      </c>
      <c r="F288" s="67" t="str">
        <f t="array" ref="F288">IFERROR(
  INDEX(ATTENDANCE_INPUT!D:D,
    MATCH(1,
      (ATTENDANCE_INPUT!A:A=A288) *
      (ATTENDANCE_INPUT!V:V=MAXIFS(ATTENDANCE_INPUT!V:V, ATTENDANCE_INPUT!A:A, A288)),
      0)),
  "")</f>
        <v>Anh Vu</v>
      </c>
      <c r="G288" s="72" t="str">
        <f t="array" ref="G288">IFERROR(
  INDEX(ATTENDANCE_INPUT!E:E,
    MATCH(1,
      (ATTENDANCE_INPUT!A:A=A288) *
      (ATTENDANCE_INPUT!V:V=MAXIFS(ATTENDANCE_INPUT!V:V, ATTENDANCE_INPUT!A:A, A288)),
      0)),
  "")</f>
        <v>Business English</v>
      </c>
      <c r="H288" s="73" t="str">
        <f t="array" ref="H288">IF(ISNA(MATCH(A288,sheet2!A:A,0)),"⏳ Chưa test",IFERROR(INDEX(LEVEL_HELPER!A:A,MATCH(INDEX(sheet2!N:N,MATCH(A288,sheet2!A:A,0)),LEVEL_HELPER!B:B,0)),"⏳ Chưa test"))</f>
        <v>Pre-Intermediate</v>
      </c>
      <c r="I288" s="73" t="str">
        <f t="array" ref="I288">IF(ISNA(MATCH(A288,sheet2!A:A,0)),H288,IF(INDEX(sheet2!O:O,MATCH(A288,sheet2!A:A,0))&gt;0,IFERROR(INDEX(LEVEL_HELPER!A:A,MATCH(INDEX(sheet2!O:O,MATCH(A288,sheet2!A:A,0)),LEVEL_HELPER!B:B,0)),H288),H288))</f>
        <v>Pre-Intermediate 2</v>
      </c>
      <c r="J288" s="73">
        <f>IFERROR(MAXIFS(ATTENDANCE_LOG!F:F, ATTENDANCE_LOG!C:C, A288&amp;"", ATTENDANCE_LOG!G:G, "Present"), "")</f>
        <v>46127.58333</v>
      </c>
      <c r="K288" s="74" t="str">
        <f t="shared" si="1"/>
        <v/>
      </c>
      <c r="L288" s="75" t="str">
        <f t="shared" si="2"/>
        <v/>
      </c>
      <c r="M288" s="59"/>
      <c r="N288" s="77"/>
      <c r="O288" s="59"/>
      <c r="P288" s="59"/>
      <c r="Q288" s="59"/>
      <c r="R288" s="59">
        <v>247211.0</v>
      </c>
      <c r="S288" s="59" t="s">
        <v>172</v>
      </c>
      <c r="T288" s="59" t="s">
        <v>39</v>
      </c>
      <c r="U288" s="59" t="e">
        <v>#N/A</v>
      </c>
      <c r="V288" s="59"/>
      <c r="W288" s="87"/>
      <c r="X288" s="87"/>
      <c r="Y288" s="87"/>
    </row>
    <row r="289" ht="15.75" customHeight="1">
      <c r="A289" s="67">
        <v>213820.0</v>
      </c>
      <c r="B289" s="71" t="s">
        <v>723</v>
      </c>
      <c r="C289" s="69" t="str">
        <f>IFERROR(__xludf.DUMMYFUNCTION("arrayformula(VLOOKUP(to_Text(A289),to_Text(sheet2!$A$1:M1002),13,0))"),"LBU")</f>
        <v>LBU</v>
      </c>
      <c r="D289" s="70" t="str">
        <f>IFERROR(__xludf.DUMMYFUNCTION("arrayformula(VLOOKUP(to_Text(A289),to_Text(sheet2!$A$1:M1002),12,0))"),"QC")</f>
        <v>QC</v>
      </c>
      <c r="E289" s="71" t="s">
        <v>16</v>
      </c>
      <c r="F289" s="67" t="str">
        <f t="array" ref="F289">IFERROR(
  INDEX(ATTENDANCE_INPUT!D:D,
    MATCH(1,
      (ATTENDANCE_INPUT!A:A=A289) *
      (ATTENDANCE_INPUT!V:V=MAXIFS(ATTENDANCE_INPUT!V:V, ATTENDANCE_INPUT!A:A, A289)),
      0)),
  "")</f>
        <v>Thao Vu 1</v>
      </c>
      <c r="G289" s="72" t="str">
        <f t="array" ref="G289">IFERROR(
  INDEX(ATTENDANCE_INPUT!E:E,
    MATCH(1,
      (ATTENDANCE_INPUT!A:A=A289) *
      (ATTENDANCE_INPUT!V:V=MAXIFS(ATTENDANCE_INPUT!V:V, ATTENDANCE_INPUT!A:A, A289)),
      0)),
  "")</f>
        <v>Communication 1</v>
      </c>
      <c r="H289" s="73" t="str">
        <f t="array" ref="H289">IF(ISNA(MATCH(A289,sheet2!A:A,0)),"⏳ Chưa test",IFERROR(INDEX(LEVEL_HELPER!A:A,MATCH(INDEX(sheet2!N:N,MATCH(A289,sheet2!A:A,0)),LEVEL_HELPER!B:B,0)),"⏳ Chưa test"))</f>
        <v>⏳ Chưa test</v>
      </c>
      <c r="I289" s="73" t="str">
        <f t="array" ref="I289">IF(ISNA(MATCH(A289,sheet2!A:A,0)),H289,IF(INDEX(sheet2!O:O,MATCH(A289,sheet2!A:A,0))&gt;0,IFERROR(INDEX(LEVEL_HELPER!A:A,MATCH(INDEX(sheet2!O:O,MATCH(A289,sheet2!A:A,0)),LEVEL_HELPER!B:B,0)),H289),H289))</f>
        <v>⏳ Chưa test</v>
      </c>
      <c r="J289" s="73">
        <f>IFERROR(MAXIFS(ATTENDANCE_LOG!F:F, ATTENDANCE_LOG!C:C, A289&amp;"", ATTENDANCE_LOG!G:G, "Present"), "")</f>
        <v>45801.41667</v>
      </c>
      <c r="K289" s="74" t="str">
        <f t="shared" si="1"/>
        <v/>
      </c>
      <c r="L289" s="75" t="str">
        <f t="shared" si="2"/>
        <v/>
      </c>
      <c r="M289" s="80" t="s">
        <v>34</v>
      </c>
      <c r="N289" s="77" t="s">
        <v>33</v>
      </c>
      <c r="O289" s="59"/>
      <c r="P289" s="59"/>
      <c r="Q289" s="59"/>
      <c r="R289" s="59"/>
      <c r="S289" s="59"/>
      <c r="T289" s="59"/>
      <c r="U289" s="59"/>
      <c r="V289" s="59"/>
      <c r="W289" s="87"/>
      <c r="X289" s="87"/>
      <c r="Y289" s="87"/>
    </row>
    <row r="290" ht="15.75" customHeight="1">
      <c r="A290" s="67">
        <v>193470.0</v>
      </c>
      <c r="B290" s="94" t="s">
        <v>724</v>
      </c>
      <c r="C290" s="69" t="str">
        <f>IFERROR(__xludf.DUMMYFUNCTION("arrayformula(VLOOKUP(to_Text(A290),to_Text(sheet2!$A$1:M1002),13,0))"),"ONC")</f>
        <v>ONC</v>
      </c>
      <c r="D290" s="70" t="str">
        <f>IFERROR(__xludf.DUMMYFUNCTION("arrayformula(VLOOKUP(to_Text(A290),to_Text(sheet2!$A$1:M1002),12,0))"),"DEV")</f>
        <v>DEV</v>
      </c>
      <c r="E290" s="68" t="str">
        <f t="shared" ref="E290:E306" si="31">if(L290="⚠ Possibly Dropped","Inactive","Active")</f>
        <v>Active</v>
      </c>
      <c r="F290" s="67" t="str">
        <f t="array" ref="F290">IFERROR(
  INDEX(ATTENDANCE_INPUT!D:D,
    MATCH(1,
      (ATTENDANCE_INPUT!A:A=A290) *
      (ATTENDANCE_INPUT!V:V=MAXIFS(ATTENDANCE_INPUT!V:V, ATTENDANCE_INPUT!A:A, A290)),
      0)),
  "")</f>
        <v>Thai Nguyen 1</v>
      </c>
      <c r="G290" s="72" t="str">
        <f t="array" ref="G290">IFERROR(
  INDEX(ATTENDANCE_INPUT!E:E,
    MATCH(1,
      (ATTENDANCE_INPUT!A:A=A290) *
      (ATTENDANCE_INPUT!V:V=MAXIFS(ATTENDANCE_INPUT!V:V, ATTENDANCE_INPUT!A:A, A290)),
      0)),
  "")</f>
        <v>Communication 1</v>
      </c>
      <c r="H290" s="73" t="str">
        <f t="array" ref="H290">IF(ISNA(MATCH(A290,sheet2!A:A,0)),"⏳ Chưa test",IFERROR(INDEX(LEVEL_HELPER!A:A,MATCH(INDEX(sheet2!N:N,MATCH(A290,sheet2!A:A,0)),LEVEL_HELPER!B:B,0)),"⏳ Chưa test"))</f>
        <v>⏳ Chưa test</v>
      </c>
      <c r="I290" s="73" t="str">
        <f t="array" ref="I290">IF(ISNA(MATCH(A290,sheet2!A:A,0)),H290,IF(INDEX(sheet2!O:O,MATCH(A290,sheet2!A:A,0))&gt;0,IFERROR(INDEX(LEVEL_HELPER!A:A,MATCH(INDEX(sheet2!O:O,MATCH(A290,sheet2!A:A,0)),LEVEL_HELPER!B:B,0)),H290),H290))</f>
        <v>⏳ Chưa test</v>
      </c>
      <c r="J290" s="73">
        <f>IFERROR(MAXIFS(ATTENDANCE_LOG!F:F, ATTENDANCE_LOG!C:C, A290&amp;"", ATTENDANCE_LOG!G:G, "Present"), "")</f>
        <v>46135.54167</v>
      </c>
      <c r="K290" s="74" t="str">
        <f t="shared" si="1"/>
        <v/>
      </c>
      <c r="L290" s="75" t="str">
        <f t="shared" si="2"/>
        <v/>
      </c>
      <c r="M290" s="59"/>
      <c r="N290" s="77"/>
      <c r="O290" s="95"/>
      <c r="P290" s="95"/>
      <c r="Q290" s="95"/>
      <c r="R290" s="95"/>
      <c r="S290" s="95"/>
      <c r="T290" s="95"/>
      <c r="U290" s="95"/>
      <c r="V290" s="95"/>
      <c r="W290" s="60"/>
      <c r="X290" s="60"/>
      <c r="Y290" s="60"/>
    </row>
    <row r="291" ht="15.75" customHeight="1">
      <c r="A291" s="96" t="s">
        <v>725</v>
      </c>
      <c r="B291" s="97" t="s">
        <v>726</v>
      </c>
      <c r="C291" s="69" t="str">
        <f>IFERROR(__xludf.DUMMYFUNCTION("arrayformula(VLOOKUP(to_Text(A291),to_Text(sheet2!$A$1:M1002),13,0))"),"ONC")</f>
        <v>ONC</v>
      </c>
      <c r="D291" s="70" t="str">
        <f>IFERROR(__xludf.DUMMYFUNCTION("arrayformula(VLOOKUP(to_Text(A291),to_Text(sheet2!$A$1:M1002),12,0))"),"DEV")</f>
        <v>DEV</v>
      </c>
      <c r="E291" s="68" t="str">
        <f t="shared" si="31"/>
        <v>Active</v>
      </c>
      <c r="F291" s="67" t="str">
        <f t="array" ref="F291">IFERROR(
  INDEX(ATTENDANCE_INPUT!D:D,
    MATCH(1,
      (ATTENDANCE_INPUT!A:A=A291) *
      (ATTENDANCE_INPUT!V:V=MAXIFS(ATTENDANCE_INPUT!V:V, ATTENDANCE_INPUT!A:A, A291)),
      0)),
  "")</f>
        <v>Thai Nguyen 1</v>
      </c>
      <c r="G291" s="72" t="str">
        <f t="array" ref="G291">IFERROR(
  INDEX(ATTENDANCE_INPUT!E:E,
    MATCH(1,
      (ATTENDANCE_INPUT!A:A=A291) *
      (ATTENDANCE_INPUT!V:V=MAXIFS(ATTENDANCE_INPUT!V:V, ATTENDANCE_INPUT!A:A, A291)),
      0)),
  "")</f>
        <v>Communication 1</v>
      </c>
      <c r="H291" s="73" t="str">
        <f t="array" ref="H291">IF(ISNA(MATCH(A291,sheet2!A:A,0)),"⏳ Chưa test",IFERROR(INDEX(LEVEL_HELPER!A:A,MATCH(INDEX(sheet2!N:N,MATCH(A291,sheet2!A:A,0)),LEVEL_HELPER!B:B,0)),"⏳ Chưa test"))</f>
        <v>Beginner</v>
      </c>
      <c r="I291" s="73" t="str">
        <f t="array" ref="I291">IF(ISNA(MATCH(A291,sheet2!A:A,0)),H291,IF(INDEX(sheet2!O:O,MATCH(A291,sheet2!A:A,0))&gt;0,IFERROR(INDEX(LEVEL_HELPER!A:A,MATCH(INDEX(sheet2!O:O,MATCH(A291,sheet2!A:A,0)),LEVEL_HELPER!B:B,0)),H291),H291))</f>
        <v>Beginner</v>
      </c>
      <c r="J291" s="73">
        <f>IFERROR(MAXIFS(ATTENDANCE_LOG!F:F, ATTENDANCE_LOG!C:C, A291&amp;"", ATTENDANCE_LOG!G:G, "Present"), "")</f>
        <v>46135.54167</v>
      </c>
      <c r="K291" s="74" t="str">
        <f t="shared" si="1"/>
        <v/>
      </c>
      <c r="L291" s="75" t="str">
        <f t="shared" si="2"/>
        <v/>
      </c>
      <c r="M291" s="59"/>
      <c r="N291" s="77"/>
      <c r="O291" s="98"/>
      <c r="P291" s="98"/>
      <c r="Q291" s="98"/>
      <c r="R291" s="98"/>
      <c r="S291" s="98"/>
      <c r="T291" s="98"/>
      <c r="U291" s="98"/>
      <c r="V291" s="98"/>
      <c r="W291" s="60"/>
      <c r="X291" s="60"/>
      <c r="Y291" s="60"/>
    </row>
    <row r="292" ht="15.75" customHeight="1">
      <c r="A292" s="99" t="s">
        <v>727</v>
      </c>
      <c r="B292" s="94" t="s">
        <v>728</v>
      </c>
      <c r="C292" s="69" t="str">
        <f>IFERROR(__xludf.DUMMYFUNCTION("arrayformula(VLOOKUP(to_Text(A292),to_Text(sheet2!$A$1:M1002),13,0))"),"ONC")</f>
        <v>ONC</v>
      </c>
      <c r="D292" s="70" t="str">
        <f>IFERROR(__xludf.DUMMYFUNCTION("arrayformula(VLOOKUP(to_Text(A292),to_Text(sheet2!$A$1:M1002),12,0))"),"DEV")</f>
        <v>DEV</v>
      </c>
      <c r="E292" s="68" t="str">
        <f t="shared" si="31"/>
        <v>Active</v>
      </c>
      <c r="F292" s="67" t="str">
        <f t="array" ref="F292">IFERROR(
  INDEX(ATTENDANCE_INPUT!D:D,
    MATCH(1,
      (ATTENDANCE_INPUT!A:A=A292) *
      (ATTENDANCE_INPUT!V:V=MAXIFS(ATTENDANCE_INPUT!V:V, ATTENDANCE_INPUT!A:A, A292)),
      0)),
  "")</f>
        <v>Thai Nguyen 1</v>
      </c>
      <c r="G292" s="72" t="str">
        <f t="array" ref="G292">IFERROR(
  INDEX(ATTENDANCE_INPUT!E:E,
    MATCH(1,
      (ATTENDANCE_INPUT!A:A=A292) *
      (ATTENDANCE_INPUT!V:V=MAXIFS(ATTENDANCE_INPUT!V:V, ATTENDANCE_INPUT!A:A, A292)),
      0)),
  "")</f>
        <v>Communication 1</v>
      </c>
      <c r="H292" s="73" t="str">
        <f t="array" ref="H292">IF(ISNA(MATCH(A292,sheet2!A:A,0)),"⏳ Chưa test",IFERROR(INDEX(LEVEL_HELPER!A:A,MATCH(INDEX(sheet2!N:N,MATCH(A292,sheet2!A:A,0)),LEVEL_HELPER!B:B,0)),"⏳ Chưa test"))</f>
        <v>Beginner</v>
      </c>
      <c r="I292" s="73" t="str">
        <f t="array" ref="I292">IF(ISNA(MATCH(A292,sheet2!A:A,0)),H292,IF(INDEX(sheet2!O:O,MATCH(A292,sheet2!A:A,0))&gt;0,IFERROR(INDEX(LEVEL_HELPER!A:A,MATCH(INDEX(sheet2!O:O,MATCH(A292,sheet2!A:A,0)),LEVEL_HELPER!B:B,0)),H292),H292))</f>
        <v>Beginner</v>
      </c>
      <c r="J292" s="73">
        <f>IFERROR(MAXIFS(ATTENDANCE_LOG!F:F, ATTENDANCE_LOG!C:C, A292&amp;"", ATTENDANCE_LOG!G:G, "Present"), "")</f>
        <v>46129.41667</v>
      </c>
      <c r="K292" s="74" t="str">
        <f t="shared" si="1"/>
        <v/>
      </c>
      <c r="L292" s="75" t="str">
        <f t="shared" si="2"/>
        <v/>
      </c>
      <c r="M292" s="59"/>
      <c r="N292" s="77"/>
      <c r="O292" s="95"/>
      <c r="P292" s="95"/>
      <c r="Q292" s="95"/>
      <c r="R292" s="95"/>
      <c r="S292" s="95"/>
      <c r="T292" s="95"/>
      <c r="U292" s="95"/>
      <c r="V292" s="95"/>
      <c r="W292" s="60"/>
      <c r="X292" s="60"/>
      <c r="Y292" s="60"/>
    </row>
    <row r="293" ht="15.75" customHeight="1">
      <c r="A293" s="96" t="s">
        <v>729</v>
      </c>
      <c r="B293" s="97" t="s">
        <v>730</v>
      </c>
      <c r="C293" s="69" t="str">
        <f>IFERROR(__xludf.DUMMYFUNCTION("arrayformula(VLOOKUP(to_Text(A293),to_Text(sheet2!$A$1:M1002),13,0))"),"ONC")</f>
        <v>ONC</v>
      </c>
      <c r="D293" s="70" t="str">
        <f>IFERROR(__xludf.DUMMYFUNCTION("arrayformula(VLOOKUP(to_Text(A293),to_Text(sheet2!$A$1:M1002),12,0))"),"DEV")</f>
        <v>DEV</v>
      </c>
      <c r="E293" s="68" t="str">
        <f t="shared" si="31"/>
        <v>Active</v>
      </c>
      <c r="F293" s="67" t="str">
        <f t="array" ref="F293">IFERROR(
  INDEX(ATTENDANCE_INPUT!D:D,
    MATCH(1,
      (ATTENDANCE_INPUT!A:A=A293) *
      (ATTENDANCE_INPUT!V:V=MAXIFS(ATTENDANCE_INPUT!V:V, ATTENDANCE_INPUT!A:A, A293)),
      0)),
  "")</f>
        <v>Thai Nguyen 1</v>
      </c>
      <c r="G293" s="72" t="str">
        <f t="array" ref="G293">IFERROR(
  INDEX(ATTENDANCE_INPUT!E:E,
    MATCH(1,
      (ATTENDANCE_INPUT!A:A=A293) *
      (ATTENDANCE_INPUT!V:V=MAXIFS(ATTENDANCE_INPUT!V:V, ATTENDANCE_INPUT!A:A, A293)),
      0)),
  "")</f>
        <v>Communication 1</v>
      </c>
      <c r="H293" s="73" t="str">
        <f t="array" ref="H293">IF(ISNA(MATCH(A293,sheet2!A:A,0)),"⏳ Chưa test",IFERROR(INDEX(LEVEL_HELPER!A:A,MATCH(INDEX(sheet2!N:N,MATCH(A293,sheet2!A:A,0)),LEVEL_HELPER!B:B,0)),"⏳ Chưa test"))</f>
        <v>Beginner</v>
      </c>
      <c r="I293" s="73" t="str">
        <f t="array" ref="I293">IF(ISNA(MATCH(A293,sheet2!A:A,0)),H293,IF(INDEX(sheet2!O:O,MATCH(A293,sheet2!A:A,0))&gt;0,IFERROR(INDEX(LEVEL_HELPER!A:A,MATCH(INDEX(sheet2!O:O,MATCH(A293,sheet2!A:A,0)),LEVEL_HELPER!B:B,0)),H293),H293))</f>
        <v>Beginner</v>
      </c>
      <c r="J293" s="73">
        <f>IFERROR(MAXIFS(ATTENDANCE_LOG!F:F, ATTENDANCE_LOG!C:C, A293&amp;"", ATTENDANCE_LOG!G:G, "Present"), "")</f>
        <v>46135.54167</v>
      </c>
      <c r="K293" s="74" t="str">
        <f t="shared" si="1"/>
        <v/>
      </c>
      <c r="L293" s="75" t="str">
        <f t="shared" si="2"/>
        <v/>
      </c>
      <c r="M293" s="59"/>
      <c r="N293" s="77"/>
      <c r="O293" s="98"/>
      <c r="P293" s="98"/>
      <c r="Q293" s="98"/>
      <c r="R293" s="98"/>
      <c r="S293" s="98"/>
      <c r="T293" s="98"/>
      <c r="U293" s="98"/>
      <c r="V293" s="98"/>
      <c r="W293" s="60"/>
      <c r="X293" s="60"/>
      <c r="Y293" s="60"/>
    </row>
    <row r="294" ht="15.75" customHeight="1">
      <c r="A294" s="99" t="s">
        <v>731</v>
      </c>
      <c r="B294" s="94" t="s">
        <v>732</v>
      </c>
      <c r="C294" s="69" t="str">
        <f>IFERROR(__xludf.DUMMYFUNCTION("arrayformula(VLOOKUP(to_Text(A294),to_Text(sheet2!$A$1:M1002),13,0))"),"ONC")</f>
        <v>ONC</v>
      </c>
      <c r="D294" s="70" t="str">
        <f>IFERROR(__xludf.DUMMYFUNCTION("arrayformula(VLOOKUP(to_Text(A294),to_Text(sheet2!$A$1:M1002),12,0))"),"DEV")</f>
        <v>DEV</v>
      </c>
      <c r="E294" s="68" t="str">
        <f t="shared" si="31"/>
        <v>Active</v>
      </c>
      <c r="F294" s="67" t="str">
        <f t="array" ref="F294">IFERROR(
  INDEX(ATTENDANCE_INPUT!D:D,
    MATCH(1,
      (ATTENDANCE_INPUT!A:A=A294) *
      (ATTENDANCE_INPUT!V:V=MAXIFS(ATTENDANCE_INPUT!V:V, ATTENDANCE_INPUT!A:A, A294)),
      0)),
  "")</f>
        <v>Thai Nguyen 1</v>
      </c>
      <c r="G294" s="72" t="str">
        <f t="array" ref="G294">IFERROR(
  INDEX(ATTENDANCE_INPUT!E:E,
    MATCH(1,
      (ATTENDANCE_INPUT!A:A=A294) *
      (ATTENDANCE_INPUT!V:V=MAXIFS(ATTENDANCE_INPUT!V:V, ATTENDANCE_INPUT!A:A, A294)),
      0)),
  "")</f>
        <v>Communication 1</v>
      </c>
      <c r="H294" s="73" t="str">
        <f t="array" ref="H294">IF(ISNA(MATCH(A294,sheet2!A:A,0)),"⏳ Chưa test",IFERROR(INDEX(LEVEL_HELPER!A:A,MATCH(INDEX(sheet2!N:N,MATCH(A294,sheet2!A:A,0)),LEVEL_HELPER!B:B,0)),"⏳ Chưa test"))</f>
        <v>Beginner</v>
      </c>
      <c r="I294" s="73" t="str">
        <f t="array" ref="I294">IF(ISNA(MATCH(A294,sheet2!A:A,0)),H294,IF(INDEX(sheet2!O:O,MATCH(A294,sheet2!A:A,0))&gt;0,IFERROR(INDEX(LEVEL_HELPER!A:A,MATCH(INDEX(sheet2!O:O,MATCH(A294,sheet2!A:A,0)),LEVEL_HELPER!B:B,0)),H294),H294))</f>
        <v>Beginner</v>
      </c>
      <c r="J294" s="73">
        <f>IFERROR(MAXIFS(ATTENDANCE_LOG!F:F, ATTENDANCE_LOG!C:C, A294&amp;"", ATTENDANCE_LOG!G:G, "Present"), "")</f>
        <v>46135.54167</v>
      </c>
      <c r="K294" s="74" t="str">
        <f t="shared" si="1"/>
        <v/>
      </c>
      <c r="L294" s="75" t="str">
        <f t="shared" si="2"/>
        <v/>
      </c>
      <c r="M294" s="59"/>
      <c r="N294" s="77"/>
      <c r="O294" s="95"/>
      <c r="P294" s="95"/>
      <c r="Q294" s="95"/>
      <c r="R294" s="95"/>
      <c r="S294" s="95"/>
      <c r="T294" s="95"/>
      <c r="U294" s="95"/>
      <c r="V294" s="95"/>
      <c r="W294" s="60"/>
      <c r="X294" s="60"/>
      <c r="Y294" s="60"/>
    </row>
    <row r="295" ht="15.75" customHeight="1">
      <c r="A295" s="96" t="s">
        <v>733</v>
      </c>
      <c r="B295" s="97" t="s">
        <v>734</v>
      </c>
      <c r="C295" s="69" t="str">
        <f>IFERROR(__xludf.DUMMYFUNCTION("arrayformula(VLOOKUP(to_Text(A295),to_Text(sheet2!$A$1:M1002),13,0))"),"ONC")</f>
        <v>ONC</v>
      </c>
      <c r="D295" s="70" t="str">
        <f>IFERROR(__xludf.DUMMYFUNCTION("arrayformula(VLOOKUP(to_Text(A295),to_Text(sheet2!$A$1:M1002),12,0))"),"DEV")</f>
        <v>DEV</v>
      </c>
      <c r="E295" s="68" t="str">
        <f t="shared" si="31"/>
        <v>Active</v>
      </c>
      <c r="F295" s="67" t="str">
        <f t="array" ref="F295">IFERROR(
  INDEX(ATTENDANCE_INPUT!D:D,
    MATCH(1,
      (ATTENDANCE_INPUT!A:A=A295) *
      (ATTENDANCE_INPUT!V:V=MAXIFS(ATTENDANCE_INPUT!V:V, ATTENDANCE_INPUT!A:A, A295)),
      0)),
  "")</f>
        <v>Thai Nguyen 1</v>
      </c>
      <c r="G295" s="72" t="str">
        <f t="array" ref="G295">IFERROR(
  INDEX(ATTENDANCE_INPUT!E:E,
    MATCH(1,
      (ATTENDANCE_INPUT!A:A=A295) *
      (ATTENDANCE_INPUT!V:V=MAXIFS(ATTENDANCE_INPUT!V:V, ATTENDANCE_INPUT!A:A, A295)),
      0)),
  "")</f>
        <v>Communication 1</v>
      </c>
      <c r="H295" s="73" t="str">
        <f t="array" ref="H295">IF(ISNA(MATCH(A295,sheet2!A:A,0)),"⏳ Chưa test",IFERROR(INDEX(LEVEL_HELPER!A:A,MATCH(INDEX(sheet2!N:N,MATCH(A295,sheet2!A:A,0)),LEVEL_HELPER!B:B,0)),"⏳ Chưa test"))</f>
        <v>Beginner</v>
      </c>
      <c r="I295" s="73" t="str">
        <f t="array" ref="I295">IF(ISNA(MATCH(A295,sheet2!A:A,0)),H295,IF(INDEX(sheet2!O:O,MATCH(A295,sheet2!A:A,0))&gt;0,IFERROR(INDEX(LEVEL_HELPER!A:A,MATCH(INDEX(sheet2!O:O,MATCH(A295,sheet2!A:A,0)),LEVEL_HELPER!B:B,0)),H295),H295))</f>
        <v>Beginner</v>
      </c>
      <c r="J295" s="73">
        <f>IFERROR(MAXIFS(ATTENDANCE_LOG!F:F, ATTENDANCE_LOG!C:C, A295&amp;"", ATTENDANCE_LOG!G:G, "Present"), "")</f>
        <v>46135.54167</v>
      </c>
      <c r="K295" s="74" t="str">
        <f t="shared" si="1"/>
        <v/>
      </c>
      <c r="L295" s="75" t="str">
        <f t="shared" si="2"/>
        <v/>
      </c>
      <c r="M295" s="59"/>
      <c r="N295" s="77"/>
      <c r="O295" s="98"/>
      <c r="P295" s="98"/>
      <c r="Q295" s="98"/>
      <c r="R295" s="98"/>
      <c r="S295" s="98"/>
      <c r="T295" s="98"/>
      <c r="U295" s="98"/>
      <c r="V295" s="98"/>
      <c r="W295" s="60"/>
      <c r="X295" s="60"/>
      <c r="Y295" s="60"/>
    </row>
    <row r="296" ht="15.75" customHeight="1">
      <c r="A296" s="99" t="s">
        <v>735</v>
      </c>
      <c r="B296" s="94" t="s">
        <v>736</v>
      </c>
      <c r="C296" s="69" t="str">
        <f>IFERROR(__xludf.DUMMYFUNCTION("arrayformula(VLOOKUP(to_Text(A296),to_Text(sheet2!$A$1:M1002),13,0))"),"ONC")</f>
        <v>ONC</v>
      </c>
      <c r="D296" s="70" t="str">
        <f>IFERROR(__xludf.DUMMYFUNCTION("arrayformula(VLOOKUP(to_Text(A296),to_Text(sheet2!$A$1:M1002),12,0))"),"DEV")</f>
        <v>DEV</v>
      </c>
      <c r="E296" s="68" t="str">
        <f t="shared" si="31"/>
        <v>Active</v>
      </c>
      <c r="F296" s="67" t="str">
        <f t="array" ref="F296">IFERROR(
  INDEX(ATTENDANCE_INPUT!D:D,
    MATCH(1,
      (ATTENDANCE_INPUT!A:A=A296) *
      (ATTENDANCE_INPUT!V:V=MAXIFS(ATTENDANCE_INPUT!V:V, ATTENDANCE_INPUT!A:A, A296)),
      0)),
  "")</f>
        <v>Thai Nguyen 2</v>
      </c>
      <c r="G296" s="72" t="str">
        <f t="array" ref="G296">IFERROR(
  INDEX(ATTENDANCE_INPUT!E:E,
    MATCH(1,
      (ATTENDANCE_INPUT!A:A=A296) *
      (ATTENDANCE_INPUT!V:V=MAXIFS(ATTENDANCE_INPUT!V:V, ATTENDANCE_INPUT!A:A, A296)),
      0)),
  "")</f>
        <v>Communication 1</v>
      </c>
      <c r="H296" s="73" t="str">
        <f t="array" ref="H296">IF(ISNA(MATCH(A296,sheet2!A:A,0)),"⏳ Chưa test",IFERROR(INDEX(LEVEL_HELPER!A:A,MATCH(INDEX(sheet2!N:N,MATCH(A296,sheet2!A:A,0)),LEVEL_HELPER!B:B,0)),"⏳ Chưa test"))</f>
        <v>Beginner</v>
      </c>
      <c r="I296" s="73" t="str">
        <f t="array" ref="I296">IF(ISNA(MATCH(A296,sheet2!A:A,0)),H296,IF(INDEX(sheet2!O:O,MATCH(A296,sheet2!A:A,0))&gt;0,IFERROR(INDEX(LEVEL_HELPER!A:A,MATCH(INDEX(sheet2!O:O,MATCH(A296,sheet2!A:A,0)),LEVEL_HELPER!B:B,0)),H296),H296))</f>
        <v>Beginner</v>
      </c>
      <c r="J296" s="73">
        <f>IFERROR(MAXIFS(ATTENDANCE_LOG!F:F, ATTENDANCE_LOG!C:C, A296&amp;"", ATTENDANCE_LOG!G:G, "Present"), "")</f>
        <v>46135.625</v>
      </c>
      <c r="K296" s="74" t="str">
        <f t="shared" si="1"/>
        <v/>
      </c>
      <c r="L296" s="75" t="str">
        <f t="shared" si="2"/>
        <v/>
      </c>
      <c r="M296" s="59"/>
      <c r="N296" s="77"/>
      <c r="O296" s="95"/>
      <c r="P296" s="95"/>
      <c r="Q296" s="95"/>
      <c r="R296" s="95"/>
      <c r="S296" s="95"/>
      <c r="T296" s="95"/>
      <c r="U296" s="95"/>
      <c r="V296" s="95"/>
      <c r="W296" s="60"/>
      <c r="X296" s="60"/>
      <c r="Y296" s="60"/>
    </row>
    <row r="297" ht="15.75" customHeight="1">
      <c r="A297" s="96" t="s">
        <v>737</v>
      </c>
      <c r="B297" s="97" t="s">
        <v>738</v>
      </c>
      <c r="C297" s="69" t="str">
        <f>IFERROR(__xludf.DUMMYFUNCTION("arrayformula(VLOOKUP(to_Text(A297),to_Text(sheet2!$A$1:M1002),13,0))"),"ONC")</f>
        <v>ONC</v>
      </c>
      <c r="D297" s="70" t="str">
        <f>IFERROR(__xludf.DUMMYFUNCTION("arrayformula(VLOOKUP(to_Text(A297),to_Text(sheet2!$A$1:M1002),12,0))"),"DEV")</f>
        <v>DEV</v>
      </c>
      <c r="E297" s="68" t="str">
        <f t="shared" si="31"/>
        <v>Active</v>
      </c>
      <c r="F297" s="67" t="str">
        <f t="array" ref="F297">IFERROR(
  INDEX(ATTENDANCE_INPUT!D:D,
    MATCH(1,
      (ATTENDANCE_INPUT!A:A=A297) *
      (ATTENDANCE_INPUT!V:V=MAXIFS(ATTENDANCE_INPUT!V:V, ATTENDANCE_INPUT!A:A, A297)),
      0)),
  "")</f>
        <v>Thai Nguyen 2</v>
      </c>
      <c r="G297" s="72" t="str">
        <f t="array" ref="G297">IFERROR(
  INDEX(ATTENDANCE_INPUT!E:E,
    MATCH(1,
      (ATTENDANCE_INPUT!A:A=A297) *
      (ATTENDANCE_INPUT!V:V=MAXIFS(ATTENDANCE_INPUT!V:V, ATTENDANCE_INPUT!A:A, A297)),
      0)),
  "")</f>
        <v>Communication 1</v>
      </c>
      <c r="H297" s="73" t="str">
        <f t="array" ref="H297">IF(ISNA(MATCH(A297,sheet2!A:A,0)),"⏳ Chưa test",IFERROR(INDEX(LEVEL_HELPER!A:A,MATCH(INDEX(sheet2!N:N,MATCH(A297,sheet2!A:A,0)),LEVEL_HELPER!B:B,0)),"⏳ Chưa test"))</f>
        <v>Beginner</v>
      </c>
      <c r="I297" s="73" t="str">
        <f t="array" ref="I297">IF(ISNA(MATCH(A297,sheet2!A:A,0)),H297,IF(INDEX(sheet2!O:O,MATCH(A297,sheet2!A:A,0))&gt;0,IFERROR(INDEX(LEVEL_HELPER!A:A,MATCH(INDEX(sheet2!O:O,MATCH(A297,sheet2!A:A,0)),LEVEL_HELPER!B:B,0)),H297),H297))</f>
        <v>Beginner</v>
      </c>
      <c r="J297" s="73">
        <f>IFERROR(MAXIFS(ATTENDANCE_LOG!F:F, ATTENDANCE_LOG!C:C, A297&amp;"", ATTENDANCE_LOG!G:G, "Present"), "")</f>
        <v>46135.625</v>
      </c>
      <c r="K297" s="74" t="str">
        <f t="shared" si="1"/>
        <v/>
      </c>
      <c r="L297" s="75" t="str">
        <f t="shared" si="2"/>
        <v/>
      </c>
      <c r="M297" s="59"/>
      <c r="N297" s="77"/>
      <c r="O297" s="98"/>
      <c r="P297" s="98"/>
      <c r="Q297" s="98"/>
      <c r="R297" s="98"/>
      <c r="S297" s="98"/>
      <c r="T297" s="98"/>
      <c r="U297" s="98"/>
      <c r="V297" s="98"/>
      <c r="W297" s="60"/>
      <c r="X297" s="60"/>
      <c r="Y297" s="60"/>
    </row>
    <row r="298" ht="15.75" customHeight="1">
      <c r="A298" s="99" t="s">
        <v>739</v>
      </c>
      <c r="B298" s="94" t="s">
        <v>740</v>
      </c>
      <c r="C298" s="69" t="str">
        <f>IFERROR(__xludf.DUMMYFUNCTION("arrayformula(VLOOKUP(to_Text(A298),to_Text(sheet2!$A$1:M1002),13,0))"),"ONC")</f>
        <v>ONC</v>
      </c>
      <c r="D298" s="70" t="str">
        <f>IFERROR(__xludf.DUMMYFUNCTION("arrayformula(VLOOKUP(to_Text(A298),to_Text(sheet2!$A$1:M1002),12,0))"),"DEV")</f>
        <v>DEV</v>
      </c>
      <c r="E298" s="68" t="str">
        <f t="shared" si="31"/>
        <v>Active</v>
      </c>
      <c r="F298" s="67" t="str">
        <f t="array" ref="F298">IFERROR(
  INDEX(ATTENDANCE_INPUT!D:D,
    MATCH(1,
      (ATTENDANCE_INPUT!A:A=A298) *
      (ATTENDANCE_INPUT!V:V=MAXIFS(ATTENDANCE_INPUT!V:V, ATTENDANCE_INPUT!A:A, A298)),
      0)),
  "")</f>
        <v>Thai Nguyen 2</v>
      </c>
      <c r="G298" s="72" t="str">
        <f t="array" ref="G298">IFERROR(
  INDEX(ATTENDANCE_INPUT!E:E,
    MATCH(1,
      (ATTENDANCE_INPUT!A:A=A298) *
      (ATTENDANCE_INPUT!V:V=MAXIFS(ATTENDANCE_INPUT!V:V, ATTENDANCE_INPUT!A:A, A298)),
      0)),
  "")</f>
        <v>Communication 1</v>
      </c>
      <c r="H298" s="73" t="str">
        <f t="array" ref="H298">IF(ISNA(MATCH(A298,sheet2!A:A,0)),"⏳ Chưa test",IFERROR(INDEX(LEVEL_HELPER!A:A,MATCH(INDEX(sheet2!N:N,MATCH(A298,sheet2!A:A,0)),LEVEL_HELPER!B:B,0)),"⏳ Chưa test"))</f>
        <v>Beginner</v>
      </c>
      <c r="I298" s="73" t="str">
        <f t="array" ref="I298">IF(ISNA(MATCH(A298,sheet2!A:A,0)),H298,IF(INDEX(sheet2!O:O,MATCH(A298,sheet2!A:A,0))&gt;0,IFERROR(INDEX(LEVEL_HELPER!A:A,MATCH(INDEX(sheet2!O:O,MATCH(A298,sheet2!A:A,0)),LEVEL_HELPER!B:B,0)),H298),H298))</f>
        <v>Beginner</v>
      </c>
      <c r="J298" s="73">
        <f>IFERROR(MAXIFS(ATTENDANCE_LOG!F:F, ATTENDANCE_LOG!C:C, A298&amp;"", ATTENDANCE_LOG!G:G, "Present"), "")</f>
        <v>46135.625</v>
      </c>
      <c r="K298" s="74" t="str">
        <f t="shared" si="1"/>
        <v/>
      </c>
      <c r="L298" s="75" t="str">
        <f t="shared" si="2"/>
        <v/>
      </c>
      <c r="M298" s="59"/>
      <c r="N298" s="77"/>
      <c r="O298" s="95"/>
      <c r="P298" s="95"/>
      <c r="Q298" s="95"/>
      <c r="R298" s="95"/>
      <c r="S298" s="95"/>
      <c r="T298" s="95"/>
      <c r="U298" s="95"/>
      <c r="V298" s="95"/>
      <c r="W298" s="60"/>
      <c r="X298" s="60"/>
      <c r="Y298" s="60"/>
    </row>
    <row r="299" ht="15.75" customHeight="1">
      <c r="A299" s="96" t="s">
        <v>741</v>
      </c>
      <c r="B299" s="97" t="s">
        <v>742</v>
      </c>
      <c r="C299" s="69" t="str">
        <f>IFERROR(__xludf.DUMMYFUNCTION("arrayformula(VLOOKUP(to_Text(A299),to_Text(sheet2!$A$1:M1002),13,0))"),"ONC")</f>
        <v>ONC</v>
      </c>
      <c r="D299" s="70" t="str">
        <f>IFERROR(__xludf.DUMMYFUNCTION("arrayformula(VLOOKUP(to_Text(A299),to_Text(sheet2!$A$1:M1002),12,0))"),"DEV")</f>
        <v>DEV</v>
      </c>
      <c r="E299" s="68" t="str">
        <f t="shared" si="31"/>
        <v>Active</v>
      </c>
      <c r="F299" s="67" t="str">
        <f t="array" ref="F299">IFERROR(
  INDEX(ATTENDANCE_INPUT!D:D,
    MATCH(1,
      (ATTENDANCE_INPUT!A:A=A299) *
      (ATTENDANCE_INPUT!V:V=MAXIFS(ATTENDANCE_INPUT!V:V, ATTENDANCE_INPUT!A:A, A299)),
      0)),
  "")</f>
        <v>Thai Nguyen 2</v>
      </c>
      <c r="G299" s="72" t="str">
        <f t="array" ref="G299">IFERROR(
  INDEX(ATTENDANCE_INPUT!E:E,
    MATCH(1,
      (ATTENDANCE_INPUT!A:A=A299) *
      (ATTENDANCE_INPUT!V:V=MAXIFS(ATTENDANCE_INPUT!V:V, ATTENDANCE_INPUT!A:A, A299)),
      0)),
  "")</f>
        <v>Communication 1</v>
      </c>
      <c r="H299" s="73" t="str">
        <f t="array" ref="H299">IF(ISNA(MATCH(A299,sheet2!A:A,0)),"⏳ Chưa test",IFERROR(INDEX(LEVEL_HELPER!A:A,MATCH(INDEX(sheet2!N:N,MATCH(A299,sheet2!A:A,0)),LEVEL_HELPER!B:B,0)),"⏳ Chưa test"))</f>
        <v>Beginner</v>
      </c>
      <c r="I299" s="73" t="str">
        <f t="array" ref="I299">IF(ISNA(MATCH(A299,sheet2!A:A,0)),H299,IF(INDEX(sheet2!O:O,MATCH(A299,sheet2!A:A,0))&gt;0,IFERROR(INDEX(LEVEL_HELPER!A:A,MATCH(INDEX(sheet2!O:O,MATCH(A299,sheet2!A:A,0)),LEVEL_HELPER!B:B,0)),H299),H299))</f>
        <v>Beginner</v>
      </c>
      <c r="J299" s="73">
        <f>IFERROR(MAXIFS(ATTENDANCE_LOG!F:F, ATTENDANCE_LOG!C:C, A299&amp;"", ATTENDANCE_LOG!G:G, "Present"), "")</f>
        <v>46135.625</v>
      </c>
      <c r="K299" s="74" t="str">
        <f t="shared" si="1"/>
        <v/>
      </c>
      <c r="L299" s="75" t="str">
        <f t="shared" si="2"/>
        <v/>
      </c>
      <c r="M299" s="59"/>
      <c r="N299" s="77"/>
      <c r="O299" s="98"/>
      <c r="P299" s="98"/>
      <c r="Q299" s="98"/>
      <c r="R299" s="98"/>
      <c r="S299" s="98"/>
      <c r="T299" s="98"/>
      <c r="U299" s="98"/>
      <c r="V299" s="98"/>
      <c r="W299" s="60"/>
      <c r="X299" s="60"/>
      <c r="Y299" s="60"/>
    </row>
    <row r="300" ht="15.75" customHeight="1">
      <c r="A300" s="99" t="s">
        <v>743</v>
      </c>
      <c r="B300" s="94" t="s">
        <v>744</v>
      </c>
      <c r="C300" s="69" t="str">
        <f>IFERROR(__xludf.DUMMYFUNCTION("arrayformula(VLOOKUP(to_Text(A300),to_Text(sheet2!$A$1:M1002),13,0))"),"ONC")</f>
        <v>ONC</v>
      </c>
      <c r="D300" s="70" t="str">
        <f>IFERROR(__xludf.DUMMYFUNCTION("arrayformula(VLOOKUP(to_Text(A300),to_Text(sheet2!$A$1:M1002),12,0))"),"DEV")</f>
        <v>DEV</v>
      </c>
      <c r="E300" s="68" t="str">
        <f t="shared" si="31"/>
        <v>Active</v>
      </c>
      <c r="F300" s="67" t="str">
        <f t="array" ref="F300">IFERROR(
  INDEX(ATTENDANCE_INPUT!D:D,
    MATCH(1,
      (ATTENDANCE_INPUT!A:A=A300) *
      (ATTENDANCE_INPUT!V:V=MAXIFS(ATTENDANCE_INPUT!V:V, ATTENDANCE_INPUT!A:A, A300)),
      0)),
  "")</f>
        <v>Thai Nguyen 2</v>
      </c>
      <c r="G300" s="72" t="str">
        <f t="array" ref="G300">IFERROR(
  INDEX(ATTENDANCE_INPUT!E:E,
    MATCH(1,
      (ATTENDANCE_INPUT!A:A=A300) *
      (ATTENDANCE_INPUT!V:V=MAXIFS(ATTENDANCE_INPUT!V:V, ATTENDANCE_INPUT!A:A, A300)),
      0)),
  "")</f>
        <v>Communication 1</v>
      </c>
      <c r="H300" s="73" t="str">
        <f t="array" ref="H300">IF(ISNA(MATCH(A300,sheet2!A:A,0)),"⏳ Chưa test",IFERROR(INDEX(LEVEL_HELPER!A:A,MATCH(INDEX(sheet2!N:N,MATCH(A300,sheet2!A:A,0)),LEVEL_HELPER!B:B,0)),"⏳ Chưa test"))</f>
        <v>Beginner</v>
      </c>
      <c r="I300" s="73" t="str">
        <f t="array" ref="I300">IF(ISNA(MATCH(A300,sheet2!A:A,0)),H300,IF(INDEX(sheet2!O:O,MATCH(A300,sheet2!A:A,0))&gt;0,IFERROR(INDEX(LEVEL_HELPER!A:A,MATCH(INDEX(sheet2!O:O,MATCH(A300,sheet2!A:A,0)),LEVEL_HELPER!B:B,0)),H300),H300))</f>
        <v>Beginner</v>
      </c>
      <c r="J300" s="73">
        <f>IFERROR(MAXIFS(ATTENDANCE_LOG!F:F, ATTENDANCE_LOG!C:C, A300&amp;"", ATTENDANCE_LOG!G:G, "Present"), "")</f>
        <v>46135.625</v>
      </c>
      <c r="K300" s="74" t="str">
        <f t="shared" si="1"/>
        <v/>
      </c>
      <c r="L300" s="75" t="str">
        <f t="shared" si="2"/>
        <v/>
      </c>
      <c r="M300" s="59"/>
      <c r="N300" s="77"/>
      <c r="O300" s="95"/>
      <c r="P300" s="95"/>
      <c r="Q300" s="95"/>
      <c r="R300" s="95"/>
      <c r="S300" s="95"/>
      <c r="T300" s="95"/>
      <c r="U300" s="95"/>
      <c r="V300" s="95"/>
      <c r="W300" s="60"/>
      <c r="X300" s="60"/>
      <c r="Y300" s="60"/>
    </row>
    <row r="301" ht="15.75" customHeight="1">
      <c r="A301" s="96" t="s">
        <v>745</v>
      </c>
      <c r="B301" s="97" t="s">
        <v>746</v>
      </c>
      <c r="C301" s="69" t="str">
        <f>IFERROR(__xludf.DUMMYFUNCTION("arrayformula(VLOOKUP(to_Text(A301),to_Text(sheet2!$A$1:M1002),13,0))"),"CHORUS")</f>
        <v>CHORUS</v>
      </c>
      <c r="D301" s="70" t="str">
        <f>IFERROR(__xludf.DUMMYFUNCTION("arrayformula(VLOOKUP(to_Text(A301),to_Text(sheet2!$A$1:M1002),12,0))"),"IM")</f>
        <v>IM</v>
      </c>
      <c r="E301" s="68" t="str">
        <f t="shared" si="31"/>
        <v>Active</v>
      </c>
      <c r="F301" s="67" t="str">
        <f t="array" ref="F301">IFERROR(
  INDEX(ATTENDANCE_INPUT!D:D,
    MATCH(1,
      (ATTENDANCE_INPUT!A:A=A301) *
      (ATTENDANCE_INPUT!V:V=MAXIFS(ATTENDANCE_INPUT!V:V, ATTENDANCE_INPUT!A:A, A301)),
      0)),
  "")</f>
        <v>Trang Ngo</v>
      </c>
      <c r="G301" s="72" t="str">
        <f t="array" ref="G301">IFERROR(
  INDEX(ATTENDANCE_INPUT!E:E,
    MATCH(1,
      (ATTENDANCE_INPUT!A:A=A301) *
      (ATTENDANCE_INPUT!V:V=MAXIFS(ATTENDANCE_INPUT!V:V, ATTENDANCE_INPUT!A:A, A301)),
      0)),
  "")</f>
        <v>Communication 1</v>
      </c>
      <c r="H301" s="73" t="str">
        <f t="array" ref="H301">IF(ISNA(MATCH(A301,sheet2!A:A,0)),"⏳ Chưa test",IFERROR(INDEX(LEVEL_HELPER!A:A,MATCH(INDEX(sheet2!N:N,MATCH(A301,sheet2!A:A,0)),LEVEL_HELPER!B:B,0)),"⏳ Chưa test"))</f>
        <v>Pre-Intermediate 2</v>
      </c>
      <c r="I301" s="73" t="str">
        <f t="array" ref="I301">IF(ISNA(MATCH(A301,sheet2!A:A,0)),H301,IF(INDEX(sheet2!O:O,MATCH(A301,sheet2!A:A,0))&gt;0,IFERROR(INDEX(LEVEL_HELPER!A:A,MATCH(INDEX(sheet2!O:O,MATCH(A301,sheet2!A:A,0)),LEVEL_HELPER!B:B,0)),H301),H301))</f>
        <v>Pre-Intermediate 2</v>
      </c>
      <c r="J301" s="73">
        <f>IFERROR(MAXIFS(ATTENDANCE_LOG!F:F, ATTENDANCE_LOG!C:C, A301&amp;"", ATTENDANCE_LOG!G:G, "Present"), "")</f>
        <v>46134.41667</v>
      </c>
      <c r="K301" s="74" t="str">
        <f t="shared" si="1"/>
        <v/>
      </c>
      <c r="L301" s="75" t="str">
        <f t="shared" si="2"/>
        <v/>
      </c>
      <c r="M301" s="59"/>
      <c r="N301" s="77"/>
      <c r="O301" s="98"/>
      <c r="P301" s="98"/>
      <c r="Q301" s="98"/>
      <c r="R301" s="98"/>
      <c r="S301" s="98"/>
      <c r="T301" s="98"/>
      <c r="U301" s="98"/>
      <c r="V301" s="98"/>
      <c r="W301" s="60"/>
      <c r="X301" s="60"/>
      <c r="Y301" s="60"/>
    </row>
    <row r="302" ht="15.75" customHeight="1">
      <c r="A302" s="99" t="s">
        <v>747</v>
      </c>
      <c r="B302" s="94" t="s">
        <v>748</v>
      </c>
      <c r="C302" s="69" t="str">
        <f>IFERROR(__xludf.DUMMYFUNCTION("arrayformula(VLOOKUP(to_Text(A302),to_Text(sheet2!$A$1:M1002),13,0))"),"LBU")</f>
        <v>LBU</v>
      </c>
      <c r="D302" s="70" t="str">
        <f>IFERROR(__xludf.DUMMYFUNCTION("arrayformula(VLOOKUP(to_Text(A302),to_Text(sheet2!$A$1:M1002),12,0))"),"DEV")</f>
        <v>DEV</v>
      </c>
      <c r="E302" s="68" t="str">
        <f t="shared" si="31"/>
        <v>Active</v>
      </c>
      <c r="F302" s="67" t="str">
        <f t="array" ref="F302">IFERROR(
  INDEX(ATTENDANCE_INPUT!D:D,
    MATCH(1,
      (ATTENDANCE_INPUT!A:A=A302) *
      (ATTENDANCE_INPUT!V:V=MAXIFS(ATTENDANCE_INPUT!V:V, ATTENDANCE_INPUT!A:A, A302)),
      0)),
  "")</f>
        <v>Trang Ngo</v>
      </c>
      <c r="G302" s="72" t="str">
        <f t="array" ref="G302">IFERROR(
  INDEX(ATTENDANCE_INPUT!E:E,
    MATCH(1,
      (ATTENDANCE_INPUT!A:A=A302) *
      (ATTENDANCE_INPUT!V:V=MAXIFS(ATTENDANCE_INPUT!V:V, ATTENDANCE_INPUT!A:A, A302)),
      0)),
  "")</f>
        <v>Communication 1</v>
      </c>
      <c r="H302" s="73" t="str">
        <f t="array" ref="H302">IF(ISNA(MATCH(A302,sheet2!A:A,0)),"⏳ Chưa test",IFERROR(INDEX(LEVEL_HELPER!A:A,MATCH(INDEX(sheet2!N:N,MATCH(A302,sheet2!A:A,0)),LEVEL_HELPER!B:B,0)),"⏳ Chưa test"))</f>
        <v>Beginner</v>
      </c>
      <c r="I302" s="73" t="str">
        <f t="array" ref="I302">IF(ISNA(MATCH(A302,sheet2!A:A,0)),H302,IF(INDEX(sheet2!O:O,MATCH(A302,sheet2!A:A,0))&gt;0,IFERROR(INDEX(LEVEL_HELPER!A:A,MATCH(INDEX(sheet2!O:O,MATCH(A302,sheet2!A:A,0)),LEVEL_HELPER!B:B,0)),H302),H302))</f>
        <v>Beginner</v>
      </c>
      <c r="J302" s="73">
        <f>IFERROR(MAXIFS(ATTENDANCE_LOG!F:F, ATTENDANCE_LOG!C:C, A302&amp;"", ATTENDANCE_LOG!G:G, "Present"), "")</f>
        <v>46134.41667</v>
      </c>
      <c r="K302" s="74" t="str">
        <f t="shared" si="1"/>
        <v/>
      </c>
      <c r="L302" s="75" t="str">
        <f t="shared" si="2"/>
        <v/>
      </c>
      <c r="M302" s="59"/>
      <c r="N302" s="77"/>
      <c r="O302" s="95"/>
      <c r="P302" s="95"/>
      <c r="Q302" s="95"/>
      <c r="R302" s="95"/>
      <c r="S302" s="95"/>
      <c r="T302" s="95"/>
      <c r="U302" s="95"/>
      <c r="V302" s="95"/>
      <c r="W302" s="60"/>
      <c r="X302" s="60"/>
      <c r="Y302" s="60"/>
    </row>
    <row r="303" ht="15.75" customHeight="1">
      <c r="A303" s="96" t="s">
        <v>749</v>
      </c>
      <c r="B303" s="97" t="s">
        <v>750</v>
      </c>
      <c r="C303" s="69" t="str">
        <f>IFERROR(__xludf.DUMMYFUNCTION("arrayformula(VLOOKUP(to_Text(A303),to_Text(sheet2!$A$1:M1002),13,0))"),"LBU")</f>
        <v>LBU</v>
      </c>
      <c r="D303" s="70" t="str">
        <f>IFERROR(__xludf.DUMMYFUNCTION("arrayformula(VLOOKUP(to_Text(A303),to_Text(sheet2!$A$1:M1002),12,0))"),"BA")</f>
        <v>BA</v>
      </c>
      <c r="E303" s="68" t="str">
        <f t="shared" si="31"/>
        <v>Active</v>
      </c>
      <c r="F303" s="67" t="str">
        <f t="array" ref="F303">IFERROR(
  INDEX(ATTENDANCE_INPUT!D:D,
    MATCH(1,
      (ATTENDANCE_INPUT!A:A=A303) *
      (ATTENDANCE_INPUT!V:V=MAXIFS(ATTENDANCE_INPUT!V:V, ATTENDANCE_INPUT!A:A, A303)),
      0)),
  "")</f>
        <v>Trang Ngo</v>
      </c>
      <c r="G303" s="72" t="str">
        <f t="array" ref="G303">IFERROR(
  INDEX(ATTENDANCE_INPUT!E:E,
    MATCH(1,
      (ATTENDANCE_INPUT!A:A=A303) *
      (ATTENDANCE_INPUT!V:V=MAXIFS(ATTENDANCE_INPUT!V:V, ATTENDANCE_INPUT!A:A, A303)),
      0)),
  "")</f>
        <v>Communication 1</v>
      </c>
      <c r="H303" s="73" t="str">
        <f t="array" ref="H303">IF(ISNA(MATCH(A303,sheet2!A:A,0)),"⏳ Chưa test",IFERROR(INDEX(LEVEL_HELPER!A:A,MATCH(INDEX(sheet2!N:N,MATCH(A303,sheet2!A:A,0)),LEVEL_HELPER!B:B,0)),"⏳ Chưa test"))</f>
        <v>Pre-Intermediate 2</v>
      </c>
      <c r="I303" s="73" t="str">
        <f t="array" ref="I303">IF(ISNA(MATCH(A303,sheet2!A:A,0)),H303,IF(INDEX(sheet2!O:O,MATCH(A303,sheet2!A:A,0))&gt;0,IFERROR(INDEX(LEVEL_HELPER!A:A,MATCH(INDEX(sheet2!O:O,MATCH(A303,sheet2!A:A,0)),LEVEL_HELPER!B:B,0)),H303),H303))</f>
        <v>Pre-Intermediate 2</v>
      </c>
      <c r="J303" s="73">
        <f>IFERROR(MAXIFS(ATTENDANCE_LOG!F:F, ATTENDANCE_LOG!C:C, A303&amp;"", ATTENDANCE_LOG!G:G, "Present"), "")</f>
        <v>46134.41667</v>
      </c>
      <c r="K303" s="74" t="str">
        <f t="shared" si="1"/>
        <v/>
      </c>
      <c r="L303" s="75" t="str">
        <f t="shared" si="2"/>
        <v/>
      </c>
      <c r="M303" s="59"/>
      <c r="N303" s="77"/>
      <c r="O303" s="98"/>
      <c r="P303" s="98"/>
      <c r="Q303" s="98"/>
      <c r="R303" s="98"/>
      <c r="S303" s="98"/>
      <c r="T303" s="98"/>
      <c r="U303" s="98"/>
      <c r="V303" s="98"/>
      <c r="W303" s="60"/>
      <c r="X303" s="60"/>
      <c r="Y303" s="60"/>
    </row>
    <row r="304" ht="15.75" customHeight="1">
      <c r="A304" s="99" t="s">
        <v>751</v>
      </c>
      <c r="B304" s="94" t="s">
        <v>752</v>
      </c>
      <c r="C304" s="69" t="str">
        <f>IFERROR(__xludf.DUMMYFUNCTION("arrayformula(VLOOKUP(to_Text(A304),to_Text(sheet2!$A$1:M1002),13,0))"),"POC")</f>
        <v>POC</v>
      </c>
      <c r="D304" s="70" t="str">
        <f>IFERROR(__xludf.DUMMYFUNCTION("arrayformula(VLOOKUP(to_Text(A304),to_Text(sheet2!$A$1:M1002),12,0))"),"GSD")</f>
        <v>GSD</v>
      </c>
      <c r="E304" s="68" t="str">
        <f t="shared" si="31"/>
        <v>Active</v>
      </c>
      <c r="F304" s="67" t="str">
        <f t="array" ref="F304">IFERROR(
  INDEX(ATTENDANCE_INPUT!D:D,
    MATCH(1,
      (ATTENDANCE_INPUT!A:A=A304) *
      (ATTENDANCE_INPUT!V:V=MAXIFS(ATTENDANCE_INPUT!V:V, ATTENDANCE_INPUT!A:A, A304)),
      0)),
  "")</f>
        <v>Trang Ngo</v>
      </c>
      <c r="G304" s="72" t="str">
        <f t="array" ref="G304">IFERROR(
  INDEX(ATTENDANCE_INPUT!E:E,
    MATCH(1,
      (ATTENDANCE_INPUT!A:A=A304) *
      (ATTENDANCE_INPUT!V:V=MAXIFS(ATTENDANCE_INPUT!V:V, ATTENDANCE_INPUT!A:A, A304)),
      0)),
  "")</f>
        <v>Communication 1</v>
      </c>
      <c r="H304" s="73" t="str">
        <f t="array" ref="H304">IF(ISNA(MATCH(A304,sheet2!A:A,0)),"⏳ Chưa test",IFERROR(INDEX(LEVEL_HELPER!A:A,MATCH(INDEX(sheet2!N:N,MATCH(A304,sheet2!A:A,0)),LEVEL_HELPER!B:B,0)),"⏳ Chưa test"))</f>
        <v>Beginner 2</v>
      </c>
      <c r="I304" s="73" t="str">
        <f t="array" ref="I304">IF(ISNA(MATCH(A304,sheet2!A:A,0)),H304,IF(INDEX(sheet2!O:O,MATCH(A304,sheet2!A:A,0))&gt;0,IFERROR(INDEX(LEVEL_HELPER!A:A,MATCH(INDEX(sheet2!O:O,MATCH(A304,sheet2!A:A,0)),LEVEL_HELPER!B:B,0)),H304),H304))</f>
        <v>Beginner 2</v>
      </c>
      <c r="J304" s="73">
        <f>IFERROR(MAXIFS(ATTENDANCE_LOG!F:F, ATTENDANCE_LOG!C:C, A304&amp;"", ATTENDANCE_LOG!G:G, "Present"), "")</f>
        <v>46134.41667</v>
      </c>
      <c r="K304" s="74" t="str">
        <f t="shared" si="1"/>
        <v/>
      </c>
      <c r="L304" s="75" t="str">
        <f t="shared" si="2"/>
        <v/>
      </c>
      <c r="M304" s="59"/>
      <c r="N304" s="77"/>
      <c r="O304" s="95"/>
      <c r="P304" s="95"/>
      <c r="Q304" s="95"/>
      <c r="R304" s="95"/>
      <c r="S304" s="95"/>
      <c r="T304" s="95"/>
      <c r="U304" s="95"/>
      <c r="V304" s="95"/>
      <c r="W304" s="60"/>
      <c r="X304" s="60"/>
      <c r="Y304" s="60"/>
    </row>
    <row r="305" ht="15.75" customHeight="1">
      <c r="A305" s="96" t="s">
        <v>753</v>
      </c>
      <c r="B305" s="97" t="s">
        <v>754</v>
      </c>
      <c r="C305" s="69" t="str">
        <f>IFERROR(__xludf.DUMMYFUNCTION("arrayformula(VLOOKUP(to_Text(A305),to_Text(sheet2!$A$1:M1002),13,0))"),"LBU")</f>
        <v>LBU</v>
      </c>
      <c r="D305" s="70" t="str">
        <f>IFERROR(__xludf.DUMMYFUNCTION("arrayformula(VLOOKUP(to_Text(A305),to_Text(sheet2!$A$1:M1002),12,0))"),"Designer")</f>
        <v>Designer</v>
      </c>
      <c r="E305" s="68" t="str">
        <f t="shared" si="31"/>
        <v>Active</v>
      </c>
      <c r="F305" s="67" t="str">
        <f t="array" ref="F305">IFERROR(
  INDEX(ATTENDANCE_INPUT!D:D,
    MATCH(1,
      (ATTENDANCE_INPUT!A:A=A305) *
      (ATTENDANCE_INPUT!V:V=MAXIFS(ATTENDANCE_INPUT!V:V, ATTENDANCE_INPUT!A:A, A305)),
      0)),
  "")</f>
        <v>Trang Ngo</v>
      </c>
      <c r="G305" s="72" t="str">
        <f t="array" ref="G305">IFERROR(
  INDEX(ATTENDANCE_INPUT!E:E,
    MATCH(1,
      (ATTENDANCE_INPUT!A:A=A305) *
      (ATTENDANCE_INPUT!V:V=MAXIFS(ATTENDANCE_INPUT!V:V, ATTENDANCE_INPUT!A:A, A305)),
      0)),
  "")</f>
        <v>Communication 1</v>
      </c>
      <c r="H305" s="73" t="str">
        <f t="array" ref="H305">IF(ISNA(MATCH(A305,sheet2!A:A,0)),"⏳ Chưa test",IFERROR(INDEX(LEVEL_HELPER!A:A,MATCH(INDEX(sheet2!N:N,MATCH(A305,sheet2!A:A,0)),LEVEL_HELPER!B:B,0)),"⏳ Chưa test"))</f>
        <v>Beginner</v>
      </c>
      <c r="I305" s="73" t="str">
        <f t="array" ref="I305">IF(ISNA(MATCH(A305,sheet2!A:A,0)),H305,IF(INDEX(sheet2!O:O,MATCH(A305,sheet2!A:A,0))&gt;0,IFERROR(INDEX(LEVEL_HELPER!A:A,MATCH(INDEX(sheet2!O:O,MATCH(A305,sheet2!A:A,0)),LEVEL_HELPER!B:B,0)),H305),H305))</f>
        <v>Beginner</v>
      </c>
      <c r="J305" s="73">
        <f>IFERROR(MAXIFS(ATTENDANCE_LOG!F:F, ATTENDANCE_LOG!C:C, A305&amp;"", ATTENDANCE_LOG!G:G, "Present"), "")</f>
        <v>46134.41667</v>
      </c>
      <c r="K305" s="74" t="str">
        <f t="shared" si="1"/>
        <v/>
      </c>
      <c r="L305" s="75" t="str">
        <f t="shared" si="2"/>
        <v/>
      </c>
      <c r="M305" s="59"/>
      <c r="N305" s="77"/>
      <c r="O305" s="98"/>
      <c r="P305" s="98"/>
      <c r="Q305" s="98"/>
      <c r="R305" s="98"/>
      <c r="S305" s="98"/>
      <c r="T305" s="98"/>
      <c r="U305" s="98"/>
      <c r="V305" s="98"/>
      <c r="W305" s="60"/>
      <c r="X305" s="60"/>
      <c r="Y305" s="60"/>
    </row>
    <row r="306" ht="15.75" customHeight="1">
      <c r="A306" s="99" t="s">
        <v>755</v>
      </c>
      <c r="B306" s="94" t="s">
        <v>756</v>
      </c>
      <c r="C306" s="69" t="str">
        <f>IFERROR(__xludf.DUMMYFUNCTION("arrayformula(VLOOKUP(to_Text(A306),to_Text(sheet2!$A$1:M1002),13,0))"),"LBU")</f>
        <v>LBU</v>
      </c>
      <c r="D306" s="70" t="str">
        <f>IFERROR(__xludf.DUMMYFUNCTION("arrayformula(VLOOKUP(to_Text(A306),to_Text(sheet2!$A$1:M1002),12,0))"),"Designer")</f>
        <v>Designer</v>
      </c>
      <c r="E306" s="68" t="str">
        <f t="shared" si="31"/>
        <v>Active</v>
      </c>
      <c r="F306" s="67" t="str">
        <f t="array" ref="F306">IFERROR(
  INDEX(ATTENDANCE_INPUT!D:D,
    MATCH(1,
      (ATTENDANCE_INPUT!A:A=A306) *
      (ATTENDANCE_INPUT!V:V=MAXIFS(ATTENDANCE_INPUT!V:V, ATTENDANCE_INPUT!A:A, A306)),
      0)),
  "")</f>
        <v>Trang Ngo</v>
      </c>
      <c r="G306" s="72" t="str">
        <f t="array" ref="G306">IFERROR(
  INDEX(ATTENDANCE_INPUT!E:E,
    MATCH(1,
      (ATTENDANCE_INPUT!A:A=A306) *
      (ATTENDANCE_INPUT!V:V=MAXIFS(ATTENDANCE_INPUT!V:V, ATTENDANCE_INPUT!A:A, A306)),
      0)),
  "")</f>
        <v>Communication 1</v>
      </c>
      <c r="H306" s="73" t="str">
        <f t="array" ref="H306">IF(ISNA(MATCH(A306,sheet2!A:A,0)),"⏳ Chưa test",IFERROR(INDEX(LEVEL_HELPER!A:A,MATCH(INDEX(sheet2!N:N,MATCH(A306,sheet2!A:A,0)),LEVEL_HELPER!B:B,0)),"⏳ Chưa test"))</f>
        <v>Beginner</v>
      </c>
      <c r="I306" s="73" t="str">
        <f t="array" ref="I306">IF(ISNA(MATCH(A306,sheet2!A:A,0)),H306,IF(INDEX(sheet2!O:O,MATCH(A306,sheet2!A:A,0))&gt;0,IFERROR(INDEX(LEVEL_HELPER!A:A,MATCH(INDEX(sheet2!O:O,MATCH(A306,sheet2!A:A,0)),LEVEL_HELPER!B:B,0)),H306),H306))</f>
        <v>Beginner</v>
      </c>
      <c r="J306" s="73">
        <f>IFERROR(MAXIFS(ATTENDANCE_LOG!F:F, ATTENDANCE_LOG!C:C, A306&amp;"", ATTENDANCE_LOG!G:G, "Present"), "")</f>
        <v>46134.41667</v>
      </c>
      <c r="K306" s="74" t="str">
        <f t="shared" si="1"/>
        <v/>
      </c>
      <c r="L306" s="75" t="str">
        <f t="shared" si="2"/>
        <v/>
      </c>
      <c r="M306" s="59"/>
      <c r="N306" s="77"/>
      <c r="O306" s="95"/>
      <c r="P306" s="95"/>
      <c r="Q306" s="95"/>
      <c r="R306" s="95"/>
      <c r="S306" s="95"/>
      <c r="T306" s="95"/>
      <c r="U306" s="95"/>
      <c r="V306" s="95"/>
      <c r="W306" s="60"/>
      <c r="X306" s="60"/>
      <c r="Y306" s="60"/>
    </row>
    <row r="307" ht="15.75" customHeight="1">
      <c r="A307" s="100"/>
      <c r="B307" s="101"/>
      <c r="C307" s="98"/>
      <c r="D307" s="98"/>
      <c r="E307" s="98"/>
      <c r="F307" s="102"/>
      <c r="G307" s="101"/>
      <c r="H307" s="98"/>
      <c r="I307" s="98"/>
      <c r="J307" s="98"/>
      <c r="K307" s="103"/>
      <c r="L307" s="104"/>
      <c r="M307" s="98"/>
      <c r="N307" s="77"/>
      <c r="O307" s="98"/>
      <c r="P307" s="98"/>
      <c r="Q307" s="98"/>
      <c r="R307" s="98"/>
      <c r="S307" s="98"/>
      <c r="T307" s="98"/>
      <c r="U307" s="98"/>
      <c r="V307" s="98"/>
      <c r="W307" s="60"/>
      <c r="X307" s="60"/>
      <c r="Y307" s="60"/>
    </row>
    <row r="308" ht="15.75" customHeight="1">
      <c r="A308" s="105"/>
      <c r="B308" s="106"/>
      <c r="C308" s="95"/>
      <c r="D308" s="95"/>
      <c r="E308" s="95"/>
      <c r="F308" s="107"/>
      <c r="G308" s="106"/>
      <c r="H308" s="95"/>
      <c r="I308" s="95"/>
      <c r="J308" s="95"/>
      <c r="K308" s="108"/>
      <c r="L308" s="109"/>
      <c r="M308" s="95"/>
      <c r="N308" s="77"/>
      <c r="O308" s="95"/>
      <c r="P308" s="95"/>
      <c r="Q308" s="95"/>
      <c r="R308" s="95"/>
      <c r="S308" s="95"/>
      <c r="T308" s="95"/>
      <c r="U308" s="95"/>
      <c r="V308" s="95"/>
      <c r="W308" s="60"/>
      <c r="X308" s="60"/>
      <c r="Y308" s="60"/>
    </row>
    <row r="309" ht="15.75" customHeight="1">
      <c r="A309" s="100"/>
      <c r="B309" s="101"/>
      <c r="C309" s="98"/>
      <c r="D309" s="98"/>
      <c r="E309" s="98"/>
      <c r="F309" s="102"/>
      <c r="G309" s="101"/>
      <c r="H309" s="98"/>
      <c r="I309" s="98"/>
      <c r="J309" s="98"/>
      <c r="K309" s="103"/>
      <c r="L309" s="104"/>
      <c r="M309" s="98"/>
      <c r="N309" s="77"/>
      <c r="O309" s="98"/>
      <c r="P309" s="98"/>
      <c r="Q309" s="98"/>
      <c r="R309" s="98"/>
      <c r="S309" s="98"/>
      <c r="T309" s="98"/>
      <c r="U309" s="98"/>
      <c r="V309" s="98"/>
      <c r="W309" s="60"/>
      <c r="X309" s="60"/>
      <c r="Y309" s="60"/>
    </row>
    <row r="310" ht="15.75" customHeight="1">
      <c r="A310" s="105"/>
      <c r="B310" s="106"/>
      <c r="C310" s="95"/>
      <c r="D310" s="95"/>
      <c r="E310" s="95"/>
      <c r="F310" s="107"/>
      <c r="G310" s="106"/>
      <c r="H310" s="95"/>
      <c r="I310" s="95"/>
      <c r="J310" s="95"/>
      <c r="K310" s="108"/>
      <c r="L310" s="109"/>
      <c r="M310" s="95"/>
      <c r="N310" s="77"/>
      <c r="O310" s="95"/>
      <c r="P310" s="95"/>
      <c r="Q310" s="95"/>
      <c r="R310" s="95"/>
      <c r="S310" s="95"/>
      <c r="T310" s="95"/>
      <c r="U310" s="95"/>
      <c r="V310" s="95"/>
      <c r="W310" s="60"/>
      <c r="X310" s="60"/>
      <c r="Y310" s="60"/>
    </row>
    <row r="311" ht="15.75" customHeight="1">
      <c r="A311" s="100"/>
      <c r="B311" s="101"/>
      <c r="C311" s="98"/>
      <c r="D311" s="98"/>
      <c r="E311" s="98"/>
      <c r="F311" s="102"/>
      <c r="G311" s="101"/>
      <c r="H311" s="98"/>
      <c r="I311" s="98"/>
      <c r="J311" s="98"/>
      <c r="K311" s="103"/>
      <c r="L311" s="104"/>
      <c r="M311" s="98"/>
      <c r="N311" s="77"/>
      <c r="O311" s="98"/>
      <c r="P311" s="98"/>
      <c r="Q311" s="98"/>
      <c r="R311" s="98"/>
      <c r="S311" s="98"/>
      <c r="T311" s="98"/>
      <c r="U311" s="98"/>
      <c r="V311" s="98"/>
      <c r="W311" s="60"/>
      <c r="X311" s="60"/>
      <c r="Y311" s="60"/>
    </row>
    <row r="312" ht="15.75" customHeight="1">
      <c r="A312" s="105"/>
      <c r="B312" s="106"/>
      <c r="C312" s="95"/>
      <c r="D312" s="95"/>
      <c r="E312" s="95"/>
      <c r="F312" s="107"/>
      <c r="G312" s="106"/>
      <c r="H312" s="95"/>
      <c r="I312" s="95"/>
      <c r="J312" s="95"/>
      <c r="K312" s="108"/>
      <c r="L312" s="109"/>
      <c r="M312" s="95"/>
      <c r="N312" s="77"/>
      <c r="O312" s="95"/>
      <c r="P312" s="95"/>
      <c r="Q312" s="95"/>
      <c r="R312" s="95"/>
      <c r="S312" s="95"/>
      <c r="T312" s="95"/>
      <c r="U312" s="95"/>
      <c r="V312" s="95"/>
      <c r="W312" s="60"/>
      <c r="X312" s="60"/>
      <c r="Y312" s="60"/>
    </row>
    <row r="313" ht="15.75" customHeight="1">
      <c r="A313" s="100"/>
      <c r="B313" s="101"/>
      <c r="C313" s="98"/>
      <c r="D313" s="98"/>
      <c r="E313" s="98"/>
      <c r="F313" s="102"/>
      <c r="G313" s="101"/>
      <c r="H313" s="98"/>
      <c r="I313" s="98"/>
      <c r="J313" s="98"/>
      <c r="K313" s="103"/>
      <c r="L313" s="104"/>
      <c r="M313" s="98"/>
      <c r="N313" s="77"/>
      <c r="O313" s="98"/>
      <c r="P313" s="98"/>
      <c r="Q313" s="98"/>
      <c r="R313" s="98"/>
      <c r="S313" s="98"/>
      <c r="T313" s="98"/>
      <c r="U313" s="98"/>
      <c r="V313" s="98"/>
      <c r="W313" s="60"/>
      <c r="X313" s="60"/>
      <c r="Y313" s="60"/>
    </row>
    <row r="314" ht="15.75" customHeight="1">
      <c r="A314" s="105"/>
      <c r="B314" s="106"/>
      <c r="C314" s="95"/>
      <c r="D314" s="95"/>
      <c r="E314" s="95"/>
      <c r="F314" s="107"/>
      <c r="G314" s="106"/>
      <c r="H314" s="95"/>
      <c r="I314" s="95"/>
      <c r="J314" s="95"/>
      <c r="K314" s="108"/>
      <c r="L314" s="109"/>
      <c r="M314" s="95"/>
      <c r="N314" s="77"/>
      <c r="O314" s="95"/>
      <c r="P314" s="95"/>
      <c r="Q314" s="95"/>
      <c r="R314" s="95"/>
      <c r="S314" s="95"/>
      <c r="T314" s="95"/>
      <c r="U314" s="95"/>
      <c r="V314" s="95"/>
      <c r="W314" s="60"/>
      <c r="X314" s="60"/>
      <c r="Y314" s="60"/>
    </row>
    <row r="315" ht="15.75" customHeight="1">
      <c r="A315" s="100"/>
      <c r="B315" s="101"/>
      <c r="C315" s="98"/>
      <c r="D315" s="98"/>
      <c r="E315" s="98"/>
      <c r="F315" s="102"/>
      <c r="G315" s="101"/>
      <c r="H315" s="98"/>
      <c r="I315" s="98"/>
      <c r="J315" s="98"/>
      <c r="K315" s="103"/>
      <c r="L315" s="104"/>
      <c r="M315" s="98"/>
      <c r="N315" s="77"/>
      <c r="O315" s="98"/>
      <c r="P315" s="98"/>
      <c r="Q315" s="98"/>
      <c r="R315" s="98"/>
      <c r="S315" s="98"/>
      <c r="T315" s="98"/>
      <c r="U315" s="98"/>
      <c r="V315" s="98"/>
      <c r="W315" s="60"/>
      <c r="X315" s="60"/>
      <c r="Y315" s="60"/>
    </row>
    <row r="316" ht="15.75" customHeight="1">
      <c r="A316" s="105"/>
      <c r="B316" s="106"/>
      <c r="C316" s="95"/>
      <c r="D316" s="95"/>
      <c r="E316" s="95"/>
      <c r="F316" s="107"/>
      <c r="G316" s="106"/>
      <c r="H316" s="95"/>
      <c r="I316" s="95"/>
      <c r="J316" s="95"/>
      <c r="K316" s="108"/>
      <c r="L316" s="109"/>
      <c r="M316" s="95"/>
      <c r="N316" s="77"/>
      <c r="O316" s="95"/>
      <c r="P316" s="95"/>
      <c r="Q316" s="95"/>
      <c r="R316" s="95"/>
      <c r="S316" s="95"/>
      <c r="T316" s="95"/>
      <c r="U316" s="95"/>
      <c r="V316" s="95"/>
      <c r="W316" s="60"/>
      <c r="X316" s="60"/>
      <c r="Y316" s="60"/>
    </row>
    <row r="317" ht="15.75" customHeight="1">
      <c r="A317" s="100"/>
      <c r="B317" s="101"/>
      <c r="C317" s="98"/>
      <c r="D317" s="98"/>
      <c r="E317" s="98"/>
      <c r="F317" s="102"/>
      <c r="G317" s="101"/>
      <c r="H317" s="98"/>
      <c r="I317" s="98"/>
      <c r="J317" s="98"/>
      <c r="K317" s="103"/>
      <c r="L317" s="104"/>
      <c r="M317" s="98"/>
      <c r="N317" s="77"/>
      <c r="O317" s="98"/>
      <c r="P317" s="98"/>
      <c r="Q317" s="98"/>
      <c r="R317" s="98"/>
      <c r="S317" s="98"/>
      <c r="T317" s="98"/>
      <c r="U317" s="98"/>
      <c r="V317" s="98"/>
      <c r="W317" s="60"/>
      <c r="X317" s="60"/>
      <c r="Y317" s="60"/>
    </row>
    <row r="318" ht="15.75" customHeight="1">
      <c r="A318" s="105"/>
      <c r="B318" s="106"/>
      <c r="C318" s="95"/>
      <c r="D318" s="95"/>
      <c r="E318" s="95"/>
      <c r="F318" s="107"/>
      <c r="G318" s="106"/>
      <c r="H318" s="95"/>
      <c r="I318" s="95"/>
      <c r="J318" s="95"/>
      <c r="K318" s="108"/>
      <c r="L318" s="109"/>
      <c r="M318" s="95"/>
      <c r="N318" s="77"/>
      <c r="O318" s="95"/>
      <c r="P318" s="95"/>
      <c r="Q318" s="95"/>
      <c r="R318" s="95"/>
      <c r="S318" s="95"/>
      <c r="T318" s="95"/>
      <c r="U318" s="95"/>
      <c r="V318" s="95"/>
      <c r="W318" s="60"/>
      <c r="X318" s="60"/>
      <c r="Y318" s="60"/>
    </row>
    <row r="319" ht="15.75" customHeight="1">
      <c r="A319" s="100"/>
      <c r="B319" s="101"/>
      <c r="C319" s="98"/>
      <c r="D319" s="98"/>
      <c r="E319" s="98"/>
      <c r="F319" s="102"/>
      <c r="G319" s="101"/>
      <c r="H319" s="98"/>
      <c r="I319" s="98"/>
      <c r="J319" s="98"/>
      <c r="K319" s="103"/>
      <c r="L319" s="104"/>
      <c r="M319" s="98"/>
      <c r="N319" s="77"/>
      <c r="O319" s="98"/>
      <c r="P319" s="98"/>
      <c r="Q319" s="98"/>
      <c r="R319" s="98"/>
      <c r="S319" s="98"/>
      <c r="T319" s="98"/>
      <c r="U319" s="98"/>
      <c r="V319" s="98"/>
      <c r="W319" s="60"/>
      <c r="X319" s="60"/>
      <c r="Y319" s="60"/>
    </row>
    <row r="320" ht="15.75" customHeight="1">
      <c r="A320" s="105"/>
      <c r="B320" s="106"/>
      <c r="C320" s="95"/>
      <c r="D320" s="95"/>
      <c r="E320" s="95"/>
      <c r="F320" s="107"/>
      <c r="G320" s="106"/>
      <c r="H320" s="95"/>
      <c r="I320" s="95"/>
      <c r="J320" s="95"/>
      <c r="K320" s="108"/>
      <c r="L320" s="109"/>
      <c r="M320" s="95"/>
      <c r="N320" s="77"/>
      <c r="O320" s="95"/>
      <c r="P320" s="95"/>
      <c r="Q320" s="95"/>
      <c r="R320" s="95"/>
      <c r="S320" s="95"/>
      <c r="T320" s="95"/>
      <c r="U320" s="95"/>
      <c r="V320" s="95"/>
      <c r="W320" s="60"/>
      <c r="X320" s="60"/>
      <c r="Y320" s="60"/>
    </row>
    <row r="321" ht="15.75" customHeight="1">
      <c r="A321" s="100"/>
      <c r="B321" s="101"/>
      <c r="C321" s="98"/>
      <c r="D321" s="98"/>
      <c r="E321" s="98"/>
      <c r="F321" s="102"/>
      <c r="G321" s="101"/>
      <c r="H321" s="98"/>
      <c r="I321" s="98"/>
      <c r="J321" s="98"/>
      <c r="K321" s="103"/>
      <c r="L321" s="104"/>
      <c r="M321" s="98"/>
      <c r="N321" s="77"/>
      <c r="O321" s="98"/>
      <c r="P321" s="98"/>
      <c r="Q321" s="98"/>
      <c r="R321" s="98"/>
      <c r="S321" s="98"/>
      <c r="T321" s="98"/>
      <c r="U321" s="98"/>
      <c r="V321" s="98"/>
      <c r="W321" s="60"/>
      <c r="X321" s="60"/>
      <c r="Y321" s="60"/>
    </row>
    <row r="322" ht="15.75" customHeight="1">
      <c r="A322" s="105"/>
      <c r="B322" s="106"/>
      <c r="C322" s="95"/>
      <c r="D322" s="95"/>
      <c r="E322" s="95"/>
      <c r="F322" s="107"/>
      <c r="G322" s="106"/>
      <c r="H322" s="95"/>
      <c r="I322" s="95"/>
      <c r="J322" s="95"/>
      <c r="K322" s="108"/>
      <c r="L322" s="109"/>
      <c r="M322" s="95"/>
      <c r="N322" s="77"/>
      <c r="O322" s="95"/>
      <c r="P322" s="95"/>
      <c r="Q322" s="95"/>
      <c r="R322" s="95"/>
      <c r="S322" s="95"/>
      <c r="T322" s="95"/>
      <c r="U322" s="95"/>
      <c r="V322" s="95"/>
      <c r="W322" s="60"/>
      <c r="X322" s="60"/>
      <c r="Y322" s="60"/>
    </row>
    <row r="323" ht="15.75" customHeight="1">
      <c r="A323" s="100"/>
      <c r="B323" s="101"/>
      <c r="C323" s="98"/>
      <c r="D323" s="98"/>
      <c r="E323" s="98"/>
      <c r="F323" s="102"/>
      <c r="G323" s="101"/>
      <c r="H323" s="98"/>
      <c r="I323" s="98"/>
      <c r="J323" s="98"/>
      <c r="K323" s="103"/>
      <c r="L323" s="104"/>
      <c r="M323" s="98"/>
      <c r="N323" s="77"/>
      <c r="O323" s="98"/>
      <c r="P323" s="98"/>
      <c r="Q323" s="98"/>
      <c r="R323" s="98"/>
      <c r="S323" s="98"/>
      <c r="T323" s="98"/>
      <c r="U323" s="98"/>
      <c r="V323" s="98"/>
      <c r="W323" s="60"/>
      <c r="X323" s="60"/>
      <c r="Y323" s="60"/>
    </row>
    <row r="324" ht="15.75" customHeight="1">
      <c r="A324" s="105"/>
      <c r="B324" s="106"/>
      <c r="C324" s="95"/>
      <c r="D324" s="95"/>
      <c r="E324" s="95"/>
      <c r="F324" s="107"/>
      <c r="G324" s="106"/>
      <c r="H324" s="95"/>
      <c r="I324" s="95"/>
      <c r="J324" s="95"/>
      <c r="K324" s="108"/>
      <c r="L324" s="109"/>
      <c r="M324" s="95"/>
      <c r="N324" s="77"/>
      <c r="O324" s="95"/>
      <c r="P324" s="95"/>
      <c r="Q324" s="95"/>
      <c r="R324" s="95"/>
      <c r="S324" s="95"/>
      <c r="T324" s="95"/>
      <c r="U324" s="95"/>
      <c r="V324" s="95"/>
      <c r="W324" s="60"/>
      <c r="X324" s="60"/>
      <c r="Y324" s="60"/>
    </row>
    <row r="325" ht="15.75" customHeight="1">
      <c r="A325" s="100"/>
      <c r="B325" s="101"/>
      <c r="C325" s="98"/>
      <c r="D325" s="98"/>
      <c r="E325" s="98"/>
      <c r="F325" s="102"/>
      <c r="G325" s="101"/>
      <c r="H325" s="98"/>
      <c r="I325" s="98"/>
      <c r="J325" s="98"/>
      <c r="K325" s="103"/>
      <c r="L325" s="104"/>
      <c r="M325" s="98"/>
      <c r="N325" s="77"/>
      <c r="O325" s="98"/>
      <c r="P325" s="98"/>
      <c r="Q325" s="98"/>
      <c r="R325" s="98"/>
      <c r="S325" s="98"/>
      <c r="T325" s="98"/>
      <c r="U325" s="98"/>
      <c r="V325" s="98"/>
      <c r="W325" s="60"/>
      <c r="X325" s="60"/>
      <c r="Y325" s="60"/>
    </row>
    <row r="326" ht="15.75" customHeight="1">
      <c r="A326" s="105"/>
      <c r="B326" s="106"/>
      <c r="C326" s="95"/>
      <c r="D326" s="95"/>
      <c r="E326" s="95"/>
      <c r="F326" s="107"/>
      <c r="G326" s="106"/>
      <c r="H326" s="95"/>
      <c r="I326" s="95"/>
      <c r="J326" s="95"/>
      <c r="K326" s="108"/>
      <c r="L326" s="109"/>
      <c r="M326" s="95"/>
      <c r="N326" s="77"/>
      <c r="O326" s="95"/>
      <c r="P326" s="95"/>
      <c r="Q326" s="95"/>
      <c r="R326" s="95"/>
      <c r="S326" s="95"/>
      <c r="T326" s="95"/>
      <c r="U326" s="95"/>
      <c r="V326" s="95"/>
      <c r="W326" s="60"/>
      <c r="X326" s="60"/>
      <c r="Y326" s="60"/>
    </row>
    <row r="327" ht="15.75" customHeight="1">
      <c r="A327" s="100"/>
      <c r="B327" s="101"/>
      <c r="C327" s="98"/>
      <c r="D327" s="98"/>
      <c r="E327" s="98"/>
      <c r="F327" s="102"/>
      <c r="G327" s="101"/>
      <c r="H327" s="98"/>
      <c r="I327" s="98"/>
      <c r="J327" s="98"/>
      <c r="K327" s="103"/>
      <c r="L327" s="104"/>
      <c r="M327" s="98"/>
      <c r="N327" s="77"/>
      <c r="O327" s="98"/>
      <c r="P327" s="98"/>
      <c r="Q327" s="98"/>
      <c r="R327" s="98"/>
      <c r="S327" s="98"/>
      <c r="T327" s="98"/>
      <c r="U327" s="98"/>
      <c r="V327" s="98"/>
      <c r="W327" s="60"/>
      <c r="X327" s="60"/>
      <c r="Y327" s="60"/>
    </row>
    <row r="328" ht="15.75" customHeight="1">
      <c r="A328" s="105"/>
      <c r="B328" s="106"/>
      <c r="C328" s="95"/>
      <c r="D328" s="95"/>
      <c r="E328" s="95"/>
      <c r="F328" s="107"/>
      <c r="G328" s="106"/>
      <c r="H328" s="95"/>
      <c r="I328" s="95"/>
      <c r="J328" s="95"/>
      <c r="K328" s="108"/>
      <c r="L328" s="109"/>
      <c r="M328" s="95"/>
      <c r="N328" s="77"/>
      <c r="O328" s="95"/>
      <c r="P328" s="95"/>
      <c r="Q328" s="95"/>
      <c r="R328" s="95"/>
      <c r="S328" s="95"/>
      <c r="T328" s="95"/>
      <c r="U328" s="95"/>
      <c r="V328" s="95"/>
      <c r="W328" s="60"/>
      <c r="X328" s="60"/>
      <c r="Y328" s="60"/>
    </row>
    <row r="329" ht="15.75" customHeight="1">
      <c r="A329" s="100"/>
      <c r="B329" s="101"/>
      <c r="C329" s="98"/>
      <c r="D329" s="98"/>
      <c r="E329" s="98"/>
      <c r="F329" s="102"/>
      <c r="G329" s="101"/>
      <c r="H329" s="98"/>
      <c r="I329" s="98"/>
      <c r="J329" s="98"/>
      <c r="K329" s="103"/>
      <c r="L329" s="104"/>
      <c r="M329" s="98"/>
      <c r="N329" s="77"/>
      <c r="O329" s="98"/>
      <c r="P329" s="98"/>
      <c r="Q329" s="98"/>
      <c r="R329" s="98"/>
      <c r="S329" s="98"/>
      <c r="T329" s="98"/>
      <c r="U329" s="98"/>
      <c r="V329" s="98"/>
      <c r="W329" s="60"/>
      <c r="X329" s="60"/>
      <c r="Y329" s="60"/>
    </row>
    <row r="330" ht="15.75" customHeight="1">
      <c r="A330" s="105"/>
      <c r="B330" s="106"/>
      <c r="C330" s="95"/>
      <c r="D330" s="95"/>
      <c r="E330" s="95"/>
      <c r="F330" s="107"/>
      <c r="G330" s="106"/>
      <c r="H330" s="95"/>
      <c r="I330" s="95"/>
      <c r="J330" s="95"/>
      <c r="K330" s="108"/>
      <c r="L330" s="109"/>
      <c r="M330" s="95"/>
      <c r="N330" s="77"/>
      <c r="O330" s="95"/>
      <c r="P330" s="95"/>
      <c r="Q330" s="95"/>
      <c r="R330" s="95"/>
      <c r="S330" s="95"/>
      <c r="T330" s="95"/>
      <c r="U330" s="95"/>
      <c r="V330" s="95"/>
      <c r="W330" s="60"/>
      <c r="X330" s="60"/>
      <c r="Y330" s="60"/>
    </row>
    <row r="331" ht="15.75" customHeight="1">
      <c r="A331" s="100"/>
      <c r="B331" s="101"/>
      <c r="C331" s="98"/>
      <c r="D331" s="98"/>
      <c r="E331" s="98"/>
      <c r="F331" s="102"/>
      <c r="G331" s="101"/>
      <c r="H331" s="98"/>
      <c r="I331" s="98"/>
      <c r="J331" s="98"/>
      <c r="K331" s="103"/>
      <c r="L331" s="104"/>
      <c r="M331" s="98"/>
      <c r="N331" s="77"/>
      <c r="O331" s="98"/>
      <c r="P331" s="98"/>
      <c r="Q331" s="98"/>
      <c r="R331" s="98"/>
      <c r="S331" s="98"/>
      <c r="T331" s="98"/>
      <c r="U331" s="98"/>
      <c r="V331" s="98"/>
      <c r="W331" s="60"/>
      <c r="X331" s="60"/>
      <c r="Y331" s="60"/>
    </row>
    <row r="332" ht="15.75" customHeight="1">
      <c r="A332" s="105"/>
      <c r="B332" s="106"/>
      <c r="C332" s="95"/>
      <c r="D332" s="95"/>
      <c r="E332" s="95"/>
      <c r="F332" s="107"/>
      <c r="G332" s="106"/>
      <c r="H332" s="95"/>
      <c r="I332" s="95"/>
      <c r="J332" s="95"/>
      <c r="K332" s="108"/>
      <c r="L332" s="109"/>
      <c r="M332" s="95"/>
      <c r="N332" s="77"/>
      <c r="O332" s="95"/>
      <c r="P332" s="95"/>
      <c r="Q332" s="95"/>
      <c r="R332" s="95"/>
      <c r="S332" s="95"/>
      <c r="T332" s="95"/>
      <c r="U332" s="95"/>
      <c r="V332" s="95"/>
      <c r="W332" s="60"/>
      <c r="X332" s="60"/>
      <c r="Y332" s="60"/>
    </row>
    <row r="333" ht="15.75" customHeight="1">
      <c r="A333" s="100"/>
      <c r="B333" s="101"/>
      <c r="C333" s="98"/>
      <c r="D333" s="98"/>
      <c r="E333" s="98"/>
      <c r="F333" s="102"/>
      <c r="G333" s="101"/>
      <c r="H333" s="98"/>
      <c r="I333" s="98"/>
      <c r="J333" s="98"/>
      <c r="K333" s="103"/>
      <c r="L333" s="104"/>
      <c r="M333" s="98"/>
      <c r="N333" s="77"/>
      <c r="O333" s="98"/>
      <c r="P333" s="98"/>
      <c r="Q333" s="98"/>
      <c r="R333" s="98"/>
      <c r="S333" s="98"/>
      <c r="T333" s="98"/>
      <c r="U333" s="98"/>
      <c r="V333" s="98"/>
      <c r="W333" s="60"/>
      <c r="X333" s="60"/>
      <c r="Y333" s="60"/>
    </row>
    <row r="334" ht="15.75" customHeight="1">
      <c r="A334" s="105"/>
      <c r="B334" s="106"/>
      <c r="C334" s="95"/>
      <c r="D334" s="95"/>
      <c r="E334" s="95"/>
      <c r="F334" s="107"/>
      <c r="G334" s="106"/>
      <c r="H334" s="95"/>
      <c r="I334" s="95"/>
      <c r="J334" s="95"/>
      <c r="K334" s="108"/>
      <c r="L334" s="109"/>
      <c r="M334" s="95"/>
      <c r="N334" s="77"/>
      <c r="O334" s="95"/>
      <c r="P334" s="95"/>
      <c r="Q334" s="95"/>
      <c r="R334" s="95"/>
      <c r="S334" s="95"/>
      <c r="T334" s="95"/>
      <c r="U334" s="95"/>
      <c r="V334" s="95"/>
      <c r="W334" s="60"/>
      <c r="X334" s="60"/>
      <c r="Y334" s="60"/>
    </row>
    <row r="335" ht="15.75" customHeight="1">
      <c r="A335" s="100"/>
      <c r="B335" s="101"/>
      <c r="C335" s="98"/>
      <c r="D335" s="98"/>
      <c r="E335" s="98"/>
      <c r="F335" s="102"/>
      <c r="G335" s="101"/>
      <c r="H335" s="98"/>
      <c r="I335" s="98"/>
      <c r="J335" s="98"/>
      <c r="K335" s="103"/>
      <c r="L335" s="104"/>
      <c r="M335" s="98"/>
      <c r="N335" s="77"/>
      <c r="O335" s="98"/>
      <c r="P335" s="98"/>
      <c r="Q335" s="98"/>
      <c r="R335" s="98"/>
      <c r="S335" s="98"/>
      <c r="T335" s="98"/>
      <c r="U335" s="98"/>
      <c r="V335" s="98"/>
      <c r="W335" s="60"/>
      <c r="X335" s="60"/>
      <c r="Y335" s="60"/>
    </row>
    <row r="336" ht="15.75" customHeight="1">
      <c r="A336" s="105"/>
      <c r="B336" s="106"/>
      <c r="C336" s="95"/>
      <c r="D336" s="95"/>
      <c r="E336" s="95"/>
      <c r="F336" s="107"/>
      <c r="G336" s="106"/>
      <c r="H336" s="95"/>
      <c r="I336" s="95"/>
      <c r="J336" s="95"/>
      <c r="K336" s="108"/>
      <c r="L336" s="109"/>
      <c r="M336" s="95"/>
      <c r="N336" s="77"/>
      <c r="O336" s="95"/>
      <c r="P336" s="95"/>
      <c r="Q336" s="95"/>
      <c r="R336" s="95"/>
      <c r="S336" s="95"/>
      <c r="T336" s="95"/>
      <c r="U336" s="95"/>
      <c r="V336" s="95"/>
      <c r="W336" s="60"/>
      <c r="X336" s="60"/>
      <c r="Y336" s="60"/>
    </row>
    <row r="337" ht="15.75" customHeight="1">
      <c r="A337" s="100"/>
      <c r="B337" s="101"/>
      <c r="C337" s="98"/>
      <c r="D337" s="98"/>
      <c r="E337" s="98"/>
      <c r="F337" s="102"/>
      <c r="G337" s="101"/>
      <c r="H337" s="98"/>
      <c r="I337" s="98"/>
      <c r="J337" s="98"/>
      <c r="K337" s="103"/>
      <c r="L337" s="104"/>
      <c r="M337" s="98"/>
      <c r="N337" s="77"/>
      <c r="O337" s="98"/>
      <c r="P337" s="98"/>
      <c r="Q337" s="98"/>
      <c r="R337" s="98"/>
      <c r="S337" s="98"/>
      <c r="T337" s="98"/>
      <c r="U337" s="98"/>
      <c r="V337" s="98"/>
      <c r="W337" s="60"/>
      <c r="X337" s="60"/>
      <c r="Y337" s="60"/>
    </row>
    <row r="338" ht="15.75" customHeight="1">
      <c r="A338" s="105"/>
      <c r="B338" s="106"/>
      <c r="C338" s="95"/>
      <c r="D338" s="95"/>
      <c r="E338" s="95"/>
      <c r="F338" s="107"/>
      <c r="G338" s="106"/>
      <c r="H338" s="95"/>
      <c r="I338" s="95"/>
      <c r="J338" s="95"/>
      <c r="K338" s="108"/>
      <c r="L338" s="109"/>
      <c r="M338" s="95"/>
      <c r="N338" s="77"/>
      <c r="O338" s="95"/>
      <c r="P338" s="95"/>
      <c r="Q338" s="95"/>
      <c r="R338" s="95"/>
      <c r="S338" s="95"/>
      <c r="T338" s="95"/>
      <c r="U338" s="95"/>
      <c r="V338" s="95"/>
      <c r="W338" s="60"/>
      <c r="X338" s="60"/>
      <c r="Y338" s="60"/>
    </row>
    <row r="339" ht="15.75" customHeight="1">
      <c r="A339" s="100"/>
      <c r="B339" s="101"/>
      <c r="C339" s="98"/>
      <c r="D339" s="98"/>
      <c r="E339" s="98"/>
      <c r="F339" s="102"/>
      <c r="G339" s="101"/>
      <c r="H339" s="98"/>
      <c r="I339" s="98"/>
      <c r="J339" s="98"/>
      <c r="K339" s="103"/>
      <c r="L339" s="104"/>
      <c r="M339" s="98"/>
      <c r="N339" s="77"/>
      <c r="O339" s="98"/>
      <c r="P339" s="98"/>
      <c r="Q339" s="98"/>
      <c r="R339" s="98"/>
      <c r="S339" s="98"/>
      <c r="T339" s="98"/>
      <c r="U339" s="98"/>
      <c r="V339" s="98"/>
      <c r="W339" s="60"/>
      <c r="X339" s="60"/>
      <c r="Y339" s="60"/>
    </row>
    <row r="340" ht="15.75" customHeight="1">
      <c r="A340" s="105"/>
      <c r="B340" s="106"/>
      <c r="C340" s="95"/>
      <c r="D340" s="95"/>
      <c r="E340" s="95"/>
      <c r="F340" s="107"/>
      <c r="G340" s="106"/>
      <c r="H340" s="95"/>
      <c r="I340" s="95"/>
      <c r="J340" s="95"/>
      <c r="K340" s="108"/>
      <c r="L340" s="109"/>
      <c r="M340" s="95"/>
      <c r="N340" s="77"/>
      <c r="O340" s="95"/>
      <c r="P340" s="95"/>
      <c r="Q340" s="95"/>
      <c r="R340" s="95"/>
      <c r="S340" s="95"/>
      <c r="T340" s="95"/>
      <c r="U340" s="95"/>
      <c r="V340" s="95"/>
      <c r="W340" s="60"/>
      <c r="X340" s="60"/>
      <c r="Y340" s="60"/>
    </row>
    <row r="341" ht="15.75" customHeight="1">
      <c r="A341" s="100"/>
      <c r="B341" s="101"/>
      <c r="C341" s="98"/>
      <c r="D341" s="98"/>
      <c r="E341" s="98"/>
      <c r="F341" s="102"/>
      <c r="G341" s="101"/>
      <c r="H341" s="98"/>
      <c r="I341" s="98"/>
      <c r="J341" s="98"/>
      <c r="K341" s="103"/>
      <c r="L341" s="104"/>
      <c r="M341" s="98"/>
      <c r="N341" s="77"/>
      <c r="O341" s="98"/>
      <c r="P341" s="98"/>
      <c r="Q341" s="98"/>
      <c r="R341" s="98"/>
      <c r="S341" s="98"/>
      <c r="T341" s="98"/>
      <c r="U341" s="98"/>
      <c r="V341" s="98"/>
      <c r="W341" s="60"/>
      <c r="X341" s="60"/>
      <c r="Y341" s="60"/>
    </row>
    <row r="342" ht="15.75" customHeight="1">
      <c r="A342" s="105"/>
      <c r="B342" s="106"/>
      <c r="C342" s="95"/>
      <c r="D342" s="95"/>
      <c r="E342" s="95"/>
      <c r="F342" s="107"/>
      <c r="G342" s="106"/>
      <c r="H342" s="95"/>
      <c r="I342" s="95"/>
      <c r="J342" s="95"/>
      <c r="K342" s="108"/>
      <c r="L342" s="109"/>
      <c r="M342" s="95"/>
      <c r="N342" s="77"/>
      <c r="O342" s="95"/>
      <c r="P342" s="95"/>
      <c r="Q342" s="95"/>
      <c r="R342" s="95"/>
      <c r="S342" s="95"/>
      <c r="T342" s="95"/>
      <c r="U342" s="95"/>
      <c r="V342" s="95"/>
      <c r="W342" s="60"/>
      <c r="X342" s="60"/>
      <c r="Y342" s="60"/>
    </row>
    <row r="343" ht="15.75" customHeight="1">
      <c r="A343" s="100"/>
      <c r="B343" s="101"/>
      <c r="C343" s="98"/>
      <c r="D343" s="98"/>
      <c r="E343" s="98"/>
      <c r="F343" s="102"/>
      <c r="G343" s="101"/>
      <c r="H343" s="98"/>
      <c r="I343" s="98"/>
      <c r="J343" s="98"/>
      <c r="K343" s="103"/>
      <c r="L343" s="104"/>
      <c r="M343" s="98"/>
      <c r="N343" s="77"/>
      <c r="O343" s="98"/>
      <c r="P343" s="98"/>
      <c r="Q343" s="98"/>
      <c r="R343" s="98"/>
      <c r="S343" s="98"/>
      <c r="T343" s="98"/>
      <c r="U343" s="98"/>
      <c r="V343" s="98"/>
      <c r="W343" s="60"/>
      <c r="X343" s="60"/>
      <c r="Y343" s="60"/>
    </row>
    <row r="344" ht="15.75" customHeight="1">
      <c r="A344" s="105"/>
      <c r="B344" s="106"/>
      <c r="C344" s="95"/>
      <c r="D344" s="95"/>
      <c r="E344" s="95"/>
      <c r="F344" s="107"/>
      <c r="G344" s="106"/>
      <c r="H344" s="95"/>
      <c r="I344" s="95"/>
      <c r="J344" s="95"/>
      <c r="K344" s="108"/>
      <c r="L344" s="109"/>
      <c r="M344" s="95"/>
      <c r="N344" s="77"/>
      <c r="O344" s="95"/>
      <c r="P344" s="95"/>
      <c r="Q344" s="95"/>
      <c r="R344" s="95"/>
      <c r="S344" s="95"/>
      <c r="T344" s="95"/>
      <c r="U344" s="95"/>
      <c r="V344" s="95"/>
      <c r="W344" s="60"/>
      <c r="X344" s="60"/>
      <c r="Y344" s="60"/>
    </row>
    <row r="345" ht="15.75" customHeight="1">
      <c r="A345" s="100"/>
      <c r="B345" s="101"/>
      <c r="C345" s="98"/>
      <c r="D345" s="98"/>
      <c r="E345" s="98"/>
      <c r="F345" s="102"/>
      <c r="G345" s="101"/>
      <c r="H345" s="98"/>
      <c r="I345" s="98"/>
      <c r="J345" s="98"/>
      <c r="K345" s="103"/>
      <c r="L345" s="104"/>
      <c r="M345" s="98"/>
      <c r="N345" s="77"/>
      <c r="O345" s="98"/>
      <c r="P345" s="98"/>
      <c r="Q345" s="98"/>
      <c r="R345" s="98"/>
      <c r="S345" s="98"/>
      <c r="T345" s="98"/>
      <c r="U345" s="98"/>
      <c r="V345" s="98"/>
      <c r="W345" s="60"/>
      <c r="X345" s="60"/>
      <c r="Y345" s="60"/>
    </row>
    <row r="346" ht="15.75" customHeight="1">
      <c r="A346" s="105"/>
      <c r="B346" s="106"/>
      <c r="C346" s="95"/>
      <c r="D346" s="95"/>
      <c r="E346" s="95"/>
      <c r="F346" s="107"/>
      <c r="G346" s="106"/>
      <c r="H346" s="95"/>
      <c r="I346" s="95"/>
      <c r="J346" s="95"/>
      <c r="K346" s="108"/>
      <c r="L346" s="109"/>
      <c r="M346" s="95"/>
      <c r="N346" s="77"/>
      <c r="O346" s="95"/>
      <c r="P346" s="95"/>
      <c r="Q346" s="95"/>
      <c r="R346" s="95"/>
      <c r="S346" s="95"/>
      <c r="T346" s="95"/>
      <c r="U346" s="95"/>
      <c r="V346" s="95"/>
      <c r="W346" s="60"/>
      <c r="X346" s="60"/>
      <c r="Y346" s="60"/>
    </row>
    <row r="347" ht="15.75" customHeight="1">
      <c r="A347" s="100"/>
      <c r="B347" s="101"/>
      <c r="C347" s="98"/>
      <c r="D347" s="98"/>
      <c r="E347" s="98"/>
      <c r="F347" s="102"/>
      <c r="G347" s="101"/>
      <c r="H347" s="98"/>
      <c r="I347" s="98"/>
      <c r="J347" s="98"/>
      <c r="K347" s="103"/>
      <c r="L347" s="104"/>
      <c r="M347" s="98"/>
      <c r="N347" s="77"/>
      <c r="O347" s="98"/>
      <c r="P347" s="98"/>
      <c r="Q347" s="98"/>
      <c r="R347" s="98"/>
      <c r="S347" s="98"/>
      <c r="T347" s="98"/>
      <c r="U347" s="98"/>
      <c r="V347" s="98"/>
      <c r="W347" s="60"/>
      <c r="X347" s="60"/>
      <c r="Y347" s="60"/>
    </row>
    <row r="348" ht="15.75" customHeight="1">
      <c r="A348" s="105"/>
      <c r="B348" s="106"/>
      <c r="C348" s="95"/>
      <c r="D348" s="95"/>
      <c r="E348" s="95"/>
      <c r="F348" s="107"/>
      <c r="G348" s="106"/>
      <c r="H348" s="95"/>
      <c r="I348" s="95"/>
      <c r="J348" s="95"/>
      <c r="K348" s="108"/>
      <c r="L348" s="109"/>
      <c r="M348" s="95"/>
      <c r="N348" s="77"/>
      <c r="O348" s="95"/>
      <c r="P348" s="95"/>
      <c r="Q348" s="95"/>
      <c r="R348" s="95"/>
      <c r="S348" s="95"/>
      <c r="T348" s="95"/>
      <c r="U348" s="95"/>
      <c r="V348" s="95"/>
      <c r="W348" s="60"/>
      <c r="X348" s="60"/>
      <c r="Y348" s="60"/>
    </row>
    <row r="349" ht="15.75" customHeight="1">
      <c r="A349" s="100"/>
      <c r="B349" s="101"/>
      <c r="C349" s="98"/>
      <c r="D349" s="98"/>
      <c r="E349" s="98"/>
      <c r="F349" s="102"/>
      <c r="G349" s="101"/>
      <c r="H349" s="98"/>
      <c r="I349" s="98"/>
      <c r="J349" s="98"/>
      <c r="K349" s="103"/>
      <c r="L349" s="104"/>
      <c r="M349" s="98"/>
      <c r="N349" s="77"/>
      <c r="O349" s="98"/>
      <c r="P349" s="98"/>
      <c r="Q349" s="98"/>
      <c r="R349" s="98"/>
      <c r="S349" s="98"/>
      <c r="T349" s="98"/>
      <c r="U349" s="98"/>
      <c r="V349" s="98"/>
      <c r="W349" s="60"/>
      <c r="X349" s="60"/>
      <c r="Y349" s="60"/>
    </row>
    <row r="350" ht="15.75" customHeight="1">
      <c r="A350" s="105"/>
      <c r="B350" s="106"/>
      <c r="C350" s="95"/>
      <c r="D350" s="95"/>
      <c r="E350" s="95"/>
      <c r="F350" s="107"/>
      <c r="G350" s="106"/>
      <c r="H350" s="95"/>
      <c r="I350" s="95"/>
      <c r="J350" s="95"/>
      <c r="K350" s="108"/>
      <c r="L350" s="109"/>
      <c r="M350" s="95"/>
      <c r="N350" s="77"/>
      <c r="O350" s="95"/>
      <c r="P350" s="95"/>
      <c r="Q350" s="95"/>
      <c r="R350" s="95"/>
      <c r="S350" s="95"/>
      <c r="T350" s="95"/>
      <c r="U350" s="95"/>
      <c r="V350" s="95"/>
      <c r="W350" s="60"/>
      <c r="X350" s="60"/>
      <c r="Y350" s="60"/>
    </row>
    <row r="351" ht="15.75" customHeight="1">
      <c r="A351" s="100"/>
      <c r="B351" s="101"/>
      <c r="C351" s="98"/>
      <c r="D351" s="98"/>
      <c r="E351" s="98"/>
      <c r="F351" s="102"/>
      <c r="G351" s="101"/>
      <c r="H351" s="98"/>
      <c r="I351" s="98"/>
      <c r="J351" s="98"/>
      <c r="K351" s="103"/>
      <c r="L351" s="104"/>
      <c r="M351" s="98"/>
      <c r="N351" s="77"/>
      <c r="O351" s="98"/>
      <c r="P351" s="98"/>
      <c r="Q351" s="98"/>
      <c r="R351" s="98"/>
      <c r="S351" s="98"/>
      <c r="T351" s="98"/>
      <c r="U351" s="98"/>
      <c r="V351" s="98"/>
      <c r="W351" s="60"/>
      <c r="X351" s="60"/>
      <c r="Y351" s="60"/>
    </row>
    <row r="352" ht="15.75" customHeight="1">
      <c r="A352" s="105"/>
      <c r="B352" s="106"/>
      <c r="C352" s="95"/>
      <c r="D352" s="95"/>
      <c r="E352" s="95"/>
      <c r="F352" s="107"/>
      <c r="G352" s="106"/>
      <c r="H352" s="95"/>
      <c r="I352" s="95"/>
      <c r="J352" s="95"/>
      <c r="K352" s="108"/>
      <c r="L352" s="109"/>
      <c r="M352" s="95"/>
      <c r="N352" s="77"/>
      <c r="O352" s="95"/>
      <c r="P352" s="95"/>
      <c r="Q352" s="95"/>
      <c r="R352" s="95"/>
      <c r="S352" s="95"/>
      <c r="T352" s="95"/>
      <c r="U352" s="95"/>
      <c r="V352" s="95"/>
      <c r="W352" s="60"/>
      <c r="X352" s="60"/>
      <c r="Y352" s="60"/>
    </row>
    <row r="353" ht="15.75" customHeight="1">
      <c r="A353" s="100"/>
      <c r="B353" s="101"/>
      <c r="C353" s="98"/>
      <c r="D353" s="98"/>
      <c r="E353" s="98"/>
      <c r="F353" s="102"/>
      <c r="G353" s="101"/>
      <c r="H353" s="98"/>
      <c r="I353" s="98"/>
      <c r="J353" s="98"/>
      <c r="K353" s="103"/>
      <c r="L353" s="104"/>
      <c r="M353" s="98"/>
      <c r="N353" s="77"/>
      <c r="O353" s="98"/>
      <c r="P353" s="98"/>
      <c r="Q353" s="98"/>
      <c r="R353" s="98"/>
      <c r="S353" s="98"/>
      <c r="T353" s="98"/>
      <c r="U353" s="98"/>
      <c r="V353" s="98"/>
      <c r="W353" s="60"/>
      <c r="X353" s="60"/>
      <c r="Y353" s="60"/>
    </row>
    <row r="354" ht="15.75" customHeight="1">
      <c r="A354" s="105"/>
      <c r="B354" s="106"/>
      <c r="C354" s="95"/>
      <c r="D354" s="95"/>
      <c r="E354" s="95"/>
      <c r="F354" s="107"/>
      <c r="G354" s="106"/>
      <c r="H354" s="95"/>
      <c r="I354" s="95"/>
      <c r="J354" s="95"/>
      <c r="K354" s="108"/>
      <c r="L354" s="109"/>
      <c r="M354" s="95"/>
      <c r="N354" s="77"/>
      <c r="O354" s="95"/>
      <c r="P354" s="95"/>
      <c r="Q354" s="95"/>
      <c r="R354" s="95"/>
      <c r="S354" s="95"/>
      <c r="T354" s="95"/>
      <c r="U354" s="95"/>
      <c r="V354" s="95"/>
      <c r="W354" s="60"/>
      <c r="X354" s="60"/>
      <c r="Y354" s="60"/>
    </row>
    <row r="355" ht="15.75" customHeight="1">
      <c r="A355" s="100"/>
      <c r="B355" s="101"/>
      <c r="C355" s="98"/>
      <c r="D355" s="98"/>
      <c r="E355" s="98"/>
      <c r="F355" s="102"/>
      <c r="G355" s="101"/>
      <c r="H355" s="98"/>
      <c r="I355" s="98"/>
      <c r="J355" s="98"/>
      <c r="K355" s="103"/>
      <c r="L355" s="104"/>
      <c r="M355" s="98"/>
      <c r="N355" s="77"/>
      <c r="O355" s="98"/>
      <c r="P355" s="98"/>
      <c r="Q355" s="98"/>
      <c r="R355" s="98"/>
      <c r="S355" s="98"/>
      <c r="T355" s="98"/>
      <c r="U355" s="98"/>
      <c r="V355" s="98"/>
      <c r="W355" s="60"/>
      <c r="X355" s="60"/>
      <c r="Y355" s="60"/>
    </row>
    <row r="356" ht="15.75" customHeight="1">
      <c r="A356" s="105"/>
      <c r="B356" s="106"/>
      <c r="C356" s="95"/>
      <c r="D356" s="95"/>
      <c r="E356" s="95"/>
      <c r="F356" s="107"/>
      <c r="G356" s="106"/>
      <c r="H356" s="95"/>
      <c r="I356" s="95"/>
      <c r="J356" s="95"/>
      <c r="K356" s="108"/>
      <c r="L356" s="109"/>
      <c r="M356" s="95"/>
      <c r="N356" s="77"/>
      <c r="O356" s="95"/>
      <c r="P356" s="95"/>
      <c r="Q356" s="95"/>
      <c r="R356" s="95"/>
      <c r="S356" s="95"/>
      <c r="T356" s="95"/>
      <c r="U356" s="95"/>
      <c r="V356" s="95"/>
      <c r="W356" s="60"/>
      <c r="X356" s="60"/>
      <c r="Y356" s="60"/>
    </row>
    <row r="357" ht="15.75" customHeight="1">
      <c r="A357" s="100"/>
      <c r="B357" s="101"/>
      <c r="C357" s="98"/>
      <c r="D357" s="98"/>
      <c r="E357" s="98"/>
      <c r="F357" s="102"/>
      <c r="G357" s="101"/>
      <c r="H357" s="98"/>
      <c r="I357" s="98"/>
      <c r="J357" s="98"/>
      <c r="K357" s="103"/>
      <c r="L357" s="104"/>
      <c r="M357" s="98"/>
      <c r="N357" s="77"/>
      <c r="O357" s="98"/>
      <c r="P357" s="98"/>
      <c r="Q357" s="98"/>
      <c r="R357" s="98"/>
      <c r="S357" s="98"/>
      <c r="T357" s="98"/>
      <c r="U357" s="98"/>
      <c r="V357" s="98"/>
      <c r="W357" s="60"/>
      <c r="X357" s="60"/>
      <c r="Y357" s="60"/>
    </row>
    <row r="358" ht="15.75" customHeight="1">
      <c r="A358" s="105"/>
      <c r="B358" s="106"/>
      <c r="C358" s="95"/>
      <c r="D358" s="95"/>
      <c r="E358" s="95"/>
      <c r="F358" s="107"/>
      <c r="G358" s="106"/>
      <c r="H358" s="95"/>
      <c r="I358" s="95"/>
      <c r="J358" s="95"/>
      <c r="K358" s="108"/>
      <c r="L358" s="109"/>
      <c r="M358" s="95"/>
      <c r="N358" s="77"/>
      <c r="O358" s="95"/>
      <c r="P358" s="95"/>
      <c r="Q358" s="95"/>
      <c r="R358" s="95"/>
      <c r="S358" s="95"/>
      <c r="T358" s="95"/>
      <c r="U358" s="95"/>
      <c r="V358" s="95"/>
      <c r="W358" s="60"/>
      <c r="X358" s="60"/>
      <c r="Y358" s="60"/>
    </row>
    <row r="359" ht="15.75" customHeight="1">
      <c r="A359" s="100"/>
      <c r="B359" s="101"/>
      <c r="C359" s="98"/>
      <c r="D359" s="98"/>
      <c r="E359" s="98"/>
      <c r="F359" s="102"/>
      <c r="G359" s="101"/>
      <c r="H359" s="98"/>
      <c r="I359" s="98"/>
      <c r="J359" s="98"/>
      <c r="K359" s="103"/>
      <c r="L359" s="104"/>
      <c r="M359" s="98"/>
      <c r="N359" s="77"/>
      <c r="O359" s="98"/>
      <c r="P359" s="98"/>
      <c r="Q359" s="98"/>
      <c r="R359" s="98"/>
      <c r="S359" s="98"/>
      <c r="T359" s="98"/>
      <c r="U359" s="98"/>
      <c r="V359" s="98"/>
      <c r="W359" s="60"/>
      <c r="X359" s="60"/>
      <c r="Y359" s="60"/>
    </row>
    <row r="360" ht="15.75" customHeight="1">
      <c r="A360" s="105"/>
      <c r="B360" s="106"/>
      <c r="C360" s="95"/>
      <c r="D360" s="95"/>
      <c r="E360" s="95"/>
      <c r="F360" s="107"/>
      <c r="G360" s="106"/>
      <c r="H360" s="95"/>
      <c r="I360" s="95"/>
      <c r="J360" s="95"/>
      <c r="K360" s="108"/>
      <c r="L360" s="109"/>
      <c r="M360" s="95"/>
      <c r="N360" s="77"/>
      <c r="O360" s="95"/>
      <c r="P360" s="95"/>
      <c r="Q360" s="95"/>
      <c r="R360" s="95"/>
      <c r="S360" s="95"/>
      <c r="T360" s="95"/>
      <c r="U360" s="95"/>
      <c r="V360" s="95"/>
      <c r="W360" s="60"/>
      <c r="X360" s="60"/>
      <c r="Y360" s="60"/>
    </row>
    <row r="361" ht="15.75" customHeight="1">
      <c r="A361" s="100"/>
      <c r="B361" s="101"/>
      <c r="C361" s="98"/>
      <c r="D361" s="98"/>
      <c r="E361" s="98"/>
      <c r="F361" s="102"/>
      <c r="G361" s="101"/>
      <c r="H361" s="98"/>
      <c r="I361" s="98"/>
      <c r="J361" s="98"/>
      <c r="K361" s="103"/>
      <c r="L361" s="104"/>
      <c r="M361" s="98"/>
      <c r="N361" s="77"/>
      <c r="O361" s="98"/>
      <c r="P361" s="98"/>
      <c r="Q361" s="98"/>
      <c r="R361" s="98"/>
      <c r="S361" s="98"/>
      <c r="T361" s="98"/>
      <c r="U361" s="98"/>
      <c r="V361" s="98"/>
      <c r="W361" s="60"/>
      <c r="X361" s="60"/>
      <c r="Y361" s="60"/>
    </row>
    <row r="362" ht="15.75" customHeight="1">
      <c r="A362" s="105"/>
      <c r="B362" s="106"/>
      <c r="C362" s="95"/>
      <c r="D362" s="95"/>
      <c r="E362" s="95"/>
      <c r="F362" s="107"/>
      <c r="G362" s="106"/>
      <c r="H362" s="95"/>
      <c r="I362" s="95"/>
      <c r="J362" s="95"/>
      <c r="K362" s="108"/>
      <c r="L362" s="109"/>
      <c r="M362" s="95"/>
      <c r="N362" s="77"/>
      <c r="O362" s="95"/>
      <c r="P362" s="95"/>
      <c r="Q362" s="95"/>
      <c r="R362" s="95"/>
      <c r="S362" s="95"/>
      <c r="T362" s="95"/>
      <c r="U362" s="95"/>
      <c r="V362" s="95"/>
      <c r="W362" s="60"/>
      <c r="X362" s="60"/>
      <c r="Y362" s="60"/>
    </row>
    <row r="363" ht="15.75" customHeight="1">
      <c r="A363" s="100"/>
      <c r="B363" s="101"/>
      <c r="C363" s="98"/>
      <c r="D363" s="98"/>
      <c r="E363" s="98"/>
      <c r="F363" s="102"/>
      <c r="G363" s="101"/>
      <c r="H363" s="98"/>
      <c r="I363" s="98"/>
      <c r="J363" s="98"/>
      <c r="K363" s="103"/>
      <c r="L363" s="104"/>
      <c r="M363" s="98"/>
      <c r="N363" s="77"/>
      <c r="O363" s="98"/>
      <c r="P363" s="98"/>
      <c r="Q363" s="98"/>
      <c r="R363" s="98"/>
      <c r="S363" s="98"/>
      <c r="T363" s="98"/>
      <c r="U363" s="98"/>
      <c r="V363" s="98"/>
      <c r="W363" s="60"/>
      <c r="X363" s="60"/>
      <c r="Y363" s="60"/>
    </row>
    <row r="364" ht="15.75" customHeight="1">
      <c r="A364" s="105"/>
      <c r="B364" s="106"/>
      <c r="C364" s="95"/>
      <c r="D364" s="95"/>
      <c r="E364" s="95"/>
      <c r="F364" s="107"/>
      <c r="G364" s="106"/>
      <c r="H364" s="95"/>
      <c r="I364" s="95"/>
      <c r="J364" s="95"/>
      <c r="K364" s="108"/>
      <c r="L364" s="109"/>
      <c r="M364" s="95"/>
      <c r="N364" s="77"/>
      <c r="O364" s="95"/>
      <c r="P364" s="95"/>
      <c r="Q364" s="95"/>
      <c r="R364" s="95"/>
      <c r="S364" s="95"/>
      <c r="T364" s="95"/>
      <c r="U364" s="95"/>
      <c r="V364" s="95"/>
      <c r="W364" s="60"/>
      <c r="X364" s="60"/>
      <c r="Y364" s="60"/>
    </row>
    <row r="365" ht="15.75" customHeight="1">
      <c r="A365" s="100"/>
      <c r="B365" s="101"/>
      <c r="C365" s="98"/>
      <c r="D365" s="98"/>
      <c r="E365" s="98"/>
      <c r="F365" s="102"/>
      <c r="G365" s="101"/>
      <c r="H365" s="98"/>
      <c r="I365" s="98"/>
      <c r="J365" s="98"/>
      <c r="K365" s="103"/>
      <c r="L365" s="104"/>
      <c r="M365" s="98"/>
      <c r="N365" s="77"/>
      <c r="O365" s="98"/>
      <c r="P365" s="98"/>
      <c r="Q365" s="98"/>
      <c r="R365" s="98"/>
      <c r="S365" s="98"/>
      <c r="T365" s="98"/>
      <c r="U365" s="98"/>
      <c r="V365" s="98"/>
      <c r="W365" s="60"/>
      <c r="X365" s="60"/>
      <c r="Y365" s="60"/>
    </row>
    <row r="366" ht="15.75" customHeight="1">
      <c r="A366" s="105"/>
      <c r="B366" s="106"/>
      <c r="C366" s="95"/>
      <c r="D366" s="95"/>
      <c r="E366" s="95"/>
      <c r="F366" s="107"/>
      <c r="G366" s="106"/>
      <c r="H366" s="95"/>
      <c r="I366" s="95"/>
      <c r="J366" s="95"/>
      <c r="K366" s="108"/>
      <c r="L366" s="109"/>
      <c r="M366" s="95"/>
      <c r="N366" s="77"/>
      <c r="O366" s="95"/>
      <c r="P366" s="95"/>
      <c r="Q366" s="95"/>
      <c r="R366" s="95"/>
      <c r="S366" s="95"/>
      <c r="T366" s="95"/>
      <c r="U366" s="95"/>
      <c r="V366" s="95"/>
      <c r="W366" s="60"/>
      <c r="X366" s="60"/>
      <c r="Y366" s="60"/>
    </row>
    <row r="367" ht="15.75" customHeight="1">
      <c r="A367" s="100"/>
      <c r="B367" s="101"/>
      <c r="C367" s="98"/>
      <c r="D367" s="98"/>
      <c r="E367" s="98"/>
      <c r="F367" s="102"/>
      <c r="G367" s="101"/>
      <c r="H367" s="98"/>
      <c r="I367" s="98"/>
      <c r="J367" s="98"/>
      <c r="K367" s="103"/>
      <c r="L367" s="104"/>
      <c r="M367" s="98"/>
      <c r="N367" s="77"/>
      <c r="O367" s="98"/>
      <c r="P367" s="98"/>
      <c r="Q367" s="98"/>
      <c r="R367" s="98"/>
      <c r="S367" s="98"/>
      <c r="T367" s="98"/>
      <c r="U367" s="98"/>
      <c r="V367" s="98"/>
      <c r="W367" s="60"/>
      <c r="X367" s="60"/>
      <c r="Y367" s="60"/>
    </row>
    <row r="368" ht="15.75" customHeight="1">
      <c r="A368" s="105"/>
      <c r="B368" s="106"/>
      <c r="C368" s="95"/>
      <c r="D368" s="95"/>
      <c r="E368" s="95"/>
      <c r="F368" s="107"/>
      <c r="G368" s="106"/>
      <c r="H368" s="95"/>
      <c r="I368" s="95"/>
      <c r="J368" s="95"/>
      <c r="K368" s="108"/>
      <c r="L368" s="109"/>
      <c r="M368" s="95"/>
      <c r="N368" s="77"/>
      <c r="O368" s="95"/>
      <c r="P368" s="95"/>
      <c r="Q368" s="95"/>
      <c r="R368" s="95"/>
      <c r="S368" s="95"/>
      <c r="T368" s="95"/>
      <c r="U368" s="95"/>
      <c r="V368" s="95"/>
      <c r="W368" s="60"/>
      <c r="X368" s="60"/>
      <c r="Y368" s="60"/>
    </row>
    <row r="369" ht="15.75" customHeight="1">
      <c r="A369" s="100"/>
      <c r="B369" s="101"/>
      <c r="C369" s="98"/>
      <c r="D369" s="98"/>
      <c r="E369" s="98"/>
      <c r="F369" s="102"/>
      <c r="G369" s="101"/>
      <c r="H369" s="98"/>
      <c r="I369" s="98"/>
      <c r="J369" s="98"/>
      <c r="K369" s="103"/>
      <c r="L369" s="104"/>
      <c r="M369" s="98"/>
      <c r="N369" s="77"/>
      <c r="O369" s="98"/>
      <c r="P369" s="98"/>
      <c r="Q369" s="98"/>
      <c r="R369" s="98"/>
      <c r="S369" s="98"/>
      <c r="T369" s="98"/>
      <c r="U369" s="98"/>
      <c r="V369" s="98"/>
      <c r="W369" s="60"/>
      <c r="X369" s="60"/>
      <c r="Y369" s="60"/>
    </row>
    <row r="370" ht="15.75" customHeight="1">
      <c r="A370" s="105"/>
      <c r="B370" s="106"/>
      <c r="C370" s="95"/>
      <c r="D370" s="95"/>
      <c r="E370" s="95"/>
      <c r="F370" s="107"/>
      <c r="G370" s="106"/>
      <c r="H370" s="95"/>
      <c r="I370" s="95"/>
      <c r="J370" s="95"/>
      <c r="K370" s="108"/>
      <c r="L370" s="109"/>
      <c r="M370" s="95"/>
      <c r="N370" s="77"/>
      <c r="O370" s="95"/>
      <c r="P370" s="95"/>
      <c r="Q370" s="95"/>
      <c r="R370" s="95"/>
      <c r="S370" s="95"/>
      <c r="T370" s="95"/>
      <c r="U370" s="95"/>
      <c r="V370" s="95"/>
      <c r="W370" s="60"/>
      <c r="X370" s="60"/>
      <c r="Y370" s="60"/>
    </row>
    <row r="371" ht="15.75" customHeight="1">
      <c r="A371" s="100"/>
      <c r="B371" s="101"/>
      <c r="C371" s="98"/>
      <c r="D371" s="98"/>
      <c r="E371" s="98"/>
      <c r="F371" s="102"/>
      <c r="G371" s="101"/>
      <c r="H371" s="98"/>
      <c r="I371" s="98"/>
      <c r="J371" s="98"/>
      <c r="K371" s="103"/>
      <c r="L371" s="104"/>
      <c r="M371" s="98"/>
      <c r="N371" s="77"/>
      <c r="O371" s="98"/>
      <c r="P371" s="98"/>
      <c r="Q371" s="98"/>
      <c r="R371" s="98"/>
      <c r="S371" s="98"/>
      <c r="T371" s="98"/>
      <c r="U371" s="98"/>
      <c r="V371" s="98"/>
      <c r="W371" s="60"/>
      <c r="X371" s="60"/>
      <c r="Y371" s="60"/>
    </row>
    <row r="372" ht="15.75" customHeight="1">
      <c r="A372" s="105"/>
      <c r="B372" s="106"/>
      <c r="C372" s="95"/>
      <c r="D372" s="95"/>
      <c r="E372" s="95"/>
      <c r="F372" s="107"/>
      <c r="G372" s="106"/>
      <c r="H372" s="95"/>
      <c r="I372" s="95"/>
      <c r="J372" s="95"/>
      <c r="K372" s="108"/>
      <c r="L372" s="109"/>
      <c r="M372" s="95"/>
      <c r="N372" s="77"/>
      <c r="O372" s="95"/>
      <c r="P372" s="95"/>
      <c r="Q372" s="95"/>
      <c r="R372" s="95"/>
      <c r="S372" s="95"/>
      <c r="T372" s="95"/>
      <c r="U372" s="95"/>
      <c r="V372" s="95"/>
      <c r="W372" s="60"/>
      <c r="X372" s="60"/>
      <c r="Y372" s="60"/>
    </row>
    <row r="373" ht="15.75" customHeight="1">
      <c r="A373" s="100"/>
      <c r="B373" s="101"/>
      <c r="C373" s="98"/>
      <c r="D373" s="98"/>
      <c r="E373" s="98"/>
      <c r="F373" s="102"/>
      <c r="G373" s="101"/>
      <c r="H373" s="98"/>
      <c r="I373" s="98"/>
      <c r="J373" s="98"/>
      <c r="K373" s="103"/>
      <c r="L373" s="104"/>
      <c r="M373" s="98"/>
      <c r="N373" s="77"/>
      <c r="O373" s="98"/>
      <c r="P373" s="98"/>
      <c r="Q373" s="98"/>
      <c r="R373" s="98"/>
      <c r="S373" s="98"/>
      <c r="T373" s="98"/>
      <c r="U373" s="98"/>
      <c r="V373" s="98"/>
      <c r="W373" s="60"/>
      <c r="X373" s="60"/>
      <c r="Y373" s="60"/>
    </row>
    <row r="374" ht="15.75" customHeight="1">
      <c r="A374" s="105"/>
      <c r="B374" s="106"/>
      <c r="C374" s="95"/>
      <c r="D374" s="95"/>
      <c r="E374" s="95"/>
      <c r="F374" s="107"/>
      <c r="G374" s="106"/>
      <c r="H374" s="95"/>
      <c r="I374" s="95"/>
      <c r="J374" s="95"/>
      <c r="K374" s="108"/>
      <c r="L374" s="109"/>
      <c r="M374" s="95"/>
      <c r="N374" s="77"/>
      <c r="O374" s="95"/>
      <c r="P374" s="95"/>
      <c r="Q374" s="95"/>
      <c r="R374" s="95"/>
      <c r="S374" s="95"/>
      <c r="T374" s="95"/>
      <c r="U374" s="95"/>
      <c r="V374" s="95"/>
      <c r="W374" s="60"/>
      <c r="X374" s="60"/>
      <c r="Y374" s="60"/>
    </row>
    <row r="375" ht="15.75" customHeight="1">
      <c r="A375" s="100"/>
      <c r="B375" s="101"/>
      <c r="C375" s="98"/>
      <c r="D375" s="98"/>
      <c r="E375" s="98"/>
      <c r="F375" s="102"/>
      <c r="G375" s="101"/>
      <c r="H375" s="98"/>
      <c r="I375" s="98"/>
      <c r="J375" s="98"/>
      <c r="K375" s="103"/>
      <c r="L375" s="104"/>
      <c r="M375" s="98"/>
      <c r="N375" s="77"/>
      <c r="O375" s="98"/>
      <c r="P375" s="98"/>
      <c r="Q375" s="98"/>
      <c r="R375" s="98"/>
      <c r="S375" s="98"/>
      <c r="T375" s="98"/>
      <c r="U375" s="98"/>
      <c r="V375" s="98"/>
      <c r="W375" s="60"/>
      <c r="X375" s="60"/>
      <c r="Y375" s="60"/>
    </row>
    <row r="376" ht="15.75" customHeight="1">
      <c r="A376" s="105"/>
      <c r="B376" s="106"/>
      <c r="C376" s="95"/>
      <c r="D376" s="95"/>
      <c r="E376" s="95"/>
      <c r="F376" s="107"/>
      <c r="G376" s="106"/>
      <c r="H376" s="95"/>
      <c r="I376" s="95"/>
      <c r="J376" s="95"/>
      <c r="K376" s="108"/>
      <c r="L376" s="109"/>
      <c r="M376" s="95"/>
      <c r="N376" s="77"/>
      <c r="O376" s="95"/>
      <c r="P376" s="95"/>
      <c r="Q376" s="95"/>
      <c r="R376" s="95"/>
      <c r="S376" s="95"/>
      <c r="T376" s="95"/>
      <c r="U376" s="95"/>
      <c r="V376" s="95"/>
      <c r="W376" s="60"/>
      <c r="X376" s="60"/>
      <c r="Y376" s="60"/>
    </row>
    <row r="377" ht="15.75" customHeight="1">
      <c r="A377" s="100"/>
      <c r="B377" s="101"/>
      <c r="C377" s="98"/>
      <c r="D377" s="98"/>
      <c r="E377" s="98"/>
      <c r="F377" s="102"/>
      <c r="G377" s="101"/>
      <c r="H377" s="98"/>
      <c r="I377" s="98"/>
      <c r="J377" s="98"/>
      <c r="K377" s="103"/>
      <c r="L377" s="104"/>
      <c r="M377" s="98"/>
      <c r="N377" s="77"/>
      <c r="O377" s="98"/>
      <c r="P377" s="98"/>
      <c r="Q377" s="98"/>
      <c r="R377" s="98"/>
      <c r="S377" s="98"/>
      <c r="T377" s="98"/>
      <c r="U377" s="98"/>
      <c r="V377" s="98"/>
      <c r="W377" s="60"/>
      <c r="X377" s="60"/>
      <c r="Y377" s="60"/>
    </row>
    <row r="378" ht="15.75" customHeight="1">
      <c r="A378" s="105"/>
      <c r="B378" s="106"/>
      <c r="C378" s="95"/>
      <c r="D378" s="95"/>
      <c r="E378" s="95"/>
      <c r="F378" s="107"/>
      <c r="G378" s="106"/>
      <c r="H378" s="95"/>
      <c r="I378" s="95"/>
      <c r="J378" s="95"/>
      <c r="K378" s="108"/>
      <c r="L378" s="109"/>
      <c r="M378" s="95"/>
      <c r="N378" s="77"/>
      <c r="O378" s="95"/>
      <c r="P378" s="95"/>
      <c r="Q378" s="95"/>
      <c r="R378" s="95"/>
      <c r="S378" s="95"/>
      <c r="T378" s="95"/>
      <c r="U378" s="95"/>
      <c r="V378" s="95"/>
      <c r="W378" s="60"/>
      <c r="X378" s="60"/>
      <c r="Y378" s="60"/>
    </row>
    <row r="379" ht="15.75" customHeight="1">
      <c r="A379" s="100"/>
      <c r="B379" s="101"/>
      <c r="C379" s="98"/>
      <c r="D379" s="98"/>
      <c r="E379" s="98"/>
      <c r="F379" s="102"/>
      <c r="G379" s="101"/>
      <c r="H379" s="98"/>
      <c r="I379" s="98"/>
      <c r="J379" s="98"/>
      <c r="K379" s="103"/>
      <c r="L379" s="104"/>
      <c r="M379" s="98"/>
      <c r="N379" s="77"/>
      <c r="O379" s="98"/>
      <c r="P379" s="98"/>
      <c r="Q379" s="98"/>
      <c r="R379" s="98"/>
      <c r="S379" s="98"/>
      <c r="T379" s="98"/>
      <c r="U379" s="98"/>
      <c r="V379" s="98"/>
      <c r="W379" s="60"/>
      <c r="X379" s="60"/>
      <c r="Y379" s="60"/>
    </row>
    <row r="380" ht="15.75" customHeight="1">
      <c r="A380" s="105"/>
      <c r="B380" s="106"/>
      <c r="C380" s="95"/>
      <c r="D380" s="95"/>
      <c r="E380" s="95"/>
      <c r="F380" s="107"/>
      <c r="G380" s="106"/>
      <c r="H380" s="95"/>
      <c r="I380" s="95"/>
      <c r="J380" s="95"/>
      <c r="K380" s="108"/>
      <c r="L380" s="109"/>
      <c r="M380" s="95"/>
      <c r="N380" s="77"/>
      <c r="O380" s="95"/>
      <c r="P380" s="95"/>
      <c r="Q380" s="95"/>
      <c r="R380" s="95"/>
      <c r="S380" s="95"/>
      <c r="T380" s="95"/>
      <c r="U380" s="95"/>
      <c r="V380" s="95"/>
      <c r="W380" s="60"/>
      <c r="X380" s="60"/>
      <c r="Y380" s="60"/>
    </row>
    <row r="381" ht="15.75" customHeight="1">
      <c r="A381" s="100"/>
      <c r="B381" s="101"/>
      <c r="C381" s="98"/>
      <c r="D381" s="98"/>
      <c r="E381" s="98"/>
      <c r="F381" s="102"/>
      <c r="G381" s="101"/>
      <c r="H381" s="98"/>
      <c r="I381" s="98"/>
      <c r="J381" s="98"/>
      <c r="K381" s="103"/>
      <c r="L381" s="104"/>
      <c r="M381" s="98"/>
      <c r="N381" s="77"/>
      <c r="O381" s="98"/>
      <c r="P381" s="98"/>
      <c r="Q381" s="98"/>
      <c r="R381" s="98"/>
      <c r="S381" s="98"/>
      <c r="T381" s="98"/>
      <c r="U381" s="98"/>
      <c r="V381" s="98"/>
      <c r="W381" s="60"/>
      <c r="X381" s="60"/>
      <c r="Y381" s="60"/>
    </row>
    <row r="382" ht="15.75" customHeight="1">
      <c r="A382" s="105"/>
      <c r="B382" s="106"/>
      <c r="C382" s="95"/>
      <c r="D382" s="95"/>
      <c r="E382" s="95"/>
      <c r="F382" s="107"/>
      <c r="G382" s="106"/>
      <c r="H382" s="95"/>
      <c r="I382" s="95"/>
      <c r="J382" s="95"/>
      <c r="K382" s="108"/>
      <c r="L382" s="109"/>
      <c r="M382" s="95"/>
      <c r="N382" s="77"/>
      <c r="O382" s="95"/>
      <c r="P382" s="95"/>
      <c r="Q382" s="95"/>
      <c r="R382" s="95"/>
      <c r="S382" s="95"/>
      <c r="T382" s="95"/>
      <c r="U382" s="95"/>
      <c r="V382" s="95"/>
      <c r="W382" s="60"/>
      <c r="X382" s="60"/>
      <c r="Y382" s="60"/>
    </row>
    <row r="383" ht="15.75" customHeight="1">
      <c r="A383" s="100"/>
      <c r="B383" s="101"/>
      <c r="C383" s="98"/>
      <c r="D383" s="98"/>
      <c r="E383" s="98"/>
      <c r="F383" s="102"/>
      <c r="G383" s="101"/>
      <c r="H383" s="98"/>
      <c r="I383" s="98"/>
      <c r="J383" s="98"/>
      <c r="K383" s="103"/>
      <c r="L383" s="104"/>
      <c r="M383" s="98"/>
      <c r="N383" s="77"/>
      <c r="O383" s="98"/>
      <c r="P383" s="98"/>
      <c r="Q383" s="98"/>
      <c r="R383" s="98"/>
      <c r="S383" s="98"/>
      <c r="T383" s="98"/>
      <c r="U383" s="98"/>
      <c r="V383" s="98"/>
      <c r="W383" s="60"/>
      <c r="X383" s="60"/>
      <c r="Y383" s="60"/>
    </row>
    <row r="384" ht="15.75" customHeight="1">
      <c r="A384" s="105"/>
      <c r="B384" s="106"/>
      <c r="C384" s="95"/>
      <c r="D384" s="95"/>
      <c r="E384" s="95"/>
      <c r="F384" s="107"/>
      <c r="G384" s="106"/>
      <c r="H384" s="95"/>
      <c r="I384" s="95"/>
      <c r="J384" s="95"/>
      <c r="K384" s="108"/>
      <c r="L384" s="109"/>
      <c r="M384" s="95"/>
      <c r="N384" s="77"/>
      <c r="O384" s="95"/>
      <c r="P384" s="95"/>
      <c r="Q384" s="95"/>
      <c r="R384" s="95"/>
      <c r="S384" s="95"/>
      <c r="T384" s="95"/>
      <c r="U384" s="95"/>
      <c r="V384" s="95"/>
      <c r="W384" s="60"/>
      <c r="X384" s="60"/>
      <c r="Y384" s="60"/>
    </row>
    <row r="385" ht="15.75" customHeight="1">
      <c r="A385" s="100"/>
      <c r="B385" s="101"/>
      <c r="C385" s="98"/>
      <c r="D385" s="98"/>
      <c r="E385" s="98"/>
      <c r="F385" s="102"/>
      <c r="G385" s="101"/>
      <c r="H385" s="98"/>
      <c r="I385" s="98"/>
      <c r="J385" s="98"/>
      <c r="K385" s="103"/>
      <c r="L385" s="104"/>
      <c r="M385" s="98"/>
      <c r="N385" s="77"/>
      <c r="O385" s="98"/>
      <c r="P385" s="98"/>
      <c r="Q385" s="98"/>
      <c r="R385" s="98"/>
      <c r="S385" s="98"/>
      <c r="T385" s="98"/>
      <c r="U385" s="98"/>
      <c r="V385" s="98"/>
      <c r="W385" s="60"/>
      <c r="X385" s="60"/>
      <c r="Y385" s="60"/>
    </row>
    <row r="386" ht="15.75" customHeight="1">
      <c r="A386" s="105"/>
      <c r="B386" s="106"/>
      <c r="C386" s="95"/>
      <c r="D386" s="95"/>
      <c r="E386" s="95"/>
      <c r="F386" s="107"/>
      <c r="G386" s="106"/>
      <c r="H386" s="95"/>
      <c r="I386" s="95"/>
      <c r="J386" s="95"/>
      <c r="K386" s="108"/>
      <c r="L386" s="109"/>
      <c r="M386" s="95"/>
      <c r="N386" s="77"/>
      <c r="O386" s="95"/>
      <c r="P386" s="95"/>
      <c r="Q386" s="95"/>
      <c r="R386" s="95"/>
      <c r="S386" s="95"/>
      <c r="T386" s="95"/>
      <c r="U386" s="95"/>
      <c r="V386" s="95"/>
      <c r="W386" s="60"/>
      <c r="X386" s="60"/>
      <c r="Y386" s="60"/>
    </row>
    <row r="387" ht="15.75" customHeight="1">
      <c r="A387" s="100"/>
      <c r="B387" s="101"/>
      <c r="C387" s="98"/>
      <c r="D387" s="98"/>
      <c r="E387" s="98"/>
      <c r="F387" s="102"/>
      <c r="G387" s="101"/>
      <c r="H387" s="98"/>
      <c r="I387" s="98"/>
      <c r="J387" s="98"/>
      <c r="K387" s="103"/>
      <c r="L387" s="104"/>
      <c r="M387" s="98"/>
      <c r="N387" s="77"/>
      <c r="O387" s="98"/>
      <c r="P387" s="98"/>
      <c r="Q387" s="98"/>
      <c r="R387" s="98"/>
      <c r="S387" s="98"/>
      <c r="T387" s="98"/>
      <c r="U387" s="98"/>
      <c r="V387" s="98"/>
      <c r="W387" s="60"/>
      <c r="X387" s="60"/>
      <c r="Y387" s="60"/>
    </row>
    <row r="388" ht="15.75" customHeight="1">
      <c r="A388" s="105"/>
      <c r="B388" s="106"/>
      <c r="C388" s="95"/>
      <c r="D388" s="95"/>
      <c r="E388" s="95"/>
      <c r="F388" s="107"/>
      <c r="G388" s="106"/>
      <c r="H388" s="95"/>
      <c r="I388" s="95"/>
      <c r="J388" s="95"/>
      <c r="K388" s="108"/>
      <c r="L388" s="109"/>
      <c r="M388" s="95"/>
      <c r="N388" s="77"/>
      <c r="O388" s="95"/>
      <c r="P388" s="95"/>
      <c r="Q388" s="95"/>
      <c r="R388" s="95"/>
      <c r="S388" s="95"/>
      <c r="T388" s="95"/>
      <c r="U388" s="95"/>
      <c r="V388" s="95"/>
      <c r="W388" s="60"/>
      <c r="X388" s="60"/>
      <c r="Y388" s="60"/>
    </row>
    <row r="389" ht="15.75" customHeight="1">
      <c r="A389" s="100"/>
      <c r="B389" s="101"/>
      <c r="C389" s="98"/>
      <c r="D389" s="98"/>
      <c r="E389" s="98"/>
      <c r="F389" s="102"/>
      <c r="G389" s="101"/>
      <c r="H389" s="98"/>
      <c r="I389" s="98"/>
      <c r="J389" s="98"/>
      <c r="K389" s="103"/>
      <c r="L389" s="104"/>
      <c r="M389" s="98"/>
      <c r="N389" s="77"/>
      <c r="O389" s="98"/>
      <c r="P389" s="98"/>
      <c r="Q389" s="98"/>
      <c r="R389" s="98"/>
      <c r="S389" s="98"/>
      <c r="T389" s="98"/>
      <c r="U389" s="98"/>
      <c r="V389" s="98"/>
      <c r="W389" s="60"/>
      <c r="X389" s="60"/>
      <c r="Y389" s="60"/>
    </row>
    <row r="390" ht="15.75" customHeight="1">
      <c r="A390" s="105"/>
      <c r="B390" s="106"/>
      <c r="C390" s="95"/>
      <c r="D390" s="95"/>
      <c r="E390" s="95"/>
      <c r="F390" s="107"/>
      <c r="G390" s="106"/>
      <c r="H390" s="95"/>
      <c r="I390" s="95"/>
      <c r="J390" s="95"/>
      <c r="K390" s="108"/>
      <c r="L390" s="109"/>
      <c r="M390" s="95"/>
      <c r="N390" s="77"/>
      <c r="O390" s="95"/>
      <c r="P390" s="95"/>
      <c r="Q390" s="95"/>
      <c r="R390" s="95"/>
      <c r="S390" s="95"/>
      <c r="T390" s="95"/>
      <c r="U390" s="95"/>
      <c r="V390" s="95"/>
      <c r="W390" s="60"/>
      <c r="X390" s="60"/>
      <c r="Y390" s="60"/>
    </row>
    <row r="391" ht="15.75" customHeight="1">
      <c r="A391" s="100"/>
      <c r="B391" s="101"/>
      <c r="C391" s="98"/>
      <c r="D391" s="98"/>
      <c r="E391" s="98"/>
      <c r="F391" s="102"/>
      <c r="G391" s="101"/>
      <c r="H391" s="98"/>
      <c r="I391" s="98"/>
      <c r="J391" s="98"/>
      <c r="K391" s="103"/>
      <c r="L391" s="104"/>
      <c r="M391" s="98"/>
      <c r="N391" s="77"/>
      <c r="O391" s="98"/>
      <c r="P391" s="98"/>
      <c r="Q391" s="98"/>
      <c r="R391" s="98"/>
      <c r="S391" s="98"/>
      <c r="T391" s="98"/>
      <c r="U391" s="98"/>
      <c r="V391" s="98"/>
      <c r="W391" s="60"/>
      <c r="X391" s="60"/>
      <c r="Y391" s="60"/>
    </row>
    <row r="392" ht="15.75" customHeight="1">
      <c r="A392" s="105"/>
      <c r="B392" s="106"/>
      <c r="C392" s="95"/>
      <c r="D392" s="95"/>
      <c r="E392" s="95"/>
      <c r="F392" s="107"/>
      <c r="G392" s="106"/>
      <c r="H392" s="95"/>
      <c r="I392" s="95"/>
      <c r="J392" s="95"/>
      <c r="K392" s="108"/>
      <c r="L392" s="109"/>
      <c r="M392" s="95"/>
      <c r="N392" s="77"/>
      <c r="O392" s="95"/>
      <c r="P392" s="95"/>
      <c r="Q392" s="95"/>
      <c r="R392" s="95"/>
      <c r="S392" s="95"/>
      <c r="T392" s="95"/>
      <c r="U392" s="95"/>
      <c r="V392" s="95"/>
      <c r="W392" s="60"/>
      <c r="X392" s="60"/>
      <c r="Y392" s="60"/>
    </row>
    <row r="393" ht="15.75" customHeight="1">
      <c r="A393" s="100"/>
      <c r="B393" s="101"/>
      <c r="C393" s="98"/>
      <c r="D393" s="98"/>
      <c r="E393" s="98"/>
      <c r="F393" s="102"/>
      <c r="G393" s="101"/>
      <c r="H393" s="98"/>
      <c r="I393" s="98"/>
      <c r="J393" s="98"/>
      <c r="K393" s="103"/>
      <c r="L393" s="104"/>
      <c r="M393" s="98"/>
      <c r="N393" s="77"/>
      <c r="O393" s="98"/>
      <c r="P393" s="98"/>
      <c r="Q393" s="98"/>
      <c r="R393" s="98"/>
      <c r="S393" s="98"/>
      <c r="T393" s="98"/>
      <c r="U393" s="98"/>
      <c r="V393" s="98"/>
      <c r="W393" s="60"/>
      <c r="X393" s="60"/>
      <c r="Y393" s="60"/>
    </row>
    <row r="394" ht="15.75" customHeight="1">
      <c r="A394" s="105"/>
      <c r="B394" s="106"/>
      <c r="C394" s="95"/>
      <c r="D394" s="95"/>
      <c r="E394" s="95"/>
      <c r="F394" s="107"/>
      <c r="G394" s="106"/>
      <c r="H394" s="95"/>
      <c r="I394" s="95"/>
      <c r="J394" s="95"/>
      <c r="K394" s="108"/>
      <c r="L394" s="109"/>
      <c r="M394" s="95"/>
      <c r="N394" s="77"/>
      <c r="O394" s="95"/>
      <c r="P394" s="95"/>
      <c r="Q394" s="95"/>
      <c r="R394" s="95"/>
      <c r="S394" s="95"/>
      <c r="T394" s="95"/>
      <c r="U394" s="95"/>
      <c r="V394" s="95"/>
      <c r="W394" s="60"/>
      <c r="X394" s="60"/>
      <c r="Y394" s="60"/>
    </row>
    <row r="395" ht="15.75" customHeight="1">
      <c r="A395" s="100"/>
      <c r="B395" s="101"/>
      <c r="C395" s="98"/>
      <c r="D395" s="98"/>
      <c r="E395" s="98"/>
      <c r="F395" s="102"/>
      <c r="G395" s="101"/>
      <c r="H395" s="98"/>
      <c r="I395" s="98"/>
      <c r="J395" s="98"/>
      <c r="K395" s="103"/>
      <c r="L395" s="104"/>
      <c r="M395" s="98"/>
      <c r="N395" s="77"/>
      <c r="O395" s="98"/>
      <c r="P395" s="98"/>
      <c r="Q395" s="98"/>
      <c r="R395" s="98"/>
      <c r="S395" s="98"/>
      <c r="T395" s="98"/>
      <c r="U395" s="98"/>
      <c r="V395" s="98"/>
      <c r="W395" s="60"/>
      <c r="X395" s="60"/>
      <c r="Y395" s="60"/>
    </row>
    <row r="396" ht="15.75" customHeight="1">
      <c r="A396" s="105"/>
      <c r="B396" s="106"/>
      <c r="C396" s="95"/>
      <c r="D396" s="95"/>
      <c r="E396" s="95"/>
      <c r="F396" s="107"/>
      <c r="G396" s="106"/>
      <c r="H396" s="95"/>
      <c r="I396" s="95"/>
      <c r="J396" s="95"/>
      <c r="K396" s="108"/>
      <c r="L396" s="109"/>
      <c r="M396" s="95"/>
      <c r="N396" s="77"/>
      <c r="O396" s="95"/>
      <c r="P396" s="95"/>
      <c r="Q396" s="95"/>
      <c r="R396" s="95"/>
      <c r="S396" s="95"/>
      <c r="T396" s="95"/>
      <c r="U396" s="95"/>
      <c r="V396" s="95"/>
      <c r="W396" s="60"/>
      <c r="X396" s="60"/>
      <c r="Y396" s="60"/>
    </row>
    <row r="397" ht="15.75" customHeight="1">
      <c r="A397" s="100"/>
      <c r="B397" s="101"/>
      <c r="C397" s="98"/>
      <c r="D397" s="98"/>
      <c r="E397" s="98"/>
      <c r="F397" s="102"/>
      <c r="G397" s="101"/>
      <c r="H397" s="98"/>
      <c r="I397" s="98"/>
      <c r="J397" s="98"/>
      <c r="K397" s="103"/>
      <c r="L397" s="104"/>
      <c r="M397" s="98"/>
      <c r="N397" s="77"/>
      <c r="O397" s="98"/>
      <c r="P397" s="98"/>
      <c r="Q397" s="98"/>
      <c r="R397" s="98"/>
      <c r="S397" s="98"/>
      <c r="T397" s="98"/>
      <c r="U397" s="98"/>
      <c r="V397" s="98"/>
      <c r="W397" s="60"/>
      <c r="X397" s="60"/>
      <c r="Y397" s="60"/>
    </row>
    <row r="398" ht="15.75" customHeight="1">
      <c r="A398" s="105"/>
      <c r="B398" s="106"/>
      <c r="C398" s="95"/>
      <c r="D398" s="95"/>
      <c r="E398" s="95"/>
      <c r="F398" s="107"/>
      <c r="G398" s="106"/>
      <c r="H398" s="95"/>
      <c r="I398" s="95"/>
      <c r="J398" s="95"/>
      <c r="K398" s="108"/>
      <c r="L398" s="109"/>
      <c r="M398" s="95"/>
      <c r="N398" s="77"/>
      <c r="O398" s="95"/>
      <c r="P398" s="95"/>
      <c r="Q398" s="95"/>
      <c r="R398" s="95"/>
      <c r="S398" s="95"/>
      <c r="T398" s="95"/>
      <c r="U398" s="95"/>
      <c r="V398" s="95"/>
      <c r="W398" s="60"/>
      <c r="X398" s="60"/>
      <c r="Y398" s="60"/>
    </row>
    <row r="399" ht="15.75" customHeight="1">
      <c r="A399" s="100"/>
      <c r="B399" s="101"/>
      <c r="C399" s="98"/>
      <c r="D399" s="98"/>
      <c r="E399" s="98"/>
      <c r="F399" s="102"/>
      <c r="G399" s="101"/>
      <c r="H399" s="98"/>
      <c r="I399" s="98"/>
      <c r="J399" s="98"/>
      <c r="K399" s="103"/>
      <c r="L399" s="104"/>
      <c r="M399" s="98"/>
      <c r="N399" s="77"/>
      <c r="O399" s="98"/>
      <c r="P399" s="98"/>
      <c r="Q399" s="98"/>
      <c r="R399" s="98"/>
      <c r="S399" s="98"/>
      <c r="T399" s="98"/>
      <c r="U399" s="98"/>
      <c r="V399" s="98"/>
      <c r="W399" s="60"/>
      <c r="X399" s="60"/>
      <c r="Y399" s="60"/>
    </row>
    <row r="400" ht="15.75" customHeight="1">
      <c r="A400" s="105"/>
      <c r="B400" s="106"/>
      <c r="C400" s="95"/>
      <c r="D400" s="95"/>
      <c r="E400" s="95"/>
      <c r="F400" s="107"/>
      <c r="G400" s="106"/>
      <c r="H400" s="95"/>
      <c r="I400" s="95"/>
      <c r="J400" s="95"/>
      <c r="K400" s="108"/>
      <c r="L400" s="109"/>
      <c r="M400" s="95"/>
      <c r="N400" s="77"/>
      <c r="O400" s="95"/>
      <c r="P400" s="95"/>
      <c r="Q400" s="95"/>
      <c r="R400" s="95"/>
      <c r="S400" s="95"/>
      <c r="T400" s="95"/>
      <c r="U400" s="95"/>
      <c r="V400" s="95"/>
      <c r="W400" s="60"/>
      <c r="X400" s="60"/>
      <c r="Y400" s="60"/>
    </row>
    <row r="401" ht="15.75" customHeight="1">
      <c r="A401" s="100"/>
      <c r="B401" s="101"/>
      <c r="C401" s="98"/>
      <c r="D401" s="98"/>
      <c r="E401" s="98"/>
      <c r="F401" s="102"/>
      <c r="G401" s="101"/>
      <c r="H401" s="98"/>
      <c r="I401" s="98"/>
      <c r="J401" s="98"/>
      <c r="K401" s="103"/>
      <c r="L401" s="104"/>
      <c r="M401" s="98"/>
      <c r="N401" s="77"/>
      <c r="O401" s="98"/>
      <c r="P401" s="98"/>
      <c r="Q401" s="98"/>
      <c r="R401" s="98"/>
      <c r="S401" s="98"/>
      <c r="T401" s="98"/>
      <c r="U401" s="98"/>
      <c r="V401" s="98"/>
      <c r="W401" s="60"/>
      <c r="X401" s="60"/>
      <c r="Y401" s="60"/>
    </row>
    <row r="402" ht="15.75" customHeight="1">
      <c r="A402" s="105"/>
      <c r="B402" s="106"/>
      <c r="C402" s="95"/>
      <c r="D402" s="95"/>
      <c r="E402" s="95"/>
      <c r="F402" s="107"/>
      <c r="G402" s="106"/>
      <c r="H402" s="95"/>
      <c r="I402" s="95"/>
      <c r="J402" s="95"/>
      <c r="K402" s="108"/>
      <c r="L402" s="109"/>
      <c r="M402" s="95"/>
      <c r="N402" s="77"/>
      <c r="O402" s="95"/>
      <c r="P402" s="95"/>
      <c r="Q402" s="95"/>
      <c r="R402" s="95"/>
      <c r="S402" s="95"/>
      <c r="T402" s="95"/>
      <c r="U402" s="95"/>
      <c r="V402" s="95"/>
      <c r="W402" s="60"/>
      <c r="X402" s="60"/>
      <c r="Y402" s="60"/>
    </row>
    <row r="403" ht="15.75" customHeight="1">
      <c r="A403" s="100"/>
      <c r="B403" s="101"/>
      <c r="C403" s="98"/>
      <c r="D403" s="98"/>
      <c r="E403" s="98"/>
      <c r="F403" s="102"/>
      <c r="G403" s="101"/>
      <c r="H403" s="98"/>
      <c r="I403" s="98"/>
      <c r="J403" s="98"/>
      <c r="K403" s="103"/>
      <c r="L403" s="104"/>
      <c r="M403" s="98"/>
      <c r="N403" s="77"/>
      <c r="O403" s="98"/>
      <c r="P403" s="98"/>
      <c r="Q403" s="98"/>
      <c r="R403" s="98"/>
      <c r="S403" s="98"/>
      <c r="T403" s="98"/>
      <c r="U403" s="98"/>
      <c r="V403" s="98"/>
      <c r="W403" s="60"/>
      <c r="X403" s="60"/>
      <c r="Y403" s="60"/>
    </row>
    <row r="404" ht="15.75" customHeight="1">
      <c r="A404" s="105"/>
      <c r="B404" s="106"/>
      <c r="C404" s="95"/>
      <c r="D404" s="95"/>
      <c r="E404" s="95"/>
      <c r="F404" s="107"/>
      <c r="G404" s="106"/>
      <c r="H404" s="95"/>
      <c r="I404" s="95"/>
      <c r="J404" s="95"/>
      <c r="K404" s="108"/>
      <c r="L404" s="109"/>
      <c r="M404" s="95"/>
      <c r="N404" s="77"/>
      <c r="O404" s="95"/>
      <c r="P404" s="95"/>
      <c r="Q404" s="95"/>
      <c r="R404" s="95"/>
      <c r="S404" s="95"/>
      <c r="T404" s="95"/>
      <c r="U404" s="95"/>
      <c r="V404" s="95"/>
      <c r="W404" s="60"/>
      <c r="X404" s="60"/>
      <c r="Y404" s="60"/>
    </row>
    <row r="405" ht="15.75" customHeight="1">
      <c r="A405" s="100"/>
      <c r="B405" s="101"/>
      <c r="C405" s="98"/>
      <c r="D405" s="98"/>
      <c r="E405" s="98"/>
      <c r="F405" s="102"/>
      <c r="G405" s="101"/>
      <c r="H405" s="98"/>
      <c r="I405" s="98"/>
      <c r="J405" s="98"/>
      <c r="K405" s="103"/>
      <c r="L405" s="104"/>
      <c r="M405" s="98"/>
      <c r="N405" s="77"/>
      <c r="O405" s="98"/>
      <c r="P405" s="98"/>
      <c r="Q405" s="98"/>
      <c r="R405" s="98"/>
      <c r="S405" s="98"/>
      <c r="T405" s="98"/>
      <c r="U405" s="98"/>
      <c r="V405" s="98"/>
      <c r="W405" s="60"/>
      <c r="X405" s="60"/>
      <c r="Y405" s="60"/>
    </row>
    <row r="406" ht="15.75" customHeight="1">
      <c r="A406" s="105"/>
      <c r="B406" s="106"/>
      <c r="C406" s="95"/>
      <c r="D406" s="95"/>
      <c r="E406" s="95"/>
      <c r="F406" s="107"/>
      <c r="G406" s="106"/>
      <c r="H406" s="95"/>
      <c r="I406" s="95"/>
      <c r="J406" s="95"/>
      <c r="K406" s="108"/>
      <c r="L406" s="109"/>
      <c r="M406" s="95"/>
      <c r="N406" s="77"/>
      <c r="O406" s="95"/>
      <c r="P406" s="95"/>
      <c r="Q406" s="95"/>
      <c r="R406" s="95"/>
      <c r="S406" s="95"/>
      <c r="T406" s="95"/>
      <c r="U406" s="95"/>
      <c r="V406" s="95"/>
      <c r="W406" s="60"/>
      <c r="X406" s="60"/>
      <c r="Y406" s="60"/>
    </row>
    <row r="407" ht="15.75" customHeight="1">
      <c r="A407" s="100"/>
      <c r="B407" s="101"/>
      <c r="C407" s="98"/>
      <c r="D407" s="98"/>
      <c r="E407" s="98"/>
      <c r="F407" s="102"/>
      <c r="G407" s="101"/>
      <c r="H407" s="98"/>
      <c r="I407" s="98"/>
      <c r="J407" s="98"/>
      <c r="K407" s="103"/>
      <c r="L407" s="104"/>
      <c r="M407" s="98"/>
      <c r="N407" s="77"/>
      <c r="O407" s="98"/>
      <c r="P407" s="98"/>
      <c r="Q407" s="98"/>
      <c r="R407" s="98"/>
      <c r="S407" s="98"/>
      <c r="T407" s="98"/>
      <c r="U407" s="98"/>
      <c r="V407" s="98"/>
      <c r="W407" s="60"/>
      <c r="X407" s="60"/>
      <c r="Y407" s="60"/>
    </row>
    <row r="408" ht="15.75" customHeight="1">
      <c r="A408" s="105"/>
      <c r="B408" s="106"/>
      <c r="C408" s="95"/>
      <c r="D408" s="95"/>
      <c r="E408" s="95"/>
      <c r="F408" s="107"/>
      <c r="G408" s="106"/>
      <c r="H408" s="95"/>
      <c r="I408" s="95"/>
      <c r="J408" s="95"/>
      <c r="K408" s="108"/>
      <c r="L408" s="109"/>
      <c r="M408" s="95"/>
      <c r="N408" s="77"/>
      <c r="O408" s="95"/>
      <c r="P408" s="95"/>
      <c r="Q408" s="95"/>
      <c r="R408" s="95"/>
      <c r="S408" s="95"/>
      <c r="T408" s="95"/>
      <c r="U408" s="95"/>
      <c r="V408" s="95"/>
      <c r="W408" s="60"/>
      <c r="X408" s="60"/>
      <c r="Y408" s="60"/>
    </row>
    <row r="409" ht="15.75" customHeight="1">
      <c r="A409" s="100"/>
      <c r="B409" s="101"/>
      <c r="C409" s="98"/>
      <c r="D409" s="98"/>
      <c r="E409" s="98"/>
      <c r="F409" s="102"/>
      <c r="G409" s="101"/>
      <c r="H409" s="98"/>
      <c r="I409" s="98"/>
      <c r="J409" s="98"/>
      <c r="K409" s="103"/>
      <c r="L409" s="104"/>
      <c r="M409" s="98"/>
      <c r="N409" s="77"/>
      <c r="O409" s="98"/>
      <c r="P409" s="98"/>
      <c r="Q409" s="98"/>
      <c r="R409" s="98"/>
      <c r="S409" s="98"/>
      <c r="T409" s="98"/>
      <c r="U409" s="98"/>
      <c r="V409" s="98"/>
      <c r="W409" s="60"/>
      <c r="X409" s="60"/>
      <c r="Y409" s="60"/>
    </row>
    <row r="410" ht="15.75" customHeight="1">
      <c r="A410" s="105"/>
      <c r="B410" s="106"/>
      <c r="C410" s="95"/>
      <c r="D410" s="95"/>
      <c r="E410" s="95"/>
      <c r="F410" s="107"/>
      <c r="G410" s="106"/>
      <c r="H410" s="95"/>
      <c r="I410" s="95"/>
      <c r="J410" s="95"/>
      <c r="K410" s="108"/>
      <c r="L410" s="109"/>
      <c r="M410" s="95"/>
      <c r="N410" s="77"/>
      <c r="O410" s="95"/>
      <c r="P410" s="95"/>
      <c r="Q410" s="95"/>
      <c r="R410" s="95"/>
      <c r="S410" s="95"/>
      <c r="T410" s="95"/>
      <c r="U410" s="95"/>
      <c r="V410" s="95"/>
      <c r="W410" s="60"/>
      <c r="X410" s="60"/>
      <c r="Y410" s="60"/>
    </row>
    <row r="411" ht="15.75" customHeight="1">
      <c r="A411" s="100"/>
      <c r="B411" s="101"/>
      <c r="C411" s="98"/>
      <c r="D411" s="98"/>
      <c r="E411" s="98"/>
      <c r="F411" s="102"/>
      <c r="G411" s="101"/>
      <c r="H411" s="98"/>
      <c r="I411" s="98"/>
      <c r="J411" s="98"/>
      <c r="K411" s="103"/>
      <c r="L411" s="104"/>
      <c r="M411" s="98"/>
      <c r="N411" s="77"/>
      <c r="O411" s="98"/>
      <c r="P411" s="98"/>
      <c r="Q411" s="98"/>
      <c r="R411" s="98"/>
      <c r="S411" s="98"/>
      <c r="T411" s="98"/>
      <c r="U411" s="98"/>
      <c r="V411" s="98"/>
      <c r="W411" s="60"/>
      <c r="X411" s="60"/>
      <c r="Y411" s="60"/>
    </row>
    <row r="412" ht="15.75" customHeight="1">
      <c r="A412" s="105"/>
      <c r="B412" s="106"/>
      <c r="C412" s="95"/>
      <c r="D412" s="95"/>
      <c r="E412" s="95"/>
      <c r="F412" s="107"/>
      <c r="G412" s="106"/>
      <c r="H412" s="95"/>
      <c r="I412" s="95"/>
      <c r="J412" s="95"/>
      <c r="K412" s="108"/>
      <c r="L412" s="109"/>
      <c r="M412" s="95"/>
      <c r="N412" s="77"/>
      <c r="O412" s="95"/>
      <c r="P412" s="95"/>
      <c r="Q412" s="95"/>
      <c r="R412" s="95"/>
      <c r="S412" s="95"/>
      <c r="T412" s="95"/>
      <c r="U412" s="95"/>
      <c r="V412" s="95"/>
      <c r="W412" s="60"/>
      <c r="X412" s="60"/>
      <c r="Y412" s="60"/>
    </row>
    <row r="413" ht="15.75" customHeight="1">
      <c r="A413" s="100"/>
      <c r="B413" s="101"/>
      <c r="C413" s="98"/>
      <c r="D413" s="98"/>
      <c r="E413" s="98"/>
      <c r="F413" s="102"/>
      <c r="G413" s="101"/>
      <c r="H413" s="98"/>
      <c r="I413" s="98"/>
      <c r="J413" s="98"/>
      <c r="K413" s="103"/>
      <c r="L413" s="104"/>
      <c r="M413" s="98"/>
      <c r="N413" s="77"/>
      <c r="O413" s="98"/>
      <c r="P413" s="98"/>
      <c r="Q413" s="98"/>
      <c r="R413" s="98"/>
      <c r="S413" s="98"/>
      <c r="T413" s="98"/>
      <c r="U413" s="98"/>
      <c r="V413" s="98"/>
      <c r="W413" s="60"/>
      <c r="X413" s="60"/>
      <c r="Y413" s="60"/>
    </row>
    <row r="414" ht="15.75" customHeight="1">
      <c r="A414" s="105"/>
      <c r="B414" s="106"/>
      <c r="C414" s="95"/>
      <c r="D414" s="95"/>
      <c r="E414" s="95"/>
      <c r="F414" s="107"/>
      <c r="G414" s="106"/>
      <c r="H414" s="95"/>
      <c r="I414" s="95"/>
      <c r="J414" s="95"/>
      <c r="K414" s="108"/>
      <c r="L414" s="109"/>
      <c r="M414" s="95"/>
      <c r="N414" s="77"/>
      <c r="O414" s="95"/>
      <c r="P414" s="95"/>
      <c r="Q414" s="95"/>
      <c r="R414" s="95"/>
      <c r="S414" s="95"/>
      <c r="T414" s="95"/>
      <c r="U414" s="95"/>
      <c r="V414" s="95"/>
      <c r="W414" s="60"/>
      <c r="X414" s="60"/>
      <c r="Y414" s="60"/>
    </row>
    <row r="415" ht="15.75" customHeight="1">
      <c r="A415" s="100"/>
      <c r="B415" s="101"/>
      <c r="C415" s="98"/>
      <c r="D415" s="98"/>
      <c r="E415" s="98"/>
      <c r="F415" s="102"/>
      <c r="G415" s="101"/>
      <c r="H415" s="98"/>
      <c r="I415" s="98"/>
      <c r="J415" s="98"/>
      <c r="K415" s="103"/>
      <c r="L415" s="104"/>
      <c r="M415" s="98"/>
      <c r="N415" s="77"/>
      <c r="O415" s="98"/>
      <c r="P415" s="98"/>
      <c r="Q415" s="98"/>
      <c r="R415" s="98"/>
      <c r="S415" s="98"/>
      <c r="T415" s="98"/>
      <c r="U415" s="98"/>
      <c r="V415" s="98"/>
      <c r="W415" s="60"/>
      <c r="X415" s="60"/>
      <c r="Y415" s="60"/>
    </row>
    <row r="416" ht="15.75" customHeight="1">
      <c r="A416" s="105"/>
      <c r="B416" s="106"/>
      <c r="C416" s="95"/>
      <c r="D416" s="95"/>
      <c r="E416" s="95"/>
      <c r="F416" s="107"/>
      <c r="G416" s="106"/>
      <c r="H416" s="95"/>
      <c r="I416" s="95"/>
      <c r="J416" s="95"/>
      <c r="K416" s="108"/>
      <c r="L416" s="109"/>
      <c r="M416" s="95"/>
      <c r="N416" s="77"/>
      <c r="O416" s="95"/>
      <c r="P416" s="95"/>
      <c r="Q416" s="95"/>
      <c r="R416" s="95"/>
      <c r="S416" s="95"/>
      <c r="T416" s="95"/>
      <c r="U416" s="95"/>
      <c r="V416" s="95"/>
      <c r="W416" s="60"/>
      <c r="X416" s="60"/>
      <c r="Y416" s="60"/>
    </row>
    <row r="417" ht="15.75" customHeight="1">
      <c r="A417" s="100"/>
      <c r="B417" s="101"/>
      <c r="C417" s="98"/>
      <c r="D417" s="98"/>
      <c r="E417" s="98"/>
      <c r="F417" s="102"/>
      <c r="G417" s="101"/>
      <c r="H417" s="98"/>
      <c r="I417" s="98"/>
      <c r="J417" s="98"/>
      <c r="K417" s="103"/>
      <c r="L417" s="104"/>
      <c r="M417" s="98"/>
      <c r="N417" s="77"/>
      <c r="O417" s="98"/>
      <c r="P417" s="98"/>
      <c r="Q417" s="98"/>
      <c r="R417" s="98"/>
      <c r="S417" s="98"/>
      <c r="T417" s="98"/>
      <c r="U417" s="98"/>
      <c r="V417" s="98"/>
      <c r="W417" s="60"/>
      <c r="X417" s="60"/>
      <c r="Y417" s="60"/>
    </row>
    <row r="418" ht="15.75" customHeight="1">
      <c r="A418" s="105"/>
      <c r="B418" s="106"/>
      <c r="C418" s="95"/>
      <c r="D418" s="95"/>
      <c r="E418" s="95"/>
      <c r="F418" s="107"/>
      <c r="G418" s="106"/>
      <c r="H418" s="95"/>
      <c r="I418" s="95"/>
      <c r="J418" s="95"/>
      <c r="K418" s="108"/>
      <c r="L418" s="109"/>
      <c r="M418" s="95"/>
      <c r="N418" s="77"/>
      <c r="O418" s="95"/>
      <c r="P418" s="95"/>
      <c r="Q418" s="95"/>
      <c r="R418" s="95"/>
      <c r="S418" s="95"/>
      <c r="T418" s="95"/>
      <c r="U418" s="95"/>
      <c r="V418" s="95"/>
      <c r="W418" s="60"/>
      <c r="X418" s="60"/>
      <c r="Y418" s="60"/>
    </row>
    <row r="419" ht="15.75" customHeight="1">
      <c r="A419" s="100"/>
      <c r="B419" s="101"/>
      <c r="C419" s="98"/>
      <c r="D419" s="98"/>
      <c r="E419" s="98"/>
      <c r="F419" s="102"/>
      <c r="G419" s="101"/>
      <c r="H419" s="98"/>
      <c r="I419" s="98"/>
      <c r="J419" s="98"/>
      <c r="K419" s="103"/>
      <c r="L419" s="104"/>
      <c r="M419" s="98"/>
      <c r="N419" s="77"/>
      <c r="O419" s="98"/>
      <c r="P419" s="98"/>
      <c r="Q419" s="98"/>
      <c r="R419" s="98"/>
      <c r="S419" s="98"/>
      <c r="T419" s="98"/>
      <c r="U419" s="98"/>
      <c r="V419" s="98"/>
      <c r="W419" s="60"/>
      <c r="X419" s="60"/>
      <c r="Y419" s="60"/>
    </row>
    <row r="420" ht="15.75" customHeight="1">
      <c r="A420" s="105"/>
      <c r="B420" s="106"/>
      <c r="C420" s="95"/>
      <c r="D420" s="95"/>
      <c r="E420" s="95"/>
      <c r="F420" s="107"/>
      <c r="G420" s="106"/>
      <c r="H420" s="95"/>
      <c r="I420" s="95"/>
      <c r="J420" s="95"/>
      <c r="K420" s="108"/>
      <c r="L420" s="109"/>
      <c r="M420" s="95"/>
      <c r="N420" s="77"/>
      <c r="O420" s="95"/>
      <c r="P420" s="95"/>
      <c r="Q420" s="95"/>
      <c r="R420" s="95"/>
      <c r="S420" s="95"/>
      <c r="T420" s="95"/>
      <c r="U420" s="95"/>
      <c r="V420" s="95"/>
      <c r="W420" s="60"/>
      <c r="X420" s="60"/>
      <c r="Y420" s="60"/>
    </row>
    <row r="421" ht="15.75" customHeight="1">
      <c r="A421" s="100"/>
      <c r="B421" s="101"/>
      <c r="C421" s="98"/>
      <c r="D421" s="98"/>
      <c r="E421" s="98"/>
      <c r="F421" s="102"/>
      <c r="G421" s="101"/>
      <c r="H421" s="98"/>
      <c r="I421" s="98"/>
      <c r="J421" s="98"/>
      <c r="K421" s="103"/>
      <c r="L421" s="104"/>
      <c r="M421" s="98"/>
      <c r="N421" s="77"/>
      <c r="O421" s="98"/>
      <c r="P421" s="98"/>
      <c r="Q421" s="98"/>
      <c r="R421" s="98"/>
      <c r="S421" s="98"/>
      <c r="T421" s="98"/>
      <c r="U421" s="98"/>
      <c r="V421" s="98"/>
      <c r="W421" s="60"/>
      <c r="X421" s="60"/>
      <c r="Y421" s="60"/>
    </row>
    <row r="422" ht="15.75" customHeight="1">
      <c r="A422" s="105"/>
      <c r="B422" s="106"/>
      <c r="C422" s="95"/>
      <c r="D422" s="95"/>
      <c r="E422" s="95"/>
      <c r="F422" s="107"/>
      <c r="G422" s="106"/>
      <c r="H422" s="95"/>
      <c r="I422" s="95"/>
      <c r="J422" s="95"/>
      <c r="K422" s="108"/>
      <c r="L422" s="109"/>
      <c r="M422" s="95"/>
      <c r="N422" s="77"/>
      <c r="O422" s="95"/>
      <c r="P422" s="95"/>
      <c r="Q422" s="95"/>
      <c r="R422" s="95"/>
      <c r="S422" s="95"/>
      <c r="T422" s="95"/>
      <c r="U422" s="95"/>
      <c r="V422" s="95"/>
      <c r="W422" s="60"/>
      <c r="X422" s="60"/>
      <c r="Y422" s="60"/>
    </row>
    <row r="423" ht="15.75" customHeight="1">
      <c r="A423" s="100"/>
      <c r="B423" s="101"/>
      <c r="C423" s="98"/>
      <c r="D423" s="98"/>
      <c r="E423" s="98"/>
      <c r="F423" s="102"/>
      <c r="G423" s="101"/>
      <c r="H423" s="98"/>
      <c r="I423" s="98"/>
      <c r="J423" s="98"/>
      <c r="K423" s="103"/>
      <c r="L423" s="104"/>
      <c r="M423" s="98"/>
      <c r="N423" s="77"/>
      <c r="O423" s="98"/>
      <c r="P423" s="98"/>
      <c r="Q423" s="98"/>
      <c r="R423" s="98"/>
      <c r="S423" s="98"/>
      <c r="T423" s="98"/>
      <c r="U423" s="98"/>
      <c r="V423" s="98"/>
      <c r="W423" s="60"/>
      <c r="X423" s="60"/>
      <c r="Y423" s="60"/>
    </row>
    <row r="424" ht="15.75" customHeight="1">
      <c r="A424" s="105"/>
      <c r="B424" s="106"/>
      <c r="C424" s="95"/>
      <c r="D424" s="95"/>
      <c r="E424" s="95"/>
      <c r="F424" s="107"/>
      <c r="G424" s="106"/>
      <c r="H424" s="95"/>
      <c r="I424" s="95"/>
      <c r="J424" s="95"/>
      <c r="K424" s="108"/>
      <c r="L424" s="109"/>
      <c r="M424" s="95"/>
      <c r="N424" s="77"/>
      <c r="O424" s="95"/>
      <c r="P424" s="95"/>
      <c r="Q424" s="95"/>
      <c r="R424" s="95"/>
      <c r="S424" s="95"/>
      <c r="T424" s="95"/>
      <c r="U424" s="95"/>
      <c r="V424" s="95"/>
      <c r="W424" s="60"/>
      <c r="X424" s="60"/>
      <c r="Y424" s="60"/>
    </row>
    <row r="425" ht="15.75" customHeight="1">
      <c r="A425" s="100"/>
      <c r="B425" s="101"/>
      <c r="C425" s="98"/>
      <c r="D425" s="98"/>
      <c r="E425" s="98"/>
      <c r="F425" s="102"/>
      <c r="G425" s="101"/>
      <c r="H425" s="98"/>
      <c r="I425" s="98"/>
      <c r="J425" s="98"/>
      <c r="K425" s="103"/>
      <c r="L425" s="104"/>
      <c r="M425" s="98"/>
      <c r="N425" s="77"/>
      <c r="O425" s="98"/>
      <c r="P425" s="98"/>
      <c r="Q425" s="98"/>
      <c r="R425" s="98"/>
      <c r="S425" s="98"/>
      <c r="T425" s="98"/>
      <c r="U425" s="98"/>
      <c r="V425" s="98"/>
      <c r="W425" s="60"/>
      <c r="X425" s="60"/>
      <c r="Y425" s="60"/>
    </row>
    <row r="426" ht="15.75" customHeight="1">
      <c r="A426" s="105"/>
      <c r="B426" s="106"/>
      <c r="C426" s="95"/>
      <c r="D426" s="95"/>
      <c r="E426" s="95"/>
      <c r="F426" s="107"/>
      <c r="G426" s="106"/>
      <c r="H426" s="95"/>
      <c r="I426" s="95"/>
      <c r="J426" s="95"/>
      <c r="K426" s="108"/>
      <c r="L426" s="109"/>
      <c r="M426" s="95"/>
      <c r="N426" s="77"/>
      <c r="O426" s="95"/>
      <c r="P426" s="95"/>
      <c r="Q426" s="95"/>
      <c r="R426" s="95"/>
      <c r="S426" s="95"/>
      <c r="T426" s="95"/>
      <c r="U426" s="95"/>
      <c r="V426" s="95"/>
      <c r="W426" s="60"/>
      <c r="X426" s="60"/>
      <c r="Y426" s="60"/>
    </row>
    <row r="427" ht="15.75" customHeight="1">
      <c r="A427" s="100"/>
      <c r="B427" s="101"/>
      <c r="C427" s="98"/>
      <c r="D427" s="98"/>
      <c r="E427" s="98"/>
      <c r="F427" s="102"/>
      <c r="G427" s="101"/>
      <c r="H427" s="98"/>
      <c r="I427" s="98"/>
      <c r="J427" s="98"/>
      <c r="K427" s="103"/>
      <c r="L427" s="104"/>
      <c r="M427" s="98"/>
      <c r="N427" s="77"/>
      <c r="O427" s="98"/>
      <c r="P427" s="98"/>
      <c r="Q427" s="98"/>
      <c r="R427" s="98"/>
      <c r="S427" s="98"/>
      <c r="T427" s="98"/>
      <c r="U427" s="98"/>
      <c r="V427" s="98"/>
      <c r="W427" s="60"/>
      <c r="X427" s="60"/>
      <c r="Y427" s="60"/>
    </row>
    <row r="428" ht="15.75" customHeight="1">
      <c r="A428" s="105"/>
      <c r="B428" s="106"/>
      <c r="C428" s="95"/>
      <c r="D428" s="95"/>
      <c r="E428" s="95"/>
      <c r="F428" s="107"/>
      <c r="G428" s="106"/>
      <c r="H428" s="95"/>
      <c r="I428" s="95"/>
      <c r="J428" s="95"/>
      <c r="K428" s="108"/>
      <c r="L428" s="109"/>
      <c r="M428" s="95"/>
      <c r="N428" s="77"/>
      <c r="O428" s="95"/>
      <c r="P428" s="95"/>
      <c r="Q428" s="95"/>
      <c r="R428" s="95"/>
      <c r="S428" s="95"/>
      <c r="T428" s="95"/>
      <c r="U428" s="95"/>
      <c r="V428" s="95"/>
      <c r="W428" s="60"/>
      <c r="X428" s="60"/>
      <c r="Y428" s="60"/>
    </row>
    <row r="429" ht="15.75" customHeight="1">
      <c r="A429" s="100"/>
      <c r="B429" s="101"/>
      <c r="C429" s="98"/>
      <c r="D429" s="98"/>
      <c r="E429" s="98"/>
      <c r="F429" s="102"/>
      <c r="G429" s="101"/>
      <c r="H429" s="98"/>
      <c r="I429" s="98"/>
      <c r="J429" s="98"/>
      <c r="K429" s="103"/>
      <c r="L429" s="104"/>
      <c r="M429" s="98"/>
      <c r="N429" s="77"/>
      <c r="O429" s="98"/>
      <c r="P429" s="98"/>
      <c r="Q429" s="98"/>
      <c r="R429" s="98"/>
      <c r="S429" s="98"/>
      <c r="T429" s="98"/>
      <c r="U429" s="98"/>
      <c r="V429" s="98"/>
      <c r="W429" s="60"/>
      <c r="X429" s="60"/>
      <c r="Y429" s="60"/>
    </row>
    <row r="430" ht="15.75" customHeight="1">
      <c r="A430" s="105"/>
      <c r="B430" s="106"/>
      <c r="C430" s="95"/>
      <c r="D430" s="95"/>
      <c r="E430" s="95"/>
      <c r="F430" s="107"/>
      <c r="G430" s="106"/>
      <c r="H430" s="95"/>
      <c r="I430" s="95"/>
      <c r="J430" s="95"/>
      <c r="K430" s="108"/>
      <c r="L430" s="109"/>
      <c r="M430" s="95"/>
      <c r="N430" s="77"/>
      <c r="O430" s="95"/>
      <c r="P430" s="95"/>
      <c r="Q430" s="95"/>
      <c r="R430" s="95"/>
      <c r="S430" s="95"/>
      <c r="T430" s="95"/>
      <c r="U430" s="95"/>
      <c r="V430" s="95"/>
      <c r="W430" s="60"/>
      <c r="X430" s="60"/>
      <c r="Y430" s="60"/>
    </row>
    <row r="431" ht="15.75" customHeight="1">
      <c r="A431" s="100"/>
      <c r="B431" s="101"/>
      <c r="C431" s="98"/>
      <c r="D431" s="98"/>
      <c r="E431" s="98"/>
      <c r="F431" s="102"/>
      <c r="G431" s="101"/>
      <c r="H431" s="98"/>
      <c r="I431" s="98"/>
      <c r="J431" s="98"/>
      <c r="K431" s="103"/>
      <c r="L431" s="104"/>
      <c r="M431" s="98"/>
      <c r="N431" s="77"/>
      <c r="O431" s="98"/>
      <c r="P431" s="98"/>
      <c r="Q431" s="98"/>
      <c r="R431" s="98"/>
      <c r="S431" s="98"/>
      <c r="T431" s="98"/>
      <c r="U431" s="98"/>
      <c r="V431" s="98"/>
      <c r="W431" s="60"/>
      <c r="X431" s="60"/>
      <c r="Y431" s="60"/>
    </row>
    <row r="432" ht="15.75" customHeight="1">
      <c r="A432" s="105"/>
      <c r="B432" s="106"/>
      <c r="C432" s="95"/>
      <c r="D432" s="95"/>
      <c r="E432" s="95"/>
      <c r="F432" s="107"/>
      <c r="G432" s="106"/>
      <c r="H432" s="95"/>
      <c r="I432" s="95"/>
      <c r="J432" s="95"/>
      <c r="K432" s="108"/>
      <c r="L432" s="109"/>
      <c r="M432" s="95"/>
      <c r="N432" s="77"/>
      <c r="O432" s="95"/>
      <c r="P432" s="95"/>
      <c r="Q432" s="95"/>
      <c r="R432" s="95"/>
      <c r="S432" s="95"/>
      <c r="T432" s="95"/>
      <c r="U432" s="95"/>
      <c r="V432" s="95"/>
      <c r="W432" s="60"/>
      <c r="X432" s="60"/>
      <c r="Y432" s="60"/>
    </row>
    <row r="433" ht="15.75" customHeight="1">
      <c r="A433" s="100"/>
      <c r="B433" s="101"/>
      <c r="C433" s="98"/>
      <c r="D433" s="98"/>
      <c r="E433" s="98"/>
      <c r="F433" s="102"/>
      <c r="G433" s="101"/>
      <c r="H433" s="98"/>
      <c r="I433" s="98"/>
      <c r="J433" s="98"/>
      <c r="K433" s="103"/>
      <c r="L433" s="104"/>
      <c r="M433" s="98"/>
      <c r="N433" s="77"/>
      <c r="O433" s="98"/>
      <c r="P433" s="98"/>
      <c r="Q433" s="98"/>
      <c r="R433" s="98"/>
      <c r="S433" s="98"/>
      <c r="T433" s="98"/>
      <c r="U433" s="98"/>
      <c r="V433" s="98"/>
      <c r="W433" s="60"/>
      <c r="X433" s="60"/>
      <c r="Y433" s="60"/>
    </row>
    <row r="434" ht="15.75" customHeight="1">
      <c r="A434" s="105"/>
      <c r="B434" s="106"/>
      <c r="C434" s="95"/>
      <c r="D434" s="95"/>
      <c r="E434" s="95"/>
      <c r="F434" s="107"/>
      <c r="G434" s="106"/>
      <c r="H434" s="95"/>
      <c r="I434" s="95"/>
      <c r="J434" s="95"/>
      <c r="K434" s="108"/>
      <c r="L434" s="109"/>
      <c r="M434" s="95"/>
      <c r="N434" s="77"/>
      <c r="O434" s="95"/>
      <c r="P434" s="95"/>
      <c r="Q434" s="95"/>
      <c r="R434" s="95"/>
      <c r="S434" s="95"/>
      <c r="T434" s="95"/>
      <c r="U434" s="95"/>
      <c r="V434" s="95"/>
      <c r="W434" s="60"/>
      <c r="X434" s="60"/>
      <c r="Y434" s="60"/>
    </row>
    <row r="435" ht="15.75" customHeight="1">
      <c r="A435" s="100"/>
      <c r="B435" s="101"/>
      <c r="C435" s="98"/>
      <c r="D435" s="98"/>
      <c r="E435" s="98"/>
      <c r="F435" s="102"/>
      <c r="G435" s="101"/>
      <c r="H435" s="98"/>
      <c r="I435" s="98"/>
      <c r="J435" s="98"/>
      <c r="K435" s="103"/>
      <c r="L435" s="104"/>
      <c r="M435" s="98"/>
      <c r="N435" s="77"/>
      <c r="O435" s="98"/>
      <c r="P435" s="98"/>
      <c r="Q435" s="98"/>
      <c r="R435" s="98"/>
      <c r="S435" s="98"/>
      <c r="T435" s="98"/>
      <c r="U435" s="98"/>
      <c r="V435" s="98"/>
      <c r="W435" s="60"/>
      <c r="X435" s="60"/>
      <c r="Y435" s="60"/>
    </row>
    <row r="436" ht="15.75" customHeight="1">
      <c r="A436" s="105"/>
      <c r="B436" s="106"/>
      <c r="C436" s="95"/>
      <c r="D436" s="95"/>
      <c r="E436" s="95"/>
      <c r="F436" s="107"/>
      <c r="G436" s="106"/>
      <c r="H436" s="95"/>
      <c r="I436" s="95"/>
      <c r="J436" s="95"/>
      <c r="K436" s="108"/>
      <c r="L436" s="109"/>
      <c r="M436" s="95"/>
      <c r="N436" s="77"/>
      <c r="O436" s="95"/>
      <c r="P436" s="95"/>
      <c r="Q436" s="95"/>
      <c r="R436" s="95"/>
      <c r="S436" s="95"/>
      <c r="T436" s="95"/>
      <c r="U436" s="95"/>
      <c r="V436" s="95"/>
      <c r="W436" s="60"/>
      <c r="X436" s="60"/>
      <c r="Y436" s="60"/>
    </row>
    <row r="437" ht="15.75" customHeight="1">
      <c r="A437" s="100"/>
      <c r="B437" s="101"/>
      <c r="C437" s="98"/>
      <c r="D437" s="98"/>
      <c r="E437" s="98"/>
      <c r="F437" s="102"/>
      <c r="G437" s="101"/>
      <c r="H437" s="98"/>
      <c r="I437" s="98"/>
      <c r="J437" s="98"/>
      <c r="K437" s="103"/>
      <c r="L437" s="104"/>
      <c r="M437" s="98"/>
      <c r="N437" s="77"/>
      <c r="O437" s="98"/>
      <c r="P437" s="98"/>
      <c r="Q437" s="98"/>
      <c r="R437" s="98"/>
      <c r="S437" s="98"/>
      <c r="T437" s="98"/>
      <c r="U437" s="98"/>
      <c r="V437" s="98"/>
      <c r="W437" s="60"/>
      <c r="X437" s="60"/>
      <c r="Y437" s="60"/>
    </row>
    <row r="438" ht="15.75" customHeight="1">
      <c r="A438" s="105"/>
      <c r="B438" s="106"/>
      <c r="C438" s="95"/>
      <c r="D438" s="95"/>
      <c r="E438" s="95"/>
      <c r="F438" s="107"/>
      <c r="G438" s="106"/>
      <c r="H438" s="95"/>
      <c r="I438" s="95"/>
      <c r="J438" s="95"/>
      <c r="K438" s="108"/>
      <c r="L438" s="109"/>
      <c r="M438" s="95"/>
      <c r="N438" s="77"/>
      <c r="O438" s="95"/>
      <c r="P438" s="95"/>
      <c r="Q438" s="95"/>
      <c r="R438" s="95"/>
      <c r="S438" s="95"/>
      <c r="T438" s="95"/>
      <c r="U438" s="95"/>
      <c r="V438" s="95"/>
      <c r="W438" s="60"/>
      <c r="X438" s="60"/>
      <c r="Y438" s="60"/>
    </row>
    <row r="439" ht="15.75" customHeight="1">
      <c r="A439" s="100"/>
      <c r="B439" s="101"/>
      <c r="C439" s="98"/>
      <c r="D439" s="98"/>
      <c r="E439" s="98"/>
      <c r="F439" s="102"/>
      <c r="G439" s="101"/>
      <c r="H439" s="98"/>
      <c r="I439" s="98"/>
      <c r="J439" s="98"/>
      <c r="K439" s="103"/>
      <c r="L439" s="104"/>
      <c r="M439" s="98"/>
      <c r="N439" s="77"/>
      <c r="O439" s="98"/>
      <c r="P439" s="98"/>
      <c r="Q439" s="98"/>
      <c r="R439" s="98"/>
      <c r="S439" s="98"/>
      <c r="T439" s="98"/>
      <c r="U439" s="98"/>
      <c r="V439" s="98"/>
      <c r="W439" s="60"/>
      <c r="X439" s="60"/>
      <c r="Y439" s="60"/>
    </row>
    <row r="440" ht="15.75" customHeight="1">
      <c r="A440" s="105"/>
      <c r="B440" s="106"/>
      <c r="C440" s="95"/>
      <c r="D440" s="95"/>
      <c r="E440" s="95"/>
      <c r="F440" s="107"/>
      <c r="G440" s="106"/>
      <c r="H440" s="95"/>
      <c r="I440" s="95"/>
      <c r="J440" s="95"/>
      <c r="K440" s="108"/>
      <c r="L440" s="109"/>
      <c r="M440" s="95"/>
      <c r="N440" s="77"/>
      <c r="O440" s="95"/>
      <c r="P440" s="95"/>
      <c r="Q440" s="95"/>
      <c r="R440" s="95"/>
      <c r="S440" s="95"/>
      <c r="T440" s="95"/>
      <c r="U440" s="95"/>
      <c r="V440" s="95"/>
      <c r="W440" s="60"/>
      <c r="X440" s="60"/>
      <c r="Y440" s="60"/>
    </row>
    <row r="441" ht="15.75" customHeight="1">
      <c r="A441" s="100"/>
      <c r="B441" s="101"/>
      <c r="C441" s="98"/>
      <c r="D441" s="98"/>
      <c r="E441" s="98"/>
      <c r="F441" s="102"/>
      <c r="G441" s="101"/>
      <c r="H441" s="98"/>
      <c r="I441" s="98"/>
      <c r="J441" s="98"/>
      <c r="K441" s="103"/>
      <c r="L441" s="104"/>
      <c r="M441" s="98"/>
      <c r="N441" s="77"/>
      <c r="O441" s="98"/>
      <c r="P441" s="98"/>
      <c r="Q441" s="98"/>
      <c r="R441" s="98"/>
      <c r="S441" s="98"/>
      <c r="T441" s="98"/>
      <c r="U441" s="98"/>
      <c r="V441" s="98"/>
      <c r="W441" s="60"/>
      <c r="X441" s="60"/>
      <c r="Y441" s="60"/>
    </row>
    <row r="442" ht="15.75" customHeight="1">
      <c r="A442" s="105"/>
      <c r="B442" s="106"/>
      <c r="C442" s="95"/>
      <c r="D442" s="95"/>
      <c r="E442" s="95"/>
      <c r="F442" s="107"/>
      <c r="G442" s="106"/>
      <c r="H442" s="95"/>
      <c r="I442" s="95"/>
      <c r="J442" s="95"/>
      <c r="K442" s="108"/>
      <c r="L442" s="109"/>
      <c r="M442" s="95"/>
      <c r="N442" s="77"/>
      <c r="O442" s="95"/>
      <c r="P442" s="95"/>
      <c r="Q442" s="95"/>
      <c r="R442" s="95"/>
      <c r="S442" s="95"/>
      <c r="T442" s="95"/>
      <c r="U442" s="95"/>
      <c r="V442" s="95"/>
      <c r="W442" s="60"/>
      <c r="X442" s="60"/>
      <c r="Y442" s="60"/>
    </row>
    <row r="443" ht="15.75" customHeight="1">
      <c r="A443" s="100"/>
      <c r="B443" s="101"/>
      <c r="C443" s="98"/>
      <c r="D443" s="98"/>
      <c r="E443" s="98"/>
      <c r="F443" s="102"/>
      <c r="G443" s="101"/>
      <c r="H443" s="98"/>
      <c r="I443" s="98"/>
      <c r="J443" s="98"/>
      <c r="K443" s="103"/>
      <c r="L443" s="104"/>
      <c r="M443" s="98"/>
      <c r="N443" s="77"/>
      <c r="O443" s="98"/>
      <c r="P443" s="98"/>
      <c r="Q443" s="98"/>
      <c r="R443" s="98"/>
      <c r="S443" s="98"/>
      <c r="T443" s="98"/>
      <c r="U443" s="98"/>
      <c r="V443" s="98"/>
      <c r="W443" s="60"/>
      <c r="X443" s="60"/>
      <c r="Y443" s="60"/>
    </row>
    <row r="444" ht="15.75" customHeight="1">
      <c r="A444" s="105"/>
      <c r="B444" s="106"/>
      <c r="C444" s="95"/>
      <c r="D444" s="95"/>
      <c r="E444" s="95"/>
      <c r="F444" s="107"/>
      <c r="G444" s="106"/>
      <c r="H444" s="95"/>
      <c r="I444" s="95"/>
      <c r="J444" s="95"/>
      <c r="K444" s="108"/>
      <c r="L444" s="109"/>
      <c r="M444" s="95"/>
      <c r="N444" s="77"/>
      <c r="O444" s="95"/>
      <c r="P444" s="95"/>
      <c r="Q444" s="95"/>
      <c r="R444" s="95"/>
      <c r="S444" s="95"/>
      <c r="T444" s="95"/>
      <c r="U444" s="95"/>
      <c r="V444" s="95"/>
      <c r="W444" s="60"/>
      <c r="X444" s="60"/>
      <c r="Y444" s="60"/>
    </row>
    <row r="445" ht="15.75" customHeight="1">
      <c r="A445" s="100"/>
      <c r="B445" s="101"/>
      <c r="C445" s="98"/>
      <c r="D445" s="98"/>
      <c r="E445" s="98"/>
      <c r="F445" s="102"/>
      <c r="G445" s="101"/>
      <c r="H445" s="98"/>
      <c r="I445" s="98"/>
      <c r="J445" s="98"/>
      <c r="K445" s="103"/>
      <c r="L445" s="104"/>
      <c r="M445" s="98"/>
      <c r="N445" s="77"/>
      <c r="O445" s="98"/>
      <c r="P445" s="98"/>
      <c r="Q445" s="98"/>
      <c r="R445" s="98"/>
      <c r="S445" s="98"/>
      <c r="T445" s="98"/>
      <c r="U445" s="98"/>
      <c r="V445" s="98"/>
      <c r="W445" s="60"/>
      <c r="X445" s="60"/>
      <c r="Y445" s="60"/>
    </row>
    <row r="446" ht="15.75" customHeight="1">
      <c r="A446" s="105"/>
      <c r="B446" s="106"/>
      <c r="C446" s="95"/>
      <c r="D446" s="95"/>
      <c r="E446" s="95"/>
      <c r="F446" s="107"/>
      <c r="G446" s="106"/>
      <c r="H446" s="95"/>
      <c r="I446" s="95"/>
      <c r="J446" s="95"/>
      <c r="K446" s="108"/>
      <c r="L446" s="109"/>
      <c r="M446" s="95"/>
      <c r="N446" s="77"/>
      <c r="O446" s="95"/>
      <c r="P446" s="95"/>
      <c r="Q446" s="95"/>
      <c r="R446" s="95"/>
      <c r="S446" s="95"/>
      <c r="T446" s="95"/>
      <c r="U446" s="95"/>
      <c r="V446" s="95"/>
      <c r="W446" s="60"/>
      <c r="X446" s="60"/>
      <c r="Y446" s="60"/>
    </row>
    <row r="447" ht="15.75" customHeight="1">
      <c r="A447" s="100"/>
      <c r="B447" s="101"/>
      <c r="C447" s="98"/>
      <c r="D447" s="98"/>
      <c r="E447" s="98"/>
      <c r="F447" s="102"/>
      <c r="G447" s="101"/>
      <c r="H447" s="98"/>
      <c r="I447" s="98"/>
      <c r="J447" s="98"/>
      <c r="K447" s="103"/>
      <c r="L447" s="104"/>
      <c r="M447" s="98"/>
      <c r="N447" s="77"/>
      <c r="O447" s="98"/>
      <c r="P447" s="98"/>
      <c r="Q447" s="98"/>
      <c r="R447" s="98"/>
      <c r="S447" s="98"/>
      <c r="T447" s="98"/>
      <c r="U447" s="98"/>
      <c r="V447" s="98"/>
      <c r="W447" s="60"/>
      <c r="X447" s="60"/>
      <c r="Y447" s="60"/>
    </row>
    <row r="448" ht="15.75" customHeight="1">
      <c r="A448" s="105"/>
      <c r="B448" s="106"/>
      <c r="C448" s="95"/>
      <c r="D448" s="95"/>
      <c r="E448" s="95"/>
      <c r="F448" s="107"/>
      <c r="G448" s="106"/>
      <c r="H448" s="95"/>
      <c r="I448" s="95"/>
      <c r="J448" s="95"/>
      <c r="K448" s="108"/>
      <c r="L448" s="109"/>
      <c r="M448" s="95"/>
      <c r="N448" s="77"/>
      <c r="O448" s="95"/>
      <c r="P448" s="95"/>
      <c r="Q448" s="95"/>
      <c r="R448" s="95"/>
      <c r="S448" s="95"/>
      <c r="T448" s="95"/>
      <c r="U448" s="95"/>
      <c r="V448" s="95"/>
      <c r="W448" s="60"/>
      <c r="X448" s="60"/>
      <c r="Y448" s="60"/>
    </row>
    <row r="449" ht="15.75" customHeight="1">
      <c r="A449" s="100"/>
      <c r="B449" s="101"/>
      <c r="C449" s="98"/>
      <c r="D449" s="98"/>
      <c r="E449" s="98"/>
      <c r="F449" s="102"/>
      <c r="G449" s="101"/>
      <c r="H449" s="98"/>
      <c r="I449" s="98"/>
      <c r="J449" s="98"/>
      <c r="K449" s="103"/>
      <c r="L449" s="104"/>
      <c r="M449" s="98"/>
      <c r="N449" s="77"/>
      <c r="O449" s="98"/>
      <c r="P449" s="98"/>
      <c r="Q449" s="98"/>
      <c r="R449" s="98"/>
      <c r="S449" s="98"/>
      <c r="T449" s="98"/>
      <c r="U449" s="98"/>
      <c r="V449" s="98"/>
      <c r="W449" s="60"/>
      <c r="X449" s="60"/>
      <c r="Y449" s="60"/>
    </row>
    <row r="450" ht="15.75" customHeight="1">
      <c r="A450" s="105"/>
      <c r="B450" s="106"/>
      <c r="C450" s="95"/>
      <c r="D450" s="95"/>
      <c r="E450" s="95"/>
      <c r="F450" s="107"/>
      <c r="G450" s="106"/>
      <c r="H450" s="95"/>
      <c r="I450" s="95"/>
      <c r="J450" s="95"/>
      <c r="K450" s="108"/>
      <c r="L450" s="109"/>
      <c r="M450" s="95"/>
      <c r="N450" s="77"/>
      <c r="O450" s="95"/>
      <c r="P450" s="95"/>
      <c r="Q450" s="95"/>
      <c r="R450" s="95"/>
      <c r="S450" s="95"/>
      <c r="T450" s="95"/>
      <c r="U450" s="95"/>
      <c r="V450" s="95"/>
      <c r="W450" s="60"/>
      <c r="X450" s="60"/>
      <c r="Y450" s="60"/>
    </row>
    <row r="451" ht="15.75" customHeight="1">
      <c r="A451" s="100"/>
      <c r="B451" s="101"/>
      <c r="C451" s="98"/>
      <c r="D451" s="98"/>
      <c r="E451" s="98"/>
      <c r="F451" s="102"/>
      <c r="G451" s="101"/>
      <c r="H451" s="98"/>
      <c r="I451" s="98"/>
      <c r="J451" s="98"/>
      <c r="K451" s="103"/>
      <c r="L451" s="104"/>
      <c r="M451" s="98"/>
      <c r="N451" s="77"/>
      <c r="O451" s="98"/>
      <c r="P451" s="98"/>
      <c r="Q451" s="98"/>
      <c r="R451" s="98"/>
      <c r="S451" s="98"/>
      <c r="T451" s="98"/>
      <c r="U451" s="98"/>
      <c r="V451" s="98"/>
      <c r="W451" s="60"/>
      <c r="X451" s="60"/>
      <c r="Y451" s="60"/>
    </row>
    <row r="452" ht="15.75" customHeight="1">
      <c r="A452" s="105"/>
      <c r="B452" s="106"/>
      <c r="C452" s="95"/>
      <c r="D452" s="95"/>
      <c r="E452" s="95"/>
      <c r="F452" s="107"/>
      <c r="G452" s="106"/>
      <c r="H452" s="95"/>
      <c r="I452" s="95"/>
      <c r="J452" s="95"/>
      <c r="K452" s="108"/>
      <c r="L452" s="109"/>
      <c r="M452" s="95"/>
      <c r="N452" s="77"/>
      <c r="O452" s="95"/>
      <c r="P452" s="95"/>
      <c r="Q452" s="95"/>
      <c r="R452" s="95"/>
      <c r="S452" s="95"/>
      <c r="T452" s="95"/>
      <c r="U452" s="95"/>
      <c r="V452" s="95"/>
      <c r="W452" s="60"/>
      <c r="X452" s="60"/>
      <c r="Y452" s="60"/>
    </row>
    <row r="453" ht="15.75" customHeight="1">
      <c r="A453" s="100"/>
      <c r="B453" s="101"/>
      <c r="C453" s="98"/>
      <c r="D453" s="98"/>
      <c r="E453" s="98"/>
      <c r="F453" s="102"/>
      <c r="G453" s="101"/>
      <c r="H453" s="98"/>
      <c r="I453" s="98"/>
      <c r="J453" s="98"/>
      <c r="K453" s="103"/>
      <c r="L453" s="104"/>
      <c r="M453" s="98"/>
      <c r="N453" s="77"/>
      <c r="O453" s="98"/>
      <c r="P453" s="98"/>
      <c r="Q453" s="98"/>
      <c r="R453" s="98"/>
      <c r="S453" s="98"/>
      <c r="T453" s="98"/>
      <c r="U453" s="98"/>
      <c r="V453" s="98"/>
      <c r="W453" s="60"/>
      <c r="X453" s="60"/>
      <c r="Y453" s="60"/>
    </row>
    <row r="454" ht="15.75" customHeight="1">
      <c r="A454" s="105"/>
      <c r="B454" s="106"/>
      <c r="C454" s="95"/>
      <c r="D454" s="95"/>
      <c r="E454" s="95"/>
      <c r="F454" s="107"/>
      <c r="G454" s="106"/>
      <c r="H454" s="95"/>
      <c r="I454" s="95"/>
      <c r="J454" s="95"/>
      <c r="K454" s="108"/>
      <c r="L454" s="109"/>
      <c r="M454" s="95"/>
      <c r="N454" s="77"/>
      <c r="O454" s="95"/>
      <c r="P454" s="95"/>
      <c r="Q454" s="95"/>
      <c r="R454" s="95"/>
      <c r="S454" s="95"/>
      <c r="T454" s="95"/>
      <c r="U454" s="95"/>
      <c r="V454" s="95"/>
      <c r="W454" s="60"/>
      <c r="X454" s="60"/>
      <c r="Y454" s="60"/>
    </row>
    <row r="455" ht="15.75" customHeight="1">
      <c r="A455" s="100"/>
      <c r="B455" s="101"/>
      <c r="C455" s="98"/>
      <c r="D455" s="98"/>
      <c r="E455" s="98"/>
      <c r="F455" s="102"/>
      <c r="G455" s="101"/>
      <c r="H455" s="98"/>
      <c r="I455" s="98"/>
      <c r="J455" s="98"/>
      <c r="K455" s="103"/>
      <c r="L455" s="104"/>
      <c r="M455" s="98"/>
      <c r="N455" s="77"/>
      <c r="O455" s="98"/>
      <c r="P455" s="98"/>
      <c r="Q455" s="98"/>
      <c r="R455" s="98"/>
      <c r="S455" s="98"/>
      <c r="T455" s="98"/>
      <c r="U455" s="98"/>
      <c r="V455" s="98"/>
      <c r="W455" s="60"/>
      <c r="X455" s="60"/>
      <c r="Y455" s="60"/>
    </row>
    <row r="456" ht="15.75" customHeight="1">
      <c r="A456" s="105"/>
      <c r="B456" s="106"/>
      <c r="C456" s="95"/>
      <c r="D456" s="95"/>
      <c r="E456" s="95"/>
      <c r="F456" s="107"/>
      <c r="G456" s="106"/>
      <c r="H456" s="95"/>
      <c r="I456" s="95"/>
      <c r="J456" s="95"/>
      <c r="K456" s="108"/>
      <c r="L456" s="109"/>
      <c r="M456" s="95"/>
      <c r="N456" s="77"/>
      <c r="O456" s="95"/>
      <c r="P456" s="95"/>
      <c r="Q456" s="95"/>
      <c r="R456" s="95"/>
      <c r="S456" s="95"/>
      <c r="T456" s="95"/>
      <c r="U456" s="95"/>
      <c r="V456" s="95"/>
      <c r="W456" s="60"/>
      <c r="X456" s="60"/>
      <c r="Y456" s="60"/>
    </row>
    <row r="457" ht="15.75" customHeight="1">
      <c r="A457" s="100"/>
      <c r="B457" s="101"/>
      <c r="C457" s="98"/>
      <c r="D457" s="98"/>
      <c r="E457" s="98"/>
      <c r="F457" s="102"/>
      <c r="G457" s="101"/>
      <c r="H457" s="98"/>
      <c r="I457" s="98"/>
      <c r="J457" s="98"/>
      <c r="K457" s="103"/>
      <c r="L457" s="104"/>
      <c r="M457" s="98"/>
      <c r="N457" s="77"/>
      <c r="O457" s="98"/>
      <c r="P457" s="98"/>
      <c r="Q457" s="98"/>
      <c r="R457" s="98"/>
      <c r="S457" s="98"/>
      <c r="T457" s="98"/>
      <c r="U457" s="98"/>
      <c r="V457" s="98"/>
      <c r="W457" s="60"/>
      <c r="X457" s="60"/>
      <c r="Y457" s="60"/>
    </row>
    <row r="458" ht="15.75" customHeight="1">
      <c r="A458" s="105"/>
      <c r="B458" s="106"/>
      <c r="C458" s="95"/>
      <c r="D458" s="95"/>
      <c r="E458" s="95"/>
      <c r="F458" s="107"/>
      <c r="G458" s="106"/>
      <c r="H458" s="95"/>
      <c r="I458" s="95"/>
      <c r="J458" s="95"/>
      <c r="K458" s="108"/>
      <c r="L458" s="109"/>
      <c r="M458" s="95"/>
      <c r="N458" s="77"/>
      <c r="O458" s="95"/>
      <c r="P458" s="95"/>
      <c r="Q458" s="95"/>
      <c r="R458" s="95"/>
      <c r="S458" s="95"/>
      <c r="T458" s="95"/>
      <c r="U458" s="95"/>
      <c r="V458" s="95"/>
      <c r="W458" s="60"/>
      <c r="X458" s="60"/>
      <c r="Y458" s="60"/>
    </row>
    <row r="459" ht="15.75" customHeight="1">
      <c r="A459" s="100"/>
      <c r="B459" s="101"/>
      <c r="C459" s="98"/>
      <c r="D459" s="98"/>
      <c r="E459" s="98"/>
      <c r="F459" s="102"/>
      <c r="G459" s="101"/>
      <c r="H459" s="98"/>
      <c r="I459" s="98"/>
      <c r="J459" s="98"/>
      <c r="K459" s="103"/>
      <c r="L459" s="104"/>
      <c r="M459" s="98"/>
      <c r="N459" s="77"/>
      <c r="O459" s="98"/>
      <c r="P459" s="98"/>
      <c r="Q459" s="98"/>
      <c r="R459" s="98"/>
      <c r="S459" s="98"/>
      <c r="T459" s="98"/>
      <c r="U459" s="98"/>
      <c r="V459" s="98"/>
      <c r="W459" s="60"/>
      <c r="X459" s="60"/>
      <c r="Y459" s="60"/>
    </row>
    <row r="460" ht="15.75" customHeight="1">
      <c r="A460" s="105"/>
      <c r="B460" s="106"/>
      <c r="C460" s="95"/>
      <c r="D460" s="95"/>
      <c r="E460" s="95"/>
      <c r="F460" s="107"/>
      <c r="G460" s="106"/>
      <c r="H460" s="95"/>
      <c r="I460" s="95"/>
      <c r="J460" s="95"/>
      <c r="K460" s="108"/>
      <c r="L460" s="109"/>
      <c r="M460" s="95"/>
      <c r="N460" s="77"/>
      <c r="O460" s="95"/>
      <c r="P460" s="95"/>
      <c r="Q460" s="95"/>
      <c r="R460" s="95"/>
      <c r="S460" s="95"/>
      <c r="T460" s="95"/>
      <c r="U460" s="95"/>
      <c r="V460" s="95"/>
      <c r="W460" s="60"/>
      <c r="X460" s="60"/>
      <c r="Y460" s="60"/>
    </row>
    <row r="461" ht="15.75" customHeight="1">
      <c r="A461" s="100"/>
      <c r="B461" s="101"/>
      <c r="C461" s="98"/>
      <c r="D461" s="98"/>
      <c r="E461" s="98"/>
      <c r="F461" s="102"/>
      <c r="G461" s="101"/>
      <c r="H461" s="98"/>
      <c r="I461" s="98"/>
      <c r="J461" s="98"/>
      <c r="K461" s="103"/>
      <c r="L461" s="104"/>
      <c r="M461" s="98"/>
      <c r="N461" s="77"/>
      <c r="O461" s="98"/>
      <c r="P461" s="98"/>
      <c r="Q461" s="98"/>
      <c r="R461" s="98"/>
      <c r="S461" s="98"/>
      <c r="T461" s="98"/>
      <c r="U461" s="98"/>
      <c r="V461" s="98"/>
      <c r="W461" s="60"/>
      <c r="X461" s="60"/>
      <c r="Y461" s="60"/>
    </row>
    <row r="462" ht="15.75" customHeight="1">
      <c r="A462" s="105"/>
      <c r="B462" s="106"/>
      <c r="C462" s="95"/>
      <c r="D462" s="95"/>
      <c r="E462" s="95"/>
      <c r="F462" s="107"/>
      <c r="G462" s="106"/>
      <c r="H462" s="95"/>
      <c r="I462" s="95"/>
      <c r="J462" s="95"/>
      <c r="K462" s="108"/>
      <c r="L462" s="109"/>
      <c r="M462" s="95"/>
      <c r="N462" s="77"/>
      <c r="O462" s="95"/>
      <c r="P462" s="95"/>
      <c r="Q462" s="95"/>
      <c r="R462" s="95"/>
      <c r="S462" s="95"/>
      <c r="T462" s="95"/>
      <c r="U462" s="95"/>
      <c r="V462" s="95"/>
      <c r="W462" s="60"/>
      <c r="X462" s="60"/>
      <c r="Y462" s="60"/>
    </row>
    <row r="463" ht="15.75" customHeight="1">
      <c r="A463" s="100"/>
      <c r="B463" s="101"/>
      <c r="C463" s="98"/>
      <c r="D463" s="98"/>
      <c r="E463" s="98"/>
      <c r="F463" s="102"/>
      <c r="G463" s="101"/>
      <c r="H463" s="98"/>
      <c r="I463" s="98"/>
      <c r="J463" s="98"/>
      <c r="K463" s="103"/>
      <c r="L463" s="104"/>
      <c r="M463" s="98"/>
      <c r="N463" s="77"/>
      <c r="O463" s="98"/>
      <c r="P463" s="98"/>
      <c r="Q463" s="98"/>
      <c r="R463" s="98"/>
      <c r="S463" s="98"/>
      <c r="T463" s="98"/>
      <c r="U463" s="98"/>
      <c r="V463" s="98"/>
      <c r="W463" s="60"/>
      <c r="X463" s="60"/>
      <c r="Y463" s="60"/>
    </row>
    <row r="464" ht="15.75" customHeight="1">
      <c r="A464" s="105"/>
      <c r="B464" s="106"/>
      <c r="C464" s="95"/>
      <c r="D464" s="95"/>
      <c r="E464" s="95"/>
      <c r="F464" s="107"/>
      <c r="G464" s="106"/>
      <c r="H464" s="95"/>
      <c r="I464" s="95"/>
      <c r="J464" s="95"/>
      <c r="K464" s="108"/>
      <c r="L464" s="109"/>
      <c r="M464" s="95"/>
      <c r="N464" s="77"/>
      <c r="O464" s="95"/>
      <c r="P464" s="95"/>
      <c r="Q464" s="95"/>
      <c r="R464" s="95"/>
      <c r="S464" s="95"/>
      <c r="T464" s="95"/>
      <c r="U464" s="95"/>
      <c r="V464" s="95"/>
      <c r="W464" s="60"/>
      <c r="X464" s="60"/>
      <c r="Y464" s="60"/>
    </row>
    <row r="465" ht="15.75" customHeight="1">
      <c r="A465" s="100"/>
      <c r="B465" s="101"/>
      <c r="C465" s="98"/>
      <c r="D465" s="98"/>
      <c r="E465" s="98"/>
      <c r="F465" s="102"/>
      <c r="G465" s="101"/>
      <c r="H465" s="98"/>
      <c r="I465" s="98"/>
      <c r="J465" s="98"/>
      <c r="K465" s="103"/>
      <c r="L465" s="104"/>
      <c r="M465" s="98"/>
      <c r="N465" s="77"/>
      <c r="O465" s="98"/>
      <c r="P465" s="98"/>
      <c r="Q465" s="98"/>
      <c r="R465" s="98"/>
      <c r="S465" s="98"/>
      <c r="T465" s="98"/>
      <c r="U465" s="98"/>
      <c r="V465" s="98"/>
      <c r="W465" s="60"/>
      <c r="X465" s="60"/>
      <c r="Y465" s="60"/>
    </row>
    <row r="466" ht="15.75" customHeight="1">
      <c r="A466" s="105"/>
      <c r="B466" s="106"/>
      <c r="C466" s="95"/>
      <c r="D466" s="95"/>
      <c r="E466" s="95"/>
      <c r="F466" s="107"/>
      <c r="G466" s="106"/>
      <c r="H466" s="95"/>
      <c r="I466" s="95"/>
      <c r="J466" s="95"/>
      <c r="K466" s="108"/>
      <c r="L466" s="109"/>
      <c r="M466" s="95"/>
      <c r="N466" s="77"/>
      <c r="O466" s="95"/>
      <c r="P466" s="95"/>
      <c r="Q466" s="95"/>
      <c r="R466" s="95"/>
      <c r="S466" s="95"/>
      <c r="T466" s="95"/>
      <c r="U466" s="95"/>
      <c r="V466" s="95"/>
      <c r="W466" s="60"/>
      <c r="X466" s="60"/>
      <c r="Y466" s="60"/>
    </row>
    <row r="467" ht="15.75" customHeight="1">
      <c r="A467" s="100"/>
      <c r="B467" s="101"/>
      <c r="C467" s="98"/>
      <c r="D467" s="98"/>
      <c r="E467" s="98"/>
      <c r="F467" s="102"/>
      <c r="G467" s="101"/>
      <c r="H467" s="98"/>
      <c r="I467" s="98"/>
      <c r="J467" s="98"/>
      <c r="K467" s="103"/>
      <c r="L467" s="104"/>
      <c r="M467" s="98"/>
      <c r="N467" s="77"/>
      <c r="O467" s="98"/>
      <c r="P467" s="98"/>
      <c r="Q467" s="98"/>
      <c r="R467" s="98"/>
      <c r="S467" s="98"/>
      <c r="T467" s="98"/>
      <c r="U467" s="98"/>
      <c r="V467" s="98"/>
      <c r="W467" s="60"/>
      <c r="X467" s="60"/>
      <c r="Y467" s="60"/>
    </row>
    <row r="468" ht="15.75" customHeight="1">
      <c r="A468" s="105"/>
      <c r="B468" s="106"/>
      <c r="C468" s="95"/>
      <c r="D468" s="95"/>
      <c r="E468" s="95"/>
      <c r="F468" s="107"/>
      <c r="G468" s="106"/>
      <c r="H468" s="95"/>
      <c r="I468" s="95"/>
      <c r="J468" s="95"/>
      <c r="K468" s="108"/>
      <c r="L468" s="109"/>
      <c r="M468" s="95"/>
      <c r="N468" s="77"/>
      <c r="O468" s="95"/>
      <c r="P468" s="95"/>
      <c r="Q468" s="95"/>
      <c r="R468" s="95"/>
      <c r="S468" s="95"/>
      <c r="T468" s="95"/>
      <c r="U468" s="95"/>
      <c r="V468" s="95"/>
      <c r="W468" s="60"/>
      <c r="X468" s="60"/>
      <c r="Y468" s="60"/>
    </row>
    <row r="469" ht="15.75" customHeight="1">
      <c r="A469" s="100"/>
      <c r="B469" s="101"/>
      <c r="C469" s="98"/>
      <c r="D469" s="98"/>
      <c r="E469" s="98"/>
      <c r="F469" s="102"/>
      <c r="G469" s="101"/>
      <c r="H469" s="98"/>
      <c r="I469" s="98"/>
      <c r="J469" s="98"/>
      <c r="K469" s="103"/>
      <c r="L469" s="104"/>
      <c r="M469" s="98"/>
      <c r="N469" s="77"/>
      <c r="O469" s="98"/>
      <c r="P469" s="98"/>
      <c r="Q469" s="98"/>
      <c r="R469" s="98"/>
      <c r="S469" s="98"/>
      <c r="T469" s="98"/>
      <c r="U469" s="98"/>
      <c r="V469" s="98"/>
      <c r="W469" s="60"/>
      <c r="X469" s="60"/>
      <c r="Y469" s="60"/>
    </row>
    <row r="470" ht="15.75" customHeight="1">
      <c r="A470" s="105"/>
      <c r="B470" s="106"/>
      <c r="C470" s="95"/>
      <c r="D470" s="95"/>
      <c r="E470" s="95"/>
      <c r="F470" s="107"/>
      <c r="G470" s="106"/>
      <c r="H470" s="95"/>
      <c r="I470" s="95"/>
      <c r="J470" s="95"/>
      <c r="K470" s="108"/>
      <c r="L470" s="109"/>
      <c r="M470" s="95"/>
      <c r="N470" s="77"/>
      <c r="O470" s="95"/>
      <c r="P470" s="95"/>
      <c r="Q470" s="95"/>
      <c r="R470" s="95"/>
      <c r="S470" s="95"/>
      <c r="T470" s="95"/>
      <c r="U470" s="95"/>
      <c r="V470" s="95"/>
      <c r="W470" s="60"/>
      <c r="X470" s="60"/>
      <c r="Y470" s="60"/>
    </row>
    <row r="471" ht="15.75" customHeight="1">
      <c r="A471" s="100"/>
      <c r="B471" s="101"/>
      <c r="C471" s="98"/>
      <c r="D471" s="98"/>
      <c r="E471" s="98"/>
      <c r="F471" s="102"/>
      <c r="G471" s="101"/>
      <c r="H471" s="98"/>
      <c r="I471" s="98"/>
      <c r="J471" s="98"/>
      <c r="K471" s="103"/>
      <c r="L471" s="104"/>
      <c r="M471" s="98"/>
      <c r="N471" s="77"/>
      <c r="O471" s="98"/>
      <c r="P471" s="98"/>
      <c r="Q471" s="98"/>
      <c r="R471" s="98"/>
      <c r="S471" s="98"/>
      <c r="T471" s="98"/>
      <c r="U471" s="98"/>
      <c r="V471" s="98"/>
      <c r="W471" s="60"/>
      <c r="X471" s="60"/>
      <c r="Y471" s="60"/>
    </row>
    <row r="472" ht="15.75" customHeight="1">
      <c r="A472" s="105"/>
      <c r="B472" s="106"/>
      <c r="C472" s="95"/>
      <c r="D472" s="95"/>
      <c r="E472" s="95"/>
      <c r="F472" s="107"/>
      <c r="G472" s="106"/>
      <c r="H472" s="95"/>
      <c r="I472" s="95"/>
      <c r="J472" s="95"/>
      <c r="K472" s="108"/>
      <c r="L472" s="109"/>
      <c r="M472" s="95"/>
      <c r="N472" s="77"/>
      <c r="O472" s="95"/>
      <c r="P472" s="95"/>
      <c r="Q472" s="95"/>
      <c r="R472" s="95"/>
      <c r="S472" s="95"/>
      <c r="T472" s="95"/>
      <c r="U472" s="95"/>
      <c r="V472" s="95"/>
      <c r="W472" s="60"/>
      <c r="X472" s="60"/>
      <c r="Y472" s="60"/>
    </row>
    <row r="473" ht="15.75" customHeight="1">
      <c r="A473" s="100"/>
      <c r="B473" s="101"/>
      <c r="C473" s="98"/>
      <c r="D473" s="98"/>
      <c r="E473" s="98"/>
      <c r="F473" s="102"/>
      <c r="G473" s="101"/>
      <c r="H473" s="98"/>
      <c r="I473" s="98"/>
      <c r="J473" s="98"/>
      <c r="K473" s="103"/>
      <c r="L473" s="104"/>
      <c r="M473" s="98"/>
      <c r="N473" s="77"/>
      <c r="O473" s="98"/>
      <c r="P473" s="98"/>
      <c r="Q473" s="98"/>
      <c r="R473" s="98"/>
      <c r="S473" s="98"/>
      <c r="T473" s="98"/>
      <c r="U473" s="98"/>
      <c r="V473" s="98"/>
      <c r="W473" s="60"/>
      <c r="X473" s="60"/>
      <c r="Y473" s="60"/>
    </row>
    <row r="474" ht="15.75" customHeight="1">
      <c r="A474" s="105"/>
      <c r="B474" s="106"/>
      <c r="C474" s="95"/>
      <c r="D474" s="95"/>
      <c r="E474" s="95"/>
      <c r="F474" s="107"/>
      <c r="G474" s="106"/>
      <c r="H474" s="95"/>
      <c r="I474" s="95"/>
      <c r="J474" s="95"/>
      <c r="K474" s="108"/>
      <c r="L474" s="109"/>
      <c r="M474" s="95"/>
      <c r="N474" s="77"/>
      <c r="O474" s="95"/>
      <c r="P474" s="95"/>
      <c r="Q474" s="95"/>
      <c r="R474" s="95"/>
      <c r="S474" s="95"/>
      <c r="T474" s="95"/>
      <c r="U474" s="95"/>
      <c r="V474" s="95"/>
      <c r="W474" s="60"/>
      <c r="X474" s="60"/>
      <c r="Y474" s="60"/>
    </row>
    <row r="475" ht="15.75" customHeight="1">
      <c r="A475" s="100"/>
      <c r="B475" s="101"/>
      <c r="C475" s="98"/>
      <c r="D475" s="98"/>
      <c r="E475" s="98"/>
      <c r="F475" s="102"/>
      <c r="G475" s="101"/>
      <c r="H475" s="98"/>
      <c r="I475" s="98"/>
      <c r="J475" s="98"/>
      <c r="K475" s="103"/>
      <c r="L475" s="104"/>
      <c r="M475" s="98"/>
      <c r="N475" s="77"/>
      <c r="O475" s="98"/>
      <c r="P475" s="98"/>
      <c r="Q475" s="98"/>
      <c r="R475" s="98"/>
      <c r="S475" s="98"/>
      <c r="T475" s="98"/>
      <c r="U475" s="98"/>
      <c r="V475" s="98"/>
      <c r="W475" s="60"/>
      <c r="X475" s="60"/>
      <c r="Y475" s="60"/>
    </row>
    <row r="476" ht="15.75" customHeight="1">
      <c r="A476" s="105"/>
      <c r="B476" s="106"/>
      <c r="C476" s="95"/>
      <c r="D476" s="95"/>
      <c r="E476" s="95"/>
      <c r="F476" s="107"/>
      <c r="G476" s="106"/>
      <c r="H476" s="95"/>
      <c r="I476" s="95"/>
      <c r="J476" s="95"/>
      <c r="K476" s="108"/>
      <c r="L476" s="109"/>
      <c r="M476" s="95"/>
      <c r="N476" s="77"/>
      <c r="O476" s="95"/>
      <c r="P476" s="95"/>
      <c r="Q476" s="95"/>
      <c r="R476" s="95"/>
      <c r="S476" s="95"/>
      <c r="T476" s="95"/>
      <c r="U476" s="95"/>
      <c r="V476" s="95"/>
      <c r="W476" s="60"/>
      <c r="X476" s="60"/>
      <c r="Y476" s="60"/>
    </row>
    <row r="477" ht="15.75" customHeight="1">
      <c r="A477" s="100"/>
      <c r="B477" s="101"/>
      <c r="C477" s="98"/>
      <c r="D477" s="98"/>
      <c r="E477" s="98"/>
      <c r="F477" s="102"/>
      <c r="G477" s="101"/>
      <c r="H477" s="98"/>
      <c r="I477" s="98"/>
      <c r="J477" s="98"/>
      <c r="K477" s="103"/>
      <c r="L477" s="104"/>
      <c r="M477" s="98"/>
      <c r="N477" s="77"/>
      <c r="O477" s="98"/>
      <c r="P477" s="98"/>
      <c r="Q477" s="98"/>
      <c r="R477" s="98"/>
      <c r="S477" s="98"/>
      <c r="T477" s="98"/>
      <c r="U477" s="98"/>
      <c r="V477" s="98"/>
      <c r="W477" s="60"/>
      <c r="X477" s="60"/>
      <c r="Y477" s="60"/>
    </row>
    <row r="478" ht="15.75" customHeight="1">
      <c r="A478" s="105"/>
      <c r="B478" s="106"/>
      <c r="C478" s="95"/>
      <c r="D478" s="95"/>
      <c r="E478" s="95"/>
      <c r="F478" s="107"/>
      <c r="G478" s="106"/>
      <c r="H478" s="95"/>
      <c r="I478" s="95"/>
      <c r="J478" s="95"/>
      <c r="K478" s="108"/>
      <c r="L478" s="109"/>
      <c r="M478" s="95"/>
      <c r="N478" s="77"/>
      <c r="O478" s="95"/>
      <c r="P478" s="95"/>
      <c r="Q478" s="95"/>
      <c r="R478" s="95"/>
      <c r="S478" s="95"/>
      <c r="T478" s="95"/>
      <c r="U478" s="95"/>
      <c r="V478" s="95"/>
      <c r="W478" s="60"/>
      <c r="X478" s="60"/>
      <c r="Y478" s="60"/>
    </row>
    <row r="479" ht="15.75" customHeight="1">
      <c r="A479" s="100"/>
      <c r="B479" s="101"/>
      <c r="C479" s="98"/>
      <c r="D479" s="98"/>
      <c r="E479" s="98"/>
      <c r="F479" s="102"/>
      <c r="G479" s="101"/>
      <c r="H479" s="98"/>
      <c r="I479" s="98"/>
      <c r="J479" s="98"/>
      <c r="K479" s="103"/>
      <c r="L479" s="104"/>
      <c r="M479" s="98"/>
      <c r="N479" s="77"/>
      <c r="O479" s="98"/>
      <c r="P479" s="98"/>
      <c r="Q479" s="98"/>
      <c r="R479" s="98"/>
      <c r="S479" s="98"/>
      <c r="T479" s="98"/>
      <c r="U479" s="98"/>
      <c r="V479" s="98"/>
      <c r="W479" s="60"/>
      <c r="X479" s="60"/>
      <c r="Y479" s="60"/>
    </row>
    <row r="480" ht="15.75" customHeight="1">
      <c r="A480" s="105"/>
      <c r="B480" s="106"/>
      <c r="C480" s="95"/>
      <c r="D480" s="95"/>
      <c r="E480" s="95"/>
      <c r="F480" s="107"/>
      <c r="G480" s="106"/>
      <c r="H480" s="95"/>
      <c r="I480" s="95"/>
      <c r="J480" s="95"/>
      <c r="K480" s="108"/>
      <c r="L480" s="109"/>
      <c r="M480" s="95"/>
      <c r="N480" s="77"/>
      <c r="O480" s="95"/>
      <c r="P480" s="95"/>
      <c r="Q480" s="95"/>
      <c r="R480" s="95"/>
      <c r="S480" s="95"/>
      <c r="T480" s="95"/>
      <c r="U480" s="95"/>
      <c r="V480" s="95"/>
      <c r="W480" s="60"/>
      <c r="X480" s="60"/>
      <c r="Y480" s="60"/>
    </row>
    <row r="481" ht="15.75" customHeight="1">
      <c r="A481" s="100"/>
      <c r="B481" s="101"/>
      <c r="C481" s="98"/>
      <c r="D481" s="98"/>
      <c r="E481" s="98"/>
      <c r="F481" s="102"/>
      <c r="G481" s="101"/>
      <c r="H481" s="98"/>
      <c r="I481" s="98"/>
      <c r="J481" s="98"/>
      <c r="K481" s="103"/>
      <c r="L481" s="104"/>
      <c r="M481" s="98"/>
      <c r="N481" s="77"/>
      <c r="O481" s="98"/>
      <c r="P481" s="98"/>
      <c r="Q481" s="98"/>
      <c r="R481" s="98"/>
      <c r="S481" s="98"/>
      <c r="T481" s="98"/>
      <c r="U481" s="98"/>
      <c r="V481" s="98"/>
      <c r="W481" s="60"/>
      <c r="X481" s="60"/>
      <c r="Y481" s="60"/>
    </row>
    <row r="482" ht="15.75" customHeight="1">
      <c r="A482" s="105"/>
      <c r="B482" s="106"/>
      <c r="C482" s="95"/>
      <c r="D482" s="95"/>
      <c r="E482" s="95"/>
      <c r="F482" s="107"/>
      <c r="G482" s="106"/>
      <c r="H482" s="95"/>
      <c r="I482" s="95"/>
      <c r="J482" s="95"/>
      <c r="K482" s="108"/>
      <c r="L482" s="109"/>
      <c r="M482" s="95"/>
      <c r="N482" s="77"/>
      <c r="O482" s="95"/>
      <c r="P482" s="95"/>
      <c r="Q482" s="95"/>
      <c r="R482" s="95"/>
      <c r="S482" s="95"/>
      <c r="T482" s="95"/>
      <c r="U482" s="95"/>
      <c r="V482" s="95"/>
      <c r="W482" s="60"/>
      <c r="X482" s="60"/>
      <c r="Y482" s="60"/>
    </row>
    <row r="483" ht="15.75" customHeight="1">
      <c r="A483" s="100"/>
      <c r="B483" s="101"/>
      <c r="C483" s="98"/>
      <c r="D483" s="98"/>
      <c r="E483" s="98"/>
      <c r="F483" s="102"/>
      <c r="G483" s="101"/>
      <c r="H483" s="98"/>
      <c r="I483" s="98"/>
      <c r="J483" s="98"/>
      <c r="K483" s="103"/>
      <c r="L483" s="104"/>
      <c r="M483" s="98"/>
      <c r="N483" s="77"/>
      <c r="O483" s="98"/>
      <c r="P483" s="98"/>
      <c r="Q483" s="98"/>
      <c r="R483" s="98"/>
      <c r="S483" s="98"/>
      <c r="T483" s="98"/>
      <c r="U483" s="98"/>
      <c r="V483" s="98"/>
      <c r="W483" s="60"/>
      <c r="X483" s="60"/>
      <c r="Y483" s="60"/>
    </row>
    <row r="484" ht="15.75" customHeight="1">
      <c r="A484" s="105"/>
      <c r="B484" s="106"/>
      <c r="C484" s="95"/>
      <c r="D484" s="95"/>
      <c r="E484" s="95"/>
      <c r="F484" s="107"/>
      <c r="G484" s="106"/>
      <c r="H484" s="95"/>
      <c r="I484" s="95"/>
      <c r="J484" s="95"/>
      <c r="K484" s="108"/>
      <c r="L484" s="109"/>
      <c r="M484" s="95"/>
      <c r="N484" s="77"/>
      <c r="O484" s="95"/>
      <c r="P484" s="95"/>
      <c r="Q484" s="95"/>
      <c r="R484" s="95"/>
      <c r="S484" s="95"/>
      <c r="T484" s="95"/>
      <c r="U484" s="95"/>
      <c r="V484" s="95"/>
      <c r="W484" s="60"/>
      <c r="X484" s="60"/>
      <c r="Y484" s="60"/>
    </row>
    <row r="485" ht="15.75" customHeight="1">
      <c r="A485" s="100"/>
      <c r="B485" s="101"/>
      <c r="C485" s="98"/>
      <c r="D485" s="98"/>
      <c r="E485" s="98"/>
      <c r="F485" s="102"/>
      <c r="G485" s="101"/>
      <c r="H485" s="98"/>
      <c r="I485" s="98"/>
      <c r="J485" s="98"/>
      <c r="K485" s="103"/>
      <c r="L485" s="104"/>
      <c r="M485" s="98"/>
      <c r="N485" s="77"/>
      <c r="O485" s="98"/>
      <c r="P485" s="98"/>
      <c r="Q485" s="98"/>
      <c r="R485" s="98"/>
      <c r="S485" s="98"/>
      <c r="T485" s="98"/>
      <c r="U485" s="98"/>
      <c r="V485" s="98"/>
      <c r="W485" s="60"/>
      <c r="X485" s="60"/>
      <c r="Y485" s="60"/>
    </row>
    <row r="486" ht="15.75" customHeight="1">
      <c r="A486" s="105"/>
      <c r="B486" s="106"/>
      <c r="C486" s="95"/>
      <c r="D486" s="95"/>
      <c r="E486" s="95"/>
      <c r="F486" s="107"/>
      <c r="G486" s="106"/>
      <c r="H486" s="95"/>
      <c r="I486" s="95"/>
      <c r="J486" s="95"/>
      <c r="K486" s="108"/>
      <c r="L486" s="109"/>
      <c r="M486" s="95"/>
      <c r="N486" s="77"/>
      <c r="O486" s="95"/>
      <c r="P486" s="95"/>
      <c r="Q486" s="95"/>
      <c r="R486" s="95"/>
      <c r="S486" s="95"/>
      <c r="T486" s="95"/>
      <c r="U486" s="95"/>
      <c r="V486" s="95"/>
      <c r="W486" s="60"/>
      <c r="X486" s="60"/>
      <c r="Y486" s="60"/>
    </row>
    <row r="487" ht="15.75" customHeight="1">
      <c r="A487" s="100"/>
      <c r="B487" s="101"/>
      <c r="C487" s="98"/>
      <c r="D487" s="98"/>
      <c r="E487" s="98"/>
      <c r="F487" s="102"/>
      <c r="G487" s="101"/>
      <c r="H487" s="98"/>
      <c r="I487" s="98"/>
      <c r="J487" s="98"/>
      <c r="K487" s="103"/>
      <c r="L487" s="104"/>
      <c r="M487" s="98"/>
      <c r="N487" s="77"/>
      <c r="O487" s="98"/>
      <c r="P487" s="98"/>
      <c r="Q487" s="98"/>
      <c r="R487" s="98"/>
      <c r="S487" s="98"/>
      <c r="T487" s="98"/>
      <c r="U487" s="98"/>
      <c r="V487" s="98"/>
      <c r="W487" s="60"/>
      <c r="X487" s="60"/>
      <c r="Y487" s="60"/>
    </row>
    <row r="488" ht="15.75" customHeight="1">
      <c r="A488" s="105"/>
      <c r="B488" s="106"/>
      <c r="C488" s="95"/>
      <c r="D488" s="95"/>
      <c r="E488" s="95"/>
      <c r="F488" s="107"/>
      <c r="G488" s="106"/>
      <c r="H488" s="95"/>
      <c r="I488" s="95"/>
      <c r="J488" s="95"/>
      <c r="K488" s="108"/>
      <c r="L488" s="109"/>
      <c r="M488" s="95"/>
      <c r="N488" s="77"/>
      <c r="O488" s="95"/>
      <c r="P488" s="95"/>
      <c r="Q488" s="95"/>
      <c r="R488" s="95"/>
      <c r="S488" s="95"/>
      <c r="T488" s="95"/>
      <c r="U488" s="95"/>
      <c r="V488" s="95"/>
      <c r="W488" s="60"/>
      <c r="X488" s="60"/>
      <c r="Y488" s="60"/>
    </row>
    <row r="489" ht="15.75" customHeight="1">
      <c r="A489" s="100"/>
      <c r="B489" s="101"/>
      <c r="C489" s="98"/>
      <c r="D489" s="98"/>
      <c r="E489" s="98"/>
      <c r="F489" s="102"/>
      <c r="G489" s="101"/>
      <c r="H489" s="98"/>
      <c r="I489" s="98"/>
      <c r="J489" s="98"/>
      <c r="K489" s="103"/>
      <c r="L489" s="104"/>
      <c r="M489" s="98"/>
      <c r="N489" s="77"/>
      <c r="O489" s="98"/>
      <c r="P489" s="98"/>
      <c r="Q489" s="98"/>
      <c r="R489" s="98"/>
      <c r="S489" s="98"/>
      <c r="T489" s="98"/>
      <c r="U489" s="98"/>
      <c r="V489" s="98"/>
      <c r="W489" s="60"/>
      <c r="X489" s="60"/>
      <c r="Y489" s="60"/>
    </row>
    <row r="490" ht="15.75" customHeight="1">
      <c r="A490" s="106"/>
      <c r="B490" s="106"/>
      <c r="C490" s="95"/>
      <c r="D490" s="95"/>
      <c r="E490" s="106"/>
      <c r="F490" s="106"/>
      <c r="G490" s="106"/>
      <c r="H490" s="106"/>
      <c r="I490" s="106"/>
      <c r="J490" s="106"/>
      <c r="K490" s="108"/>
      <c r="L490" s="109"/>
      <c r="M490" s="95"/>
      <c r="N490" s="77"/>
      <c r="O490" s="95"/>
      <c r="P490" s="95"/>
      <c r="Q490" s="95"/>
      <c r="R490" s="95"/>
      <c r="S490" s="95"/>
      <c r="T490" s="95"/>
      <c r="U490" s="95"/>
      <c r="V490" s="95"/>
      <c r="W490" s="60"/>
      <c r="X490" s="60"/>
      <c r="Y490" s="60"/>
    </row>
    <row r="491" ht="15.75" customHeight="1">
      <c r="A491" s="101"/>
      <c r="B491" s="101"/>
      <c r="C491" s="98"/>
      <c r="D491" s="98"/>
      <c r="E491" s="101"/>
      <c r="F491" s="101"/>
      <c r="G491" s="101"/>
      <c r="H491" s="101"/>
      <c r="I491" s="101"/>
      <c r="J491" s="101"/>
      <c r="K491" s="103"/>
      <c r="L491" s="104"/>
      <c r="M491" s="98"/>
      <c r="N491" s="77"/>
      <c r="O491" s="98"/>
      <c r="P491" s="98"/>
      <c r="Q491" s="98"/>
      <c r="R491" s="98"/>
      <c r="S491" s="98"/>
      <c r="T491" s="98"/>
      <c r="U491" s="98"/>
      <c r="V491" s="98"/>
      <c r="W491" s="60"/>
      <c r="X491" s="60"/>
      <c r="Y491" s="60"/>
    </row>
    <row r="492" ht="15.75" customHeight="1">
      <c r="A492" s="106"/>
      <c r="B492" s="106"/>
      <c r="C492" s="95"/>
      <c r="D492" s="95"/>
      <c r="E492" s="106"/>
      <c r="F492" s="106"/>
      <c r="G492" s="106"/>
      <c r="H492" s="106"/>
      <c r="I492" s="106"/>
      <c r="J492" s="106"/>
      <c r="K492" s="108"/>
      <c r="L492" s="109"/>
      <c r="M492" s="95"/>
      <c r="N492" s="77"/>
      <c r="O492" s="95"/>
      <c r="P492" s="95"/>
      <c r="Q492" s="95"/>
      <c r="R492" s="95"/>
      <c r="S492" s="95"/>
      <c r="T492" s="95"/>
      <c r="U492" s="95"/>
      <c r="V492" s="95"/>
      <c r="W492" s="60"/>
      <c r="X492" s="60"/>
      <c r="Y492" s="60"/>
    </row>
    <row r="493" ht="15.75" customHeight="1">
      <c r="A493" s="101"/>
      <c r="B493" s="101"/>
      <c r="C493" s="98"/>
      <c r="D493" s="98"/>
      <c r="E493" s="101"/>
      <c r="F493" s="101"/>
      <c r="G493" s="101"/>
      <c r="H493" s="101"/>
      <c r="I493" s="101"/>
      <c r="J493" s="101"/>
      <c r="K493" s="103"/>
      <c r="L493" s="104"/>
      <c r="M493" s="98"/>
      <c r="N493" s="77"/>
      <c r="O493" s="98"/>
      <c r="P493" s="98"/>
      <c r="Q493" s="98"/>
      <c r="R493" s="98"/>
      <c r="S493" s="98"/>
      <c r="T493" s="98"/>
      <c r="U493" s="98"/>
      <c r="V493" s="98"/>
      <c r="W493" s="60"/>
      <c r="X493" s="60"/>
      <c r="Y493" s="60"/>
    </row>
    <row r="494" ht="15.75" customHeight="1">
      <c r="A494" s="106"/>
      <c r="B494" s="106"/>
      <c r="C494" s="95"/>
      <c r="D494" s="95"/>
      <c r="E494" s="106"/>
      <c r="F494" s="106"/>
      <c r="G494" s="106"/>
      <c r="H494" s="106"/>
      <c r="I494" s="106"/>
      <c r="J494" s="106"/>
      <c r="K494" s="108"/>
      <c r="L494" s="109"/>
      <c r="M494" s="95"/>
      <c r="N494" s="77"/>
      <c r="O494" s="95"/>
      <c r="P494" s="95"/>
      <c r="Q494" s="95"/>
      <c r="R494" s="95"/>
      <c r="S494" s="95"/>
      <c r="T494" s="95"/>
      <c r="U494" s="95"/>
      <c r="V494" s="95"/>
      <c r="W494" s="60"/>
      <c r="X494" s="60"/>
      <c r="Y494" s="60"/>
    </row>
    <row r="495" ht="15.75" customHeight="1">
      <c r="A495" s="101"/>
      <c r="B495" s="101"/>
      <c r="C495" s="98"/>
      <c r="D495" s="98"/>
      <c r="E495" s="101"/>
      <c r="F495" s="101"/>
      <c r="G495" s="101"/>
      <c r="H495" s="101"/>
      <c r="I495" s="101"/>
      <c r="J495" s="101"/>
      <c r="K495" s="103"/>
      <c r="L495" s="104"/>
      <c r="M495" s="98"/>
      <c r="N495" s="77"/>
      <c r="O495" s="98"/>
      <c r="P495" s="98"/>
      <c r="Q495" s="98"/>
      <c r="R495" s="98"/>
      <c r="S495" s="98"/>
      <c r="T495" s="98"/>
      <c r="U495" s="98"/>
      <c r="V495" s="98"/>
      <c r="W495" s="60"/>
      <c r="X495" s="60"/>
      <c r="Y495" s="60"/>
    </row>
    <row r="496" ht="15.75" customHeight="1">
      <c r="A496" s="106"/>
      <c r="B496" s="106"/>
      <c r="C496" s="95"/>
      <c r="D496" s="95"/>
      <c r="E496" s="106"/>
      <c r="F496" s="106"/>
      <c r="G496" s="106"/>
      <c r="H496" s="106"/>
      <c r="I496" s="106"/>
      <c r="J496" s="106"/>
      <c r="K496" s="108"/>
      <c r="L496" s="109"/>
      <c r="M496" s="95"/>
      <c r="N496" s="77"/>
      <c r="O496" s="95"/>
      <c r="P496" s="95"/>
      <c r="Q496" s="95"/>
      <c r="R496" s="95"/>
      <c r="S496" s="95"/>
      <c r="T496" s="95"/>
      <c r="U496" s="95"/>
      <c r="V496" s="95"/>
      <c r="W496" s="60"/>
      <c r="X496" s="60"/>
      <c r="Y496" s="60"/>
    </row>
    <row r="497" ht="15.75" customHeight="1">
      <c r="A497" s="101"/>
      <c r="B497" s="101"/>
      <c r="C497" s="98"/>
      <c r="D497" s="98"/>
      <c r="E497" s="101"/>
      <c r="F497" s="101"/>
      <c r="G497" s="101"/>
      <c r="H497" s="101"/>
      <c r="I497" s="101"/>
      <c r="J497" s="101"/>
      <c r="K497" s="103"/>
      <c r="L497" s="104"/>
      <c r="M497" s="98"/>
      <c r="N497" s="77"/>
      <c r="O497" s="98"/>
      <c r="P497" s="98"/>
      <c r="Q497" s="98"/>
      <c r="R497" s="98"/>
      <c r="S497" s="98"/>
      <c r="T497" s="98"/>
      <c r="U497" s="98"/>
      <c r="V497" s="98"/>
      <c r="W497" s="60"/>
      <c r="X497" s="60"/>
      <c r="Y497" s="60"/>
    </row>
    <row r="498" ht="15.75" customHeight="1">
      <c r="A498" s="106"/>
      <c r="B498" s="106"/>
      <c r="C498" s="95"/>
      <c r="D498" s="95"/>
      <c r="E498" s="106"/>
      <c r="F498" s="106"/>
      <c r="G498" s="106"/>
      <c r="H498" s="106"/>
      <c r="I498" s="106"/>
      <c r="J498" s="106"/>
      <c r="K498" s="108"/>
      <c r="L498" s="109"/>
      <c r="M498" s="95"/>
      <c r="N498" s="77"/>
      <c r="O498" s="95"/>
      <c r="P498" s="95"/>
      <c r="Q498" s="95"/>
      <c r="R498" s="95"/>
      <c r="S498" s="95"/>
      <c r="T498" s="95"/>
      <c r="U498" s="95"/>
      <c r="V498" s="95"/>
      <c r="W498" s="60"/>
      <c r="X498" s="60"/>
      <c r="Y498" s="60"/>
    </row>
    <row r="499" ht="15.75" customHeight="1">
      <c r="A499" s="101"/>
      <c r="B499" s="101"/>
      <c r="C499" s="98"/>
      <c r="D499" s="98"/>
      <c r="E499" s="101"/>
      <c r="F499" s="101"/>
      <c r="G499" s="101"/>
      <c r="H499" s="101"/>
      <c r="I499" s="101"/>
      <c r="J499" s="101"/>
      <c r="K499" s="103"/>
      <c r="L499" s="104"/>
      <c r="M499" s="98"/>
      <c r="N499" s="77"/>
      <c r="O499" s="98"/>
      <c r="P499" s="98"/>
      <c r="Q499" s="98"/>
      <c r="R499" s="98"/>
      <c r="S499" s="98"/>
      <c r="T499" s="98"/>
      <c r="U499" s="98"/>
      <c r="V499" s="98"/>
      <c r="W499" s="60"/>
      <c r="X499" s="60"/>
      <c r="Y499" s="60"/>
    </row>
    <row r="500" ht="15.75" customHeight="1">
      <c r="A500" s="106"/>
      <c r="B500" s="106"/>
      <c r="C500" s="95"/>
      <c r="D500" s="95"/>
      <c r="E500" s="106"/>
      <c r="F500" s="106"/>
      <c r="G500" s="106"/>
      <c r="H500" s="106"/>
      <c r="I500" s="106"/>
      <c r="J500" s="106"/>
      <c r="K500" s="108"/>
      <c r="L500" s="109"/>
      <c r="M500" s="95"/>
      <c r="N500" s="77"/>
      <c r="O500" s="95"/>
      <c r="P500" s="95"/>
      <c r="Q500" s="95"/>
      <c r="R500" s="95"/>
      <c r="S500" s="95"/>
      <c r="T500" s="95"/>
      <c r="U500" s="95"/>
      <c r="V500" s="95"/>
      <c r="W500" s="60"/>
      <c r="X500" s="60"/>
      <c r="Y500" s="60"/>
    </row>
    <row r="501" ht="15.75" customHeight="1">
      <c r="A501" s="101"/>
      <c r="B501" s="101"/>
      <c r="C501" s="98"/>
      <c r="D501" s="98"/>
      <c r="E501" s="101"/>
      <c r="F501" s="101"/>
      <c r="G501" s="101"/>
      <c r="H501" s="101"/>
      <c r="I501" s="101"/>
      <c r="J501" s="101"/>
      <c r="K501" s="103"/>
      <c r="L501" s="104"/>
      <c r="M501" s="98"/>
      <c r="N501" s="77"/>
      <c r="O501" s="98"/>
      <c r="P501" s="98"/>
      <c r="Q501" s="98"/>
      <c r="R501" s="98"/>
      <c r="S501" s="98"/>
      <c r="T501" s="98"/>
      <c r="U501" s="98"/>
      <c r="V501" s="98"/>
      <c r="W501" s="60"/>
      <c r="X501" s="60"/>
      <c r="Y501" s="60"/>
    </row>
    <row r="502" ht="15.75" customHeight="1">
      <c r="A502" s="106"/>
      <c r="B502" s="106"/>
      <c r="C502" s="95"/>
      <c r="D502" s="95"/>
      <c r="E502" s="106"/>
      <c r="F502" s="106"/>
      <c r="G502" s="106"/>
      <c r="H502" s="106"/>
      <c r="I502" s="106"/>
      <c r="J502" s="106"/>
      <c r="K502" s="108"/>
      <c r="L502" s="109"/>
      <c r="M502" s="95"/>
      <c r="N502" s="77"/>
      <c r="O502" s="95"/>
      <c r="P502" s="95"/>
      <c r="Q502" s="95"/>
      <c r="R502" s="95"/>
      <c r="S502" s="95"/>
      <c r="T502" s="95"/>
      <c r="U502" s="95"/>
      <c r="V502" s="95"/>
      <c r="W502" s="60"/>
      <c r="X502" s="60"/>
      <c r="Y502" s="60"/>
    </row>
    <row r="503" ht="15.75" customHeight="1">
      <c r="A503" s="101"/>
      <c r="B503" s="101"/>
      <c r="C503" s="98"/>
      <c r="D503" s="98"/>
      <c r="E503" s="101"/>
      <c r="F503" s="101"/>
      <c r="G503" s="101"/>
      <c r="H503" s="101"/>
      <c r="I503" s="101"/>
      <c r="J503" s="101"/>
      <c r="K503" s="103"/>
      <c r="L503" s="104"/>
      <c r="M503" s="98"/>
      <c r="N503" s="77"/>
      <c r="O503" s="98"/>
      <c r="P503" s="98"/>
      <c r="Q503" s="98"/>
      <c r="R503" s="98"/>
      <c r="S503" s="98"/>
      <c r="T503" s="98"/>
      <c r="U503" s="98"/>
      <c r="V503" s="98"/>
      <c r="W503" s="60"/>
      <c r="X503" s="60"/>
      <c r="Y503" s="60"/>
    </row>
    <row r="504" ht="15.75" customHeight="1">
      <c r="A504" s="106"/>
      <c r="B504" s="106"/>
      <c r="C504" s="95"/>
      <c r="D504" s="95"/>
      <c r="E504" s="106"/>
      <c r="F504" s="106"/>
      <c r="G504" s="106"/>
      <c r="H504" s="106"/>
      <c r="I504" s="106"/>
      <c r="J504" s="106"/>
      <c r="K504" s="108"/>
      <c r="L504" s="109"/>
      <c r="M504" s="95"/>
      <c r="N504" s="77"/>
      <c r="O504" s="95"/>
      <c r="P504" s="95"/>
      <c r="Q504" s="95"/>
      <c r="R504" s="95"/>
      <c r="S504" s="95"/>
      <c r="T504" s="95"/>
      <c r="U504" s="95"/>
      <c r="V504" s="95"/>
      <c r="W504" s="60"/>
      <c r="X504" s="60"/>
      <c r="Y504" s="60"/>
    </row>
    <row r="505" ht="15.75" customHeight="1">
      <c r="A505" s="101"/>
      <c r="B505" s="101"/>
      <c r="C505" s="98"/>
      <c r="D505" s="98"/>
      <c r="E505" s="101"/>
      <c r="F505" s="101"/>
      <c r="G505" s="101"/>
      <c r="H505" s="101"/>
      <c r="I505" s="101"/>
      <c r="J505" s="101"/>
      <c r="K505" s="103"/>
      <c r="L505" s="104"/>
      <c r="M505" s="98"/>
      <c r="N505" s="77"/>
      <c r="O505" s="98"/>
      <c r="P505" s="98"/>
      <c r="Q505" s="98"/>
      <c r="R505" s="98"/>
      <c r="S505" s="98"/>
      <c r="T505" s="98"/>
      <c r="U505" s="98"/>
      <c r="V505" s="98"/>
      <c r="W505" s="60"/>
      <c r="X505" s="60"/>
      <c r="Y505" s="60"/>
    </row>
    <row r="506" ht="15.75" customHeight="1">
      <c r="A506" s="106"/>
      <c r="B506" s="106"/>
      <c r="C506" s="95"/>
      <c r="D506" s="95"/>
      <c r="E506" s="106"/>
      <c r="F506" s="106"/>
      <c r="G506" s="106"/>
      <c r="H506" s="106"/>
      <c r="I506" s="106"/>
      <c r="J506" s="106"/>
      <c r="K506" s="108"/>
      <c r="L506" s="109"/>
      <c r="M506" s="95"/>
      <c r="N506" s="77"/>
      <c r="O506" s="95"/>
      <c r="P506" s="95"/>
      <c r="Q506" s="95"/>
      <c r="R506" s="95"/>
      <c r="S506" s="95"/>
      <c r="T506" s="95"/>
      <c r="U506" s="95"/>
      <c r="V506" s="95"/>
      <c r="W506" s="60"/>
      <c r="X506" s="60"/>
      <c r="Y506" s="60"/>
    </row>
    <row r="507" ht="15.75" customHeight="1">
      <c r="A507" s="101"/>
      <c r="B507" s="101"/>
      <c r="C507" s="98"/>
      <c r="D507" s="98"/>
      <c r="E507" s="101"/>
      <c r="F507" s="101"/>
      <c r="G507" s="101"/>
      <c r="H507" s="101"/>
      <c r="I507" s="101"/>
      <c r="J507" s="101"/>
      <c r="K507" s="103"/>
      <c r="L507" s="104"/>
      <c r="M507" s="98"/>
      <c r="N507" s="77"/>
      <c r="O507" s="98"/>
      <c r="P507" s="98"/>
      <c r="Q507" s="98"/>
      <c r="R507" s="98"/>
      <c r="S507" s="98"/>
      <c r="T507" s="98"/>
      <c r="U507" s="98"/>
      <c r="V507" s="98"/>
      <c r="W507" s="60"/>
      <c r="X507" s="60"/>
      <c r="Y507" s="60"/>
    </row>
    <row r="508" ht="15.75" customHeight="1">
      <c r="A508" s="106"/>
      <c r="B508" s="106"/>
      <c r="C508" s="95"/>
      <c r="D508" s="95"/>
      <c r="E508" s="106"/>
      <c r="F508" s="106"/>
      <c r="G508" s="106"/>
      <c r="H508" s="106"/>
      <c r="I508" s="106"/>
      <c r="J508" s="106"/>
      <c r="K508" s="108"/>
      <c r="L508" s="109"/>
      <c r="M508" s="95"/>
      <c r="N508" s="77"/>
      <c r="O508" s="95"/>
      <c r="P508" s="95"/>
      <c r="Q508" s="95"/>
      <c r="R508" s="95"/>
      <c r="S508" s="95"/>
      <c r="T508" s="95"/>
      <c r="U508" s="95"/>
      <c r="V508" s="95"/>
      <c r="W508" s="60"/>
      <c r="X508" s="60"/>
      <c r="Y508" s="60"/>
    </row>
    <row r="509" ht="15.75" customHeight="1">
      <c r="A509" s="101"/>
      <c r="B509" s="101"/>
      <c r="C509" s="98"/>
      <c r="D509" s="98"/>
      <c r="E509" s="101"/>
      <c r="F509" s="101"/>
      <c r="G509" s="101"/>
      <c r="H509" s="101"/>
      <c r="I509" s="101"/>
      <c r="J509" s="101"/>
      <c r="K509" s="103"/>
      <c r="L509" s="104"/>
      <c r="M509" s="98"/>
      <c r="N509" s="77"/>
      <c r="O509" s="98"/>
      <c r="P509" s="98"/>
      <c r="Q509" s="98"/>
      <c r="R509" s="98"/>
      <c r="S509" s="98"/>
      <c r="T509" s="98"/>
      <c r="U509" s="98"/>
      <c r="V509" s="98"/>
      <c r="W509" s="60"/>
      <c r="X509" s="60"/>
      <c r="Y509" s="60"/>
    </row>
    <row r="510" ht="15.75" customHeight="1">
      <c r="A510" s="106"/>
      <c r="B510" s="106"/>
      <c r="C510" s="95"/>
      <c r="D510" s="95"/>
      <c r="E510" s="106"/>
      <c r="F510" s="106"/>
      <c r="G510" s="106"/>
      <c r="H510" s="106"/>
      <c r="I510" s="106"/>
      <c r="J510" s="106"/>
      <c r="K510" s="108"/>
      <c r="L510" s="109"/>
      <c r="M510" s="95"/>
      <c r="N510" s="77"/>
      <c r="O510" s="95"/>
      <c r="P510" s="95"/>
      <c r="Q510" s="95"/>
      <c r="R510" s="95"/>
      <c r="S510" s="95"/>
      <c r="T510" s="95"/>
      <c r="U510" s="95"/>
      <c r="V510" s="95"/>
      <c r="W510" s="60"/>
      <c r="X510" s="60"/>
      <c r="Y510" s="60"/>
    </row>
    <row r="511" ht="15.75" customHeight="1">
      <c r="A511" s="101"/>
      <c r="B511" s="101"/>
      <c r="C511" s="98"/>
      <c r="D511" s="98"/>
      <c r="E511" s="101"/>
      <c r="F511" s="101"/>
      <c r="G511" s="101"/>
      <c r="H511" s="101"/>
      <c r="I511" s="101"/>
      <c r="J511" s="101"/>
      <c r="K511" s="103"/>
      <c r="L511" s="104"/>
      <c r="M511" s="98"/>
      <c r="N511" s="77"/>
      <c r="O511" s="98"/>
      <c r="P511" s="98"/>
      <c r="Q511" s="98"/>
      <c r="R511" s="98"/>
      <c r="S511" s="98"/>
      <c r="T511" s="98"/>
      <c r="U511" s="98"/>
      <c r="V511" s="98"/>
      <c r="W511" s="60"/>
      <c r="X511" s="60"/>
      <c r="Y511" s="60"/>
    </row>
    <row r="512" ht="15.75" customHeight="1">
      <c r="A512" s="106"/>
      <c r="B512" s="106"/>
      <c r="C512" s="95"/>
      <c r="D512" s="95"/>
      <c r="E512" s="106"/>
      <c r="F512" s="106"/>
      <c r="G512" s="106"/>
      <c r="H512" s="106"/>
      <c r="I512" s="106"/>
      <c r="J512" s="106"/>
      <c r="K512" s="108"/>
      <c r="L512" s="109"/>
      <c r="M512" s="95"/>
      <c r="N512" s="77"/>
      <c r="O512" s="95"/>
      <c r="P512" s="95"/>
      <c r="Q512" s="95"/>
      <c r="R512" s="95"/>
      <c r="S512" s="95"/>
      <c r="T512" s="95"/>
      <c r="U512" s="95"/>
      <c r="V512" s="95"/>
      <c r="W512" s="60"/>
      <c r="X512" s="60"/>
      <c r="Y512" s="60"/>
    </row>
    <row r="513" ht="15.75" customHeight="1">
      <c r="A513" s="101"/>
      <c r="B513" s="101"/>
      <c r="C513" s="98"/>
      <c r="D513" s="98"/>
      <c r="E513" s="101"/>
      <c r="F513" s="101"/>
      <c r="G513" s="101"/>
      <c r="H513" s="101"/>
      <c r="I513" s="101"/>
      <c r="J513" s="101"/>
      <c r="K513" s="103"/>
      <c r="L513" s="104"/>
      <c r="M513" s="98"/>
      <c r="N513" s="77"/>
      <c r="O513" s="98"/>
      <c r="P513" s="98"/>
      <c r="Q513" s="98"/>
      <c r="R513" s="98"/>
      <c r="S513" s="98"/>
      <c r="T513" s="98"/>
      <c r="U513" s="98"/>
      <c r="V513" s="98"/>
      <c r="W513" s="60"/>
      <c r="X513" s="60"/>
      <c r="Y513" s="60"/>
    </row>
    <row r="514" ht="15.75" customHeight="1">
      <c r="A514" s="106"/>
      <c r="B514" s="106"/>
      <c r="C514" s="95"/>
      <c r="D514" s="95"/>
      <c r="E514" s="106"/>
      <c r="F514" s="106"/>
      <c r="G514" s="106"/>
      <c r="H514" s="106"/>
      <c r="I514" s="106"/>
      <c r="J514" s="106"/>
      <c r="K514" s="108"/>
      <c r="L514" s="109"/>
      <c r="M514" s="95"/>
      <c r="N514" s="77"/>
      <c r="O514" s="95"/>
      <c r="P514" s="95"/>
      <c r="Q514" s="95"/>
      <c r="R514" s="95"/>
      <c r="S514" s="95"/>
      <c r="T514" s="95"/>
      <c r="U514" s="95"/>
      <c r="V514" s="95"/>
      <c r="W514" s="60"/>
      <c r="X514" s="60"/>
      <c r="Y514" s="60"/>
    </row>
    <row r="515" ht="15.75" customHeight="1">
      <c r="A515" s="101"/>
      <c r="B515" s="101"/>
      <c r="C515" s="98"/>
      <c r="D515" s="98"/>
      <c r="E515" s="101"/>
      <c r="F515" s="101"/>
      <c r="G515" s="101"/>
      <c r="H515" s="101"/>
      <c r="I515" s="101"/>
      <c r="J515" s="101"/>
      <c r="K515" s="103"/>
      <c r="L515" s="104"/>
      <c r="M515" s="98"/>
      <c r="N515" s="77"/>
      <c r="O515" s="98"/>
      <c r="P515" s="98"/>
      <c r="Q515" s="98"/>
      <c r="R515" s="98"/>
      <c r="S515" s="98"/>
      <c r="T515" s="98"/>
      <c r="U515" s="98"/>
      <c r="V515" s="98"/>
      <c r="W515" s="60"/>
      <c r="X515" s="60"/>
      <c r="Y515" s="60"/>
    </row>
    <row r="516" ht="15.75" customHeight="1">
      <c r="A516" s="106"/>
      <c r="B516" s="106"/>
      <c r="C516" s="95"/>
      <c r="D516" s="95"/>
      <c r="E516" s="106"/>
      <c r="F516" s="106"/>
      <c r="G516" s="106"/>
      <c r="H516" s="106"/>
      <c r="I516" s="106"/>
      <c r="J516" s="106"/>
      <c r="K516" s="108"/>
      <c r="L516" s="109"/>
      <c r="M516" s="95"/>
      <c r="N516" s="77"/>
      <c r="O516" s="95"/>
      <c r="P516" s="95"/>
      <c r="Q516" s="95"/>
      <c r="R516" s="95"/>
      <c r="S516" s="95"/>
      <c r="T516" s="95"/>
      <c r="U516" s="95"/>
      <c r="V516" s="95"/>
      <c r="W516" s="60"/>
      <c r="X516" s="60"/>
      <c r="Y516" s="60"/>
    </row>
    <row r="517" ht="15.75" customHeight="1">
      <c r="A517" s="101"/>
      <c r="B517" s="101"/>
      <c r="C517" s="98"/>
      <c r="D517" s="98"/>
      <c r="E517" s="101"/>
      <c r="F517" s="101"/>
      <c r="G517" s="101"/>
      <c r="H517" s="101"/>
      <c r="I517" s="101"/>
      <c r="J517" s="101"/>
      <c r="K517" s="103"/>
      <c r="L517" s="104"/>
      <c r="M517" s="98"/>
      <c r="N517" s="77"/>
      <c r="O517" s="98"/>
      <c r="P517" s="98"/>
      <c r="Q517" s="98"/>
      <c r="R517" s="98"/>
      <c r="S517" s="98"/>
      <c r="T517" s="98"/>
      <c r="U517" s="98"/>
      <c r="V517" s="98"/>
      <c r="W517" s="60"/>
      <c r="X517" s="60"/>
      <c r="Y517" s="60"/>
    </row>
    <row r="518" ht="15.75" customHeight="1">
      <c r="A518" s="106"/>
      <c r="B518" s="106"/>
      <c r="C518" s="95"/>
      <c r="D518" s="95"/>
      <c r="E518" s="106"/>
      <c r="F518" s="106"/>
      <c r="G518" s="106"/>
      <c r="H518" s="106"/>
      <c r="I518" s="106"/>
      <c r="J518" s="106"/>
      <c r="K518" s="108"/>
      <c r="L518" s="109"/>
      <c r="M518" s="95"/>
      <c r="N518" s="77"/>
      <c r="O518" s="95"/>
      <c r="P518" s="95"/>
      <c r="Q518" s="95"/>
      <c r="R518" s="95"/>
      <c r="S518" s="95"/>
      <c r="T518" s="95"/>
      <c r="U518" s="95"/>
      <c r="V518" s="95"/>
      <c r="W518" s="60"/>
      <c r="X518" s="60"/>
      <c r="Y518" s="60"/>
    </row>
    <row r="519" ht="15.75" customHeight="1">
      <c r="A519" s="101"/>
      <c r="B519" s="101"/>
      <c r="C519" s="98"/>
      <c r="D519" s="98"/>
      <c r="E519" s="101"/>
      <c r="F519" s="101"/>
      <c r="G519" s="101"/>
      <c r="H519" s="101"/>
      <c r="I519" s="101"/>
      <c r="J519" s="101"/>
      <c r="K519" s="103"/>
      <c r="L519" s="104"/>
      <c r="M519" s="98"/>
      <c r="N519" s="77"/>
      <c r="O519" s="98"/>
      <c r="P519" s="98"/>
      <c r="Q519" s="98"/>
      <c r="R519" s="98"/>
      <c r="S519" s="98"/>
      <c r="T519" s="98"/>
      <c r="U519" s="98"/>
      <c r="V519" s="98"/>
      <c r="W519" s="60"/>
      <c r="X519" s="60"/>
      <c r="Y519" s="60"/>
    </row>
    <row r="520" ht="15.75" customHeight="1">
      <c r="A520" s="106"/>
      <c r="B520" s="106"/>
      <c r="C520" s="95"/>
      <c r="D520" s="95"/>
      <c r="E520" s="106"/>
      <c r="F520" s="106"/>
      <c r="G520" s="106"/>
      <c r="H520" s="106"/>
      <c r="I520" s="106"/>
      <c r="J520" s="106"/>
      <c r="K520" s="108"/>
      <c r="L520" s="109"/>
      <c r="M520" s="95"/>
      <c r="N520" s="77"/>
      <c r="O520" s="95"/>
      <c r="P520" s="95"/>
      <c r="Q520" s="95"/>
      <c r="R520" s="95"/>
      <c r="S520" s="95"/>
      <c r="T520" s="95"/>
      <c r="U520" s="95"/>
      <c r="V520" s="95"/>
      <c r="W520" s="60"/>
      <c r="X520" s="60"/>
      <c r="Y520" s="60"/>
    </row>
    <row r="521" ht="15.75" customHeight="1">
      <c r="A521" s="101"/>
      <c r="B521" s="101"/>
      <c r="C521" s="98"/>
      <c r="D521" s="98"/>
      <c r="E521" s="101"/>
      <c r="F521" s="101"/>
      <c r="G521" s="101"/>
      <c r="H521" s="101"/>
      <c r="I521" s="101"/>
      <c r="J521" s="101"/>
      <c r="K521" s="103"/>
      <c r="L521" s="104"/>
      <c r="M521" s="98"/>
      <c r="N521" s="77"/>
      <c r="O521" s="98"/>
      <c r="P521" s="98"/>
      <c r="Q521" s="98"/>
      <c r="R521" s="98"/>
      <c r="S521" s="98"/>
      <c r="T521" s="98"/>
      <c r="U521" s="98"/>
      <c r="V521" s="98"/>
      <c r="W521" s="60"/>
      <c r="X521" s="60"/>
      <c r="Y521" s="60"/>
    </row>
    <row r="522" ht="15.75" customHeight="1">
      <c r="A522" s="106"/>
      <c r="B522" s="106"/>
      <c r="C522" s="95"/>
      <c r="D522" s="95"/>
      <c r="E522" s="106"/>
      <c r="F522" s="106"/>
      <c r="G522" s="106"/>
      <c r="H522" s="106"/>
      <c r="I522" s="106"/>
      <c r="J522" s="106"/>
      <c r="K522" s="108"/>
      <c r="L522" s="109"/>
      <c r="M522" s="95"/>
      <c r="N522" s="77"/>
      <c r="O522" s="95"/>
      <c r="P522" s="95"/>
      <c r="Q522" s="95"/>
      <c r="R522" s="95"/>
      <c r="S522" s="95"/>
      <c r="T522" s="95"/>
      <c r="U522" s="95"/>
      <c r="V522" s="95"/>
      <c r="W522" s="60"/>
      <c r="X522" s="60"/>
      <c r="Y522" s="60"/>
    </row>
    <row r="523" ht="15.75" customHeight="1">
      <c r="A523" s="101"/>
      <c r="B523" s="101"/>
      <c r="C523" s="98"/>
      <c r="D523" s="98"/>
      <c r="E523" s="101"/>
      <c r="F523" s="101"/>
      <c r="G523" s="101"/>
      <c r="H523" s="101"/>
      <c r="I523" s="101"/>
      <c r="J523" s="101"/>
      <c r="K523" s="103"/>
      <c r="L523" s="104"/>
      <c r="M523" s="98"/>
      <c r="N523" s="77"/>
      <c r="O523" s="98"/>
      <c r="P523" s="98"/>
      <c r="Q523" s="98"/>
      <c r="R523" s="98"/>
      <c r="S523" s="98"/>
      <c r="T523" s="98"/>
      <c r="U523" s="98"/>
      <c r="V523" s="98"/>
      <c r="W523" s="60"/>
      <c r="X523" s="60"/>
      <c r="Y523" s="60"/>
    </row>
    <row r="524" ht="15.75" customHeight="1">
      <c r="A524" s="106"/>
      <c r="B524" s="106"/>
      <c r="C524" s="95"/>
      <c r="D524" s="95"/>
      <c r="E524" s="106"/>
      <c r="F524" s="106"/>
      <c r="G524" s="106"/>
      <c r="H524" s="106"/>
      <c r="I524" s="106"/>
      <c r="J524" s="106"/>
      <c r="K524" s="108"/>
      <c r="L524" s="109"/>
      <c r="M524" s="95"/>
      <c r="N524" s="77"/>
      <c r="O524" s="95"/>
      <c r="P524" s="95"/>
      <c r="Q524" s="95"/>
      <c r="R524" s="95"/>
      <c r="S524" s="95"/>
      <c r="T524" s="95"/>
      <c r="U524" s="95"/>
      <c r="V524" s="95"/>
      <c r="W524" s="60"/>
      <c r="X524" s="60"/>
      <c r="Y524" s="60"/>
    </row>
    <row r="525" ht="15.75" customHeight="1">
      <c r="A525" s="101"/>
      <c r="B525" s="101"/>
      <c r="C525" s="98"/>
      <c r="D525" s="98"/>
      <c r="E525" s="101"/>
      <c r="F525" s="101"/>
      <c r="G525" s="101"/>
      <c r="H525" s="101"/>
      <c r="I525" s="101"/>
      <c r="J525" s="101"/>
      <c r="K525" s="103"/>
      <c r="L525" s="104"/>
      <c r="M525" s="98"/>
      <c r="N525" s="77"/>
      <c r="O525" s="98"/>
      <c r="P525" s="98"/>
      <c r="Q525" s="98"/>
      <c r="R525" s="98"/>
      <c r="S525" s="98"/>
      <c r="T525" s="98"/>
      <c r="U525" s="98"/>
      <c r="V525" s="98"/>
      <c r="W525" s="60"/>
      <c r="X525" s="60"/>
      <c r="Y525" s="60"/>
    </row>
    <row r="526" ht="15.75" customHeight="1">
      <c r="A526" s="106"/>
      <c r="B526" s="106"/>
      <c r="C526" s="95"/>
      <c r="D526" s="95"/>
      <c r="E526" s="106"/>
      <c r="F526" s="106"/>
      <c r="G526" s="106"/>
      <c r="H526" s="106"/>
      <c r="I526" s="106"/>
      <c r="J526" s="106"/>
      <c r="K526" s="108"/>
      <c r="L526" s="109"/>
      <c r="M526" s="95"/>
      <c r="N526" s="77"/>
      <c r="O526" s="95"/>
      <c r="P526" s="95"/>
      <c r="Q526" s="95"/>
      <c r="R526" s="95"/>
      <c r="S526" s="95"/>
      <c r="T526" s="95"/>
      <c r="U526" s="95"/>
      <c r="V526" s="95"/>
      <c r="W526" s="60"/>
      <c r="X526" s="60"/>
      <c r="Y526" s="60"/>
    </row>
    <row r="527" ht="15.75" customHeight="1">
      <c r="A527" s="101"/>
      <c r="B527" s="101"/>
      <c r="C527" s="98"/>
      <c r="D527" s="98"/>
      <c r="E527" s="101"/>
      <c r="F527" s="101"/>
      <c r="G527" s="101"/>
      <c r="H527" s="101"/>
      <c r="I527" s="101"/>
      <c r="J527" s="101"/>
      <c r="K527" s="103"/>
      <c r="L527" s="104"/>
      <c r="M527" s="98"/>
      <c r="N527" s="77"/>
      <c r="O527" s="98"/>
      <c r="P527" s="98"/>
      <c r="Q527" s="98"/>
      <c r="R527" s="98"/>
      <c r="S527" s="98"/>
      <c r="T527" s="98"/>
      <c r="U527" s="98"/>
      <c r="V527" s="98"/>
      <c r="W527" s="60"/>
      <c r="X527" s="60"/>
      <c r="Y527" s="60"/>
    </row>
    <row r="528" ht="15.75" customHeight="1">
      <c r="A528" s="106"/>
      <c r="B528" s="106"/>
      <c r="C528" s="95"/>
      <c r="D528" s="95"/>
      <c r="E528" s="106"/>
      <c r="F528" s="106"/>
      <c r="G528" s="106"/>
      <c r="H528" s="106"/>
      <c r="I528" s="106"/>
      <c r="J528" s="106"/>
      <c r="K528" s="108"/>
      <c r="L528" s="109"/>
      <c r="M528" s="95"/>
      <c r="N528" s="77"/>
      <c r="O528" s="95"/>
      <c r="P528" s="95"/>
      <c r="Q528" s="95"/>
      <c r="R528" s="95"/>
      <c r="S528" s="95"/>
      <c r="T528" s="95"/>
      <c r="U528" s="95"/>
      <c r="V528" s="95"/>
      <c r="W528" s="60"/>
      <c r="X528" s="60"/>
      <c r="Y528" s="60"/>
    </row>
    <row r="529" ht="15.75" customHeight="1">
      <c r="A529" s="101"/>
      <c r="B529" s="101"/>
      <c r="C529" s="98"/>
      <c r="D529" s="98"/>
      <c r="E529" s="101"/>
      <c r="F529" s="101"/>
      <c r="G529" s="101"/>
      <c r="H529" s="101"/>
      <c r="I529" s="101"/>
      <c r="J529" s="101"/>
      <c r="K529" s="103"/>
      <c r="L529" s="104"/>
      <c r="M529" s="98"/>
      <c r="N529" s="77"/>
      <c r="O529" s="98"/>
      <c r="P529" s="98"/>
      <c r="Q529" s="98"/>
      <c r="R529" s="98"/>
      <c r="S529" s="98"/>
      <c r="T529" s="98"/>
      <c r="U529" s="98"/>
      <c r="V529" s="98"/>
      <c r="W529" s="60"/>
      <c r="X529" s="60"/>
      <c r="Y529" s="60"/>
    </row>
    <row r="530" ht="15.75" customHeight="1">
      <c r="A530" s="106"/>
      <c r="B530" s="106"/>
      <c r="C530" s="95"/>
      <c r="D530" s="95"/>
      <c r="E530" s="106"/>
      <c r="F530" s="106"/>
      <c r="G530" s="106"/>
      <c r="H530" s="106"/>
      <c r="I530" s="106"/>
      <c r="J530" s="106"/>
      <c r="K530" s="108"/>
      <c r="L530" s="109"/>
      <c r="M530" s="95"/>
      <c r="N530" s="77"/>
      <c r="O530" s="95"/>
      <c r="P530" s="95"/>
      <c r="Q530" s="95"/>
      <c r="R530" s="95"/>
      <c r="S530" s="95"/>
      <c r="T530" s="95"/>
      <c r="U530" s="95"/>
      <c r="V530" s="95"/>
      <c r="W530" s="60"/>
      <c r="X530" s="60"/>
      <c r="Y530" s="60"/>
    </row>
    <row r="531" ht="15.75" customHeight="1">
      <c r="A531" s="101"/>
      <c r="B531" s="101"/>
      <c r="C531" s="98"/>
      <c r="D531" s="98"/>
      <c r="E531" s="101"/>
      <c r="F531" s="101"/>
      <c r="G531" s="101"/>
      <c r="H531" s="101"/>
      <c r="I531" s="101"/>
      <c r="J531" s="101"/>
      <c r="K531" s="103"/>
      <c r="L531" s="104"/>
      <c r="M531" s="98"/>
      <c r="N531" s="77"/>
      <c r="O531" s="98"/>
      <c r="P531" s="98"/>
      <c r="Q531" s="98"/>
      <c r="R531" s="98"/>
      <c r="S531" s="98"/>
      <c r="T531" s="98"/>
      <c r="U531" s="98"/>
      <c r="V531" s="98"/>
      <c r="W531" s="60"/>
      <c r="X531" s="60"/>
      <c r="Y531" s="60"/>
    </row>
    <row r="532" ht="15.75" customHeight="1">
      <c r="A532" s="106"/>
      <c r="B532" s="106"/>
      <c r="C532" s="95"/>
      <c r="D532" s="95"/>
      <c r="E532" s="106"/>
      <c r="F532" s="106"/>
      <c r="G532" s="106"/>
      <c r="H532" s="106"/>
      <c r="I532" s="106"/>
      <c r="J532" s="106"/>
      <c r="K532" s="108"/>
      <c r="L532" s="109"/>
      <c r="M532" s="95"/>
      <c r="N532" s="77"/>
      <c r="O532" s="95"/>
      <c r="P532" s="95"/>
      <c r="Q532" s="95"/>
      <c r="R532" s="95"/>
      <c r="S532" s="95"/>
      <c r="T532" s="95"/>
      <c r="U532" s="95"/>
      <c r="V532" s="95"/>
      <c r="W532" s="60"/>
      <c r="X532" s="60"/>
      <c r="Y532" s="60"/>
    </row>
    <row r="533" ht="15.75" customHeight="1">
      <c r="A533" s="101"/>
      <c r="B533" s="101"/>
      <c r="C533" s="98"/>
      <c r="D533" s="98"/>
      <c r="E533" s="101"/>
      <c r="F533" s="101"/>
      <c r="G533" s="101"/>
      <c r="H533" s="101"/>
      <c r="I533" s="101"/>
      <c r="J533" s="101"/>
      <c r="K533" s="103"/>
      <c r="L533" s="104"/>
      <c r="M533" s="98"/>
      <c r="N533" s="77"/>
      <c r="O533" s="98"/>
      <c r="P533" s="98"/>
      <c r="Q533" s="98"/>
      <c r="R533" s="98"/>
      <c r="S533" s="98"/>
      <c r="T533" s="98"/>
      <c r="U533" s="98"/>
      <c r="V533" s="98"/>
      <c r="W533" s="60"/>
      <c r="X533" s="60"/>
      <c r="Y533" s="60"/>
    </row>
    <row r="534" ht="15.75" customHeight="1">
      <c r="A534" s="106"/>
      <c r="B534" s="106"/>
      <c r="C534" s="95"/>
      <c r="D534" s="95"/>
      <c r="E534" s="106"/>
      <c r="F534" s="106"/>
      <c r="G534" s="106"/>
      <c r="H534" s="106"/>
      <c r="I534" s="106"/>
      <c r="J534" s="106"/>
      <c r="K534" s="108"/>
      <c r="L534" s="109"/>
      <c r="M534" s="95"/>
      <c r="N534" s="77"/>
      <c r="O534" s="95"/>
      <c r="P534" s="95"/>
      <c r="Q534" s="95"/>
      <c r="R534" s="95"/>
      <c r="S534" s="95"/>
      <c r="T534" s="95"/>
      <c r="U534" s="95"/>
      <c r="V534" s="95"/>
      <c r="W534" s="60"/>
      <c r="X534" s="60"/>
      <c r="Y534" s="60"/>
    </row>
    <row r="535" ht="15.75" customHeight="1">
      <c r="A535" s="101"/>
      <c r="B535" s="101"/>
      <c r="C535" s="98"/>
      <c r="D535" s="98"/>
      <c r="E535" s="101"/>
      <c r="F535" s="101"/>
      <c r="G535" s="101"/>
      <c r="H535" s="101"/>
      <c r="I535" s="101"/>
      <c r="J535" s="101"/>
      <c r="K535" s="103"/>
      <c r="L535" s="104"/>
      <c r="M535" s="98"/>
      <c r="N535" s="77"/>
      <c r="O535" s="98"/>
      <c r="P535" s="98"/>
      <c r="Q535" s="98"/>
      <c r="R535" s="98"/>
      <c r="S535" s="98"/>
      <c r="T535" s="98"/>
      <c r="U535" s="98"/>
      <c r="V535" s="98"/>
      <c r="W535" s="60"/>
      <c r="X535" s="60"/>
      <c r="Y535" s="60"/>
    </row>
    <row r="536" ht="15.75" customHeight="1">
      <c r="A536" s="106"/>
      <c r="B536" s="106"/>
      <c r="C536" s="95"/>
      <c r="D536" s="95"/>
      <c r="E536" s="106"/>
      <c r="F536" s="106"/>
      <c r="G536" s="106"/>
      <c r="H536" s="106"/>
      <c r="I536" s="106"/>
      <c r="J536" s="106"/>
      <c r="K536" s="108"/>
      <c r="L536" s="109"/>
      <c r="M536" s="95"/>
      <c r="N536" s="77"/>
      <c r="O536" s="95"/>
      <c r="P536" s="95"/>
      <c r="Q536" s="95"/>
      <c r="R536" s="95"/>
      <c r="S536" s="95"/>
      <c r="T536" s="95"/>
      <c r="U536" s="95"/>
      <c r="V536" s="95"/>
      <c r="W536" s="60"/>
      <c r="X536" s="60"/>
      <c r="Y536" s="60"/>
    </row>
    <row r="537" ht="15.75" customHeight="1">
      <c r="A537" s="101"/>
      <c r="B537" s="101"/>
      <c r="C537" s="98"/>
      <c r="D537" s="98"/>
      <c r="E537" s="101"/>
      <c r="F537" s="101"/>
      <c r="G537" s="101"/>
      <c r="H537" s="101"/>
      <c r="I537" s="101"/>
      <c r="J537" s="101"/>
      <c r="K537" s="103"/>
      <c r="L537" s="104"/>
      <c r="M537" s="98"/>
      <c r="N537" s="77"/>
      <c r="O537" s="98"/>
      <c r="P537" s="98"/>
      <c r="Q537" s="98"/>
      <c r="R537" s="98"/>
      <c r="S537" s="98"/>
      <c r="T537" s="98"/>
      <c r="U537" s="98"/>
      <c r="V537" s="98"/>
      <c r="W537" s="60"/>
      <c r="X537" s="60"/>
      <c r="Y537" s="60"/>
    </row>
    <row r="538" ht="15.75" customHeight="1">
      <c r="A538" s="106"/>
      <c r="B538" s="106"/>
      <c r="C538" s="95"/>
      <c r="D538" s="95"/>
      <c r="E538" s="106"/>
      <c r="F538" s="106"/>
      <c r="G538" s="106"/>
      <c r="H538" s="106"/>
      <c r="I538" s="106"/>
      <c r="J538" s="106"/>
      <c r="K538" s="108"/>
      <c r="L538" s="109"/>
      <c r="M538" s="95"/>
      <c r="N538" s="77"/>
      <c r="O538" s="95"/>
      <c r="P538" s="95"/>
      <c r="Q538" s="95"/>
      <c r="R538" s="95"/>
      <c r="S538" s="95"/>
      <c r="T538" s="95"/>
      <c r="U538" s="95"/>
      <c r="V538" s="95"/>
      <c r="W538" s="60"/>
      <c r="X538" s="60"/>
      <c r="Y538" s="60"/>
    </row>
    <row r="539" ht="15.75" customHeight="1">
      <c r="A539" s="101"/>
      <c r="B539" s="101"/>
      <c r="C539" s="98"/>
      <c r="D539" s="98"/>
      <c r="E539" s="101"/>
      <c r="F539" s="101"/>
      <c r="G539" s="101"/>
      <c r="H539" s="101"/>
      <c r="I539" s="101"/>
      <c r="J539" s="101"/>
      <c r="K539" s="103"/>
      <c r="L539" s="104"/>
      <c r="M539" s="98"/>
      <c r="N539" s="77"/>
      <c r="O539" s="98"/>
      <c r="P539" s="98"/>
      <c r="Q539" s="98"/>
      <c r="R539" s="98"/>
      <c r="S539" s="98"/>
      <c r="T539" s="98"/>
      <c r="U539" s="98"/>
      <c r="V539" s="98"/>
      <c r="W539" s="60"/>
      <c r="X539" s="60"/>
      <c r="Y539" s="60"/>
    </row>
    <row r="540" ht="15.75" customHeight="1">
      <c r="A540" s="106"/>
      <c r="B540" s="106"/>
      <c r="C540" s="95"/>
      <c r="D540" s="95"/>
      <c r="E540" s="106"/>
      <c r="F540" s="106"/>
      <c r="G540" s="106"/>
      <c r="H540" s="106"/>
      <c r="I540" s="106"/>
      <c r="J540" s="106"/>
      <c r="K540" s="108"/>
      <c r="L540" s="109"/>
      <c r="M540" s="95"/>
      <c r="N540" s="77"/>
      <c r="O540" s="95"/>
      <c r="P540" s="95"/>
      <c r="Q540" s="95"/>
      <c r="R540" s="95"/>
      <c r="S540" s="95"/>
      <c r="T540" s="95"/>
      <c r="U540" s="95"/>
      <c r="V540" s="95"/>
      <c r="W540" s="60"/>
      <c r="X540" s="60"/>
      <c r="Y540" s="60"/>
    </row>
    <row r="541" ht="15.75" customHeight="1">
      <c r="A541" s="101"/>
      <c r="B541" s="101"/>
      <c r="C541" s="98"/>
      <c r="D541" s="98"/>
      <c r="E541" s="101"/>
      <c r="F541" s="101"/>
      <c r="G541" s="101"/>
      <c r="H541" s="101"/>
      <c r="I541" s="101"/>
      <c r="J541" s="101"/>
      <c r="K541" s="103"/>
      <c r="L541" s="104"/>
      <c r="M541" s="98"/>
      <c r="N541" s="77"/>
      <c r="O541" s="98"/>
      <c r="P541" s="98"/>
      <c r="Q541" s="98"/>
      <c r="R541" s="98"/>
      <c r="S541" s="98"/>
      <c r="T541" s="98"/>
      <c r="U541" s="98"/>
      <c r="V541" s="98"/>
      <c r="W541" s="60"/>
      <c r="X541" s="60"/>
      <c r="Y541" s="60"/>
    </row>
    <row r="542" ht="15.75" customHeight="1">
      <c r="A542" s="106"/>
      <c r="B542" s="106"/>
      <c r="C542" s="95"/>
      <c r="D542" s="95"/>
      <c r="E542" s="106"/>
      <c r="F542" s="106"/>
      <c r="G542" s="106"/>
      <c r="H542" s="106"/>
      <c r="I542" s="106"/>
      <c r="J542" s="106"/>
      <c r="K542" s="108"/>
      <c r="L542" s="109"/>
      <c r="M542" s="95"/>
      <c r="N542" s="77"/>
      <c r="O542" s="95"/>
      <c r="P542" s="95"/>
      <c r="Q542" s="95"/>
      <c r="R542" s="95"/>
      <c r="S542" s="95"/>
      <c r="T542" s="95"/>
      <c r="U542" s="95"/>
      <c r="V542" s="95"/>
      <c r="W542" s="60"/>
      <c r="X542" s="60"/>
      <c r="Y542" s="60"/>
    </row>
    <row r="543" ht="15.75" customHeight="1">
      <c r="A543" s="101"/>
      <c r="B543" s="101"/>
      <c r="C543" s="98"/>
      <c r="D543" s="98"/>
      <c r="E543" s="101"/>
      <c r="F543" s="101"/>
      <c r="G543" s="101"/>
      <c r="H543" s="101"/>
      <c r="I543" s="101"/>
      <c r="J543" s="101"/>
      <c r="K543" s="103"/>
      <c r="L543" s="104"/>
      <c r="M543" s="98"/>
      <c r="N543" s="77"/>
      <c r="O543" s="98"/>
      <c r="P543" s="98"/>
      <c r="Q543" s="98"/>
      <c r="R543" s="98"/>
      <c r="S543" s="98"/>
      <c r="T543" s="98"/>
      <c r="U543" s="98"/>
      <c r="V543" s="98"/>
      <c r="W543" s="60"/>
      <c r="X543" s="60"/>
      <c r="Y543" s="60"/>
    </row>
    <row r="544" ht="15.75" customHeight="1">
      <c r="A544" s="106"/>
      <c r="B544" s="106"/>
      <c r="C544" s="95"/>
      <c r="D544" s="95"/>
      <c r="E544" s="106"/>
      <c r="F544" s="106"/>
      <c r="G544" s="106"/>
      <c r="H544" s="106"/>
      <c r="I544" s="106"/>
      <c r="J544" s="106"/>
      <c r="K544" s="108"/>
      <c r="L544" s="109"/>
      <c r="M544" s="95"/>
      <c r="N544" s="77"/>
      <c r="O544" s="95"/>
      <c r="P544" s="95"/>
      <c r="Q544" s="95"/>
      <c r="R544" s="95"/>
      <c r="S544" s="95"/>
      <c r="T544" s="95"/>
      <c r="U544" s="95"/>
      <c r="V544" s="95"/>
      <c r="W544" s="60"/>
      <c r="X544" s="60"/>
      <c r="Y544" s="60"/>
    </row>
    <row r="545" ht="15.75" customHeight="1">
      <c r="A545" s="101"/>
      <c r="B545" s="101"/>
      <c r="C545" s="98"/>
      <c r="D545" s="98"/>
      <c r="E545" s="101"/>
      <c r="F545" s="101"/>
      <c r="G545" s="101"/>
      <c r="H545" s="101"/>
      <c r="I545" s="101"/>
      <c r="J545" s="101"/>
      <c r="K545" s="103"/>
      <c r="L545" s="104"/>
      <c r="M545" s="98"/>
      <c r="N545" s="77"/>
      <c r="O545" s="98"/>
      <c r="P545" s="98"/>
      <c r="Q545" s="98"/>
      <c r="R545" s="98"/>
      <c r="S545" s="98"/>
      <c r="T545" s="98"/>
      <c r="U545" s="98"/>
      <c r="V545" s="98"/>
      <c r="W545" s="60"/>
      <c r="X545" s="60"/>
      <c r="Y545" s="60"/>
    </row>
    <row r="546" ht="15.75" customHeight="1">
      <c r="A546" s="106"/>
      <c r="B546" s="106"/>
      <c r="C546" s="95"/>
      <c r="D546" s="95"/>
      <c r="E546" s="106"/>
      <c r="F546" s="106"/>
      <c r="G546" s="106"/>
      <c r="H546" s="106"/>
      <c r="I546" s="106"/>
      <c r="J546" s="106"/>
      <c r="K546" s="108"/>
      <c r="L546" s="109"/>
      <c r="M546" s="95"/>
      <c r="N546" s="77"/>
      <c r="O546" s="95"/>
      <c r="P546" s="95"/>
      <c r="Q546" s="95"/>
      <c r="R546" s="95"/>
      <c r="S546" s="95"/>
      <c r="T546" s="95"/>
      <c r="U546" s="95"/>
      <c r="V546" s="95"/>
      <c r="W546" s="60"/>
      <c r="X546" s="60"/>
      <c r="Y546" s="60"/>
    </row>
    <row r="547" ht="15.75" customHeight="1">
      <c r="A547" s="101"/>
      <c r="B547" s="101"/>
      <c r="C547" s="98"/>
      <c r="D547" s="98"/>
      <c r="E547" s="101"/>
      <c r="F547" s="101"/>
      <c r="G547" s="101"/>
      <c r="H547" s="101"/>
      <c r="I547" s="101"/>
      <c r="J547" s="101"/>
      <c r="K547" s="103"/>
      <c r="L547" s="104"/>
      <c r="M547" s="98"/>
      <c r="N547" s="77"/>
      <c r="O547" s="98"/>
      <c r="P547" s="98"/>
      <c r="Q547" s="98"/>
      <c r="R547" s="98"/>
      <c r="S547" s="98"/>
      <c r="T547" s="98"/>
      <c r="U547" s="98"/>
      <c r="V547" s="98"/>
      <c r="W547" s="60"/>
      <c r="X547" s="60"/>
      <c r="Y547" s="60"/>
    </row>
    <row r="548" ht="15.75" customHeight="1">
      <c r="A548" s="106"/>
      <c r="B548" s="106"/>
      <c r="C548" s="95"/>
      <c r="D548" s="95"/>
      <c r="E548" s="106"/>
      <c r="F548" s="106"/>
      <c r="G548" s="106"/>
      <c r="H548" s="106"/>
      <c r="I548" s="106"/>
      <c r="J548" s="106"/>
      <c r="K548" s="108"/>
      <c r="L548" s="109"/>
      <c r="M548" s="95"/>
      <c r="N548" s="77"/>
      <c r="O548" s="95"/>
      <c r="P548" s="95"/>
      <c r="Q548" s="95"/>
      <c r="R548" s="95"/>
      <c r="S548" s="95"/>
      <c r="T548" s="95"/>
      <c r="U548" s="95"/>
      <c r="V548" s="95"/>
      <c r="W548" s="60"/>
      <c r="X548" s="60"/>
      <c r="Y548" s="60"/>
    </row>
    <row r="549" ht="15.75" customHeight="1">
      <c r="A549" s="101"/>
      <c r="B549" s="101"/>
      <c r="C549" s="98"/>
      <c r="D549" s="98"/>
      <c r="E549" s="101"/>
      <c r="F549" s="101"/>
      <c r="G549" s="101"/>
      <c r="H549" s="101"/>
      <c r="I549" s="101"/>
      <c r="J549" s="101"/>
      <c r="K549" s="103"/>
      <c r="L549" s="104"/>
      <c r="M549" s="98"/>
      <c r="N549" s="77"/>
      <c r="O549" s="98"/>
      <c r="P549" s="98"/>
      <c r="Q549" s="98"/>
      <c r="R549" s="98"/>
      <c r="S549" s="98"/>
      <c r="T549" s="98"/>
      <c r="U549" s="98"/>
      <c r="V549" s="98"/>
      <c r="W549" s="60"/>
      <c r="X549" s="60"/>
      <c r="Y549" s="60"/>
    </row>
    <row r="550" ht="15.75" customHeight="1">
      <c r="A550" s="106"/>
      <c r="B550" s="106"/>
      <c r="C550" s="95"/>
      <c r="D550" s="95"/>
      <c r="E550" s="106"/>
      <c r="F550" s="106"/>
      <c r="G550" s="106"/>
      <c r="H550" s="106"/>
      <c r="I550" s="106"/>
      <c r="J550" s="106"/>
      <c r="K550" s="108"/>
      <c r="L550" s="109"/>
      <c r="M550" s="95"/>
      <c r="N550" s="77"/>
      <c r="O550" s="95"/>
      <c r="P550" s="95"/>
      <c r="Q550" s="95"/>
      <c r="R550" s="95"/>
      <c r="S550" s="95"/>
      <c r="T550" s="95"/>
      <c r="U550" s="95"/>
      <c r="V550" s="95"/>
      <c r="W550" s="60"/>
      <c r="X550" s="60"/>
      <c r="Y550" s="60"/>
    </row>
    <row r="551" ht="15.75" customHeight="1">
      <c r="A551" s="101"/>
      <c r="B551" s="101"/>
      <c r="C551" s="98"/>
      <c r="D551" s="98"/>
      <c r="E551" s="101"/>
      <c r="F551" s="101"/>
      <c r="G551" s="101"/>
      <c r="H551" s="101"/>
      <c r="I551" s="101"/>
      <c r="J551" s="101"/>
      <c r="K551" s="103"/>
      <c r="L551" s="104"/>
      <c r="M551" s="98"/>
      <c r="N551" s="77"/>
      <c r="O551" s="98"/>
      <c r="P551" s="98"/>
      <c r="Q551" s="98"/>
      <c r="R551" s="98"/>
      <c r="S551" s="98"/>
      <c r="T551" s="98"/>
      <c r="U551" s="98"/>
      <c r="V551" s="98"/>
      <c r="W551" s="60"/>
      <c r="X551" s="60"/>
      <c r="Y551" s="60"/>
    </row>
    <row r="552" ht="15.75" customHeight="1">
      <c r="A552" s="106"/>
      <c r="B552" s="106"/>
      <c r="C552" s="95"/>
      <c r="D552" s="95"/>
      <c r="E552" s="106"/>
      <c r="F552" s="106"/>
      <c r="G552" s="106"/>
      <c r="H552" s="106"/>
      <c r="I552" s="106"/>
      <c r="J552" s="106"/>
      <c r="K552" s="108"/>
      <c r="L552" s="109"/>
      <c r="M552" s="95"/>
      <c r="N552" s="77"/>
      <c r="O552" s="95"/>
      <c r="P552" s="95"/>
      <c r="Q552" s="95"/>
      <c r="R552" s="95"/>
      <c r="S552" s="95"/>
      <c r="T552" s="95"/>
      <c r="U552" s="95"/>
      <c r="V552" s="95"/>
      <c r="W552" s="60"/>
      <c r="X552" s="60"/>
      <c r="Y552" s="60"/>
    </row>
    <row r="553" ht="15.75" customHeight="1">
      <c r="A553" s="101"/>
      <c r="B553" s="101"/>
      <c r="C553" s="98"/>
      <c r="D553" s="98"/>
      <c r="E553" s="101"/>
      <c r="F553" s="101"/>
      <c r="G553" s="101"/>
      <c r="H553" s="101"/>
      <c r="I553" s="101"/>
      <c r="J553" s="101"/>
      <c r="K553" s="103"/>
      <c r="L553" s="104"/>
      <c r="M553" s="98"/>
      <c r="N553" s="77"/>
      <c r="O553" s="98"/>
      <c r="P553" s="98"/>
      <c r="Q553" s="98"/>
      <c r="R553" s="98"/>
      <c r="S553" s="98"/>
      <c r="T553" s="98"/>
      <c r="U553" s="98"/>
      <c r="V553" s="98"/>
      <c r="W553" s="60"/>
      <c r="X553" s="60"/>
      <c r="Y553" s="60"/>
    </row>
    <row r="554" ht="15.75" customHeight="1">
      <c r="A554" s="106"/>
      <c r="B554" s="106"/>
      <c r="C554" s="95"/>
      <c r="D554" s="95"/>
      <c r="E554" s="106"/>
      <c r="F554" s="106"/>
      <c r="G554" s="106"/>
      <c r="H554" s="106"/>
      <c r="I554" s="106"/>
      <c r="J554" s="106"/>
      <c r="K554" s="108"/>
      <c r="L554" s="109"/>
      <c r="M554" s="95"/>
      <c r="N554" s="77"/>
      <c r="O554" s="95"/>
      <c r="P554" s="95"/>
      <c r="Q554" s="95"/>
      <c r="R554" s="95"/>
      <c r="S554" s="95"/>
      <c r="T554" s="95"/>
      <c r="U554" s="95"/>
      <c r="V554" s="95"/>
      <c r="W554" s="60"/>
      <c r="X554" s="60"/>
      <c r="Y554" s="60"/>
    </row>
    <row r="555" ht="15.75" customHeight="1">
      <c r="A555" s="101"/>
      <c r="B555" s="101"/>
      <c r="C555" s="98"/>
      <c r="D555" s="98"/>
      <c r="E555" s="101"/>
      <c r="F555" s="101"/>
      <c r="G555" s="101"/>
      <c r="H555" s="101"/>
      <c r="I555" s="101"/>
      <c r="J555" s="101"/>
      <c r="K555" s="103"/>
      <c r="L555" s="104"/>
      <c r="M555" s="98"/>
      <c r="N555" s="77"/>
      <c r="O555" s="98"/>
      <c r="P555" s="98"/>
      <c r="Q555" s="98"/>
      <c r="R555" s="98"/>
      <c r="S555" s="98"/>
      <c r="T555" s="98"/>
      <c r="U555" s="98"/>
      <c r="V555" s="98"/>
      <c r="W555" s="60"/>
      <c r="X555" s="60"/>
      <c r="Y555" s="60"/>
    </row>
    <row r="556" ht="15.75" customHeight="1">
      <c r="A556" s="106"/>
      <c r="B556" s="106"/>
      <c r="C556" s="95"/>
      <c r="D556" s="95"/>
      <c r="E556" s="106"/>
      <c r="F556" s="106"/>
      <c r="G556" s="106"/>
      <c r="H556" s="106"/>
      <c r="I556" s="106"/>
      <c r="J556" s="106"/>
      <c r="K556" s="108"/>
      <c r="L556" s="109"/>
      <c r="M556" s="95"/>
      <c r="N556" s="77"/>
      <c r="O556" s="95"/>
      <c r="P556" s="95"/>
      <c r="Q556" s="95"/>
      <c r="R556" s="95"/>
      <c r="S556" s="95"/>
      <c r="T556" s="95"/>
      <c r="U556" s="95"/>
      <c r="V556" s="95"/>
      <c r="W556" s="60"/>
      <c r="X556" s="60"/>
      <c r="Y556" s="60"/>
    </row>
    <row r="557" ht="15.75" customHeight="1">
      <c r="A557" s="101"/>
      <c r="B557" s="101"/>
      <c r="C557" s="98"/>
      <c r="D557" s="98"/>
      <c r="E557" s="101"/>
      <c r="F557" s="101"/>
      <c r="G557" s="101"/>
      <c r="H557" s="101"/>
      <c r="I557" s="101"/>
      <c r="J557" s="101"/>
      <c r="K557" s="103"/>
      <c r="L557" s="104"/>
      <c r="M557" s="98"/>
      <c r="N557" s="77"/>
      <c r="O557" s="98"/>
      <c r="P557" s="98"/>
      <c r="Q557" s="98"/>
      <c r="R557" s="98"/>
      <c r="S557" s="98"/>
      <c r="T557" s="98"/>
      <c r="U557" s="98"/>
      <c r="V557" s="98"/>
      <c r="W557" s="60"/>
      <c r="X557" s="60"/>
      <c r="Y557" s="60"/>
    </row>
    <row r="558" ht="15.75" customHeight="1">
      <c r="A558" s="106"/>
      <c r="B558" s="106"/>
      <c r="C558" s="95"/>
      <c r="D558" s="95"/>
      <c r="E558" s="106"/>
      <c r="F558" s="106"/>
      <c r="G558" s="106"/>
      <c r="H558" s="106"/>
      <c r="I558" s="106"/>
      <c r="J558" s="106"/>
      <c r="K558" s="108"/>
      <c r="L558" s="109"/>
      <c r="M558" s="95"/>
      <c r="N558" s="77"/>
      <c r="O558" s="95"/>
      <c r="P558" s="95"/>
      <c r="Q558" s="95"/>
      <c r="R558" s="95"/>
      <c r="S558" s="95"/>
      <c r="T558" s="95"/>
      <c r="U558" s="95"/>
      <c r="V558" s="95"/>
      <c r="W558" s="60"/>
      <c r="X558" s="60"/>
      <c r="Y558" s="60"/>
    </row>
    <row r="559" ht="15.75" customHeight="1">
      <c r="A559" s="101"/>
      <c r="B559" s="101"/>
      <c r="C559" s="98"/>
      <c r="D559" s="98"/>
      <c r="E559" s="101"/>
      <c r="F559" s="101"/>
      <c r="G559" s="101"/>
      <c r="H559" s="101"/>
      <c r="I559" s="101"/>
      <c r="J559" s="101"/>
      <c r="K559" s="103"/>
      <c r="L559" s="104"/>
      <c r="M559" s="98"/>
      <c r="N559" s="77"/>
      <c r="O559" s="98"/>
      <c r="P559" s="98"/>
      <c r="Q559" s="98"/>
      <c r="R559" s="98"/>
      <c r="S559" s="98"/>
      <c r="T559" s="98"/>
      <c r="U559" s="98"/>
      <c r="V559" s="98"/>
      <c r="W559" s="60"/>
      <c r="X559" s="60"/>
      <c r="Y559" s="60"/>
    </row>
    <row r="560" ht="15.75" customHeight="1">
      <c r="A560" s="106"/>
      <c r="B560" s="106"/>
      <c r="C560" s="95"/>
      <c r="D560" s="95"/>
      <c r="E560" s="106"/>
      <c r="F560" s="106"/>
      <c r="G560" s="106"/>
      <c r="H560" s="106"/>
      <c r="I560" s="106"/>
      <c r="J560" s="106"/>
      <c r="K560" s="108"/>
      <c r="L560" s="109"/>
      <c r="M560" s="95"/>
      <c r="N560" s="77"/>
      <c r="O560" s="95"/>
      <c r="P560" s="95"/>
      <c r="Q560" s="95"/>
      <c r="R560" s="95"/>
      <c r="S560" s="95"/>
      <c r="T560" s="95"/>
      <c r="U560" s="95"/>
      <c r="V560" s="95"/>
      <c r="W560" s="60"/>
      <c r="X560" s="60"/>
      <c r="Y560" s="60"/>
    </row>
    <row r="561" ht="15.75" customHeight="1">
      <c r="A561" s="101"/>
      <c r="B561" s="101"/>
      <c r="C561" s="98"/>
      <c r="D561" s="98"/>
      <c r="E561" s="101"/>
      <c r="F561" s="101"/>
      <c r="G561" s="101"/>
      <c r="H561" s="101"/>
      <c r="I561" s="101"/>
      <c r="J561" s="101"/>
      <c r="K561" s="103"/>
      <c r="L561" s="104"/>
      <c r="M561" s="98"/>
      <c r="N561" s="77"/>
      <c r="O561" s="98"/>
      <c r="P561" s="98"/>
      <c r="Q561" s="98"/>
      <c r="R561" s="98"/>
      <c r="S561" s="98"/>
      <c r="T561" s="98"/>
      <c r="U561" s="98"/>
      <c r="V561" s="98"/>
      <c r="W561" s="60"/>
      <c r="X561" s="60"/>
      <c r="Y561" s="60"/>
    </row>
    <row r="562" ht="15.75" customHeight="1">
      <c r="A562" s="106"/>
      <c r="B562" s="106"/>
      <c r="C562" s="95"/>
      <c r="D562" s="95"/>
      <c r="E562" s="106"/>
      <c r="F562" s="106"/>
      <c r="G562" s="106"/>
      <c r="H562" s="106"/>
      <c r="I562" s="106"/>
      <c r="J562" s="106"/>
      <c r="K562" s="108"/>
      <c r="L562" s="109"/>
      <c r="M562" s="95"/>
      <c r="N562" s="77"/>
      <c r="O562" s="95"/>
      <c r="P562" s="95"/>
      <c r="Q562" s="95"/>
      <c r="R562" s="95"/>
      <c r="S562" s="95"/>
      <c r="T562" s="95"/>
      <c r="U562" s="95"/>
      <c r="V562" s="95"/>
      <c r="W562" s="60"/>
      <c r="X562" s="60"/>
      <c r="Y562" s="60"/>
    </row>
    <row r="563" ht="15.75" customHeight="1">
      <c r="A563" s="101"/>
      <c r="B563" s="101"/>
      <c r="C563" s="98"/>
      <c r="D563" s="98"/>
      <c r="E563" s="101"/>
      <c r="F563" s="101"/>
      <c r="G563" s="101"/>
      <c r="H563" s="101"/>
      <c r="I563" s="101"/>
      <c r="J563" s="101"/>
      <c r="K563" s="103"/>
      <c r="L563" s="104"/>
      <c r="M563" s="98"/>
      <c r="N563" s="77"/>
      <c r="O563" s="98"/>
      <c r="P563" s="98"/>
      <c r="Q563" s="98"/>
      <c r="R563" s="98"/>
      <c r="S563" s="98"/>
      <c r="T563" s="98"/>
      <c r="U563" s="98"/>
      <c r="V563" s="98"/>
      <c r="W563" s="60"/>
      <c r="X563" s="60"/>
      <c r="Y563" s="60"/>
    </row>
    <row r="564" ht="15.75" customHeight="1">
      <c r="A564" s="106"/>
      <c r="B564" s="106"/>
      <c r="C564" s="95"/>
      <c r="D564" s="95"/>
      <c r="E564" s="106"/>
      <c r="F564" s="106"/>
      <c r="G564" s="106"/>
      <c r="H564" s="106"/>
      <c r="I564" s="106"/>
      <c r="J564" s="106"/>
      <c r="K564" s="108"/>
      <c r="L564" s="109"/>
      <c r="M564" s="95"/>
      <c r="N564" s="77"/>
      <c r="O564" s="95"/>
      <c r="P564" s="95"/>
      <c r="Q564" s="95"/>
      <c r="R564" s="95"/>
      <c r="S564" s="95"/>
      <c r="T564" s="95"/>
      <c r="U564" s="95"/>
      <c r="V564" s="95"/>
      <c r="W564" s="60"/>
      <c r="X564" s="60"/>
      <c r="Y564" s="60"/>
    </row>
    <row r="565" ht="15.75" customHeight="1">
      <c r="A565" s="101"/>
      <c r="B565" s="101"/>
      <c r="C565" s="98"/>
      <c r="D565" s="98"/>
      <c r="E565" s="101"/>
      <c r="F565" s="101"/>
      <c r="G565" s="101"/>
      <c r="H565" s="101"/>
      <c r="I565" s="101"/>
      <c r="J565" s="101"/>
      <c r="K565" s="103"/>
      <c r="L565" s="104"/>
      <c r="M565" s="98"/>
      <c r="N565" s="77"/>
      <c r="O565" s="98"/>
      <c r="P565" s="98"/>
      <c r="Q565" s="98"/>
      <c r="R565" s="98"/>
      <c r="S565" s="98"/>
      <c r="T565" s="98"/>
      <c r="U565" s="98"/>
      <c r="V565" s="98"/>
      <c r="W565" s="60"/>
      <c r="X565" s="60"/>
      <c r="Y565" s="60"/>
    </row>
    <row r="566" ht="15.75" customHeight="1">
      <c r="A566" s="106"/>
      <c r="B566" s="106"/>
      <c r="C566" s="95"/>
      <c r="D566" s="95"/>
      <c r="E566" s="106"/>
      <c r="F566" s="106"/>
      <c r="G566" s="106"/>
      <c r="H566" s="106"/>
      <c r="I566" s="106"/>
      <c r="J566" s="106"/>
      <c r="K566" s="108"/>
      <c r="L566" s="109"/>
      <c r="M566" s="95"/>
      <c r="N566" s="77"/>
      <c r="O566" s="95"/>
      <c r="P566" s="95"/>
      <c r="Q566" s="95"/>
      <c r="R566" s="95"/>
      <c r="S566" s="95"/>
      <c r="T566" s="95"/>
      <c r="U566" s="95"/>
      <c r="V566" s="95"/>
      <c r="W566" s="60"/>
      <c r="X566" s="60"/>
      <c r="Y566" s="60"/>
    </row>
    <row r="567" ht="15.75" customHeight="1">
      <c r="A567" s="101"/>
      <c r="B567" s="101"/>
      <c r="C567" s="98"/>
      <c r="D567" s="98"/>
      <c r="E567" s="101"/>
      <c r="F567" s="101"/>
      <c r="G567" s="101"/>
      <c r="H567" s="101"/>
      <c r="I567" s="101"/>
      <c r="J567" s="101"/>
      <c r="K567" s="103"/>
      <c r="L567" s="104"/>
      <c r="M567" s="98"/>
      <c r="N567" s="77"/>
      <c r="O567" s="98"/>
      <c r="P567" s="98"/>
      <c r="Q567" s="98"/>
      <c r="R567" s="98"/>
      <c r="S567" s="98"/>
      <c r="T567" s="98"/>
      <c r="U567" s="98"/>
      <c r="V567" s="98"/>
      <c r="W567" s="60"/>
      <c r="X567" s="60"/>
      <c r="Y567" s="60"/>
    </row>
    <row r="568" ht="15.75" customHeight="1">
      <c r="A568" s="106"/>
      <c r="B568" s="106"/>
      <c r="C568" s="95"/>
      <c r="D568" s="95"/>
      <c r="E568" s="106"/>
      <c r="F568" s="106"/>
      <c r="G568" s="106"/>
      <c r="H568" s="106"/>
      <c r="I568" s="106"/>
      <c r="J568" s="106"/>
      <c r="K568" s="108"/>
      <c r="L568" s="109"/>
      <c r="M568" s="95"/>
      <c r="N568" s="77"/>
      <c r="O568" s="95"/>
      <c r="P568" s="95"/>
      <c r="Q568" s="95"/>
      <c r="R568" s="95"/>
      <c r="S568" s="95"/>
      <c r="T568" s="95"/>
      <c r="U568" s="95"/>
      <c r="V568" s="95"/>
      <c r="W568" s="60"/>
      <c r="X568" s="60"/>
      <c r="Y568" s="60"/>
    </row>
    <row r="569" ht="15.75" customHeight="1">
      <c r="A569" s="101"/>
      <c r="B569" s="101"/>
      <c r="C569" s="98"/>
      <c r="D569" s="98"/>
      <c r="E569" s="101"/>
      <c r="F569" s="101"/>
      <c r="G569" s="101"/>
      <c r="H569" s="101"/>
      <c r="I569" s="101"/>
      <c r="J569" s="101"/>
      <c r="K569" s="103"/>
      <c r="L569" s="104"/>
      <c r="M569" s="98"/>
      <c r="N569" s="77"/>
      <c r="O569" s="98"/>
      <c r="P569" s="98"/>
      <c r="Q569" s="98"/>
      <c r="R569" s="98"/>
      <c r="S569" s="98"/>
      <c r="T569" s="98"/>
      <c r="U569" s="98"/>
      <c r="V569" s="98"/>
      <c r="W569" s="60"/>
      <c r="X569" s="60"/>
      <c r="Y569" s="60"/>
    </row>
    <row r="570" ht="15.75" customHeight="1">
      <c r="A570" s="106"/>
      <c r="B570" s="106"/>
      <c r="C570" s="95"/>
      <c r="D570" s="95"/>
      <c r="E570" s="106"/>
      <c r="F570" s="106"/>
      <c r="G570" s="106"/>
      <c r="H570" s="106"/>
      <c r="I570" s="106"/>
      <c r="J570" s="106"/>
      <c r="K570" s="108"/>
      <c r="L570" s="109"/>
      <c r="M570" s="95"/>
      <c r="N570" s="77"/>
      <c r="O570" s="95"/>
      <c r="P570" s="95"/>
      <c r="Q570" s="95"/>
      <c r="R570" s="95"/>
      <c r="S570" s="95"/>
      <c r="T570" s="95"/>
      <c r="U570" s="95"/>
      <c r="V570" s="95"/>
      <c r="W570" s="60"/>
      <c r="X570" s="60"/>
      <c r="Y570" s="60"/>
    </row>
    <row r="571" ht="15.75" customHeight="1">
      <c r="A571" s="101"/>
      <c r="B571" s="101"/>
      <c r="C571" s="98"/>
      <c r="D571" s="98"/>
      <c r="E571" s="101"/>
      <c r="F571" s="101"/>
      <c r="G571" s="101"/>
      <c r="H571" s="101"/>
      <c r="I571" s="101"/>
      <c r="J571" s="101"/>
      <c r="K571" s="103"/>
      <c r="L571" s="104"/>
      <c r="M571" s="98"/>
      <c r="N571" s="77"/>
      <c r="O571" s="98"/>
      <c r="P571" s="98"/>
      <c r="Q571" s="98"/>
      <c r="R571" s="98"/>
      <c r="S571" s="98"/>
      <c r="T571" s="98"/>
      <c r="U571" s="98"/>
      <c r="V571" s="98"/>
      <c r="W571" s="60"/>
      <c r="X571" s="60"/>
      <c r="Y571" s="60"/>
    </row>
    <row r="572" ht="15.75" customHeight="1">
      <c r="A572" s="106"/>
      <c r="B572" s="106"/>
      <c r="C572" s="95"/>
      <c r="D572" s="95"/>
      <c r="E572" s="106"/>
      <c r="F572" s="106"/>
      <c r="G572" s="106"/>
      <c r="H572" s="106"/>
      <c r="I572" s="106"/>
      <c r="J572" s="106"/>
      <c r="K572" s="108"/>
      <c r="L572" s="109"/>
      <c r="M572" s="95"/>
      <c r="N572" s="77"/>
      <c r="O572" s="95"/>
      <c r="P572" s="95"/>
      <c r="Q572" s="95"/>
      <c r="R572" s="95"/>
      <c r="S572" s="95"/>
      <c r="T572" s="95"/>
      <c r="U572" s="95"/>
      <c r="V572" s="95"/>
      <c r="W572" s="60"/>
      <c r="X572" s="60"/>
      <c r="Y572" s="60"/>
    </row>
    <row r="573" ht="15.75" customHeight="1">
      <c r="A573" s="101"/>
      <c r="B573" s="101"/>
      <c r="C573" s="98"/>
      <c r="D573" s="98"/>
      <c r="E573" s="101"/>
      <c r="F573" s="101"/>
      <c r="G573" s="101"/>
      <c r="H573" s="101"/>
      <c r="I573" s="101"/>
      <c r="J573" s="101"/>
      <c r="K573" s="103"/>
      <c r="L573" s="104"/>
      <c r="M573" s="98"/>
      <c r="N573" s="77"/>
      <c r="O573" s="98"/>
      <c r="P573" s="98"/>
      <c r="Q573" s="98"/>
      <c r="R573" s="98"/>
      <c r="S573" s="98"/>
      <c r="T573" s="98"/>
      <c r="U573" s="98"/>
      <c r="V573" s="98"/>
      <c r="W573" s="60"/>
      <c r="X573" s="60"/>
      <c r="Y573" s="60"/>
    </row>
    <row r="574" ht="15.75" customHeight="1">
      <c r="A574" s="106"/>
      <c r="B574" s="106"/>
      <c r="C574" s="95"/>
      <c r="D574" s="95"/>
      <c r="E574" s="106"/>
      <c r="F574" s="106"/>
      <c r="G574" s="106"/>
      <c r="H574" s="106"/>
      <c r="I574" s="106"/>
      <c r="J574" s="106"/>
      <c r="K574" s="108"/>
      <c r="L574" s="109"/>
      <c r="M574" s="95"/>
      <c r="N574" s="77"/>
      <c r="O574" s="95"/>
      <c r="P574" s="95"/>
      <c r="Q574" s="95"/>
      <c r="R574" s="95"/>
      <c r="S574" s="95"/>
      <c r="T574" s="95"/>
      <c r="U574" s="95"/>
      <c r="V574" s="95"/>
      <c r="W574" s="60"/>
      <c r="X574" s="60"/>
      <c r="Y574" s="60"/>
    </row>
    <row r="575" ht="15.75" customHeight="1">
      <c r="A575" s="101"/>
      <c r="B575" s="101"/>
      <c r="C575" s="98"/>
      <c r="D575" s="98"/>
      <c r="E575" s="101"/>
      <c r="F575" s="101"/>
      <c r="G575" s="101"/>
      <c r="H575" s="101"/>
      <c r="I575" s="101"/>
      <c r="J575" s="101"/>
      <c r="K575" s="103"/>
      <c r="L575" s="104"/>
      <c r="M575" s="98"/>
      <c r="N575" s="77"/>
      <c r="O575" s="98"/>
      <c r="P575" s="98"/>
      <c r="Q575" s="98"/>
      <c r="R575" s="98"/>
      <c r="S575" s="98"/>
      <c r="T575" s="98"/>
      <c r="U575" s="98"/>
      <c r="V575" s="98"/>
      <c r="W575" s="60"/>
      <c r="X575" s="60"/>
      <c r="Y575" s="60"/>
    </row>
    <row r="576" ht="15.75" customHeight="1">
      <c r="A576" s="106"/>
      <c r="B576" s="106"/>
      <c r="C576" s="95"/>
      <c r="D576" s="95"/>
      <c r="E576" s="106"/>
      <c r="F576" s="106"/>
      <c r="G576" s="106"/>
      <c r="H576" s="106"/>
      <c r="I576" s="106"/>
      <c r="J576" s="106"/>
      <c r="K576" s="108"/>
      <c r="L576" s="109"/>
      <c r="M576" s="95"/>
      <c r="N576" s="77"/>
      <c r="O576" s="95"/>
      <c r="P576" s="95"/>
      <c r="Q576" s="95"/>
      <c r="R576" s="95"/>
      <c r="S576" s="95"/>
      <c r="T576" s="95"/>
      <c r="U576" s="95"/>
      <c r="V576" s="95"/>
      <c r="W576" s="60"/>
      <c r="X576" s="60"/>
      <c r="Y576" s="60"/>
    </row>
    <row r="577" ht="15.75" customHeight="1">
      <c r="A577" s="101"/>
      <c r="B577" s="101"/>
      <c r="C577" s="98"/>
      <c r="D577" s="98"/>
      <c r="E577" s="101"/>
      <c r="F577" s="101"/>
      <c r="G577" s="101"/>
      <c r="H577" s="101"/>
      <c r="I577" s="101"/>
      <c r="J577" s="101"/>
      <c r="K577" s="103"/>
      <c r="L577" s="104"/>
      <c r="M577" s="98"/>
      <c r="N577" s="77"/>
      <c r="O577" s="98"/>
      <c r="P577" s="98"/>
      <c r="Q577" s="98"/>
      <c r="R577" s="98"/>
      <c r="S577" s="98"/>
      <c r="T577" s="98"/>
      <c r="U577" s="98"/>
      <c r="V577" s="98"/>
      <c r="W577" s="60"/>
      <c r="X577" s="60"/>
      <c r="Y577" s="60"/>
    </row>
    <row r="578" ht="15.75" customHeight="1">
      <c r="A578" s="106"/>
      <c r="B578" s="106"/>
      <c r="C578" s="95"/>
      <c r="D578" s="95"/>
      <c r="E578" s="106"/>
      <c r="F578" s="106"/>
      <c r="G578" s="106"/>
      <c r="H578" s="106"/>
      <c r="I578" s="106"/>
      <c r="J578" s="106"/>
      <c r="K578" s="108"/>
      <c r="L578" s="109"/>
      <c r="M578" s="95"/>
      <c r="N578" s="77"/>
      <c r="O578" s="95"/>
      <c r="P578" s="95"/>
      <c r="Q578" s="95"/>
      <c r="R578" s="95"/>
      <c r="S578" s="95"/>
      <c r="T578" s="95"/>
      <c r="U578" s="95"/>
      <c r="V578" s="95"/>
      <c r="W578" s="60"/>
      <c r="X578" s="60"/>
      <c r="Y578" s="60"/>
    </row>
    <row r="579" ht="15.75" customHeight="1">
      <c r="A579" s="101"/>
      <c r="B579" s="101"/>
      <c r="C579" s="98"/>
      <c r="D579" s="98"/>
      <c r="E579" s="101"/>
      <c r="F579" s="101"/>
      <c r="G579" s="101"/>
      <c r="H579" s="101"/>
      <c r="I579" s="101"/>
      <c r="J579" s="101"/>
      <c r="K579" s="103"/>
      <c r="L579" s="104"/>
      <c r="M579" s="98"/>
      <c r="N579" s="77"/>
      <c r="O579" s="98"/>
      <c r="P579" s="98"/>
      <c r="Q579" s="98"/>
      <c r="R579" s="98"/>
      <c r="S579" s="98"/>
      <c r="T579" s="98"/>
      <c r="U579" s="98"/>
      <c r="V579" s="98"/>
      <c r="W579" s="60"/>
      <c r="X579" s="60"/>
      <c r="Y579" s="60"/>
    </row>
    <row r="580" ht="15.75" customHeight="1">
      <c r="A580" s="106"/>
      <c r="B580" s="106"/>
      <c r="C580" s="95"/>
      <c r="D580" s="95"/>
      <c r="E580" s="106"/>
      <c r="F580" s="106"/>
      <c r="G580" s="106"/>
      <c r="H580" s="106"/>
      <c r="I580" s="106"/>
      <c r="J580" s="106"/>
      <c r="K580" s="108"/>
      <c r="L580" s="109"/>
      <c r="M580" s="95"/>
      <c r="N580" s="77"/>
      <c r="O580" s="95"/>
      <c r="P580" s="95"/>
      <c r="Q580" s="95"/>
      <c r="R580" s="95"/>
      <c r="S580" s="95"/>
      <c r="T580" s="95"/>
      <c r="U580" s="95"/>
      <c r="V580" s="95"/>
      <c r="W580" s="60"/>
      <c r="X580" s="60"/>
      <c r="Y580" s="60"/>
    </row>
    <row r="581" ht="15.75" customHeight="1">
      <c r="A581" s="101"/>
      <c r="B581" s="101"/>
      <c r="C581" s="98"/>
      <c r="D581" s="98"/>
      <c r="E581" s="101"/>
      <c r="F581" s="101"/>
      <c r="G581" s="101"/>
      <c r="H581" s="101"/>
      <c r="I581" s="101"/>
      <c r="J581" s="101"/>
      <c r="K581" s="103"/>
      <c r="L581" s="104"/>
      <c r="M581" s="98"/>
      <c r="N581" s="77"/>
      <c r="O581" s="98"/>
      <c r="P581" s="98"/>
      <c r="Q581" s="98"/>
      <c r="R581" s="98"/>
      <c r="S581" s="98"/>
      <c r="T581" s="98"/>
      <c r="U581" s="98"/>
      <c r="V581" s="98"/>
      <c r="W581" s="60"/>
      <c r="X581" s="60"/>
      <c r="Y581" s="60"/>
    </row>
    <row r="582" ht="15.75" customHeight="1">
      <c r="A582" s="106"/>
      <c r="B582" s="106"/>
      <c r="C582" s="95"/>
      <c r="D582" s="95"/>
      <c r="E582" s="106"/>
      <c r="F582" s="106"/>
      <c r="G582" s="106"/>
      <c r="H582" s="106"/>
      <c r="I582" s="106"/>
      <c r="J582" s="106"/>
      <c r="K582" s="108"/>
      <c r="L582" s="109"/>
      <c r="M582" s="95"/>
      <c r="N582" s="77"/>
      <c r="O582" s="95"/>
      <c r="P582" s="95"/>
      <c r="Q582" s="95"/>
      <c r="R582" s="95"/>
      <c r="S582" s="95"/>
      <c r="T582" s="95"/>
      <c r="U582" s="95"/>
      <c r="V582" s="95"/>
      <c r="W582" s="60"/>
      <c r="X582" s="60"/>
      <c r="Y582" s="60"/>
    </row>
    <row r="583" ht="15.75" customHeight="1">
      <c r="A583" s="101"/>
      <c r="B583" s="101"/>
      <c r="C583" s="98"/>
      <c r="D583" s="98"/>
      <c r="E583" s="101"/>
      <c r="F583" s="101"/>
      <c r="G583" s="101"/>
      <c r="H583" s="101"/>
      <c r="I583" s="101"/>
      <c r="J583" s="101"/>
      <c r="K583" s="103"/>
      <c r="L583" s="104"/>
      <c r="M583" s="98"/>
      <c r="N583" s="77"/>
      <c r="O583" s="98"/>
      <c r="P583" s="98"/>
      <c r="Q583" s="98"/>
      <c r="R583" s="98"/>
      <c r="S583" s="98"/>
      <c r="T583" s="98"/>
      <c r="U583" s="98"/>
      <c r="V583" s="98"/>
      <c r="W583" s="60"/>
      <c r="X583" s="60"/>
      <c r="Y583" s="60"/>
    </row>
    <row r="584" ht="15.75" customHeight="1">
      <c r="A584" s="106"/>
      <c r="B584" s="106"/>
      <c r="C584" s="95"/>
      <c r="D584" s="95"/>
      <c r="E584" s="106"/>
      <c r="F584" s="106"/>
      <c r="G584" s="106"/>
      <c r="H584" s="106"/>
      <c r="I584" s="106"/>
      <c r="J584" s="106"/>
      <c r="K584" s="108"/>
      <c r="L584" s="109"/>
      <c r="M584" s="95"/>
      <c r="N584" s="77"/>
      <c r="O584" s="95"/>
      <c r="P584" s="95"/>
      <c r="Q584" s="95"/>
      <c r="R584" s="95"/>
      <c r="S584" s="95"/>
      <c r="T584" s="95"/>
      <c r="U584" s="95"/>
      <c r="V584" s="95"/>
      <c r="W584" s="60"/>
      <c r="X584" s="60"/>
      <c r="Y584" s="60"/>
    </row>
    <row r="585" ht="15.75" customHeight="1">
      <c r="A585" s="101"/>
      <c r="B585" s="101"/>
      <c r="C585" s="98"/>
      <c r="D585" s="98"/>
      <c r="E585" s="101"/>
      <c r="F585" s="101"/>
      <c r="G585" s="101"/>
      <c r="H585" s="101"/>
      <c r="I585" s="101"/>
      <c r="J585" s="101"/>
      <c r="K585" s="103"/>
      <c r="L585" s="104"/>
      <c r="M585" s="98"/>
      <c r="N585" s="77"/>
      <c r="O585" s="98"/>
      <c r="P585" s="98"/>
      <c r="Q585" s="98"/>
      <c r="R585" s="98"/>
      <c r="S585" s="98"/>
      <c r="T585" s="98"/>
      <c r="U585" s="98"/>
      <c r="V585" s="98"/>
      <c r="W585" s="60"/>
      <c r="X585" s="60"/>
      <c r="Y585" s="60"/>
    </row>
    <row r="586" ht="15.75" customHeight="1">
      <c r="A586" s="106"/>
      <c r="B586" s="106"/>
      <c r="C586" s="95"/>
      <c r="D586" s="95"/>
      <c r="E586" s="106"/>
      <c r="F586" s="106"/>
      <c r="G586" s="106"/>
      <c r="H586" s="106"/>
      <c r="I586" s="106"/>
      <c r="J586" s="106"/>
      <c r="K586" s="108"/>
      <c r="L586" s="109"/>
      <c r="M586" s="95"/>
      <c r="N586" s="77"/>
      <c r="O586" s="95"/>
      <c r="P586" s="95"/>
      <c r="Q586" s="95"/>
      <c r="R586" s="95"/>
      <c r="S586" s="95"/>
      <c r="T586" s="95"/>
      <c r="U586" s="95"/>
      <c r="V586" s="95"/>
      <c r="W586" s="60"/>
      <c r="X586" s="60"/>
      <c r="Y586" s="60"/>
    </row>
    <row r="587" ht="15.75" customHeight="1">
      <c r="A587" s="101"/>
      <c r="B587" s="101"/>
      <c r="C587" s="98"/>
      <c r="D587" s="98"/>
      <c r="E587" s="101"/>
      <c r="F587" s="101"/>
      <c r="G587" s="101"/>
      <c r="H587" s="101"/>
      <c r="I587" s="101"/>
      <c r="J587" s="101"/>
      <c r="K587" s="103"/>
      <c r="L587" s="104"/>
      <c r="M587" s="98"/>
      <c r="N587" s="77"/>
      <c r="O587" s="98"/>
      <c r="P587" s="98"/>
      <c r="Q587" s="98"/>
      <c r="R587" s="98"/>
      <c r="S587" s="98"/>
      <c r="T587" s="98"/>
      <c r="U587" s="98"/>
      <c r="V587" s="98"/>
      <c r="W587" s="60"/>
      <c r="X587" s="60"/>
      <c r="Y587" s="60"/>
    </row>
    <row r="588" ht="15.75" customHeight="1">
      <c r="A588" s="106"/>
      <c r="B588" s="106"/>
      <c r="C588" s="95"/>
      <c r="D588" s="95"/>
      <c r="E588" s="106"/>
      <c r="F588" s="106"/>
      <c r="G588" s="106"/>
      <c r="H588" s="106"/>
      <c r="I588" s="106"/>
      <c r="J588" s="106"/>
      <c r="K588" s="108"/>
      <c r="L588" s="109"/>
      <c r="M588" s="95"/>
      <c r="N588" s="77"/>
      <c r="O588" s="95"/>
      <c r="P588" s="95"/>
      <c r="Q588" s="95"/>
      <c r="R588" s="95"/>
      <c r="S588" s="95"/>
      <c r="T588" s="95"/>
      <c r="U588" s="95"/>
      <c r="V588" s="95"/>
      <c r="W588" s="60"/>
      <c r="X588" s="60"/>
      <c r="Y588" s="60"/>
    </row>
    <row r="589" ht="15.75" customHeight="1">
      <c r="A589" s="101"/>
      <c r="B589" s="101"/>
      <c r="C589" s="98"/>
      <c r="D589" s="98"/>
      <c r="E589" s="101"/>
      <c r="F589" s="101"/>
      <c r="G589" s="101"/>
      <c r="H589" s="101"/>
      <c r="I589" s="101"/>
      <c r="J589" s="101"/>
      <c r="K589" s="103"/>
      <c r="L589" s="104"/>
      <c r="M589" s="98"/>
      <c r="N589" s="77"/>
      <c r="O589" s="98"/>
      <c r="P589" s="98"/>
      <c r="Q589" s="98"/>
      <c r="R589" s="98"/>
      <c r="S589" s="98"/>
      <c r="T589" s="98"/>
      <c r="U589" s="98"/>
      <c r="V589" s="98"/>
      <c r="W589" s="60"/>
      <c r="X589" s="60"/>
      <c r="Y589" s="60"/>
    </row>
    <row r="590" ht="15.75" customHeight="1">
      <c r="A590" s="106"/>
      <c r="B590" s="106"/>
      <c r="C590" s="95"/>
      <c r="D590" s="95"/>
      <c r="E590" s="106"/>
      <c r="F590" s="106"/>
      <c r="G590" s="106"/>
      <c r="H590" s="106"/>
      <c r="I590" s="106"/>
      <c r="J590" s="106"/>
      <c r="K590" s="108"/>
      <c r="L590" s="109"/>
      <c r="M590" s="95"/>
      <c r="N590" s="77"/>
      <c r="O590" s="95"/>
      <c r="P590" s="95"/>
      <c r="Q590" s="95"/>
      <c r="R590" s="95"/>
      <c r="S590" s="95"/>
      <c r="T590" s="95"/>
      <c r="U590" s="95"/>
      <c r="V590" s="95"/>
      <c r="W590" s="60"/>
      <c r="X590" s="60"/>
      <c r="Y590" s="60"/>
    </row>
    <row r="591" ht="15.75" customHeight="1">
      <c r="A591" s="101"/>
      <c r="B591" s="101"/>
      <c r="C591" s="98"/>
      <c r="D591" s="98"/>
      <c r="E591" s="101"/>
      <c r="F591" s="101"/>
      <c r="G591" s="101"/>
      <c r="H591" s="101"/>
      <c r="I591" s="101"/>
      <c r="J591" s="101"/>
      <c r="K591" s="103"/>
      <c r="L591" s="104"/>
      <c r="M591" s="98"/>
      <c r="N591" s="77"/>
      <c r="O591" s="98"/>
      <c r="P591" s="98"/>
      <c r="Q591" s="98"/>
      <c r="R591" s="98"/>
      <c r="S591" s="98"/>
      <c r="T591" s="98"/>
      <c r="U591" s="98"/>
      <c r="V591" s="98"/>
      <c r="W591" s="60"/>
      <c r="X591" s="60"/>
      <c r="Y591" s="60"/>
    </row>
    <row r="592" ht="15.75" customHeight="1">
      <c r="A592" s="106"/>
      <c r="B592" s="106"/>
      <c r="C592" s="95"/>
      <c r="D592" s="95"/>
      <c r="E592" s="106"/>
      <c r="F592" s="106"/>
      <c r="G592" s="106"/>
      <c r="H592" s="106"/>
      <c r="I592" s="106"/>
      <c r="J592" s="106"/>
      <c r="K592" s="108"/>
      <c r="L592" s="109"/>
      <c r="M592" s="95"/>
      <c r="N592" s="77"/>
      <c r="O592" s="95"/>
      <c r="P592" s="95"/>
      <c r="Q592" s="95"/>
      <c r="R592" s="95"/>
      <c r="S592" s="95"/>
      <c r="T592" s="95"/>
      <c r="U592" s="95"/>
      <c r="V592" s="95"/>
      <c r="W592" s="60"/>
      <c r="X592" s="60"/>
      <c r="Y592" s="60"/>
    </row>
    <row r="593" ht="15.75" customHeight="1">
      <c r="A593" s="101"/>
      <c r="B593" s="101"/>
      <c r="C593" s="98"/>
      <c r="D593" s="98"/>
      <c r="E593" s="101"/>
      <c r="F593" s="101"/>
      <c r="G593" s="101"/>
      <c r="H593" s="101"/>
      <c r="I593" s="101"/>
      <c r="J593" s="101"/>
      <c r="K593" s="103"/>
      <c r="L593" s="104"/>
      <c r="M593" s="98"/>
      <c r="N593" s="77"/>
      <c r="O593" s="98"/>
      <c r="P593" s="98"/>
      <c r="Q593" s="98"/>
      <c r="R593" s="98"/>
      <c r="S593" s="98"/>
      <c r="T593" s="98"/>
      <c r="U593" s="98"/>
      <c r="V593" s="98"/>
      <c r="W593" s="60"/>
      <c r="X593" s="60"/>
      <c r="Y593" s="60"/>
    </row>
    <row r="594" ht="15.75" customHeight="1">
      <c r="A594" s="106"/>
      <c r="B594" s="106"/>
      <c r="C594" s="95"/>
      <c r="D594" s="95"/>
      <c r="E594" s="106"/>
      <c r="F594" s="106"/>
      <c r="G594" s="106"/>
      <c r="H594" s="106"/>
      <c r="I594" s="106"/>
      <c r="J594" s="106"/>
      <c r="K594" s="108"/>
      <c r="L594" s="109"/>
      <c r="M594" s="95"/>
      <c r="N594" s="77"/>
      <c r="O594" s="95"/>
      <c r="P594" s="95"/>
      <c r="Q594" s="95"/>
      <c r="R594" s="95"/>
      <c r="S594" s="95"/>
      <c r="T594" s="95"/>
      <c r="U594" s="95"/>
      <c r="V594" s="95"/>
      <c r="W594" s="60"/>
      <c r="X594" s="60"/>
      <c r="Y594" s="60"/>
    </row>
    <row r="595" ht="15.75" customHeight="1">
      <c r="A595" s="101"/>
      <c r="B595" s="101"/>
      <c r="C595" s="98"/>
      <c r="D595" s="98"/>
      <c r="E595" s="101"/>
      <c r="F595" s="101"/>
      <c r="G595" s="101"/>
      <c r="H595" s="101"/>
      <c r="I595" s="101"/>
      <c r="J595" s="101"/>
      <c r="K595" s="103"/>
      <c r="L595" s="104"/>
      <c r="M595" s="98"/>
      <c r="N595" s="77"/>
      <c r="O595" s="98"/>
      <c r="P595" s="98"/>
      <c r="Q595" s="98"/>
      <c r="R595" s="98"/>
      <c r="S595" s="98"/>
      <c r="T595" s="98"/>
      <c r="U595" s="98"/>
      <c r="V595" s="98"/>
      <c r="W595" s="60"/>
      <c r="X595" s="60"/>
      <c r="Y595" s="60"/>
    </row>
    <row r="596" ht="15.75" customHeight="1">
      <c r="A596" s="106"/>
      <c r="B596" s="106"/>
      <c r="C596" s="95"/>
      <c r="D596" s="95"/>
      <c r="E596" s="106"/>
      <c r="F596" s="106"/>
      <c r="G596" s="106"/>
      <c r="H596" s="106"/>
      <c r="I596" s="106"/>
      <c r="J596" s="106"/>
      <c r="K596" s="108"/>
      <c r="L596" s="109"/>
      <c r="M596" s="95"/>
      <c r="N596" s="77"/>
      <c r="O596" s="95"/>
      <c r="P596" s="95"/>
      <c r="Q596" s="95"/>
      <c r="R596" s="95"/>
      <c r="S596" s="95"/>
      <c r="T596" s="95"/>
      <c r="U596" s="95"/>
      <c r="V596" s="95"/>
      <c r="W596" s="60"/>
      <c r="X596" s="60"/>
      <c r="Y596" s="60"/>
    </row>
    <row r="597" ht="15.75" customHeight="1">
      <c r="A597" s="101"/>
      <c r="B597" s="101"/>
      <c r="C597" s="98"/>
      <c r="D597" s="98"/>
      <c r="E597" s="101"/>
      <c r="F597" s="101"/>
      <c r="G597" s="101"/>
      <c r="H597" s="101"/>
      <c r="I597" s="101"/>
      <c r="J597" s="101"/>
      <c r="K597" s="103"/>
      <c r="L597" s="104"/>
      <c r="M597" s="98"/>
      <c r="N597" s="77"/>
      <c r="O597" s="98"/>
      <c r="P597" s="98"/>
      <c r="Q597" s="98"/>
      <c r="R597" s="98"/>
      <c r="S597" s="98"/>
      <c r="T597" s="98"/>
      <c r="U597" s="98"/>
      <c r="V597" s="98"/>
      <c r="W597" s="60"/>
      <c r="X597" s="60"/>
      <c r="Y597" s="60"/>
    </row>
    <row r="598" ht="15.75" customHeight="1">
      <c r="A598" s="106"/>
      <c r="B598" s="106"/>
      <c r="C598" s="95"/>
      <c r="D598" s="95"/>
      <c r="E598" s="106"/>
      <c r="F598" s="106"/>
      <c r="G598" s="106"/>
      <c r="H598" s="106"/>
      <c r="I598" s="106"/>
      <c r="J598" s="106"/>
      <c r="K598" s="108"/>
      <c r="L598" s="109"/>
      <c r="M598" s="95"/>
      <c r="N598" s="77"/>
      <c r="O598" s="95"/>
      <c r="P598" s="95"/>
      <c r="Q598" s="95"/>
      <c r="R598" s="95"/>
      <c r="S598" s="95"/>
      <c r="T598" s="95"/>
      <c r="U598" s="95"/>
      <c r="V598" s="95"/>
      <c r="W598" s="60"/>
      <c r="X598" s="60"/>
      <c r="Y598" s="60"/>
    </row>
    <row r="599" ht="15.75" customHeight="1">
      <c r="A599" s="101"/>
      <c r="B599" s="101"/>
      <c r="C599" s="98"/>
      <c r="D599" s="98"/>
      <c r="E599" s="101"/>
      <c r="F599" s="101"/>
      <c r="G599" s="101"/>
      <c r="H599" s="101"/>
      <c r="I599" s="101"/>
      <c r="J599" s="101"/>
      <c r="K599" s="103"/>
      <c r="L599" s="104"/>
      <c r="M599" s="98"/>
      <c r="N599" s="77"/>
      <c r="O599" s="98"/>
      <c r="P599" s="98"/>
      <c r="Q599" s="98"/>
      <c r="R599" s="98"/>
      <c r="S599" s="98"/>
      <c r="T599" s="98"/>
      <c r="U599" s="98"/>
      <c r="V599" s="98"/>
      <c r="W599" s="60"/>
      <c r="X599" s="60"/>
      <c r="Y599" s="60"/>
    </row>
    <row r="600" ht="15.75" customHeight="1">
      <c r="A600" s="106"/>
      <c r="B600" s="106"/>
      <c r="C600" s="95"/>
      <c r="D600" s="95"/>
      <c r="E600" s="106"/>
      <c r="F600" s="106"/>
      <c r="G600" s="106"/>
      <c r="H600" s="106"/>
      <c r="I600" s="106"/>
      <c r="J600" s="106"/>
      <c r="K600" s="108"/>
      <c r="L600" s="109"/>
      <c r="M600" s="95"/>
      <c r="N600" s="77"/>
      <c r="O600" s="95"/>
      <c r="P600" s="95"/>
      <c r="Q600" s="95"/>
      <c r="R600" s="95"/>
      <c r="S600" s="95"/>
      <c r="T600" s="95"/>
      <c r="U600" s="95"/>
      <c r="V600" s="95"/>
      <c r="W600" s="60"/>
      <c r="X600" s="60"/>
      <c r="Y600" s="60"/>
    </row>
    <row r="601" ht="15.75" customHeight="1">
      <c r="A601" s="101"/>
      <c r="B601" s="101"/>
      <c r="C601" s="98"/>
      <c r="D601" s="98"/>
      <c r="E601" s="101"/>
      <c r="F601" s="101"/>
      <c r="G601" s="101"/>
      <c r="H601" s="101"/>
      <c r="I601" s="101"/>
      <c r="J601" s="101"/>
      <c r="K601" s="103"/>
      <c r="L601" s="104"/>
      <c r="M601" s="98"/>
      <c r="N601" s="77"/>
      <c r="O601" s="98"/>
      <c r="P601" s="98"/>
      <c r="Q601" s="98"/>
      <c r="R601" s="98"/>
      <c r="S601" s="98"/>
      <c r="T601" s="98"/>
      <c r="U601" s="98"/>
      <c r="V601" s="98"/>
      <c r="W601" s="60"/>
      <c r="X601" s="60"/>
      <c r="Y601" s="60"/>
    </row>
    <row r="602" ht="15.75" customHeight="1">
      <c r="A602" s="106"/>
      <c r="B602" s="106"/>
      <c r="C602" s="95"/>
      <c r="D602" s="95"/>
      <c r="E602" s="106"/>
      <c r="F602" s="106"/>
      <c r="G602" s="106"/>
      <c r="H602" s="106"/>
      <c r="I602" s="106"/>
      <c r="J602" s="106"/>
      <c r="K602" s="108"/>
      <c r="L602" s="109"/>
      <c r="M602" s="95"/>
      <c r="N602" s="77"/>
      <c r="O602" s="95"/>
      <c r="P602" s="95"/>
      <c r="Q602" s="95"/>
      <c r="R602" s="95"/>
      <c r="S602" s="95"/>
      <c r="T602" s="95"/>
      <c r="U602" s="95"/>
      <c r="V602" s="95"/>
      <c r="W602" s="60"/>
      <c r="X602" s="60"/>
      <c r="Y602" s="60"/>
    </row>
    <row r="603" ht="15.75" customHeight="1">
      <c r="A603" s="101"/>
      <c r="B603" s="101"/>
      <c r="C603" s="98"/>
      <c r="D603" s="98"/>
      <c r="E603" s="101"/>
      <c r="F603" s="101"/>
      <c r="G603" s="101"/>
      <c r="H603" s="101"/>
      <c r="I603" s="101"/>
      <c r="J603" s="101"/>
      <c r="K603" s="103"/>
      <c r="L603" s="104"/>
      <c r="M603" s="98"/>
      <c r="N603" s="77"/>
      <c r="O603" s="98"/>
      <c r="P603" s="98"/>
      <c r="Q603" s="98"/>
      <c r="R603" s="98"/>
      <c r="S603" s="98"/>
      <c r="T603" s="98"/>
      <c r="U603" s="98"/>
      <c r="V603" s="98"/>
      <c r="W603" s="60"/>
      <c r="X603" s="60"/>
      <c r="Y603" s="60"/>
    </row>
    <row r="604" ht="15.75" customHeight="1">
      <c r="A604" s="106"/>
      <c r="B604" s="106"/>
      <c r="C604" s="95"/>
      <c r="D604" s="95"/>
      <c r="E604" s="106"/>
      <c r="F604" s="106"/>
      <c r="G604" s="106"/>
      <c r="H604" s="106"/>
      <c r="I604" s="106"/>
      <c r="J604" s="106"/>
      <c r="K604" s="108"/>
      <c r="L604" s="109"/>
      <c r="M604" s="95"/>
      <c r="N604" s="77"/>
      <c r="O604" s="95"/>
      <c r="P604" s="95"/>
      <c r="Q604" s="95"/>
      <c r="R604" s="95"/>
      <c r="S604" s="95"/>
      <c r="T604" s="95"/>
      <c r="U604" s="95"/>
      <c r="V604" s="95"/>
      <c r="W604" s="60"/>
      <c r="X604" s="60"/>
      <c r="Y604" s="60"/>
    </row>
    <row r="605" ht="15.75" customHeight="1">
      <c r="A605" s="101"/>
      <c r="B605" s="101"/>
      <c r="C605" s="98"/>
      <c r="D605" s="98"/>
      <c r="E605" s="101"/>
      <c r="F605" s="101"/>
      <c r="G605" s="101"/>
      <c r="H605" s="101"/>
      <c r="I605" s="101"/>
      <c r="J605" s="101"/>
      <c r="K605" s="103"/>
      <c r="L605" s="104"/>
      <c r="M605" s="98"/>
      <c r="N605" s="77"/>
      <c r="O605" s="98"/>
      <c r="P605" s="98"/>
      <c r="Q605" s="98"/>
      <c r="R605" s="98"/>
      <c r="S605" s="98"/>
      <c r="T605" s="98"/>
      <c r="U605" s="98"/>
      <c r="V605" s="98"/>
      <c r="W605" s="60"/>
      <c r="X605" s="60"/>
      <c r="Y605" s="60"/>
    </row>
    <row r="606" ht="15.75" customHeight="1">
      <c r="A606" s="106"/>
      <c r="B606" s="106"/>
      <c r="C606" s="95"/>
      <c r="D606" s="95"/>
      <c r="E606" s="106"/>
      <c r="F606" s="106"/>
      <c r="G606" s="106"/>
      <c r="H606" s="106"/>
      <c r="I606" s="106"/>
      <c r="J606" s="106"/>
      <c r="K606" s="108"/>
      <c r="L606" s="109"/>
      <c r="M606" s="95"/>
      <c r="N606" s="77"/>
      <c r="O606" s="95"/>
      <c r="P606" s="95"/>
      <c r="Q606" s="95"/>
      <c r="R606" s="95"/>
      <c r="S606" s="95"/>
      <c r="T606" s="95"/>
      <c r="U606" s="95"/>
      <c r="V606" s="95"/>
      <c r="W606" s="60"/>
      <c r="X606" s="60"/>
      <c r="Y606" s="60"/>
    </row>
    <row r="607" ht="15.75" customHeight="1">
      <c r="A607" s="101"/>
      <c r="B607" s="101"/>
      <c r="C607" s="98"/>
      <c r="D607" s="98"/>
      <c r="E607" s="101"/>
      <c r="F607" s="101"/>
      <c r="G607" s="101"/>
      <c r="H607" s="101"/>
      <c r="I607" s="101"/>
      <c r="J607" s="101"/>
      <c r="K607" s="103"/>
      <c r="L607" s="104"/>
      <c r="M607" s="98"/>
      <c r="N607" s="77"/>
      <c r="O607" s="98"/>
      <c r="P607" s="98"/>
      <c r="Q607" s="98"/>
      <c r="R607" s="98"/>
      <c r="S607" s="98"/>
      <c r="T607" s="98"/>
      <c r="U607" s="98"/>
      <c r="V607" s="98"/>
      <c r="W607" s="60"/>
      <c r="X607" s="60"/>
      <c r="Y607" s="60"/>
    </row>
    <row r="608" ht="15.75" customHeight="1">
      <c r="A608" s="106"/>
      <c r="B608" s="106"/>
      <c r="C608" s="95"/>
      <c r="D608" s="95"/>
      <c r="E608" s="106"/>
      <c r="F608" s="106"/>
      <c r="G608" s="106"/>
      <c r="H608" s="106"/>
      <c r="I608" s="106"/>
      <c r="J608" s="106"/>
      <c r="K608" s="108"/>
      <c r="L608" s="109"/>
      <c r="M608" s="95"/>
      <c r="N608" s="77"/>
      <c r="O608" s="95"/>
      <c r="P608" s="95"/>
      <c r="Q608" s="95"/>
      <c r="R608" s="95"/>
      <c r="S608" s="95"/>
      <c r="T608" s="95"/>
      <c r="U608" s="95"/>
      <c r="V608" s="95"/>
      <c r="W608" s="60"/>
      <c r="X608" s="60"/>
      <c r="Y608" s="60"/>
    </row>
    <row r="609" ht="15.75" customHeight="1">
      <c r="A609" s="101"/>
      <c r="B609" s="101"/>
      <c r="C609" s="98"/>
      <c r="D609" s="98"/>
      <c r="E609" s="101"/>
      <c r="F609" s="101"/>
      <c r="G609" s="101"/>
      <c r="H609" s="101"/>
      <c r="I609" s="101"/>
      <c r="J609" s="101"/>
      <c r="K609" s="103"/>
      <c r="L609" s="104"/>
      <c r="M609" s="98"/>
      <c r="N609" s="77"/>
      <c r="O609" s="98"/>
      <c r="P609" s="98"/>
      <c r="Q609" s="98"/>
      <c r="R609" s="98"/>
      <c r="S609" s="98"/>
      <c r="T609" s="98"/>
      <c r="U609" s="98"/>
      <c r="V609" s="98"/>
      <c r="W609" s="60"/>
      <c r="X609" s="60"/>
      <c r="Y609" s="60"/>
    </row>
    <row r="610" ht="15.75" customHeight="1">
      <c r="A610" s="106"/>
      <c r="B610" s="106"/>
      <c r="C610" s="95"/>
      <c r="D610" s="95"/>
      <c r="E610" s="106"/>
      <c r="F610" s="106"/>
      <c r="G610" s="106"/>
      <c r="H610" s="106"/>
      <c r="I610" s="106"/>
      <c r="J610" s="106"/>
      <c r="K610" s="108"/>
      <c r="L610" s="109"/>
      <c r="M610" s="95"/>
      <c r="N610" s="77"/>
      <c r="O610" s="95"/>
      <c r="P610" s="95"/>
      <c r="Q610" s="95"/>
      <c r="R610" s="95"/>
      <c r="S610" s="95"/>
      <c r="T610" s="95"/>
      <c r="U610" s="95"/>
      <c r="V610" s="95"/>
      <c r="W610" s="60"/>
      <c r="X610" s="60"/>
      <c r="Y610" s="60"/>
    </row>
    <row r="611" ht="15.75" customHeight="1">
      <c r="A611" s="101"/>
      <c r="B611" s="101"/>
      <c r="C611" s="98"/>
      <c r="D611" s="98"/>
      <c r="E611" s="101"/>
      <c r="F611" s="101"/>
      <c r="G611" s="101"/>
      <c r="H611" s="101"/>
      <c r="I611" s="101"/>
      <c r="J611" s="101"/>
      <c r="K611" s="103"/>
      <c r="L611" s="104"/>
      <c r="M611" s="98"/>
      <c r="N611" s="77"/>
      <c r="O611" s="98"/>
      <c r="P611" s="98"/>
      <c r="Q611" s="98"/>
      <c r="R611" s="98"/>
      <c r="S611" s="98"/>
      <c r="T611" s="98"/>
      <c r="U611" s="98"/>
      <c r="V611" s="98"/>
      <c r="W611" s="60"/>
      <c r="X611" s="60"/>
      <c r="Y611" s="60"/>
    </row>
    <row r="612" ht="15.75" customHeight="1">
      <c r="A612" s="106"/>
      <c r="B612" s="106"/>
      <c r="C612" s="95"/>
      <c r="D612" s="95"/>
      <c r="E612" s="106"/>
      <c r="F612" s="106"/>
      <c r="G612" s="106"/>
      <c r="H612" s="106"/>
      <c r="I612" s="106"/>
      <c r="J612" s="106"/>
      <c r="K612" s="108"/>
      <c r="L612" s="109"/>
      <c r="M612" s="95"/>
      <c r="N612" s="77"/>
      <c r="O612" s="95"/>
      <c r="P612" s="95"/>
      <c r="Q612" s="95"/>
      <c r="R612" s="95"/>
      <c r="S612" s="95"/>
      <c r="T612" s="95"/>
      <c r="U612" s="95"/>
      <c r="V612" s="95"/>
      <c r="W612" s="60"/>
      <c r="X612" s="60"/>
      <c r="Y612" s="60"/>
    </row>
    <row r="613" ht="15.75" customHeight="1">
      <c r="A613" s="101"/>
      <c r="B613" s="101"/>
      <c r="C613" s="98"/>
      <c r="D613" s="98"/>
      <c r="E613" s="101"/>
      <c r="F613" s="101"/>
      <c r="G613" s="101"/>
      <c r="H613" s="101"/>
      <c r="I613" s="101"/>
      <c r="J613" s="101"/>
      <c r="K613" s="103"/>
      <c r="L613" s="104"/>
      <c r="M613" s="98"/>
      <c r="N613" s="77"/>
      <c r="O613" s="98"/>
      <c r="P613" s="98"/>
      <c r="Q613" s="98"/>
      <c r="R613" s="98"/>
      <c r="S613" s="98"/>
      <c r="T613" s="98"/>
      <c r="U613" s="98"/>
      <c r="V613" s="98"/>
      <c r="W613" s="60"/>
      <c r="X613" s="60"/>
      <c r="Y613" s="60"/>
    </row>
    <row r="614" ht="15.75" customHeight="1">
      <c r="A614" s="106"/>
      <c r="B614" s="106"/>
      <c r="C614" s="95"/>
      <c r="D614" s="95"/>
      <c r="E614" s="106"/>
      <c r="F614" s="106"/>
      <c r="G614" s="106"/>
      <c r="H614" s="106"/>
      <c r="I614" s="106"/>
      <c r="J614" s="106"/>
      <c r="K614" s="108"/>
      <c r="L614" s="109"/>
      <c r="M614" s="95"/>
      <c r="N614" s="77"/>
      <c r="O614" s="95"/>
      <c r="P614" s="95"/>
      <c r="Q614" s="95"/>
      <c r="R614" s="95"/>
      <c r="S614" s="95"/>
      <c r="T614" s="95"/>
      <c r="U614" s="95"/>
      <c r="V614" s="95"/>
      <c r="W614" s="60"/>
      <c r="X614" s="60"/>
      <c r="Y614" s="60"/>
    </row>
    <row r="615" ht="15.75" customHeight="1">
      <c r="A615" s="101"/>
      <c r="B615" s="101"/>
      <c r="C615" s="98"/>
      <c r="D615" s="98"/>
      <c r="E615" s="101"/>
      <c r="F615" s="101"/>
      <c r="G615" s="101"/>
      <c r="H615" s="101"/>
      <c r="I615" s="101"/>
      <c r="J615" s="101"/>
      <c r="K615" s="103"/>
      <c r="L615" s="104"/>
      <c r="M615" s="98"/>
      <c r="N615" s="77"/>
      <c r="O615" s="98"/>
      <c r="P615" s="98"/>
      <c r="Q615" s="98"/>
      <c r="R615" s="98"/>
      <c r="S615" s="98"/>
      <c r="T615" s="98"/>
      <c r="U615" s="98"/>
      <c r="V615" s="98"/>
      <c r="W615" s="60"/>
      <c r="X615" s="60"/>
      <c r="Y615" s="60"/>
    </row>
    <row r="616" ht="15.75" customHeight="1">
      <c r="A616" s="106"/>
      <c r="B616" s="106"/>
      <c r="C616" s="95"/>
      <c r="D616" s="95"/>
      <c r="E616" s="106"/>
      <c r="F616" s="106"/>
      <c r="G616" s="106"/>
      <c r="H616" s="106"/>
      <c r="I616" s="106"/>
      <c r="J616" s="106"/>
      <c r="K616" s="108"/>
      <c r="L616" s="109"/>
      <c r="M616" s="95"/>
      <c r="N616" s="77"/>
      <c r="O616" s="95"/>
      <c r="P616" s="95"/>
      <c r="Q616" s="95"/>
      <c r="R616" s="95"/>
      <c r="S616" s="95"/>
      <c r="T616" s="95"/>
      <c r="U616" s="95"/>
      <c r="V616" s="95"/>
      <c r="W616" s="60"/>
      <c r="X616" s="60"/>
      <c r="Y616" s="60"/>
    </row>
    <row r="617" ht="15.75" customHeight="1">
      <c r="A617" s="101"/>
      <c r="B617" s="101"/>
      <c r="C617" s="98"/>
      <c r="D617" s="98"/>
      <c r="E617" s="101"/>
      <c r="F617" s="101"/>
      <c r="G617" s="101"/>
      <c r="H617" s="101"/>
      <c r="I617" s="101"/>
      <c r="J617" s="101"/>
      <c r="K617" s="103"/>
      <c r="L617" s="104"/>
      <c r="M617" s="98"/>
      <c r="N617" s="77"/>
      <c r="O617" s="98"/>
      <c r="P617" s="98"/>
      <c r="Q617" s="98"/>
      <c r="R617" s="98"/>
      <c r="S617" s="98"/>
      <c r="T617" s="98"/>
      <c r="U617" s="98"/>
      <c r="V617" s="98"/>
      <c r="W617" s="60"/>
      <c r="X617" s="60"/>
      <c r="Y617" s="60"/>
    </row>
    <row r="618" ht="15.75" customHeight="1">
      <c r="A618" s="106"/>
      <c r="B618" s="106"/>
      <c r="C618" s="95"/>
      <c r="D618" s="95"/>
      <c r="E618" s="106"/>
      <c r="F618" s="106"/>
      <c r="G618" s="106"/>
      <c r="H618" s="106"/>
      <c r="I618" s="106"/>
      <c r="J618" s="106"/>
      <c r="K618" s="108"/>
      <c r="L618" s="109"/>
      <c r="M618" s="95"/>
      <c r="N618" s="77"/>
      <c r="O618" s="95"/>
      <c r="P618" s="95"/>
      <c r="Q618" s="95"/>
      <c r="R618" s="95"/>
      <c r="S618" s="95"/>
      <c r="T618" s="95"/>
      <c r="U618" s="95"/>
      <c r="V618" s="95"/>
      <c r="W618" s="60"/>
      <c r="X618" s="60"/>
      <c r="Y618" s="60"/>
    </row>
    <row r="619" ht="15.75" customHeight="1">
      <c r="A619" s="101"/>
      <c r="B619" s="101"/>
      <c r="C619" s="98"/>
      <c r="D619" s="98"/>
      <c r="E619" s="101"/>
      <c r="F619" s="101"/>
      <c r="G619" s="101"/>
      <c r="H619" s="101"/>
      <c r="I619" s="101"/>
      <c r="J619" s="101"/>
      <c r="K619" s="103"/>
      <c r="L619" s="104"/>
      <c r="M619" s="98"/>
      <c r="N619" s="77"/>
      <c r="O619" s="98"/>
      <c r="P619" s="98"/>
      <c r="Q619" s="98"/>
      <c r="R619" s="98"/>
      <c r="S619" s="98"/>
      <c r="T619" s="98"/>
      <c r="U619" s="98"/>
      <c r="V619" s="98"/>
      <c r="W619" s="60"/>
      <c r="X619" s="60"/>
      <c r="Y619" s="60"/>
    </row>
    <row r="620" ht="15.75" customHeight="1">
      <c r="A620" s="106"/>
      <c r="B620" s="106"/>
      <c r="C620" s="95"/>
      <c r="D620" s="95"/>
      <c r="E620" s="106"/>
      <c r="F620" s="106"/>
      <c r="G620" s="106"/>
      <c r="H620" s="106"/>
      <c r="I620" s="106"/>
      <c r="J620" s="106"/>
      <c r="K620" s="108"/>
      <c r="L620" s="109"/>
      <c r="M620" s="95"/>
      <c r="N620" s="77"/>
      <c r="O620" s="95"/>
      <c r="P620" s="95"/>
      <c r="Q620" s="95"/>
      <c r="R620" s="95"/>
      <c r="S620" s="95"/>
      <c r="T620" s="95"/>
      <c r="U620" s="95"/>
      <c r="V620" s="95"/>
      <c r="W620" s="60"/>
      <c r="X620" s="60"/>
      <c r="Y620" s="60"/>
    </row>
    <row r="621" ht="15.75" customHeight="1">
      <c r="A621" s="101"/>
      <c r="B621" s="101"/>
      <c r="C621" s="98"/>
      <c r="D621" s="98"/>
      <c r="E621" s="101"/>
      <c r="F621" s="101"/>
      <c r="G621" s="101"/>
      <c r="H621" s="101"/>
      <c r="I621" s="101"/>
      <c r="J621" s="101"/>
      <c r="K621" s="103"/>
      <c r="L621" s="104"/>
      <c r="M621" s="98"/>
      <c r="N621" s="77"/>
      <c r="O621" s="98"/>
      <c r="P621" s="98"/>
      <c r="Q621" s="98"/>
      <c r="R621" s="98"/>
      <c r="S621" s="98"/>
      <c r="T621" s="98"/>
      <c r="U621" s="98"/>
      <c r="V621" s="98"/>
      <c r="W621" s="60"/>
      <c r="X621" s="60"/>
      <c r="Y621" s="60"/>
    </row>
    <row r="622" ht="15.75" customHeight="1">
      <c r="A622" s="106"/>
      <c r="B622" s="106"/>
      <c r="C622" s="95"/>
      <c r="D622" s="95"/>
      <c r="E622" s="106"/>
      <c r="F622" s="106"/>
      <c r="G622" s="106"/>
      <c r="H622" s="106"/>
      <c r="I622" s="106"/>
      <c r="J622" s="106"/>
      <c r="K622" s="108"/>
      <c r="L622" s="109"/>
      <c r="M622" s="95"/>
      <c r="N622" s="77"/>
      <c r="O622" s="95"/>
      <c r="P622" s="95"/>
      <c r="Q622" s="95"/>
      <c r="R622" s="95"/>
      <c r="S622" s="95"/>
      <c r="T622" s="95"/>
      <c r="U622" s="95"/>
      <c r="V622" s="95"/>
      <c r="W622" s="60"/>
      <c r="X622" s="60"/>
      <c r="Y622" s="60"/>
    </row>
    <row r="623" ht="15.75" customHeight="1">
      <c r="A623" s="101"/>
      <c r="B623" s="101"/>
      <c r="C623" s="98"/>
      <c r="D623" s="98"/>
      <c r="E623" s="101"/>
      <c r="F623" s="101"/>
      <c r="G623" s="101"/>
      <c r="H623" s="101"/>
      <c r="I623" s="101"/>
      <c r="J623" s="101"/>
      <c r="K623" s="103"/>
      <c r="L623" s="104"/>
      <c r="M623" s="98"/>
      <c r="N623" s="77"/>
      <c r="O623" s="98"/>
      <c r="P623" s="98"/>
      <c r="Q623" s="98"/>
      <c r="R623" s="98"/>
      <c r="S623" s="98"/>
      <c r="T623" s="98"/>
      <c r="U623" s="98"/>
      <c r="V623" s="98"/>
      <c r="W623" s="60"/>
      <c r="X623" s="60"/>
      <c r="Y623" s="60"/>
    </row>
    <row r="624" ht="15.75" customHeight="1">
      <c r="A624" s="106"/>
      <c r="B624" s="106"/>
      <c r="C624" s="95"/>
      <c r="D624" s="95"/>
      <c r="E624" s="106"/>
      <c r="F624" s="106"/>
      <c r="G624" s="106"/>
      <c r="H624" s="106"/>
      <c r="I624" s="106"/>
      <c r="J624" s="106"/>
      <c r="K624" s="108"/>
      <c r="L624" s="109"/>
      <c r="M624" s="95"/>
      <c r="N624" s="77"/>
      <c r="O624" s="95"/>
      <c r="P624" s="95"/>
      <c r="Q624" s="95"/>
      <c r="R624" s="95"/>
      <c r="S624" s="95"/>
      <c r="T624" s="95"/>
      <c r="U624" s="95"/>
      <c r="V624" s="95"/>
      <c r="W624" s="60"/>
      <c r="X624" s="60"/>
      <c r="Y624" s="60"/>
    </row>
    <row r="625" ht="15.75" customHeight="1">
      <c r="A625" s="101"/>
      <c r="B625" s="101"/>
      <c r="C625" s="98"/>
      <c r="D625" s="98"/>
      <c r="E625" s="101"/>
      <c r="F625" s="101"/>
      <c r="G625" s="101"/>
      <c r="H625" s="101"/>
      <c r="I625" s="101"/>
      <c r="J625" s="101"/>
      <c r="K625" s="103"/>
      <c r="L625" s="104"/>
      <c r="M625" s="98"/>
      <c r="N625" s="77"/>
      <c r="O625" s="98"/>
      <c r="P625" s="98"/>
      <c r="Q625" s="98"/>
      <c r="R625" s="98"/>
      <c r="S625" s="98"/>
      <c r="T625" s="98"/>
      <c r="U625" s="98"/>
      <c r="V625" s="98"/>
      <c r="W625" s="60"/>
      <c r="X625" s="60"/>
      <c r="Y625" s="60"/>
    </row>
    <row r="626" ht="15.75" customHeight="1">
      <c r="A626" s="106"/>
      <c r="B626" s="106"/>
      <c r="C626" s="95"/>
      <c r="D626" s="95"/>
      <c r="E626" s="106"/>
      <c r="F626" s="106"/>
      <c r="G626" s="106"/>
      <c r="H626" s="106"/>
      <c r="I626" s="106"/>
      <c r="J626" s="106"/>
      <c r="K626" s="108"/>
      <c r="L626" s="109"/>
      <c r="M626" s="95"/>
      <c r="N626" s="77"/>
      <c r="O626" s="95"/>
      <c r="P626" s="95"/>
      <c r="Q626" s="95"/>
      <c r="R626" s="95"/>
      <c r="S626" s="95"/>
      <c r="T626" s="95"/>
      <c r="U626" s="95"/>
      <c r="V626" s="95"/>
      <c r="W626" s="60"/>
      <c r="X626" s="60"/>
      <c r="Y626" s="60"/>
    </row>
    <row r="627" ht="15.75" customHeight="1">
      <c r="A627" s="101"/>
      <c r="B627" s="101"/>
      <c r="C627" s="98"/>
      <c r="D627" s="98"/>
      <c r="E627" s="101"/>
      <c r="F627" s="101"/>
      <c r="G627" s="101"/>
      <c r="H627" s="101"/>
      <c r="I627" s="101"/>
      <c r="J627" s="101"/>
      <c r="K627" s="103"/>
      <c r="L627" s="104"/>
      <c r="M627" s="98"/>
      <c r="N627" s="77"/>
      <c r="O627" s="98"/>
      <c r="P627" s="98"/>
      <c r="Q627" s="98"/>
      <c r="R627" s="98"/>
      <c r="S627" s="98"/>
      <c r="T627" s="98"/>
      <c r="U627" s="98"/>
      <c r="V627" s="98"/>
      <c r="W627" s="60"/>
      <c r="X627" s="60"/>
      <c r="Y627" s="60"/>
    </row>
    <row r="628" ht="15.75" customHeight="1">
      <c r="A628" s="106"/>
      <c r="B628" s="106"/>
      <c r="C628" s="95"/>
      <c r="D628" s="95"/>
      <c r="E628" s="106"/>
      <c r="F628" s="106"/>
      <c r="G628" s="106"/>
      <c r="H628" s="106"/>
      <c r="I628" s="106"/>
      <c r="J628" s="106"/>
      <c r="K628" s="108"/>
      <c r="L628" s="109"/>
      <c r="M628" s="95"/>
      <c r="N628" s="77"/>
      <c r="O628" s="95"/>
      <c r="P628" s="95"/>
      <c r="Q628" s="95"/>
      <c r="R628" s="95"/>
      <c r="S628" s="95"/>
      <c r="T628" s="95"/>
      <c r="U628" s="95"/>
      <c r="V628" s="95"/>
      <c r="W628" s="60"/>
      <c r="X628" s="60"/>
      <c r="Y628" s="60"/>
    </row>
    <row r="629" ht="15.75" customHeight="1">
      <c r="A629" s="101"/>
      <c r="B629" s="101"/>
      <c r="C629" s="98"/>
      <c r="D629" s="98"/>
      <c r="E629" s="101"/>
      <c r="F629" s="101"/>
      <c r="G629" s="101"/>
      <c r="H629" s="101"/>
      <c r="I629" s="101"/>
      <c r="J629" s="101"/>
      <c r="K629" s="103"/>
      <c r="L629" s="104"/>
      <c r="M629" s="98"/>
      <c r="N629" s="77"/>
      <c r="O629" s="98"/>
      <c r="P629" s="98"/>
      <c r="Q629" s="98"/>
      <c r="R629" s="98"/>
      <c r="S629" s="98"/>
      <c r="T629" s="98"/>
      <c r="U629" s="98"/>
      <c r="V629" s="98"/>
      <c r="W629" s="60"/>
      <c r="X629" s="60"/>
      <c r="Y629" s="60"/>
    </row>
    <row r="630" ht="15.75" customHeight="1">
      <c r="A630" s="106"/>
      <c r="B630" s="106"/>
      <c r="C630" s="95"/>
      <c r="D630" s="95"/>
      <c r="E630" s="106"/>
      <c r="F630" s="106"/>
      <c r="G630" s="106"/>
      <c r="H630" s="106"/>
      <c r="I630" s="106"/>
      <c r="J630" s="106"/>
      <c r="K630" s="108"/>
      <c r="L630" s="109"/>
      <c r="M630" s="95"/>
      <c r="N630" s="77"/>
      <c r="O630" s="95"/>
      <c r="P630" s="95"/>
      <c r="Q630" s="95"/>
      <c r="R630" s="95"/>
      <c r="S630" s="95"/>
      <c r="T630" s="95"/>
      <c r="U630" s="95"/>
      <c r="V630" s="95"/>
      <c r="W630" s="60"/>
      <c r="X630" s="60"/>
      <c r="Y630" s="60"/>
    </row>
    <row r="631" ht="15.75" customHeight="1">
      <c r="A631" s="101"/>
      <c r="B631" s="101"/>
      <c r="C631" s="98"/>
      <c r="D631" s="98"/>
      <c r="E631" s="101"/>
      <c r="F631" s="101"/>
      <c r="G631" s="101"/>
      <c r="H631" s="101"/>
      <c r="I631" s="101"/>
      <c r="J631" s="101"/>
      <c r="K631" s="103"/>
      <c r="L631" s="104"/>
      <c r="M631" s="98"/>
      <c r="N631" s="77"/>
      <c r="O631" s="98"/>
      <c r="P631" s="98"/>
      <c r="Q631" s="98"/>
      <c r="R631" s="98"/>
      <c r="S631" s="98"/>
      <c r="T631" s="98"/>
      <c r="U631" s="98"/>
      <c r="V631" s="98"/>
      <c r="W631" s="60"/>
      <c r="X631" s="60"/>
      <c r="Y631" s="60"/>
    </row>
    <row r="632" ht="15.75" customHeight="1">
      <c r="A632" s="106"/>
      <c r="B632" s="106"/>
      <c r="C632" s="95"/>
      <c r="D632" s="95"/>
      <c r="E632" s="106"/>
      <c r="F632" s="106"/>
      <c r="G632" s="106"/>
      <c r="H632" s="106"/>
      <c r="I632" s="106"/>
      <c r="J632" s="106"/>
      <c r="K632" s="108"/>
      <c r="L632" s="109"/>
      <c r="M632" s="95"/>
      <c r="N632" s="77"/>
      <c r="O632" s="95"/>
      <c r="P632" s="95"/>
      <c r="Q632" s="95"/>
      <c r="R632" s="95"/>
      <c r="S632" s="95"/>
      <c r="T632" s="95"/>
      <c r="U632" s="95"/>
      <c r="V632" s="95"/>
      <c r="W632" s="60"/>
      <c r="X632" s="60"/>
      <c r="Y632" s="60"/>
    </row>
    <row r="633" ht="15.75" customHeight="1">
      <c r="A633" s="101"/>
      <c r="B633" s="101"/>
      <c r="C633" s="98"/>
      <c r="D633" s="98"/>
      <c r="E633" s="101"/>
      <c r="F633" s="101"/>
      <c r="G633" s="101"/>
      <c r="H633" s="101"/>
      <c r="I633" s="101"/>
      <c r="J633" s="101"/>
      <c r="K633" s="103"/>
      <c r="L633" s="104"/>
      <c r="M633" s="98"/>
      <c r="N633" s="77"/>
      <c r="O633" s="98"/>
      <c r="P633" s="98"/>
      <c r="Q633" s="98"/>
      <c r="R633" s="98"/>
      <c r="S633" s="98"/>
      <c r="T633" s="98"/>
      <c r="U633" s="98"/>
      <c r="V633" s="98"/>
      <c r="W633" s="60"/>
      <c r="X633" s="60"/>
      <c r="Y633" s="60"/>
    </row>
    <row r="634" ht="15.75" customHeight="1">
      <c r="A634" s="106"/>
      <c r="B634" s="106"/>
      <c r="C634" s="95"/>
      <c r="D634" s="95"/>
      <c r="E634" s="106"/>
      <c r="F634" s="106"/>
      <c r="G634" s="106"/>
      <c r="H634" s="106"/>
      <c r="I634" s="106"/>
      <c r="J634" s="106"/>
      <c r="K634" s="108"/>
      <c r="L634" s="109"/>
      <c r="M634" s="95"/>
      <c r="N634" s="77"/>
      <c r="O634" s="95"/>
      <c r="P634" s="95"/>
      <c r="Q634" s="95"/>
      <c r="R634" s="95"/>
      <c r="S634" s="95"/>
      <c r="T634" s="95"/>
      <c r="U634" s="95"/>
      <c r="V634" s="95"/>
      <c r="W634" s="60"/>
      <c r="X634" s="60"/>
      <c r="Y634" s="60"/>
    </row>
    <row r="635" ht="15.75" customHeight="1">
      <c r="A635" s="101"/>
      <c r="B635" s="101"/>
      <c r="C635" s="98"/>
      <c r="D635" s="98"/>
      <c r="E635" s="101"/>
      <c r="F635" s="101"/>
      <c r="G635" s="101"/>
      <c r="H635" s="101"/>
      <c r="I635" s="101"/>
      <c r="J635" s="101"/>
      <c r="K635" s="103"/>
      <c r="L635" s="104"/>
      <c r="M635" s="98"/>
      <c r="N635" s="77"/>
      <c r="O635" s="98"/>
      <c r="P635" s="98"/>
      <c r="Q635" s="98"/>
      <c r="R635" s="98"/>
      <c r="S635" s="98"/>
      <c r="T635" s="98"/>
      <c r="U635" s="98"/>
      <c r="V635" s="98"/>
      <c r="W635" s="60"/>
      <c r="X635" s="60"/>
      <c r="Y635" s="60"/>
    </row>
    <row r="636" ht="15.75" customHeight="1">
      <c r="A636" s="106"/>
      <c r="B636" s="106"/>
      <c r="C636" s="95"/>
      <c r="D636" s="95"/>
      <c r="E636" s="106"/>
      <c r="F636" s="106"/>
      <c r="G636" s="106"/>
      <c r="H636" s="106"/>
      <c r="I636" s="106"/>
      <c r="J636" s="106"/>
      <c r="K636" s="108"/>
      <c r="L636" s="109"/>
      <c r="M636" s="95"/>
      <c r="N636" s="77"/>
      <c r="O636" s="95"/>
      <c r="P636" s="95"/>
      <c r="Q636" s="95"/>
      <c r="R636" s="95"/>
      <c r="S636" s="95"/>
      <c r="T636" s="95"/>
      <c r="U636" s="95"/>
      <c r="V636" s="95"/>
      <c r="W636" s="60"/>
      <c r="X636" s="60"/>
      <c r="Y636" s="60"/>
    </row>
    <row r="637" ht="15.75" customHeight="1">
      <c r="A637" s="101"/>
      <c r="B637" s="101"/>
      <c r="C637" s="98"/>
      <c r="D637" s="98"/>
      <c r="E637" s="101"/>
      <c r="F637" s="101"/>
      <c r="G637" s="101"/>
      <c r="H637" s="101"/>
      <c r="I637" s="101"/>
      <c r="J637" s="101"/>
      <c r="K637" s="103"/>
      <c r="L637" s="104"/>
      <c r="M637" s="98"/>
      <c r="N637" s="77"/>
      <c r="O637" s="98"/>
      <c r="P637" s="98"/>
      <c r="Q637" s="98"/>
      <c r="R637" s="98"/>
      <c r="S637" s="98"/>
      <c r="T637" s="98"/>
      <c r="U637" s="98"/>
      <c r="V637" s="98"/>
      <c r="W637" s="60"/>
      <c r="X637" s="60"/>
      <c r="Y637" s="60"/>
    </row>
    <row r="638" ht="15.75" customHeight="1">
      <c r="A638" s="106"/>
      <c r="B638" s="106"/>
      <c r="C638" s="95"/>
      <c r="D638" s="95"/>
      <c r="E638" s="106"/>
      <c r="F638" s="106"/>
      <c r="G638" s="106"/>
      <c r="H638" s="106"/>
      <c r="I638" s="106"/>
      <c r="J638" s="106"/>
      <c r="K638" s="108"/>
      <c r="L638" s="109"/>
      <c r="M638" s="95"/>
      <c r="N638" s="77"/>
      <c r="O638" s="95"/>
      <c r="P638" s="95"/>
      <c r="Q638" s="95"/>
      <c r="R638" s="95"/>
      <c r="S638" s="95"/>
      <c r="T638" s="95"/>
      <c r="U638" s="95"/>
      <c r="V638" s="95"/>
      <c r="W638" s="60"/>
      <c r="X638" s="60"/>
      <c r="Y638" s="60"/>
    </row>
    <row r="639" ht="15.75" customHeight="1">
      <c r="A639" s="101"/>
      <c r="B639" s="101"/>
      <c r="C639" s="98"/>
      <c r="D639" s="98"/>
      <c r="E639" s="101"/>
      <c r="F639" s="101"/>
      <c r="G639" s="101"/>
      <c r="H639" s="101"/>
      <c r="I639" s="101"/>
      <c r="J639" s="101"/>
      <c r="K639" s="103"/>
      <c r="L639" s="104"/>
      <c r="M639" s="98"/>
      <c r="N639" s="77"/>
      <c r="O639" s="98"/>
      <c r="P639" s="98"/>
      <c r="Q639" s="98"/>
      <c r="R639" s="98"/>
      <c r="S639" s="98"/>
      <c r="T639" s="98"/>
      <c r="U639" s="98"/>
      <c r="V639" s="98"/>
      <c r="W639" s="60"/>
      <c r="X639" s="60"/>
      <c r="Y639" s="60"/>
    </row>
    <row r="640" ht="15.75" customHeight="1">
      <c r="A640" s="106"/>
      <c r="B640" s="106"/>
      <c r="C640" s="95"/>
      <c r="D640" s="95"/>
      <c r="E640" s="106"/>
      <c r="F640" s="106"/>
      <c r="G640" s="106"/>
      <c r="H640" s="106"/>
      <c r="I640" s="106"/>
      <c r="J640" s="106"/>
      <c r="K640" s="108"/>
      <c r="L640" s="109"/>
      <c r="M640" s="95"/>
      <c r="N640" s="77"/>
      <c r="O640" s="95"/>
      <c r="P640" s="95"/>
      <c r="Q640" s="95"/>
      <c r="R640" s="95"/>
      <c r="S640" s="95"/>
      <c r="T640" s="95"/>
      <c r="U640" s="95"/>
      <c r="V640" s="95"/>
      <c r="W640" s="60"/>
      <c r="X640" s="60"/>
      <c r="Y640" s="60"/>
    </row>
    <row r="641" ht="15.75" customHeight="1">
      <c r="A641" s="101"/>
      <c r="B641" s="101"/>
      <c r="C641" s="98"/>
      <c r="D641" s="98"/>
      <c r="E641" s="101"/>
      <c r="F641" s="101"/>
      <c r="G641" s="101"/>
      <c r="H641" s="101"/>
      <c r="I641" s="101"/>
      <c r="J641" s="101"/>
      <c r="K641" s="103"/>
      <c r="L641" s="104"/>
      <c r="M641" s="98"/>
      <c r="N641" s="77"/>
      <c r="O641" s="98"/>
      <c r="P641" s="98"/>
      <c r="Q641" s="98"/>
      <c r="R641" s="98"/>
      <c r="S641" s="98"/>
      <c r="T641" s="98"/>
      <c r="U641" s="98"/>
      <c r="V641" s="98"/>
      <c r="W641" s="60"/>
      <c r="X641" s="60"/>
      <c r="Y641" s="60"/>
    </row>
    <row r="642" ht="15.75" customHeight="1">
      <c r="A642" s="106"/>
      <c r="B642" s="106"/>
      <c r="C642" s="95"/>
      <c r="D642" s="95"/>
      <c r="E642" s="106"/>
      <c r="F642" s="106"/>
      <c r="G642" s="106"/>
      <c r="H642" s="106"/>
      <c r="I642" s="106"/>
      <c r="J642" s="106"/>
      <c r="K642" s="108"/>
      <c r="L642" s="109"/>
      <c r="M642" s="95"/>
      <c r="N642" s="77"/>
      <c r="O642" s="95"/>
      <c r="P642" s="95"/>
      <c r="Q642" s="95"/>
      <c r="R642" s="95"/>
      <c r="S642" s="95"/>
      <c r="T642" s="95"/>
      <c r="U642" s="95"/>
      <c r="V642" s="95"/>
      <c r="W642" s="60"/>
      <c r="X642" s="60"/>
      <c r="Y642" s="60"/>
    </row>
    <row r="643" ht="15.75" customHeight="1">
      <c r="A643" s="101"/>
      <c r="B643" s="101"/>
      <c r="C643" s="98"/>
      <c r="D643" s="98"/>
      <c r="E643" s="101"/>
      <c r="F643" s="101"/>
      <c r="G643" s="101"/>
      <c r="H643" s="101"/>
      <c r="I643" s="101"/>
      <c r="J643" s="101"/>
      <c r="K643" s="103"/>
      <c r="L643" s="104"/>
      <c r="M643" s="98"/>
      <c r="N643" s="77"/>
      <c r="O643" s="98"/>
      <c r="P643" s="98"/>
      <c r="Q643" s="98"/>
      <c r="R643" s="98"/>
      <c r="S643" s="98"/>
      <c r="T643" s="98"/>
      <c r="U643" s="98"/>
      <c r="V643" s="98"/>
      <c r="W643" s="60"/>
      <c r="X643" s="60"/>
      <c r="Y643" s="60"/>
    </row>
    <row r="644" ht="15.75" customHeight="1">
      <c r="A644" s="106"/>
      <c r="B644" s="106"/>
      <c r="C644" s="95"/>
      <c r="D644" s="95"/>
      <c r="E644" s="106"/>
      <c r="F644" s="106"/>
      <c r="G644" s="106"/>
      <c r="H644" s="106"/>
      <c r="I644" s="106"/>
      <c r="J644" s="106"/>
      <c r="K644" s="108"/>
      <c r="L644" s="109"/>
      <c r="M644" s="95"/>
      <c r="N644" s="77"/>
      <c r="O644" s="95"/>
      <c r="P644" s="95"/>
      <c r="Q644" s="95"/>
      <c r="R644" s="95"/>
      <c r="S644" s="95"/>
      <c r="T644" s="95"/>
      <c r="U644" s="95"/>
      <c r="V644" s="95"/>
      <c r="W644" s="60"/>
      <c r="X644" s="60"/>
      <c r="Y644" s="60"/>
    </row>
    <row r="645" ht="15.75" customHeight="1">
      <c r="A645" s="101"/>
      <c r="B645" s="101"/>
      <c r="C645" s="98"/>
      <c r="D645" s="98"/>
      <c r="E645" s="101"/>
      <c r="F645" s="101"/>
      <c r="G645" s="101"/>
      <c r="H645" s="101"/>
      <c r="I645" s="101"/>
      <c r="J645" s="101"/>
      <c r="K645" s="103"/>
      <c r="L645" s="104"/>
      <c r="M645" s="98"/>
      <c r="N645" s="77"/>
      <c r="O645" s="98"/>
      <c r="P645" s="98"/>
      <c r="Q645" s="98"/>
      <c r="R645" s="98"/>
      <c r="S645" s="98"/>
      <c r="T645" s="98"/>
      <c r="U645" s="98"/>
      <c r="V645" s="98"/>
      <c r="W645" s="60"/>
      <c r="X645" s="60"/>
      <c r="Y645" s="60"/>
    </row>
    <row r="646" ht="15.75" customHeight="1">
      <c r="A646" s="106"/>
      <c r="B646" s="106"/>
      <c r="C646" s="95"/>
      <c r="D646" s="95"/>
      <c r="E646" s="106"/>
      <c r="F646" s="106"/>
      <c r="G646" s="106"/>
      <c r="H646" s="106"/>
      <c r="I646" s="106"/>
      <c r="J646" s="106"/>
      <c r="K646" s="108"/>
      <c r="L646" s="109"/>
      <c r="M646" s="95"/>
      <c r="N646" s="77"/>
      <c r="O646" s="95"/>
      <c r="P646" s="95"/>
      <c r="Q646" s="95"/>
      <c r="R646" s="95"/>
      <c r="S646" s="95"/>
      <c r="T646" s="95"/>
      <c r="U646" s="95"/>
      <c r="V646" s="95"/>
      <c r="W646" s="60"/>
      <c r="X646" s="60"/>
      <c r="Y646" s="60"/>
    </row>
    <row r="647" ht="15.75" customHeight="1">
      <c r="A647" s="101"/>
      <c r="B647" s="101"/>
      <c r="C647" s="98"/>
      <c r="D647" s="98"/>
      <c r="E647" s="101"/>
      <c r="F647" s="101"/>
      <c r="G647" s="101"/>
      <c r="H647" s="101"/>
      <c r="I647" s="101"/>
      <c r="J647" s="101"/>
      <c r="K647" s="103"/>
      <c r="L647" s="104"/>
      <c r="M647" s="98"/>
      <c r="N647" s="77"/>
      <c r="O647" s="98"/>
      <c r="P647" s="98"/>
      <c r="Q647" s="98"/>
      <c r="R647" s="98"/>
      <c r="S647" s="98"/>
      <c r="T647" s="98"/>
      <c r="U647" s="98"/>
      <c r="V647" s="98"/>
      <c r="W647" s="60"/>
      <c r="X647" s="60"/>
      <c r="Y647" s="60"/>
    </row>
    <row r="648" ht="15.75" customHeight="1">
      <c r="A648" s="106"/>
      <c r="B648" s="106"/>
      <c r="C648" s="95"/>
      <c r="D648" s="95"/>
      <c r="E648" s="106"/>
      <c r="F648" s="106"/>
      <c r="G648" s="106"/>
      <c r="H648" s="106"/>
      <c r="I648" s="106"/>
      <c r="J648" s="106"/>
      <c r="K648" s="108"/>
      <c r="L648" s="109"/>
      <c r="M648" s="95"/>
      <c r="N648" s="77"/>
      <c r="O648" s="95"/>
      <c r="P648" s="95"/>
      <c r="Q648" s="95"/>
      <c r="R648" s="95"/>
      <c r="S648" s="95"/>
      <c r="T648" s="95"/>
      <c r="U648" s="95"/>
      <c r="V648" s="95"/>
      <c r="W648" s="60"/>
      <c r="X648" s="60"/>
      <c r="Y648" s="60"/>
    </row>
    <row r="649" ht="15.75" customHeight="1">
      <c r="A649" s="101"/>
      <c r="B649" s="101"/>
      <c r="C649" s="98"/>
      <c r="D649" s="98"/>
      <c r="E649" s="101"/>
      <c r="F649" s="101"/>
      <c r="G649" s="101"/>
      <c r="H649" s="101"/>
      <c r="I649" s="101"/>
      <c r="J649" s="101"/>
      <c r="K649" s="103"/>
      <c r="L649" s="104"/>
      <c r="M649" s="98"/>
      <c r="N649" s="77"/>
      <c r="O649" s="98"/>
      <c r="P649" s="98"/>
      <c r="Q649" s="98"/>
      <c r="R649" s="98"/>
      <c r="S649" s="98"/>
      <c r="T649" s="98"/>
      <c r="U649" s="98"/>
      <c r="V649" s="98"/>
      <c r="W649" s="60"/>
      <c r="X649" s="60"/>
      <c r="Y649" s="60"/>
    </row>
    <row r="650" ht="15.75" customHeight="1">
      <c r="A650" s="106"/>
      <c r="B650" s="106"/>
      <c r="C650" s="95"/>
      <c r="D650" s="95"/>
      <c r="E650" s="106"/>
      <c r="F650" s="106"/>
      <c r="G650" s="106"/>
      <c r="H650" s="106"/>
      <c r="I650" s="106"/>
      <c r="J650" s="106"/>
      <c r="K650" s="108"/>
      <c r="L650" s="109"/>
      <c r="M650" s="95"/>
      <c r="N650" s="77"/>
      <c r="O650" s="95"/>
      <c r="P650" s="95"/>
      <c r="Q650" s="95"/>
      <c r="R650" s="95"/>
      <c r="S650" s="95"/>
      <c r="T650" s="95"/>
      <c r="U650" s="95"/>
      <c r="V650" s="95"/>
      <c r="W650" s="60"/>
      <c r="X650" s="60"/>
      <c r="Y650" s="60"/>
    </row>
    <row r="651" ht="15.75" customHeight="1">
      <c r="A651" s="101"/>
      <c r="B651" s="101"/>
      <c r="C651" s="98"/>
      <c r="D651" s="98"/>
      <c r="E651" s="101"/>
      <c r="F651" s="101"/>
      <c r="G651" s="101"/>
      <c r="H651" s="101"/>
      <c r="I651" s="101"/>
      <c r="J651" s="101"/>
      <c r="K651" s="103"/>
      <c r="L651" s="104"/>
      <c r="M651" s="98"/>
      <c r="N651" s="77"/>
      <c r="O651" s="98"/>
      <c r="P651" s="98"/>
      <c r="Q651" s="98"/>
      <c r="R651" s="98"/>
      <c r="S651" s="98"/>
      <c r="T651" s="98"/>
      <c r="U651" s="98"/>
      <c r="V651" s="98"/>
      <c r="W651" s="60"/>
      <c r="X651" s="60"/>
      <c r="Y651" s="60"/>
    </row>
    <row r="652" ht="15.75" customHeight="1">
      <c r="A652" s="106"/>
      <c r="B652" s="106"/>
      <c r="C652" s="95"/>
      <c r="D652" s="95"/>
      <c r="E652" s="106"/>
      <c r="F652" s="106"/>
      <c r="G652" s="106"/>
      <c r="H652" s="106"/>
      <c r="I652" s="106"/>
      <c r="J652" s="106"/>
      <c r="K652" s="108"/>
      <c r="L652" s="109"/>
      <c r="M652" s="95"/>
      <c r="N652" s="77"/>
      <c r="O652" s="95"/>
      <c r="P652" s="95"/>
      <c r="Q652" s="95"/>
      <c r="R652" s="95"/>
      <c r="S652" s="95"/>
      <c r="T652" s="95"/>
      <c r="U652" s="95"/>
      <c r="V652" s="95"/>
      <c r="W652" s="60"/>
      <c r="X652" s="60"/>
      <c r="Y652" s="60"/>
    </row>
    <row r="653" ht="15.75" customHeight="1">
      <c r="A653" s="101"/>
      <c r="B653" s="101"/>
      <c r="C653" s="98"/>
      <c r="D653" s="98"/>
      <c r="E653" s="101"/>
      <c r="F653" s="101"/>
      <c r="G653" s="101"/>
      <c r="H653" s="101"/>
      <c r="I653" s="101"/>
      <c r="J653" s="101"/>
      <c r="K653" s="103"/>
      <c r="L653" s="104"/>
      <c r="M653" s="98"/>
      <c r="N653" s="77"/>
      <c r="O653" s="98"/>
      <c r="P653" s="98"/>
      <c r="Q653" s="98"/>
      <c r="R653" s="98"/>
      <c r="S653" s="98"/>
      <c r="T653" s="98"/>
      <c r="U653" s="98"/>
      <c r="V653" s="98"/>
      <c r="W653" s="60"/>
      <c r="X653" s="60"/>
      <c r="Y653" s="60"/>
    </row>
    <row r="654" ht="15.75" customHeight="1">
      <c r="A654" s="106"/>
      <c r="B654" s="106"/>
      <c r="C654" s="95"/>
      <c r="D654" s="95"/>
      <c r="E654" s="106"/>
      <c r="F654" s="106"/>
      <c r="G654" s="106"/>
      <c r="H654" s="106"/>
      <c r="I654" s="106"/>
      <c r="J654" s="106"/>
      <c r="K654" s="108"/>
      <c r="L654" s="109"/>
      <c r="M654" s="95"/>
      <c r="N654" s="77"/>
      <c r="O654" s="95"/>
      <c r="P654" s="95"/>
      <c r="Q654" s="95"/>
      <c r="R654" s="95"/>
      <c r="S654" s="95"/>
      <c r="T654" s="95"/>
      <c r="U654" s="95"/>
      <c r="V654" s="95"/>
      <c r="W654" s="60"/>
      <c r="X654" s="60"/>
      <c r="Y654" s="60"/>
    </row>
    <row r="655" ht="15.75" customHeight="1">
      <c r="A655" s="101"/>
      <c r="B655" s="101"/>
      <c r="C655" s="98"/>
      <c r="D655" s="98"/>
      <c r="E655" s="101"/>
      <c r="F655" s="101"/>
      <c r="G655" s="101"/>
      <c r="H655" s="101"/>
      <c r="I655" s="101"/>
      <c r="J655" s="101"/>
      <c r="K655" s="103"/>
      <c r="L655" s="104"/>
      <c r="M655" s="98"/>
      <c r="N655" s="77"/>
      <c r="O655" s="98"/>
      <c r="P655" s="98"/>
      <c r="Q655" s="98"/>
      <c r="R655" s="98"/>
      <c r="S655" s="98"/>
      <c r="T655" s="98"/>
      <c r="U655" s="98"/>
      <c r="V655" s="98"/>
      <c r="W655" s="60"/>
      <c r="X655" s="60"/>
      <c r="Y655" s="60"/>
    </row>
    <row r="656" ht="15.75" customHeight="1">
      <c r="A656" s="106"/>
      <c r="B656" s="106"/>
      <c r="C656" s="95"/>
      <c r="D656" s="95"/>
      <c r="E656" s="106"/>
      <c r="F656" s="106"/>
      <c r="G656" s="106"/>
      <c r="H656" s="106"/>
      <c r="I656" s="106"/>
      <c r="J656" s="106"/>
      <c r="K656" s="108"/>
      <c r="L656" s="109"/>
      <c r="M656" s="95"/>
      <c r="N656" s="77"/>
      <c r="O656" s="95"/>
      <c r="P656" s="95"/>
      <c r="Q656" s="95"/>
      <c r="R656" s="95"/>
      <c r="S656" s="95"/>
      <c r="T656" s="95"/>
      <c r="U656" s="95"/>
      <c r="V656" s="95"/>
      <c r="W656" s="60"/>
      <c r="X656" s="60"/>
      <c r="Y656" s="60"/>
    </row>
    <row r="657" ht="15.75" customHeight="1">
      <c r="A657" s="101"/>
      <c r="B657" s="101"/>
      <c r="C657" s="98"/>
      <c r="D657" s="98"/>
      <c r="E657" s="101"/>
      <c r="F657" s="101"/>
      <c r="G657" s="101"/>
      <c r="H657" s="101"/>
      <c r="I657" s="101"/>
      <c r="J657" s="101"/>
      <c r="K657" s="103"/>
      <c r="L657" s="104"/>
      <c r="M657" s="98"/>
      <c r="N657" s="77"/>
      <c r="O657" s="98"/>
      <c r="P657" s="98"/>
      <c r="Q657" s="98"/>
      <c r="R657" s="98"/>
      <c r="S657" s="98"/>
      <c r="T657" s="98"/>
      <c r="U657" s="98"/>
      <c r="V657" s="98"/>
      <c r="W657" s="60"/>
      <c r="X657" s="60"/>
      <c r="Y657" s="60"/>
    </row>
    <row r="658" ht="15.75" customHeight="1">
      <c r="A658" s="106"/>
      <c r="B658" s="106"/>
      <c r="C658" s="95"/>
      <c r="D658" s="95"/>
      <c r="E658" s="106"/>
      <c r="F658" s="106"/>
      <c r="G658" s="106"/>
      <c r="H658" s="106"/>
      <c r="I658" s="106"/>
      <c r="J658" s="106"/>
      <c r="K658" s="108"/>
      <c r="L658" s="109"/>
      <c r="M658" s="95"/>
      <c r="N658" s="77"/>
      <c r="O658" s="95"/>
      <c r="P658" s="95"/>
      <c r="Q658" s="95"/>
      <c r="R658" s="95"/>
      <c r="S658" s="95"/>
      <c r="T658" s="95"/>
      <c r="U658" s="95"/>
      <c r="V658" s="95"/>
      <c r="W658" s="60"/>
      <c r="X658" s="60"/>
      <c r="Y658" s="60"/>
    </row>
    <row r="659" ht="15.75" customHeight="1">
      <c r="A659" s="101"/>
      <c r="B659" s="101"/>
      <c r="C659" s="98"/>
      <c r="D659" s="98"/>
      <c r="E659" s="101"/>
      <c r="F659" s="101"/>
      <c r="G659" s="101"/>
      <c r="H659" s="101"/>
      <c r="I659" s="101"/>
      <c r="J659" s="101"/>
      <c r="K659" s="103"/>
      <c r="L659" s="104"/>
      <c r="M659" s="98"/>
      <c r="N659" s="77"/>
      <c r="O659" s="98"/>
      <c r="P659" s="98"/>
      <c r="Q659" s="98"/>
      <c r="R659" s="98"/>
      <c r="S659" s="98"/>
      <c r="T659" s="98"/>
      <c r="U659" s="98"/>
      <c r="V659" s="98"/>
      <c r="W659" s="60"/>
      <c r="X659" s="60"/>
      <c r="Y659" s="60"/>
    </row>
    <row r="660" ht="15.75" customHeight="1">
      <c r="A660" s="106"/>
      <c r="B660" s="106"/>
      <c r="C660" s="95"/>
      <c r="D660" s="95"/>
      <c r="E660" s="106"/>
      <c r="F660" s="106"/>
      <c r="G660" s="106"/>
      <c r="H660" s="106"/>
      <c r="I660" s="106"/>
      <c r="J660" s="106"/>
      <c r="K660" s="108"/>
      <c r="L660" s="109"/>
      <c r="M660" s="95"/>
      <c r="N660" s="77"/>
      <c r="O660" s="95"/>
      <c r="P660" s="95"/>
      <c r="Q660" s="95"/>
      <c r="R660" s="95"/>
      <c r="S660" s="95"/>
      <c r="T660" s="95"/>
      <c r="U660" s="95"/>
      <c r="V660" s="95"/>
      <c r="W660" s="60"/>
      <c r="X660" s="60"/>
      <c r="Y660" s="60"/>
    </row>
    <row r="661" ht="15.75" customHeight="1">
      <c r="A661" s="101"/>
      <c r="B661" s="101"/>
      <c r="C661" s="98"/>
      <c r="D661" s="98"/>
      <c r="E661" s="101"/>
      <c r="F661" s="101"/>
      <c r="G661" s="101"/>
      <c r="H661" s="101"/>
      <c r="I661" s="101"/>
      <c r="J661" s="101"/>
      <c r="K661" s="103"/>
      <c r="L661" s="104"/>
      <c r="M661" s="98"/>
      <c r="N661" s="77"/>
      <c r="O661" s="98"/>
      <c r="P661" s="98"/>
      <c r="Q661" s="98"/>
      <c r="R661" s="98"/>
      <c r="S661" s="98"/>
      <c r="T661" s="98"/>
      <c r="U661" s="98"/>
      <c r="V661" s="98"/>
      <c r="W661" s="60"/>
      <c r="X661" s="60"/>
      <c r="Y661" s="60"/>
    </row>
    <row r="662" ht="15.75" customHeight="1">
      <c r="A662" s="106"/>
      <c r="B662" s="106"/>
      <c r="C662" s="95"/>
      <c r="D662" s="95"/>
      <c r="E662" s="106"/>
      <c r="F662" s="106"/>
      <c r="G662" s="106"/>
      <c r="H662" s="106"/>
      <c r="I662" s="106"/>
      <c r="J662" s="106"/>
      <c r="K662" s="108"/>
      <c r="L662" s="109"/>
      <c r="M662" s="95"/>
      <c r="N662" s="77"/>
      <c r="O662" s="95"/>
      <c r="P662" s="95"/>
      <c r="Q662" s="95"/>
      <c r="R662" s="95"/>
      <c r="S662" s="95"/>
      <c r="T662" s="95"/>
      <c r="U662" s="95"/>
      <c r="V662" s="95"/>
      <c r="W662" s="60"/>
      <c r="X662" s="60"/>
      <c r="Y662" s="60"/>
    </row>
    <row r="663" ht="15.75" customHeight="1">
      <c r="A663" s="101"/>
      <c r="B663" s="101"/>
      <c r="C663" s="98"/>
      <c r="D663" s="98"/>
      <c r="E663" s="101"/>
      <c r="F663" s="101"/>
      <c r="G663" s="101"/>
      <c r="H663" s="101"/>
      <c r="I663" s="101"/>
      <c r="J663" s="101"/>
      <c r="K663" s="103"/>
      <c r="L663" s="104"/>
      <c r="M663" s="98"/>
      <c r="N663" s="77"/>
      <c r="O663" s="98"/>
      <c r="P663" s="98"/>
      <c r="Q663" s="98"/>
      <c r="R663" s="98"/>
      <c r="S663" s="98"/>
      <c r="T663" s="98"/>
      <c r="U663" s="98"/>
      <c r="V663" s="98"/>
      <c r="W663" s="60"/>
      <c r="X663" s="60"/>
      <c r="Y663" s="60"/>
    </row>
    <row r="664" ht="15.75" customHeight="1">
      <c r="A664" s="106"/>
      <c r="B664" s="106"/>
      <c r="C664" s="95"/>
      <c r="D664" s="95"/>
      <c r="E664" s="106"/>
      <c r="F664" s="106"/>
      <c r="G664" s="106"/>
      <c r="H664" s="106"/>
      <c r="I664" s="106"/>
      <c r="J664" s="106"/>
      <c r="K664" s="108"/>
      <c r="L664" s="109"/>
      <c r="M664" s="95"/>
      <c r="N664" s="77"/>
      <c r="O664" s="95"/>
      <c r="P664" s="95"/>
      <c r="Q664" s="95"/>
      <c r="R664" s="95"/>
      <c r="S664" s="95"/>
      <c r="T664" s="95"/>
      <c r="U664" s="95"/>
      <c r="V664" s="95"/>
      <c r="W664" s="60"/>
      <c r="X664" s="60"/>
      <c r="Y664" s="60"/>
    </row>
    <row r="665" ht="15.75" customHeight="1">
      <c r="A665" s="101"/>
      <c r="B665" s="101"/>
      <c r="C665" s="98"/>
      <c r="D665" s="98"/>
      <c r="E665" s="101"/>
      <c r="F665" s="101"/>
      <c r="G665" s="101"/>
      <c r="H665" s="101"/>
      <c r="I665" s="101"/>
      <c r="J665" s="101"/>
      <c r="K665" s="103"/>
      <c r="L665" s="104"/>
      <c r="M665" s="98"/>
      <c r="N665" s="77"/>
      <c r="O665" s="98"/>
      <c r="P665" s="98"/>
      <c r="Q665" s="98"/>
      <c r="R665" s="98"/>
      <c r="S665" s="98"/>
      <c r="T665" s="98"/>
      <c r="U665" s="98"/>
      <c r="V665" s="98"/>
      <c r="W665" s="60"/>
      <c r="X665" s="60"/>
      <c r="Y665" s="60"/>
    </row>
    <row r="666" ht="15.75" customHeight="1">
      <c r="A666" s="106"/>
      <c r="B666" s="106"/>
      <c r="C666" s="95"/>
      <c r="D666" s="95"/>
      <c r="E666" s="106"/>
      <c r="F666" s="106"/>
      <c r="G666" s="106"/>
      <c r="H666" s="106"/>
      <c r="I666" s="106"/>
      <c r="J666" s="106"/>
      <c r="K666" s="108"/>
      <c r="L666" s="109"/>
      <c r="M666" s="95"/>
      <c r="N666" s="77"/>
      <c r="O666" s="95"/>
      <c r="P666" s="95"/>
      <c r="Q666" s="95"/>
      <c r="R666" s="95"/>
      <c r="S666" s="95"/>
      <c r="T666" s="95"/>
      <c r="U666" s="95"/>
      <c r="V666" s="95"/>
      <c r="W666" s="60"/>
      <c r="X666" s="60"/>
      <c r="Y666" s="60"/>
    </row>
    <row r="667" ht="15.75" customHeight="1">
      <c r="A667" s="101"/>
      <c r="B667" s="101"/>
      <c r="C667" s="98"/>
      <c r="D667" s="98"/>
      <c r="E667" s="101"/>
      <c r="F667" s="101"/>
      <c r="G667" s="101"/>
      <c r="H667" s="101"/>
      <c r="I667" s="101"/>
      <c r="J667" s="101"/>
      <c r="K667" s="103"/>
      <c r="L667" s="104"/>
      <c r="M667" s="98"/>
      <c r="N667" s="77"/>
      <c r="O667" s="98"/>
      <c r="P667" s="98"/>
      <c r="Q667" s="98"/>
      <c r="R667" s="98"/>
      <c r="S667" s="98"/>
      <c r="T667" s="98"/>
      <c r="U667" s="98"/>
      <c r="V667" s="98"/>
      <c r="W667" s="60"/>
      <c r="X667" s="60"/>
      <c r="Y667" s="60"/>
    </row>
    <row r="668" ht="15.75" customHeight="1">
      <c r="A668" s="106"/>
      <c r="B668" s="106"/>
      <c r="C668" s="95"/>
      <c r="D668" s="95"/>
      <c r="E668" s="106"/>
      <c r="F668" s="106"/>
      <c r="G668" s="106"/>
      <c r="H668" s="106"/>
      <c r="I668" s="106"/>
      <c r="J668" s="106"/>
      <c r="K668" s="108"/>
      <c r="L668" s="109"/>
      <c r="M668" s="95"/>
      <c r="N668" s="77"/>
      <c r="O668" s="95"/>
      <c r="P668" s="95"/>
      <c r="Q668" s="95"/>
      <c r="R668" s="95"/>
      <c r="S668" s="95"/>
      <c r="T668" s="95"/>
      <c r="U668" s="95"/>
      <c r="V668" s="95"/>
      <c r="W668" s="60"/>
      <c r="X668" s="60"/>
      <c r="Y668" s="60"/>
    </row>
    <row r="669" ht="15.75" customHeight="1">
      <c r="A669" s="101"/>
      <c r="B669" s="101"/>
      <c r="C669" s="98"/>
      <c r="D669" s="98"/>
      <c r="E669" s="101"/>
      <c r="F669" s="101"/>
      <c r="G669" s="101"/>
      <c r="H669" s="101"/>
      <c r="I669" s="101"/>
      <c r="J669" s="101"/>
      <c r="K669" s="103"/>
      <c r="L669" s="104"/>
      <c r="M669" s="98"/>
      <c r="N669" s="77"/>
      <c r="O669" s="98"/>
      <c r="P669" s="98"/>
      <c r="Q669" s="98"/>
      <c r="R669" s="98"/>
      <c r="S669" s="98"/>
      <c r="T669" s="98"/>
      <c r="U669" s="98"/>
      <c r="V669" s="98"/>
      <c r="W669" s="60"/>
      <c r="X669" s="60"/>
      <c r="Y669" s="60"/>
    </row>
    <row r="670" ht="15.75" customHeight="1">
      <c r="A670" s="106"/>
      <c r="B670" s="106"/>
      <c r="C670" s="95"/>
      <c r="D670" s="95"/>
      <c r="E670" s="106"/>
      <c r="F670" s="106"/>
      <c r="G670" s="106"/>
      <c r="H670" s="106"/>
      <c r="I670" s="106"/>
      <c r="J670" s="106"/>
      <c r="K670" s="108"/>
      <c r="L670" s="109"/>
      <c r="M670" s="95"/>
      <c r="N670" s="77"/>
      <c r="O670" s="95"/>
      <c r="P670" s="95"/>
      <c r="Q670" s="95"/>
      <c r="R670" s="95"/>
      <c r="S670" s="95"/>
      <c r="T670" s="95"/>
      <c r="U670" s="95"/>
      <c r="V670" s="95"/>
      <c r="W670" s="60"/>
      <c r="X670" s="60"/>
      <c r="Y670" s="60"/>
    </row>
    <row r="671" ht="15.75" customHeight="1">
      <c r="A671" s="101"/>
      <c r="B671" s="101"/>
      <c r="C671" s="98"/>
      <c r="D671" s="98"/>
      <c r="E671" s="101"/>
      <c r="F671" s="101"/>
      <c r="G671" s="101"/>
      <c r="H671" s="101"/>
      <c r="I671" s="101"/>
      <c r="J671" s="101"/>
      <c r="K671" s="103"/>
      <c r="L671" s="104"/>
      <c r="M671" s="98"/>
      <c r="N671" s="77"/>
      <c r="O671" s="98"/>
      <c r="P671" s="98"/>
      <c r="Q671" s="98"/>
      <c r="R671" s="98"/>
      <c r="S671" s="98"/>
      <c r="T671" s="98"/>
      <c r="U671" s="98"/>
      <c r="V671" s="98"/>
      <c r="W671" s="60"/>
      <c r="X671" s="60"/>
      <c r="Y671" s="60"/>
    </row>
    <row r="672" ht="15.75" customHeight="1">
      <c r="A672" s="106"/>
      <c r="B672" s="106"/>
      <c r="C672" s="95"/>
      <c r="D672" s="95"/>
      <c r="E672" s="106"/>
      <c r="F672" s="106"/>
      <c r="G672" s="106"/>
      <c r="H672" s="106"/>
      <c r="I672" s="106"/>
      <c r="J672" s="106"/>
      <c r="K672" s="108"/>
      <c r="L672" s="109"/>
      <c r="M672" s="95"/>
      <c r="N672" s="77"/>
      <c r="O672" s="95"/>
      <c r="P672" s="95"/>
      <c r="Q672" s="95"/>
      <c r="R672" s="95"/>
      <c r="S672" s="95"/>
      <c r="T672" s="95"/>
      <c r="U672" s="95"/>
      <c r="V672" s="95"/>
      <c r="W672" s="60"/>
      <c r="X672" s="60"/>
      <c r="Y672" s="60"/>
    </row>
    <row r="673" ht="15.75" customHeight="1">
      <c r="A673" s="101"/>
      <c r="B673" s="101"/>
      <c r="C673" s="98"/>
      <c r="D673" s="98"/>
      <c r="E673" s="101"/>
      <c r="F673" s="101"/>
      <c r="G673" s="101"/>
      <c r="H673" s="101"/>
      <c r="I673" s="101"/>
      <c r="J673" s="101"/>
      <c r="K673" s="103"/>
      <c r="L673" s="104"/>
      <c r="M673" s="98"/>
      <c r="N673" s="77"/>
      <c r="O673" s="98"/>
      <c r="P673" s="98"/>
      <c r="Q673" s="98"/>
      <c r="R673" s="98"/>
      <c r="S673" s="98"/>
      <c r="T673" s="98"/>
      <c r="U673" s="98"/>
      <c r="V673" s="98"/>
      <c r="W673" s="60"/>
      <c r="X673" s="60"/>
      <c r="Y673" s="60"/>
    </row>
    <row r="674" ht="15.75" customHeight="1">
      <c r="A674" s="106"/>
      <c r="B674" s="106"/>
      <c r="C674" s="95"/>
      <c r="D674" s="95"/>
      <c r="E674" s="106"/>
      <c r="F674" s="106"/>
      <c r="G674" s="106"/>
      <c r="H674" s="106"/>
      <c r="I674" s="106"/>
      <c r="J674" s="106"/>
      <c r="K674" s="108"/>
      <c r="L674" s="109"/>
      <c r="M674" s="95"/>
      <c r="N674" s="77"/>
      <c r="O674" s="95"/>
      <c r="P674" s="95"/>
      <c r="Q674" s="95"/>
      <c r="R674" s="95"/>
      <c r="S674" s="95"/>
      <c r="T674" s="95"/>
      <c r="U674" s="95"/>
      <c r="V674" s="95"/>
      <c r="W674" s="60"/>
      <c r="X674" s="60"/>
      <c r="Y674" s="60"/>
    </row>
    <row r="675" ht="15.75" customHeight="1">
      <c r="A675" s="101"/>
      <c r="B675" s="101"/>
      <c r="C675" s="98"/>
      <c r="D675" s="98"/>
      <c r="E675" s="101"/>
      <c r="F675" s="101"/>
      <c r="G675" s="101"/>
      <c r="H675" s="101"/>
      <c r="I675" s="101"/>
      <c r="J675" s="101"/>
      <c r="K675" s="103"/>
      <c r="L675" s="104"/>
      <c r="M675" s="98"/>
      <c r="N675" s="77"/>
      <c r="O675" s="98"/>
      <c r="P675" s="98"/>
      <c r="Q675" s="98"/>
      <c r="R675" s="98"/>
      <c r="S675" s="98"/>
      <c r="T675" s="98"/>
      <c r="U675" s="98"/>
      <c r="V675" s="98"/>
      <c r="W675" s="60"/>
      <c r="X675" s="60"/>
      <c r="Y675" s="60"/>
    </row>
    <row r="676" ht="15.75" customHeight="1">
      <c r="A676" s="106"/>
      <c r="B676" s="106"/>
      <c r="C676" s="95"/>
      <c r="D676" s="95"/>
      <c r="E676" s="106"/>
      <c r="F676" s="106"/>
      <c r="G676" s="106"/>
      <c r="H676" s="106"/>
      <c r="I676" s="106"/>
      <c r="J676" s="106"/>
      <c r="K676" s="108"/>
      <c r="L676" s="109"/>
      <c r="M676" s="95"/>
      <c r="N676" s="77"/>
      <c r="O676" s="95"/>
      <c r="P676" s="95"/>
      <c r="Q676" s="95"/>
      <c r="R676" s="95"/>
      <c r="S676" s="95"/>
      <c r="T676" s="95"/>
      <c r="U676" s="95"/>
      <c r="V676" s="95"/>
      <c r="W676" s="60"/>
      <c r="X676" s="60"/>
      <c r="Y676" s="60"/>
    </row>
    <row r="677" ht="15.75" customHeight="1">
      <c r="A677" s="101"/>
      <c r="B677" s="101"/>
      <c r="C677" s="98"/>
      <c r="D677" s="98"/>
      <c r="E677" s="101"/>
      <c r="F677" s="101"/>
      <c r="G677" s="101"/>
      <c r="H677" s="101"/>
      <c r="I677" s="101"/>
      <c r="J677" s="101"/>
      <c r="K677" s="103"/>
      <c r="L677" s="104"/>
      <c r="M677" s="98"/>
      <c r="N677" s="77"/>
      <c r="O677" s="98"/>
      <c r="P677" s="98"/>
      <c r="Q677" s="98"/>
      <c r="R677" s="98"/>
      <c r="S677" s="98"/>
      <c r="T677" s="98"/>
      <c r="U677" s="98"/>
      <c r="V677" s="98"/>
      <c r="W677" s="60"/>
      <c r="X677" s="60"/>
      <c r="Y677" s="60"/>
    </row>
    <row r="678" ht="15.75" customHeight="1">
      <c r="A678" s="106"/>
      <c r="B678" s="106"/>
      <c r="C678" s="95"/>
      <c r="D678" s="95"/>
      <c r="E678" s="106"/>
      <c r="F678" s="106"/>
      <c r="G678" s="106"/>
      <c r="H678" s="106"/>
      <c r="I678" s="106"/>
      <c r="J678" s="106"/>
      <c r="K678" s="108"/>
      <c r="L678" s="109"/>
      <c r="M678" s="95"/>
      <c r="N678" s="77"/>
      <c r="O678" s="95"/>
      <c r="P678" s="95"/>
      <c r="Q678" s="95"/>
      <c r="R678" s="95"/>
      <c r="S678" s="95"/>
      <c r="T678" s="95"/>
      <c r="U678" s="95"/>
      <c r="V678" s="95"/>
      <c r="W678" s="60"/>
      <c r="X678" s="60"/>
      <c r="Y678" s="60"/>
    </row>
    <row r="679" ht="15.75" customHeight="1">
      <c r="A679" s="101"/>
      <c r="B679" s="101"/>
      <c r="C679" s="98"/>
      <c r="D679" s="98"/>
      <c r="E679" s="101"/>
      <c r="F679" s="101"/>
      <c r="G679" s="101"/>
      <c r="H679" s="101"/>
      <c r="I679" s="101"/>
      <c r="J679" s="101"/>
      <c r="K679" s="103"/>
      <c r="L679" s="104"/>
      <c r="M679" s="98"/>
      <c r="N679" s="77"/>
      <c r="O679" s="98"/>
      <c r="P679" s="98"/>
      <c r="Q679" s="98"/>
      <c r="R679" s="98"/>
      <c r="S679" s="98"/>
      <c r="T679" s="98"/>
      <c r="U679" s="98"/>
      <c r="V679" s="98"/>
      <c r="W679" s="60"/>
      <c r="X679" s="60"/>
      <c r="Y679" s="60"/>
    </row>
    <row r="680" ht="15.75" customHeight="1">
      <c r="A680" s="106"/>
      <c r="B680" s="106"/>
      <c r="C680" s="95"/>
      <c r="D680" s="95"/>
      <c r="E680" s="106"/>
      <c r="F680" s="106"/>
      <c r="G680" s="106"/>
      <c r="H680" s="106"/>
      <c r="I680" s="106"/>
      <c r="J680" s="106"/>
      <c r="K680" s="108"/>
      <c r="L680" s="109"/>
      <c r="M680" s="95"/>
      <c r="N680" s="77"/>
      <c r="O680" s="95"/>
      <c r="P680" s="95"/>
      <c r="Q680" s="95"/>
      <c r="R680" s="95"/>
      <c r="S680" s="95"/>
      <c r="T680" s="95"/>
      <c r="U680" s="95"/>
      <c r="V680" s="95"/>
      <c r="W680" s="60"/>
      <c r="X680" s="60"/>
      <c r="Y680" s="60"/>
    </row>
    <row r="681" ht="15.75" customHeight="1">
      <c r="A681" s="101"/>
      <c r="B681" s="101"/>
      <c r="C681" s="98"/>
      <c r="D681" s="98"/>
      <c r="E681" s="101"/>
      <c r="F681" s="101"/>
      <c r="G681" s="101"/>
      <c r="H681" s="101"/>
      <c r="I681" s="101"/>
      <c r="J681" s="101"/>
      <c r="K681" s="103"/>
      <c r="L681" s="104"/>
      <c r="M681" s="98"/>
      <c r="N681" s="77"/>
      <c r="O681" s="98"/>
      <c r="P681" s="98"/>
      <c r="Q681" s="98"/>
      <c r="R681" s="98"/>
      <c r="S681" s="98"/>
      <c r="T681" s="98"/>
      <c r="U681" s="98"/>
      <c r="V681" s="98"/>
      <c r="W681" s="60"/>
      <c r="X681" s="60"/>
      <c r="Y681" s="60"/>
    </row>
    <row r="682" ht="15.75" customHeight="1">
      <c r="A682" s="106"/>
      <c r="B682" s="106"/>
      <c r="C682" s="95"/>
      <c r="D682" s="95"/>
      <c r="E682" s="106"/>
      <c r="F682" s="106"/>
      <c r="G682" s="106"/>
      <c r="H682" s="106"/>
      <c r="I682" s="106"/>
      <c r="J682" s="106"/>
      <c r="K682" s="108"/>
      <c r="L682" s="109"/>
      <c r="M682" s="95"/>
      <c r="N682" s="77"/>
      <c r="O682" s="95"/>
      <c r="P682" s="95"/>
      <c r="Q682" s="95"/>
      <c r="R682" s="95"/>
      <c r="S682" s="95"/>
      <c r="T682" s="95"/>
      <c r="U682" s="95"/>
      <c r="V682" s="95"/>
      <c r="W682" s="60"/>
      <c r="X682" s="60"/>
      <c r="Y682" s="60"/>
    </row>
    <row r="683" ht="15.75" customHeight="1">
      <c r="A683" s="101"/>
      <c r="B683" s="101"/>
      <c r="C683" s="98"/>
      <c r="D683" s="98"/>
      <c r="E683" s="101"/>
      <c r="F683" s="101"/>
      <c r="G683" s="101"/>
      <c r="H683" s="101"/>
      <c r="I683" s="101"/>
      <c r="J683" s="101"/>
      <c r="K683" s="103"/>
      <c r="L683" s="104"/>
      <c r="M683" s="98"/>
      <c r="N683" s="77"/>
      <c r="O683" s="98"/>
      <c r="P683" s="98"/>
      <c r="Q683" s="98"/>
      <c r="R683" s="98"/>
      <c r="S683" s="98"/>
      <c r="T683" s="98"/>
      <c r="U683" s="98"/>
      <c r="V683" s="98"/>
      <c r="W683" s="60"/>
      <c r="X683" s="60"/>
      <c r="Y683" s="60"/>
    </row>
    <row r="684" ht="15.75" customHeight="1">
      <c r="A684" s="106"/>
      <c r="B684" s="106"/>
      <c r="C684" s="95"/>
      <c r="D684" s="95"/>
      <c r="E684" s="106"/>
      <c r="F684" s="106"/>
      <c r="G684" s="106"/>
      <c r="H684" s="106"/>
      <c r="I684" s="106"/>
      <c r="J684" s="106"/>
      <c r="K684" s="108"/>
      <c r="L684" s="109"/>
      <c r="M684" s="95"/>
      <c r="N684" s="77"/>
      <c r="O684" s="95"/>
      <c r="P684" s="95"/>
      <c r="Q684" s="95"/>
      <c r="R684" s="95"/>
      <c r="S684" s="95"/>
      <c r="T684" s="95"/>
      <c r="U684" s="95"/>
      <c r="V684" s="95"/>
      <c r="W684" s="60"/>
      <c r="X684" s="60"/>
      <c r="Y684" s="60"/>
    </row>
    <row r="685" ht="15.75" customHeight="1">
      <c r="A685" s="101"/>
      <c r="B685" s="101"/>
      <c r="C685" s="98"/>
      <c r="D685" s="98"/>
      <c r="E685" s="101"/>
      <c r="F685" s="101"/>
      <c r="G685" s="101"/>
      <c r="H685" s="101"/>
      <c r="I685" s="101"/>
      <c r="J685" s="101"/>
      <c r="K685" s="103"/>
      <c r="L685" s="104"/>
      <c r="M685" s="98"/>
      <c r="N685" s="77"/>
      <c r="O685" s="98"/>
      <c r="P685" s="98"/>
      <c r="Q685" s="98"/>
      <c r="R685" s="98"/>
      <c r="S685" s="98"/>
      <c r="T685" s="98"/>
      <c r="U685" s="98"/>
      <c r="V685" s="98"/>
      <c r="W685" s="60"/>
      <c r="X685" s="60"/>
      <c r="Y685" s="60"/>
    </row>
    <row r="686" ht="15.75" customHeight="1">
      <c r="A686" s="106"/>
      <c r="B686" s="106"/>
      <c r="C686" s="95"/>
      <c r="D686" s="95"/>
      <c r="E686" s="106"/>
      <c r="F686" s="106"/>
      <c r="G686" s="106"/>
      <c r="H686" s="106"/>
      <c r="I686" s="106"/>
      <c r="J686" s="106"/>
      <c r="K686" s="108"/>
      <c r="L686" s="109"/>
      <c r="M686" s="95"/>
      <c r="N686" s="77"/>
      <c r="O686" s="95"/>
      <c r="P686" s="95"/>
      <c r="Q686" s="95"/>
      <c r="R686" s="95"/>
      <c r="S686" s="95"/>
      <c r="T686" s="95"/>
      <c r="U686" s="95"/>
      <c r="V686" s="95"/>
      <c r="W686" s="60"/>
      <c r="X686" s="60"/>
      <c r="Y686" s="60"/>
    </row>
    <row r="687" ht="15.75" customHeight="1">
      <c r="A687" s="101"/>
      <c r="B687" s="101"/>
      <c r="C687" s="98"/>
      <c r="D687" s="98"/>
      <c r="E687" s="101"/>
      <c r="F687" s="101"/>
      <c r="G687" s="101"/>
      <c r="H687" s="101"/>
      <c r="I687" s="101"/>
      <c r="J687" s="101"/>
      <c r="K687" s="103"/>
      <c r="L687" s="104"/>
      <c r="M687" s="98"/>
      <c r="N687" s="77"/>
      <c r="O687" s="98"/>
      <c r="P687" s="98"/>
      <c r="Q687" s="98"/>
      <c r="R687" s="98"/>
      <c r="S687" s="98"/>
      <c r="T687" s="98"/>
      <c r="U687" s="98"/>
      <c r="V687" s="98"/>
      <c r="W687" s="60"/>
      <c r="X687" s="60"/>
      <c r="Y687" s="60"/>
    </row>
    <row r="688" ht="15.75" customHeight="1">
      <c r="A688" s="106"/>
      <c r="B688" s="106"/>
      <c r="C688" s="95"/>
      <c r="D688" s="95"/>
      <c r="E688" s="106"/>
      <c r="F688" s="106"/>
      <c r="G688" s="106"/>
      <c r="H688" s="106"/>
      <c r="I688" s="106"/>
      <c r="J688" s="106"/>
      <c r="K688" s="108"/>
      <c r="L688" s="109"/>
      <c r="M688" s="95"/>
      <c r="N688" s="77"/>
      <c r="O688" s="95"/>
      <c r="P688" s="95"/>
      <c r="Q688" s="95"/>
      <c r="R688" s="95"/>
      <c r="S688" s="95"/>
      <c r="T688" s="95"/>
      <c r="U688" s="95"/>
      <c r="V688" s="95"/>
      <c r="W688" s="60"/>
      <c r="X688" s="60"/>
      <c r="Y688" s="60"/>
    </row>
    <row r="689" ht="15.75" customHeight="1">
      <c r="A689" s="101"/>
      <c r="B689" s="101"/>
      <c r="C689" s="98"/>
      <c r="D689" s="98"/>
      <c r="E689" s="101"/>
      <c r="F689" s="101"/>
      <c r="G689" s="101"/>
      <c r="H689" s="101"/>
      <c r="I689" s="101"/>
      <c r="J689" s="101"/>
      <c r="K689" s="103"/>
      <c r="L689" s="104"/>
      <c r="M689" s="98"/>
      <c r="N689" s="77"/>
      <c r="O689" s="98"/>
      <c r="P689" s="98"/>
      <c r="Q689" s="98"/>
      <c r="R689" s="98"/>
      <c r="S689" s="98"/>
      <c r="T689" s="98"/>
      <c r="U689" s="98"/>
      <c r="V689" s="98"/>
      <c r="W689" s="60"/>
      <c r="X689" s="60"/>
      <c r="Y689" s="60"/>
    </row>
    <row r="690" ht="15.75" customHeight="1">
      <c r="A690" s="106"/>
      <c r="B690" s="106"/>
      <c r="C690" s="95"/>
      <c r="D690" s="95"/>
      <c r="E690" s="106"/>
      <c r="F690" s="106"/>
      <c r="G690" s="106"/>
      <c r="H690" s="106"/>
      <c r="I690" s="106"/>
      <c r="J690" s="106"/>
      <c r="K690" s="108"/>
      <c r="L690" s="109"/>
      <c r="M690" s="95"/>
      <c r="N690" s="77"/>
      <c r="O690" s="95"/>
      <c r="P690" s="95"/>
      <c r="Q690" s="95"/>
      <c r="R690" s="95"/>
      <c r="S690" s="95"/>
      <c r="T690" s="95"/>
      <c r="U690" s="95"/>
      <c r="V690" s="95"/>
      <c r="W690" s="60"/>
      <c r="X690" s="60"/>
      <c r="Y690" s="60"/>
    </row>
    <row r="691" ht="15.75" customHeight="1">
      <c r="A691" s="101"/>
      <c r="B691" s="101"/>
      <c r="C691" s="98"/>
      <c r="D691" s="98"/>
      <c r="E691" s="101"/>
      <c r="F691" s="101"/>
      <c r="G691" s="101"/>
      <c r="H691" s="101"/>
      <c r="I691" s="101"/>
      <c r="J691" s="101"/>
      <c r="K691" s="103"/>
      <c r="L691" s="104"/>
      <c r="M691" s="98"/>
      <c r="N691" s="77"/>
      <c r="O691" s="98"/>
      <c r="P691" s="98"/>
      <c r="Q691" s="98"/>
      <c r="R691" s="98"/>
      <c r="S691" s="98"/>
      <c r="T691" s="98"/>
      <c r="U691" s="98"/>
      <c r="V691" s="98"/>
      <c r="W691" s="60"/>
      <c r="X691" s="60"/>
      <c r="Y691" s="60"/>
    </row>
    <row r="692" ht="15.75" customHeight="1">
      <c r="A692" s="106"/>
      <c r="B692" s="106"/>
      <c r="C692" s="95"/>
      <c r="D692" s="95"/>
      <c r="E692" s="106"/>
      <c r="F692" s="106"/>
      <c r="G692" s="106"/>
      <c r="H692" s="106"/>
      <c r="I692" s="106"/>
      <c r="J692" s="106"/>
      <c r="K692" s="108"/>
      <c r="L692" s="109"/>
      <c r="M692" s="95"/>
      <c r="N692" s="77"/>
      <c r="O692" s="95"/>
      <c r="P692" s="95"/>
      <c r="Q692" s="95"/>
      <c r="R692" s="95"/>
      <c r="S692" s="95"/>
      <c r="T692" s="95"/>
      <c r="U692" s="95"/>
      <c r="V692" s="95"/>
      <c r="W692" s="60"/>
      <c r="X692" s="60"/>
      <c r="Y692" s="60"/>
    </row>
    <row r="693" ht="15.75" customHeight="1">
      <c r="A693" s="101"/>
      <c r="B693" s="101"/>
      <c r="C693" s="98"/>
      <c r="D693" s="98"/>
      <c r="E693" s="101"/>
      <c r="F693" s="101"/>
      <c r="G693" s="101"/>
      <c r="H693" s="101"/>
      <c r="I693" s="101"/>
      <c r="J693" s="101"/>
      <c r="K693" s="103"/>
      <c r="L693" s="104"/>
      <c r="M693" s="98"/>
      <c r="N693" s="77"/>
      <c r="O693" s="98"/>
      <c r="P693" s="98"/>
      <c r="Q693" s="98"/>
      <c r="R693" s="98"/>
      <c r="S693" s="98"/>
      <c r="T693" s="98"/>
      <c r="U693" s="98"/>
      <c r="V693" s="98"/>
      <c r="W693" s="60"/>
      <c r="X693" s="60"/>
      <c r="Y693" s="60"/>
    </row>
    <row r="694" ht="15.75" customHeight="1">
      <c r="A694" s="106"/>
      <c r="B694" s="106"/>
      <c r="C694" s="95"/>
      <c r="D694" s="95"/>
      <c r="E694" s="106"/>
      <c r="F694" s="106"/>
      <c r="G694" s="106"/>
      <c r="H694" s="106"/>
      <c r="I694" s="106"/>
      <c r="J694" s="106"/>
      <c r="K694" s="108"/>
      <c r="L694" s="109"/>
      <c r="M694" s="95"/>
      <c r="N694" s="77"/>
      <c r="O694" s="95"/>
      <c r="P694" s="95"/>
      <c r="Q694" s="95"/>
      <c r="R694" s="95"/>
      <c r="S694" s="95"/>
      <c r="T694" s="95"/>
      <c r="U694" s="95"/>
      <c r="V694" s="95"/>
      <c r="W694" s="60"/>
      <c r="X694" s="60"/>
      <c r="Y694" s="60"/>
    </row>
    <row r="695" ht="15.75" customHeight="1">
      <c r="A695" s="101"/>
      <c r="B695" s="101"/>
      <c r="C695" s="98"/>
      <c r="D695" s="98"/>
      <c r="E695" s="101"/>
      <c r="F695" s="101"/>
      <c r="G695" s="101"/>
      <c r="H695" s="101"/>
      <c r="I695" s="101"/>
      <c r="J695" s="101"/>
      <c r="K695" s="103"/>
      <c r="L695" s="104"/>
      <c r="M695" s="98"/>
      <c r="N695" s="77"/>
      <c r="O695" s="98"/>
      <c r="P695" s="98"/>
      <c r="Q695" s="98"/>
      <c r="R695" s="98"/>
      <c r="S695" s="98"/>
      <c r="T695" s="98"/>
      <c r="U695" s="98"/>
      <c r="V695" s="98"/>
      <c r="W695" s="60"/>
      <c r="X695" s="60"/>
      <c r="Y695" s="60"/>
    </row>
    <row r="696" ht="15.75" customHeight="1">
      <c r="A696" s="106"/>
      <c r="B696" s="106"/>
      <c r="C696" s="95"/>
      <c r="D696" s="95"/>
      <c r="E696" s="106"/>
      <c r="F696" s="106"/>
      <c r="G696" s="106"/>
      <c r="H696" s="106"/>
      <c r="I696" s="106"/>
      <c r="J696" s="106"/>
      <c r="K696" s="108"/>
      <c r="L696" s="109"/>
      <c r="M696" s="95"/>
      <c r="N696" s="77"/>
      <c r="O696" s="95"/>
      <c r="P696" s="95"/>
      <c r="Q696" s="95"/>
      <c r="R696" s="95"/>
      <c r="S696" s="95"/>
      <c r="T696" s="95"/>
      <c r="U696" s="95"/>
      <c r="V696" s="95"/>
      <c r="W696" s="60"/>
      <c r="X696" s="60"/>
      <c r="Y696" s="60"/>
    </row>
    <row r="697" ht="15.75" customHeight="1">
      <c r="A697" s="101"/>
      <c r="B697" s="101"/>
      <c r="C697" s="98"/>
      <c r="D697" s="98"/>
      <c r="E697" s="101"/>
      <c r="F697" s="101"/>
      <c r="G697" s="101"/>
      <c r="H697" s="101"/>
      <c r="I697" s="101"/>
      <c r="J697" s="101"/>
      <c r="K697" s="103"/>
      <c r="L697" s="104"/>
      <c r="M697" s="98"/>
      <c r="N697" s="77"/>
      <c r="O697" s="98"/>
      <c r="P697" s="98"/>
      <c r="Q697" s="98"/>
      <c r="R697" s="98"/>
      <c r="S697" s="98"/>
      <c r="T697" s="98"/>
      <c r="U697" s="98"/>
      <c r="V697" s="98"/>
      <c r="W697" s="60"/>
      <c r="X697" s="60"/>
      <c r="Y697" s="60"/>
    </row>
    <row r="698" ht="15.75" customHeight="1">
      <c r="A698" s="106"/>
      <c r="B698" s="106"/>
      <c r="C698" s="95"/>
      <c r="D698" s="95"/>
      <c r="E698" s="106"/>
      <c r="F698" s="106"/>
      <c r="G698" s="106"/>
      <c r="H698" s="106"/>
      <c r="I698" s="106"/>
      <c r="J698" s="106"/>
      <c r="K698" s="108"/>
      <c r="L698" s="109"/>
      <c r="M698" s="95"/>
      <c r="N698" s="77"/>
      <c r="O698" s="95"/>
      <c r="P698" s="95"/>
      <c r="Q698" s="95"/>
      <c r="R698" s="95"/>
      <c r="S698" s="95"/>
      <c r="T698" s="95"/>
      <c r="U698" s="95"/>
      <c r="V698" s="95"/>
      <c r="W698" s="60"/>
      <c r="X698" s="60"/>
      <c r="Y698" s="60"/>
    </row>
    <row r="699" ht="15.75" customHeight="1">
      <c r="A699" s="101"/>
      <c r="B699" s="101"/>
      <c r="C699" s="98"/>
      <c r="D699" s="98"/>
      <c r="E699" s="101"/>
      <c r="F699" s="101"/>
      <c r="G699" s="101"/>
      <c r="H699" s="101"/>
      <c r="I699" s="101"/>
      <c r="J699" s="101"/>
      <c r="K699" s="103"/>
      <c r="L699" s="104"/>
      <c r="M699" s="98"/>
      <c r="N699" s="77"/>
      <c r="O699" s="98"/>
      <c r="P699" s="98"/>
      <c r="Q699" s="98"/>
      <c r="R699" s="98"/>
      <c r="S699" s="98"/>
      <c r="T699" s="98"/>
      <c r="U699" s="98"/>
      <c r="V699" s="98"/>
      <c r="W699" s="60"/>
      <c r="X699" s="60"/>
      <c r="Y699" s="60"/>
    </row>
    <row r="700" ht="15.75" customHeight="1">
      <c r="A700" s="106"/>
      <c r="B700" s="106"/>
      <c r="C700" s="95"/>
      <c r="D700" s="95"/>
      <c r="E700" s="106"/>
      <c r="F700" s="106"/>
      <c r="G700" s="106"/>
      <c r="H700" s="106"/>
      <c r="I700" s="106"/>
      <c r="J700" s="106"/>
      <c r="K700" s="108"/>
      <c r="L700" s="109"/>
      <c r="M700" s="95"/>
      <c r="N700" s="77"/>
      <c r="O700" s="95"/>
      <c r="P700" s="95"/>
      <c r="Q700" s="95"/>
      <c r="R700" s="95"/>
      <c r="S700" s="95"/>
      <c r="T700" s="95"/>
      <c r="U700" s="95"/>
      <c r="V700" s="95"/>
      <c r="W700" s="60"/>
      <c r="X700" s="60"/>
      <c r="Y700" s="60"/>
    </row>
    <row r="701" ht="15.75" customHeight="1">
      <c r="A701" s="101"/>
      <c r="B701" s="101"/>
      <c r="C701" s="98"/>
      <c r="D701" s="98"/>
      <c r="E701" s="101"/>
      <c r="F701" s="101"/>
      <c r="G701" s="101"/>
      <c r="H701" s="101"/>
      <c r="I701" s="101"/>
      <c r="J701" s="101"/>
      <c r="K701" s="103"/>
      <c r="L701" s="104"/>
      <c r="M701" s="98"/>
      <c r="N701" s="77"/>
      <c r="O701" s="98"/>
      <c r="P701" s="98"/>
      <c r="Q701" s="98"/>
      <c r="R701" s="98"/>
      <c r="S701" s="98"/>
      <c r="T701" s="98"/>
      <c r="U701" s="98"/>
      <c r="V701" s="98"/>
      <c r="W701" s="60"/>
      <c r="X701" s="60"/>
      <c r="Y701" s="60"/>
    </row>
    <row r="702" ht="15.75" customHeight="1">
      <c r="A702" s="106"/>
      <c r="B702" s="106"/>
      <c r="C702" s="95"/>
      <c r="D702" s="95"/>
      <c r="E702" s="106"/>
      <c r="F702" s="106"/>
      <c r="G702" s="106"/>
      <c r="H702" s="106"/>
      <c r="I702" s="106"/>
      <c r="J702" s="106"/>
      <c r="K702" s="108"/>
      <c r="L702" s="109"/>
      <c r="M702" s="95"/>
      <c r="N702" s="77"/>
      <c r="O702" s="95"/>
      <c r="P702" s="95"/>
      <c r="Q702" s="95"/>
      <c r="R702" s="95"/>
      <c r="S702" s="95"/>
      <c r="T702" s="95"/>
      <c r="U702" s="95"/>
      <c r="V702" s="95"/>
      <c r="W702" s="60"/>
      <c r="X702" s="60"/>
      <c r="Y702" s="60"/>
    </row>
    <row r="703" ht="15.75" customHeight="1">
      <c r="A703" s="101"/>
      <c r="B703" s="101"/>
      <c r="C703" s="98"/>
      <c r="D703" s="98"/>
      <c r="E703" s="101"/>
      <c r="F703" s="101"/>
      <c r="G703" s="101"/>
      <c r="H703" s="101"/>
      <c r="I703" s="101"/>
      <c r="J703" s="101"/>
      <c r="K703" s="103"/>
      <c r="L703" s="104"/>
      <c r="M703" s="98"/>
      <c r="N703" s="77"/>
      <c r="O703" s="98"/>
      <c r="P703" s="98"/>
      <c r="Q703" s="98"/>
      <c r="R703" s="98"/>
      <c r="S703" s="98"/>
      <c r="T703" s="98"/>
      <c r="U703" s="98"/>
      <c r="V703" s="98"/>
      <c r="W703" s="60"/>
      <c r="X703" s="60"/>
      <c r="Y703" s="60"/>
    </row>
    <row r="704" ht="15.75" customHeight="1">
      <c r="A704" s="106"/>
      <c r="B704" s="106"/>
      <c r="C704" s="95"/>
      <c r="D704" s="95"/>
      <c r="E704" s="106"/>
      <c r="F704" s="106"/>
      <c r="G704" s="106"/>
      <c r="H704" s="106"/>
      <c r="I704" s="106"/>
      <c r="J704" s="106"/>
      <c r="K704" s="108"/>
      <c r="L704" s="109"/>
      <c r="M704" s="95"/>
      <c r="N704" s="77"/>
      <c r="O704" s="95"/>
      <c r="P704" s="95"/>
      <c r="Q704" s="95"/>
      <c r="R704" s="95"/>
      <c r="S704" s="95"/>
      <c r="T704" s="95"/>
      <c r="U704" s="95"/>
      <c r="V704" s="95"/>
      <c r="W704" s="60"/>
      <c r="X704" s="60"/>
      <c r="Y704" s="60"/>
    </row>
    <row r="705" ht="15.75" customHeight="1">
      <c r="A705" s="101"/>
      <c r="B705" s="101"/>
      <c r="C705" s="98"/>
      <c r="D705" s="98"/>
      <c r="E705" s="101"/>
      <c r="F705" s="101"/>
      <c r="G705" s="101"/>
      <c r="H705" s="101"/>
      <c r="I705" s="101"/>
      <c r="J705" s="101"/>
      <c r="K705" s="103"/>
      <c r="L705" s="104"/>
      <c r="M705" s="98"/>
      <c r="N705" s="77"/>
      <c r="O705" s="98"/>
      <c r="P705" s="98"/>
      <c r="Q705" s="98"/>
      <c r="R705" s="98"/>
      <c r="S705" s="98"/>
      <c r="T705" s="98"/>
      <c r="U705" s="98"/>
      <c r="V705" s="98"/>
      <c r="W705" s="60"/>
      <c r="X705" s="60"/>
      <c r="Y705" s="60"/>
    </row>
    <row r="706" ht="15.75" customHeight="1">
      <c r="A706" s="106"/>
      <c r="B706" s="106"/>
      <c r="C706" s="95"/>
      <c r="D706" s="95"/>
      <c r="E706" s="106"/>
      <c r="F706" s="106"/>
      <c r="G706" s="106"/>
      <c r="H706" s="106"/>
      <c r="I706" s="106"/>
      <c r="J706" s="106"/>
      <c r="K706" s="108"/>
      <c r="L706" s="109"/>
      <c r="M706" s="95"/>
      <c r="N706" s="77"/>
      <c r="O706" s="95"/>
      <c r="P706" s="95"/>
      <c r="Q706" s="95"/>
      <c r="R706" s="95"/>
      <c r="S706" s="95"/>
      <c r="T706" s="95"/>
      <c r="U706" s="95"/>
      <c r="V706" s="95"/>
      <c r="W706" s="60"/>
      <c r="X706" s="60"/>
      <c r="Y706" s="60"/>
    </row>
    <row r="707" ht="15.75" customHeight="1">
      <c r="A707" s="101"/>
      <c r="B707" s="101"/>
      <c r="C707" s="98"/>
      <c r="D707" s="98"/>
      <c r="E707" s="101"/>
      <c r="F707" s="101"/>
      <c r="G707" s="101"/>
      <c r="H707" s="101"/>
      <c r="I707" s="101"/>
      <c r="J707" s="101"/>
      <c r="K707" s="103"/>
      <c r="L707" s="104"/>
      <c r="M707" s="98"/>
      <c r="N707" s="77"/>
      <c r="O707" s="98"/>
      <c r="P707" s="98"/>
      <c r="Q707" s="98"/>
      <c r="R707" s="98"/>
      <c r="S707" s="98"/>
      <c r="T707" s="98"/>
      <c r="U707" s="98"/>
      <c r="V707" s="98"/>
      <c r="W707" s="60"/>
      <c r="X707" s="60"/>
      <c r="Y707" s="60"/>
    </row>
    <row r="708" ht="15.75" customHeight="1">
      <c r="A708" s="106"/>
      <c r="B708" s="106"/>
      <c r="C708" s="95"/>
      <c r="D708" s="95"/>
      <c r="E708" s="106"/>
      <c r="F708" s="106"/>
      <c r="G708" s="106"/>
      <c r="H708" s="106"/>
      <c r="I708" s="106"/>
      <c r="J708" s="106"/>
      <c r="K708" s="108"/>
      <c r="L708" s="109"/>
      <c r="M708" s="95"/>
      <c r="N708" s="77"/>
      <c r="O708" s="95"/>
      <c r="P708" s="95"/>
      <c r="Q708" s="95"/>
      <c r="R708" s="95"/>
      <c r="S708" s="95"/>
      <c r="T708" s="95"/>
      <c r="U708" s="95"/>
      <c r="V708" s="95"/>
      <c r="W708" s="60"/>
      <c r="X708" s="60"/>
      <c r="Y708" s="60"/>
    </row>
    <row r="709" ht="15.75" customHeight="1">
      <c r="A709" s="101"/>
      <c r="B709" s="101"/>
      <c r="C709" s="98"/>
      <c r="D709" s="98"/>
      <c r="E709" s="101"/>
      <c r="F709" s="101"/>
      <c r="G709" s="101"/>
      <c r="H709" s="101"/>
      <c r="I709" s="101"/>
      <c r="J709" s="101"/>
      <c r="K709" s="103"/>
      <c r="L709" s="104"/>
      <c r="M709" s="98"/>
      <c r="N709" s="77"/>
      <c r="O709" s="98"/>
      <c r="P709" s="98"/>
      <c r="Q709" s="98"/>
      <c r="R709" s="98"/>
      <c r="S709" s="98"/>
      <c r="T709" s="98"/>
      <c r="U709" s="98"/>
      <c r="V709" s="98"/>
      <c r="W709" s="60"/>
      <c r="X709" s="60"/>
      <c r="Y709" s="60"/>
    </row>
    <row r="710" ht="15.75" customHeight="1">
      <c r="A710" s="106"/>
      <c r="B710" s="106"/>
      <c r="C710" s="95"/>
      <c r="D710" s="95"/>
      <c r="E710" s="106"/>
      <c r="F710" s="106"/>
      <c r="G710" s="106"/>
      <c r="H710" s="106"/>
      <c r="I710" s="106"/>
      <c r="J710" s="106"/>
      <c r="K710" s="108"/>
      <c r="L710" s="109"/>
      <c r="M710" s="95"/>
      <c r="N710" s="77"/>
      <c r="O710" s="95"/>
      <c r="P710" s="95"/>
      <c r="Q710" s="95"/>
      <c r="R710" s="95"/>
      <c r="S710" s="95"/>
      <c r="T710" s="95"/>
      <c r="U710" s="95"/>
      <c r="V710" s="95"/>
      <c r="W710" s="60"/>
      <c r="X710" s="60"/>
      <c r="Y710" s="60"/>
    </row>
    <row r="711" ht="15.75" customHeight="1">
      <c r="A711" s="101"/>
      <c r="B711" s="101"/>
      <c r="C711" s="98"/>
      <c r="D711" s="98"/>
      <c r="E711" s="101"/>
      <c r="F711" s="101"/>
      <c r="G711" s="101"/>
      <c r="H711" s="101"/>
      <c r="I711" s="101"/>
      <c r="J711" s="101"/>
      <c r="K711" s="103"/>
      <c r="L711" s="104"/>
      <c r="M711" s="98"/>
      <c r="N711" s="77"/>
      <c r="O711" s="98"/>
      <c r="P711" s="98"/>
      <c r="Q711" s="98"/>
      <c r="R711" s="98"/>
      <c r="S711" s="98"/>
      <c r="T711" s="98"/>
      <c r="U711" s="98"/>
      <c r="V711" s="98"/>
      <c r="W711" s="60"/>
      <c r="X711" s="60"/>
      <c r="Y711" s="60"/>
    </row>
    <row r="712" ht="15.75" customHeight="1">
      <c r="A712" s="106"/>
      <c r="B712" s="106"/>
      <c r="C712" s="95"/>
      <c r="D712" s="95"/>
      <c r="E712" s="106"/>
      <c r="F712" s="106"/>
      <c r="G712" s="106"/>
      <c r="H712" s="106"/>
      <c r="I712" s="106"/>
      <c r="J712" s="106"/>
      <c r="K712" s="108"/>
      <c r="L712" s="109"/>
      <c r="M712" s="95"/>
      <c r="N712" s="77"/>
      <c r="O712" s="95"/>
      <c r="P712" s="95"/>
      <c r="Q712" s="95"/>
      <c r="R712" s="95"/>
      <c r="S712" s="95"/>
      <c r="T712" s="95"/>
      <c r="U712" s="95"/>
      <c r="V712" s="95"/>
      <c r="W712" s="60"/>
      <c r="X712" s="60"/>
      <c r="Y712" s="60"/>
    </row>
    <row r="713" ht="15.75" customHeight="1">
      <c r="A713" s="101"/>
      <c r="B713" s="101"/>
      <c r="C713" s="98"/>
      <c r="D713" s="98"/>
      <c r="E713" s="101"/>
      <c r="F713" s="101"/>
      <c r="G713" s="101"/>
      <c r="H713" s="101"/>
      <c r="I713" s="101"/>
      <c r="J713" s="101"/>
      <c r="K713" s="103"/>
      <c r="L713" s="104"/>
      <c r="M713" s="98"/>
      <c r="N713" s="77"/>
      <c r="O713" s="98"/>
      <c r="P713" s="98"/>
      <c r="Q713" s="98"/>
      <c r="R713" s="98"/>
      <c r="S713" s="98"/>
      <c r="T713" s="98"/>
      <c r="U713" s="98"/>
      <c r="V713" s="98"/>
      <c r="W713" s="60"/>
      <c r="X713" s="60"/>
      <c r="Y713" s="60"/>
    </row>
    <row r="714" ht="15.75" customHeight="1">
      <c r="A714" s="106"/>
      <c r="B714" s="106"/>
      <c r="C714" s="95"/>
      <c r="D714" s="95"/>
      <c r="E714" s="106"/>
      <c r="F714" s="106"/>
      <c r="G714" s="106"/>
      <c r="H714" s="106"/>
      <c r="I714" s="106"/>
      <c r="J714" s="106"/>
      <c r="K714" s="108"/>
      <c r="L714" s="109"/>
      <c r="M714" s="95"/>
      <c r="N714" s="77"/>
      <c r="O714" s="95"/>
      <c r="P714" s="95"/>
      <c r="Q714" s="95"/>
      <c r="R714" s="95"/>
      <c r="S714" s="95"/>
      <c r="T714" s="95"/>
      <c r="U714" s="95"/>
      <c r="V714" s="95"/>
      <c r="W714" s="60"/>
      <c r="X714" s="60"/>
      <c r="Y714" s="60"/>
    </row>
    <row r="715" ht="15.75" customHeight="1">
      <c r="A715" s="101"/>
      <c r="B715" s="101"/>
      <c r="C715" s="98"/>
      <c r="D715" s="98"/>
      <c r="E715" s="101"/>
      <c r="F715" s="101"/>
      <c r="G715" s="101"/>
      <c r="H715" s="101"/>
      <c r="I715" s="101"/>
      <c r="J715" s="101"/>
      <c r="K715" s="103"/>
      <c r="L715" s="104"/>
      <c r="M715" s="98"/>
      <c r="N715" s="77"/>
      <c r="O715" s="98"/>
      <c r="P715" s="98"/>
      <c r="Q715" s="98"/>
      <c r="R715" s="98"/>
      <c r="S715" s="98"/>
      <c r="T715" s="98"/>
      <c r="U715" s="98"/>
      <c r="V715" s="98"/>
      <c r="W715" s="60"/>
      <c r="X715" s="60"/>
      <c r="Y715" s="60"/>
    </row>
    <row r="716" ht="15.75" customHeight="1">
      <c r="A716" s="106"/>
      <c r="B716" s="106"/>
      <c r="C716" s="95"/>
      <c r="D716" s="95"/>
      <c r="E716" s="106"/>
      <c r="F716" s="106"/>
      <c r="G716" s="106"/>
      <c r="H716" s="106"/>
      <c r="I716" s="106"/>
      <c r="J716" s="106"/>
      <c r="K716" s="108"/>
      <c r="L716" s="109"/>
      <c r="M716" s="95"/>
      <c r="N716" s="77"/>
      <c r="O716" s="95"/>
      <c r="P716" s="95"/>
      <c r="Q716" s="95"/>
      <c r="R716" s="95"/>
      <c r="S716" s="95"/>
      <c r="T716" s="95"/>
      <c r="U716" s="95"/>
      <c r="V716" s="95"/>
      <c r="W716" s="60"/>
      <c r="X716" s="60"/>
      <c r="Y716" s="60"/>
    </row>
    <row r="717" ht="15.75" customHeight="1">
      <c r="A717" s="101"/>
      <c r="B717" s="101"/>
      <c r="C717" s="98"/>
      <c r="D717" s="98"/>
      <c r="E717" s="101"/>
      <c r="F717" s="101"/>
      <c r="G717" s="101"/>
      <c r="H717" s="101"/>
      <c r="I717" s="101"/>
      <c r="J717" s="101"/>
      <c r="K717" s="103"/>
      <c r="L717" s="104"/>
      <c r="M717" s="98"/>
      <c r="N717" s="77"/>
      <c r="O717" s="98"/>
      <c r="P717" s="98"/>
      <c r="Q717" s="98"/>
      <c r="R717" s="98"/>
      <c r="S717" s="98"/>
      <c r="T717" s="98"/>
      <c r="U717" s="98"/>
      <c r="V717" s="98"/>
      <c r="W717" s="60"/>
      <c r="X717" s="60"/>
      <c r="Y717" s="60"/>
    </row>
    <row r="718" ht="15.75" customHeight="1">
      <c r="A718" s="106"/>
      <c r="B718" s="106"/>
      <c r="C718" s="95"/>
      <c r="D718" s="95"/>
      <c r="E718" s="106"/>
      <c r="F718" s="106"/>
      <c r="G718" s="106"/>
      <c r="H718" s="106"/>
      <c r="I718" s="106"/>
      <c r="J718" s="106"/>
      <c r="K718" s="108"/>
      <c r="L718" s="109"/>
      <c r="M718" s="95"/>
      <c r="N718" s="77"/>
      <c r="O718" s="95"/>
      <c r="P718" s="95"/>
      <c r="Q718" s="95"/>
      <c r="R718" s="95"/>
      <c r="S718" s="95"/>
      <c r="T718" s="95"/>
      <c r="U718" s="95"/>
      <c r="V718" s="95"/>
      <c r="W718" s="60"/>
      <c r="X718" s="60"/>
      <c r="Y718" s="60"/>
    </row>
    <row r="719" ht="15.75" customHeight="1">
      <c r="A719" s="101"/>
      <c r="B719" s="101"/>
      <c r="C719" s="98"/>
      <c r="D719" s="98"/>
      <c r="E719" s="101"/>
      <c r="F719" s="101"/>
      <c r="G719" s="101"/>
      <c r="H719" s="101"/>
      <c r="I719" s="101"/>
      <c r="J719" s="101"/>
      <c r="K719" s="103"/>
      <c r="L719" s="104"/>
      <c r="M719" s="98"/>
      <c r="N719" s="77"/>
      <c r="O719" s="98"/>
      <c r="P719" s="98"/>
      <c r="Q719" s="98"/>
      <c r="R719" s="98"/>
      <c r="S719" s="98"/>
      <c r="T719" s="98"/>
      <c r="U719" s="98"/>
      <c r="V719" s="98"/>
      <c r="W719" s="60"/>
      <c r="X719" s="60"/>
      <c r="Y719" s="60"/>
    </row>
    <row r="720" ht="15.75" customHeight="1">
      <c r="A720" s="106"/>
      <c r="B720" s="106"/>
      <c r="C720" s="95"/>
      <c r="D720" s="95"/>
      <c r="E720" s="106"/>
      <c r="F720" s="106"/>
      <c r="G720" s="106"/>
      <c r="H720" s="106"/>
      <c r="I720" s="106"/>
      <c r="J720" s="106"/>
      <c r="K720" s="108"/>
      <c r="L720" s="109"/>
      <c r="M720" s="95"/>
      <c r="N720" s="77"/>
      <c r="O720" s="95"/>
      <c r="P720" s="95"/>
      <c r="Q720" s="95"/>
      <c r="R720" s="95"/>
      <c r="S720" s="95"/>
      <c r="T720" s="95"/>
      <c r="U720" s="95"/>
      <c r="V720" s="95"/>
      <c r="W720" s="60"/>
      <c r="X720" s="60"/>
      <c r="Y720" s="60"/>
    </row>
    <row r="721" ht="15.75" customHeight="1">
      <c r="A721" s="101"/>
      <c r="B721" s="101"/>
      <c r="C721" s="98"/>
      <c r="D721" s="98"/>
      <c r="E721" s="101"/>
      <c r="F721" s="101"/>
      <c r="G721" s="101"/>
      <c r="H721" s="101"/>
      <c r="I721" s="101"/>
      <c r="J721" s="101"/>
      <c r="K721" s="103"/>
      <c r="L721" s="104"/>
      <c r="M721" s="98"/>
      <c r="N721" s="77"/>
      <c r="O721" s="98"/>
      <c r="P721" s="98"/>
      <c r="Q721" s="98"/>
      <c r="R721" s="98"/>
      <c r="S721" s="98"/>
      <c r="T721" s="98"/>
      <c r="U721" s="98"/>
      <c r="V721" s="98"/>
      <c r="W721" s="60"/>
      <c r="X721" s="60"/>
      <c r="Y721" s="60"/>
    </row>
    <row r="722" ht="15.75" customHeight="1">
      <c r="A722" s="106"/>
      <c r="B722" s="106"/>
      <c r="C722" s="95"/>
      <c r="D722" s="95"/>
      <c r="E722" s="106"/>
      <c r="F722" s="106"/>
      <c r="G722" s="106"/>
      <c r="H722" s="106"/>
      <c r="I722" s="106"/>
      <c r="J722" s="106"/>
      <c r="K722" s="108"/>
      <c r="L722" s="109"/>
      <c r="M722" s="95"/>
      <c r="N722" s="77"/>
      <c r="O722" s="95"/>
      <c r="P722" s="95"/>
      <c r="Q722" s="95"/>
      <c r="R722" s="95"/>
      <c r="S722" s="95"/>
      <c r="T722" s="95"/>
      <c r="U722" s="95"/>
      <c r="V722" s="95"/>
      <c r="W722" s="60"/>
      <c r="X722" s="60"/>
      <c r="Y722" s="60"/>
    </row>
    <row r="723" ht="15.75" customHeight="1">
      <c r="A723" s="101"/>
      <c r="B723" s="101"/>
      <c r="C723" s="98"/>
      <c r="D723" s="98"/>
      <c r="E723" s="101"/>
      <c r="F723" s="101"/>
      <c r="G723" s="101"/>
      <c r="H723" s="101"/>
      <c r="I723" s="101"/>
      <c r="J723" s="101"/>
      <c r="K723" s="103"/>
      <c r="L723" s="104"/>
      <c r="M723" s="98"/>
      <c r="N723" s="77"/>
      <c r="O723" s="98"/>
      <c r="P723" s="98"/>
      <c r="Q723" s="98"/>
      <c r="R723" s="98"/>
      <c r="S723" s="98"/>
      <c r="T723" s="98"/>
      <c r="U723" s="98"/>
      <c r="V723" s="98"/>
      <c r="W723" s="60"/>
      <c r="X723" s="60"/>
      <c r="Y723" s="60"/>
    </row>
    <row r="724" ht="15.75" customHeight="1">
      <c r="A724" s="106"/>
      <c r="B724" s="106"/>
      <c r="C724" s="95"/>
      <c r="D724" s="95"/>
      <c r="E724" s="106"/>
      <c r="F724" s="106"/>
      <c r="G724" s="106"/>
      <c r="H724" s="106"/>
      <c r="I724" s="106"/>
      <c r="J724" s="106"/>
      <c r="K724" s="108"/>
      <c r="L724" s="109"/>
      <c r="M724" s="95"/>
      <c r="N724" s="77"/>
      <c r="O724" s="95"/>
      <c r="P724" s="95"/>
      <c r="Q724" s="95"/>
      <c r="R724" s="95"/>
      <c r="S724" s="95"/>
      <c r="T724" s="95"/>
      <c r="U724" s="95"/>
      <c r="V724" s="95"/>
      <c r="W724" s="60"/>
      <c r="X724" s="60"/>
      <c r="Y724" s="60"/>
    </row>
    <row r="725" ht="15.75" customHeight="1">
      <c r="A725" s="101"/>
      <c r="B725" s="101"/>
      <c r="C725" s="98"/>
      <c r="D725" s="98"/>
      <c r="E725" s="101"/>
      <c r="F725" s="101"/>
      <c r="G725" s="101"/>
      <c r="H725" s="101"/>
      <c r="I725" s="101"/>
      <c r="J725" s="101"/>
      <c r="K725" s="103"/>
      <c r="L725" s="104"/>
      <c r="M725" s="98"/>
      <c r="N725" s="77"/>
      <c r="O725" s="98"/>
      <c r="P725" s="98"/>
      <c r="Q725" s="98"/>
      <c r="R725" s="98"/>
      <c r="S725" s="98"/>
      <c r="T725" s="98"/>
      <c r="U725" s="98"/>
      <c r="V725" s="98"/>
      <c r="W725" s="60"/>
      <c r="X725" s="60"/>
      <c r="Y725" s="60"/>
    </row>
    <row r="726" ht="15.75" customHeight="1">
      <c r="A726" s="106"/>
      <c r="B726" s="106"/>
      <c r="C726" s="95"/>
      <c r="D726" s="95"/>
      <c r="E726" s="106"/>
      <c r="F726" s="106"/>
      <c r="G726" s="106"/>
      <c r="H726" s="106"/>
      <c r="I726" s="106"/>
      <c r="J726" s="106"/>
      <c r="K726" s="108"/>
      <c r="L726" s="109"/>
      <c r="M726" s="95"/>
      <c r="N726" s="77"/>
      <c r="O726" s="95"/>
      <c r="P726" s="95"/>
      <c r="Q726" s="95"/>
      <c r="R726" s="95"/>
      <c r="S726" s="95"/>
      <c r="T726" s="95"/>
      <c r="U726" s="95"/>
      <c r="V726" s="95"/>
      <c r="W726" s="60"/>
      <c r="X726" s="60"/>
      <c r="Y726" s="60"/>
    </row>
    <row r="727" ht="15.75" customHeight="1">
      <c r="A727" s="101"/>
      <c r="B727" s="101"/>
      <c r="C727" s="98"/>
      <c r="D727" s="98"/>
      <c r="E727" s="101"/>
      <c r="F727" s="101"/>
      <c r="G727" s="101"/>
      <c r="H727" s="101"/>
      <c r="I727" s="101"/>
      <c r="J727" s="101"/>
      <c r="K727" s="103"/>
      <c r="L727" s="104"/>
      <c r="M727" s="98"/>
      <c r="N727" s="77"/>
      <c r="O727" s="98"/>
      <c r="P727" s="98"/>
      <c r="Q727" s="98"/>
      <c r="R727" s="98"/>
      <c r="S727" s="98"/>
      <c r="T727" s="98"/>
      <c r="U727" s="98"/>
      <c r="V727" s="98"/>
      <c r="W727" s="60"/>
      <c r="X727" s="60"/>
      <c r="Y727" s="60"/>
    </row>
    <row r="728" ht="15.75" customHeight="1">
      <c r="A728" s="106"/>
      <c r="B728" s="106"/>
      <c r="C728" s="95"/>
      <c r="D728" s="95"/>
      <c r="E728" s="106"/>
      <c r="F728" s="106"/>
      <c r="G728" s="106"/>
      <c r="H728" s="106"/>
      <c r="I728" s="106"/>
      <c r="J728" s="106"/>
      <c r="K728" s="108"/>
      <c r="L728" s="109"/>
      <c r="M728" s="95"/>
      <c r="N728" s="77"/>
      <c r="O728" s="95"/>
      <c r="P728" s="95"/>
      <c r="Q728" s="95"/>
      <c r="R728" s="95"/>
      <c r="S728" s="95"/>
      <c r="T728" s="95"/>
      <c r="U728" s="95"/>
      <c r="V728" s="95"/>
      <c r="W728" s="60"/>
      <c r="X728" s="60"/>
      <c r="Y728" s="60"/>
    </row>
    <row r="729" ht="15.75" customHeight="1">
      <c r="A729" s="101"/>
      <c r="B729" s="101"/>
      <c r="C729" s="98"/>
      <c r="D729" s="98"/>
      <c r="E729" s="101"/>
      <c r="F729" s="101"/>
      <c r="G729" s="101"/>
      <c r="H729" s="101"/>
      <c r="I729" s="101"/>
      <c r="J729" s="101"/>
      <c r="K729" s="103"/>
      <c r="L729" s="104"/>
      <c r="M729" s="98"/>
      <c r="N729" s="77"/>
      <c r="O729" s="98"/>
      <c r="P729" s="98"/>
      <c r="Q729" s="98"/>
      <c r="R729" s="98"/>
      <c r="S729" s="98"/>
      <c r="T729" s="98"/>
      <c r="U729" s="98"/>
      <c r="V729" s="98"/>
      <c r="W729" s="60"/>
      <c r="X729" s="60"/>
      <c r="Y729" s="60"/>
    </row>
    <row r="730" ht="15.75" customHeight="1">
      <c r="A730" s="106"/>
      <c r="B730" s="106"/>
      <c r="C730" s="95"/>
      <c r="D730" s="95"/>
      <c r="E730" s="106"/>
      <c r="F730" s="106"/>
      <c r="G730" s="106"/>
      <c r="H730" s="106"/>
      <c r="I730" s="106"/>
      <c r="J730" s="106"/>
      <c r="K730" s="108"/>
      <c r="L730" s="109"/>
      <c r="M730" s="95"/>
      <c r="N730" s="77"/>
      <c r="O730" s="95"/>
      <c r="P730" s="95"/>
      <c r="Q730" s="95"/>
      <c r="R730" s="95"/>
      <c r="S730" s="95"/>
      <c r="T730" s="95"/>
      <c r="U730" s="95"/>
      <c r="V730" s="95"/>
      <c r="W730" s="60"/>
      <c r="X730" s="60"/>
      <c r="Y730" s="60"/>
    </row>
    <row r="731" ht="15.75" customHeight="1">
      <c r="A731" s="101"/>
      <c r="B731" s="101"/>
      <c r="C731" s="98"/>
      <c r="D731" s="98"/>
      <c r="E731" s="101"/>
      <c r="F731" s="101"/>
      <c r="G731" s="101"/>
      <c r="H731" s="101"/>
      <c r="I731" s="101"/>
      <c r="J731" s="101"/>
      <c r="K731" s="103"/>
      <c r="L731" s="104"/>
      <c r="M731" s="98"/>
      <c r="N731" s="77"/>
      <c r="O731" s="98"/>
      <c r="P731" s="98"/>
      <c r="Q731" s="98"/>
      <c r="R731" s="98"/>
      <c r="S731" s="98"/>
      <c r="T731" s="98"/>
      <c r="U731" s="98"/>
      <c r="V731" s="98"/>
      <c r="W731" s="60"/>
      <c r="X731" s="60"/>
      <c r="Y731" s="60"/>
    </row>
    <row r="732" ht="15.75" customHeight="1">
      <c r="A732" s="106"/>
      <c r="B732" s="106"/>
      <c r="C732" s="95"/>
      <c r="D732" s="95"/>
      <c r="E732" s="106"/>
      <c r="F732" s="106"/>
      <c r="G732" s="106"/>
      <c r="H732" s="106"/>
      <c r="I732" s="106"/>
      <c r="J732" s="106"/>
      <c r="K732" s="108"/>
      <c r="L732" s="109"/>
      <c r="M732" s="95"/>
      <c r="N732" s="77"/>
      <c r="O732" s="95"/>
      <c r="P732" s="95"/>
      <c r="Q732" s="95"/>
      <c r="R732" s="95"/>
      <c r="S732" s="95"/>
      <c r="T732" s="95"/>
      <c r="U732" s="95"/>
      <c r="V732" s="95"/>
      <c r="W732" s="60"/>
      <c r="X732" s="60"/>
      <c r="Y732" s="60"/>
    </row>
    <row r="733" ht="15.75" customHeight="1">
      <c r="A733" s="101"/>
      <c r="B733" s="101"/>
      <c r="C733" s="98"/>
      <c r="D733" s="98"/>
      <c r="E733" s="101"/>
      <c r="F733" s="101"/>
      <c r="G733" s="101"/>
      <c r="H733" s="101"/>
      <c r="I733" s="101"/>
      <c r="J733" s="101"/>
      <c r="K733" s="103"/>
      <c r="L733" s="104"/>
      <c r="M733" s="98"/>
      <c r="N733" s="77"/>
      <c r="O733" s="98"/>
      <c r="P733" s="98"/>
      <c r="Q733" s="98"/>
      <c r="R733" s="98"/>
      <c r="S733" s="98"/>
      <c r="T733" s="98"/>
      <c r="U733" s="98"/>
      <c r="V733" s="98"/>
      <c r="W733" s="60"/>
      <c r="X733" s="60"/>
      <c r="Y733" s="60"/>
    </row>
    <row r="734" ht="15.75" customHeight="1">
      <c r="A734" s="106"/>
      <c r="B734" s="106"/>
      <c r="C734" s="95"/>
      <c r="D734" s="95"/>
      <c r="E734" s="106"/>
      <c r="F734" s="106"/>
      <c r="G734" s="106"/>
      <c r="H734" s="106"/>
      <c r="I734" s="106"/>
      <c r="J734" s="106"/>
      <c r="K734" s="108"/>
      <c r="L734" s="109"/>
      <c r="M734" s="95"/>
      <c r="N734" s="77"/>
      <c r="O734" s="95"/>
      <c r="P734" s="95"/>
      <c r="Q734" s="95"/>
      <c r="R734" s="95"/>
      <c r="S734" s="95"/>
      <c r="T734" s="95"/>
      <c r="U734" s="95"/>
      <c r="V734" s="95"/>
      <c r="W734" s="60"/>
      <c r="X734" s="60"/>
      <c r="Y734" s="60"/>
    </row>
    <row r="735" ht="15.75" customHeight="1">
      <c r="A735" s="101"/>
      <c r="B735" s="101"/>
      <c r="C735" s="98"/>
      <c r="D735" s="98"/>
      <c r="E735" s="101"/>
      <c r="F735" s="101"/>
      <c r="G735" s="101"/>
      <c r="H735" s="101"/>
      <c r="I735" s="101"/>
      <c r="J735" s="101"/>
      <c r="K735" s="103"/>
      <c r="L735" s="104"/>
      <c r="M735" s="98"/>
      <c r="N735" s="77"/>
      <c r="O735" s="98"/>
      <c r="P735" s="98"/>
      <c r="Q735" s="98"/>
      <c r="R735" s="98"/>
      <c r="S735" s="98"/>
      <c r="T735" s="98"/>
      <c r="U735" s="98"/>
      <c r="V735" s="98"/>
      <c r="W735" s="60"/>
      <c r="X735" s="60"/>
      <c r="Y735" s="60"/>
    </row>
    <row r="736" ht="15.75" customHeight="1">
      <c r="A736" s="106"/>
      <c r="B736" s="106"/>
      <c r="C736" s="95"/>
      <c r="D736" s="95"/>
      <c r="E736" s="106"/>
      <c r="F736" s="106"/>
      <c r="G736" s="106"/>
      <c r="H736" s="106"/>
      <c r="I736" s="106"/>
      <c r="J736" s="106"/>
      <c r="K736" s="108"/>
      <c r="L736" s="109"/>
      <c r="M736" s="95"/>
      <c r="N736" s="77"/>
      <c r="O736" s="95"/>
      <c r="P736" s="95"/>
      <c r="Q736" s="95"/>
      <c r="R736" s="95"/>
      <c r="S736" s="95"/>
      <c r="T736" s="95"/>
      <c r="U736" s="95"/>
      <c r="V736" s="95"/>
      <c r="W736" s="60"/>
      <c r="X736" s="60"/>
      <c r="Y736" s="60"/>
    </row>
    <row r="737" ht="15.75" customHeight="1">
      <c r="A737" s="101"/>
      <c r="B737" s="101"/>
      <c r="C737" s="98"/>
      <c r="D737" s="98"/>
      <c r="E737" s="101"/>
      <c r="F737" s="101"/>
      <c r="G737" s="101"/>
      <c r="H737" s="101"/>
      <c r="I737" s="101"/>
      <c r="J737" s="101"/>
      <c r="K737" s="103"/>
      <c r="L737" s="104"/>
      <c r="M737" s="98"/>
      <c r="N737" s="77"/>
      <c r="O737" s="98"/>
      <c r="P737" s="98"/>
      <c r="Q737" s="98"/>
      <c r="R737" s="98"/>
      <c r="S737" s="98"/>
      <c r="T737" s="98"/>
      <c r="U737" s="98"/>
      <c r="V737" s="98"/>
      <c r="W737" s="60"/>
      <c r="X737" s="60"/>
      <c r="Y737" s="60"/>
    </row>
    <row r="738" ht="15.75" customHeight="1">
      <c r="A738" s="106"/>
      <c r="B738" s="106"/>
      <c r="C738" s="95"/>
      <c r="D738" s="95"/>
      <c r="E738" s="106"/>
      <c r="F738" s="106"/>
      <c r="G738" s="106"/>
      <c r="H738" s="106"/>
      <c r="I738" s="106"/>
      <c r="J738" s="106"/>
      <c r="K738" s="108"/>
      <c r="L738" s="109"/>
      <c r="M738" s="95"/>
      <c r="N738" s="77"/>
      <c r="O738" s="95"/>
      <c r="P738" s="95"/>
      <c r="Q738" s="95"/>
      <c r="R738" s="95"/>
      <c r="S738" s="95"/>
      <c r="T738" s="95"/>
      <c r="U738" s="95"/>
      <c r="V738" s="95"/>
      <c r="W738" s="60"/>
      <c r="X738" s="60"/>
      <c r="Y738" s="60"/>
    </row>
    <row r="739" ht="15.75" customHeight="1">
      <c r="A739" s="101"/>
      <c r="B739" s="101"/>
      <c r="C739" s="98"/>
      <c r="D739" s="98"/>
      <c r="E739" s="101"/>
      <c r="F739" s="101"/>
      <c r="G739" s="101"/>
      <c r="H739" s="101"/>
      <c r="I739" s="101"/>
      <c r="J739" s="101"/>
      <c r="K739" s="103"/>
      <c r="L739" s="104"/>
      <c r="M739" s="98"/>
      <c r="N739" s="77"/>
      <c r="O739" s="98"/>
      <c r="P739" s="98"/>
      <c r="Q739" s="98"/>
      <c r="R739" s="98"/>
      <c r="S739" s="98"/>
      <c r="T739" s="98"/>
      <c r="U739" s="98"/>
      <c r="V739" s="98"/>
      <c r="W739" s="60"/>
      <c r="X739" s="60"/>
      <c r="Y739" s="60"/>
    </row>
    <row r="740" ht="15.75" customHeight="1">
      <c r="A740" s="106"/>
      <c r="B740" s="106"/>
      <c r="C740" s="95"/>
      <c r="D740" s="95"/>
      <c r="E740" s="106"/>
      <c r="F740" s="106"/>
      <c r="G740" s="106"/>
      <c r="H740" s="106"/>
      <c r="I740" s="106"/>
      <c r="J740" s="106"/>
      <c r="K740" s="108"/>
      <c r="L740" s="109"/>
      <c r="M740" s="95"/>
      <c r="N740" s="77"/>
      <c r="O740" s="95"/>
      <c r="P740" s="95"/>
      <c r="Q740" s="95"/>
      <c r="R740" s="95"/>
      <c r="S740" s="95"/>
      <c r="T740" s="95"/>
      <c r="U740" s="95"/>
      <c r="V740" s="95"/>
      <c r="W740" s="60"/>
      <c r="X740" s="60"/>
      <c r="Y740" s="60"/>
    </row>
    <row r="741" ht="15.75" customHeight="1">
      <c r="A741" s="101"/>
      <c r="B741" s="101"/>
      <c r="C741" s="98"/>
      <c r="D741" s="98"/>
      <c r="E741" s="101"/>
      <c r="F741" s="101"/>
      <c r="G741" s="101"/>
      <c r="H741" s="101"/>
      <c r="I741" s="101"/>
      <c r="J741" s="101"/>
      <c r="K741" s="103"/>
      <c r="L741" s="104"/>
      <c r="M741" s="98"/>
      <c r="N741" s="77"/>
      <c r="O741" s="98"/>
      <c r="P741" s="98"/>
      <c r="Q741" s="98"/>
      <c r="R741" s="98"/>
      <c r="S741" s="98"/>
      <c r="T741" s="98"/>
      <c r="U741" s="98"/>
      <c r="V741" s="98"/>
      <c r="W741" s="60"/>
      <c r="X741" s="60"/>
      <c r="Y741" s="60"/>
    </row>
    <row r="742" ht="15.75" customHeight="1">
      <c r="A742" s="106"/>
      <c r="B742" s="106"/>
      <c r="C742" s="95"/>
      <c r="D742" s="95"/>
      <c r="E742" s="106"/>
      <c r="F742" s="106"/>
      <c r="G742" s="106"/>
      <c r="H742" s="106"/>
      <c r="I742" s="106"/>
      <c r="J742" s="106"/>
      <c r="K742" s="108"/>
      <c r="L742" s="109"/>
      <c r="M742" s="95"/>
      <c r="N742" s="77"/>
      <c r="O742" s="95"/>
      <c r="P742" s="95"/>
      <c r="Q742" s="95"/>
      <c r="R742" s="95"/>
      <c r="S742" s="95"/>
      <c r="T742" s="95"/>
      <c r="U742" s="95"/>
      <c r="V742" s="95"/>
      <c r="W742" s="60"/>
      <c r="X742" s="60"/>
      <c r="Y742" s="60"/>
    </row>
    <row r="743" ht="15.75" customHeight="1">
      <c r="A743" s="101"/>
      <c r="B743" s="101"/>
      <c r="C743" s="98"/>
      <c r="D743" s="98"/>
      <c r="E743" s="101"/>
      <c r="F743" s="101"/>
      <c r="G743" s="101"/>
      <c r="H743" s="101"/>
      <c r="I743" s="101"/>
      <c r="J743" s="101"/>
      <c r="K743" s="103"/>
      <c r="L743" s="104"/>
      <c r="M743" s="98"/>
      <c r="N743" s="77"/>
      <c r="O743" s="98"/>
      <c r="P743" s="98"/>
      <c r="Q743" s="98"/>
      <c r="R743" s="98"/>
      <c r="S743" s="98"/>
      <c r="T743" s="98"/>
      <c r="U743" s="98"/>
      <c r="V743" s="98"/>
      <c r="W743" s="60"/>
      <c r="X743" s="60"/>
      <c r="Y743" s="60"/>
    </row>
    <row r="744" ht="15.75" customHeight="1">
      <c r="A744" s="106"/>
      <c r="B744" s="106"/>
      <c r="C744" s="95"/>
      <c r="D744" s="95"/>
      <c r="E744" s="106"/>
      <c r="F744" s="106"/>
      <c r="G744" s="106"/>
      <c r="H744" s="106"/>
      <c r="I744" s="106"/>
      <c r="J744" s="106"/>
      <c r="K744" s="108"/>
      <c r="L744" s="109"/>
      <c r="M744" s="95"/>
      <c r="N744" s="77"/>
      <c r="O744" s="95"/>
      <c r="P744" s="95"/>
      <c r="Q744" s="95"/>
      <c r="R744" s="95"/>
      <c r="S744" s="95"/>
      <c r="T744" s="95"/>
      <c r="U744" s="95"/>
      <c r="V744" s="95"/>
      <c r="W744" s="60"/>
      <c r="X744" s="60"/>
      <c r="Y744" s="60"/>
    </row>
    <row r="745" ht="15.75" customHeight="1">
      <c r="A745" s="101"/>
      <c r="B745" s="101"/>
      <c r="C745" s="98"/>
      <c r="D745" s="98"/>
      <c r="E745" s="101"/>
      <c r="F745" s="101"/>
      <c r="G745" s="101"/>
      <c r="H745" s="101"/>
      <c r="I745" s="101"/>
      <c r="J745" s="101"/>
      <c r="K745" s="103"/>
      <c r="L745" s="104"/>
      <c r="M745" s="98"/>
      <c r="N745" s="77"/>
      <c r="O745" s="98"/>
      <c r="P745" s="98"/>
      <c r="Q745" s="98"/>
      <c r="R745" s="98"/>
      <c r="S745" s="98"/>
      <c r="T745" s="98"/>
      <c r="U745" s="98"/>
      <c r="V745" s="98"/>
      <c r="W745" s="60"/>
      <c r="X745" s="60"/>
      <c r="Y745" s="60"/>
    </row>
    <row r="746" ht="15.75" customHeight="1">
      <c r="A746" s="106"/>
      <c r="B746" s="106"/>
      <c r="C746" s="95"/>
      <c r="D746" s="95"/>
      <c r="E746" s="106"/>
      <c r="F746" s="106"/>
      <c r="G746" s="106"/>
      <c r="H746" s="106"/>
      <c r="I746" s="106"/>
      <c r="J746" s="106"/>
      <c r="K746" s="108"/>
      <c r="L746" s="109"/>
      <c r="M746" s="95"/>
      <c r="N746" s="77"/>
      <c r="O746" s="95"/>
      <c r="P746" s="95"/>
      <c r="Q746" s="95"/>
      <c r="R746" s="95"/>
      <c r="S746" s="95"/>
      <c r="T746" s="95"/>
      <c r="U746" s="95"/>
      <c r="V746" s="95"/>
      <c r="W746" s="60"/>
      <c r="X746" s="60"/>
      <c r="Y746" s="60"/>
    </row>
    <row r="747" ht="15.75" customHeight="1">
      <c r="A747" s="101"/>
      <c r="B747" s="101"/>
      <c r="C747" s="98"/>
      <c r="D747" s="98"/>
      <c r="E747" s="101"/>
      <c r="F747" s="101"/>
      <c r="G747" s="101"/>
      <c r="H747" s="101"/>
      <c r="I747" s="101"/>
      <c r="J747" s="101"/>
      <c r="K747" s="103"/>
      <c r="L747" s="104"/>
      <c r="M747" s="98"/>
      <c r="N747" s="77"/>
      <c r="O747" s="98"/>
      <c r="P747" s="98"/>
      <c r="Q747" s="98"/>
      <c r="R747" s="98"/>
      <c r="S747" s="98"/>
      <c r="T747" s="98"/>
      <c r="U747" s="98"/>
      <c r="V747" s="98"/>
      <c r="W747" s="60"/>
      <c r="X747" s="60"/>
      <c r="Y747" s="60"/>
    </row>
    <row r="748" ht="15.75" customHeight="1">
      <c r="A748" s="106"/>
      <c r="B748" s="106"/>
      <c r="C748" s="95"/>
      <c r="D748" s="95"/>
      <c r="E748" s="106"/>
      <c r="F748" s="106"/>
      <c r="G748" s="106"/>
      <c r="H748" s="106"/>
      <c r="I748" s="106"/>
      <c r="J748" s="106"/>
      <c r="K748" s="108"/>
      <c r="L748" s="109"/>
      <c r="M748" s="95"/>
      <c r="N748" s="77"/>
      <c r="O748" s="95"/>
      <c r="P748" s="95"/>
      <c r="Q748" s="95"/>
      <c r="R748" s="95"/>
      <c r="S748" s="95"/>
      <c r="T748" s="95"/>
      <c r="U748" s="95"/>
      <c r="V748" s="95"/>
      <c r="W748" s="60"/>
      <c r="X748" s="60"/>
      <c r="Y748" s="60"/>
    </row>
    <row r="749" ht="15.75" customHeight="1">
      <c r="A749" s="101"/>
      <c r="B749" s="101"/>
      <c r="C749" s="98"/>
      <c r="D749" s="98"/>
      <c r="E749" s="101"/>
      <c r="F749" s="101"/>
      <c r="G749" s="101"/>
      <c r="H749" s="101"/>
      <c r="I749" s="101"/>
      <c r="J749" s="101"/>
      <c r="K749" s="103"/>
      <c r="L749" s="104"/>
      <c r="M749" s="98"/>
      <c r="N749" s="77"/>
      <c r="O749" s="98"/>
      <c r="P749" s="98"/>
      <c r="Q749" s="98"/>
      <c r="R749" s="98"/>
      <c r="S749" s="98"/>
      <c r="T749" s="98"/>
      <c r="U749" s="98"/>
      <c r="V749" s="98"/>
      <c r="W749" s="60"/>
      <c r="X749" s="60"/>
      <c r="Y749" s="60"/>
    </row>
    <row r="750" ht="15.75" customHeight="1">
      <c r="A750" s="106"/>
      <c r="B750" s="106"/>
      <c r="C750" s="95"/>
      <c r="D750" s="95"/>
      <c r="E750" s="106"/>
      <c r="F750" s="106"/>
      <c r="G750" s="106"/>
      <c r="H750" s="106"/>
      <c r="I750" s="106"/>
      <c r="J750" s="106"/>
      <c r="K750" s="108"/>
      <c r="L750" s="109"/>
      <c r="M750" s="95"/>
      <c r="N750" s="77"/>
      <c r="O750" s="95"/>
      <c r="P750" s="95"/>
      <c r="Q750" s="95"/>
      <c r="R750" s="95"/>
      <c r="S750" s="95"/>
      <c r="T750" s="95"/>
      <c r="U750" s="95"/>
      <c r="V750" s="95"/>
      <c r="W750" s="60"/>
      <c r="X750" s="60"/>
      <c r="Y750" s="60"/>
    </row>
    <row r="751" ht="15.75" customHeight="1">
      <c r="A751" s="101"/>
      <c r="B751" s="101"/>
      <c r="C751" s="98"/>
      <c r="D751" s="98"/>
      <c r="E751" s="101"/>
      <c r="F751" s="101"/>
      <c r="G751" s="101"/>
      <c r="H751" s="101"/>
      <c r="I751" s="101"/>
      <c r="J751" s="101"/>
      <c r="K751" s="103"/>
      <c r="L751" s="104"/>
      <c r="M751" s="98"/>
      <c r="N751" s="77"/>
      <c r="O751" s="98"/>
      <c r="P751" s="98"/>
      <c r="Q751" s="98"/>
      <c r="R751" s="98"/>
      <c r="S751" s="98"/>
      <c r="T751" s="98"/>
      <c r="U751" s="98"/>
      <c r="V751" s="98"/>
      <c r="W751" s="60"/>
      <c r="X751" s="60"/>
      <c r="Y751" s="60"/>
    </row>
    <row r="752" ht="15.75" customHeight="1">
      <c r="A752" s="106"/>
      <c r="B752" s="106"/>
      <c r="C752" s="95"/>
      <c r="D752" s="95"/>
      <c r="E752" s="106"/>
      <c r="F752" s="106"/>
      <c r="G752" s="106"/>
      <c r="H752" s="106"/>
      <c r="I752" s="106"/>
      <c r="J752" s="106"/>
      <c r="K752" s="108"/>
      <c r="L752" s="109"/>
      <c r="M752" s="95"/>
      <c r="N752" s="77"/>
      <c r="O752" s="95"/>
      <c r="P752" s="95"/>
      <c r="Q752" s="95"/>
      <c r="R752" s="95"/>
      <c r="S752" s="95"/>
      <c r="T752" s="95"/>
      <c r="U752" s="95"/>
      <c r="V752" s="95"/>
      <c r="W752" s="60"/>
      <c r="X752" s="60"/>
      <c r="Y752" s="60"/>
    </row>
    <row r="753" ht="15.75" customHeight="1">
      <c r="A753" s="101"/>
      <c r="B753" s="101"/>
      <c r="C753" s="98"/>
      <c r="D753" s="98"/>
      <c r="E753" s="101"/>
      <c r="F753" s="101"/>
      <c r="G753" s="101"/>
      <c r="H753" s="101"/>
      <c r="I753" s="101"/>
      <c r="J753" s="101"/>
      <c r="K753" s="103"/>
      <c r="L753" s="104"/>
      <c r="M753" s="98"/>
      <c r="N753" s="77"/>
      <c r="O753" s="98"/>
      <c r="P753" s="98"/>
      <c r="Q753" s="98"/>
      <c r="R753" s="98"/>
      <c r="S753" s="98"/>
      <c r="T753" s="98"/>
      <c r="U753" s="98"/>
      <c r="V753" s="98"/>
      <c r="W753" s="60"/>
      <c r="X753" s="60"/>
      <c r="Y753" s="60"/>
    </row>
    <row r="754" ht="15.75" customHeight="1">
      <c r="A754" s="106"/>
      <c r="B754" s="106"/>
      <c r="C754" s="95"/>
      <c r="D754" s="95"/>
      <c r="E754" s="106"/>
      <c r="F754" s="106"/>
      <c r="G754" s="106"/>
      <c r="H754" s="106"/>
      <c r="I754" s="106"/>
      <c r="J754" s="106"/>
      <c r="K754" s="108"/>
      <c r="L754" s="109"/>
      <c r="M754" s="95"/>
      <c r="N754" s="77"/>
      <c r="O754" s="95"/>
      <c r="P754" s="95"/>
      <c r="Q754" s="95"/>
      <c r="R754" s="95"/>
      <c r="S754" s="95"/>
      <c r="T754" s="95"/>
      <c r="U754" s="95"/>
      <c r="V754" s="95"/>
      <c r="W754" s="60"/>
      <c r="X754" s="60"/>
      <c r="Y754" s="60"/>
    </row>
    <row r="755" ht="15.75" customHeight="1">
      <c r="A755" s="101"/>
      <c r="B755" s="101"/>
      <c r="C755" s="98"/>
      <c r="D755" s="98"/>
      <c r="E755" s="101"/>
      <c r="F755" s="101"/>
      <c r="G755" s="101"/>
      <c r="H755" s="101"/>
      <c r="I755" s="101"/>
      <c r="J755" s="101"/>
      <c r="K755" s="103"/>
      <c r="L755" s="104"/>
      <c r="M755" s="98"/>
      <c r="N755" s="77"/>
      <c r="O755" s="98"/>
      <c r="P755" s="98"/>
      <c r="Q755" s="98"/>
      <c r="R755" s="98"/>
      <c r="S755" s="98"/>
      <c r="T755" s="98"/>
      <c r="U755" s="98"/>
      <c r="V755" s="98"/>
      <c r="W755" s="60"/>
      <c r="X755" s="60"/>
      <c r="Y755" s="60"/>
    </row>
    <row r="756" ht="15.75" customHeight="1">
      <c r="A756" s="106"/>
      <c r="B756" s="106"/>
      <c r="C756" s="95"/>
      <c r="D756" s="95"/>
      <c r="E756" s="106"/>
      <c r="F756" s="106"/>
      <c r="G756" s="106"/>
      <c r="H756" s="106"/>
      <c r="I756" s="106"/>
      <c r="J756" s="106"/>
      <c r="K756" s="108"/>
      <c r="L756" s="109"/>
      <c r="M756" s="95"/>
      <c r="N756" s="77"/>
      <c r="O756" s="95"/>
      <c r="P756" s="95"/>
      <c r="Q756" s="95"/>
      <c r="R756" s="95"/>
      <c r="S756" s="95"/>
      <c r="T756" s="95"/>
      <c r="U756" s="95"/>
      <c r="V756" s="95"/>
      <c r="W756" s="60"/>
      <c r="X756" s="60"/>
      <c r="Y756" s="60"/>
    </row>
    <row r="757" ht="15.75" customHeight="1">
      <c r="A757" s="101"/>
      <c r="B757" s="101"/>
      <c r="C757" s="98"/>
      <c r="D757" s="98"/>
      <c r="E757" s="101"/>
      <c r="F757" s="101"/>
      <c r="G757" s="101"/>
      <c r="H757" s="101"/>
      <c r="I757" s="101"/>
      <c r="J757" s="101"/>
      <c r="K757" s="103"/>
      <c r="L757" s="104"/>
      <c r="M757" s="98"/>
      <c r="N757" s="77"/>
      <c r="O757" s="98"/>
      <c r="P757" s="98"/>
      <c r="Q757" s="98"/>
      <c r="R757" s="98"/>
      <c r="S757" s="98"/>
      <c r="T757" s="98"/>
      <c r="U757" s="98"/>
      <c r="V757" s="98"/>
      <c r="W757" s="60"/>
      <c r="X757" s="60"/>
      <c r="Y757" s="60"/>
    </row>
    <row r="758" ht="15.75" customHeight="1">
      <c r="A758" s="106"/>
      <c r="B758" s="106"/>
      <c r="C758" s="95"/>
      <c r="D758" s="95"/>
      <c r="E758" s="106"/>
      <c r="F758" s="106"/>
      <c r="G758" s="106"/>
      <c r="H758" s="106"/>
      <c r="I758" s="106"/>
      <c r="J758" s="106"/>
      <c r="K758" s="108"/>
      <c r="L758" s="109"/>
      <c r="M758" s="95"/>
      <c r="N758" s="77"/>
      <c r="O758" s="95"/>
      <c r="P758" s="95"/>
      <c r="Q758" s="95"/>
      <c r="R758" s="95"/>
      <c r="S758" s="95"/>
      <c r="T758" s="95"/>
      <c r="U758" s="95"/>
      <c r="V758" s="95"/>
      <c r="W758" s="60"/>
      <c r="X758" s="60"/>
      <c r="Y758" s="60"/>
    </row>
    <row r="759" ht="15.75" customHeight="1">
      <c r="A759" s="101"/>
      <c r="B759" s="101"/>
      <c r="C759" s="98"/>
      <c r="D759" s="98"/>
      <c r="E759" s="101"/>
      <c r="F759" s="101"/>
      <c r="G759" s="101"/>
      <c r="H759" s="101"/>
      <c r="I759" s="101"/>
      <c r="J759" s="101"/>
      <c r="K759" s="103"/>
      <c r="L759" s="104"/>
      <c r="M759" s="98"/>
      <c r="N759" s="77"/>
      <c r="O759" s="98"/>
      <c r="P759" s="98"/>
      <c r="Q759" s="98"/>
      <c r="R759" s="98"/>
      <c r="S759" s="98"/>
      <c r="T759" s="98"/>
      <c r="U759" s="98"/>
      <c r="V759" s="98"/>
      <c r="W759" s="60"/>
      <c r="X759" s="60"/>
      <c r="Y759" s="60"/>
    </row>
    <row r="760" ht="15.75" customHeight="1">
      <c r="A760" s="106"/>
      <c r="B760" s="106"/>
      <c r="C760" s="95"/>
      <c r="D760" s="95"/>
      <c r="E760" s="106"/>
      <c r="F760" s="106"/>
      <c r="G760" s="106"/>
      <c r="H760" s="106"/>
      <c r="I760" s="106"/>
      <c r="J760" s="106"/>
      <c r="K760" s="108"/>
      <c r="L760" s="109"/>
      <c r="M760" s="95"/>
      <c r="N760" s="77"/>
      <c r="O760" s="95"/>
      <c r="P760" s="95"/>
      <c r="Q760" s="95"/>
      <c r="R760" s="95"/>
      <c r="S760" s="95"/>
      <c r="T760" s="95"/>
      <c r="U760" s="95"/>
      <c r="V760" s="95"/>
      <c r="W760" s="60"/>
      <c r="X760" s="60"/>
      <c r="Y760" s="60"/>
    </row>
    <row r="761" ht="15.75" customHeight="1">
      <c r="A761" s="101"/>
      <c r="B761" s="101"/>
      <c r="C761" s="98"/>
      <c r="D761" s="98"/>
      <c r="E761" s="101"/>
      <c r="F761" s="101"/>
      <c r="G761" s="101"/>
      <c r="H761" s="101"/>
      <c r="I761" s="101"/>
      <c r="J761" s="101"/>
      <c r="K761" s="103"/>
      <c r="L761" s="104"/>
      <c r="M761" s="98"/>
      <c r="N761" s="77"/>
      <c r="O761" s="98"/>
      <c r="P761" s="98"/>
      <c r="Q761" s="98"/>
      <c r="R761" s="98"/>
      <c r="S761" s="98"/>
      <c r="T761" s="98"/>
      <c r="U761" s="98"/>
      <c r="V761" s="98"/>
      <c r="W761" s="60"/>
      <c r="X761" s="60"/>
      <c r="Y761" s="60"/>
    </row>
    <row r="762" ht="15.75" customHeight="1">
      <c r="A762" s="106"/>
      <c r="B762" s="106"/>
      <c r="C762" s="95"/>
      <c r="D762" s="95"/>
      <c r="E762" s="106"/>
      <c r="F762" s="106"/>
      <c r="G762" s="106"/>
      <c r="H762" s="106"/>
      <c r="I762" s="106"/>
      <c r="J762" s="106"/>
      <c r="K762" s="108"/>
      <c r="L762" s="109"/>
      <c r="M762" s="95"/>
      <c r="N762" s="77"/>
      <c r="O762" s="95"/>
      <c r="P762" s="95"/>
      <c r="Q762" s="95"/>
      <c r="R762" s="95"/>
      <c r="S762" s="95"/>
      <c r="T762" s="95"/>
      <c r="U762" s="95"/>
      <c r="V762" s="95"/>
      <c r="W762" s="60"/>
      <c r="X762" s="60"/>
      <c r="Y762" s="60"/>
    </row>
    <row r="763" ht="15.75" customHeight="1">
      <c r="A763" s="101"/>
      <c r="B763" s="101"/>
      <c r="C763" s="98"/>
      <c r="D763" s="98"/>
      <c r="E763" s="101"/>
      <c r="F763" s="101"/>
      <c r="G763" s="101"/>
      <c r="H763" s="101"/>
      <c r="I763" s="101"/>
      <c r="J763" s="101"/>
      <c r="K763" s="103"/>
      <c r="L763" s="104"/>
      <c r="M763" s="98"/>
      <c r="N763" s="77"/>
      <c r="O763" s="98"/>
      <c r="P763" s="98"/>
      <c r="Q763" s="98"/>
      <c r="R763" s="98"/>
      <c r="S763" s="98"/>
      <c r="T763" s="98"/>
      <c r="U763" s="98"/>
      <c r="V763" s="98"/>
      <c r="W763" s="60"/>
      <c r="X763" s="60"/>
      <c r="Y763" s="60"/>
    </row>
    <row r="764" ht="15.75" customHeight="1">
      <c r="A764" s="106"/>
      <c r="B764" s="106"/>
      <c r="C764" s="95"/>
      <c r="D764" s="95"/>
      <c r="E764" s="106"/>
      <c r="F764" s="106"/>
      <c r="G764" s="106"/>
      <c r="H764" s="106"/>
      <c r="I764" s="106"/>
      <c r="J764" s="106"/>
      <c r="K764" s="108"/>
      <c r="L764" s="109"/>
      <c r="M764" s="95"/>
      <c r="N764" s="77"/>
      <c r="O764" s="95"/>
      <c r="P764" s="95"/>
      <c r="Q764" s="95"/>
      <c r="R764" s="95"/>
      <c r="S764" s="95"/>
      <c r="T764" s="95"/>
      <c r="U764" s="95"/>
      <c r="V764" s="95"/>
      <c r="W764" s="60"/>
      <c r="X764" s="60"/>
      <c r="Y764" s="60"/>
    </row>
    <row r="765" ht="15.75" customHeight="1">
      <c r="A765" s="101"/>
      <c r="B765" s="101"/>
      <c r="C765" s="98"/>
      <c r="D765" s="98"/>
      <c r="E765" s="101"/>
      <c r="F765" s="101"/>
      <c r="G765" s="101"/>
      <c r="H765" s="101"/>
      <c r="I765" s="101"/>
      <c r="J765" s="101"/>
      <c r="K765" s="103"/>
      <c r="L765" s="104"/>
      <c r="M765" s="98"/>
      <c r="N765" s="77"/>
      <c r="O765" s="98"/>
      <c r="P765" s="98"/>
      <c r="Q765" s="98"/>
      <c r="R765" s="98"/>
      <c r="S765" s="98"/>
      <c r="T765" s="98"/>
      <c r="U765" s="98"/>
      <c r="V765" s="98"/>
      <c r="W765" s="60"/>
      <c r="X765" s="60"/>
      <c r="Y765" s="60"/>
    </row>
    <row r="766" ht="15.75" customHeight="1">
      <c r="A766" s="106"/>
      <c r="B766" s="106"/>
      <c r="C766" s="95"/>
      <c r="D766" s="95"/>
      <c r="E766" s="106"/>
      <c r="F766" s="106"/>
      <c r="G766" s="106"/>
      <c r="H766" s="106"/>
      <c r="I766" s="106"/>
      <c r="J766" s="106"/>
      <c r="K766" s="108"/>
      <c r="L766" s="109"/>
      <c r="M766" s="95"/>
      <c r="N766" s="77"/>
      <c r="O766" s="95"/>
      <c r="P766" s="95"/>
      <c r="Q766" s="95"/>
      <c r="R766" s="95"/>
      <c r="S766" s="95"/>
      <c r="T766" s="95"/>
      <c r="U766" s="95"/>
      <c r="V766" s="95"/>
      <c r="W766" s="60"/>
      <c r="X766" s="60"/>
      <c r="Y766" s="60"/>
    </row>
    <row r="767" ht="15.75" customHeight="1">
      <c r="A767" s="101"/>
      <c r="B767" s="101"/>
      <c r="C767" s="98"/>
      <c r="D767" s="98"/>
      <c r="E767" s="101"/>
      <c r="F767" s="101"/>
      <c r="G767" s="101"/>
      <c r="H767" s="101"/>
      <c r="I767" s="101"/>
      <c r="J767" s="101"/>
      <c r="K767" s="103"/>
      <c r="L767" s="104"/>
      <c r="M767" s="98"/>
      <c r="N767" s="77"/>
      <c r="O767" s="98"/>
      <c r="P767" s="98"/>
      <c r="Q767" s="98"/>
      <c r="R767" s="98"/>
      <c r="S767" s="98"/>
      <c r="T767" s="98"/>
      <c r="U767" s="98"/>
      <c r="V767" s="98"/>
      <c r="W767" s="60"/>
      <c r="X767" s="60"/>
      <c r="Y767" s="60"/>
    </row>
    <row r="768" ht="15.75" customHeight="1">
      <c r="A768" s="106"/>
      <c r="B768" s="106"/>
      <c r="C768" s="95"/>
      <c r="D768" s="95"/>
      <c r="E768" s="106"/>
      <c r="F768" s="106"/>
      <c r="G768" s="106"/>
      <c r="H768" s="106"/>
      <c r="I768" s="106"/>
      <c r="J768" s="106"/>
      <c r="K768" s="108"/>
      <c r="L768" s="109"/>
      <c r="M768" s="95"/>
      <c r="N768" s="77"/>
      <c r="O768" s="95"/>
      <c r="P768" s="95"/>
      <c r="Q768" s="95"/>
      <c r="R768" s="95"/>
      <c r="S768" s="95"/>
      <c r="T768" s="95"/>
      <c r="U768" s="95"/>
      <c r="V768" s="95"/>
      <c r="W768" s="60"/>
      <c r="X768" s="60"/>
      <c r="Y768" s="60"/>
    </row>
    <row r="769" ht="15.75" customHeight="1">
      <c r="A769" s="101"/>
      <c r="B769" s="101"/>
      <c r="C769" s="98"/>
      <c r="D769" s="98"/>
      <c r="E769" s="101"/>
      <c r="F769" s="101"/>
      <c r="G769" s="101"/>
      <c r="H769" s="101"/>
      <c r="I769" s="101"/>
      <c r="J769" s="101"/>
      <c r="K769" s="103"/>
      <c r="L769" s="104"/>
      <c r="M769" s="98"/>
      <c r="N769" s="77"/>
      <c r="O769" s="98"/>
      <c r="P769" s="98"/>
      <c r="Q769" s="98"/>
      <c r="R769" s="98"/>
      <c r="S769" s="98"/>
      <c r="T769" s="98"/>
      <c r="U769" s="98"/>
      <c r="V769" s="98"/>
      <c r="W769" s="60"/>
      <c r="X769" s="60"/>
      <c r="Y769" s="60"/>
    </row>
    <row r="770" ht="15.75" customHeight="1">
      <c r="A770" s="106"/>
      <c r="B770" s="106"/>
      <c r="C770" s="95"/>
      <c r="D770" s="95"/>
      <c r="E770" s="106"/>
      <c r="F770" s="106"/>
      <c r="G770" s="106"/>
      <c r="H770" s="106"/>
      <c r="I770" s="106"/>
      <c r="J770" s="106"/>
      <c r="K770" s="108"/>
      <c r="L770" s="109"/>
      <c r="M770" s="95"/>
      <c r="N770" s="77"/>
      <c r="O770" s="95"/>
      <c r="P770" s="95"/>
      <c r="Q770" s="95"/>
      <c r="R770" s="95"/>
      <c r="S770" s="95"/>
      <c r="T770" s="95"/>
      <c r="U770" s="95"/>
      <c r="V770" s="95"/>
      <c r="W770" s="60"/>
      <c r="X770" s="60"/>
      <c r="Y770" s="60"/>
    </row>
    <row r="771" ht="15.75" customHeight="1">
      <c r="A771" s="101"/>
      <c r="B771" s="101"/>
      <c r="C771" s="98"/>
      <c r="D771" s="98"/>
      <c r="E771" s="101"/>
      <c r="F771" s="101"/>
      <c r="G771" s="101"/>
      <c r="H771" s="101"/>
      <c r="I771" s="101"/>
      <c r="J771" s="101"/>
      <c r="K771" s="103"/>
      <c r="L771" s="104"/>
      <c r="M771" s="98"/>
      <c r="N771" s="77"/>
      <c r="O771" s="98"/>
      <c r="P771" s="98"/>
      <c r="Q771" s="98"/>
      <c r="R771" s="98"/>
      <c r="S771" s="98"/>
      <c r="T771" s="98"/>
      <c r="U771" s="98"/>
      <c r="V771" s="98"/>
      <c r="W771" s="60"/>
      <c r="X771" s="60"/>
      <c r="Y771" s="60"/>
    </row>
    <row r="772" ht="15.75" customHeight="1">
      <c r="A772" s="106"/>
      <c r="B772" s="106"/>
      <c r="C772" s="95"/>
      <c r="D772" s="95"/>
      <c r="E772" s="106"/>
      <c r="F772" s="106"/>
      <c r="G772" s="106"/>
      <c r="H772" s="106"/>
      <c r="I772" s="106"/>
      <c r="J772" s="106"/>
      <c r="K772" s="108"/>
      <c r="L772" s="109"/>
      <c r="M772" s="95"/>
      <c r="N772" s="77"/>
      <c r="O772" s="95"/>
      <c r="P772" s="95"/>
      <c r="Q772" s="95"/>
      <c r="R772" s="95"/>
      <c r="S772" s="95"/>
      <c r="T772" s="95"/>
      <c r="U772" s="95"/>
      <c r="V772" s="95"/>
      <c r="W772" s="60"/>
      <c r="X772" s="60"/>
      <c r="Y772" s="60"/>
    </row>
    <row r="773" ht="15.75" customHeight="1">
      <c r="A773" s="101"/>
      <c r="B773" s="101"/>
      <c r="C773" s="98"/>
      <c r="D773" s="98"/>
      <c r="E773" s="101"/>
      <c r="F773" s="101"/>
      <c r="G773" s="101"/>
      <c r="H773" s="101"/>
      <c r="I773" s="101"/>
      <c r="J773" s="101"/>
      <c r="K773" s="103"/>
      <c r="L773" s="104"/>
      <c r="M773" s="98"/>
      <c r="N773" s="77"/>
      <c r="O773" s="98"/>
      <c r="P773" s="98"/>
      <c r="Q773" s="98"/>
      <c r="R773" s="98"/>
      <c r="S773" s="98"/>
      <c r="T773" s="98"/>
      <c r="U773" s="98"/>
      <c r="V773" s="98"/>
      <c r="W773" s="60"/>
      <c r="X773" s="60"/>
      <c r="Y773" s="60"/>
    </row>
    <row r="774" ht="15.75" customHeight="1">
      <c r="A774" s="106"/>
      <c r="B774" s="106"/>
      <c r="C774" s="95"/>
      <c r="D774" s="95"/>
      <c r="E774" s="106"/>
      <c r="F774" s="106"/>
      <c r="G774" s="106"/>
      <c r="H774" s="106"/>
      <c r="I774" s="106"/>
      <c r="J774" s="106"/>
      <c r="K774" s="108"/>
      <c r="L774" s="109"/>
      <c r="M774" s="95"/>
      <c r="N774" s="77"/>
      <c r="O774" s="95"/>
      <c r="P774" s="95"/>
      <c r="Q774" s="95"/>
      <c r="R774" s="95"/>
      <c r="S774" s="95"/>
      <c r="T774" s="95"/>
      <c r="U774" s="95"/>
      <c r="V774" s="95"/>
      <c r="W774" s="60"/>
      <c r="X774" s="60"/>
      <c r="Y774" s="60"/>
    </row>
    <row r="775" ht="15.75" customHeight="1">
      <c r="A775" s="101"/>
      <c r="B775" s="101"/>
      <c r="C775" s="98"/>
      <c r="D775" s="98"/>
      <c r="E775" s="101"/>
      <c r="F775" s="101"/>
      <c r="G775" s="101"/>
      <c r="H775" s="101"/>
      <c r="I775" s="101"/>
      <c r="J775" s="101"/>
      <c r="K775" s="103"/>
      <c r="L775" s="104"/>
      <c r="M775" s="98"/>
      <c r="N775" s="77"/>
      <c r="O775" s="98"/>
      <c r="P775" s="98"/>
      <c r="Q775" s="98"/>
      <c r="R775" s="98"/>
      <c r="S775" s="98"/>
      <c r="T775" s="98"/>
      <c r="U775" s="98"/>
      <c r="V775" s="98"/>
      <c r="W775" s="60"/>
      <c r="X775" s="60"/>
      <c r="Y775" s="60"/>
    </row>
    <row r="776" ht="15.75" customHeight="1">
      <c r="A776" s="106"/>
      <c r="B776" s="106"/>
      <c r="C776" s="95"/>
      <c r="D776" s="95"/>
      <c r="E776" s="106"/>
      <c r="F776" s="106"/>
      <c r="G776" s="106"/>
      <c r="H776" s="106"/>
      <c r="I776" s="106"/>
      <c r="J776" s="106"/>
      <c r="K776" s="108"/>
      <c r="L776" s="109"/>
      <c r="M776" s="95"/>
      <c r="N776" s="77"/>
      <c r="O776" s="95"/>
      <c r="P776" s="95"/>
      <c r="Q776" s="95"/>
      <c r="R776" s="95"/>
      <c r="S776" s="95"/>
      <c r="T776" s="95"/>
      <c r="U776" s="95"/>
      <c r="V776" s="95"/>
      <c r="W776" s="60"/>
      <c r="X776" s="60"/>
      <c r="Y776" s="60"/>
    </row>
    <row r="777" ht="15.75" customHeight="1">
      <c r="A777" s="101"/>
      <c r="B777" s="101"/>
      <c r="C777" s="98"/>
      <c r="D777" s="98"/>
      <c r="E777" s="101"/>
      <c r="F777" s="101"/>
      <c r="G777" s="101"/>
      <c r="H777" s="101"/>
      <c r="I777" s="101"/>
      <c r="J777" s="101"/>
      <c r="K777" s="103"/>
      <c r="L777" s="104"/>
      <c r="M777" s="98"/>
      <c r="N777" s="77"/>
      <c r="O777" s="98"/>
      <c r="P777" s="98"/>
      <c r="Q777" s="98"/>
      <c r="R777" s="98"/>
      <c r="S777" s="98"/>
      <c r="T777" s="98"/>
      <c r="U777" s="98"/>
      <c r="V777" s="98"/>
      <c r="W777" s="60"/>
      <c r="X777" s="60"/>
      <c r="Y777" s="60"/>
    </row>
    <row r="778" ht="15.75" customHeight="1">
      <c r="A778" s="106"/>
      <c r="B778" s="106"/>
      <c r="C778" s="95"/>
      <c r="D778" s="95"/>
      <c r="E778" s="106"/>
      <c r="F778" s="106"/>
      <c r="G778" s="106"/>
      <c r="H778" s="106"/>
      <c r="I778" s="106"/>
      <c r="J778" s="106"/>
      <c r="K778" s="108"/>
      <c r="L778" s="109"/>
      <c r="M778" s="95"/>
      <c r="N778" s="77"/>
      <c r="O778" s="95"/>
      <c r="P778" s="95"/>
      <c r="Q778" s="95"/>
      <c r="R778" s="95"/>
      <c r="S778" s="95"/>
      <c r="T778" s="95"/>
      <c r="U778" s="95"/>
      <c r="V778" s="95"/>
      <c r="W778" s="60"/>
      <c r="X778" s="60"/>
      <c r="Y778" s="60"/>
    </row>
    <row r="779" ht="15.75" customHeight="1">
      <c r="A779" s="101"/>
      <c r="B779" s="101"/>
      <c r="C779" s="98"/>
      <c r="D779" s="98"/>
      <c r="E779" s="101"/>
      <c r="F779" s="101"/>
      <c r="G779" s="101"/>
      <c r="H779" s="101"/>
      <c r="I779" s="101"/>
      <c r="J779" s="101"/>
      <c r="K779" s="103"/>
      <c r="L779" s="104"/>
      <c r="M779" s="98"/>
      <c r="N779" s="77"/>
      <c r="O779" s="98"/>
      <c r="P779" s="98"/>
      <c r="Q779" s="98"/>
      <c r="R779" s="98"/>
      <c r="S779" s="98"/>
      <c r="T779" s="98"/>
      <c r="U779" s="98"/>
      <c r="V779" s="98"/>
      <c r="W779" s="60"/>
      <c r="X779" s="60"/>
      <c r="Y779" s="60"/>
    </row>
    <row r="780" ht="15.75" customHeight="1">
      <c r="A780" s="106"/>
      <c r="B780" s="106"/>
      <c r="C780" s="95"/>
      <c r="D780" s="95"/>
      <c r="E780" s="106"/>
      <c r="F780" s="106"/>
      <c r="G780" s="106"/>
      <c r="H780" s="106"/>
      <c r="I780" s="106"/>
      <c r="J780" s="106"/>
      <c r="K780" s="108"/>
      <c r="L780" s="109"/>
      <c r="M780" s="95"/>
      <c r="N780" s="77"/>
      <c r="O780" s="95"/>
      <c r="P780" s="95"/>
      <c r="Q780" s="95"/>
      <c r="R780" s="95"/>
      <c r="S780" s="95"/>
      <c r="T780" s="95"/>
      <c r="U780" s="95"/>
      <c r="V780" s="95"/>
      <c r="W780" s="60"/>
      <c r="X780" s="60"/>
      <c r="Y780" s="60"/>
    </row>
    <row r="781" ht="15.75" customHeight="1">
      <c r="A781" s="101"/>
      <c r="B781" s="101"/>
      <c r="C781" s="98"/>
      <c r="D781" s="98"/>
      <c r="E781" s="101"/>
      <c r="F781" s="101"/>
      <c r="G781" s="101"/>
      <c r="H781" s="101"/>
      <c r="I781" s="101"/>
      <c r="J781" s="101"/>
      <c r="K781" s="103"/>
      <c r="L781" s="104"/>
      <c r="M781" s="98"/>
      <c r="N781" s="77"/>
      <c r="O781" s="98"/>
      <c r="P781" s="98"/>
      <c r="Q781" s="98"/>
      <c r="R781" s="98"/>
      <c r="S781" s="98"/>
      <c r="T781" s="98"/>
      <c r="U781" s="98"/>
      <c r="V781" s="98"/>
      <c r="W781" s="60"/>
      <c r="X781" s="60"/>
      <c r="Y781" s="60"/>
    </row>
    <row r="782" ht="15.75" customHeight="1">
      <c r="A782" s="106"/>
      <c r="B782" s="106"/>
      <c r="C782" s="95"/>
      <c r="D782" s="95"/>
      <c r="E782" s="106"/>
      <c r="F782" s="106"/>
      <c r="G782" s="106"/>
      <c r="H782" s="106"/>
      <c r="I782" s="106"/>
      <c r="J782" s="106"/>
      <c r="K782" s="108"/>
      <c r="L782" s="109"/>
      <c r="M782" s="95"/>
      <c r="N782" s="77"/>
      <c r="O782" s="95"/>
      <c r="P782" s="95"/>
      <c r="Q782" s="95"/>
      <c r="R782" s="95"/>
      <c r="S782" s="95"/>
      <c r="T782" s="95"/>
      <c r="U782" s="95"/>
      <c r="V782" s="95"/>
      <c r="W782" s="60"/>
      <c r="X782" s="60"/>
      <c r="Y782" s="60"/>
    </row>
    <row r="783" ht="15.75" customHeight="1">
      <c r="A783" s="101"/>
      <c r="B783" s="101"/>
      <c r="C783" s="98"/>
      <c r="D783" s="98"/>
      <c r="E783" s="101"/>
      <c r="F783" s="101"/>
      <c r="G783" s="101"/>
      <c r="H783" s="101"/>
      <c r="I783" s="101"/>
      <c r="J783" s="101"/>
      <c r="K783" s="103"/>
      <c r="L783" s="104"/>
      <c r="M783" s="98"/>
      <c r="N783" s="77"/>
      <c r="O783" s="98"/>
      <c r="P783" s="98"/>
      <c r="Q783" s="98"/>
      <c r="R783" s="98"/>
      <c r="S783" s="98"/>
      <c r="T783" s="98"/>
      <c r="U783" s="98"/>
      <c r="V783" s="98"/>
      <c r="W783" s="60"/>
      <c r="X783" s="60"/>
      <c r="Y783" s="60"/>
    </row>
    <row r="784" ht="15.75" customHeight="1">
      <c r="A784" s="106"/>
      <c r="B784" s="106"/>
      <c r="C784" s="95"/>
      <c r="D784" s="95"/>
      <c r="E784" s="106"/>
      <c r="F784" s="106"/>
      <c r="G784" s="106"/>
      <c r="H784" s="106"/>
      <c r="I784" s="106"/>
      <c r="J784" s="106"/>
      <c r="K784" s="108"/>
      <c r="L784" s="109"/>
      <c r="M784" s="95"/>
      <c r="N784" s="77"/>
      <c r="O784" s="95"/>
      <c r="P784" s="95"/>
      <c r="Q784" s="95"/>
      <c r="R784" s="95"/>
      <c r="S784" s="95"/>
      <c r="T784" s="95"/>
      <c r="U784" s="95"/>
      <c r="V784" s="95"/>
      <c r="W784" s="60"/>
      <c r="X784" s="60"/>
      <c r="Y784" s="60"/>
    </row>
    <row r="785" ht="15.75" customHeight="1">
      <c r="A785" s="101"/>
      <c r="B785" s="101"/>
      <c r="C785" s="98"/>
      <c r="D785" s="98"/>
      <c r="E785" s="101"/>
      <c r="F785" s="101"/>
      <c r="G785" s="101"/>
      <c r="H785" s="101"/>
      <c r="I785" s="101"/>
      <c r="J785" s="101"/>
      <c r="K785" s="103"/>
      <c r="L785" s="104"/>
      <c r="M785" s="98"/>
      <c r="N785" s="77"/>
      <c r="O785" s="98"/>
      <c r="P785" s="98"/>
      <c r="Q785" s="98"/>
      <c r="R785" s="98"/>
      <c r="S785" s="98"/>
      <c r="T785" s="98"/>
      <c r="U785" s="98"/>
      <c r="V785" s="98"/>
      <c r="W785" s="60"/>
      <c r="X785" s="60"/>
      <c r="Y785" s="60"/>
    </row>
    <row r="786" ht="15.75" customHeight="1">
      <c r="A786" s="106"/>
      <c r="B786" s="106"/>
      <c r="C786" s="95"/>
      <c r="D786" s="95"/>
      <c r="E786" s="106"/>
      <c r="F786" s="106"/>
      <c r="G786" s="106"/>
      <c r="H786" s="106"/>
      <c r="I786" s="106"/>
      <c r="J786" s="106"/>
      <c r="K786" s="108"/>
      <c r="L786" s="109"/>
      <c r="M786" s="95"/>
      <c r="N786" s="77"/>
      <c r="O786" s="95"/>
      <c r="P786" s="95"/>
      <c r="Q786" s="95"/>
      <c r="R786" s="95"/>
      <c r="S786" s="95"/>
      <c r="T786" s="95"/>
      <c r="U786" s="95"/>
      <c r="V786" s="95"/>
      <c r="W786" s="60"/>
      <c r="X786" s="60"/>
      <c r="Y786" s="60"/>
    </row>
    <row r="787" ht="15.75" customHeight="1">
      <c r="A787" s="101"/>
      <c r="B787" s="101"/>
      <c r="C787" s="98"/>
      <c r="D787" s="98"/>
      <c r="E787" s="101"/>
      <c r="F787" s="101"/>
      <c r="G787" s="101"/>
      <c r="H787" s="101"/>
      <c r="I787" s="101"/>
      <c r="J787" s="101"/>
      <c r="K787" s="103"/>
      <c r="L787" s="104"/>
      <c r="M787" s="98"/>
      <c r="N787" s="77"/>
      <c r="O787" s="98"/>
      <c r="P787" s="98"/>
      <c r="Q787" s="98"/>
      <c r="R787" s="98"/>
      <c r="S787" s="98"/>
      <c r="T787" s="98"/>
      <c r="U787" s="98"/>
      <c r="V787" s="98"/>
      <c r="W787" s="60"/>
      <c r="X787" s="60"/>
      <c r="Y787" s="60"/>
    </row>
    <row r="788" ht="15.75" customHeight="1">
      <c r="A788" s="106"/>
      <c r="B788" s="106"/>
      <c r="C788" s="95"/>
      <c r="D788" s="95"/>
      <c r="E788" s="106"/>
      <c r="F788" s="106"/>
      <c r="G788" s="106"/>
      <c r="H788" s="106"/>
      <c r="I788" s="106"/>
      <c r="J788" s="106"/>
      <c r="K788" s="108"/>
      <c r="L788" s="109"/>
      <c r="M788" s="95"/>
      <c r="N788" s="77"/>
      <c r="O788" s="95"/>
      <c r="P788" s="95"/>
      <c r="Q788" s="95"/>
      <c r="R788" s="95"/>
      <c r="S788" s="95"/>
      <c r="T788" s="95"/>
      <c r="U788" s="95"/>
      <c r="V788" s="95"/>
      <c r="W788" s="60"/>
      <c r="X788" s="60"/>
      <c r="Y788" s="60"/>
    </row>
    <row r="789" ht="15.75" customHeight="1">
      <c r="A789" s="101"/>
      <c r="B789" s="101"/>
      <c r="C789" s="98"/>
      <c r="D789" s="98"/>
      <c r="E789" s="101"/>
      <c r="F789" s="101"/>
      <c r="G789" s="101"/>
      <c r="H789" s="101"/>
      <c r="I789" s="101"/>
      <c r="J789" s="101"/>
      <c r="K789" s="103"/>
      <c r="L789" s="104"/>
      <c r="M789" s="98"/>
      <c r="N789" s="77"/>
      <c r="O789" s="98"/>
      <c r="P789" s="98"/>
      <c r="Q789" s="98"/>
      <c r="R789" s="98"/>
      <c r="S789" s="98"/>
      <c r="T789" s="98"/>
      <c r="U789" s="98"/>
      <c r="V789" s="98"/>
      <c r="W789" s="60"/>
      <c r="X789" s="60"/>
      <c r="Y789" s="60"/>
    </row>
    <row r="790" ht="15.75" customHeight="1">
      <c r="A790" s="106"/>
      <c r="B790" s="106"/>
      <c r="C790" s="95"/>
      <c r="D790" s="95"/>
      <c r="E790" s="106"/>
      <c r="F790" s="106"/>
      <c r="G790" s="106"/>
      <c r="H790" s="106"/>
      <c r="I790" s="106"/>
      <c r="J790" s="106"/>
      <c r="K790" s="108"/>
      <c r="L790" s="109"/>
      <c r="M790" s="95"/>
      <c r="N790" s="77"/>
      <c r="O790" s="95"/>
      <c r="P790" s="95"/>
      <c r="Q790" s="95"/>
      <c r="R790" s="95"/>
      <c r="S790" s="95"/>
      <c r="T790" s="95"/>
      <c r="U790" s="95"/>
      <c r="V790" s="95"/>
      <c r="W790" s="60"/>
      <c r="X790" s="60"/>
      <c r="Y790" s="60"/>
    </row>
    <row r="791" ht="15.75" customHeight="1">
      <c r="A791" s="101"/>
      <c r="B791" s="101"/>
      <c r="C791" s="98"/>
      <c r="D791" s="98"/>
      <c r="E791" s="101"/>
      <c r="F791" s="101"/>
      <c r="G791" s="101"/>
      <c r="H791" s="101"/>
      <c r="I791" s="101"/>
      <c r="J791" s="101"/>
      <c r="K791" s="103"/>
      <c r="L791" s="104"/>
      <c r="M791" s="98"/>
      <c r="N791" s="77"/>
      <c r="O791" s="98"/>
      <c r="P791" s="98"/>
      <c r="Q791" s="98"/>
      <c r="R791" s="98"/>
      <c r="S791" s="98"/>
      <c r="T791" s="98"/>
      <c r="U791" s="98"/>
      <c r="V791" s="98"/>
      <c r="W791" s="60"/>
      <c r="X791" s="60"/>
      <c r="Y791" s="60"/>
    </row>
    <row r="792" ht="15.75" customHeight="1">
      <c r="A792" s="106"/>
      <c r="B792" s="106"/>
      <c r="C792" s="95"/>
      <c r="D792" s="95"/>
      <c r="E792" s="106"/>
      <c r="F792" s="106"/>
      <c r="G792" s="106"/>
      <c r="H792" s="106"/>
      <c r="I792" s="106"/>
      <c r="J792" s="106"/>
      <c r="K792" s="108"/>
      <c r="L792" s="109"/>
      <c r="M792" s="95"/>
      <c r="N792" s="77"/>
      <c r="O792" s="95"/>
      <c r="P792" s="95"/>
      <c r="Q792" s="95"/>
      <c r="R792" s="95"/>
      <c r="S792" s="95"/>
      <c r="T792" s="95"/>
      <c r="U792" s="95"/>
      <c r="V792" s="95"/>
      <c r="W792" s="60"/>
      <c r="X792" s="60"/>
      <c r="Y792" s="60"/>
    </row>
    <row r="793" ht="15.75" customHeight="1">
      <c r="A793" s="101"/>
      <c r="B793" s="101"/>
      <c r="C793" s="98"/>
      <c r="D793" s="98"/>
      <c r="E793" s="101"/>
      <c r="F793" s="101"/>
      <c r="G793" s="101"/>
      <c r="H793" s="101"/>
      <c r="I793" s="101"/>
      <c r="J793" s="101"/>
      <c r="K793" s="103"/>
      <c r="L793" s="104"/>
      <c r="M793" s="98"/>
      <c r="N793" s="77"/>
      <c r="O793" s="98"/>
      <c r="P793" s="98"/>
      <c r="Q793" s="98"/>
      <c r="R793" s="98"/>
      <c r="S793" s="98"/>
      <c r="T793" s="98"/>
      <c r="U793" s="98"/>
      <c r="V793" s="98"/>
      <c r="W793" s="60"/>
      <c r="X793" s="60"/>
      <c r="Y793" s="60"/>
    </row>
    <row r="794" ht="15.75" customHeight="1">
      <c r="A794" s="106"/>
      <c r="B794" s="106"/>
      <c r="C794" s="95"/>
      <c r="D794" s="95"/>
      <c r="E794" s="106"/>
      <c r="F794" s="106"/>
      <c r="G794" s="106"/>
      <c r="H794" s="106"/>
      <c r="I794" s="106"/>
      <c r="J794" s="106"/>
      <c r="K794" s="108"/>
      <c r="L794" s="109"/>
      <c r="M794" s="95"/>
      <c r="N794" s="77"/>
      <c r="O794" s="95"/>
      <c r="P794" s="95"/>
      <c r="Q794" s="95"/>
      <c r="R794" s="95"/>
      <c r="S794" s="95"/>
      <c r="T794" s="95"/>
      <c r="U794" s="95"/>
      <c r="V794" s="95"/>
      <c r="W794" s="60"/>
      <c r="X794" s="60"/>
      <c r="Y794" s="60"/>
    </row>
    <row r="795" ht="15.75" customHeight="1">
      <c r="A795" s="101"/>
      <c r="B795" s="101"/>
      <c r="C795" s="98"/>
      <c r="D795" s="98"/>
      <c r="E795" s="101"/>
      <c r="F795" s="101"/>
      <c r="G795" s="101"/>
      <c r="H795" s="101"/>
      <c r="I795" s="101"/>
      <c r="J795" s="101"/>
      <c r="K795" s="103"/>
      <c r="L795" s="104"/>
      <c r="M795" s="98"/>
      <c r="N795" s="77"/>
      <c r="O795" s="98"/>
      <c r="P795" s="98"/>
      <c r="Q795" s="98"/>
      <c r="R795" s="98"/>
      <c r="S795" s="98"/>
      <c r="T795" s="98"/>
      <c r="U795" s="98"/>
      <c r="V795" s="98"/>
      <c r="W795" s="60"/>
      <c r="X795" s="60"/>
      <c r="Y795" s="60"/>
    </row>
    <row r="796" ht="15.75" customHeight="1">
      <c r="A796" s="106"/>
      <c r="B796" s="106"/>
      <c r="C796" s="95"/>
      <c r="D796" s="95"/>
      <c r="E796" s="106"/>
      <c r="F796" s="106"/>
      <c r="G796" s="106"/>
      <c r="H796" s="106"/>
      <c r="I796" s="106"/>
      <c r="J796" s="106"/>
      <c r="K796" s="108"/>
      <c r="L796" s="109"/>
      <c r="M796" s="95"/>
      <c r="N796" s="77"/>
      <c r="O796" s="95"/>
      <c r="P796" s="95"/>
      <c r="Q796" s="95"/>
      <c r="R796" s="95"/>
      <c r="S796" s="95"/>
      <c r="T796" s="95"/>
      <c r="U796" s="95"/>
      <c r="V796" s="95"/>
      <c r="W796" s="60"/>
      <c r="X796" s="60"/>
      <c r="Y796" s="60"/>
    </row>
    <row r="797" ht="15.75" customHeight="1">
      <c r="A797" s="101"/>
      <c r="B797" s="101"/>
      <c r="C797" s="98"/>
      <c r="D797" s="98"/>
      <c r="E797" s="101"/>
      <c r="F797" s="101"/>
      <c r="G797" s="101"/>
      <c r="H797" s="101"/>
      <c r="I797" s="101"/>
      <c r="J797" s="101"/>
      <c r="K797" s="103"/>
      <c r="L797" s="104"/>
      <c r="M797" s="98"/>
      <c r="N797" s="77"/>
      <c r="O797" s="98"/>
      <c r="P797" s="98"/>
      <c r="Q797" s="98"/>
      <c r="R797" s="98"/>
      <c r="S797" s="98"/>
      <c r="T797" s="98"/>
      <c r="U797" s="98"/>
      <c r="V797" s="98"/>
      <c r="W797" s="60"/>
      <c r="X797" s="60"/>
      <c r="Y797" s="60"/>
    </row>
    <row r="798" ht="15.75" customHeight="1">
      <c r="A798" s="106"/>
      <c r="B798" s="106"/>
      <c r="C798" s="95"/>
      <c r="D798" s="95"/>
      <c r="E798" s="106"/>
      <c r="F798" s="106"/>
      <c r="G798" s="106"/>
      <c r="H798" s="106"/>
      <c r="I798" s="106"/>
      <c r="J798" s="106"/>
      <c r="K798" s="108"/>
      <c r="L798" s="109"/>
      <c r="M798" s="95"/>
      <c r="N798" s="77"/>
      <c r="O798" s="95"/>
      <c r="P798" s="95"/>
      <c r="Q798" s="95"/>
      <c r="R798" s="95"/>
      <c r="S798" s="95"/>
      <c r="T798" s="95"/>
      <c r="U798" s="95"/>
      <c r="V798" s="95"/>
      <c r="W798" s="60"/>
      <c r="X798" s="60"/>
      <c r="Y798" s="60"/>
    </row>
    <row r="799" ht="15.75" customHeight="1">
      <c r="A799" s="101"/>
      <c r="B799" s="101"/>
      <c r="C799" s="98"/>
      <c r="D799" s="98"/>
      <c r="E799" s="101"/>
      <c r="F799" s="101"/>
      <c r="G799" s="101"/>
      <c r="H799" s="101"/>
      <c r="I799" s="101"/>
      <c r="J799" s="101"/>
      <c r="K799" s="103"/>
      <c r="L799" s="104"/>
      <c r="M799" s="98"/>
      <c r="N799" s="77"/>
      <c r="O799" s="98"/>
      <c r="P799" s="98"/>
      <c r="Q799" s="98"/>
      <c r="R799" s="98"/>
      <c r="S799" s="98"/>
      <c r="T799" s="98"/>
      <c r="U799" s="98"/>
      <c r="V799" s="98"/>
      <c r="W799" s="60"/>
      <c r="X799" s="60"/>
      <c r="Y799" s="60"/>
    </row>
    <row r="800" ht="15.75" customHeight="1">
      <c r="A800" s="106"/>
      <c r="B800" s="106"/>
      <c r="C800" s="95"/>
      <c r="D800" s="95"/>
      <c r="E800" s="106"/>
      <c r="F800" s="106"/>
      <c r="G800" s="106"/>
      <c r="H800" s="106"/>
      <c r="I800" s="106"/>
      <c r="J800" s="106"/>
      <c r="K800" s="108"/>
      <c r="L800" s="109"/>
      <c r="M800" s="95"/>
      <c r="N800" s="77"/>
      <c r="O800" s="95"/>
      <c r="P800" s="95"/>
      <c r="Q800" s="95"/>
      <c r="R800" s="95"/>
      <c r="S800" s="95"/>
      <c r="T800" s="95"/>
      <c r="U800" s="95"/>
      <c r="V800" s="95"/>
      <c r="W800" s="60"/>
      <c r="X800" s="60"/>
      <c r="Y800" s="60"/>
    </row>
    <row r="801" ht="15.75" customHeight="1">
      <c r="A801" s="101"/>
      <c r="B801" s="101"/>
      <c r="C801" s="98"/>
      <c r="D801" s="98"/>
      <c r="E801" s="101"/>
      <c r="F801" s="101"/>
      <c r="G801" s="101"/>
      <c r="H801" s="101"/>
      <c r="I801" s="101"/>
      <c r="J801" s="101"/>
      <c r="K801" s="103"/>
      <c r="L801" s="104"/>
      <c r="M801" s="98"/>
      <c r="N801" s="77"/>
      <c r="O801" s="98"/>
      <c r="P801" s="98"/>
      <c r="Q801" s="98"/>
      <c r="R801" s="98"/>
      <c r="S801" s="98"/>
      <c r="T801" s="98"/>
      <c r="U801" s="98"/>
      <c r="V801" s="98"/>
      <c r="W801" s="60"/>
      <c r="X801" s="60"/>
      <c r="Y801" s="60"/>
    </row>
    <row r="802" ht="15.75" customHeight="1">
      <c r="A802" s="106"/>
      <c r="B802" s="106"/>
      <c r="C802" s="95"/>
      <c r="D802" s="95"/>
      <c r="E802" s="106"/>
      <c r="F802" s="106"/>
      <c r="G802" s="106"/>
      <c r="H802" s="106"/>
      <c r="I802" s="106"/>
      <c r="J802" s="106"/>
      <c r="K802" s="108"/>
      <c r="L802" s="109"/>
      <c r="M802" s="95"/>
      <c r="N802" s="77"/>
      <c r="O802" s="95"/>
      <c r="P802" s="95"/>
      <c r="Q802" s="95"/>
      <c r="R802" s="95"/>
      <c r="S802" s="95"/>
      <c r="T802" s="95"/>
      <c r="U802" s="95"/>
      <c r="V802" s="95"/>
      <c r="W802" s="60"/>
      <c r="X802" s="60"/>
      <c r="Y802" s="60"/>
    </row>
    <row r="803" ht="15.75" customHeight="1">
      <c r="A803" s="101"/>
      <c r="B803" s="101"/>
      <c r="C803" s="98"/>
      <c r="D803" s="98"/>
      <c r="E803" s="101"/>
      <c r="F803" s="101"/>
      <c r="G803" s="101"/>
      <c r="H803" s="101"/>
      <c r="I803" s="101"/>
      <c r="J803" s="101"/>
      <c r="K803" s="103"/>
      <c r="L803" s="104"/>
      <c r="M803" s="98"/>
      <c r="N803" s="77"/>
      <c r="O803" s="98"/>
      <c r="P803" s="98"/>
      <c r="Q803" s="98"/>
      <c r="R803" s="98"/>
      <c r="S803" s="98"/>
      <c r="T803" s="98"/>
      <c r="U803" s="98"/>
      <c r="V803" s="98"/>
      <c r="W803" s="60"/>
      <c r="X803" s="60"/>
      <c r="Y803" s="60"/>
    </row>
    <row r="804" ht="15.75" customHeight="1">
      <c r="A804" s="106"/>
      <c r="B804" s="106"/>
      <c r="C804" s="95"/>
      <c r="D804" s="95"/>
      <c r="E804" s="106"/>
      <c r="F804" s="106"/>
      <c r="G804" s="106"/>
      <c r="H804" s="106"/>
      <c r="I804" s="106"/>
      <c r="J804" s="106"/>
      <c r="K804" s="108"/>
      <c r="L804" s="109"/>
      <c r="M804" s="95"/>
      <c r="N804" s="77"/>
      <c r="O804" s="95"/>
      <c r="P804" s="95"/>
      <c r="Q804" s="95"/>
      <c r="R804" s="95"/>
      <c r="S804" s="95"/>
      <c r="T804" s="95"/>
      <c r="U804" s="95"/>
      <c r="V804" s="95"/>
      <c r="W804" s="60"/>
      <c r="X804" s="60"/>
      <c r="Y804" s="60"/>
    </row>
    <row r="805" ht="15.75" customHeight="1">
      <c r="A805" s="101"/>
      <c r="B805" s="101"/>
      <c r="C805" s="98"/>
      <c r="D805" s="98"/>
      <c r="E805" s="101"/>
      <c r="F805" s="101"/>
      <c r="G805" s="101"/>
      <c r="H805" s="101"/>
      <c r="I805" s="101"/>
      <c r="J805" s="101"/>
      <c r="K805" s="103"/>
      <c r="L805" s="104"/>
      <c r="M805" s="98"/>
      <c r="N805" s="77"/>
      <c r="O805" s="98"/>
      <c r="P805" s="98"/>
      <c r="Q805" s="98"/>
      <c r="R805" s="98"/>
      <c r="S805" s="98"/>
      <c r="T805" s="98"/>
      <c r="U805" s="98"/>
      <c r="V805" s="98"/>
      <c r="W805" s="60"/>
      <c r="X805" s="60"/>
      <c r="Y805" s="60"/>
    </row>
    <row r="806" ht="15.75" customHeight="1">
      <c r="A806" s="106"/>
      <c r="B806" s="106"/>
      <c r="C806" s="95"/>
      <c r="D806" s="95"/>
      <c r="E806" s="106"/>
      <c r="F806" s="106"/>
      <c r="G806" s="106"/>
      <c r="H806" s="106"/>
      <c r="I806" s="106"/>
      <c r="J806" s="106"/>
      <c r="K806" s="108"/>
      <c r="L806" s="109"/>
      <c r="M806" s="95"/>
      <c r="N806" s="77"/>
      <c r="O806" s="95"/>
      <c r="P806" s="95"/>
      <c r="Q806" s="95"/>
      <c r="R806" s="95"/>
      <c r="S806" s="95"/>
      <c r="T806" s="95"/>
      <c r="U806" s="95"/>
      <c r="V806" s="95"/>
      <c r="W806" s="60"/>
      <c r="X806" s="60"/>
      <c r="Y806" s="60"/>
    </row>
    <row r="807" ht="15.75" customHeight="1">
      <c r="A807" s="101"/>
      <c r="B807" s="101"/>
      <c r="C807" s="98"/>
      <c r="D807" s="98"/>
      <c r="E807" s="101"/>
      <c r="F807" s="101"/>
      <c r="G807" s="101"/>
      <c r="H807" s="101"/>
      <c r="I807" s="101"/>
      <c r="J807" s="101"/>
      <c r="K807" s="103"/>
      <c r="L807" s="104"/>
      <c r="M807" s="98"/>
      <c r="N807" s="77"/>
      <c r="O807" s="98"/>
      <c r="P807" s="98"/>
      <c r="Q807" s="98"/>
      <c r="R807" s="98"/>
      <c r="S807" s="98"/>
      <c r="T807" s="98"/>
      <c r="U807" s="98"/>
      <c r="V807" s="98"/>
      <c r="W807" s="60"/>
      <c r="X807" s="60"/>
      <c r="Y807" s="60"/>
    </row>
    <row r="808" ht="15.75" customHeight="1">
      <c r="A808" s="106"/>
      <c r="B808" s="106"/>
      <c r="C808" s="95"/>
      <c r="D808" s="95"/>
      <c r="E808" s="106"/>
      <c r="F808" s="106"/>
      <c r="G808" s="106"/>
      <c r="H808" s="106"/>
      <c r="I808" s="106"/>
      <c r="J808" s="106"/>
      <c r="K808" s="108"/>
      <c r="L808" s="109"/>
      <c r="M808" s="95"/>
      <c r="N808" s="77"/>
      <c r="O808" s="95"/>
      <c r="P808" s="95"/>
      <c r="Q808" s="95"/>
      <c r="R808" s="95"/>
      <c r="S808" s="95"/>
      <c r="T808" s="95"/>
      <c r="U808" s="95"/>
      <c r="V808" s="95"/>
      <c r="W808" s="60"/>
      <c r="X808" s="60"/>
      <c r="Y808" s="60"/>
    </row>
    <row r="809" ht="15.75" customHeight="1">
      <c r="A809" s="101"/>
      <c r="B809" s="101"/>
      <c r="C809" s="98"/>
      <c r="D809" s="98"/>
      <c r="E809" s="101"/>
      <c r="F809" s="101"/>
      <c r="G809" s="101"/>
      <c r="H809" s="101"/>
      <c r="I809" s="101"/>
      <c r="J809" s="101"/>
      <c r="K809" s="103"/>
      <c r="L809" s="104"/>
      <c r="M809" s="98"/>
      <c r="N809" s="77"/>
      <c r="O809" s="98"/>
      <c r="P809" s="98"/>
      <c r="Q809" s="98"/>
      <c r="R809" s="98"/>
      <c r="S809" s="98"/>
      <c r="T809" s="98"/>
      <c r="U809" s="98"/>
      <c r="V809" s="98"/>
      <c r="W809" s="60"/>
      <c r="X809" s="60"/>
      <c r="Y809" s="60"/>
    </row>
    <row r="810" ht="15.75" customHeight="1">
      <c r="A810" s="106"/>
      <c r="B810" s="106"/>
      <c r="C810" s="95"/>
      <c r="D810" s="95"/>
      <c r="E810" s="106"/>
      <c r="F810" s="106"/>
      <c r="G810" s="106"/>
      <c r="H810" s="106"/>
      <c r="I810" s="106"/>
      <c r="J810" s="106"/>
      <c r="K810" s="108"/>
      <c r="L810" s="109"/>
      <c r="M810" s="95"/>
      <c r="N810" s="77"/>
      <c r="O810" s="95"/>
      <c r="P810" s="95"/>
      <c r="Q810" s="95"/>
      <c r="R810" s="95"/>
      <c r="S810" s="95"/>
      <c r="T810" s="95"/>
      <c r="U810" s="95"/>
      <c r="V810" s="95"/>
      <c r="W810" s="60"/>
      <c r="X810" s="60"/>
      <c r="Y810" s="60"/>
    </row>
    <row r="811" ht="15.75" customHeight="1">
      <c r="A811" s="101"/>
      <c r="B811" s="101"/>
      <c r="C811" s="98"/>
      <c r="D811" s="98"/>
      <c r="E811" s="101"/>
      <c r="F811" s="101"/>
      <c r="G811" s="101"/>
      <c r="H811" s="101"/>
      <c r="I811" s="101"/>
      <c r="J811" s="101"/>
      <c r="K811" s="103"/>
      <c r="L811" s="104"/>
      <c r="M811" s="98"/>
      <c r="N811" s="77"/>
      <c r="O811" s="98"/>
      <c r="P811" s="98"/>
      <c r="Q811" s="98"/>
      <c r="R811" s="98"/>
      <c r="S811" s="98"/>
      <c r="T811" s="98"/>
      <c r="U811" s="98"/>
      <c r="V811" s="98"/>
      <c r="W811" s="60"/>
      <c r="X811" s="60"/>
      <c r="Y811" s="60"/>
    </row>
    <row r="812" ht="15.75" customHeight="1">
      <c r="A812" s="106"/>
      <c r="B812" s="106"/>
      <c r="C812" s="95"/>
      <c r="D812" s="95"/>
      <c r="E812" s="106"/>
      <c r="F812" s="106"/>
      <c r="G812" s="106"/>
      <c r="H812" s="106"/>
      <c r="I812" s="106"/>
      <c r="J812" s="106"/>
      <c r="K812" s="108"/>
      <c r="L812" s="109"/>
      <c r="M812" s="95"/>
      <c r="N812" s="77"/>
      <c r="O812" s="95"/>
      <c r="P812" s="95"/>
      <c r="Q812" s="95"/>
      <c r="R812" s="95"/>
      <c r="S812" s="95"/>
      <c r="T812" s="95"/>
      <c r="U812" s="95"/>
      <c r="V812" s="95"/>
      <c r="W812" s="60"/>
      <c r="X812" s="60"/>
      <c r="Y812" s="60"/>
    </row>
    <row r="813" ht="15.75" customHeight="1">
      <c r="A813" s="101"/>
      <c r="B813" s="101"/>
      <c r="C813" s="98"/>
      <c r="D813" s="98"/>
      <c r="E813" s="101"/>
      <c r="F813" s="101"/>
      <c r="G813" s="101"/>
      <c r="H813" s="101"/>
      <c r="I813" s="101"/>
      <c r="J813" s="101"/>
      <c r="K813" s="103"/>
      <c r="L813" s="104"/>
      <c r="M813" s="98"/>
      <c r="N813" s="77"/>
      <c r="O813" s="98"/>
      <c r="P813" s="98"/>
      <c r="Q813" s="98"/>
      <c r="R813" s="98"/>
      <c r="S813" s="98"/>
      <c r="T813" s="98"/>
      <c r="U813" s="98"/>
      <c r="V813" s="98"/>
      <c r="W813" s="60"/>
      <c r="X813" s="60"/>
      <c r="Y813" s="60"/>
    </row>
    <row r="814" ht="15.75" customHeight="1">
      <c r="A814" s="106"/>
      <c r="B814" s="106"/>
      <c r="C814" s="95"/>
      <c r="D814" s="95"/>
      <c r="E814" s="106"/>
      <c r="F814" s="106"/>
      <c r="G814" s="106"/>
      <c r="H814" s="106"/>
      <c r="I814" s="106"/>
      <c r="J814" s="106"/>
      <c r="K814" s="108"/>
      <c r="L814" s="109"/>
      <c r="M814" s="95"/>
      <c r="N814" s="77"/>
      <c r="O814" s="95"/>
      <c r="P814" s="95"/>
      <c r="Q814" s="95"/>
      <c r="R814" s="95"/>
      <c r="S814" s="95"/>
      <c r="T814" s="95"/>
      <c r="U814" s="95"/>
      <c r="V814" s="95"/>
      <c r="W814" s="60"/>
      <c r="X814" s="60"/>
      <c r="Y814" s="60"/>
    </row>
    <row r="815" ht="15.75" customHeight="1">
      <c r="A815" s="101"/>
      <c r="B815" s="101"/>
      <c r="C815" s="98"/>
      <c r="D815" s="98"/>
      <c r="E815" s="101"/>
      <c r="F815" s="101"/>
      <c r="G815" s="101"/>
      <c r="H815" s="101"/>
      <c r="I815" s="101"/>
      <c r="J815" s="101"/>
      <c r="K815" s="103"/>
      <c r="L815" s="104"/>
      <c r="M815" s="98"/>
      <c r="N815" s="77"/>
      <c r="O815" s="98"/>
      <c r="P815" s="98"/>
      <c r="Q815" s="98"/>
      <c r="R815" s="98"/>
      <c r="S815" s="98"/>
      <c r="T815" s="98"/>
      <c r="U815" s="98"/>
      <c r="V815" s="98"/>
      <c r="W815" s="60"/>
      <c r="X815" s="60"/>
      <c r="Y815" s="60"/>
    </row>
    <row r="816" ht="15.75" customHeight="1">
      <c r="A816" s="106"/>
      <c r="B816" s="106"/>
      <c r="C816" s="95"/>
      <c r="D816" s="95"/>
      <c r="E816" s="106"/>
      <c r="F816" s="106"/>
      <c r="G816" s="106"/>
      <c r="H816" s="106"/>
      <c r="I816" s="106"/>
      <c r="J816" s="106"/>
      <c r="K816" s="108"/>
      <c r="L816" s="109"/>
      <c r="M816" s="95"/>
      <c r="N816" s="77"/>
      <c r="O816" s="95"/>
      <c r="P816" s="95"/>
      <c r="Q816" s="95"/>
      <c r="R816" s="95"/>
      <c r="S816" s="95"/>
      <c r="T816" s="95"/>
      <c r="U816" s="95"/>
      <c r="V816" s="95"/>
      <c r="W816" s="60"/>
      <c r="X816" s="60"/>
      <c r="Y816" s="60"/>
    </row>
    <row r="817" ht="15.75" customHeight="1">
      <c r="A817" s="101"/>
      <c r="B817" s="101"/>
      <c r="C817" s="98"/>
      <c r="D817" s="98"/>
      <c r="E817" s="101"/>
      <c r="F817" s="101"/>
      <c r="G817" s="101"/>
      <c r="H817" s="101"/>
      <c r="I817" s="101"/>
      <c r="J817" s="101"/>
      <c r="K817" s="103"/>
      <c r="L817" s="104"/>
      <c r="M817" s="98"/>
      <c r="N817" s="77"/>
      <c r="O817" s="98"/>
      <c r="P817" s="98"/>
      <c r="Q817" s="98"/>
      <c r="R817" s="98"/>
      <c r="S817" s="98"/>
      <c r="T817" s="98"/>
      <c r="U817" s="98"/>
      <c r="V817" s="98"/>
      <c r="W817" s="60"/>
      <c r="X817" s="60"/>
      <c r="Y817" s="60"/>
    </row>
    <row r="818" ht="15.75" customHeight="1">
      <c r="A818" s="106"/>
      <c r="B818" s="106"/>
      <c r="C818" s="95"/>
      <c r="D818" s="95"/>
      <c r="E818" s="106"/>
      <c r="F818" s="106"/>
      <c r="G818" s="106"/>
      <c r="H818" s="106"/>
      <c r="I818" s="106"/>
      <c r="J818" s="106"/>
      <c r="K818" s="108"/>
      <c r="L818" s="109"/>
      <c r="M818" s="95"/>
      <c r="N818" s="77"/>
      <c r="O818" s="95"/>
      <c r="P818" s="95"/>
      <c r="Q818" s="95"/>
      <c r="R818" s="95"/>
      <c r="S818" s="95"/>
      <c r="T818" s="95"/>
      <c r="U818" s="95"/>
      <c r="V818" s="95"/>
      <c r="W818" s="60"/>
      <c r="X818" s="60"/>
      <c r="Y818" s="60"/>
    </row>
    <row r="819" ht="15.75" customHeight="1">
      <c r="A819" s="101"/>
      <c r="B819" s="101"/>
      <c r="C819" s="98"/>
      <c r="D819" s="98"/>
      <c r="E819" s="101"/>
      <c r="F819" s="101"/>
      <c r="G819" s="101"/>
      <c r="H819" s="101"/>
      <c r="I819" s="101"/>
      <c r="J819" s="101"/>
      <c r="K819" s="103"/>
      <c r="L819" s="104"/>
      <c r="M819" s="98"/>
      <c r="N819" s="77"/>
      <c r="O819" s="98"/>
      <c r="P819" s="98"/>
      <c r="Q819" s="98"/>
      <c r="R819" s="98"/>
      <c r="S819" s="98"/>
      <c r="T819" s="98"/>
      <c r="U819" s="98"/>
      <c r="V819" s="98"/>
      <c r="W819" s="60"/>
      <c r="X819" s="60"/>
      <c r="Y819" s="60"/>
    </row>
    <row r="820" ht="15.75" customHeight="1">
      <c r="A820" s="106"/>
      <c r="B820" s="106"/>
      <c r="C820" s="95"/>
      <c r="D820" s="95"/>
      <c r="E820" s="106"/>
      <c r="F820" s="106"/>
      <c r="G820" s="106"/>
      <c r="H820" s="106"/>
      <c r="I820" s="106"/>
      <c r="J820" s="106"/>
      <c r="K820" s="108"/>
      <c r="L820" s="109"/>
      <c r="M820" s="95"/>
      <c r="N820" s="77"/>
      <c r="O820" s="95"/>
      <c r="P820" s="95"/>
      <c r="Q820" s="95"/>
      <c r="R820" s="95"/>
      <c r="S820" s="95"/>
      <c r="T820" s="95"/>
      <c r="U820" s="95"/>
      <c r="V820" s="95"/>
      <c r="W820" s="60"/>
      <c r="X820" s="60"/>
      <c r="Y820" s="60"/>
    </row>
    <row r="821" ht="15.75" customHeight="1">
      <c r="A821" s="101"/>
      <c r="B821" s="101"/>
      <c r="C821" s="98"/>
      <c r="D821" s="98"/>
      <c r="E821" s="101"/>
      <c r="F821" s="101"/>
      <c r="G821" s="101"/>
      <c r="H821" s="101"/>
      <c r="I821" s="101"/>
      <c r="J821" s="101"/>
      <c r="K821" s="103"/>
      <c r="L821" s="104"/>
      <c r="M821" s="98"/>
      <c r="N821" s="77"/>
      <c r="O821" s="98"/>
      <c r="P821" s="98"/>
      <c r="Q821" s="98"/>
      <c r="R821" s="98"/>
      <c r="S821" s="98"/>
      <c r="T821" s="98"/>
      <c r="U821" s="98"/>
      <c r="V821" s="98"/>
      <c r="W821" s="60"/>
      <c r="X821" s="60"/>
      <c r="Y821" s="60"/>
    </row>
    <row r="822" ht="15.75" customHeight="1">
      <c r="A822" s="106"/>
      <c r="B822" s="106"/>
      <c r="C822" s="95"/>
      <c r="D822" s="95"/>
      <c r="E822" s="106"/>
      <c r="F822" s="106"/>
      <c r="G822" s="106"/>
      <c r="H822" s="106"/>
      <c r="I822" s="106"/>
      <c r="J822" s="106"/>
      <c r="K822" s="108"/>
      <c r="L822" s="109"/>
      <c r="M822" s="95"/>
      <c r="N822" s="77"/>
      <c r="O822" s="95"/>
      <c r="P822" s="95"/>
      <c r="Q822" s="95"/>
      <c r="R822" s="95"/>
      <c r="S822" s="95"/>
      <c r="T822" s="95"/>
      <c r="U822" s="95"/>
      <c r="V822" s="95"/>
      <c r="W822" s="60"/>
      <c r="X822" s="60"/>
      <c r="Y822" s="60"/>
    </row>
    <row r="823" ht="15.75" customHeight="1">
      <c r="A823" s="101"/>
      <c r="B823" s="101"/>
      <c r="C823" s="98"/>
      <c r="D823" s="98"/>
      <c r="E823" s="101"/>
      <c r="F823" s="101"/>
      <c r="G823" s="101"/>
      <c r="H823" s="101"/>
      <c r="I823" s="101"/>
      <c r="J823" s="101"/>
      <c r="K823" s="103"/>
      <c r="L823" s="104"/>
      <c r="M823" s="98"/>
      <c r="N823" s="77"/>
      <c r="O823" s="98"/>
      <c r="P823" s="98"/>
      <c r="Q823" s="98"/>
      <c r="R823" s="98"/>
      <c r="S823" s="98"/>
      <c r="T823" s="98"/>
      <c r="U823" s="98"/>
      <c r="V823" s="98"/>
      <c r="W823" s="60"/>
      <c r="X823" s="60"/>
      <c r="Y823" s="60"/>
    </row>
    <row r="824" ht="15.75" customHeight="1">
      <c r="A824" s="106"/>
      <c r="B824" s="106"/>
      <c r="C824" s="95"/>
      <c r="D824" s="95"/>
      <c r="E824" s="106"/>
      <c r="F824" s="106"/>
      <c r="G824" s="106"/>
      <c r="H824" s="106"/>
      <c r="I824" s="106"/>
      <c r="J824" s="106"/>
      <c r="K824" s="108"/>
      <c r="L824" s="109"/>
      <c r="M824" s="95"/>
      <c r="N824" s="77"/>
      <c r="O824" s="95"/>
      <c r="P824" s="95"/>
      <c r="Q824" s="95"/>
      <c r="R824" s="95"/>
      <c r="S824" s="95"/>
      <c r="T824" s="95"/>
      <c r="U824" s="95"/>
      <c r="V824" s="95"/>
      <c r="W824" s="60"/>
      <c r="X824" s="60"/>
      <c r="Y824" s="60"/>
    </row>
    <row r="825" ht="15.75" customHeight="1">
      <c r="A825" s="101"/>
      <c r="B825" s="101"/>
      <c r="C825" s="98"/>
      <c r="D825" s="98"/>
      <c r="E825" s="101"/>
      <c r="F825" s="101"/>
      <c r="G825" s="101"/>
      <c r="H825" s="101"/>
      <c r="I825" s="101"/>
      <c r="J825" s="101"/>
      <c r="K825" s="103"/>
      <c r="L825" s="104"/>
      <c r="M825" s="98"/>
      <c r="N825" s="77"/>
      <c r="O825" s="98"/>
      <c r="P825" s="98"/>
      <c r="Q825" s="98"/>
      <c r="R825" s="98"/>
      <c r="S825" s="98"/>
      <c r="T825" s="98"/>
      <c r="U825" s="98"/>
      <c r="V825" s="98"/>
      <c r="W825" s="60"/>
      <c r="X825" s="60"/>
      <c r="Y825" s="60"/>
    </row>
    <row r="826" ht="15.75" customHeight="1">
      <c r="A826" s="106"/>
      <c r="B826" s="106"/>
      <c r="C826" s="95"/>
      <c r="D826" s="95"/>
      <c r="E826" s="106"/>
      <c r="F826" s="106"/>
      <c r="G826" s="106"/>
      <c r="H826" s="106"/>
      <c r="I826" s="106"/>
      <c r="J826" s="106"/>
      <c r="K826" s="108"/>
      <c r="L826" s="109"/>
      <c r="M826" s="95"/>
      <c r="N826" s="77"/>
      <c r="O826" s="95"/>
      <c r="P826" s="95"/>
      <c r="Q826" s="95"/>
      <c r="R826" s="95"/>
      <c r="S826" s="95"/>
      <c r="T826" s="95"/>
      <c r="U826" s="95"/>
      <c r="V826" s="95"/>
      <c r="W826" s="60"/>
      <c r="X826" s="60"/>
      <c r="Y826" s="60"/>
    </row>
    <row r="827" ht="15.75" customHeight="1">
      <c r="A827" s="101"/>
      <c r="B827" s="101"/>
      <c r="C827" s="98"/>
      <c r="D827" s="98"/>
      <c r="E827" s="101"/>
      <c r="F827" s="101"/>
      <c r="G827" s="101"/>
      <c r="H827" s="101"/>
      <c r="I827" s="101"/>
      <c r="J827" s="101"/>
      <c r="K827" s="103"/>
      <c r="L827" s="104"/>
      <c r="M827" s="98"/>
      <c r="N827" s="77"/>
      <c r="O827" s="98"/>
      <c r="P827" s="98"/>
      <c r="Q827" s="98"/>
      <c r="R827" s="98"/>
      <c r="S827" s="98"/>
      <c r="T827" s="98"/>
      <c r="U827" s="98"/>
      <c r="V827" s="98"/>
      <c r="W827" s="60"/>
      <c r="X827" s="60"/>
      <c r="Y827" s="60"/>
    </row>
    <row r="828" ht="15.75" customHeight="1">
      <c r="A828" s="106"/>
      <c r="B828" s="106"/>
      <c r="C828" s="95"/>
      <c r="D828" s="95"/>
      <c r="E828" s="106"/>
      <c r="F828" s="106"/>
      <c r="G828" s="106"/>
      <c r="H828" s="106"/>
      <c r="I828" s="106"/>
      <c r="J828" s="106"/>
      <c r="K828" s="108"/>
      <c r="L828" s="109"/>
      <c r="M828" s="95"/>
      <c r="N828" s="77"/>
      <c r="O828" s="95"/>
      <c r="P828" s="95"/>
      <c r="Q828" s="95"/>
      <c r="R828" s="95"/>
      <c r="S828" s="95"/>
      <c r="T828" s="95"/>
      <c r="U828" s="95"/>
      <c r="V828" s="95"/>
      <c r="W828" s="60"/>
      <c r="X828" s="60"/>
      <c r="Y828" s="60"/>
    </row>
    <row r="829" ht="15.75" customHeight="1">
      <c r="A829" s="101"/>
      <c r="B829" s="101"/>
      <c r="C829" s="98"/>
      <c r="D829" s="98"/>
      <c r="E829" s="101"/>
      <c r="F829" s="101"/>
      <c r="G829" s="101"/>
      <c r="H829" s="101"/>
      <c r="I829" s="101"/>
      <c r="J829" s="101"/>
      <c r="K829" s="103"/>
      <c r="L829" s="104"/>
      <c r="M829" s="98"/>
      <c r="N829" s="77"/>
      <c r="O829" s="98"/>
      <c r="P829" s="98"/>
      <c r="Q829" s="98"/>
      <c r="R829" s="98"/>
      <c r="S829" s="98"/>
      <c r="T829" s="98"/>
      <c r="U829" s="98"/>
      <c r="V829" s="98"/>
      <c r="W829" s="60"/>
      <c r="X829" s="60"/>
      <c r="Y829" s="60"/>
    </row>
    <row r="830" ht="15.75" customHeight="1">
      <c r="A830" s="106"/>
      <c r="B830" s="106"/>
      <c r="C830" s="95"/>
      <c r="D830" s="95"/>
      <c r="E830" s="106"/>
      <c r="F830" s="106"/>
      <c r="G830" s="106"/>
      <c r="H830" s="106"/>
      <c r="I830" s="106"/>
      <c r="J830" s="106"/>
      <c r="K830" s="108"/>
      <c r="L830" s="109"/>
      <c r="M830" s="95"/>
      <c r="N830" s="77"/>
      <c r="O830" s="95"/>
      <c r="P830" s="95"/>
      <c r="Q830" s="95"/>
      <c r="R830" s="95"/>
      <c r="S830" s="95"/>
      <c r="T830" s="95"/>
      <c r="U830" s="95"/>
      <c r="V830" s="95"/>
      <c r="W830" s="60"/>
      <c r="X830" s="60"/>
      <c r="Y830" s="60"/>
    </row>
    <row r="831" ht="15.75" customHeight="1">
      <c r="A831" s="101"/>
      <c r="B831" s="101"/>
      <c r="C831" s="98"/>
      <c r="D831" s="98"/>
      <c r="E831" s="101"/>
      <c r="F831" s="101"/>
      <c r="G831" s="101"/>
      <c r="H831" s="101"/>
      <c r="I831" s="101"/>
      <c r="J831" s="101"/>
      <c r="K831" s="103"/>
      <c r="L831" s="104"/>
      <c r="M831" s="98"/>
      <c r="N831" s="77"/>
      <c r="O831" s="98"/>
      <c r="P831" s="98"/>
      <c r="Q831" s="98"/>
      <c r="R831" s="98"/>
      <c r="S831" s="98"/>
      <c r="T831" s="98"/>
      <c r="U831" s="98"/>
      <c r="V831" s="98"/>
      <c r="W831" s="60"/>
      <c r="X831" s="60"/>
      <c r="Y831" s="60"/>
    </row>
    <row r="832" ht="15.75" customHeight="1">
      <c r="A832" s="106"/>
      <c r="B832" s="106"/>
      <c r="C832" s="95"/>
      <c r="D832" s="95"/>
      <c r="E832" s="106"/>
      <c r="F832" s="106"/>
      <c r="G832" s="106"/>
      <c r="H832" s="106"/>
      <c r="I832" s="106"/>
      <c r="J832" s="106"/>
      <c r="K832" s="108"/>
      <c r="L832" s="109"/>
      <c r="M832" s="95"/>
      <c r="N832" s="77"/>
      <c r="O832" s="95"/>
      <c r="P832" s="95"/>
      <c r="Q832" s="95"/>
      <c r="R832" s="95"/>
      <c r="S832" s="95"/>
      <c r="T832" s="95"/>
      <c r="U832" s="95"/>
      <c r="V832" s="95"/>
      <c r="W832" s="60"/>
      <c r="X832" s="60"/>
      <c r="Y832" s="60"/>
    </row>
    <row r="833" ht="15.75" customHeight="1">
      <c r="A833" s="101"/>
      <c r="B833" s="101"/>
      <c r="C833" s="98"/>
      <c r="D833" s="98"/>
      <c r="E833" s="101"/>
      <c r="F833" s="101"/>
      <c r="G833" s="101"/>
      <c r="H833" s="101"/>
      <c r="I833" s="101"/>
      <c r="J833" s="101"/>
      <c r="K833" s="103"/>
      <c r="L833" s="104"/>
      <c r="M833" s="98"/>
      <c r="N833" s="77"/>
      <c r="O833" s="98"/>
      <c r="P833" s="98"/>
      <c r="Q833" s="98"/>
      <c r="R833" s="98"/>
      <c r="S833" s="98"/>
      <c r="T833" s="98"/>
      <c r="U833" s="98"/>
      <c r="V833" s="98"/>
      <c r="W833" s="60"/>
      <c r="X833" s="60"/>
      <c r="Y833" s="60"/>
    </row>
    <row r="834" ht="15.75" customHeight="1">
      <c r="A834" s="106"/>
      <c r="B834" s="106"/>
      <c r="C834" s="95"/>
      <c r="D834" s="95"/>
      <c r="E834" s="106"/>
      <c r="F834" s="106"/>
      <c r="G834" s="106"/>
      <c r="H834" s="106"/>
      <c r="I834" s="106"/>
      <c r="J834" s="106"/>
      <c r="K834" s="108"/>
      <c r="L834" s="109"/>
      <c r="M834" s="95"/>
      <c r="N834" s="77"/>
      <c r="O834" s="95"/>
      <c r="P834" s="95"/>
      <c r="Q834" s="95"/>
      <c r="R834" s="95"/>
      <c r="S834" s="95"/>
      <c r="T834" s="95"/>
      <c r="U834" s="95"/>
      <c r="V834" s="95"/>
      <c r="W834" s="60"/>
      <c r="X834" s="60"/>
      <c r="Y834" s="60"/>
    </row>
    <row r="835" ht="15.75" customHeight="1">
      <c r="A835" s="101"/>
      <c r="B835" s="101"/>
      <c r="C835" s="98"/>
      <c r="D835" s="98"/>
      <c r="E835" s="101"/>
      <c r="F835" s="101"/>
      <c r="G835" s="101"/>
      <c r="H835" s="101"/>
      <c r="I835" s="101"/>
      <c r="J835" s="101"/>
      <c r="K835" s="103"/>
      <c r="L835" s="104"/>
      <c r="M835" s="98"/>
      <c r="N835" s="77"/>
      <c r="O835" s="98"/>
      <c r="P835" s="98"/>
      <c r="Q835" s="98"/>
      <c r="R835" s="98"/>
      <c r="S835" s="98"/>
      <c r="T835" s="98"/>
      <c r="U835" s="98"/>
      <c r="V835" s="98"/>
      <c r="W835" s="60"/>
      <c r="X835" s="60"/>
      <c r="Y835" s="60"/>
    </row>
    <row r="836" ht="15.75" customHeight="1">
      <c r="A836" s="106"/>
      <c r="B836" s="106"/>
      <c r="C836" s="95"/>
      <c r="D836" s="95"/>
      <c r="E836" s="106"/>
      <c r="F836" s="106"/>
      <c r="G836" s="106"/>
      <c r="H836" s="106"/>
      <c r="I836" s="106"/>
      <c r="J836" s="106"/>
      <c r="K836" s="108"/>
      <c r="L836" s="109"/>
      <c r="M836" s="95"/>
      <c r="N836" s="77"/>
      <c r="O836" s="95"/>
      <c r="P836" s="95"/>
      <c r="Q836" s="95"/>
      <c r="R836" s="95"/>
      <c r="S836" s="95"/>
      <c r="T836" s="95"/>
      <c r="U836" s="95"/>
      <c r="V836" s="95"/>
      <c r="W836" s="60"/>
      <c r="X836" s="60"/>
      <c r="Y836" s="60"/>
    </row>
    <row r="837" ht="15.75" customHeight="1">
      <c r="A837" s="101"/>
      <c r="B837" s="101"/>
      <c r="C837" s="98"/>
      <c r="D837" s="98"/>
      <c r="E837" s="101"/>
      <c r="F837" s="101"/>
      <c r="G837" s="101"/>
      <c r="H837" s="101"/>
      <c r="I837" s="101"/>
      <c r="J837" s="101"/>
      <c r="K837" s="103"/>
      <c r="L837" s="104"/>
      <c r="M837" s="98"/>
      <c r="N837" s="77"/>
      <c r="O837" s="98"/>
      <c r="P837" s="98"/>
      <c r="Q837" s="98"/>
      <c r="R837" s="98"/>
      <c r="S837" s="98"/>
      <c r="T837" s="98"/>
      <c r="U837" s="98"/>
      <c r="V837" s="98"/>
      <c r="W837" s="60"/>
      <c r="X837" s="60"/>
      <c r="Y837" s="60"/>
    </row>
    <row r="838" ht="15.75" customHeight="1">
      <c r="A838" s="106"/>
      <c r="B838" s="106"/>
      <c r="C838" s="95"/>
      <c r="D838" s="95"/>
      <c r="E838" s="106"/>
      <c r="F838" s="106"/>
      <c r="G838" s="106"/>
      <c r="H838" s="106"/>
      <c r="I838" s="106"/>
      <c r="J838" s="106"/>
      <c r="K838" s="108"/>
      <c r="L838" s="109"/>
      <c r="M838" s="95"/>
      <c r="N838" s="77"/>
      <c r="O838" s="95"/>
      <c r="P838" s="95"/>
      <c r="Q838" s="95"/>
      <c r="R838" s="95"/>
      <c r="S838" s="95"/>
      <c r="T838" s="95"/>
      <c r="U838" s="95"/>
      <c r="V838" s="95"/>
      <c r="W838" s="60"/>
      <c r="X838" s="60"/>
      <c r="Y838" s="60"/>
    </row>
    <row r="839" ht="15.75" customHeight="1">
      <c r="A839" s="101"/>
      <c r="B839" s="101"/>
      <c r="C839" s="98"/>
      <c r="D839" s="98"/>
      <c r="E839" s="101"/>
      <c r="F839" s="101"/>
      <c r="G839" s="101"/>
      <c r="H839" s="101"/>
      <c r="I839" s="101"/>
      <c r="J839" s="101"/>
      <c r="K839" s="103"/>
      <c r="L839" s="104"/>
      <c r="M839" s="98"/>
      <c r="N839" s="77"/>
      <c r="O839" s="98"/>
      <c r="P839" s="98"/>
      <c r="Q839" s="98"/>
      <c r="R839" s="98"/>
      <c r="S839" s="98"/>
      <c r="T839" s="98"/>
      <c r="U839" s="98"/>
      <c r="V839" s="98"/>
      <c r="W839" s="60"/>
      <c r="X839" s="60"/>
      <c r="Y839" s="60"/>
    </row>
    <row r="840" ht="15.75" customHeight="1">
      <c r="A840" s="106"/>
      <c r="B840" s="106"/>
      <c r="C840" s="95"/>
      <c r="D840" s="95"/>
      <c r="E840" s="106"/>
      <c r="F840" s="106"/>
      <c r="G840" s="106"/>
      <c r="H840" s="106"/>
      <c r="I840" s="106"/>
      <c r="J840" s="106"/>
      <c r="K840" s="108"/>
      <c r="L840" s="109"/>
      <c r="M840" s="95"/>
      <c r="N840" s="77"/>
      <c r="O840" s="95"/>
      <c r="P840" s="95"/>
      <c r="Q840" s="95"/>
      <c r="R840" s="95"/>
      <c r="S840" s="95"/>
      <c r="T840" s="95"/>
      <c r="U840" s="95"/>
      <c r="V840" s="95"/>
      <c r="W840" s="60"/>
      <c r="X840" s="60"/>
      <c r="Y840" s="60"/>
    </row>
    <row r="841" ht="15.75" customHeight="1">
      <c r="A841" s="101"/>
      <c r="B841" s="101"/>
      <c r="C841" s="98"/>
      <c r="D841" s="98"/>
      <c r="E841" s="101"/>
      <c r="F841" s="101"/>
      <c r="G841" s="101"/>
      <c r="H841" s="101"/>
      <c r="I841" s="101"/>
      <c r="J841" s="101"/>
      <c r="K841" s="103"/>
      <c r="L841" s="104"/>
      <c r="M841" s="98"/>
      <c r="N841" s="77"/>
      <c r="O841" s="98"/>
      <c r="P841" s="98"/>
      <c r="Q841" s="98"/>
      <c r="R841" s="98"/>
      <c r="S841" s="98"/>
      <c r="T841" s="98"/>
      <c r="U841" s="98"/>
      <c r="V841" s="98"/>
      <c r="W841" s="60"/>
      <c r="X841" s="60"/>
      <c r="Y841" s="60"/>
    </row>
    <row r="842" ht="15.75" customHeight="1">
      <c r="A842" s="106"/>
      <c r="B842" s="106"/>
      <c r="C842" s="95"/>
      <c r="D842" s="95"/>
      <c r="E842" s="106"/>
      <c r="F842" s="106"/>
      <c r="G842" s="106"/>
      <c r="H842" s="106"/>
      <c r="I842" s="106"/>
      <c r="J842" s="106"/>
      <c r="K842" s="108"/>
      <c r="L842" s="109"/>
      <c r="M842" s="95"/>
      <c r="N842" s="77"/>
      <c r="O842" s="95"/>
      <c r="P842" s="95"/>
      <c r="Q842" s="95"/>
      <c r="R842" s="95"/>
      <c r="S842" s="95"/>
      <c r="T842" s="95"/>
      <c r="U842" s="95"/>
      <c r="V842" s="95"/>
      <c r="W842" s="60"/>
      <c r="X842" s="60"/>
      <c r="Y842" s="60"/>
    </row>
    <row r="843" ht="15.75" customHeight="1">
      <c r="A843" s="101"/>
      <c r="B843" s="101"/>
      <c r="C843" s="98"/>
      <c r="D843" s="98"/>
      <c r="E843" s="101"/>
      <c r="F843" s="101"/>
      <c r="G843" s="101"/>
      <c r="H843" s="101"/>
      <c r="I843" s="101"/>
      <c r="J843" s="101"/>
      <c r="K843" s="103"/>
      <c r="L843" s="104"/>
      <c r="M843" s="98"/>
      <c r="N843" s="77"/>
      <c r="O843" s="98"/>
      <c r="P843" s="98"/>
      <c r="Q843" s="98"/>
      <c r="R843" s="98"/>
      <c r="S843" s="98"/>
      <c r="T843" s="98"/>
      <c r="U843" s="98"/>
      <c r="V843" s="98"/>
      <c r="W843" s="60"/>
      <c r="X843" s="60"/>
      <c r="Y843" s="60"/>
    </row>
    <row r="844" ht="15.75" customHeight="1">
      <c r="A844" s="106"/>
      <c r="B844" s="106"/>
      <c r="C844" s="95"/>
      <c r="D844" s="95"/>
      <c r="E844" s="106"/>
      <c r="F844" s="106"/>
      <c r="G844" s="106"/>
      <c r="H844" s="106"/>
      <c r="I844" s="106"/>
      <c r="J844" s="106"/>
      <c r="K844" s="108"/>
      <c r="L844" s="109"/>
      <c r="M844" s="95"/>
      <c r="N844" s="77"/>
      <c r="O844" s="95"/>
      <c r="P844" s="95"/>
      <c r="Q844" s="95"/>
      <c r="R844" s="95"/>
      <c r="S844" s="95"/>
      <c r="T844" s="95"/>
      <c r="U844" s="95"/>
      <c r="V844" s="95"/>
      <c r="W844" s="60"/>
      <c r="X844" s="60"/>
      <c r="Y844" s="60"/>
    </row>
    <row r="845" ht="15.75" customHeight="1">
      <c r="A845" s="101"/>
      <c r="B845" s="101"/>
      <c r="C845" s="98"/>
      <c r="D845" s="98"/>
      <c r="E845" s="101"/>
      <c r="F845" s="101"/>
      <c r="G845" s="101"/>
      <c r="H845" s="101"/>
      <c r="I845" s="101"/>
      <c r="J845" s="101"/>
      <c r="K845" s="103"/>
      <c r="L845" s="104"/>
      <c r="M845" s="98"/>
      <c r="N845" s="77"/>
      <c r="O845" s="98"/>
      <c r="P845" s="98"/>
      <c r="Q845" s="98"/>
      <c r="R845" s="98"/>
      <c r="S845" s="98"/>
      <c r="T845" s="98"/>
      <c r="U845" s="98"/>
      <c r="V845" s="98"/>
      <c r="W845" s="60"/>
      <c r="X845" s="60"/>
      <c r="Y845" s="60"/>
    </row>
    <row r="846" ht="15.75" customHeight="1">
      <c r="A846" s="106"/>
      <c r="B846" s="106"/>
      <c r="C846" s="95"/>
      <c r="D846" s="95"/>
      <c r="E846" s="106"/>
      <c r="F846" s="106"/>
      <c r="G846" s="106"/>
      <c r="H846" s="106"/>
      <c r="I846" s="106"/>
      <c r="J846" s="106"/>
      <c r="K846" s="108"/>
      <c r="L846" s="109"/>
      <c r="M846" s="95"/>
      <c r="N846" s="77"/>
      <c r="O846" s="95"/>
      <c r="P846" s="95"/>
      <c r="Q846" s="95"/>
      <c r="R846" s="95"/>
      <c r="S846" s="95"/>
      <c r="T846" s="95"/>
      <c r="U846" s="95"/>
      <c r="V846" s="95"/>
      <c r="W846" s="60"/>
      <c r="X846" s="60"/>
      <c r="Y846" s="60"/>
    </row>
    <row r="847" ht="15.75" customHeight="1">
      <c r="A847" s="101"/>
      <c r="B847" s="101"/>
      <c r="C847" s="98"/>
      <c r="D847" s="98"/>
      <c r="E847" s="101"/>
      <c r="F847" s="101"/>
      <c r="G847" s="101"/>
      <c r="H847" s="101"/>
      <c r="I847" s="101"/>
      <c r="J847" s="101"/>
      <c r="K847" s="103"/>
      <c r="L847" s="104"/>
      <c r="M847" s="98"/>
      <c r="N847" s="77"/>
      <c r="O847" s="98"/>
      <c r="P847" s="98"/>
      <c r="Q847" s="98"/>
      <c r="R847" s="98"/>
      <c r="S847" s="98"/>
      <c r="T847" s="98"/>
      <c r="U847" s="98"/>
      <c r="V847" s="98"/>
      <c r="W847" s="60"/>
      <c r="X847" s="60"/>
      <c r="Y847" s="60"/>
    </row>
    <row r="848" ht="15.75" customHeight="1">
      <c r="A848" s="106"/>
      <c r="B848" s="106"/>
      <c r="C848" s="95"/>
      <c r="D848" s="95"/>
      <c r="E848" s="106"/>
      <c r="F848" s="106"/>
      <c r="G848" s="106"/>
      <c r="H848" s="106"/>
      <c r="I848" s="106"/>
      <c r="J848" s="106"/>
      <c r="K848" s="108"/>
      <c r="L848" s="109"/>
      <c r="M848" s="95"/>
      <c r="N848" s="77"/>
      <c r="O848" s="95"/>
      <c r="P848" s="95"/>
      <c r="Q848" s="95"/>
      <c r="R848" s="95"/>
      <c r="S848" s="95"/>
      <c r="T848" s="95"/>
      <c r="U848" s="95"/>
      <c r="V848" s="95"/>
      <c r="W848" s="60"/>
      <c r="X848" s="60"/>
      <c r="Y848" s="60"/>
    </row>
    <row r="849" ht="15.75" customHeight="1">
      <c r="A849" s="101"/>
      <c r="B849" s="101"/>
      <c r="C849" s="98"/>
      <c r="D849" s="98"/>
      <c r="E849" s="101"/>
      <c r="F849" s="101"/>
      <c r="G849" s="101"/>
      <c r="H849" s="101"/>
      <c r="I849" s="101"/>
      <c r="J849" s="101"/>
      <c r="K849" s="103"/>
      <c r="L849" s="104"/>
      <c r="M849" s="98"/>
      <c r="N849" s="77"/>
      <c r="O849" s="98"/>
      <c r="P849" s="98"/>
      <c r="Q849" s="98"/>
      <c r="R849" s="98"/>
      <c r="S849" s="98"/>
      <c r="T849" s="98"/>
      <c r="U849" s="98"/>
      <c r="V849" s="98"/>
      <c r="W849" s="60"/>
      <c r="X849" s="60"/>
      <c r="Y849" s="60"/>
    </row>
    <row r="850" ht="15.75" customHeight="1">
      <c r="A850" s="106"/>
      <c r="B850" s="106"/>
      <c r="C850" s="95"/>
      <c r="D850" s="95"/>
      <c r="E850" s="106"/>
      <c r="F850" s="106"/>
      <c r="G850" s="106"/>
      <c r="H850" s="106"/>
      <c r="I850" s="106"/>
      <c r="J850" s="106"/>
      <c r="K850" s="108"/>
      <c r="L850" s="109"/>
      <c r="M850" s="95"/>
      <c r="N850" s="77"/>
      <c r="O850" s="95"/>
      <c r="P850" s="95"/>
      <c r="Q850" s="95"/>
      <c r="R850" s="95"/>
      <c r="S850" s="95"/>
      <c r="T850" s="95"/>
      <c r="U850" s="95"/>
      <c r="V850" s="95"/>
      <c r="W850" s="60"/>
      <c r="X850" s="60"/>
      <c r="Y850" s="60"/>
    </row>
    <row r="851" ht="15.75" customHeight="1">
      <c r="A851" s="101"/>
      <c r="B851" s="101"/>
      <c r="C851" s="98"/>
      <c r="D851" s="98"/>
      <c r="E851" s="101"/>
      <c r="F851" s="101"/>
      <c r="G851" s="101"/>
      <c r="H851" s="101"/>
      <c r="I851" s="101"/>
      <c r="J851" s="101"/>
      <c r="K851" s="103"/>
      <c r="L851" s="104"/>
      <c r="M851" s="98"/>
      <c r="N851" s="77"/>
      <c r="O851" s="98"/>
      <c r="P851" s="98"/>
      <c r="Q851" s="98"/>
      <c r="R851" s="98"/>
      <c r="S851" s="98"/>
      <c r="T851" s="98"/>
      <c r="U851" s="98"/>
      <c r="V851" s="98"/>
      <c r="W851" s="60"/>
      <c r="X851" s="60"/>
      <c r="Y851" s="60"/>
    </row>
    <row r="852" ht="15.75" customHeight="1">
      <c r="A852" s="106"/>
      <c r="B852" s="106"/>
      <c r="C852" s="95"/>
      <c r="D852" s="95"/>
      <c r="E852" s="106"/>
      <c r="F852" s="106"/>
      <c r="G852" s="106"/>
      <c r="H852" s="106"/>
      <c r="I852" s="106"/>
      <c r="J852" s="106"/>
      <c r="K852" s="108"/>
      <c r="L852" s="109"/>
      <c r="M852" s="95"/>
      <c r="N852" s="77"/>
      <c r="O852" s="95"/>
      <c r="P852" s="95"/>
      <c r="Q852" s="95"/>
      <c r="R852" s="95"/>
      <c r="S852" s="95"/>
      <c r="T852" s="95"/>
      <c r="U852" s="95"/>
      <c r="V852" s="95"/>
      <c r="W852" s="60"/>
      <c r="X852" s="60"/>
      <c r="Y852" s="60"/>
    </row>
    <row r="853" ht="15.75" customHeight="1">
      <c r="A853" s="101"/>
      <c r="B853" s="101"/>
      <c r="C853" s="98"/>
      <c r="D853" s="98"/>
      <c r="E853" s="101"/>
      <c r="F853" s="101"/>
      <c r="G853" s="101"/>
      <c r="H853" s="101"/>
      <c r="I853" s="101"/>
      <c r="J853" s="101"/>
      <c r="K853" s="103"/>
      <c r="L853" s="104"/>
      <c r="M853" s="98"/>
      <c r="N853" s="77"/>
      <c r="O853" s="98"/>
      <c r="P853" s="98"/>
      <c r="Q853" s="98"/>
      <c r="R853" s="98"/>
      <c r="S853" s="98"/>
      <c r="T853" s="98"/>
      <c r="U853" s="98"/>
      <c r="V853" s="98"/>
      <c r="W853" s="60"/>
      <c r="X853" s="60"/>
      <c r="Y853" s="60"/>
    </row>
    <row r="854" ht="15.75" customHeight="1">
      <c r="A854" s="106"/>
      <c r="B854" s="106"/>
      <c r="C854" s="95"/>
      <c r="D854" s="95"/>
      <c r="E854" s="106"/>
      <c r="F854" s="106"/>
      <c r="G854" s="106"/>
      <c r="H854" s="106"/>
      <c r="I854" s="106"/>
      <c r="J854" s="106"/>
      <c r="K854" s="108"/>
      <c r="L854" s="109"/>
      <c r="M854" s="95"/>
      <c r="N854" s="77"/>
      <c r="O854" s="95"/>
      <c r="P854" s="95"/>
      <c r="Q854" s="95"/>
      <c r="R854" s="95"/>
      <c r="S854" s="95"/>
      <c r="T854" s="95"/>
      <c r="U854" s="95"/>
      <c r="V854" s="95"/>
      <c r="W854" s="60"/>
      <c r="X854" s="60"/>
      <c r="Y854" s="60"/>
    </row>
    <row r="855" ht="15.75" customHeight="1">
      <c r="A855" s="101"/>
      <c r="B855" s="101"/>
      <c r="C855" s="98"/>
      <c r="D855" s="98"/>
      <c r="E855" s="101"/>
      <c r="F855" s="101"/>
      <c r="G855" s="101"/>
      <c r="H855" s="101"/>
      <c r="I855" s="101"/>
      <c r="J855" s="101"/>
      <c r="K855" s="103"/>
      <c r="L855" s="104"/>
      <c r="M855" s="98"/>
      <c r="N855" s="77"/>
      <c r="O855" s="98"/>
      <c r="P855" s="98"/>
      <c r="Q855" s="98"/>
      <c r="R855" s="98"/>
      <c r="S855" s="98"/>
      <c r="T855" s="98"/>
      <c r="U855" s="98"/>
      <c r="V855" s="98"/>
      <c r="W855" s="60"/>
      <c r="X855" s="60"/>
      <c r="Y855" s="60"/>
    </row>
    <row r="856" ht="15.75" customHeight="1">
      <c r="A856" s="106"/>
      <c r="B856" s="106"/>
      <c r="C856" s="95"/>
      <c r="D856" s="95"/>
      <c r="E856" s="106"/>
      <c r="F856" s="106"/>
      <c r="G856" s="106"/>
      <c r="H856" s="106"/>
      <c r="I856" s="106"/>
      <c r="J856" s="106"/>
      <c r="K856" s="108"/>
      <c r="L856" s="109"/>
      <c r="M856" s="95"/>
      <c r="N856" s="77"/>
      <c r="O856" s="95"/>
      <c r="P856" s="95"/>
      <c r="Q856" s="95"/>
      <c r="R856" s="95"/>
      <c r="S856" s="95"/>
      <c r="T856" s="95"/>
      <c r="U856" s="95"/>
      <c r="V856" s="95"/>
      <c r="W856" s="60"/>
      <c r="X856" s="60"/>
      <c r="Y856" s="60"/>
    </row>
    <row r="857" ht="15.75" customHeight="1">
      <c r="A857" s="101"/>
      <c r="B857" s="101"/>
      <c r="C857" s="98"/>
      <c r="D857" s="98"/>
      <c r="E857" s="101"/>
      <c r="F857" s="101"/>
      <c r="G857" s="101"/>
      <c r="H857" s="101"/>
      <c r="I857" s="101"/>
      <c r="J857" s="101"/>
      <c r="K857" s="103"/>
      <c r="L857" s="104"/>
      <c r="M857" s="98"/>
      <c r="N857" s="77"/>
      <c r="O857" s="98"/>
      <c r="P857" s="98"/>
      <c r="Q857" s="98"/>
      <c r="R857" s="98"/>
      <c r="S857" s="98"/>
      <c r="T857" s="98"/>
      <c r="U857" s="98"/>
      <c r="V857" s="98"/>
      <c r="W857" s="60"/>
      <c r="X857" s="60"/>
      <c r="Y857" s="60"/>
    </row>
    <row r="858" ht="15.75" customHeight="1">
      <c r="A858" s="106"/>
      <c r="B858" s="106"/>
      <c r="C858" s="95"/>
      <c r="D858" s="95"/>
      <c r="E858" s="106"/>
      <c r="F858" s="106"/>
      <c r="G858" s="106"/>
      <c r="H858" s="106"/>
      <c r="I858" s="106"/>
      <c r="J858" s="106"/>
      <c r="K858" s="108"/>
      <c r="L858" s="109"/>
      <c r="M858" s="95"/>
      <c r="N858" s="77"/>
      <c r="O858" s="95"/>
      <c r="P858" s="95"/>
      <c r="Q858" s="95"/>
      <c r="R858" s="95"/>
      <c r="S858" s="95"/>
      <c r="T858" s="95"/>
      <c r="U858" s="95"/>
      <c r="V858" s="95"/>
      <c r="W858" s="60"/>
      <c r="X858" s="60"/>
      <c r="Y858" s="60"/>
    </row>
    <row r="859" ht="15.75" customHeight="1">
      <c r="A859" s="101"/>
      <c r="B859" s="101"/>
      <c r="C859" s="98"/>
      <c r="D859" s="98"/>
      <c r="E859" s="101"/>
      <c r="F859" s="101"/>
      <c r="G859" s="101"/>
      <c r="H859" s="101"/>
      <c r="I859" s="101"/>
      <c r="J859" s="101"/>
      <c r="K859" s="103"/>
      <c r="L859" s="104"/>
      <c r="M859" s="98"/>
      <c r="N859" s="77"/>
      <c r="O859" s="98"/>
      <c r="P859" s="98"/>
      <c r="Q859" s="98"/>
      <c r="R859" s="98"/>
      <c r="S859" s="98"/>
      <c r="T859" s="98"/>
      <c r="U859" s="98"/>
      <c r="V859" s="98"/>
      <c r="W859" s="60"/>
      <c r="X859" s="60"/>
      <c r="Y859" s="60"/>
    </row>
    <row r="860" ht="15.75" customHeight="1">
      <c r="A860" s="106"/>
      <c r="B860" s="106"/>
      <c r="C860" s="95"/>
      <c r="D860" s="95"/>
      <c r="E860" s="106"/>
      <c r="F860" s="106"/>
      <c r="G860" s="106"/>
      <c r="H860" s="106"/>
      <c r="I860" s="106"/>
      <c r="J860" s="106"/>
      <c r="K860" s="108"/>
      <c r="L860" s="109"/>
      <c r="M860" s="95"/>
      <c r="N860" s="77"/>
      <c r="O860" s="95"/>
      <c r="P860" s="95"/>
      <c r="Q860" s="95"/>
      <c r="R860" s="95"/>
      <c r="S860" s="95"/>
      <c r="T860" s="95"/>
      <c r="U860" s="95"/>
      <c r="V860" s="95"/>
      <c r="W860" s="60"/>
      <c r="X860" s="60"/>
      <c r="Y860" s="60"/>
    </row>
    <row r="861" ht="15.75" customHeight="1">
      <c r="A861" s="101"/>
      <c r="B861" s="101"/>
      <c r="C861" s="98"/>
      <c r="D861" s="98"/>
      <c r="E861" s="101"/>
      <c r="F861" s="101"/>
      <c r="G861" s="101"/>
      <c r="H861" s="101"/>
      <c r="I861" s="101"/>
      <c r="J861" s="101"/>
      <c r="K861" s="103"/>
      <c r="L861" s="104"/>
      <c r="M861" s="98"/>
      <c r="N861" s="77"/>
      <c r="O861" s="98"/>
      <c r="P861" s="98"/>
      <c r="Q861" s="98"/>
      <c r="R861" s="98"/>
      <c r="S861" s="98"/>
      <c r="T861" s="98"/>
      <c r="U861" s="98"/>
      <c r="V861" s="98"/>
      <c r="W861" s="60"/>
      <c r="X861" s="60"/>
      <c r="Y861" s="60"/>
    </row>
    <row r="862" ht="15.75" customHeight="1">
      <c r="A862" s="106"/>
      <c r="B862" s="106"/>
      <c r="C862" s="95"/>
      <c r="D862" s="95"/>
      <c r="E862" s="106"/>
      <c r="F862" s="106"/>
      <c r="G862" s="106"/>
      <c r="H862" s="106"/>
      <c r="I862" s="106"/>
      <c r="J862" s="106"/>
      <c r="K862" s="108"/>
      <c r="L862" s="109"/>
      <c r="M862" s="95"/>
      <c r="N862" s="77"/>
      <c r="O862" s="95"/>
      <c r="P862" s="95"/>
      <c r="Q862" s="95"/>
      <c r="R862" s="95"/>
      <c r="S862" s="95"/>
      <c r="T862" s="95"/>
      <c r="U862" s="95"/>
      <c r="V862" s="95"/>
      <c r="W862" s="60"/>
      <c r="X862" s="60"/>
      <c r="Y862" s="60"/>
    </row>
    <row r="863" ht="15.75" customHeight="1">
      <c r="A863" s="101"/>
      <c r="B863" s="101"/>
      <c r="C863" s="98"/>
      <c r="D863" s="98"/>
      <c r="E863" s="101"/>
      <c r="F863" s="101"/>
      <c r="G863" s="101"/>
      <c r="H863" s="101"/>
      <c r="I863" s="101"/>
      <c r="J863" s="101"/>
      <c r="K863" s="103"/>
      <c r="L863" s="104"/>
      <c r="M863" s="98"/>
      <c r="N863" s="77"/>
      <c r="O863" s="98"/>
      <c r="P863" s="98"/>
      <c r="Q863" s="98"/>
      <c r="R863" s="98"/>
      <c r="S863" s="98"/>
      <c r="T863" s="98"/>
      <c r="U863" s="98"/>
      <c r="V863" s="98"/>
      <c r="W863" s="60"/>
      <c r="X863" s="60"/>
      <c r="Y863" s="60"/>
    </row>
    <row r="864" ht="15.75" customHeight="1">
      <c r="A864" s="106"/>
      <c r="B864" s="106"/>
      <c r="C864" s="95"/>
      <c r="D864" s="95"/>
      <c r="E864" s="106"/>
      <c r="F864" s="106"/>
      <c r="G864" s="106"/>
      <c r="H864" s="106"/>
      <c r="I864" s="106"/>
      <c r="J864" s="106"/>
      <c r="K864" s="108"/>
      <c r="L864" s="109"/>
      <c r="M864" s="95"/>
      <c r="N864" s="77"/>
      <c r="O864" s="95"/>
      <c r="P864" s="95"/>
      <c r="Q864" s="95"/>
      <c r="R864" s="95"/>
      <c r="S864" s="95"/>
      <c r="T864" s="95"/>
      <c r="U864" s="95"/>
      <c r="V864" s="95"/>
      <c r="W864" s="60"/>
      <c r="X864" s="60"/>
      <c r="Y864" s="60"/>
    </row>
    <row r="865" ht="15.75" customHeight="1">
      <c r="A865" s="101"/>
      <c r="B865" s="101"/>
      <c r="C865" s="98"/>
      <c r="D865" s="98"/>
      <c r="E865" s="101"/>
      <c r="F865" s="101"/>
      <c r="G865" s="101"/>
      <c r="H865" s="101"/>
      <c r="I865" s="101"/>
      <c r="J865" s="101"/>
      <c r="K865" s="103"/>
      <c r="L865" s="104"/>
      <c r="M865" s="98"/>
      <c r="N865" s="77"/>
      <c r="O865" s="98"/>
      <c r="P865" s="98"/>
      <c r="Q865" s="98"/>
      <c r="R865" s="98"/>
      <c r="S865" s="98"/>
      <c r="T865" s="98"/>
      <c r="U865" s="98"/>
      <c r="V865" s="98"/>
      <c r="W865" s="60"/>
      <c r="X865" s="60"/>
      <c r="Y865" s="60"/>
    </row>
    <row r="866" ht="15.75" customHeight="1">
      <c r="A866" s="106"/>
      <c r="B866" s="106"/>
      <c r="C866" s="95"/>
      <c r="D866" s="95"/>
      <c r="E866" s="106"/>
      <c r="F866" s="106"/>
      <c r="G866" s="106"/>
      <c r="H866" s="106"/>
      <c r="I866" s="106"/>
      <c r="J866" s="106"/>
      <c r="K866" s="108"/>
      <c r="L866" s="109"/>
      <c r="M866" s="95"/>
      <c r="N866" s="77"/>
      <c r="O866" s="95"/>
      <c r="P866" s="95"/>
      <c r="Q866" s="95"/>
      <c r="R866" s="95"/>
      <c r="S866" s="95"/>
      <c r="T866" s="95"/>
      <c r="U866" s="95"/>
      <c r="V866" s="95"/>
      <c r="W866" s="60"/>
      <c r="X866" s="60"/>
      <c r="Y866" s="60"/>
    </row>
    <row r="867" ht="15.75" customHeight="1">
      <c r="A867" s="101"/>
      <c r="B867" s="101"/>
      <c r="C867" s="98"/>
      <c r="D867" s="98"/>
      <c r="E867" s="101"/>
      <c r="F867" s="101"/>
      <c r="G867" s="101"/>
      <c r="H867" s="101"/>
      <c r="I867" s="101"/>
      <c r="J867" s="101"/>
      <c r="K867" s="103"/>
      <c r="L867" s="104"/>
      <c r="M867" s="98"/>
      <c r="N867" s="77"/>
      <c r="O867" s="98"/>
      <c r="P867" s="98"/>
      <c r="Q867" s="98"/>
      <c r="R867" s="98"/>
      <c r="S867" s="98"/>
      <c r="T867" s="98"/>
      <c r="U867" s="98"/>
      <c r="V867" s="98"/>
      <c r="W867" s="60"/>
      <c r="X867" s="60"/>
      <c r="Y867" s="60"/>
    </row>
    <row r="868" ht="15.75" customHeight="1">
      <c r="A868" s="106"/>
      <c r="B868" s="106"/>
      <c r="C868" s="95"/>
      <c r="D868" s="95"/>
      <c r="E868" s="106"/>
      <c r="F868" s="106"/>
      <c r="G868" s="106"/>
      <c r="H868" s="106"/>
      <c r="I868" s="106"/>
      <c r="J868" s="106"/>
      <c r="K868" s="108"/>
      <c r="L868" s="109"/>
      <c r="M868" s="95"/>
      <c r="N868" s="77"/>
      <c r="O868" s="95"/>
      <c r="P868" s="95"/>
      <c r="Q868" s="95"/>
      <c r="R868" s="95"/>
      <c r="S868" s="95"/>
      <c r="T868" s="95"/>
      <c r="U868" s="95"/>
      <c r="V868" s="95"/>
      <c r="W868" s="60"/>
      <c r="X868" s="60"/>
      <c r="Y868" s="60"/>
    </row>
    <row r="869" ht="15.75" customHeight="1">
      <c r="A869" s="101"/>
      <c r="B869" s="101"/>
      <c r="C869" s="98"/>
      <c r="D869" s="98"/>
      <c r="E869" s="101"/>
      <c r="F869" s="101"/>
      <c r="G869" s="101"/>
      <c r="H869" s="101"/>
      <c r="I869" s="101"/>
      <c r="J869" s="101"/>
      <c r="K869" s="103"/>
      <c r="L869" s="104"/>
      <c r="M869" s="98"/>
      <c r="N869" s="77"/>
      <c r="O869" s="98"/>
      <c r="P869" s="98"/>
      <c r="Q869" s="98"/>
      <c r="R869" s="98"/>
      <c r="S869" s="98"/>
      <c r="T869" s="98"/>
      <c r="U869" s="98"/>
      <c r="V869" s="98"/>
      <c r="W869" s="60"/>
      <c r="X869" s="60"/>
      <c r="Y869" s="60"/>
    </row>
    <row r="870" ht="15.75" customHeight="1">
      <c r="A870" s="106"/>
      <c r="B870" s="106"/>
      <c r="C870" s="95"/>
      <c r="D870" s="95"/>
      <c r="E870" s="106"/>
      <c r="F870" s="106"/>
      <c r="G870" s="106"/>
      <c r="H870" s="106"/>
      <c r="I870" s="106"/>
      <c r="J870" s="106"/>
      <c r="K870" s="108"/>
      <c r="L870" s="109"/>
      <c r="M870" s="95"/>
      <c r="N870" s="77"/>
      <c r="O870" s="95"/>
      <c r="P870" s="95"/>
      <c r="Q870" s="95"/>
      <c r="R870" s="95"/>
      <c r="S870" s="95"/>
      <c r="T870" s="95"/>
      <c r="U870" s="95"/>
      <c r="V870" s="95"/>
      <c r="W870" s="60"/>
      <c r="X870" s="60"/>
      <c r="Y870" s="60"/>
    </row>
    <row r="871" ht="15.75" customHeight="1">
      <c r="A871" s="101"/>
      <c r="B871" s="101"/>
      <c r="C871" s="98"/>
      <c r="D871" s="98"/>
      <c r="E871" s="101"/>
      <c r="F871" s="101"/>
      <c r="G871" s="101"/>
      <c r="H871" s="101"/>
      <c r="I871" s="101"/>
      <c r="J871" s="101"/>
      <c r="K871" s="103"/>
      <c r="L871" s="104"/>
      <c r="M871" s="98"/>
      <c r="N871" s="77"/>
      <c r="O871" s="98"/>
      <c r="P871" s="98"/>
      <c r="Q871" s="98"/>
      <c r="R871" s="98"/>
      <c r="S871" s="98"/>
      <c r="T871" s="98"/>
      <c r="U871" s="98"/>
      <c r="V871" s="98"/>
      <c r="W871" s="60"/>
      <c r="X871" s="60"/>
      <c r="Y871" s="60"/>
    </row>
    <row r="872" ht="15.75" customHeight="1">
      <c r="A872" s="106"/>
      <c r="B872" s="106"/>
      <c r="C872" s="95"/>
      <c r="D872" s="95"/>
      <c r="E872" s="106"/>
      <c r="F872" s="106"/>
      <c r="G872" s="106"/>
      <c r="H872" s="106"/>
      <c r="I872" s="106"/>
      <c r="J872" s="106"/>
      <c r="K872" s="108"/>
      <c r="L872" s="109"/>
      <c r="M872" s="95"/>
      <c r="N872" s="77"/>
      <c r="O872" s="95"/>
      <c r="P872" s="95"/>
      <c r="Q872" s="95"/>
      <c r="R872" s="95"/>
      <c r="S872" s="95"/>
      <c r="T872" s="95"/>
      <c r="U872" s="95"/>
      <c r="V872" s="95"/>
      <c r="W872" s="60"/>
      <c r="X872" s="60"/>
      <c r="Y872" s="60"/>
    </row>
    <row r="873" ht="15.75" customHeight="1">
      <c r="A873" s="101"/>
      <c r="B873" s="101"/>
      <c r="C873" s="98"/>
      <c r="D873" s="98"/>
      <c r="E873" s="101"/>
      <c r="F873" s="101"/>
      <c r="G873" s="101"/>
      <c r="H873" s="101"/>
      <c r="I873" s="101"/>
      <c r="J873" s="101"/>
      <c r="K873" s="103"/>
      <c r="L873" s="104"/>
      <c r="M873" s="98"/>
      <c r="N873" s="77"/>
      <c r="O873" s="98"/>
      <c r="P873" s="98"/>
      <c r="Q873" s="98"/>
      <c r="R873" s="98"/>
      <c r="S873" s="98"/>
      <c r="T873" s="98"/>
      <c r="U873" s="98"/>
      <c r="V873" s="98"/>
      <c r="W873" s="60"/>
      <c r="X873" s="60"/>
      <c r="Y873" s="60"/>
    </row>
    <row r="874" ht="15.75" customHeight="1">
      <c r="A874" s="106"/>
      <c r="B874" s="106"/>
      <c r="C874" s="95"/>
      <c r="D874" s="95"/>
      <c r="E874" s="106"/>
      <c r="F874" s="106"/>
      <c r="G874" s="106"/>
      <c r="H874" s="106"/>
      <c r="I874" s="106"/>
      <c r="J874" s="106"/>
      <c r="K874" s="108"/>
      <c r="L874" s="109"/>
      <c r="M874" s="95"/>
      <c r="N874" s="77"/>
      <c r="O874" s="95"/>
      <c r="P874" s="95"/>
      <c r="Q874" s="95"/>
      <c r="R874" s="95"/>
      <c r="S874" s="95"/>
      <c r="T874" s="95"/>
      <c r="U874" s="95"/>
      <c r="V874" s="95"/>
      <c r="W874" s="60"/>
      <c r="X874" s="60"/>
      <c r="Y874" s="60"/>
    </row>
    <row r="875" ht="15.75" customHeight="1">
      <c r="A875" s="101"/>
      <c r="B875" s="101"/>
      <c r="C875" s="98"/>
      <c r="D875" s="98"/>
      <c r="E875" s="101"/>
      <c r="F875" s="101"/>
      <c r="G875" s="101"/>
      <c r="H875" s="101"/>
      <c r="I875" s="101"/>
      <c r="J875" s="101"/>
      <c r="K875" s="103"/>
      <c r="L875" s="104"/>
      <c r="M875" s="98"/>
      <c r="N875" s="77"/>
      <c r="O875" s="98"/>
      <c r="P875" s="98"/>
      <c r="Q875" s="98"/>
      <c r="R875" s="98"/>
      <c r="S875" s="98"/>
      <c r="T875" s="98"/>
      <c r="U875" s="98"/>
      <c r="V875" s="98"/>
      <c r="W875" s="60"/>
      <c r="X875" s="60"/>
      <c r="Y875" s="60"/>
    </row>
    <row r="876" ht="15.75" customHeight="1">
      <c r="A876" s="106"/>
      <c r="B876" s="106"/>
      <c r="C876" s="95"/>
      <c r="D876" s="95"/>
      <c r="E876" s="106"/>
      <c r="F876" s="106"/>
      <c r="G876" s="106"/>
      <c r="H876" s="106"/>
      <c r="I876" s="106"/>
      <c r="J876" s="106"/>
      <c r="K876" s="108"/>
      <c r="L876" s="109"/>
      <c r="M876" s="95"/>
      <c r="N876" s="77"/>
      <c r="O876" s="95"/>
      <c r="P876" s="95"/>
      <c r="Q876" s="95"/>
      <c r="R876" s="95"/>
      <c r="S876" s="95"/>
      <c r="T876" s="95"/>
      <c r="U876" s="95"/>
      <c r="V876" s="95"/>
      <c r="W876" s="60"/>
      <c r="X876" s="60"/>
      <c r="Y876" s="60"/>
    </row>
    <row r="877" ht="15.75" customHeight="1">
      <c r="A877" s="101"/>
      <c r="B877" s="101"/>
      <c r="C877" s="98"/>
      <c r="D877" s="98"/>
      <c r="E877" s="101"/>
      <c r="F877" s="101"/>
      <c r="G877" s="101"/>
      <c r="H877" s="101"/>
      <c r="I877" s="101"/>
      <c r="J877" s="101"/>
      <c r="K877" s="103"/>
      <c r="L877" s="104"/>
      <c r="M877" s="98"/>
      <c r="N877" s="77"/>
      <c r="O877" s="98"/>
      <c r="P877" s="98"/>
      <c r="Q877" s="98"/>
      <c r="R877" s="98"/>
      <c r="S877" s="98"/>
      <c r="T877" s="98"/>
      <c r="U877" s="98"/>
      <c r="V877" s="98"/>
      <c r="W877" s="60"/>
      <c r="X877" s="60"/>
      <c r="Y877" s="60"/>
    </row>
    <row r="878" ht="15.75" customHeight="1">
      <c r="A878" s="106"/>
      <c r="B878" s="106"/>
      <c r="C878" s="95"/>
      <c r="D878" s="95"/>
      <c r="E878" s="106"/>
      <c r="F878" s="106"/>
      <c r="G878" s="106"/>
      <c r="H878" s="106"/>
      <c r="I878" s="106"/>
      <c r="J878" s="106"/>
      <c r="K878" s="108"/>
      <c r="L878" s="109"/>
      <c r="M878" s="95"/>
      <c r="N878" s="77"/>
      <c r="O878" s="95"/>
      <c r="P878" s="95"/>
      <c r="Q878" s="95"/>
      <c r="R878" s="95"/>
      <c r="S878" s="95"/>
      <c r="T878" s="95"/>
      <c r="U878" s="95"/>
      <c r="V878" s="95"/>
      <c r="W878" s="60"/>
      <c r="X878" s="60"/>
      <c r="Y878" s="60"/>
    </row>
    <row r="879" ht="15.75" customHeight="1">
      <c r="A879" s="101"/>
      <c r="B879" s="101"/>
      <c r="C879" s="98"/>
      <c r="D879" s="98"/>
      <c r="E879" s="101"/>
      <c r="F879" s="101"/>
      <c r="G879" s="101"/>
      <c r="H879" s="101"/>
      <c r="I879" s="101"/>
      <c r="J879" s="101"/>
      <c r="K879" s="103"/>
      <c r="L879" s="104"/>
      <c r="M879" s="98"/>
      <c r="N879" s="77"/>
      <c r="O879" s="98"/>
      <c r="P879" s="98"/>
      <c r="Q879" s="98"/>
      <c r="R879" s="98"/>
      <c r="S879" s="98"/>
      <c r="T879" s="98"/>
      <c r="U879" s="98"/>
      <c r="V879" s="98"/>
      <c r="W879" s="60"/>
      <c r="X879" s="60"/>
      <c r="Y879" s="60"/>
    </row>
    <row r="880" ht="15.75" customHeight="1">
      <c r="A880" s="106"/>
      <c r="B880" s="106"/>
      <c r="C880" s="95"/>
      <c r="D880" s="95"/>
      <c r="E880" s="106"/>
      <c r="F880" s="106"/>
      <c r="G880" s="106"/>
      <c r="H880" s="106"/>
      <c r="I880" s="106"/>
      <c r="J880" s="106"/>
      <c r="K880" s="108"/>
      <c r="L880" s="109"/>
      <c r="M880" s="95"/>
      <c r="N880" s="77"/>
      <c r="O880" s="95"/>
      <c r="P880" s="95"/>
      <c r="Q880" s="95"/>
      <c r="R880" s="95"/>
      <c r="S880" s="95"/>
      <c r="T880" s="95"/>
      <c r="U880" s="95"/>
      <c r="V880" s="95"/>
      <c r="W880" s="60"/>
      <c r="X880" s="60"/>
      <c r="Y880" s="60"/>
    </row>
    <row r="881" ht="15.75" customHeight="1">
      <c r="A881" s="101"/>
      <c r="B881" s="101"/>
      <c r="C881" s="98"/>
      <c r="D881" s="98"/>
      <c r="E881" s="101"/>
      <c r="F881" s="101"/>
      <c r="G881" s="101"/>
      <c r="H881" s="101"/>
      <c r="I881" s="101"/>
      <c r="J881" s="101"/>
      <c r="K881" s="103"/>
      <c r="L881" s="104"/>
      <c r="M881" s="98"/>
      <c r="N881" s="77"/>
      <c r="O881" s="98"/>
      <c r="P881" s="98"/>
      <c r="Q881" s="98"/>
      <c r="R881" s="98"/>
      <c r="S881" s="98"/>
      <c r="T881" s="98"/>
      <c r="U881" s="98"/>
      <c r="V881" s="98"/>
      <c r="W881" s="60"/>
      <c r="X881" s="60"/>
      <c r="Y881" s="60"/>
    </row>
    <row r="882" ht="15.75" customHeight="1">
      <c r="A882" s="106"/>
      <c r="B882" s="106"/>
      <c r="C882" s="95"/>
      <c r="D882" s="95"/>
      <c r="E882" s="106"/>
      <c r="F882" s="106"/>
      <c r="G882" s="106"/>
      <c r="H882" s="106"/>
      <c r="I882" s="106"/>
      <c r="J882" s="106"/>
      <c r="K882" s="108"/>
      <c r="L882" s="109"/>
      <c r="M882" s="95"/>
      <c r="N882" s="77"/>
      <c r="O882" s="95"/>
      <c r="P882" s="95"/>
      <c r="Q882" s="95"/>
      <c r="R882" s="95"/>
      <c r="S882" s="95"/>
      <c r="T882" s="95"/>
      <c r="U882" s="95"/>
      <c r="V882" s="95"/>
      <c r="W882" s="60"/>
      <c r="X882" s="60"/>
      <c r="Y882" s="60"/>
    </row>
    <row r="883" ht="15.75" customHeight="1">
      <c r="A883" s="101"/>
      <c r="B883" s="101"/>
      <c r="C883" s="98"/>
      <c r="D883" s="98"/>
      <c r="E883" s="101"/>
      <c r="F883" s="101"/>
      <c r="G883" s="101"/>
      <c r="H883" s="101"/>
      <c r="I883" s="101"/>
      <c r="J883" s="101"/>
      <c r="K883" s="103"/>
      <c r="L883" s="104"/>
      <c r="M883" s="98"/>
      <c r="N883" s="77"/>
      <c r="O883" s="98"/>
      <c r="P883" s="98"/>
      <c r="Q883" s="98"/>
      <c r="R883" s="98"/>
      <c r="S883" s="98"/>
      <c r="T883" s="98"/>
      <c r="U883" s="98"/>
      <c r="V883" s="98"/>
      <c r="W883" s="60"/>
      <c r="X883" s="60"/>
      <c r="Y883" s="60"/>
    </row>
    <row r="884" ht="15.75" customHeight="1">
      <c r="A884" s="106"/>
      <c r="B884" s="106"/>
      <c r="C884" s="95"/>
      <c r="D884" s="95"/>
      <c r="E884" s="106"/>
      <c r="F884" s="106"/>
      <c r="G884" s="106"/>
      <c r="H884" s="106"/>
      <c r="I884" s="106"/>
      <c r="J884" s="106"/>
      <c r="K884" s="108"/>
      <c r="L884" s="109"/>
      <c r="M884" s="95"/>
      <c r="N884" s="77"/>
      <c r="O884" s="95"/>
      <c r="P884" s="95"/>
      <c r="Q884" s="95"/>
      <c r="R884" s="95"/>
      <c r="S884" s="95"/>
      <c r="T884" s="95"/>
      <c r="U884" s="95"/>
      <c r="V884" s="95"/>
      <c r="W884" s="60"/>
      <c r="X884" s="60"/>
      <c r="Y884" s="60"/>
    </row>
    <row r="885" ht="15.75" customHeight="1">
      <c r="A885" s="101"/>
      <c r="B885" s="101"/>
      <c r="C885" s="98"/>
      <c r="D885" s="98"/>
      <c r="E885" s="101"/>
      <c r="F885" s="101"/>
      <c r="G885" s="101"/>
      <c r="H885" s="101"/>
      <c r="I885" s="101"/>
      <c r="J885" s="101"/>
      <c r="K885" s="103"/>
      <c r="L885" s="104"/>
      <c r="M885" s="98"/>
      <c r="N885" s="77"/>
      <c r="O885" s="98"/>
      <c r="P885" s="98"/>
      <c r="Q885" s="98"/>
      <c r="R885" s="98"/>
      <c r="S885" s="98"/>
      <c r="T885" s="98"/>
      <c r="U885" s="98"/>
      <c r="V885" s="98"/>
      <c r="W885" s="60"/>
      <c r="X885" s="60"/>
      <c r="Y885" s="60"/>
    </row>
    <row r="886" ht="15.75" customHeight="1">
      <c r="A886" s="106"/>
      <c r="B886" s="106"/>
      <c r="C886" s="95"/>
      <c r="D886" s="95"/>
      <c r="E886" s="106"/>
      <c r="F886" s="106"/>
      <c r="G886" s="106"/>
      <c r="H886" s="106"/>
      <c r="I886" s="106"/>
      <c r="J886" s="106"/>
      <c r="K886" s="108"/>
      <c r="L886" s="109"/>
      <c r="M886" s="95"/>
      <c r="N886" s="77"/>
      <c r="O886" s="95"/>
      <c r="P886" s="95"/>
      <c r="Q886" s="95"/>
      <c r="R886" s="95"/>
      <c r="S886" s="95"/>
      <c r="T886" s="95"/>
      <c r="U886" s="95"/>
      <c r="V886" s="95"/>
      <c r="W886" s="60"/>
      <c r="X886" s="60"/>
      <c r="Y886" s="60"/>
    </row>
    <row r="887" ht="15.75" customHeight="1">
      <c r="A887" s="101"/>
      <c r="B887" s="101"/>
      <c r="C887" s="98"/>
      <c r="D887" s="98"/>
      <c r="E887" s="101"/>
      <c r="F887" s="101"/>
      <c r="G887" s="101"/>
      <c r="H887" s="101"/>
      <c r="I887" s="101"/>
      <c r="J887" s="101"/>
      <c r="K887" s="103"/>
      <c r="L887" s="104"/>
      <c r="M887" s="98"/>
      <c r="N887" s="77"/>
      <c r="O887" s="98"/>
      <c r="P887" s="98"/>
      <c r="Q887" s="98"/>
      <c r="R887" s="98"/>
      <c r="S887" s="98"/>
      <c r="T887" s="98"/>
      <c r="U887" s="98"/>
      <c r="V887" s="98"/>
      <c r="W887" s="60"/>
      <c r="X887" s="60"/>
      <c r="Y887" s="60"/>
    </row>
    <row r="888" ht="15.75" customHeight="1">
      <c r="A888" s="106"/>
      <c r="B888" s="106"/>
      <c r="C888" s="95"/>
      <c r="D888" s="95"/>
      <c r="E888" s="106"/>
      <c r="F888" s="106"/>
      <c r="G888" s="106"/>
      <c r="H888" s="106"/>
      <c r="I888" s="106"/>
      <c r="J888" s="106"/>
      <c r="K888" s="108"/>
      <c r="L888" s="109"/>
      <c r="M888" s="95"/>
      <c r="N888" s="77"/>
      <c r="O888" s="95"/>
      <c r="P888" s="95"/>
      <c r="Q888" s="95"/>
      <c r="R888" s="95"/>
      <c r="S888" s="95"/>
      <c r="T888" s="95"/>
      <c r="U888" s="95"/>
      <c r="V888" s="95"/>
      <c r="W888" s="60"/>
      <c r="X888" s="60"/>
      <c r="Y888" s="60"/>
    </row>
    <row r="889" ht="15.75" customHeight="1">
      <c r="A889" s="101"/>
      <c r="B889" s="101"/>
      <c r="C889" s="98"/>
      <c r="D889" s="98"/>
      <c r="E889" s="101"/>
      <c r="F889" s="101"/>
      <c r="G889" s="101"/>
      <c r="H889" s="101"/>
      <c r="I889" s="101"/>
      <c r="J889" s="101"/>
      <c r="K889" s="103"/>
      <c r="L889" s="104"/>
      <c r="M889" s="98"/>
      <c r="N889" s="77"/>
      <c r="O889" s="98"/>
      <c r="P889" s="98"/>
      <c r="Q889" s="98"/>
      <c r="R889" s="98"/>
      <c r="S889" s="98"/>
      <c r="T889" s="98"/>
      <c r="U889" s="98"/>
      <c r="V889" s="98"/>
      <c r="W889" s="60"/>
      <c r="X889" s="60"/>
      <c r="Y889" s="60"/>
    </row>
    <row r="890" ht="15.75" customHeight="1">
      <c r="A890" s="106"/>
      <c r="B890" s="106"/>
      <c r="C890" s="95"/>
      <c r="D890" s="95"/>
      <c r="E890" s="106"/>
      <c r="F890" s="106"/>
      <c r="G890" s="106"/>
      <c r="H890" s="106"/>
      <c r="I890" s="106"/>
      <c r="J890" s="106"/>
      <c r="K890" s="108"/>
      <c r="L890" s="109"/>
      <c r="M890" s="95"/>
      <c r="N890" s="77"/>
      <c r="O890" s="95"/>
      <c r="P890" s="95"/>
      <c r="Q890" s="95"/>
      <c r="R890" s="95"/>
      <c r="S890" s="95"/>
      <c r="T890" s="95"/>
      <c r="U890" s="95"/>
      <c r="V890" s="95"/>
      <c r="W890" s="60"/>
      <c r="X890" s="60"/>
      <c r="Y890" s="60"/>
    </row>
    <row r="891" ht="15.75" customHeight="1">
      <c r="A891" s="101"/>
      <c r="B891" s="101"/>
      <c r="C891" s="98"/>
      <c r="D891" s="98"/>
      <c r="E891" s="101"/>
      <c r="F891" s="101"/>
      <c r="G891" s="101"/>
      <c r="H891" s="101"/>
      <c r="I891" s="101"/>
      <c r="J891" s="101"/>
      <c r="K891" s="103"/>
      <c r="L891" s="104"/>
      <c r="M891" s="98"/>
      <c r="N891" s="77"/>
      <c r="O891" s="98"/>
      <c r="P891" s="98"/>
      <c r="Q891" s="98"/>
      <c r="R891" s="98"/>
      <c r="S891" s="98"/>
      <c r="T891" s="98"/>
      <c r="U891" s="98"/>
      <c r="V891" s="98"/>
      <c r="W891" s="60"/>
      <c r="X891" s="60"/>
      <c r="Y891" s="60"/>
    </row>
    <row r="892" ht="15.75" customHeight="1">
      <c r="A892" s="106"/>
      <c r="B892" s="106"/>
      <c r="C892" s="95"/>
      <c r="D892" s="95"/>
      <c r="E892" s="106"/>
      <c r="F892" s="106"/>
      <c r="G892" s="106"/>
      <c r="H892" s="106"/>
      <c r="I892" s="106"/>
      <c r="J892" s="106"/>
      <c r="K892" s="108"/>
      <c r="L892" s="109"/>
      <c r="M892" s="95"/>
      <c r="N892" s="77"/>
      <c r="O892" s="95"/>
      <c r="P892" s="95"/>
      <c r="Q892" s="95"/>
      <c r="R892" s="95"/>
      <c r="S892" s="95"/>
      <c r="T892" s="95"/>
      <c r="U892" s="95"/>
      <c r="V892" s="95"/>
      <c r="W892" s="60"/>
      <c r="X892" s="60"/>
      <c r="Y892" s="60"/>
    </row>
    <row r="893" ht="15.75" customHeight="1">
      <c r="A893" s="101"/>
      <c r="B893" s="101"/>
      <c r="C893" s="98"/>
      <c r="D893" s="98"/>
      <c r="E893" s="101"/>
      <c r="F893" s="101"/>
      <c r="G893" s="101"/>
      <c r="H893" s="101"/>
      <c r="I893" s="101"/>
      <c r="J893" s="101"/>
      <c r="K893" s="103"/>
      <c r="L893" s="104"/>
      <c r="M893" s="98"/>
      <c r="N893" s="77"/>
      <c r="O893" s="98"/>
      <c r="P893" s="98"/>
      <c r="Q893" s="98"/>
      <c r="R893" s="98"/>
      <c r="S893" s="98"/>
      <c r="T893" s="98"/>
      <c r="U893" s="98"/>
      <c r="V893" s="98"/>
      <c r="W893" s="60"/>
      <c r="X893" s="60"/>
      <c r="Y893" s="60"/>
    </row>
    <row r="894" ht="15.75" customHeight="1">
      <c r="A894" s="106"/>
      <c r="B894" s="106"/>
      <c r="C894" s="95"/>
      <c r="D894" s="95"/>
      <c r="E894" s="106"/>
      <c r="F894" s="106"/>
      <c r="G894" s="106"/>
      <c r="H894" s="106"/>
      <c r="I894" s="106"/>
      <c r="J894" s="106"/>
      <c r="K894" s="108"/>
      <c r="L894" s="109"/>
      <c r="M894" s="95"/>
      <c r="N894" s="77"/>
      <c r="O894" s="95"/>
      <c r="P894" s="95"/>
      <c r="Q894" s="95"/>
      <c r="R894" s="95"/>
      <c r="S894" s="95"/>
      <c r="T894" s="95"/>
      <c r="U894" s="95"/>
      <c r="V894" s="95"/>
      <c r="W894" s="60"/>
      <c r="X894" s="60"/>
      <c r="Y894" s="60"/>
    </row>
    <row r="895" ht="15.75" customHeight="1">
      <c r="A895" s="101"/>
      <c r="B895" s="101"/>
      <c r="C895" s="98"/>
      <c r="D895" s="98"/>
      <c r="E895" s="101"/>
      <c r="F895" s="101"/>
      <c r="G895" s="101"/>
      <c r="H895" s="101"/>
      <c r="I895" s="101"/>
      <c r="J895" s="101"/>
      <c r="K895" s="103"/>
      <c r="L895" s="104"/>
      <c r="M895" s="98"/>
      <c r="N895" s="77"/>
      <c r="O895" s="98"/>
      <c r="P895" s="98"/>
      <c r="Q895" s="98"/>
      <c r="R895" s="98"/>
      <c r="S895" s="98"/>
      <c r="T895" s="98"/>
      <c r="U895" s="98"/>
      <c r="V895" s="98"/>
      <c r="W895" s="60"/>
      <c r="X895" s="60"/>
      <c r="Y895" s="60"/>
    </row>
    <row r="896" ht="15.75" customHeight="1">
      <c r="A896" s="106"/>
      <c r="B896" s="106"/>
      <c r="C896" s="95"/>
      <c r="D896" s="95"/>
      <c r="E896" s="106"/>
      <c r="F896" s="106"/>
      <c r="G896" s="106"/>
      <c r="H896" s="106"/>
      <c r="I896" s="106"/>
      <c r="J896" s="106"/>
      <c r="K896" s="108"/>
      <c r="L896" s="109"/>
      <c r="M896" s="95"/>
      <c r="N896" s="77"/>
      <c r="O896" s="95"/>
      <c r="P896" s="95"/>
      <c r="Q896" s="95"/>
      <c r="R896" s="95"/>
      <c r="S896" s="95"/>
      <c r="T896" s="95"/>
      <c r="U896" s="95"/>
      <c r="V896" s="95"/>
      <c r="W896" s="60"/>
      <c r="X896" s="60"/>
      <c r="Y896" s="60"/>
    </row>
    <row r="897" ht="15.75" customHeight="1">
      <c r="A897" s="101"/>
      <c r="B897" s="101"/>
      <c r="C897" s="98"/>
      <c r="D897" s="98"/>
      <c r="E897" s="101"/>
      <c r="F897" s="101"/>
      <c r="G897" s="101"/>
      <c r="H897" s="101"/>
      <c r="I897" s="101"/>
      <c r="J897" s="101"/>
      <c r="K897" s="103"/>
      <c r="L897" s="104"/>
      <c r="M897" s="98"/>
      <c r="N897" s="77"/>
      <c r="O897" s="98"/>
      <c r="P897" s="98"/>
      <c r="Q897" s="98"/>
      <c r="R897" s="98"/>
      <c r="S897" s="98"/>
      <c r="T897" s="98"/>
      <c r="U897" s="98"/>
      <c r="V897" s="98"/>
      <c r="W897" s="60"/>
      <c r="X897" s="60"/>
      <c r="Y897" s="60"/>
    </row>
    <row r="898" ht="15.75" customHeight="1">
      <c r="A898" s="106"/>
      <c r="B898" s="106"/>
      <c r="C898" s="95"/>
      <c r="D898" s="95"/>
      <c r="E898" s="106"/>
      <c r="F898" s="106"/>
      <c r="G898" s="106"/>
      <c r="H898" s="106"/>
      <c r="I898" s="106"/>
      <c r="J898" s="106"/>
      <c r="K898" s="108"/>
      <c r="L898" s="109"/>
      <c r="M898" s="95"/>
      <c r="N898" s="77"/>
      <c r="O898" s="95"/>
      <c r="P898" s="95"/>
      <c r="Q898" s="95"/>
      <c r="R898" s="95"/>
      <c r="S898" s="95"/>
      <c r="T898" s="95"/>
      <c r="U898" s="95"/>
      <c r="V898" s="95"/>
      <c r="W898" s="60"/>
      <c r="X898" s="60"/>
      <c r="Y898" s="60"/>
    </row>
    <row r="899" ht="15.75" customHeight="1">
      <c r="A899" s="101"/>
      <c r="B899" s="101"/>
      <c r="C899" s="98"/>
      <c r="D899" s="98"/>
      <c r="E899" s="101"/>
      <c r="F899" s="101"/>
      <c r="G899" s="101"/>
      <c r="H899" s="101"/>
      <c r="I899" s="101"/>
      <c r="J899" s="101"/>
      <c r="K899" s="103"/>
      <c r="L899" s="104"/>
      <c r="M899" s="98"/>
      <c r="N899" s="77"/>
      <c r="O899" s="98"/>
      <c r="P899" s="98"/>
      <c r="Q899" s="98"/>
      <c r="R899" s="98"/>
      <c r="S899" s="98"/>
      <c r="T899" s="98"/>
      <c r="U899" s="98"/>
      <c r="V899" s="98"/>
      <c r="W899" s="60"/>
      <c r="X899" s="60"/>
      <c r="Y899" s="60"/>
    </row>
    <row r="900" ht="15.75" customHeight="1">
      <c r="A900" s="106"/>
      <c r="B900" s="106"/>
      <c r="C900" s="95"/>
      <c r="D900" s="95"/>
      <c r="E900" s="106"/>
      <c r="F900" s="106"/>
      <c r="G900" s="106"/>
      <c r="H900" s="106"/>
      <c r="I900" s="106"/>
      <c r="J900" s="106"/>
      <c r="K900" s="108"/>
      <c r="L900" s="109"/>
      <c r="M900" s="95"/>
      <c r="N900" s="77"/>
      <c r="O900" s="95"/>
      <c r="P900" s="95"/>
      <c r="Q900" s="95"/>
      <c r="R900" s="95"/>
      <c r="S900" s="95"/>
      <c r="T900" s="95"/>
      <c r="U900" s="95"/>
      <c r="V900" s="95"/>
      <c r="W900" s="60"/>
      <c r="X900" s="60"/>
      <c r="Y900" s="60"/>
    </row>
    <row r="901" ht="15.75" customHeight="1">
      <c r="A901" s="101"/>
      <c r="B901" s="101"/>
      <c r="C901" s="98"/>
      <c r="D901" s="98"/>
      <c r="E901" s="101"/>
      <c r="F901" s="101"/>
      <c r="G901" s="101"/>
      <c r="H901" s="101"/>
      <c r="I901" s="101"/>
      <c r="J901" s="101"/>
      <c r="K901" s="103"/>
      <c r="L901" s="104"/>
      <c r="M901" s="98"/>
      <c r="N901" s="77"/>
      <c r="O901" s="98"/>
      <c r="P901" s="98"/>
      <c r="Q901" s="98"/>
      <c r="R901" s="98"/>
      <c r="S901" s="98"/>
      <c r="T901" s="98"/>
      <c r="U901" s="98"/>
      <c r="V901" s="98"/>
      <c r="W901" s="60"/>
      <c r="X901" s="60"/>
      <c r="Y901" s="60"/>
    </row>
    <row r="902" ht="15.75" customHeight="1">
      <c r="A902" s="106"/>
      <c r="B902" s="106"/>
      <c r="C902" s="95"/>
      <c r="D902" s="95"/>
      <c r="E902" s="106"/>
      <c r="F902" s="106"/>
      <c r="G902" s="106"/>
      <c r="H902" s="106"/>
      <c r="I902" s="106"/>
      <c r="J902" s="106"/>
      <c r="K902" s="108"/>
      <c r="L902" s="109"/>
      <c r="M902" s="95"/>
      <c r="N902" s="77"/>
      <c r="O902" s="95"/>
      <c r="P902" s="95"/>
      <c r="Q902" s="95"/>
      <c r="R902" s="95"/>
      <c r="S902" s="95"/>
      <c r="T902" s="95"/>
      <c r="U902" s="95"/>
      <c r="V902" s="95"/>
      <c r="W902" s="60"/>
      <c r="X902" s="60"/>
      <c r="Y902" s="60"/>
    </row>
    <row r="903" ht="15.75" customHeight="1">
      <c r="A903" s="101"/>
      <c r="B903" s="101"/>
      <c r="C903" s="98"/>
      <c r="D903" s="98"/>
      <c r="E903" s="101"/>
      <c r="F903" s="101"/>
      <c r="G903" s="101"/>
      <c r="H903" s="101"/>
      <c r="I903" s="101"/>
      <c r="J903" s="101"/>
      <c r="K903" s="103"/>
      <c r="L903" s="104"/>
      <c r="M903" s="98"/>
      <c r="N903" s="77"/>
      <c r="O903" s="98"/>
      <c r="P903" s="98"/>
      <c r="Q903" s="98"/>
      <c r="R903" s="98"/>
      <c r="S903" s="98"/>
      <c r="T903" s="98"/>
      <c r="U903" s="98"/>
      <c r="V903" s="98"/>
      <c r="W903" s="60"/>
      <c r="X903" s="60"/>
      <c r="Y903" s="60"/>
    </row>
    <row r="904" ht="15.75" customHeight="1">
      <c r="A904" s="106"/>
      <c r="B904" s="106"/>
      <c r="C904" s="95"/>
      <c r="D904" s="95"/>
      <c r="E904" s="106"/>
      <c r="F904" s="106"/>
      <c r="G904" s="106"/>
      <c r="H904" s="106"/>
      <c r="I904" s="106"/>
      <c r="J904" s="106"/>
      <c r="K904" s="108"/>
      <c r="L904" s="109"/>
      <c r="M904" s="95"/>
      <c r="N904" s="77"/>
      <c r="O904" s="95"/>
      <c r="P904" s="95"/>
      <c r="Q904" s="95"/>
      <c r="R904" s="95"/>
      <c r="S904" s="95"/>
      <c r="T904" s="95"/>
      <c r="U904" s="95"/>
      <c r="V904" s="95"/>
      <c r="W904" s="60"/>
      <c r="X904" s="60"/>
      <c r="Y904" s="60"/>
    </row>
    <row r="905" ht="15.75" customHeight="1">
      <c r="A905" s="101"/>
      <c r="B905" s="101"/>
      <c r="C905" s="98"/>
      <c r="D905" s="98"/>
      <c r="E905" s="101"/>
      <c r="F905" s="101"/>
      <c r="G905" s="101"/>
      <c r="H905" s="101"/>
      <c r="I905" s="101"/>
      <c r="J905" s="101"/>
      <c r="K905" s="103"/>
      <c r="L905" s="104"/>
      <c r="M905" s="98"/>
      <c r="N905" s="77"/>
      <c r="O905" s="98"/>
      <c r="P905" s="98"/>
      <c r="Q905" s="98"/>
      <c r="R905" s="98"/>
      <c r="S905" s="98"/>
      <c r="T905" s="98"/>
      <c r="U905" s="98"/>
      <c r="V905" s="98"/>
      <c r="W905" s="60"/>
      <c r="X905" s="60"/>
      <c r="Y905" s="60"/>
    </row>
    <row r="906" ht="15.75" customHeight="1">
      <c r="A906" s="106"/>
      <c r="B906" s="106"/>
      <c r="C906" s="95"/>
      <c r="D906" s="95"/>
      <c r="E906" s="106"/>
      <c r="F906" s="106"/>
      <c r="G906" s="106"/>
      <c r="H906" s="106"/>
      <c r="I906" s="106"/>
      <c r="J906" s="106"/>
      <c r="K906" s="108"/>
      <c r="L906" s="109"/>
      <c r="M906" s="95"/>
      <c r="N906" s="77"/>
      <c r="O906" s="95"/>
      <c r="P906" s="95"/>
      <c r="Q906" s="95"/>
      <c r="R906" s="95"/>
      <c r="S906" s="95"/>
      <c r="T906" s="95"/>
      <c r="U906" s="95"/>
      <c r="V906" s="95"/>
      <c r="W906" s="60"/>
      <c r="X906" s="60"/>
      <c r="Y906" s="60"/>
    </row>
    <row r="907" ht="15.75" customHeight="1">
      <c r="A907" s="101"/>
      <c r="B907" s="101"/>
      <c r="C907" s="98"/>
      <c r="D907" s="98"/>
      <c r="E907" s="101"/>
      <c r="F907" s="101"/>
      <c r="G907" s="101"/>
      <c r="H907" s="101"/>
      <c r="I907" s="101"/>
      <c r="J907" s="101"/>
      <c r="K907" s="103"/>
      <c r="L907" s="104"/>
      <c r="M907" s="98"/>
      <c r="N907" s="77"/>
      <c r="O907" s="98"/>
      <c r="P907" s="98"/>
      <c r="Q907" s="98"/>
      <c r="R907" s="98"/>
      <c r="S907" s="98"/>
      <c r="T907" s="98"/>
      <c r="U907" s="98"/>
      <c r="V907" s="98"/>
      <c r="W907" s="60"/>
      <c r="X907" s="60"/>
      <c r="Y907" s="60"/>
    </row>
    <row r="908" ht="15.75" customHeight="1">
      <c r="A908" s="106"/>
      <c r="B908" s="106"/>
      <c r="C908" s="95"/>
      <c r="D908" s="95"/>
      <c r="E908" s="106"/>
      <c r="F908" s="106"/>
      <c r="G908" s="106"/>
      <c r="H908" s="106"/>
      <c r="I908" s="106"/>
      <c r="J908" s="106"/>
      <c r="K908" s="108"/>
      <c r="L908" s="109"/>
      <c r="M908" s="95"/>
      <c r="N908" s="77"/>
      <c r="O908" s="95"/>
      <c r="P908" s="95"/>
      <c r="Q908" s="95"/>
      <c r="R908" s="95"/>
      <c r="S908" s="95"/>
      <c r="T908" s="95"/>
      <c r="U908" s="95"/>
      <c r="V908" s="95"/>
      <c r="W908" s="60"/>
      <c r="X908" s="60"/>
      <c r="Y908" s="60"/>
    </row>
    <row r="909" ht="15.75" customHeight="1">
      <c r="A909" s="101"/>
      <c r="B909" s="101"/>
      <c r="C909" s="98"/>
      <c r="D909" s="98"/>
      <c r="E909" s="101"/>
      <c r="F909" s="101"/>
      <c r="G909" s="101"/>
      <c r="H909" s="101"/>
      <c r="I909" s="101"/>
      <c r="J909" s="101"/>
      <c r="K909" s="103"/>
      <c r="L909" s="104"/>
      <c r="M909" s="98"/>
      <c r="N909" s="77"/>
      <c r="O909" s="98"/>
      <c r="P909" s="98"/>
      <c r="Q909" s="98"/>
      <c r="R909" s="98"/>
      <c r="S909" s="98"/>
      <c r="T909" s="98"/>
      <c r="U909" s="98"/>
      <c r="V909" s="98"/>
      <c r="W909" s="60"/>
      <c r="X909" s="60"/>
      <c r="Y909" s="60"/>
    </row>
    <row r="910" ht="15.75" customHeight="1">
      <c r="A910" s="106"/>
      <c r="B910" s="106"/>
      <c r="C910" s="95"/>
      <c r="D910" s="95"/>
      <c r="E910" s="106"/>
      <c r="F910" s="106"/>
      <c r="G910" s="106"/>
      <c r="H910" s="106"/>
      <c r="I910" s="106"/>
      <c r="J910" s="106"/>
      <c r="K910" s="108"/>
      <c r="L910" s="109"/>
      <c r="M910" s="95"/>
      <c r="N910" s="77"/>
      <c r="O910" s="95"/>
      <c r="P910" s="95"/>
      <c r="Q910" s="95"/>
      <c r="R910" s="95"/>
      <c r="S910" s="95"/>
      <c r="T910" s="95"/>
      <c r="U910" s="95"/>
      <c r="V910" s="95"/>
      <c r="W910" s="60"/>
      <c r="X910" s="60"/>
      <c r="Y910" s="60"/>
    </row>
    <row r="911" ht="15.75" customHeight="1">
      <c r="A911" s="101"/>
      <c r="B911" s="101"/>
      <c r="C911" s="98"/>
      <c r="D911" s="98"/>
      <c r="E911" s="101"/>
      <c r="F911" s="101"/>
      <c r="G911" s="101"/>
      <c r="H911" s="101"/>
      <c r="I911" s="101"/>
      <c r="J911" s="101"/>
      <c r="K911" s="103"/>
      <c r="L911" s="104"/>
      <c r="M911" s="98"/>
      <c r="N911" s="77"/>
      <c r="O911" s="98"/>
      <c r="P911" s="98"/>
      <c r="Q911" s="98"/>
      <c r="R911" s="98"/>
      <c r="S911" s="98"/>
      <c r="T911" s="98"/>
      <c r="U911" s="98"/>
      <c r="V911" s="98"/>
      <c r="W911" s="60"/>
      <c r="X911" s="60"/>
      <c r="Y911" s="60"/>
    </row>
    <row r="912" ht="15.75" customHeight="1">
      <c r="A912" s="106"/>
      <c r="B912" s="106"/>
      <c r="C912" s="95"/>
      <c r="D912" s="95"/>
      <c r="E912" s="106"/>
      <c r="F912" s="106"/>
      <c r="G912" s="106"/>
      <c r="H912" s="106"/>
      <c r="I912" s="106"/>
      <c r="J912" s="106"/>
      <c r="K912" s="108"/>
      <c r="L912" s="109"/>
      <c r="M912" s="95"/>
      <c r="N912" s="77"/>
      <c r="O912" s="95"/>
      <c r="P912" s="95"/>
      <c r="Q912" s="95"/>
      <c r="R912" s="95"/>
      <c r="S912" s="95"/>
      <c r="T912" s="95"/>
      <c r="U912" s="95"/>
      <c r="V912" s="95"/>
      <c r="W912" s="60"/>
      <c r="X912" s="60"/>
      <c r="Y912" s="60"/>
    </row>
    <row r="913" ht="15.75" customHeight="1">
      <c r="A913" s="101"/>
      <c r="B913" s="101"/>
      <c r="C913" s="98"/>
      <c r="D913" s="98"/>
      <c r="E913" s="101"/>
      <c r="F913" s="101"/>
      <c r="G913" s="101"/>
      <c r="H913" s="101"/>
      <c r="I913" s="101"/>
      <c r="J913" s="101"/>
      <c r="K913" s="103"/>
      <c r="L913" s="104"/>
      <c r="M913" s="98"/>
      <c r="N913" s="77"/>
      <c r="O913" s="98"/>
      <c r="P913" s="98"/>
      <c r="Q913" s="98"/>
      <c r="R913" s="98"/>
      <c r="S913" s="98"/>
      <c r="T913" s="98"/>
      <c r="U913" s="98"/>
      <c r="V913" s="98"/>
      <c r="W913" s="60"/>
      <c r="X913" s="60"/>
      <c r="Y913" s="60"/>
    </row>
    <row r="914" ht="15.75" customHeight="1">
      <c r="A914" s="106"/>
      <c r="B914" s="106"/>
      <c r="C914" s="95"/>
      <c r="D914" s="95"/>
      <c r="E914" s="106"/>
      <c r="F914" s="106"/>
      <c r="G914" s="106"/>
      <c r="H914" s="106"/>
      <c r="I914" s="106"/>
      <c r="J914" s="106"/>
      <c r="K914" s="108"/>
      <c r="L914" s="109"/>
      <c r="M914" s="95"/>
      <c r="N914" s="77"/>
      <c r="O914" s="95"/>
      <c r="P914" s="95"/>
      <c r="Q914" s="95"/>
      <c r="R914" s="95"/>
      <c r="S914" s="95"/>
      <c r="T914" s="95"/>
      <c r="U914" s="95"/>
      <c r="V914" s="95"/>
      <c r="W914" s="60"/>
      <c r="X914" s="60"/>
      <c r="Y914" s="60"/>
    </row>
    <row r="915" ht="15.75" customHeight="1">
      <c r="A915" s="101"/>
      <c r="B915" s="101"/>
      <c r="C915" s="98"/>
      <c r="D915" s="98"/>
      <c r="E915" s="101"/>
      <c r="F915" s="101"/>
      <c r="G915" s="101"/>
      <c r="H915" s="101"/>
      <c r="I915" s="101"/>
      <c r="J915" s="101"/>
      <c r="K915" s="103"/>
      <c r="L915" s="104"/>
      <c r="M915" s="98"/>
      <c r="N915" s="77"/>
      <c r="O915" s="98"/>
      <c r="P915" s="98"/>
      <c r="Q915" s="98"/>
      <c r="R915" s="98"/>
      <c r="S915" s="98"/>
      <c r="T915" s="98"/>
      <c r="U915" s="98"/>
      <c r="V915" s="98"/>
      <c r="W915" s="60"/>
      <c r="X915" s="60"/>
      <c r="Y915" s="60"/>
    </row>
    <row r="916" ht="15.75" customHeight="1">
      <c r="A916" s="106"/>
      <c r="B916" s="106"/>
      <c r="C916" s="95"/>
      <c r="D916" s="95"/>
      <c r="E916" s="106"/>
      <c r="F916" s="106"/>
      <c r="G916" s="106"/>
      <c r="H916" s="106"/>
      <c r="I916" s="106"/>
      <c r="J916" s="106"/>
      <c r="K916" s="108"/>
      <c r="L916" s="109"/>
      <c r="M916" s="95"/>
      <c r="N916" s="77"/>
      <c r="O916" s="95"/>
      <c r="P916" s="95"/>
      <c r="Q916" s="95"/>
      <c r="R916" s="95"/>
      <c r="S916" s="95"/>
      <c r="T916" s="95"/>
      <c r="U916" s="95"/>
      <c r="V916" s="95"/>
      <c r="W916" s="60"/>
      <c r="X916" s="60"/>
      <c r="Y916" s="60"/>
    </row>
    <row r="917" ht="15.75" customHeight="1">
      <c r="A917" s="101"/>
      <c r="B917" s="101"/>
      <c r="C917" s="98"/>
      <c r="D917" s="98"/>
      <c r="E917" s="101"/>
      <c r="F917" s="101"/>
      <c r="G917" s="101"/>
      <c r="H917" s="101"/>
      <c r="I917" s="101"/>
      <c r="J917" s="101"/>
      <c r="K917" s="103"/>
      <c r="L917" s="104"/>
      <c r="M917" s="98"/>
      <c r="N917" s="77"/>
      <c r="O917" s="98"/>
      <c r="P917" s="98"/>
      <c r="Q917" s="98"/>
      <c r="R917" s="98"/>
      <c r="S917" s="98"/>
      <c r="T917" s="98"/>
      <c r="U917" s="98"/>
      <c r="V917" s="98"/>
      <c r="W917" s="60"/>
      <c r="X917" s="60"/>
      <c r="Y917" s="60"/>
    </row>
    <row r="918" ht="15.75" customHeight="1">
      <c r="A918" s="106"/>
      <c r="B918" s="106"/>
      <c r="C918" s="95"/>
      <c r="D918" s="95"/>
      <c r="E918" s="106"/>
      <c r="F918" s="106"/>
      <c r="G918" s="106"/>
      <c r="H918" s="106"/>
      <c r="I918" s="106"/>
      <c r="J918" s="106"/>
      <c r="K918" s="108"/>
      <c r="L918" s="109"/>
      <c r="M918" s="95"/>
      <c r="N918" s="77"/>
      <c r="O918" s="95"/>
      <c r="P918" s="95"/>
      <c r="Q918" s="95"/>
      <c r="R918" s="95"/>
      <c r="S918" s="95"/>
      <c r="T918" s="95"/>
      <c r="U918" s="95"/>
      <c r="V918" s="95"/>
      <c r="W918" s="60"/>
      <c r="X918" s="60"/>
      <c r="Y918" s="60"/>
    </row>
    <row r="919" ht="15.75" customHeight="1">
      <c r="A919" s="101"/>
      <c r="B919" s="101"/>
      <c r="C919" s="98"/>
      <c r="D919" s="98"/>
      <c r="E919" s="101"/>
      <c r="F919" s="101"/>
      <c r="G919" s="101"/>
      <c r="H919" s="101"/>
      <c r="I919" s="101"/>
      <c r="J919" s="101"/>
      <c r="K919" s="103"/>
      <c r="L919" s="104"/>
      <c r="M919" s="98"/>
      <c r="N919" s="77"/>
      <c r="O919" s="98"/>
      <c r="P919" s="98"/>
      <c r="Q919" s="98"/>
      <c r="R919" s="98"/>
      <c r="S919" s="98"/>
      <c r="T919" s="98"/>
      <c r="U919" s="98"/>
      <c r="V919" s="98"/>
      <c r="W919" s="60"/>
      <c r="X919" s="60"/>
      <c r="Y919" s="60"/>
    </row>
    <row r="920" ht="15.75" customHeight="1">
      <c r="A920" s="106"/>
      <c r="B920" s="106"/>
      <c r="C920" s="95"/>
      <c r="D920" s="95"/>
      <c r="E920" s="106"/>
      <c r="F920" s="106"/>
      <c r="G920" s="106"/>
      <c r="H920" s="106"/>
      <c r="I920" s="106"/>
      <c r="J920" s="106"/>
      <c r="K920" s="108"/>
      <c r="L920" s="109"/>
      <c r="M920" s="95"/>
      <c r="N920" s="77"/>
      <c r="O920" s="95"/>
      <c r="P920" s="95"/>
      <c r="Q920" s="95"/>
      <c r="R920" s="95"/>
      <c r="S920" s="95"/>
      <c r="T920" s="95"/>
      <c r="U920" s="95"/>
      <c r="V920" s="95"/>
      <c r="W920" s="60"/>
      <c r="X920" s="60"/>
      <c r="Y920" s="60"/>
    </row>
    <row r="921" ht="15.75" customHeight="1">
      <c r="A921" s="101"/>
      <c r="B921" s="101"/>
      <c r="C921" s="98"/>
      <c r="D921" s="98"/>
      <c r="E921" s="101"/>
      <c r="F921" s="101"/>
      <c r="G921" s="101"/>
      <c r="H921" s="101"/>
      <c r="I921" s="101"/>
      <c r="J921" s="101"/>
      <c r="K921" s="103"/>
      <c r="L921" s="104"/>
      <c r="M921" s="98"/>
      <c r="N921" s="77"/>
      <c r="O921" s="98"/>
      <c r="P921" s="98"/>
      <c r="Q921" s="98"/>
      <c r="R921" s="98"/>
      <c r="S921" s="98"/>
      <c r="T921" s="98"/>
      <c r="U921" s="98"/>
      <c r="V921" s="98"/>
      <c r="W921" s="60"/>
      <c r="X921" s="60"/>
      <c r="Y921" s="60"/>
    </row>
    <row r="922" ht="15.75" customHeight="1">
      <c r="A922" s="106"/>
      <c r="B922" s="106"/>
      <c r="C922" s="95"/>
      <c r="D922" s="95"/>
      <c r="E922" s="106"/>
      <c r="F922" s="106"/>
      <c r="G922" s="106"/>
      <c r="H922" s="106"/>
      <c r="I922" s="106"/>
      <c r="J922" s="106"/>
      <c r="K922" s="108"/>
      <c r="L922" s="109"/>
      <c r="M922" s="95"/>
      <c r="N922" s="77"/>
      <c r="O922" s="95"/>
      <c r="P922" s="95"/>
      <c r="Q922" s="95"/>
      <c r="R922" s="95"/>
      <c r="S922" s="95"/>
      <c r="T922" s="95"/>
      <c r="U922" s="95"/>
      <c r="V922" s="95"/>
      <c r="W922" s="60"/>
      <c r="X922" s="60"/>
      <c r="Y922" s="60"/>
    </row>
    <row r="923" ht="15.75" customHeight="1">
      <c r="A923" s="101"/>
      <c r="B923" s="101"/>
      <c r="C923" s="98"/>
      <c r="D923" s="98"/>
      <c r="E923" s="101"/>
      <c r="F923" s="101"/>
      <c r="G923" s="101"/>
      <c r="H923" s="101"/>
      <c r="I923" s="101"/>
      <c r="J923" s="101"/>
      <c r="K923" s="103"/>
      <c r="L923" s="104"/>
      <c r="M923" s="98"/>
      <c r="N923" s="77"/>
      <c r="O923" s="98"/>
      <c r="P923" s="98"/>
      <c r="Q923" s="98"/>
      <c r="R923" s="98"/>
      <c r="S923" s="98"/>
      <c r="T923" s="98"/>
      <c r="U923" s="98"/>
      <c r="V923" s="98"/>
      <c r="W923" s="60"/>
      <c r="X923" s="60"/>
      <c r="Y923" s="60"/>
    </row>
    <row r="924" ht="15.75" customHeight="1">
      <c r="A924" s="106"/>
      <c r="B924" s="106"/>
      <c r="C924" s="95"/>
      <c r="D924" s="95"/>
      <c r="E924" s="106"/>
      <c r="F924" s="106"/>
      <c r="G924" s="106"/>
      <c r="H924" s="106"/>
      <c r="I924" s="106"/>
      <c r="J924" s="106"/>
      <c r="K924" s="108"/>
      <c r="L924" s="109"/>
      <c r="M924" s="95"/>
      <c r="N924" s="77"/>
      <c r="O924" s="95"/>
      <c r="P924" s="95"/>
      <c r="Q924" s="95"/>
      <c r="R924" s="95"/>
      <c r="S924" s="95"/>
      <c r="T924" s="95"/>
      <c r="U924" s="95"/>
      <c r="V924" s="95"/>
      <c r="W924" s="60"/>
      <c r="X924" s="60"/>
      <c r="Y924" s="60"/>
    </row>
    <row r="925" ht="15.75" customHeight="1">
      <c r="A925" s="101"/>
      <c r="B925" s="101"/>
      <c r="C925" s="98"/>
      <c r="D925" s="98"/>
      <c r="E925" s="101"/>
      <c r="F925" s="101"/>
      <c r="G925" s="101"/>
      <c r="H925" s="101"/>
      <c r="I925" s="101"/>
      <c r="J925" s="101"/>
      <c r="K925" s="103"/>
      <c r="L925" s="104"/>
      <c r="M925" s="98"/>
      <c r="N925" s="77"/>
      <c r="O925" s="98"/>
      <c r="P925" s="98"/>
      <c r="Q925" s="98"/>
      <c r="R925" s="98"/>
      <c r="S925" s="98"/>
      <c r="T925" s="98"/>
      <c r="U925" s="98"/>
      <c r="V925" s="98"/>
      <c r="W925" s="60"/>
      <c r="X925" s="60"/>
      <c r="Y925" s="60"/>
    </row>
    <row r="926" ht="15.75" customHeight="1">
      <c r="A926" s="106"/>
      <c r="B926" s="106"/>
      <c r="C926" s="95"/>
      <c r="D926" s="95"/>
      <c r="E926" s="106"/>
      <c r="F926" s="106"/>
      <c r="G926" s="106"/>
      <c r="H926" s="106"/>
      <c r="I926" s="106"/>
      <c r="J926" s="106"/>
      <c r="K926" s="108"/>
      <c r="L926" s="109"/>
      <c r="M926" s="95"/>
      <c r="N926" s="77"/>
      <c r="O926" s="95"/>
      <c r="P926" s="95"/>
      <c r="Q926" s="95"/>
      <c r="R926" s="95"/>
      <c r="S926" s="95"/>
      <c r="T926" s="95"/>
      <c r="U926" s="95"/>
      <c r="V926" s="95"/>
      <c r="W926" s="60"/>
      <c r="X926" s="60"/>
      <c r="Y926" s="60"/>
    </row>
    <row r="927" ht="15.75" customHeight="1">
      <c r="A927" s="101"/>
      <c r="B927" s="101"/>
      <c r="C927" s="98"/>
      <c r="D927" s="98"/>
      <c r="E927" s="101"/>
      <c r="F927" s="101"/>
      <c r="G927" s="101"/>
      <c r="H927" s="101"/>
      <c r="I927" s="101"/>
      <c r="J927" s="101"/>
      <c r="K927" s="103"/>
      <c r="L927" s="104"/>
      <c r="M927" s="98"/>
      <c r="N927" s="77"/>
      <c r="O927" s="98"/>
      <c r="P927" s="98"/>
      <c r="Q927" s="98"/>
      <c r="R927" s="98"/>
      <c r="S927" s="98"/>
      <c r="T927" s="98"/>
      <c r="U927" s="98"/>
      <c r="V927" s="98"/>
      <c r="W927" s="60"/>
      <c r="X927" s="60"/>
      <c r="Y927" s="60"/>
    </row>
    <row r="928" ht="15.75" customHeight="1">
      <c r="A928" s="106"/>
      <c r="B928" s="106"/>
      <c r="C928" s="95"/>
      <c r="D928" s="95"/>
      <c r="E928" s="106"/>
      <c r="F928" s="106"/>
      <c r="G928" s="106"/>
      <c r="H928" s="106"/>
      <c r="I928" s="106"/>
      <c r="J928" s="106"/>
      <c r="K928" s="108"/>
      <c r="L928" s="109"/>
      <c r="M928" s="95"/>
      <c r="N928" s="77"/>
      <c r="O928" s="95"/>
      <c r="P928" s="95"/>
      <c r="Q928" s="95"/>
      <c r="R928" s="95"/>
      <c r="S928" s="95"/>
      <c r="T928" s="95"/>
      <c r="U928" s="95"/>
      <c r="V928" s="95"/>
      <c r="W928" s="60"/>
      <c r="X928" s="60"/>
      <c r="Y928" s="60"/>
    </row>
    <row r="929" ht="15.75" customHeight="1">
      <c r="A929" s="101"/>
      <c r="B929" s="101"/>
      <c r="C929" s="98"/>
      <c r="D929" s="98"/>
      <c r="E929" s="101"/>
      <c r="F929" s="101"/>
      <c r="G929" s="101"/>
      <c r="H929" s="101"/>
      <c r="I929" s="101"/>
      <c r="J929" s="101"/>
      <c r="K929" s="103"/>
      <c r="L929" s="104"/>
      <c r="M929" s="98"/>
      <c r="N929" s="77"/>
      <c r="O929" s="98"/>
      <c r="P929" s="98"/>
      <c r="Q929" s="98"/>
      <c r="R929" s="98"/>
      <c r="S929" s="98"/>
      <c r="T929" s="98"/>
      <c r="U929" s="98"/>
      <c r="V929" s="98"/>
      <c r="W929" s="60"/>
      <c r="X929" s="60"/>
      <c r="Y929" s="60"/>
    </row>
    <row r="930" ht="15.75" customHeight="1">
      <c r="A930" s="106"/>
      <c r="B930" s="106"/>
      <c r="C930" s="95"/>
      <c r="D930" s="95"/>
      <c r="E930" s="106"/>
      <c r="F930" s="106"/>
      <c r="G930" s="106"/>
      <c r="H930" s="106"/>
      <c r="I930" s="106"/>
      <c r="J930" s="106"/>
      <c r="K930" s="108"/>
      <c r="L930" s="109"/>
      <c r="M930" s="95"/>
      <c r="N930" s="77"/>
      <c r="O930" s="95"/>
      <c r="P930" s="95"/>
      <c r="Q930" s="95"/>
      <c r="R930" s="95"/>
      <c r="S930" s="95"/>
      <c r="T930" s="95"/>
      <c r="U930" s="95"/>
      <c r="V930" s="95"/>
      <c r="W930" s="60"/>
      <c r="X930" s="60"/>
      <c r="Y930" s="60"/>
    </row>
    <row r="931" ht="15.75" customHeight="1">
      <c r="A931" s="101"/>
      <c r="B931" s="101"/>
      <c r="C931" s="98"/>
      <c r="D931" s="98"/>
      <c r="E931" s="101"/>
      <c r="F931" s="101"/>
      <c r="G931" s="101"/>
      <c r="H931" s="101"/>
      <c r="I931" s="101"/>
      <c r="J931" s="101"/>
      <c r="K931" s="103"/>
      <c r="L931" s="104"/>
      <c r="M931" s="98"/>
      <c r="N931" s="77"/>
      <c r="O931" s="98"/>
      <c r="P931" s="98"/>
      <c r="Q931" s="98"/>
      <c r="R931" s="98"/>
      <c r="S931" s="98"/>
      <c r="T931" s="98"/>
      <c r="U931" s="98"/>
      <c r="V931" s="98"/>
      <c r="W931" s="60"/>
      <c r="X931" s="60"/>
      <c r="Y931" s="60"/>
    </row>
    <row r="932" ht="15.75" customHeight="1">
      <c r="A932" s="106"/>
      <c r="B932" s="106"/>
      <c r="C932" s="95"/>
      <c r="D932" s="95"/>
      <c r="E932" s="106"/>
      <c r="F932" s="106"/>
      <c r="G932" s="106"/>
      <c r="H932" s="106"/>
      <c r="I932" s="106"/>
      <c r="J932" s="106"/>
      <c r="K932" s="108"/>
      <c r="L932" s="109"/>
      <c r="M932" s="95"/>
      <c r="N932" s="77"/>
      <c r="O932" s="95"/>
      <c r="P932" s="95"/>
      <c r="Q932" s="95"/>
      <c r="R932" s="95"/>
      <c r="S932" s="95"/>
      <c r="T932" s="95"/>
      <c r="U932" s="95"/>
      <c r="V932" s="95"/>
      <c r="W932" s="60"/>
      <c r="X932" s="60"/>
      <c r="Y932" s="60"/>
    </row>
    <row r="933" ht="15.75" customHeight="1">
      <c r="A933" s="101"/>
      <c r="B933" s="101"/>
      <c r="C933" s="98"/>
      <c r="D933" s="98"/>
      <c r="E933" s="101"/>
      <c r="F933" s="101"/>
      <c r="G933" s="101"/>
      <c r="H933" s="101"/>
      <c r="I933" s="101"/>
      <c r="J933" s="101"/>
      <c r="K933" s="103"/>
      <c r="L933" s="104"/>
      <c r="M933" s="98"/>
      <c r="N933" s="77"/>
      <c r="O933" s="98"/>
      <c r="P933" s="98"/>
      <c r="Q933" s="98"/>
      <c r="R933" s="98"/>
      <c r="S933" s="98"/>
      <c r="T933" s="98"/>
      <c r="U933" s="98"/>
      <c r="V933" s="98"/>
      <c r="W933" s="60"/>
      <c r="X933" s="60"/>
      <c r="Y933" s="60"/>
    </row>
    <row r="934" ht="15.75" customHeight="1">
      <c r="A934" s="106"/>
      <c r="B934" s="106"/>
      <c r="C934" s="95"/>
      <c r="D934" s="95"/>
      <c r="E934" s="106"/>
      <c r="F934" s="106"/>
      <c r="G934" s="106"/>
      <c r="H934" s="106"/>
      <c r="I934" s="106"/>
      <c r="J934" s="106"/>
      <c r="K934" s="108"/>
      <c r="L934" s="109"/>
      <c r="M934" s="95"/>
      <c r="N934" s="77"/>
      <c r="O934" s="95"/>
      <c r="P934" s="95"/>
      <c r="Q934" s="95"/>
      <c r="R934" s="95"/>
      <c r="S934" s="95"/>
      <c r="T934" s="95"/>
      <c r="U934" s="95"/>
      <c r="V934" s="95"/>
      <c r="W934" s="60"/>
      <c r="X934" s="60"/>
      <c r="Y934" s="60"/>
    </row>
    <row r="935" ht="15.75" customHeight="1">
      <c r="A935" s="101"/>
      <c r="B935" s="101"/>
      <c r="C935" s="98"/>
      <c r="D935" s="98"/>
      <c r="E935" s="101"/>
      <c r="F935" s="101"/>
      <c r="G935" s="101"/>
      <c r="H935" s="101"/>
      <c r="I935" s="101"/>
      <c r="J935" s="101"/>
      <c r="K935" s="103"/>
      <c r="L935" s="104"/>
      <c r="M935" s="98"/>
      <c r="N935" s="77"/>
      <c r="O935" s="98"/>
      <c r="P935" s="98"/>
      <c r="Q935" s="98"/>
      <c r="R935" s="98"/>
      <c r="S935" s="98"/>
      <c r="T935" s="98"/>
      <c r="U935" s="98"/>
      <c r="V935" s="98"/>
      <c r="W935" s="60"/>
      <c r="X935" s="60"/>
      <c r="Y935" s="60"/>
    </row>
    <row r="936" ht="15.75" customHeight="1">
      <c r="A936" s="106"/>
      <c r="B936" s="106"/>
      <c r="C936" s="95"/>
      <c r="D936" s="95"/>
      <c r="E936" s="106"/>
      <c r="F936" s="106"/>
      <c r="G936" s="106"/>
      <c r="H936" s="106"/>
      <c r="I936" s="106"/>
      <c r="J936" s="106"/>
      <c r="K936" s="108"/>
      <c r="L936" s="109"/>
      <c r="M936" s="95"/>
      <c r="N936" s="77"/>
      <c r="O936" s="95"/>
      <c r="P936" s="95"/>
      <c r="Q936" s="95"/>
      <c r="R936" s="95"/>
      <c r="S936" s="95"/>
      <c r="T936" s="95"/>
      <c r="U936" s="95"/>
      <c r="V936" s="95"/>
      <c r="W936" s="60"/>
      <c r="X936" s="60"/>
      <c r="Y936" s="60"/>
    </row>
    <row r="937" ht="15.75" customHeight="1">
      <c r="A937" s="101"/>
      <c r="B937" s="101"/>
      <c r="C937" s="98"/>
      <c r="D937" s="98"/>
      <c r="E937" s="101"/>
      <c r="F937" s="101"/>
      <c r="G937" s="101"/>
      <c r="H937" s="101"/>
      <c r="I937" s="101"/>
      <c r="J937" s="101"/>
      <c r="K937" s="103"/>
      <c r="L937" s="104"/>
      <c r="M937" s="98"/>
      <c r="N937" s="77"/>
      <c r="O937" s="98"/>
      <c r="P937" s="98"/>
      <c r="Q937" s="98"/>
      <c r="R937" s="98"/>
      <c r="S937" s="98"/>
      <c r="T937" s="98"/>
      <c r="U937" s="98"/>
      <c r="V937" s="98"/>
      <c r="W937" s="60"/>
      <c r="X937" s="60"/>
      <c r="Y937" s="60"/>
    </row>
    <row r="938" ht="15.75" customHeight="1">
      <c r="A938" s="106"/>
      <c r="B938" s="106"/>
      <c r="C938" s="95"/>
      <c r="D938" s="95"/>
      <c r="E938" s="106"/>
      <c r="F938" s="106"/>
      <c r="G938" s="106"/>
      <c r="H938" s="106"/>
      <c r="I938" s="106"/>
      <c r="J938" s="106"/>
      <c r="K938" s="108"/>
      <c r="L938" s="109"/>
      <c r="M938" s="95"/>
      <c r="N938" s="77"/>
      <c r="O938" s="95"/>
      <c r="P938" s="95"/>
      <c r="Q938" s="95"/>
      <c r="R938" s="95"/>
      <c r="S938" s="95"/>
      <c r="T938" s="95"/>
      <c r="U938" s="95"/>
      <c r="V938" s="95"/>
      <c r="W938" s="60"/>
      <c r="X938" s="60"/>
      <c r="Y938" s="60"/>
    </row>
    <row r="939" ht="15.75" customHeight="1">
      <c r="A939" s="101"/>
      <c r="B939" s="101"/>
      <c r="C939" s="98"/>
      <c r="D939" s="98"/>
      <c r="E939" s="101"/>
      <c r="F939" s="101"/>
      <c r="G939" s="101"/>
      <c r="H939" s="101"/>
      <c r="I939" s="101"/>
      <c r="J939" s="101"/>
      <c r="K939" s="103"/>
      <c r="L939" s="104"/>
      <c r="M939" s="98"/>
      <c r="N939" s="77"/>
      <c r="O939" s="98"/>
      <c r="P939" s="98"/>
      <c r="Q939" s="98"/>
      <c r="R939" s="98"/>
      <c r="S939" s="98"/>
      <c r="T939" s="98"/>
      <c r="U939" s="98"/>
      <c r="V939" s="98"/>
      <c r="W939" s="60"/>
      <c r="X939" s="60"/>
      <c r="Y939" s="60"/>
    </row>
    <row r="940" ht="15.75" customHeight="1">
      <c r="A940" s="106"/>
      <c r="B940" s="106"/>
      <c r="C940" s="95"/>
      <c r="D940" s="95"/>
      <c r="E940" s="106"/>
      <c r="F940" s="106"/>
      <c r="G940" s="106"/>
      <c r="H940" s="106"/>
      <c r="I940" s="106"/>
      <c r="J940" s="106"/>
      <c r="K940" s="108"/>
      <c r="L940" s="109"/>
      <c r="M940" s="95"/>
      <c r="N940" s="77"/>
      <c r="O940" s="95"/>
      <c r="P940" s="95"/>
      <c r="Q940" s="95"/>
      <c r="R940" s="95"/>
      <c r="S940" s="95"/>
      <c r="T940" s="95"/>
      <c r="U940" s="95"/>
      <c r="V940" s="95"/>
      <c r="W940" s="60"/>
      <c r="X940" s="60"/>
      <c r="Y940" s="60"/>
    </row>
    <row r="941" ht="15.75" customHeight="1">
      <c r="A941" s="101"/>
      <c r="B941" s="101"/>
      <c r="C941" s="98"/>
      <c r="D941" s="98"/>
      <c r="E941" s="101"/>
      <c r="F941" s="101"/>
      <c r="G941" s="101"/>
      <c r="H941" s="101"/>
      <c r="I941" s="101"/>
      <c r="J941" s="101"/>
      <c r="K941" s="103"/>
      <c r="L941" s="104"/>
      <c r="M941" s="98"/>
      <c r="N941" s="77"/>
      <c r="O941" s="98"/>
      <c r="P941" s="98"/>
      <c r="Q941" s="98"/>
      <c r="R941" s="98"/>
      <c r="S941" s="98"/>
      <c r="T941" s="98"/>
      <c r="U941" s="98"/>
      <c r="V941" s="98"/>
      <c r="W941" s="60"/>
      <c r="X941" s="60"/>
      <c r="Y941" s="60"/>
    </row>
    <row r="942" ht="15.75" customHeight="1">
      <c r="A942" s="106"/>
      <c r="B942" s="106"/>
      <c r="C942" s="95"/>
      <c r="D942" s="95"/>
      <c r="E942" s="106"/>
      <c r="F942" s="106"/>
      <c r="G942" s="106"/>
      <c r="H942" s="106"/>
      <c r="I942" s="106"/>
      <c r="J942" s="106"/>
      <c r="K942" s="108"/>
      <c r="L942" s="109"/>
      <c r="M942" s="95"/>
      <c r="N942" s="77"/>
      <c r="O942" s="95"/>
      <c r="P942" s="95"/>
      <c r="Q942" s="95"/>
      <c r="R942" s="95"/>
      <c r="S942" s="95"/>
      <c r="T942" s="95"/>
      <c r="U942" s="95"/>
      <c r="V942" s="95"/>
      <c r="W942" s="60"/>
      <c r="X942" s="60"/>
      <c r="Y942" s="60"/>
    </row>
    <row r="943" ht="15.75" customHeight="1">
      <c r="A943" s="101"/>
      <c r="B943" s="101"/>
      <c r="C943" s="98"/>
      <c r="D943" s="98"/>
      <c r="E943" s="101"/>
      <c r="F943" s="101"/>
      <c r="G943" s="101"/>
      <c r="H943" s="101"/>
      <c r="I943" s="101"/>
      <c r="J943" s="101"/>
      <c r="K943" s="103"/>
      <c r="L943" s="104"/>
      <c r="M943" s="98"/>
      <c r="N943" s="77"/>
      <c r="O943" s="98"/>
      <c r="P943" s="98"/>
      <c r="Q943" s="98"/>
      <c r="R943" s="98"/>
      <c r="S943" s="98"/>
      <c r="T943" s="98"/>
      <c r="U943" s="98"/>
      <c r="V943" s="98"/>
      <c r="W943" s="60"/>
      <c r="X943" s="60"/>
      <c r="Y943" s="60"/>
    </row>
    <row r="944" ht="15.75" customHeight="1">
      <c r="A944" s="106"/>
      <c r="B944" s="106"/>
      <c r="C944" s="95"/>
      <c r="D944" s="95"/>
      <c r="E944" s="106"/>
      <c r="F944" s="106"/>
      <c r="G944" s="106"/>
      <c r="H944" s="106"/>
      <c r="I944" s="106"/>
      <c r="J944" s="106"/>
      <c r="K944" s="108"/>
      <c r="L944" s="109"/>
      <c r="M944" s="95"/>
      <c r="N944" s="77"/>
      <c r="O944" s="95"/>
      <c r="P944" s="95"/>
      <c r="Q944" s="95"/>
      <c r="R944" s="95"/>
      <c r="S944" s="95"/>
      <c r="T944" s="95"/>
      <c r="U944" s="95"/>
      <c r="V944" s="95"/>
      <c r="W944" s="60"/>
      <c r="X944" s="60"/>
      <c r="Y944" s="60"/>
    </row>
    <row r="945" ht="15.75" customHeight="1">
      <c r="A945" s="101"/>
      <c r="B945" s="101"/>
      <c r="C945" s="98"/>
      <c r="D945" s="98"/>
      <c r="E945" s="101"/>
      <c r="F945" s="101"/>
      <c r="G945" s="101"/>
      <c r="H945" s="101"/>
      <c r="I945" s="101"/>
      <c r="J945" s="101"/>
      <c r="K945" s="103"/>
      <c r="L945" s="104"/>
      <c r="M945" s="98"/>
      <c r="N945" s="77"/>
      <c r="O945" s="98"/>
      <c r="P945" s="98"/>
      <c r="Q945" s="98"/>
      <c r="R945" s="98"/>
      <c r="S945" s="98"/>
      <c r="T945" s="98"/>
      <c r="U945" s="98"/>
      <c r="V945" s="98"/>
      <c r="W945" s="60"/>
      <c r="X945" s="60"/>
      <c r="Y945" s="60"/>
    </row>
    <row r="946" ht="15.75" customHeight="1">
      <c r="A946" s="106"/>
      <c r="B946" s="106"/>
      <c r="C946" s="95"/>
      <c r="D946" s="95"/>
      <c r="E946" s="106"/>
      <c r="F946" s="106"/>
      <c r="G946" s="106"/>
      <c r="H946" s="106"/>
      <c r="I946" s="106"/>
      <c r="J946" s="106"/>
      <c r="K946" s="108"/>
      <c r="L946" s="109"/>
      <c r="M946" s="95"/>
      <c r="N946" s="77"/>
      <c r="O946" s="95"/>
      <c r="P946" s="95"/>
      <c r="Q946" s="95"/>
      <c r="R946" s="95"/>
      <c r="S946" s="95"/>
      <c r="T946" s="95"/>
      <c r="U946" s="95"/>
      <c r="V946" s="95"/>
      <c r="W946" s="60"/>
      <c r="X946" s="60"/>
      <c r="Y946" s="60"/>
    </row>
    <row r="947" ht="15.75" customHeight="1">
      <c r="A947" s="101"/>
      <c r="B947" s="101"/>
      <c r="C947" s="98"/>
      <c r="D947" s="98"/>
      <c r="E947" s="101"/>
      <c r="F947" s="101"/>
      <c r="G947" s="101"/>
      <c r="H947" s="101"/>
      <c r="I947" s="101"/>
      <c r="J947" s="101"/>
      <c r="K947" s="103"/>
      <c r="L947" s="104"/>
      <c r="M947" s="98"/>
      <c r="N947" s="77"/>
      <c r="O947" s="98"/>
      <c r="P947" s="98"/>
      <c r="Q947" s="98"/>
      <c r="R947" s="98"/>
      <c r="S947" s="98"/>
      <c r="T947" s="98"/>
      <c r="U947" s="98"/>
      <c r="V947" s="98"/>
      <c r="W947" s="60"/>
      <c r="X947" s="60"/>
      <c r="Y947" s="60"/>
    </row>
    <row r="948" ht="15.75" customHeight="1">
      <c r="A948" s="106"/>
      <c r="B948" s="106"/>
      <c r="C948" s="95"/>
      <c r="D948" s="95"/>
      <c r="E948" s="106"/>
      <c r="F948" s="106"/>
      <c r="G948" s="106"/>
      <c r="H948" s="106"/>
      <c r="I948" s="106"/>
      <c r="J948" s="106"/>
      <c r="K948" s="108"/>
      <c r="L948" s="109"/>
      <c r="M948" s="95"/>
      <c r="N948" s="77"/>
      <c r="O948" s="95"/>
      <c r="P948" s="95"/>
      <c r="Q948" s="95"/>
      <c r="R948" s="95"/>
      <c r="S948" s="95"/>
      <c r="T948" s="95"/>
      <c r="U948" s="95"/>
      <c r="V948" s="95"/>
      <c r="W948" s="60"/>
      <c r="X948" s="60"/>
      <c r="Y948" s="60"/>
    </row>
    <row r="949" ht="15.75" customHeight="1">
      <c r="A949" s="101"/>
      <c r="B949" s="101"/>
      <c r="C949" s="98"/>
      <c r="D949" s="98"/>
      <c r="E949" s="101"/>
      <c r="F949" s="101"/>
      <c r="G949" s="101"/>
      <c r="H949" s="101"/>
      <c r="I949" s="101"/>
      <c r="J949" s="101"/>
      <c r="K949" s="103"/>
      <c r="L949" s="104"/>
      <c r="M949" s="98"/>
      <c r="N949" s="77"/>
      <c r="O949" s="98"/>
      <c r="P949" s="98"/>
      <c r="Q949" s="98"/>
      <c r="R949" s="98"/>
      <c r="S949" s="98"/>
      <c r="T949" s="98"/>
      <c r="U949" s="98"/>
      <c r="V949" s="98"/>
      <c r="W949" s="60"/>
      <c r="X949" s="60"/>
      <c r="Y949" s="60"/>
    </row>
    <row r="950" ht="15.75" customHeight="1">
      <c r="A950" s="106"/>
      <c r="B950" s="106"/>
      <c r="C950" s="95"/>
      <c r="D950" s="95"/>
      <c r="E950" s="106"/>
      <c r="F950" s="106"/>
      <c r="G950" s="106"/>
      <c r="H950" s="106"/>
      <c r="I950" s="106"/>
      <c r="J950" s="106"/>
      <c r="K950" s="108"/>
      <c r="L950" s="109"/>
      <c r="M950" s="95"/>
      <c r="N950" s="77"/>
      <c r="O950" s="95"/>
      <c r="P950" s="95"/>
      <c r="Q950" s="95"/>
      <c r="R950" s="95"/>
      <c r="S950" s="95"/>
      <c r="T950" s="95"/>
      <c r="U950" s="95"/>
      <c r="V950" s="95"/>
      <c r="W950" s="60"/>
      <c r="X950" s="60"/>
      <c r="Y950" s="60"/>
    </row>
    <row r="951" ht="15.75" customHeight="1">
      <c r="A951" s="101"/>
      <c r="B951" s="101"/>
      <c r="C951" s="98"/>
      <c r="D951" s="98"/>
      <c r="E951" s="101"/>
      <c r="F951" s="101"/>
      <c r="G951" s="101"/>
      <c r="H951" s="101"/>
      <c r="I951" s="101"/>
      <c r="J951" s="101"/>
      <c r="K951" s="103"/>
      <c r="L951" s="104"/>
      <c r="M951" s="98"/>
      <c r="N951" s="77"/>
      <c r="O951" s="98"/>
      <c r="P951" s="98"/>
      <c r="Q951" s="98"/>
      <c r="R951" s="98"/>
      <c r="S951" s="98"/>
      <c r="T951" s="98"/>
      <c r="U951" s="98"/>
      <c r="V951" s="98"/>
      <c r="W951" s="60"/>
      <c r="X951" s="60"/>
      <c r="Y951" s="60"/>
    </row>
    <row r="952" ht="15.75" customHeight="1">
      <c r="A952" s="106"/>
      <c r="B952" s="106"/>
      <c r="C952" s="95"/>
      <c r="D952" s="95"/>
      <c r="E952" s="106"/>
      <c r="F952" s="106"/>
      <c r="G952" s="106"/>
      <c r="H952" s="106"/>
      <c r="I952" s="106"/>
      <c r="J952" s="106"/>
      <c r="K952" s="108"/>
      <c r="L952" s="109"/>
      <c r="M952" s="95"/>
      <c r="N952" s="77"/>
      <c r="O952" s="95"/>
      <c r="P952" s="95"/>
      <c r="Q952" s="95"/>
      <c r="R952" s="95"/>
      <c r="S952" s="95"/>
      <c r="T952" s="95"/>
      <c r="U952" s="95"/>
      <c r="V952" s="95"/>
      <c r="W952" s="60"/>
      <c r="X952" s="60"/>
      <c r="Y952" s="60"/>
    </row>
    <row r="953" ht="15.75" customHeight="1">
      <c r="A953" s="101"/>
      <c r="B953" s="101"/>
      <c r="C953" s="98"/>
      <c r="D953" s="98"/>
      <c r="E953" s="101"/>
      <c r="F953" s="101"/>
      <c r="G953" s="101"/>
      <c r="H953" s="101"/>
      <c r="I953" s="101"/>
      <c r="J953" s="101"/>
      <c r="K953" s="103"/>
      <c r="L953" s="104"/>
      <c r="M953" s="98"/>
      <c r="N953" s="77"/>
      <c r="O953" s="98"/>
      <c r="P953" s="98"/>
      <c r="Q953" s="98"/>
      <c r="R953" s="98"/>
      <c r="S953" s="98"/>
      <c r="T953" s="98"/>
      <c r="U953" s="98"/>
      <c r="V953" s="98"/>
      <c r="W953" s="60"/>
      <c r="X953" s="60"/>
      <c r="Y953" s="60"/>
    </row>
    <row r="954" ht="15.75" customHeight="1">
      <c r="A954" s="106"/>
      <c r="B954" s="106"/>
      <c r="C954" s="95"/>
      <c r="D954" s="95"/>
      <c r="E954" s="106"/>
      <c r="F954" s="106"/>
      <c r="G954" s="106"/>
      <c r="H954" s="106"/>
      <c r="I954" s="106"/>
      <c r="J954" s="106"/>
      <c r="K954" s="108"/>
      <c r="L954" s="109"/>
      <c r="M954" s="95"/>
      <c r="N954" s="77"/>
      <c r="O954" s="95"/>
      <c r="P954" s="95"/>
      <c r="Q954" s="95"/>
      <c r="R954" s="95"/>
      <c r="S954" s="95"/>
      <c r="T954" s="95"/>
      <c r="U954" s="95"/>
      <c r="V954" s="95"/>
      <c r="W954" s="60"/>
      <c r="X954" s="60"/>
      <c r="Y954" s="60"/>
    </row>
    <row r="955" ht="15.75" customHeight="1">
      <c r="A955" s="101"/>
      <c r="B955" s="101"/>
      <c r="C955" s="98"/>
      <c r="D955" s="98"/>
      <c r="E955" s="101"/>
      <c r="F955" s="101"/>
      <c r="G955" s="101"/>
      <c r="H955" s="101"/>
      <c r="I955" s="101"/>
      <c r="J955" s="101"/>
      <c r="K955" s="103"/>
      <c r="L955" s="104"/>
      <c r="M955" s="98"/>
      <c r="N955" s="77"/>
      <c r="O955" s="98"/>
      <c r="P955" s="98"/>
      <c r="Q955" s="98"/>
      <c r="R955" s="98"/>
      <c r="S955" s="98"/>
      <c r="T955" s="98"/>
      <c r="U955" s="98"/>
      <c r="V955" s="98"/>
      <c r="W955" s="60"/>
      <c r="X955" s="60"/>
      <c r="Y955" s="60"/>
    </row>
    <row r="956" ht="15.75" customHeight="1">
      <c r="A956" s="106"/>
      <c r="B956" s="106"/>
      <c r="C956" s="95"/>
      <c r="D956" s="95"/>
      <c r="E956" s="106"/>
      <c r="F956" s="106"/>
      <c r="G956" s="106"/>
      <c r="H956" s="106"/>
      <c r="I956" s="106"/>
      <c r="J956" s="106"/>
      <c r="K956" s="108"/>
      <c r="L956" s="109"/>
      <c r="M956" s="95"/>
      <c r="N956" s="77"/>
      <c r="O956" s="95"/>
      <c r="P956" s="95"/>
      <c r="Q956" s="95"/>
      <c r="R956" s="95"/>
      <c r="S956" s="95"/>
      <c r="T956" s="95"/>
      <c r="U956" s="95"/>
      <c r="V956" s="95"/>
      <c r="W956" s="60"/>
      <c r="X956" s="60"/>
      <c r="Y956" s="60"/>
    </row>
    <row r="957" ht="15.75" customHeight="1">
      <c r="A957" s="101"/>
      <c r="B957" s="101"/>
      <c r="C957" s="98"/>
      <c r="D957" s="98"/>
      <c r="E957" s="101"/>
      <c r="F957" s="101"/>
      <c r="G957" s="101"/>
      <c r="H957" s="101"/>
      <c r="I957" s="101"/>
      <c r="J957" s="101"/>
      <c r="K957" s="103"/>
      <c r="L957" s="104"/>
      <c r="M957" s="98"/>
      <c r="N957" s="77"/>
      <c r="O957" s="98"/>
      <c r="P957" s="98"/>
      <c r="Q957" s="98"/>
      <c r="R957" s="98"/>
      <c r="S957" s="98"/>
      <c r="T957" s="98"/>
      <c r="U957" s="98"/>
      <c r="V957" s="98"/>
      <c r="W957" s="60"/>
      <c r="X957" s="60"/>
      <c r="Y957" s="60"/>
    </row>
    <row r="958" ht="15.75" customHeight="1">
      <c r="A958" s="106"/>
      <c r="B958" s="106"/>
      <c r="C958" s="95"/>
      <c r="D958" s="95"/>
      <c r="E958" s="106"/>
      <c r="F958" s="106"/>
      <c r="G958" s="106"/>
      <c r="H958" s="106"/>
      <c r="I958" s="106"/>
      <c r="J958" s="106"/>
      <c r="K958" s="108"/>
      <c r="L958" s="109"/>
      <c r="M958" s="95"/>
      <c r="N958" s="77"/>
      <c r="O958" s="95"/>
      <c r="P958" s="95"/>
      <c r="Q958" s="95"/>
      <c r="R958" s="95"/>
      <c r="S958" s="95"/>
      <c r="T958" s="95"/>
      <c r="U958" s="95"/>
      <c r="V958" s="95"/>
      <c r="W958" s="60"/>
      <c r="X958" s="60"/>
      <c r="Y958" s="60"/>
    </row>
    <row r="959" ht="15.75" customHeight="1">
      <c r="A959" s="101"/>
      <c r="B959" s="101"/>
      <c r="C959" s="98"/>
      <c r="D959" s="98"/>
      <c r="E959" s="101"/>
      <c r="F959" s="101"/>
      <c r="G959" s="101"/>
      <c r="H959" s="101"/>
      <c r="I959" s="101"/>
      <c r="J959" s="101"/>
      <c r="K959" s="103"/>
      <c r="L959" s="104"/>
      <c r="M959" s="98"/>
      <c r="N959" s="77"/>
      <c r="O959" s="98"/>
      <c r="P959" s="98"/>
      <c r="Q959" s="98"/>
      <c r="R959" s="98"/>
      <c r="S959" s="98"/>
      <c r="T959" s="98"/>
      <c r="U959" s="98"/>
      <c r="V959" s="98"/>
      <c r="W959" s="60"/>
      <c r="X959" s="60"/>
      <c r="Y959" s="60"/>
    </row>
    <row r="960" ht="15.75" customHeight="1">
      <c r="A960" s="106"/>
      <c r="B960" s="106"/>
      <c r="C960" s="95"/>
      <c r="D960" s="95"/>
      <c r="E960" s="106"/>
      <c r="F960" s="106"/>
      <c r="G960" s="106"/>
      <c r="H960" s="106"/>
      <c r="I960" s="106"/>
      <c r="J960" s="106"/>
      <c r="K960" s="108"/>
      <c r="L960" s="109"/>
      <c r="M960" s="95"/>
      <c r="N960" s="77"/>
      <c r="O960" s="95"/>
      <c r="P960" s="95"/>
      <c r="Q960" s="95"/>
      <c r="R960" s="95"/>
      <c r="S960" s="95"/>
      <c r="T960" s="95"/>
      <c r="U960" s="95"/>
      <c r="V960" s="95"/>
      <c r="W960" s="60"/>
      <c r="X960" s="60"/>
      <c r="Y960" s="60"/>
    </row>
    <row r="961" ht="15.75" customHeight="1">
      <c r="A961" s="101"/>
      <c r="B961" s="101"/>
      <c r="C961" s="98"/>
      <c r="D961" s="98"/>
      <c r="E961" s="101"/>
      <c r="F961" s="101"/>
      <c r="G961" s="101"/>
      <c r="H961" s="101"/>
      <c r="I961" s="101"/>
      <c r="J961" s="101"/>
      <c r="K961" s="103"/>
      <c r="L961" s="104"/>
      <c r="M961" s="98"/>
      <c r="N961" s="77"/>
      <c r="O961" s="98"/>
      <c r="P961" s="98"/>
      <c r="Q961" s="98"/>
      <c r="R961" s="98"/>
      <c r="S961" s="98"/>
      <c r="T961" s="98"/>
      <c r="U961" s="98"/>
      <c r="V961" s="98"/>
      <c r="W961" s="60"/>
      <c r="X961" s="60"/>
      <c r="Y961" s="60"/>
    </row>
    <row r="962" ht="15.75" customHeight="1">
      <c r="A962" s="106"/>
      <c r="B962" s="106"/>
      <c r="C962" s="95"/>
      <c r="D962" s="95"/>
      <c r="E962" s="106"/>
      <c r="F962" s="106"/>
      <c r="G962" s="106"/>
      <c r="H962" s="106"/>
      <c r="I962" s="106"/>
      <c r="J962" s="106"/>
      <c r="K962" s="108"/>
      <c r="L962" s="109"/>
      <c r="M962" s="95"/>
      <c r="N962" s="77"/>
      <c r="O962" s="95"/>
      <c r="P962" s="95"/>
      <c r="Q962" s="95"/>
      <c r="R962" s="95"/>
      <c r="S962" s="95"/>
      <c r="T962" s="95"/>
      <c r="U962" s="95"/>
      <c r="V962" s="95"/>
      <c r="W962" s="60"/>
      <c r="X962" s="60"/>
      <c r="Y962" s="60"/>
    </row>
    <row r="963" ht="15.75" customHeight="1">
      <c r="A963" s="101"/>
      <c r="B963" s="101"/>
      <c r="C963" s="98"/>
      <c r="D963" s="98"/>
      <c r="E963" s="101"/>
      <c r="F963" s="101"/>
      <c r="G963" s="101"/>
      <c r="H963" s="101"/>
      <c r="I963" s="101"/>
      <c r="J963" s="101"/>
      <c r="K963" s="103"/>
      <c r="L963" s="104"/>
      <c r="M963" s="98"/>
      <c r="N963" s="77"/>
      <c r="O963" s="98"/>
      <c r="P963" s="98"/>
      <c r="Q963" s="98"/>
      <c r="R963" s="98"/>
      <c r="S963" s="98"/>
      <c r="T963" s="98"/>
      <c r="U963" s="98"/>
      <c r="V963" s="98"/>
      <c r="W963" s="60"/>
      <c r="X963" s="60"/>
      <c r="Y963" s="60"/>
    </row>
    <row r="964" ht="15.75" customHeight="1">
      <c r="A964" s="106"/>
      <c r="B964" s="106"/>
      <c r="C964" s="95"/>
      <c r="D964" s="95"/>
      <c r="E964" s="106"/>
      <c r="F964" s="106"/>
      <c r="G964" s="106"/>
      <c r="H964" s="106"/>
      <c r="I964" s="106"/>
      <c r="J964" s="106"/>
      <c r="K964" s="108"/>
      <c r="L964" s="109"/>
      <c r="M964" s="95"/>
      <c r="N964" s="77"/>
      <c r="O964" s="95"/>
      <c r="P964" s="95"/>
      <c r="Q964" s="95"/>
      <c r="R964" s="95"/>
      <c r="S964" s="95"/>
      <c r="T964" s="95"/>
      <c r="U964" s="95"/>
      <c r="V964" s="95"/>
      <c r="W964" s="60"/>
      <c r="X964" s="60"/>
      <c r="Y964" s="60"/>
    </row>
    <row r="965" ht="15.75" customHeight="1">
      <c r="A965" s="101"/>
      <c r="B965" s="101"/>
      <c r="C965" s="98"/>
      <c r="D965" s="98"/>
      <c r="E965" s="101"/>
      <c r="F965" s="101"/>
      <c r="G965" s="101"/>
      <c r="H965" s="101"/>
      <c r="I965" s="101"/>
      <c r="J965" s="101"/>
      <c r="K965" s="103"/>
      <c r="L965" s="104"/>
      <c r="M965" s="98"/>
      <c r="N965" s="77"/>
      <c r="O965" s="98"/>
      <c r="P965" s="98"/>
      <c r="Q965" s="98"/>
      <c r="R965" s="98"/>
      <c r="S965" s="98"/>
      <c r="T965" s="98"/>
      <c r="U965" s="98"/>
      <c r="V965" s="98"/>
      <c r="W965" s="60"/>
      <c r="X965" s="60"/>
      <c r="Y965" s="60"/>
    </row>
    <row r="966" ht="15.75" customHeight="1">
      <c r="A966" s="106"/>
      <c r="B966" s="106"/>
      <c r="C966" s="95"/>
      <c r="D966" s="95"/>
      <c r="E966" s="106"/>
      <c r="F966" s="106"/>
      <c r="G966" s="106"/>
      <c r="H966" s="106"/>
      <c r="I966" s="106"/>
      <c r="J966" s="106"/>
      <c r="K966" s="108"/>
      <c r="L966" s="109"/>
      <c r="M966" s="95"/>
      <c r="N966" s="77"/>
      <c r="O966" s="95"/>
      <c r="P966" s="95"/>
      <c r="Q966" s="95"/>
      <c r="R966" s="95"/>
      <c r="S966" s="95"/>
      <c r="T966" s="95"/>
      <c r="U966" s="95"/>
      <c r="V966" s="95"/>
      <c r="W966" s="60"/>
      <c r="X966" s="60"/>
      <c r="Y966" s="60"/>
    </row>
    <row r="967" ht="15.75" customHeight="1">
      <c r="A967" s="101"/>
      <c r="B967" s="101"/>
      <c r="C967" s="98"/>
      <c r="D967" s="98"/>
      <c r="E967" s="101"/>
      <c r="F967" s="101"/>
      <c r="G967" s="101"/>
      <c r="H967" s="101"/>
      <c r="I967" s="101"/>
      <c r="J967" s="101"/>
      <c r="K967" s="103"/>
      <c r="L967" s="104"/>
      <c r="M967" s="98"/>
      <c r="N967" s="77"/>
      <c r="O967" s="98"/>
      <c r="P967" s="98"/>
      <c r="Q967" s="98"/>
      <c r="R967" s="98"/>
      <c r="S967" s="98"/>
      <c r="T967" s="98"/>
      <c r="U967" s="98"/>
      <c r="V967" s="98"/>
      <c r="W967" s="60"/>
      <c r="X967" s="60"/>
      <c r="Y967" s="60"/>
    </row>
    <row r="968" ht="15.75" customHeight="1">
      <c r="A968" s="106"/>
      <c r="B968" s="106"/>
      <c r="C968" s="95"/>
      <c r="D968" s="95"/>
      <c r="E968" s="106"/>
      <c r="F968" s="106"/>
      <c r="G968" s="106"/>
      <c r="H968" s="106"/>
      <c r="I968" s="106"/>
      <c r="J968" s="106"/>
      <c r="K968" s="108"/>
      <c r="L968" s="109"/>
      <c r="M968" s="95"/>
      <c r="N968" s="77"/>
      <c r="O968" s="95"/>
      <c r="P968" s="95"/>
      <c r="Q968" s="95"/>
      <c r="R968" s="95"/>
      <c r="S968" s="95"/>
      <c r="T968" s="95"/>
      <c r="U968" s="95"/>
      <c r="V968" s="95"/>
      <c r="W968" s="60"/>
      <c r="X968" s="60"/>
      <c r="Y968" s="60"/>
    </row>
    <row r="969" ht="15.75" customHeight="1">
      <c r="A969" s="101"/>
      <c r="B969" s="101"/>
      <c r="C969" s="98"/>
      <c r="D969" s="98"/>
      <c r="E969" s="101"/>
      <c r="F969" s="101"/>
      <c r="G969" s="101"/>
      <c r="H969" s="101"/>
      <c r="I969" s="101"/>
      <c r="J969" s="101"/>
      <c r="K969" s="103"/>
      <c r="L969" s="104"/>
      <c r="M969" s="98"/>
      <c r="N969" s="77"/>
      <c r="O969" s="98"/>
      <c r="P969" s="98"/>
      <c r="Q969" s="98"/>
      <c r="R969" s="98"/>
      <c r="S969" s="98"/>
      <c r="T969" s="98"/>
      <c r="U969" s="98"/>
      <c r="V969" s="98"/>
      <c r="W969" s="60"/>
      <c r="X969" s="60"/>
      <c r="Y969" s="60"/>
    </row>
    <row r="970" ht="15.75" customHeight="1">
      <c r="A970" s="106"/>
      <c r="B970" s="106"/>
      <c r="C970" s="95"/>
      <c r="D970" s="95"/>
      <c r="E970" s="106"/>
      <c r="F970" s="106"/>
      <c r="G970" s="106"/>
      <c r="H970" s="106"/>
      <c r="I970" s="106"/>
      <c r="J970" s="106"/>
      <c r="K970" s="108"/>
      <c r="L970" s="109"/>
      <c r="M970" s="95"/>
      <c r="N970" s="77"/>
      <c r="O970" s="95"/>
      <c r="P970" s="95"/>
      <c r="Q970" s="95"/>
      <c r="R970" s="95"/>
      <c r="S970" s="95"/>
      <c r="T970" s="95"/>
      <c r="U970" s="95"/>
      <c r="V970" s="95"/>
      <c r="W970" s="60"/>
      <c r="X970" s="60"/>
      <c r="Y970" s="60"/>
    </row>
    <row r="971" ht="15.75" customHeight="1">
      <c r="A971" s="101"/>
      <c r="B971" s="101"/>
      <c r="C971" s="98"/>
      <c r="D971" s="98"/>
      <c r="E971" s="101"/>
      <c r="F971" s="101"/>
      <c r="G971" s="101"/>
      <c r="H971" s="101"/>
      <c r="I971" s="101"/>
      <c r="J971" s="101"/>
      <c r="K971" s="103"/>
      <c r="L971" s="104"/>
      <c r="M971" s="98"/>
      <c r="N971" s="77"/>
      <c r="O971" s="98"/>
      <c r="P971" s="98"/>
      <c r="Q971" s="98"/>
      <c r="R971" s="98"/>
      <c r="S971" s="98"/>
      <c r="T971" s="98"/>
      <c r="U971" s="98"/>
      <c r="V971" s="98"/>
      <c r="W971" s="60"/>
      <c r="X971" s="60"/>
      <c r="Y971" s="60"/>
    </row>
    <row r="972" ht="15.75" customHeight="1">
      <c r="A972" s="106"/>
      <c r="B972" s="106"/>
      <c r="C972" s="95"/>
      <c r="D972" s="95"/>
      <c r="E972" s="106"/>
      <c r="F972" s="106"/>
      <c r="G972" s="106"/>
      <c r="H972" s="106"/>
      <c r="I972" s="106"/>
      <c r="J972" s="106"/>
      <c r="K972" s="108"/>
      <c r="L972" s="109"/>
      <c r="M972" s="95"/>
      <c r="N972" s="77"/>
      <c r="O972" s="95"/>
      <c r="P972" s="95"/>
      <c r="Q972" s="95"/>
      <c r="R972" s="95"/>
      <c r="S972" s="95"/>
      <c r="T972" s="95"/>
      <c r="U972" s="95"/>
      <c r="V972" s="95"/>
      <c r="W972" s="60"/>
      <c r="X972" s="60"/>
      <c r="Y972" s="60"/>
    </row>
    <row r="973" ht="15.75" customHeight="1">
      <c r="A973" s="101"/>
      <c r="B973" s="101"/>
      <c r="C973" s="98"/>
      <c r="D973" s="98"/>
      <c r="E973" s="101"/>
      <c r="F973" s="101"/>
      <c r="G973" s="101"/>
      <c r="H973" s="101"/>
      <c r="I973" s="101"/>
      <c r="J973" s="101"/>
      <c r="K973" s="103"/>
      <c r="L973" s="104"/>
      <c r="M973" s="98"/>
      <c r="N973" s="77"/>
      <c r="O973" s="98"/>
      <c r="P973" s="98"/>
      <c r="Q973" s="98"/>
      <c r="R973" s="98"/>
      <c r="S973" s="98"/>
      <c r="T973" s="98"/>
      <c r="U973" s="98"/>
      <c r="V973" s="98"/>
      <c r="W973" s="60"/>
      <c r="X973" s="60"/>
      <c r="Y973" s="60"/>
    </row>
    <row r="974" ht="15.75" customHeight="1">
      <c r="A974" s="106"/>
      <c r="B974" s="106"/>
      <c r="C974" s="95"/>
      <c r="D974" s="95"/>
      <c r="E974" s="106"/>
      <c r="F974" s="106"/>
      <c r="G974" s="106"/>
      <c r="H974" s="106"/>
      <c r="I974" s="106"/>
      <c r="J974" s="106"/>
      <c r="K974" s="108"/>
      <c r="L974" s="109"/>
      <c r="M974" s="95"/>
      <c r="N974" s="77"/>
      <c r="O974" s="95"/>
      <c r="P974" s="95"/>
      <c r="Q974" s="95"/>
      <c r="R974" s="95"/>
      <c r="S974" s="95"/>
      <c r="T974" s="95"/>
      <c r="U974" s="95"/>
      <c r="V974" s="95"/>
      <c r="W974" s="60"/>
      <c r="X974" s="60"/>
      <c r="Y974" s="60"/>
    </row>
    <row r="975" ht="15.75" customHeight="1">
      <c r="A975" s="101"/>
      <c r="B975" s="101"/>
      <c r="C975" s="98"/>
      <c r="D975" s="98"/>
      <c r="E975" s="101"/>
      <c r="F975" s="101"/>
      <c r="G975" s="101"/>
      <c r="H975" s="101"/>
      <c r="I975" s="101"/>
      <c r="J975" s="101"/>
      <c r="K975" s="103"/>
      <c r="L975" s="104"/>
      <c r="M975" s="98"/>
      <c r="N975" s="77"/>
      <c r="O975" s="98"/>
      <c r="P975" s="98"/>
      <c r="Q975" s="98"/>
      <c r="R975" s="98"/>
      <c r="S975" s="98"/>
      <c r="T975" s="98"/>
      <c r="U975" s="98"/>
      <c r="V975" s="98"/>
      <c r="W975" s="60"/>
      <c r="X975" s="60"/>
      <c r="Y975" s="60"/>
    </row>
    <row r="976" ht="15.75" customHeight="1">
      <c r="A976" s="106"/>
      <c r="B976" s="106"/>
      <c r="C976" s="95"/>
      <c r="D976" s="95"/>
      <c r="E976" s="106"/>
      <c r="F976" s="106"/>
      <c r="G976" s="106"/>
      <c r="H976" s="106"/>
      <c r="I976" s="106"/>
      <c r="J976" s="106"/>
      <c r="K976" s="108"/>
      <c r="L976" s="109"/>
      <c r="M976" s="95"/>
      <c r="N976" s="77"/>
      <c r="O976" s="95"/>
      <c r="P976" s="95"/>
      <c r="Q976" s="95"/>
      <c r="R976" s="95"/>
      <c r="S976" s="95"/>
      <c r="T976" s="95"/>
      <c r="U976" s="95"/>
      <c r="V976" s="95"/>
      <c r="W976" s="60"/>
      <c r="X976" s="60"/>
      <c r="Y976" s="60"/>
    </row>
    <row r="977" ht="15.75" customHeight="1">
      <c r="A977" s="101"/>
      <c r="B977" s="101"/>
      <c r="C977" s="98"/>
      <c r="D977" s="98"/>
      <c r="E977" s="101"/>
      <c r="F977" s="101"/>
      <c r="G977" s="101"/>
      <c r="H977" s="101"/>
      <c r="I977" s="101"/>
      <c r="J977" s="101"/>
      <c r="K977" s="103"/>
      <c r="L977" s="104"/>
      <c r="M977" s="98"/>
      <c r="N977" s="77"/>
      <c r="O977" s="98"/>
      <c r="P977" s="98"/>
      <c r="Q977" s="98"/>
      <c r="R977" s="98"/>
      <c r="S977" s="98"/>
      <c r="T977" s="98"/>
      <c r="U977" s="98"/>
      <c r="V977" s="98"/>
      <c r="W977" s="60"/>
      <c r="X977" s="60"/>
      <c r="Y977" s="60"/>
    </row>
    <row r="978" ht="15.75" customHeight="1">
      <c r="A978" s="106"/>
      <c r="B978" s="106"/>
      <c r="C978" s="95"/>
      <c r="D978" s="95"/>
      <c r="E978" s="106"/>
      <c r="F978" s="106"/>
      <c r="G978" s="106"/>
      <c r="H978" s="106"/>
      <c r="I978" s="106"/>
      <c r="J978" s="106"/>
      <c r="K978" s="108"/>
      <c r="L978" s="109"/>
      <c r="M978" s="95"/>
      <c r="N978" s="77"/>
      <c r="O978" s="95"/>
      <c r="P978" s="95"/>
      <c r="Q978" s="95"/>
      <c r="R978" s="95"/>
      <c r="S978" s="95"/>
      <c r="T978" s="95"/>
      <c r="U978" s="95"/>
      <c r="V978" s="95"/>
      <c r="W978" s="60"/>
      <c r="X978" s="60"/>
      <c r="Y978" s="60"/>
    </row>
    <row r="979" ht="15.75" customHeight="1">
      <c r="A979" s="101"/>
      <c r="B979" s="101"/>
      <c r="C979" s="98"/>
      <c r="D979" s="98"/>
      <c r="E979" s="101"/>
      <c r="F979" s="101"/>
      <c r="G979" s="101"/>
      <c r="H979" s="101"/>
      <c r="I979" s="101"/>
      <c r="J979" s="101"/>
      <c r="K979" s="103"/>
      <c r="L979" s="104"/>
      <c r="M979" s="98"/>
      <c r="N979" s="77"/>
      <c r="O979" s="98"/>
      <c r="P979" s="98"/>
      <c r="Q979" s="98"/>
      <c r="R979" s="98"/>
      <c r="S979" s="98"/>
      <c r="T979" s="98"/>
      <c r="U979" s="98"/>
      <c r="V979" s="98"/>
      <c r="W979" s="60"/>
      <c r="X979" s="60"/>
      <c r="Y979" s="60"/>
    </row>
    <row r="980" ht="15.75" customHeight="1">
      <c r="A980" s="106"/>
      <c r="B980" s="106"/>
      <c r="C980" s="95"/>
      <c r="D980" s="95"/>
      <c r="E980" s="106"/>
      <c r="F980" s="106"/>
      <c r="G980" s="106"/>
      <c r="H980" s="106"/>
      <c r="I980" s="106"/>
      <c r="J980" s="106"/>
      <c r="K980" s="108"/>
      <c r="L980" s="109"/>
      <c r="M980" s="95"/>
      <c r="N980" s="77"/>
      <c r="O980" s="95"/>
      <c r="P980" s="95"/>
      <c r="Q980" s="95"/>
      <c r="R980" s="95"/>
      <c r="S980" s="95"/>
      <c r="T980" s="95"/>
      <c r="U980" s="95"/>
      <c r="V980" s="95"/>
      <c r="W980" s="60"/>
      <c r="X980" s="60"/>
      <c r="Y980" s="60"/>
    </row>
    <row r="981" ht="15.75" customHeight="1">
      <c r="A981" s="101"/>
      <c r="B981" s="101"/>
      <c r="C981" s="98"/>
      <c r="D981" s="98"/>
      <c r="E981" s="101"/>
      <c r="F981" s="101"/>
      <c r="G981" s="101"/>
      <c r="H981" s="101"/>
      <c r="I981" s="101"/>
      <c r="J981" s="101"/>
      <c r="K981" s="103"/>
      <c r="L981" s="104"/>
      <c r="M981" s="98"/>
      <c r="N981" s="77"/>
      <c r="O981" s="98"/>
      <c r="P981" s="98"/>
      <c r="Q981" s="98"/>
      <c r="R981" s="98"/>
      <c r="S981" s="98"/>
      <c r="T981" s="98"/>
      <c r="U981" s="98"/>
      <c r="V981" s="98"/>
      <c r="W981" s="60"/>
      <c r="X981" s="60"/>
      <c r="Y981" s="60"/>
    </row>
    <row r="982" ht="15.75" customHeight="1">
      <c r="A982" s="106"/>
      <c r="B982" s="106"/>
      <c r="C982" s="95"/>
      <c r="D982" s="95"/>
      <c r="E982" s="106"/>
      <c r="F982" s="106"/>
      <c r="G982" s="106"/>
      <c r="H982" s="106"/>
      <c r="I982" s="106"/>
      <c r="J982" s="106"/>
      <c r="K982" s="108"/>
      <c r="L982" s="109"/>
      <c r="M982" s="95"/>
      <c r="N982" s="77"/>
      <c r="O982" s="95"/>
      <c r="P982" s="95"/>
      <c r="Q982" s="95"/>
      <c r="R982" s="95"/>
      <c r="S982" s="95"/>
      <c r="T982" s="95"/>
      <c r="U982" s="95"/>
      <c r="V982" s="95"/>
      <c r="W982" s="60"/>
      <c r="X982" s="60"/>
      <c r="Y982" s="60"/>
    </row>
    <row r="983" ht="15.75" customHeight="1">
      <c r="A983" s="101"/>
      <c r="B983" s="101"/>
      <c r="C983" s="98"/>
      <c r="D983" s="98"/>
      <c r="E983" s="101"/>
      <c r="F983" s="101"/>
      <c r="G983" s="101"/>
      <c r="H983" s="101"/>
      <c r="I983" s="101"/>
      <c r="J983" s="101"/>
      <c r="K983" s="103"/>
      <c r="L983" s="104"/>
      <c r="M983" s="98"/>
      <c r="N983" s="77"/>
      <c r="O983" s="98"/>
      <c r="P983" s="98"/>
      <c r="Q983" s="98"/>
      <c r="R983" s="98"/>
      <c r="S983" s="98"/>
      <c r="T983" s="98"/>
      <c r="U983" s="98"/>
      <c r="V983" s="98"/>
      <c r="W983" s="60"/>
      <c r="X983" s="60"/>
      <c r="Y983" s="60"/>
    </row>
    <row r="984" ht="15.75" customHeight="1">
      <c r="A984" s="106"/>
      <c r="B984" s="106"/>
      <c r="C984" s="95"/>
      <c r="D984" s="95"/>
      <c r="E984" s="106"/>
      <c r="F984" s="106"/>
      <c r="G984" s="106"/>
      <c r="H984" s="106"/>
      <c r="I984" s="106"/>
      <c r="J984" s="106"/>
      <c r="K984" s="108"/>
      <c r="L984" s="109"/>
      <c r="M984" s="95"/>
      <c r="N984" s="77"/>
      <c r="O984" s="95"/>
      <c r="P984" s="95"/>
      <c r="Q984" s="95"/>
      <c r="R984" s="95"/>
      <c r="S984" s="95"/>
      <c r="T984" s="95"/>
      <c r="U984" s="95"/>
      <c r="V984" s="95"/>
      <c r="W984" s="60"/>
      <c r="X984" s="60"/>
      <c r="Y984" s="60"/>
    </row>
    <row r="985" ht="15.75" customHeight="1">
      <c r="A985" s="101"/>
      <c r="B985" s="101"/>
      <c r="C985" s="98"/>
      <c r="D985" s="98"/>
      <c r="E985" s="101"/>
      <c r="F985" s="101"/>
      <c r="G985" s="101"/>
      <c r="H985" s="101"/>
      <c r="I985" s="101"/>
      <c r="J985" s="101"/>
      <c r="K985" s="103"/>
      <c r="L985" s="104"/>
      <c r="M985" s="98"/>
      <c r="N985" s="77"/>
      <c r="O985" s="98"/>
      <c r="P985" s="98"/>
      <c r="Q985" s="98"/>
      <c r="R985" s="98"/>
      <c r="S985" s="98"/>
      <c r="T985" s="98"/>
      <c r="U985" s="98"/>
      <c r="V985" s="98"/>
      <c r="W985" s="60"/>
      <c r="X985" s="60"/>
      <c r="Y985" s="60"/>
    </row>
    <row r="986" ht="15.75" customHeight="1">
      <c r="A986" s="106"/>
      <c r="B986" s="106"/>
      <c r="C986" s="95"/>
      <c r="D986" s="95"/>
      <c r="E986" s="106"/>
      <c r="F986" s="106"/>
      <c r="G986" s="106"/>
      <c r="H986" s="106"/>
      <c r="I986" s="106"/>
      <c r="J986" s="106"/>
      <c r="K986" s="108"/>
      <c r="L986" s="109"/>
      <c r="M986" s="95"/>
      <c r="N986" s="77"/>
      <c r="O986" s="95"/>
      <c r="P986" s="95"/>
      <c r="Q986" s="95"/>
      <c r="R986" s="95"/>
      <c r="S986" s="95"/>
      <c r="T986" s="95"/>
      <c r="U986" s="95"/>
      <c r="V986" s="95"/>
      <c r="W986" s="60"/>
      <c r="X986" s="60"/>
      <c r="Y986" s="60"/>
    </row>
    <row r="987" ht="15.75" customHeight="1">
      <c r="A987" s="101"/>
      <c r="B987" s="101"/>
      <c r="C987" s="98"/>
      <c r="D987" s="98"/>
      <c r="E987" s="101"/>
      <c r="F987" s="101"/>
      <c r="G987" s="101"/>
      <c r="H987" s="101"/>
      <c r="I987" s="101"/>
      <c r="J987" s="101"/>
      <c r="K987" s="103"/>
      <c r="L987" s="104"/>
      <c r="M987" s="98"/>
      <c r="N987" s="77"/>
      <c r="O987" s="98"/>
      <c r="P987" s="98"/>
      <c r="Q987" s="98"/>
      <c r="R987" s="98"/>
      <c r="S987" s="98"/>
      <c r="T987" s="98"/>
      <c r="U987" s="98"/>
      <c r="V987" s="98"/>
      <c r="W987" s="60"/>
      <c r="X987" s="60"/>
      <c r="Y987" s="60"/>
    </row>
    <row r="988" ht="15.75" customHeight="1">
      <c r="A988" s="106"/>
      <c r="B988" s="106"/>
      <c r="C988" s="95"/>
      <c r="D988" s="95"/>
      <c r="E988" s="106"/>
      <c r="F988" s="106"/>
      <c r="G988" s="106"/>
      <c r="H988" s="106"/>
      <c r="I988" s="106"/>
      <c r="J988" s="106"/>
      <c r="K988" s="108"/>
      <c r="L988" s="109"/>
      <c r="M988" s="95"/>
      <c r="N988" s="77"/>
      <c r="O988" s="95"/>
      <c r="P988" s="95"/>
      <c r="Q988" s="95"/>
      <c r="R988" s="95"/>
      <c r="S988" s="95"/>
      <c r="T988" s="95"/>
      <c r="U988" s="95"/>
      <c r="V988" s="95"/>
      <c r="W988" s="60"/>
      <c r="X988" s="60"/>
      <c r="Y988" s="60"/>
    </row>
    <row r="989" ht="15.75" customHeight="1">
      <c r="A989" s="101"/>
      <c r="B989" s="101"/>
      <c r="C989" s="98"/>
      <c r="D989" s="98"/>
      <c r="E989" s="101"/>
      <c r="F989" s="101"/>
      <c r="G989" s="101"/>
      <c r="H989" s="101"/>
      <c r="I989" s="101"/>
      <c r="J989" s="101"/>
      <c r="K989" s="103"/>
      <c r="L989" s="104"/>
      <c r="M989" s="98"/>
      <c r="N989" s="77"/>
      <c r="O989" s="98"/>
      <c r="P989" s="98"/>
      <c r="Q989" s="98"/>
      <c r="R989" s="98"/>
      <c r="S989" s="98"/>
      <c r="T989" s="98"/>
      <c r="U989" s="98"/>
      <c r="V989" s="98"/>
      <c r="W989" s="60"/>
      <c r="X989" s="60"/>
      <c r="Y989" s="60"/>
    </row>
    <row r="990" ht="15.75" customHeight="1">
      <c r="A990" s="106"/>
      <c r="B990" s="106"/>
      <c r="C990" s="95"/>
      <c r="D990" s="95"/>
      <c r="E990" s="106"/>
      <c r="F990" s="106"/>
      <c r="G990" s="106"/>
      <c r="H990" s="106"/>
      <c r="I990" s="106"/>
      <c r="J990" s="106"/>
      <c r="K990" s="108"/>
      <c r="L990" s="109"/>
      <c r="M990" s="95"/>
      <c r="N990" s="77"/>
      <c r="O990" s="95"/>
      <c r="P990" s="95"/>
      <c r="Q990" s="95"/>
      <c r="R990" s="95"/>
      <c r="S990" s="95"/>
      <c r="T990" s="95"/>
      <c r="U990" s="95"/>
      <c r="V990" s="95"/>
      <c r="W990" s="60"/>
      <c r="X990" s="60"/>
      <c r="Y990" s="60"/>
    </row>
    <row r="991" ht="15.75" customHeight="1">
      <c r="A991" s="101"/>
      <c r="B991" s="101"/>
      <c r="C991" s="98"/>
      <c r="D991" s="98"/>
      <c r="E991" s="101"/>
      <c r="F991" s="101"/>
      <c r="G991" s="101"/>
      <c r="H991" s="101"/>
      <c r="I991" s="101"/>
      <c r="J991" s="101"/>
      <c r="K991" s="103"/>
      <c r="L991" s="104"/>
      <c r="M991" s="98"/>
      <c r="N991" s="77"/>
      <c r="O991" s="98"/>
      <c r="P991" s="98"/>
      <c r="Q991" s="98"/>
      <c r="R991" s="98"/>
      <c r="S991" s="98"/>
      <c r="T991" s="98"/>
      <c r="U991" s="98"/>
      <c r="V991" s="98"/>
      <c r="W991" s="60"/>
      <c r="X991" s="60"/>
      <c r="Y991" s="60"/>
    </row>
    <row r="992" ht="15.75" customHeight="1">
      <c r="A992" s="106"/>
      <c r="B992" s="106"/>
      <c r="C992" s="95"/>
      <c r="D992" s="95"/>
      <c r="E992" s="106"/>
      <c r="F992" s="106"/>
      <c r="G992" s="106"/>
      <c r="H992" s="106"/>
      <c r="I992" s="106"/>
      <c r="J992" s="106"/>
      <c r="K992" s="108"/>
      <c r="L992" s="109"/>
      <c r="M992" s="95"/>
      <c r="N992" s="77"/>
      <c r="O992" s="95"/>
      <c r="P992" s="95"/>
      <c r="Q992" s="95"/>
      <c r="R992" s="95"/>
      <c r="S992" s="95"/>
      <c r="T992" s="95"/>
      <c r="U992" s="95"/>
      <c r="V992" s="95"/>
      <c r="W992" s="60"/>
      <c r="X992" s="60"/>
      <c r="Y992" s="60"/>
    </row>
    <row r="993" ht="15.75" customHeight="1">
      <c r="A993" s="101"/>
      <c r="B993" s="101"/>
      <c r="C993" s="98"/>
      <c r="D993" s="98"/>
      <c r="E993" s="101"/>
      <c r="F993" s="101"/>
      <c r="G993" s="101"/>
      <c r="H993" s="101"/>
      <c r="I993" s="101"/>
      <c r="J993" s="101"/>
      <c r="K993" s="103"/>
      <c r="L993" s="104"/>
      <c r="M993" s="98"/>
      <c r="N993" s="77"/>
      <c r="O993" s="98"/>
      <c r="P993" s="98"/>
      <c r="Q993" s="98"/>
      <c r="R993" s="98"/>
      <c r="S993" s="98"/>
      <c r="T993" s="98"/>
      <c r="U993" s="98"/>
      <c r="V993" s="98"/>
      <c r="W993" s="60"/>
      <c r="X993" s="60"/>
      <c r="Y993" s="60"/>
    </row>
    <row r="994" ht="15.75" customHeight="1">
      <c r="A994" s="106"/>
      <c r="B994" s="106"/>
      <c r="C994" s="95"/>
      <c r="D994" s="95"/>
      <c r="E994" s="106"/>
      <c r="F994" s="106"/>
      <c r="G994" s="106"/>
      <c r="H994" s="106"/>
      <c r="I994" s="106"/>
      <c r="J994" s="106"/>
      <c r="K994" s="108"/>
      <c r="L994" s="109"/>
      <c r="M994" s="95"/>
      <c r="N994" s="77"/>
      <c r="O994" s="95"/>
      <c r="P994" s="95"/>
      <c r="Q994" s="95"/>
      <c r="R994" s="95"/>
      <c r="S994" s="95"/>
      <c r="T994" s="95"/>
      <c r="U994" s="95"/>
      <c r="V994" s="95"/>
      <c r="W994" s="60"/>
      <c r="X994" s="60"/>
      <c r="Y994" s="60"/>
    </row>
    <row r="995" ht="15.75" customHeight="1">
      <c r="A995" s="101"/>
      <c r="B995" s="101"/>
      <c r="C995" s="98"/>
      <c r="D995" s="98"/>
      <c r="E995" s="101"/>
      <c r="F995" s="101"/>
      <c r="G995" s="101"/>
      <c r="H995" s="101"/>
      <c r="I995" s="101"/>
      <c r="J995" s="101"/>
      <c r="K995" s="103"/>
      <c r="L995" s="104"/>
      <c r="M995" s="98"/>
      <c r="N995" s="77"/>
      <c r="O995" s="98"/>
      <c r="P995" s="98"/>
      <c r="Q995" s="98"/>
      <c r="R995" s="98"/>
      <c r="S995" s="98"/>
      <c r="T995" s="98"/>
      <c r="U995" s="98"/>
      <c r="V995" s="98"/>
      <c r="W995" s="60"/>
      <c r="X995" s="60"/>
      <c r="Y995" s="60"/>
    </row>
    <row r="996" ht="15.75" customHeight="1">
      <c r="A996" s="106"/>
      <c r="B996" s="106"/>
      <c r="C996" s="95"/>
      <c r="D996" s="95"/>
      <c r="E996" s="106"/>
      <c r="F996" s="106"/>
      <c r="G996" s="106"/>
      <c r="H996" s="106"/>
      <c r="I996" s="106"/>
      <c r="J996" s="106"/>
      <c r="K996" s="108"/>
      <c r="L996" s="109"/>
      <c r="M996" s="95"/>
      <c r="N996" s="77"/>
      <c r="O996" s="95"/>
      <c r="P996" s="95"/>
      <c r="Q996" s="95"/>
      <c r="R996" s="95"/>
      <c r="S996" s="95"/>
      <c r="T996" s="95"/>
      <c r="U996" s="95"/>
      <c r="V996" s="95"/>
      <c r="W996" s="60"/>
      <c r="X996" s="60"/>
      <c r="Y996" s="60"/>
    </row>
    <row r="997" ht="15.75" customHeight="1">
      <c r="A997" s="101"/>
      <c r="B997" s="101"/>
      <c r="C997" s="98"/>
      <c r="D997" s="98"/>
      <c r="E997" s="101"/>
      <c r="F997" s="101"/>
      <c r="G997" s="101"/>
      <c r="H997" s="101"/>
      <c r="I997" s="101"/>
      <c r="J997" s="101"/>
      <c r="K997" s="103"/>
      <c r="L997" s="104"/>
      <c r="M997" s="98"/>
      <c r="N997" s="77"/>
      <c r="O997" s="98"/>
      <c r="P997" s="98"/>
      <c r="Q997" s="98"/>
      <c r="R997" s="98"/>
      <c r="S997" s="98"/>
      <c r="T997" s="98"/>
      <c r="U997" s="98"/>
      <c r="V997" s="98"/>
      <c r="W997" s="60"/>
      <c r="X997" s="60"/>
      <c r="Y997" s="60"/>
    </row>
    <row r="998" ht="15.75" customHeight="1">
      <c r="A998" s="106"/>
      <c r="B998" s="106"/>
      <c r="C998" s="95"/>
      <c r="D998" s="95"/>
      <c r="E998" s="106"/>
      <c r="F998" s="106"/>
      <c r="G998" s="106"/>
      <c r="H998" s="106"/>
      <c r="I998" s="106"/>
      <c r="J998" s="106"/>
      <c r="K998" s="108"/>
      <c r="L998" s="109"/>
      <c r="M998" s="95"/>
      <c r="N998" s="77"/>
      <c r="O998" s="95"/>
      <c r="P998" s="95"/>
      <c r="Q998" s="95"/>
      <c r="R998" s="95"/>
      <c r="S998" s="95"/>
      <c r="T998" s="95"/>
      <c r="U998" s="95"/>
      <c r="V998" s="95"/>
      <c r="W998" s="60"/>
      <c r="X998" s="60"/>
      <c r="Y998" s="60"/>
    </row>
    <row r="999" ht="15.75" customHeight="1">
      <c r="A999" s="101"/>
      <c r="B999" s="101"/>
      <c r="C999" s="98"/>
      <c r="D999" s="98"/>
      <c r="E999" s="101"/>
      <c r="F999" s="101"/>
      <c r="G999" s="101"/>
      <c r="H999" s="101"/>
      <c r="I999" s="101"/>
      <c r="J999" s="101"/>
      <c r="K999" s="103"/>
      <c r="L999" s="104"/>
      <c r="M999" s="98"/>
      <c r="N999" s="77"/>
      <c r="O999" s="98"/>
      <c r="P999" s="98"/>
      <c r="Q999" s="98"/>
      <c r="R999" s="98"/>
      <c r="S999" s="98"/>
      <c r="T999" s="98"/>
      <c r="U999" s="98"/>
      <c r="V999" s="98"/>
      <c r="W999" s="60"/>
      <c r="X999" s="60"/>
      <c r="Y999" s="60"/>
    </row>
    <row r="1000" ht="15.75" customHeight="1">
      <c r="A1000" s="106"/>
      <c r="B1000" s="106"/>
      <c r="C1000" s="95"/>
      <c r="D1000" s="95"/>
      <c r="E1000" s="106"/>
      <c r="F1000" s="106"/>
      <c r="G1000" s="106"/>
      <c r="H1000" s="106"/>
      <c r="I1000" s="106"/>
      <c r="J1000" s="106"/>
      <c r="K1000" s="108"/>
      <c r="L1000" s="109"/>
      <c r="M1000" s="95"/>
      <c r="N1000" s="77"/>
      <c r="O1000" s="95"/>
      <c r="P1000" s="95"/>
      <c r="Q1000" s="95"/>
      <c r="R1000" s="95"/>
      <c r="S1000" s="95"/>
      <c r="T1000" s="95"/>
      <c r="U1000" s="95"/>
      <c r="V1000" s="95"/>
      <c r="W1000" s="60"/>
      <c r="X1000" s="60"/>
      <c r="Y1000" s="60"/>
    </row>
    <row r="1001" ht="15.75" customHeight="1">
      <c r="A1001" s="101"/>
      <c r="B1001" s="101"/>
      <c r="C1001" s="98"/>
      <c r="D1001" s="98"/>
      <c r="E1001" s="101"/>
      <c r="F1001" s="101"/>
      <c r="G1001" s="101"/>
      <c r="H1001" s="101"/>
      <c r="I1001" s="101"/>
      <c r="J1001" s="101"/>
      <c r="K1001" s="103"/>
      <c r="L1001" s="104"/>
      <c r="M1001" s="98"/>
      <c r="N1001" s="77"/>
      <c r="O1001" s="98"/>
      <c r="P1001" s="98"/>
      <c r="Q1001" s="98"/>
      <c r="R1001" s="98"/>
      <c r="S1001" s="98"/>
      <c r="T1001" s="98"/>
      <c r="U1001" s="98"/>
      <c r="V1001" s="98"/>
      <c r="W1001" s="60"/>
      <c r="X1001" s="60"/>
      <c r="Y1001" s="60"/>
    </row>
    <row r="1002" ht="15.75" customHeight="1">
      <c r="A1002" s="106"/>
      <c r="B1002" s="106"/>
      <c r="C1002" s="95"/>
      <c r="D1002" s="95"/>
      <c r="E1002" s="106"/>
      <c r="F1002" s="106"/>
      <c r="G1002" s="106"/>
      <c r="H1002" s="106"/>
      <c r="I1002" s="106"/>
      <c r="J1002" s="106"/>
      <c r="K1002" s="108"/>
      <c r="L1002" s="109"/>
      <c r="M1002" s="95"/>
      <c r="N1002" s="77"/>
      <c r="O1002" s="95"/>
      <c r="P1002" s="95"/>
      <c r="Q1002" s="95"/>
      <c r="R1002" s="95"/>
      <c r="S1002" s="95"/>
      <c r="T1002" s="95"/>
      <c r="U1002" s="95"/>
      <c r="V1002" s="95"/>
      <c r="W1002" s="60"/>
      <c r="X1002" s="60"/>
      <c r="Y1002" s="60"/>
    </row>
  </sheetData>
  <autoFilter ref="$A$2:$Y$306"/>
  <conditionalFormatting sqref="L2:L1002">
    <cfRule type="containsText" dxfId="0" priority="1" stopIfTrue="1" operator="containsText" text="⚠">
      <formula>NOT(ISERROR(SEARCH(("⚠"),(L2))))</formula>
    </cfRule>
  </conditionalFormatting>
  <conditionalFormatting sqref="A2:L1002">
    <cfRule type="expression" dxfId="1" priority="2" stopIfTrue="1">
      <formula>$E2="Inactive"</formula>
    </cfRule>
  </conditionalFormatting>
  <conditionalFormatting sqref="K2:K1002">
    <cfRule type="cellIs" dxfId="2" priority="3" stopIfTrue="1" operator="greaterThan">
      <formula>30</formula>
    </cfRule>
  </conditionalFormatting>
  <conditionalFormatting sqref="A3:A1000">
    <cfRule type="expression" dxfId="3" priority="4">
      <formula>COUNTIF(A:A, A3)&gt;1</formula>
    </cfRule>
  </conditionalFormatting>
  <dataValidations>
    <dataValidation type="list" allowBlank="1" showErrorMessage="1" sqref="M3:M1002">
      <formula1>"Completed (no continuation),Discontinued mid-course"</formula1>
    </dataValidation>
    <dataValidation type="list" allowBlank="1" showErrorMessage="1" sqref="N3:N1002">
      <formula1>"High workload,Learning goal achieved,Maternity leave,Prefer different learning format,Team restructuring,Violate Class Rule,Resign"</formula1>
    </dataValidation>
    <dataValidation type="list" allowBlank="1" sqref="V20 V84 V151 V161 V244 V248 V263">
      <formula1>"High workload,Maternity leave,Above the team's level,Prefer different learning format,Team restructuring,Class rule violation,Learning goal achieved"</formula1>
    </dataValidation>
    <dataValidation type="list" allowBlank="1" sqref="E1002">
      <formula1>"Active,Inactive,Waiting for class"</formula1>
    </dataValidation>
    <dataValidation type="list" allowBlank="1" showErrorMessage="1" sqref="E3:E1001">
      <formula1>"Active,Inactive,Waiting for class"</formula1>
    </dataValidation>
    <dataValidation type="custom" allowBlank="1" showDropDown="1" showInputMessage="1" showErrorMessage="1" prompt="Emp Code này đã tồn tại. Mỗi nhân viên chỉ có 1 dòng trong STUDENTS." sqref="A3:A1002">
      <formula1>COUNTIF($A$3:$A$1002,A3)&lt;=1</formula1>
    </dataValidation>
  </dataValidations>
  <printOptions/>
  <pageMargins bottom="1.0" footer="0.0" header="0.0" left="0.75" right="0.75" top="1.0"/>
  <pageSetup paperSize="9"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3" width="23.86"/>
    <col customWidth="1" min="4" max="4" width="101.71"/>
    <col customWidth="1" min="5" max="5" width="27.14"/>
    <col customWidth="1" min="6" max="6" width="14.43"/>
    <col customWidth="1" min="7" max="7" width="31.29"/>
    <col customWidth="1" min="8" max="8" width="14.43"/>
    <col customWidth="1" min="9" max="9" width="17.43"/>
    <col customWidth="1" min="10" max="13" width="15.71"/>
  </cols>
  <sheetData>
    <row r="1">
      <c r="A1" s="110" t="s">
        <v>757</v>
      </c>
      <c r="B1" s="111" t="s">
        <v>758</v>
      </c>
      <c r="C1" s="111" t="s">
        <v>759</v>
      </c>
      <c r="D1" s="110" t="s">
        <v>760</v>
      </c>
      <c r="E1" s="112" t="s">
        <v>761</v>
      </c>
      <c r="F1" s="113" t="s">
        <v>762</v>
      </c>
      <c r="G1" s="114"/>
      <c r="H1" s="114" t="s">
        <v>763</v>
      </c>
      <c r="I1" s="114"/>
      <c r="J1" s="114"/>
      <c r="K1" s="114"/>
      <c r="L1" s="114"/>
      <c r="M1" s="114"/>
      <c r="N1" s="114"/>
      <c r="O1" s="114"/>
      <c r="P1" s="114"/>
      <c r="Q1" s="114"/>
      <c r="R1" s="114"/>
      <c r="S1" s="114"/>
      <c r="T1" s="114"/>
      <c r="U1" s="114"/>
      <c r="V1" s="114"/>
      <c r="W1" s="114"/>
      <c r="X1" s="114"/>
      <c r="Y1" s="114"/>
      <c r="Z1" s="114"/>
      <c r="AA1" s="114"/>
      <c r="AB1" s="114"/>
    </row>
    <row r="2">
      <c r="A2" s="115" t="s">
        <v>764</v>
      </c>
      <c r="B2" s="116"/>
      <c r="C2" s="116" t="s">
        <v>765</v>
      </c>
      <c r="D2" s="117" t="s">
        <v>766</v>
      </c>
      <c r="E2" s="118" t="s">
        <v>767</v>
      </c>
      <c r="F2" s="119" t="s">
        <v>768</v>
      </c>
      <c r="G2" s="114"/>
      <c r="H2" s="120" t="s">
        <v>15</v>
      </c>
      <c r="I2" s="118" t="s">
        <v>769</v>
      </c>
      <c r="J2" s="121" t="s">
        <v>770</v>
      </c>
      <c r="N2" s="114"/>
      <c r="O2" s="114"/>
      <c r="P2" s="114"/>
      <c r="Q2" s="114"/>
      <c r="R2" s="114"/>
      <c r="S2" s="114"/>
      <c r="T2" s="114"/>
      <c r="U2" s="114"/>
      <c r="V2" s="114"/>
      <c r="W2" s="114"/>
      <c r="X2" s="114"/>
      <c r="Y2" s="114"/>
      <c r="Z2" s="114"/>
      <c r="AA2" s="114"/>
      <c r="AB2" s="114"/>
    </row>
    <row r="3" ht="90.75" customHeight="1">
      <c r="A3" s="115" t="s">
        <v>764</v>
      </c>
      <c r="B3" s="116" t="s">
        <v>771</v>
      </c>
      <c r="C3" s="116"/>
      <c r="D3" s="117" t="s">
        <v>772</v>
      </c>
      <c r="E3" s="120"/>
      <c r="F3" s="119"/>
      <c r="G3" s="114"/>
      <c r="H3" s="120" t="s">
        <v>773</v>
      </c>
      <c r="I3" s="114"/>
      <c r="N3" s="114"/>
      <c r="O3" s="114"/>
      <c r="P3" s="114"/>
      <c r="Q3" s="114"/>
      <c r="R3" s="114"/>
      <c r="S3" s="114"/>
      <c r="T3" s="114"/>
      <c r="U3" s="114"/>
      <c r="V3" s="114"/>
      <c r="W3" s="114"/>
      <c r="X3" s="114"/>
      <c r="Y3" s="114"/>
      <c r="Z3" s="114"/>
      <c r="AA3" s="114"/>
      <c r="AB3" s="114"/>
    </row>
    <row r="4">
      <c r="A4" s="115" t="s">
        <v>764</v>
      </c>
      <c r="B4" s="116"/>
      <c r="C4" s="116" t="s">
        <v>774</v>
      </c>
      <c r="D4" s="122" t="s">
        <v>775</v>
      </c>
      <c r="E4" s="120"/>
      <c r="F4" s="119"/>
      <c r="G4" s="114"/>
      <c r="H4" s="120" t="s">
        <v>776</v>
      </c>
      <c r="I4" s="114"/>
      <c r="N4" s="114"/>
      <c r="O4" s="114"/>
      <c r="P4" s="114"/>
      <c r="Q4" s="114"/>
      <c r="R4" s="114"/>
      <c r="S4" s="114"/>
      <c r="T4" s="114"/>
      <c r="U4" s="114"/>
      <c r="V4" s="114"/>
      <c r="W4" s="114"/>
      <c r="X4" s="114"/>
      <c r="Y4" s="114"/>
      <c r="Z4" s="114"/>
      <c r="AA4" s="114"/>
      <c r="AB4" s="114"/>
    </row>
    <row r="5">
      <c r="A5" s="115" t="s">
        <v>764</v>
      </c>
      <c r="B5" s="116" t="s">
        <v>42</v>
      </c>
      <c r="C5" s="116"/>
      <c r="D5" s="116" t="s">
        <v>777</v>
      </c>
      <c r="E5" s="120"/>
      <c r="F5" s="119"/>
      <c r="G5" s="114"/>
      <c r="H5" s="114"/>
      <c r="I5" s="114"/>
      <c r="J5" s="114"/>
      <c r="K5" s="114"/>
      <c r="L5" s="114"/>
      <c r="M5" s="114"/>
      <c r="N5" s="114"/>
      <c r="O5" s="114"/>
      <c r="P5" s="114"/>
      <c r="Q5" s="114"/>
      <c r="R5" s="114"/>
      <c r="S5" s="114"/>
      <c r="T5" s="114"/>
      <c r="U5" s="114"/>
      <c r="V5" s="114"/>
      <c r="W5" s="114"/>
      <c r="X5" s="114"/>
      <c r="Y5" s="114"/>
      <c r="Z5" s="114"/>
      <c r="AA5" s="114"/>
      <c r="AB5" s="114"/>
    </row>
    <row r="6">
      <c r="A6" s="115" t="s">
        <v>764</v>
      </c>
      <c r="B6" s="116"/>
      <c r="C6" s="116" t="s">
        <v>778</v>
      </c>
      <c r="D6" s="117" t="s">
        <v>779</v>
      </c>
      <c r="E6" s="120"/>
      <c r="F6" s="123"/>
      <c r="G6" s="114"/>
      <c r="H6" s="114" t="s">
        <v>780</v>
      </c>
      <c r="I6" s="114"/>
      <c r="J6" s="114"/>
      <c r="K6" s="114"/>
      <c r="L6" s="114"/>
      <c r="M6" s="114"/>
      <c r="N6" s="114"/>
      <c r="O6" s="114"/>
      <c r="P6" s="114"/>
      <c r="Q6" s="114"/>
      <c r="R6" s="114"/>
      <c r="S6" s="114"/>
      <c r="T6" s="114"/>
      <c r="U6" s="114"/>
      <c r="V6" s="114"/>
      <c r="W6" s="114"/>
      <c r="X6" s="114"/>
      <c r="Y6" s="114"/>
      <c r="Z6" s="114"/>
      <c r="AA6" s="114"/>
      <c r="AB6" s="114"/>
    </row>
    <row r="7">
      <c r="A7" s="115" t="s">
        <v>764</v>
      </c>
      <c r="B7" s="116" t="s">
        <v>781</v>
      </c>
      <c r="C7" s="116"/>
      <c r="D7" s="116" t="s">
        <v>782</v>
      </c>
      <c r="E7" s="120"/>
      <c r="F7" s="119"/>
      <c r="G7" s="114"/>
      <c r="H7" s="114" t="s">
        <v>783</v>
      </c>
      <c r="I7" s="114" t="s">
        <v>784</v>
      </c>
      <c r="J7" s="114"/>
      <c r="K7" s="114"/>
      <c r="L7" s="114"/>
      <c r="M7" s="114"/>
      <c r="N7" s="114"/>
      <c r="O7" s="114"/>
      <c r="P7" s="114"/>
      <c r="Q7" s="114"/>
      <c r="R7" s="114"/>
      <c r="S7" s="114"/>
      <c r="T7" s="114"/>
      <c r="U7" s="114"/>
      <c r="V7" s="114"/>
      <c r="W7" s="114"/>
      <c r="X7" s="114"/>
      <c r="Y7" s="114"/>
      <c r="Z7" s="114"/>
      <c r="AA7" s="114"/>
      <c r="AB7" s="114"/>
    </row>
    <row r="8">
      <c r="A8" s="115" t="s">
        <v>764</v>
      </c>
      <c r="B8" s="116" t="s">
        <v>781</v>
      </c>
      <c r="C8" s="116" t="s">
        <v>785</v>
      </c>
      <c r="D8" s="116" t="s">
        <v>786</v>
      </c>
      <c r="E8" s="120"/>
      <c r="F8" s="123" t="s">
        <v>768</v>
      </c>
      <c r="G8" s="124"/>
      <c r="H8" s="114"/>
      <c r="I8" s="114"/>
      <c r="J8" s="114"/>
      <c r="K8" s="114"/>
      <c r="L8" s="114"/>
      <c r="M8" s="114"/>
      <c r="N8" s="114"/>
      <c r="O8" s="114"/>
      <c r="P8" s="114"/>
      <c r="Q8" s="114"/>
      <c r="R8" s="114"/>
      <c r="S8" s="114"/>
      <c r="T8" s="114"/>
      <c r="U8" s="114"/>
      <c r="V8" s="114"/>
      <c r="W8" s="114"/>
      <c r="X8" s="114"/>
      <c r="Y8" s="114"/>
      <c r="Z8" s="114"/>
      <c r="AA8" s="114"/>
      <c r="AB8" s="114"/>
    </row>
    <row r="9">
      <c r="A9" s="115" t="s">
        <v>764</v>
      </c>
      <c r="B9" s="116" t="s">
        <v>781</v>
      </c>
      <c r="C9" s="116" t="s">
        <v>787</v>
      </c>
      <c r="D9" s="116" t="s">
        <v>788</v>
      </c>
      <c r="E9" s="120"/>
      <c r="F9" s="123" t="s">
        <v>768</v>
      </c>
      <c r="G9" s="114"/>
      <c r="H9" s="114"/>
      <c r="I9" s="114"/>
      <c r="J9" s="114"/>
      <c r="K9" s="114"/>
      <c r="L9" s="114"/>
      <c r="M9" s="114"/>
      <c r="N9" s="114"/>
      <c r="O9" s="114"/>
      <c r="P9" s="114"/>
      <c r="Q9" s="114"/>
      <c r="R9" s="114"/>
      <c r="S9" s="114"/>
      <c r="T9" s="114"/>
      <c r="U9" s="114"/>
      <c r="V9" s="114"/>
      <c r="W9" s="114"/>
      <c r="X9" s="114"/>
      <c r="Y9" s="114"/>
      <c r="Z9" s="114"/>
      <c r="AA9" s="114"/>
      <c r="AB9" s="114"/>
    </row>
    <row r="10">
      <c r="A10" s="115" t="s">
        <v>764</v>
      </c>
      <c r="B10" s="116" t="s">
        <v>781</v>
      </c>
      <c r="C10" s="116"/>
      <c r="D10" s="116" t="s">
        <v>789</v>
      </c>
      <c r="E10" s="120"/>
      <c r="F10" s="123" t="s">
        <v>768</v>
      </c>
      <c r="G10" s="114"/>
      <c r="H10" s="114" t="s">
        <v>783</v>
      </c>
      <c r="I10" s="114" t="s">
        <v>784</v>
      </c>
      <c r="J10" s="114"/>
      <c r="K10" s="114"/>
      <c r="L10" s="114"/>
      <c r="M10" s="114"/>
      <c r="N10" s="114"/>
      <c r="O10" s="114"/>
      <c r="P10" s="114"/>
      <c r="Q10" s="114"/>
      <c r="R10" s="114"/>
      <c r="S10" s="114"/>
      <c r="T10" s="114"/>
      <c r="U10" s="114"/>
      <c r="V10" s="114"/>
      <c r="W10" s="114"/>
      <c r="X10" s="114"/>
      <c r="Y10" s="114"/>
      <c r="Z10" s="114"/>
      <c r="AA10" s="114"/>
      <c r="AB10" s="114"/>
    </row>
    <row r="11" ht="80.25" customHeight="1">
      <c r="A11" s="115" t="s">
        <v>764</v>
      </c>
      <c r="B11" s="116"/>
      <c r="C11" s="116" t="s">
        <v>790</v>
      </c>
      <c r="D11" s="117"/>
      <c r="E11" s="120"/>
      <c r="F11" s="119"/>
      <c r="G11" s="114"/>
      <c r="H11" s="114"/>
      <c r="I11" s="114"/>
      <c r="J11" s="114"/>
      <c r="K11" s="114"/>
      <c r="L11" s="114"/>
      <c r="M11" s="114"/>
      <c r="N11" s="114"/>
      <c r="O11" s="114"/>
      <c r="P11" s="114"/>
      <c r="Q11" s="114"/>
      <c r="R11" s="114"/>
      <c r="S11" s="114"/>
      <c r="T11" s="114"/>
      <c r="U11" s="114"/>
      <c r="V11" s="114"/>
      <c r="W11" s="114"/>
      <c r="X11" s="114"/>
      <c r="Y11" s="114"/>
      <c r="Z11" s="114"/>
      <c r="AA11" s="114"/>
      <c r="AB11" s="114"/>
    </row>
    <row r="12">
      <c r="B12" s="116"/>
      <c r="D12" s="117" t="s">
        <v>791</v>
      </c>
      <c r="E12" s="120"/>
      <c r="F12" s="119"/>
      <c r="G12" s="114"/>
      <c r="H12" s="114" t="s">
        <v>792</v>
      </c>
      <c r="I12" s="114"/>
      <c r="J12" s="114"/>
      <c r="K12" s="114"/>
      <c r="L12" s="114"/>
      <c r="M12" s="114"/>
      <c r="N12" s="114"/>
      <c r="O12" s="114"/>
      <c r="P12" s="114"/>
      <c r="Q12" s="114"/>
      <c r="R12" s="114"/>
      <c r="S12" s="114"/>
      <c r="T12" s="114"/>
      <c r="U12" s="114"/>
      <c r="V12" s="114"/>
      <c r="W12" s="114"/>
      <c r="X12" s="114"/>
      <c r="Y12" s="114"/>
      <c r="Z12" s="114"/>
      <c r="AA12" s="114"/>
      <c r="AB12" s="114"/>
    </row>
    <row r="13">
      <c r="A13" s="115" t="s">
        <v>764</v>
      </c>
      <c r="B13" s="116" t="s">
        <v>781</v>
      </c>
      <c r="C13" s="116"/>
      <c r="D13" s="116" t="s">
        <v>793</v>
      </c>
      <c r="E13" s="120"/>
      <c r="F13" s="119"/>
      <c r="G13" s="114"/>
      <c r="H13" s="114" t="s">
        <v>794</v>
      </c>
      <c r="I13" s="114" t="s">
        <v>795</v>
      </c>
      <c r="J13" s="114"/>
      <c r="K13" s="114"/>
      <c r="L13" s="114"/>
      <c r="M13" s="114"/>
      <c r="N13" s="114"/>
      <c r="O13" s="114"/>
      <c r="P13" s="114"/>
      <c r="Q13" s="114"/>
      <c r="R13" s="114"/>
      <c r="S13" s="114"/>
      <c r="T13" s="114"/>
      <c r="U13" s="114"/>
      <c r="V13" s="114"/>
      <c r="W13" s="114"/>
      <c r="X13" s="114"/>
      <c r="Y13" s="114"/>
      <c r="Z13" s="114"/>
      <c r="AA13" s="114"/>
      <c r="AB13" s="114"/>
    </row>
    <row r="14">
      <c r="A14" s="115" t="s">
        <v>764</v>
      </c>
      <c r="B14" s="116" t="s">
        <v>796</v>
      </c>
      <c r="C14" s="116"/>
      <c r="D14" s="116" t="s">
        <v>797</v>
      </c>
      <c r="E14" s="120"/>
      <c r="F14" s="119"/>
      <c r="G14" s="114"/>
      <c r="H14" s="114" t="s">
        <v>794</v>
      </c>
      <c r="I14" s="114" t="s">
        <v>795</v>
      </c>
      <c r="J14" s="114"/>
      <c r="K14" s="114"/>
      <c r="L14" s="114"/>
      <c r="M14" s="114"/>
      <c r="N14" s="114"/>
      <c r="O14" s="114"/>
      <c r="P14" s="114"/>
      <c r="Q14" s="114"/>
      <c r="R14" s="114"/>
      <c r="S14" s="114"/>
      <c r="T14" s="114"/>
      <c r="U14" s="114"/>
      <c r="V14" s="114"/>
      <c r="W14" s="114"/>
      <c r="X14" s="114"/>
      <c r="Y14" s="114"/>
      <c r="Z14" s="114"/>
      <c r="AA14" s="114"/>
      <c r="AB14" s="114"/>
    </row>
    <row r="15">
      <c r="A15" s="115" t="s">
        <v>798</v>
      </c>
      <c r="B15" s="116"/>
      <c r="C15" s="116"/>
      <c r="D15" s="117" t="s">
        <v>799</v>
      </c>
      <c r="E15" s="120"/>
      <c r="F15" s="119"/>
      <c r="G15" s="114"/>
      <c r="H15" s="114" t="s">
        <v>800</v>
      </c>
      <c r="I15" s="114" t="s">
        <v>801</v>
      </c>
      <c r="J15" s="114"/>
      <c r="K15" s="114"/>
      <c r="L15" s="114"/>
      <c r="M15" s="114"/>
      <c r="N15" s="114"/>
      <c r="O15" s="114"/>
      <c r="P15" s="114"/>
      <c r="Q15" s="114"/>
      <c r="R15" s="114"/>
      <c r="S15" s="114"/>
      <c r="T15" s="114"/>
      <c r="U15" s="114"/>
      <c r="V15" s="114"/>
      <c r="W15" s="114"/>
      <c r="X15" s="114"/>
      <c r="Y15" s="114"/>
      <c r="Z15" s="114"/>
      <c r="AA15" s="114"/>
      <c r="AB15" s="114"/>
    </row>
    <row r="16">
      <c r="A16" s="125" t="s">
        <v>802</v>
      </c>
      <c r="B16" s="116"/>
      <c r="C16" s="116"/>
      <c r="D16" s="116" t="s">
        <v>803</v>
      </c>
      <c r="E16" s="120"/>
      <c r="F16" s="119"/>
      <c r="G16" s="114"/>
      <c r="H16" s="114"/>
      <c r="I16" s="114"/>
      <c r="J16" s="114"/>
      <c r="K16" s="114"/>
      <c r="L16" s="114"/>
      <c r="M16" s="114"/>
      <c r="N16" s="114"/>
      <c r="O16" s="114"/>
      <c r="P16" s="114"/>
      <c r="Q16" s="114"/>
      <c r="R16" s="114"/>
      <c r="S16" s="114"/>
      <c r="T16" s="114"/>
      <c r="U16" s="114"/>
      <c r="V16" s="114"/>
      <c r="W16" s="114"/>
      <c r="X16" s="114"/>
      <c r="Y16" s="114"/>
      <c r="Z16" s="114"/>
      <c r="AA16" s="114"/>
      <c r="AB16" s="114"/>
    </row>
    <row r="17">
      <c r="A17" s="125" t="s">
        <v>804</v>
      </c>
      <c r="B17" s="116"/>
      <c r="C17" s="116"/>
      <c r="D17" s="116" t="s">
        <v>805</v>
      </c>
      <c r="E17" s="126" t="s">
        <v>800</v>
      </c>
      <c r="F17" s="127" t="str">
        <f>IFERROR(__xludf.DUMMYFUNCTION("INDEX(H17:V17, MAX(FILTER(COLUMN(H18:V18)-COLUMN(H18)+1, H18:V18&lt;&gt;"""")))"),"6th")</f>
        <v>6th</v>
      </c>
      <c r="G17" s="127" t="s">
        <v>22</v>
      </c>
      <c r="H17" s="128" t="s">
        <v>806</v>
      </c>
      <c r="I17" s="128" t="s">
        <v>807</v>
      </c>
      <c r="J17" s="129" t="s">
        <v>808</v>
      </c>
      <c r="K17" s="129" t="s">
        <v>809</v>
      </c>
      <c r="L17" s="129" t="s">
        <v>810</v>
      </c>
      <c r="M17" s="129" t="s">
        <v>811</v>
      </c>
      <c r="N17" s="114"/>
      <c r="O17" s="114"/>
      <c r="P17" s="114"/>
      <c r="Q17" s="114"/>
      <c r="R17" s="114"/>
      <c r="S17" s="114"/>
      <c r="T17" s="114"/>
      <c r="U17" s="114"/>
      <c r="V17" s="114"/>
      <c r="W17" s="114"/>
      <c r="X17" s="114"/>
      <c r="Y17" s="114"/>
      <c r="Z17" s="114"/>
      <c r="AA17" s="114"/>
      <c r="AB17" s="114"/>
    </row>
    <row r="18" ht="87.0" customHeight="1">
      <c r="A18" s="130" t="s">
        <v>812</v>
      </c>
      <c r="B18" s="131"/>
      <c r="C18" s="131"/>
      <c r="D18" s="131" t="s">
        <v>813</v>
      </c>
      <c r="E18" s="132" t="s">
        <v>21</v>
      </c>
      <c r="F18" s="133"/>
      <c r="G18" s="134" t="s">
        <v>814</v>
      </c>
      <c r="H18" s="135"/>
      <c r="I18" s="135"/>
      <c r="J18" s="136" t="s">
        <v>815</v>
      </c>
      <c r="K18" s="136" t="s">
        <v>815</v>
      </c>
      <c r="L18" s="137" t="s">
        <v>815</v>
      </c>
      <c r="M18" s="136" t="s">
        <v>815</v>
      </c>
      <c r="N18" s="114"/>
      <c r="O18" s="114"/>
      <c r="P18" s="114"/>
      <c r="Q18" s="114"/>
      <c r="R18" s="114"/>
      <c r="S18" s="114"/>
      <c r="T18" s="114"/>
      <c r="U18" s="114"/>
      <c r="V18" s="114"/>
      <c r="W18" s="114"/>
      <c r="X18" s="114"/>
      <c r="Y18" s="114"/>
      <c r="Z18" s="114"/>
      <c r="AA18" s="114"/>
      <c r="AB18" s="114"/>
    </row>
    <row r="19">
      <c r="A19" s="138"/>
      <c r="B19" s="138"/>
      <c r="C19" s="138"/>
      <c r="D19" s="138"/>
      <c r="E19" s="132" t="s">
        <v>21</v>
      </c>
      <c r="F19" s="133"/>
      <c r="G19" s="139" t="s">
        <v>748</v>
      </c>
      <c r="H19" s="135"/>
      <c r="I19" s="135"/>
      <c r="J19" s="136">
        <v>46113.58333333334</v>
      </c>
      <c r="K19" s="136">
        <v>46120.41666666666</v>
      </c>
      <c r="L19" s="136" t="s">
        <v>815</v>
      </c>
      <c r="M19" s="136">
        <v>46134.41666666666</v>
      </c>
      <c r="N19" s="114"/>
      <c r="O19" s="114"/>
      <c r="P19" s="114"/>
      <c r="Q19" s="114"/>
      <c r="R19" s="114"/>
      <c r="S19" s="114"/>
      <c r="T19" s="114"/>
      <c r="U19" s="114"/>
      <c r="V19" s="114"/>
      <c r="W19" s="114"/>
      <c r="X19" s="114"/>
      <c r="Y19" s="114"/>
      <c r="Z19" s="114"/>
      <c r="AA19" s="114"/>
      <c r="AB19" s="114"/>
    </row>
    <row r="20">
      <c r="A20" s="117"/>
      <c r="B20" s="116"/>
      <c r="C20" s="116"/>
      <c r="D20" s="117"/>
      <c r="E20" s="132" t="s">
        <v>21</v>
      </c>
      <c r="F20" s="133"/>
      <c r="G20" s="139" t="s">
        <v>750</v>
      </c>
      <c r="H20" s="135"/>
      <c r="I20" s="135"/>
      <c r="J20" s="136">
        <v>46113.58333333334</v>
      </c>
      <c r="K20" s="136">
        <v>46120.41666666666</v>
      </c>
      <c r="L20" s="136">
        <v>46127.41666666666</v>
      </c>
      <c r="M20" s="136">
        <v>46134.41666666666</v>
      </c>
      <c r="N20" s="114"/>
      <c r="O20" s="114"/>
      <c r="P20" s="114"/>
      <c r="Q20" s="114"/>
      <c r="R20" s="114"/>
      <c r="S20" s="114"/>
      <c r="T20" s="114"/>
      <c r="U20" s="114"/>
      <c r="V20" s="114"/>
      <c r="W20" s="114"/>
      <c r="X20" s="114"/>
      <c r="Y20" s="114"/>
      <c r="Z20" s="114"/>
      <c r="AA20" s="114"/>
      <c r="AB20" s="114"/>
    </row>
    <row r="21" ht="15.75" customHeight="1">
      <c r="A21" s="117"/>
      <c r="B21" s="116"/>
      <c r="C21" s="116"/>
      <c r="D21" s="117"/>
      <c r="E21" s="132" t="s">
        <v>21</v>
      </c>
      <c r="F21" s="133"/>
      <c r="G21" s="139" t="s">
        <v>746</v>
      </c>
      <c r="H21" s="135"/>
      <c r="I21" s="135"/>
      <c r="J21" s="136">
        <v>46113.58333333334</v>
      </c>
      <c r="K21" s="136">
        <v>46120.41666666666</v>
      </c>
      <c r="L21" s="136">
        <v>46127.41666666666</v>
      </c>
      <c r="M21" s="136">
        <v>46134.41666666666</v>
      </c>
      <c r="N21" s="114"/>
      <c r="O21" s="114"/>
      <c r="P21" s="114"/>
      <c r="Q21" s="114"/>
      <c r="R21" s="114"/>
      <c r="S21" s="114"/>
      <c r="T21" s="114"/>
      <c r="U21" s="114"/>
      <c r="V21" s="114"/>
      <c r="W21" s="114"/>
      <c r="X21" s="114"/>
      <c r="Y21" s="114"/>
      <c r="Z21" s="114"/>
      <c r="AA21" s="114"/>
      <c r="AB21" s="114"/>
    </row>
    <row r="22" ht="15.75" customHeight="1">
      <c r="A22" s="117"/>
      <c r="B22" s="116"/>
      <c r="C22" s="116"/>
      <c r="D22" s="117"/>
      <c r="E22" s="132" t="s">
        <v>21</v>
      </c>
      <c r="F22" s="133"/>
      <c r="G22" s="139" t="s">
        <v>752</v>
      </c>
      <c r="H22" s="135"/>
      <c r="I22" s="135"/>
      <c r="J22" s="136" t="s">
        <v>815</v>
      </c>
      <c r="K22" s="136">
        <v>46120.41666666666</v>
      </c>
      <c r="L22" s="136">
        <v>46127.41666666666</v>
      </c>
      <c r="M22" s="136">
        <v>46134.41666666666</v>
      </c>
      <c r="N22" s="114"/>
      <c r="O22" s="114"/>
      <c r="P22" s="114"/>
      <c r="Q22" s="114"/>
      <c r="R22" s="114"/>
      <c r="S22" s="114"/>
      <c r="T22" s="114"/>
      <c r="U22" s="114"/>
      <c r="V22" s="114"/>
      <c r="W22" s="114"/>
      <c r="X22" s="114"/>
      <c r="Y22" s="114"/>
      <c r="Z22" s="114"/>
      <c r="AA22" s="114"/>
      <c r="AB22" s="114"/>
    </row>
    <row r="23" ht="15.75" customHeight="1">
      <c r="A23" s="117"/>
      <c r="B23" s="116"/>
      <c r="C23" s="116"/>
      <c r="D23" s="117"/>
      <c r="E23" s="132" t="s">
        <v>21</v>
      </c>
      <c r="F23" s="133"/>
      <c r="G23" s="134" t="s">
        <v>754</v>
      </c>
      <c r="H23" s="135"/>
      <c r="I23" s="135"/>
      <c r="J23" s="136">
        <v>46113.58333333334</v>
      </c>
      <c r="K23" s="136">
        <v>46120.41666666666</v>
      </c>
      <c r="L23" s="136">
        <v>46127.41666666666</v>
      </c>
      <c r="M23" s="136">
        <v>46134.41666666666</v>
      </c>
      <c r="N23" s="114"/>
      <c r="O23" s="114"/>
      <c r="P23" s="114"/>
      <c r="Q23" s="114"/>
      <c r="R23" s="114"/>
      <c r="S23" s="114"/>
      <c r="T23" s="114"/>
      <c r="U23" s="114"/>
      <c r="V23" s="114"/>
      <c r="W23" s="114"/>
      <c r="X23" s="114"/>
      <c r="Y23" s="114"/>
      <c r="Z23" s="114"/>
      <c r="AA23" s="114"/>
      <c r="AB23" s="114"/>
    </row>
    <row r="24" ht="15.75" customHeight="1">
      <c r="A24" s="117"/>
      <c r="B24" s="116"/>
      <c r="C24" s="116"/>
      <c r="D24" s="117"/>
      <c r="E24" s="132" t="s">
        <v>21</v>
      </c>
      <c r="F24" s="133"/>
      <c r="G24" s="134" t="s">
        <v>756</v>
      </c>
      <c r="H24" s="135"/>
      <c r="I24" s="135"/>
      <c r="J24" s="136">
        <v>46113.58333333334</v>
      </c>
      <c r="K24" s="136">
        <v>46120.41666666666</v>
      </c>
      <c r="L24" s="136">
        <v>46127.41666666666</v>
      </c>
      <c r="M24" s="136">
        <v>46134.41666666666</v>
      </c>
      <c r="N24" s="114"/>
      <c r="O24" s="114"/>
      <c r="P24" s="114"/>
      <c r="Q24" s="114"/>
      <c r="R24" s="114"/>
      <c r="S24" s="114"/>
      <c r="T24" s="114"/>
      <c r="U24" s="114"/>
      <c r="V24" s="114"/>
      <c r="W24" s="114"/>
      <c r="X24" s="114"/>
      <c r="Y24" s="114"/>
      <c r="Z24" s="114"/>
      <c r="AA24" s="114"/>
      <c r="AB24" s="114"/>
    </row>
    <row r="25" ht="15.75" customHeight="1">
      <c r="A25" s="117"/>
      <c r="B25" s="116"/>
      <c r="C25" s="116"/>
      <c r="D25" s="117"/>
      <c r="E25" s="132" t="s">
        <v>21</v>
      </c>
      <c r="F25" s="133"/>
      <c r="G25" s="139" t="s">
        <v>816</v>
      </c>
      <c r="H25" s="135"/>
      <c r="I25" s="135"/>
      <c r="J25" s="136">
        <v>46113.58333333334</v>
      </c>
      <c r="K25" s="136">
        <v>46120.41666666666</v>
      </c>
      <c r="L25" s="137" t="s">
        <v>815</v>
      </c>
      <c r="M25" s="136">
        <v>46134.41666666666</v>
      </c>
      <c r="N25" s="114"/>
      <c r="O25" s="114"/>
      <c r="P25" s="114"/>
      <c r="Q25" s="114"/>
      <c r="R25" s="114"/>
      <c r="S25" s="114"/>
      <c r="T25" s="114"/>
      <c r="U25" s="114"/>
      <c r="V25" s="114"/>
      <c r="W25" s="114"/>
      <c r="X25" s="114"/>
      <c r="Y25" s="114"/>
      <c r="Z25" s="114"/>
      <c r="AA25" s="114"/>
      <c r="AB25" s="114"/>
    </row>
    <row r="26" ht="15.75" customHeight="1">
      <c r="A26" s="117"/>
      <c r="B26" s="116"/>
      <c r="C26" s="116"/>
      <c r="D26" s="117"/>
      <c r="E26" s="126" t="s">
        <v>794</v>
      </c>
      <c r="F26" s="127" t="str">
        <f>IFERROR(__xludf.DUMMYFUNCTION("INDEX(H26:V26, MAX(FILTER(COLUMN(H27:V27)-COLUMN(H27)+1, H27:V27&lt;&gt;"""")))"),"8th")</f>
        <v>8th</v>
      </c>
      <c r="G26" s="127" t="s">
        <v>21</v>
      </c>
      <c r="H26" s="129" t="s">
        <v>806</v>
      </c>
      <c r="I26" s="129" t="s">
        <v>807</v>
      </c>
      <c r="J26" s="129" t="s">
        <v>808</v>
      </c>
      <c r="K26" s="129" t="s">
        <v>809</v>
      </c>
      <c r="L26" s="129" t="s">
        <v>810</v>
      </c>
      <c r="M26" s="129" t="s">
        <v>811</v>
      </c>
      <c r="N26" s="129" t="s">
        <v>817</v>
      </c>
      <c r="O26" s="129" t="s">
        <v>818</v>
      </c>
      <c r="P26" s="114"/>
      <c r="Q26" s="114"/>
      <c r="R26" s="114"/>
      <c r="S26" s="114"/>
      <c r="T26" s="114"/>
      <c r="U26" s="114"/>
      <c r="V26" s="114"/>
      <c r="W26" s="114"/>
      <c r="X26" s="114"/>
      <c r="Y26" s="114"/>
      <c r="Z26" s="114"/>
      <c r="AA26" s="114"/>
      <c r="AB26" s="114"/>
    </row>
    <row r="27" ht="15.75" customHeight="1">
      <c r="A27" s="117"/>
      <c r="B27" s="116"/>
      <c r="C27" s="116"/>
      <c r="D27" s="117"/>
      <c r="E27" s="132" t="s">
        <v>21</v>
      </c>
      <c r="F27" s="133"/>
      <c r="G27" s="134" t="s">
        <v>736</v>
      </c>
      <c r="H27" s="136">
        <v>46085.625</v>
      </c>
      <c r="I27" s="136">
        <v>46093.41666666666</v>
      </c>
      <c r="J27" s="136">
        <v>46099.58333333334</v>
      </c>
      <c r="K27" s="136">
        <v>46107.41666666666</v>
      </c>
      <c r="L27" s="136">
        <v>46115.625</v>
      </c>
      <c r="M27" s="136">
        <v>46128.625</v>
      </c>
      <c r="N27" s="136">
        <v>46129.41666666666</v>
      </c>
      <c r="O27" s="136">
        <v>46135.625</v>
      </c>
      <c r="P27" s="114"/>
      <c r="Q27" s="114"/>
      <c r="R27" s="114"/>
      <c r="S27" s="114"/>
      <c r="T27" s="114"/>
      <c r="U27" s="114"/>
      <c r="V27" s="114"/>
      <c r="W27" s="114"/>
      <c r="X27" s="114"/>
      <c r="Y27" s="114"/>
      <c r="Z27" s="114"/>
      <c r="AA27" s="114"/>
      <c r="AB27" s="114"/>
    </row>
    <row r="28" ht="15.75" customHeight="1">
      <c r="A28" s="117"/>
      <c r="B28" s="116"/>
      <c r="C28" s="116"/>
      <c r="D28" s="117"/>
      <c r="E28" s="132" t="s">
        <v>21</v>
      </c>
      <c r="F28" s="133"/>
      <c r="G28" s="139" t="s">
        <v>738</v>
      </c>
      <c r="H28" s="136">
        <v>46085.625</v>
      </c>
      <c r="I28" s="136">
        <v>46093.41666666666</v>
      </c>
      <c r="J28" s="136">
        <v>46099.58333333334</v>
      </c>
      <c r="K28" s="136">
        <v>46107.41666666666</v>
      </c>
      <c r="L28" s="137" t="s">
        <v>815</v>
      </c>
      <c r="M28" s="136">
        <v>46128.625</v>
      </c>
      <c r="N28" s="136">
        <v>46129.41666666666</v>
      </c>
      <c r="O28" s="136">
        <v>46135.625</v>
      </c>
      <c r="P28" s="114"/>
      <c r="Q28" s="114"/>
      <c r="R28" s="114"/>
      <c r="S28" s="114"/>
      <c r="T28" s="114"/>
      <c r="U28" s="114"/>
      <c r="V28" s="114"/>
      <c r="W28" s="114"/>
      <c r="X28" s="114"/>
      <c r="Y28" s="114"/>
      <c r="Z28" s="114"/>
      <c r="AA28" s="114"/>
      <c r="AB28" s="114"/>
    </row>
    <row r="29" ht="15.75" customHeight="1">
      <c r="A29" s="117"/>
      <c r="B29" s="116"/>
      <c r="C29" s="116"/>
      <c r="D29" s="117"/>
      <c r="E29" s="132" t="s">
        <v>21</v>
      </c>
      <c r="F29" s="133"/>
      <c r="G29" s="139" t="s">
        <v>740</v>
      </c>
      <c r="H29" s="136">
        <v>46085.625</v>
      </c>
      <c r="I29" s="136">
        <v>46093.41666666666</v>
      </c>
      <c r="J29" s="137" t="s">
        <v>815</v>
      </c>
      <c r="K29" s="136">
        <v>46107.41666666666</v>
      </c>
      <c r="L29" s="136">
        <v>46115.625</v>
      </c>
      <c r="M29" s="136">
        <v>46128.625</v>
      </c>
      <c r="N29" s="136">
        <v>46129.41666666666</v>
      </c>
      <c r="O29" s="136">
        <v>46135.625</v>
      </c>
      <c r="P29" s="114"/>
      <c r="Q29" s="114"/>
      <c r="R29" s="114"/>
      <c r="S29" s="114"/>
      <c r="T29" s="114"/>
      <c r="U29" s="114"/>
      <c r="V29" s="114"/>
      <c r="W29" s="114"/>
      <c r="X29" s="114"/>
      <c r="Y29" s="114"/>
      <c r="Z29" s="114"/>
      <c r="AA29" s="114"/>
      <c r="AB29" s="114"/>
    </row>
    <row r="30" ht="15.75" customHeight="1">
      <c r="A30" s="117"/>
      <c r="B30" s="116"/>
      <c r="C30" s="116"/>
      <c r="D30" s="117"/>
      <c r="E30" s="132" t="s">
        <v>21</v>
      </c>
      <c r="F30" s="133"/>
      <c r="G30" s="139" t="s">
        <v>742</v>
      </c>
      <c r="H30" s="136">
        <v>46085.625</v>
      </c>
      <c r="I30" s="136">
        <v>46093.41666666666</v>
      </c>
      <c r="J30" s="137" t="s">
        <v>815</v>
      </c>
      <c r="K30" s="136">
        <v>46107.41666666666</v>
      </c>
      <c r="L30" s="136">
        <v>46115.625</v>
      </c>
      <c r="M30" s="136">
        <v>46128.625</v>
      </c>
      <c r="N30" s="136">
        <v>46129.41666666666</v>
      </c>
      <c r="O30" s="136">
        <v>46135.625</v>
      </c>
      <c r="P30" s="114"/>
      <c r="Q30" s="114"/>
      <c r="R30" s="114"/>
      <c r="S30" s="114"/>
      <c r="T30" s="114"/>
      <c r="U30" s="114"/>
      <c r="V30" s="114"/>
      <c r="W30" s="114"/>
      <c r="X30" s="114"/>
      <c r="Y30" s="114"/>
      <c r="Z30" s="114"/>
      <c r="AA30" s="114"/>
      <c r="AB30" s="114"/>
    </row>
    <row r="31" ht="15.75" customHeight="1">
      <c r="A31" s="117"/>
      <c r="B31" s="116"/>
      <c r="C31" s="116"/>
      <c r="D31" s="117"/>
      <c r="E31" s="132" t="s">
        <v>21</v>
      </c>
      <c r="F31" s="133"/>
      <c r="G31" s="139" t="s">
        <v>744</v>
      </c>
      <c r="H31" s="136">
        <v>46085.625</v>
      </c>
      <c r="I31" s="136">
        <v>46093.41666666666</v>
      </c>
      <c r="J31" s="136">
        <v>46099.58333333334</v>
      </c>
      <c r="K31" s="136">
        <v>46107.41666666666</v>
      </c>
      <c r="L31" s="136">
        <v>46115.625</v>
      </c>
      <c r="M31" s="136">
        <v>46128.625</v>
      </c>
      <c r="N31" s="136">
        <v>46129.41666666666</v>
      </c>
      <c r="O31" s="136">
        <v>46135.625</v>
      </c>
      <c r="P31" s="114"/>
      <c r="Q31" s="114"/>
      <c r="R31" s="114"/>
      <c r="S31" s="114"/>
      <c r="T31" s="114"/>
      <c r="U31" s="114"/>
      <c r="V31" s="114"/>
      <c r="W31" s="114"/>
      <c r="X31" s="114"/>
      <c r="Y31" s="114"/>
      <c r="Z31" s="114"/>
      <c r="AA31" s="114"/>
      <c r="AB31" s="114"/>
    </row>
    <row r="32" ht="15.75" customHeight="1">
      <c r="A32" s="117"/>
      <c r="B32" s="116"/>
      <c r="C32" s="116"/>
      <c r="D32" s="117"/>
      <c r="E32" s="132" t="s">
        <v>22</v>
      </c>
      <c r="F32" s="133"/>
      <c r="G32" s="139" t="s">
        <v>819</v>
      </c>
      <c r="H32" s="135"/>
      <c r="I32" s="140"/>
      <c r="J32" s="140"/>
      <c r="K32" s="136">
        <v>46107.41666666666</v>
      </c>
      <c r="L32" s="137" t="s">
        <v>815</v>
      </c>
      <c r="M32" s="136">
        <v>46128.625</v>
      </c>
      <c r="N32" s="136">
        <v>46129.41666666666</v>
      </c>
      <c r="O32" s="136">
        <v>46135.625</v>
      </c>
      <c r="P32" s="114"/>
      <c r="Q32" s="114"/>
      <c r="R32" s="114"/>
      <c r="S32" s="114"/>
      <c r="T32" s="114"/>
      <c r="U32" s="114"/>
      <c r="V32" s="114"/>
      <c r="W32" s="114"/>
      <c r="X32" s="114"/>
      <c r="Y32" s="114"/>
      <c r="Z32" s="114"/>
      <c r="AA32" s="114"/>
      <c r="AB32" s="114"/>
    </row>
    <row r="33" ht="15.75" customHeight="1">
      <c r="A33" s="117"/>
      <c r="B33" s="116"/>
      <c r="C33" s="116"/>
      <c r="D33" s="117"/>
      <c r="E33" s="126" t="s">
        <v>783</v>
      </c>
      <c r="F33" s="127" t="str">
        <f>IFERROR(__xludf.DUMMYFUNCTION("INDEX(H33:V33, MAX(FILTER(COLUMN(H34:V34)-COLUMN(H34)+1, H34:V34&lt;&gt;"""")))"),"8th")</f>
        <v>8th</v>
      </c>
      <c r="G33" s="127" t="s">
        <v>21</v>
      </c>
      <c r="H33" s="129" t="s">
        <v>806</v>
      </c>
      <c r="I33" s="129" t="s">
        <v>807</v>
      </c>
      <c r="J33" s="129" t="s">
        <v>808</v>
      </c>
      <c r="K33" s="129" t="s">
        <v>809</v>
      </c>
      <c r="L33" s="129" t="s">
        <v>810</v>
      </c>
      <c r="M33" s="129" t="s">
        <v>811</v>
      </c>
      <c r="N33" s="129" t="s">
        <v>817</v>
      </c>
      <c r="O33" s="129" t="s">
        <v>818</v>
      </c>
      <c r="P33" s="114"/>
      <c r="Q33" s="114"/>
      <c r="R33" s="114"/>
      <c r="S33" s="114"/>
      <c r="T33" s="114"/>
      <c r="U33" s="114"/>
      <c r="V33" s="114"/>
      <c r="W33" s="114"/>
      <c r="X33" s="114"/>
      <c r="Y33" s="114"/>
      <c r="Z33" s="114"/>
      <c r="AA33" s="114"/>
      <c r="AB33" s="114"/>
    </row>
    <row r="34" ht="15.75" customHeight="1">
      <c r="A34" s="117"/>
      <c r="B34" s="116"/>
      <c r="C34" s="116"/>
      <c r="D34" s="117"/>
      <c r="E34" s="132" t="s">
        <v>21</v>
      </c>
      <c r="F34" s="133"/>
      <c r="G34" s="134" t="s">
        <v>726</v>
      </c>
      <c r="H34" s="136">
        <v>46085.58333333334</v>
      </c>
      <c r="I34" s="136">
        <v>46093.58333333334</v>
      </c>
      <c r="J34" s="136">
        <v>46099.58333333334</v>
      </c>
      <c r="K34" s="136">
        <v>46108.41666666666</v>
      </c>
      <c r="L34" s="136">
        <v>46114.625</v>
      </c>
      <c r="M34" s="136">
        <v>46121.625</v>
      </c>
      <c r="N34" s="136">
        <v>46129.41666666666</v>
      </c>
      <c r="O34" s="136">
        <v>46135.54166666666</v>
      </c>
      <c r="P34" s="114"/>
      <c r="Q34" s="114"/>
      <c r="R34" s="114"/>
      <c r="S34" s="114"/>
      <c r="T34" s="114"/>
      <c r="U34" s="114"/>
      <c r="V34" s="114"/>
      <c r="W34" s="114"/>
      <c r="X34" s="114"/>
      <c r="Y34" s="114"/>
      <c r="Z34" s="114"/>
      <c r="AA34" s="114"/>
      <c r="AB34" s="114"/>
    </row>
    <row r="35" ht="15.75" customHeight="1">
      <c r="A35" s="117"/>
      <c r="B35" s="116"/>
      <c r="C35" s="116"/>
      <c r="D35" s="117"/>
      <c r="E35" s="132" t="s">
        <v>21</v>
      </c>
      <c r="F35" s="133"/>
      <c r="G35" s="139" t="s">
        <v>728</v>
      </c>
      <c r="H35" s="136">
        <v>46085.58333333334</v>
      </c>
      <c r="I35" s="136">
        <v>46093.58333333334</v>
      </c>
      <c r="J35" s="136">
        <v>46099.58333333334</v>
      </c>
      <c r="K35" s="136">
        <v>46108.41666666666</v>
      </c>
      <c r="L35" s="136">
        <v>46114.625</v>
      </c>
      <c r="M35" s="136">
        <v>46121.625</v>
      </c>
      <c r="N35" s="136">
        <v>46129.41666666666</v>
      </c>
      <c r="O35" s="137" t="s">
        <v>815</v>
      </c>
      <c r="P35" s="114"/>
      <c r="Q35" s="114"/>
      <c r="R35" s="114"/>
      <c r="S35" s="114"/>
      <c r="T35" s="114"/>
      <c r="U35" s="114"/>
      <c r="V35" s="114"/>
      <c r="W35" s="114"/>
      <c r="X35" s="114"/>
      <c r="Y35" s="114"/>
      <c r="Z35" s="114"/>
      <c r="AA35" s="114"/>
      <c r="AB35" s="114"/>
    </row>
    <row r="36" ht="15.75" customHeight="1">
      <c r="A36" s="117"/>
      <c r="B36" s="116"/>
      <c r="C36" s="116"/>
      <c r="D36" s="117"/>
      <c r="E36" s="132" t="s">
        <v>21</v>
      </c>
      <c r="F36" s="133"/>
      <c r="G36" s="139" t="s">
        <v>730</v>
      </c>
      <c r="H36" s="136">
        <v>46085.58333333334</v>
      </c>
      <c r="I36" s="136">
        <v>46093.58333333334</v>
      </c>
      <c r="J36" s="136">
        <v>46099.58333333334</v>
      </c>
      <c r="K36" s="136">
        <v>46108.41666666666</v>
      </c>
      <c r="L36" s="136">
        <v>46114.625</v>
      </c>
      <c r="M36" s="136">
        <v>46121.625</v>
      </c>
      <c r="N36" s="136">
        <v>46129.41666666666</v>
      </c>
      <c r="O36" s="136">
        <v>46135.54166666666</v>
      </c>
      <c r="P36" s="114"/>
      <c r="Q36" s="114"/>
      <c r="R36" s="114"/>
      <c r="S36" s="114"/>
      <c r="T36" s="114"/>
      <c r="U36" s="114"/>
      <c r="V36" s="114"/>
      <c r="W36" s="114"/>
      <c r="X36" s="114"/>
      <c r="Y36" s="114"/>
      <c r="Z36" s="114"/>
      <c r="AA36" s="114"/>
      <c r="AB36" s="114"/>
    </row>
    <row r="37" ht="15.75" customHeight="1">
      <c r="A37" s="117"/>
      <c r="B37" s="116"/>
      <c r="C37" s="116"/>
      <c r="D37" s="117"/>
      <c r="E37" s="132" t="s">
        <v>21</v>
      </c>
      <c r="F37" s="133"/>
      <c r="G37" s="139" t="s">
        <v>732</v>
      </c>
      <c r="H37" s="136">
        <v>46085.58333333334</v>
      </c>
      <c r="I37" s="136">
        <v>46093.58333333334</v>
      </c>
      <c r="J37" s="136">
        <v>46099.58333333334</v>
      </c>
      <c r="K37" s="136">
        <v>46108.41666666666</v>
      </c>
      <c r="L37" s="136">
        <v>46114.625</v>
      </c>
      <c r="M37" s="136">
        <v>46121.625</v>
      </c>
      <c r="N37" s="136">
        <v>46129.41666666666</v>
      </c>
      <c r="O37" s="136">
        <v>46135.54166666666</v>
      </c>
      <c r="P37" s="114"/>
      <c r="Q37" s="114"/>
      <c r="R37" s="114"/>
      <c r="S37" s="114"/>
      <c r="T37" s="114"/>
      <c r="U37" s="114"/>
      <c r="V37" s="114"/>
      <c r="W37" s="114"/>
      <c r="X37" s="114"/>
      <c r="Y37" s="114"/>
      <c r="Z37" s="114"/>
      <c r="AA37" s="114"/>
      <c r="AB37" s="114"/>
    </row>
    <row r="38" ht="15.75" customHeight="1">
      <c r="A38" s="117"/>
      <c r="B38" s="116"/>
      <c r="C38" s="116"/>
      <c r="D38" s="117"/>
      <c r="E38" s="132" t="s">
        <v>21</v>
      </c>
      <c r="F38" s="133"/>
      <c r="G38" s="139" t="s">
        <v>734</v>
      </c>
      <c r="H38" s="136">
        <v>46085.58333333334</v>
      </c>
      <c r="I38" s="136">
        <v>46093.58333333334</v>
      </c>
      <c r="J38" s="137" t="s">
        <v>815</v>
      </c>
      <c r="K38" s="136">
        <v>46108.41666666666</v>
      </c>
      <c r="L38" s="136">
        <v>46114.625</v>
      </c>
      <c r="M38" s="136">
        <v>46121.625</v>
      </c>
      <c r="N38" s="137" t="s">
        <v>815</v>
      </c>
      <c r="O38" s="136">
        <v>46135.54166666666</v>
      </c>
      <c r="P38" s="114"/>
      <c r="Q38" s="114"/>
      <c r="R38" s="114"/>
      <c r="S38" s="114"/>
      <c r="T38" s="114"/>
      <c r="U38" s="114"/>
      <c r="V38" s="114"/>
      <c r="W38" s="114"/>
      <c r="X38" s="114"/>
      <c r="Y38" s="114"/>
      <c r="Z38" s="114"/>
      <c r="AA38" s="114"/>
      <c r="AB38" s="114"/>
    </row>
    <row r="39" ht="15.75" customHeight="1">
      <c r="A39" s="117"/>
      <c r="B39" s="116"/>
      <c r="C39" s="116"/>
      <c r="D39" s="117"/>
      <c r="E39" s="132" t="s">
        <v>21</v>
      </c>
      <c r="F39" s="133"/>
      <c r="G39" s="134" t="s">
        <v>724</v>
      </c>
      <c r="H39" s="136">
        <v>46085.58333333334</v>
      </c>
      <c r="I39" s="136">
        <v>46093.58333333334</v>
      </c>
      <c r="J39" s="137" t="s">
        <v>815</v>
      </c>
      <c r="K39" s="136">
        <v>46108.41666666666</v>
      </c>
      <c r="L39" s="136">
        <v>46114.625</v>
      </c>
      <c r="M39" s="136">
        <v>46121.625</v>
      </c>
      <c r="N39" s="136">
        <v>46129.41666666666</v>
      </c>
      <c r="O39" s="136">
        <v>46135.54166666666</v>
      </c>
      <c r="P39" s="114"/>
      <c r="Q39" s="114"/>
      <c r="R39" s="114"/>
      <c r="S39" s="114"/>
      <c r="T39" s="114"/>
      <c r="U39" s="114"/>
      <c r="V39" s="114"/>
      <c r="W39" s="114"/>
      <c r="X39" s="114"/>
      <c r="Y39" s="114"/>
      <c r="Z39" s="114"/>
      <c r="AA39" s="114"/>
      <c r="AB39" s="114"/>
    </row>
    <row r="40" ht="15.75" customHeight="1">
      <c r="A40" s="117"/>
      <c r="B40" s="116"/>
      <c r="C40" s="116"/>
      <c r="D40" s="117"/>
      <c r="E40" s="120"/>
      <c r="F40" s="119"/>
      <c r="G40" s="114"/>
      <c r="H40" s="114"/>
      <c r="I40" s="114"/>
      <c r="J40" s="114"/>
      <c r="K40" s="114"/>
      <c r="L40" s="114"/>
      <c r="M40" s="114"/>
      <c r="N40" s="114"/>
      <c r="O40" s="114"/>
      <c r="P40" s="114"/>
      <c r="Q40" s="114"/>
      <c r="R40" s="114"/>
      <c r="S40" s="114"/>
      <c r="T40" s="114"/>
      <c r="U40" s="114"/>
      <c r="V40" s="114"/>
      <c r="W40" s="114"/>
      <c r="X40" s="114"/>
      <c r="Y40" s="114"/>
      <c r="Z40" s="114"/>
      <c r="AA40" s="114"/>
      <c r="AB40" s="114"/>
    </row>
    <row r="41" ht="15.75" customHeight="1">
      <c r="A41" s="117"/>
      <c r="B41" s="116"/>
      <c r="C41" s="116"/>
      <c r="D41" s="117"/>
      <c r="E41" s="120"/>
      <c r="F41" s="119"/>
      <c r="G41" s="114"/>
      <c r="H41" s="114"/>
      <c r="I41" s="114"/>
      <c r="J41" s="114"/>
      <c r="K41" s="114"/>
      <c r="L41" s="114"/>
      <c r="M41" s="114"/>
      <c r="N41" s="114"/>
      <c r="O41" s="114"/>
      <c r="P41" s="114"/>
      <c r="Q41" s="114"/>
      <c r="R41" s="114"/>
      <c r="S41" s="114"/>
      <c r="T41" s="114"/>
      <c r="U41" s="114"/>
      <c r="V41" s="114"/>
      <c r="W41" s="114"/>
      <c r="X41" s="114"/>
      <c r="Y41" s="114"/>
      <c r="Z41" s="114"/>
      <c r="AA41" s="114"/>
      <c r="AB41" s="114"/>
    </row>
    <row r="42" ht="15.75" customHeight="1">
      <c r="A42" s="117"/>
      <c r="B42" s="116"/>
      <c r="C42" s="116"/>
      <c r="D42" s="117"/>
      <c r="E42" s="120"/>
      <c r="F42" s="119"/>
      <c r="G42" s="114"/>
      <c r="H42" s="114"/>
      <c r="I42" s="114"/>
      <c r="J42" s="114"/>
      <c r="K42" s="114"/>
      <c r="L42" s="114"/>
      <c r="M42" s="114"/>
      <c r="N42" s="114"/>
      <c r="O42" s="114"/>
      <c r="P42" s="114"/>
      <c r="Q42" s="114"/>
      <c r="R42" s="114"/>
      <c r="S42" s="114"/>
      <c r="T42" s="114"/>
      <c r="U42" s="114"/>
      <c r="V42" s="114"/>
      <c r="W42" s="114"/>
      <c r="X42" s="114"/>
      <c r="Y42" s="114"/>
      <c r="Z42" s="114"/>
      <c r="AA42" s="114"/>
      <c r="AB42" s="114"/>
    </row>
    <row r="43" ht="15.75" customHeight="1">
      <c r="A43" s="117"/>
      <c r="B43" s="116"/>
      <c r="C43" s="116"/>
      <c r="D43" s="117"/>
      <c r="E43" s="120"/>
      <c r="F43" s="119"/>
      <c r="G43" s="114"/>
      <c r="H43" s="114"/>
      <c r="I43" s="114"/>
      <c r="J43" s="114"/>
      <c r="K43" s="114"/>
      <c r="L43" s="114"/>
      <c r="M43" s="114"/>
      <c r="N43" s="114"/>
      <c r="O43" s="114"/>
      <c r="P43" s="114"/>
      <c r="Q43" s="114"/>
      <c r="R43" s="114"/>
      <c r="S43" s="114"/>
      <c r="T43" s="114"/>
      <c r="U43" s="114"/>
      <c r="V43" s="114"/>
      <c r="W43" s="114"/>
      <c r="X43" s="114"/>
      <c r="Y43" s="114"/>
      <c r="Z43" s="114"/>
      <c r="AA43" s="114"/>
      <c r="AB43" s="114"/>
    </row>
    <row r="44" ht="15.75" customHeight="1">
      <c r="A44" s="117"/>
      <c r="B44" s="116"/>
      <c r="C44" s="116"/>
      <c r="D44" s="117"/>
      <c r="E44" s="120"/>
      <c r="F44" s="119"/>
      <c r="G44" s="114"/>
      <c r="H44" s="114"/>
      <c r="I44" s="114"/>
      <c r="J44" s="114"/>
      <c r="K44" s="114"/>
      <c r="L44" s="114"/>
      <c r="M44" s="114"/>
      <c r="N44" s="114"/>
      <c r="O44" s="114"/>
      <c r="P44" s="114"/>
      <c r="Q44" s="114"/>
      <c r="R44" s="114"/>
      <c r="S44" s="114"/>
      <c r="T44" s="114"/>
      <c r="U44" s="114"/>
      <c r="V44" s="114"/>
      <c r="W44" s="114"/>
      <c r="X44" s="114"/>
      <c r="Y44" s="114"/>
      <c r="Z44" s="114"/>
      <c r="AA44" s="114"/>
      <c r="AB44" s="114"/>
    </row>
    <row r="45" ht="15.75" customHeight="1">
      <c r="A45" s="117"/>
      <c r="B45" s="116"/>
      <c r="C45" s="116"/>
      <c r="D45" s="117"/>
      <c r="E45" s="120"/>
      <c r="F45" s="119"/>
      <c r="G45" s="114"/>
      <c r="H45" s="114"/>
      <c r="I45" s="114"/>
      <c r="J45" s="114"/>
      <c r="K45" s="114"/>
      <c r="L45" s="114"/>
      <c r="M45" s="114"/>
      <c r="N45" s="114"/>
      <c r="O45" s="114"/>
      <c r="P45" s="114"/>
      <c r="Q45" s="114"/>
      <c r="R45" s="114"/>
      <c r="S45" s="114"/>
      <c r="T45" s="114"/>
      <c r="U45" s="114"/>
      <c r="V45" s="114"/>
      <c r="W45" s="114"/>
      <c r="X45" s="114"/>
      <c r="Y45" s="114"/>
      <c r="Z45" s="114"/>
      <c r="AA45" s="114"/>
      <c r="AB45" s="114"/>
    </row>
    <row r="46" ht="15.75" customHeight="1">
      <c r="A46" s="117"/>
      <c r="B46" s="116"/>
      <c r="C46" s="116"/>
      <c r="D46" s="117"/>
      <c r="E46" s="120"/>
      <c r="F46" s="119"/>
      <c r="G46" s="114"/>
      <c r="H46" s="114"/>
      <c r="I46" s="114"/>
      <c r="J46" s="114"/>
      <c r="K46" s="114"/>
      <c r="L46" s="114"/>
      <c r="M46" s="114"/>
      <c r="N46" s="114"/>
      <c r="O46" s="114"/>
      <c r="P46" s="114"/>
      <c r="Q46" s="114"/>
      <c r="R46" s="114"/>
      <c r="S46" s="114"/>
      <c r="T46" s="114"/>
      <c r="U46" s="114"/>
      <c r="V46" s="114"/>
      <c r="W46" s="114"/>
      <c r="X46" s="114"/>
      <c r="Y46" s="114"/>
      <c r="Z46" s="114"/>
      <c r="AA46" s="114"/>
      <c r="AB46" s="114"/>
    </row>
    <row r="47" ht="15.75" customHeight="1">
      <c r="A47" s="117"/>
      <c r="B47" s="116"/>
      <c r="C47" s="116"/>
      <c r="D47" s="117"/>
      <c r="E47" s="120"/>
      <c r="F47" s="119"/>
      <c r="G47" s="114"/>
      <c r="H47" s="114"/>
      <c r="I47" s="114"/>
      <c r="J47" s="114"/>
      <c r="K47" s="114"/>
      <c r="L47" s="114"/>
      <c r="M47" s="114"/>
      <c r="N47" s="114"/>
      <c r="O47" s="114"/>
      <c r="P47" s="114"/>
      <c r="Q47" s="114"/>
      <c r="R47" s="114"/>
      <c r="S47" s="114"/>
      <c r="T47" s="114"/>
      <c r="U47" s="114"/>
      <c r="V47" s="114"/>
      <c r="W47" s="114"/>
      <c r="X47" s="114"/>
      <c r="Y47" s="114"/>
      <c r="Z47" s="114"/>
      <c r="AA47" s="114"/>
      <c r="AB47" s="114"/>
    </row>
    <row r="48" ht="15.75" customHeight="1">
      <c r="A48" s="117"/>
      <c r="B48" s="116"/>
      <c r="C48" s="116"/>
      <c r="D48" s="117"/>
      <c r="E48" s="120"/>
      <c r="F48" s="119"/>
      <c r="G48" s="114"/>
      <c r="H48" s="114"/>
      <c r="I48" s="114"/>
      <c r="J48" s="114"/>
      <c r="K48" s="114"/>
      <c r="L48" s="114"/>
      <c r="M48" s="114"/>
      <c r="N48" s="114"/>
      <c r="O48" s="114"/>
      <c r="P48" s="114"/>
      <c r="Q48" s="114"/>
      <c r="R48" s="114"/>
      <c r="S48" s="114"/>
      <c r="T48" s="114"/>
      <c r="U48" s="114"/>
      <c r="V48" s="114"/>
      <c r="W48" s="114"/>
      <c r="X48" s="114"/>
      <c r="Y48" s="114"/>
      <c r="Z48" s="114"/>
      <c r="AA48" s="114"/>
      <c r="AB48" s="114"/>
    </row>
    <row r="49" ht="15.75" customHeight="1">
      <c r="A49" s="117"/>
      <c r="B49" s="116"/>
      <c r="C49" s="116"/>
      <c r="D49" s="117"/>
      <c r="E49" s="120"/>
      <c r="F49" s="119"/>
      <c r="G49" s="114"/>
      <c r="H49" s="114"/>
      <c r="I49" s="114"/>
      <c r="J49" s="114"/>
      <c r="K49" s="114"/>
      <c r="L49" s="114"/>
      <c r="M49" s="114"/>
      <c r="N49" s="114"/>
      <c r="O49" s="114"/>
      <c r="P49" s="114"/>
      <c r="Q49" s="114"/>
      <c r="R49" s="114"/>
      <c r="S49" s="114"/>
      <c r="T49" s="114"/>
      <c r="U49" s="114"/>
      <c r="V49" s="114"/>
      <c r="W49" s="114"/>
      <c r="X49" s="114"/>
      <c r="Y49" s="114"/>
      <c r="Z49" s="114"/>
      <c r="AA49" s="114"/>
      <c r="AB49" s="114"/>
    </row>
    <row r="50" ht="15.75" customHeight="1">
      <c r="A50" s="117"/>
      <c r="B50" s="116"/>
      <c r="C50" s="116"/>
      <c r="D50" s="117"/>
      <c r="E50" s="120"/>
      <c r="F50" s="119"/>
      <c r="G50" s="114"/>
      <c r="H50" s="114"/>
      <c r="I50" s="114"/>
      <c r="J50" s="114"/>
      <c r="K50" s="114"/>
      <c r="L50" s="114"/>
      <c r="M50" s="114"/>
      <c r="N50" s="114"/>
      <c r="O50" s="114"/>
      <c r="P50" s="114"/>
      <c r="Q50" s="114"/>
      <c r="R50" s="114"/>
      <c r="S50" s="114"/>
      <c r="T50" s="114"/>
      <c r="U50" s="114"/>
      <c r="V50" s="114"/>
      <c r="W50" s="114"/>
      <c r="X50" s="114"/>
      <c r="Y50" s="114"/>
      <c r="Z50" s="114"/>
      <c r="AA50" s="114"/>
      <c r="AB50" s="114"/>
    </row>
    <row r="51" ht="15.75" customHeight="1">
      <c r="A51" s="117"/>
      <c r="B51" s="116"/>
      <c r="C51" s="116"/>
      <c r="D51" s="117"/>
      <c r="E51" s="120"/>
      <c r="F51" s="119"/>
      <c r="G51" s="114"/>
      <c r="H51" s="114"/>
      <c r="I51" s="114"/>
      <c r="J51" s="114"/>
      <c r="K51" s="114"/>
      <c r="L51" s="114"/>
      <c r="M51" s="114"/>
      <c r="N51" s="114"/>
      <c r="O51" s="114"/>
      <c r="P51" s="114"/>
      <c r="Q51" s="114"/>
      <c r="R51" s="114"/>
      <c r="S51" s="114"/>
      <c r="T51" s="114"/>
      <c r="U51" s="114"/>
      <c r="V51" s="114"/>
      <c r="W51" s="114"/>
      <c r="X51" s="114"/>
      <c r="Y51" s="114"/>
      <c r="Z51" s="114"/>
      <c r="AA51" s="114"/>
      <c r="AB51" s="114"/>
    </row>
    <row r="52" ht="15.75" customHeight="1">
      <c r="A52" s="117"/>
      <c r="B52" s="116"/>
      <c r="C52" s="116"/>
      <c r="D52" s="117"/>
      <c r="E52" s="120"/>
      <c r="F52" s="119"/>
      <c r="G52" s="114"/>
      <c r="H52" s="114"/>
      <c r="I52" s="114"/>
      <c r="J52" s="114"/>
      <c r="K52" s="114"/>
      <c r="L52" s="114"/>
      <c r="M52" s="114"/>
      <c r="N52" s="114"/>
      <c r="O52" s="114"/>
      <c r="P52" s="114"/>
      <c r="Q52" s="114"/>
      <c r="R52" s="114"/>
      <c r="S52" s="114"/>
      <c r="T52" s="114"/>
      <c r="U52" s="114"/>
      <c r="V52" s="114"/>
      <c r="W52" s="114"/>
      <c r="X52" s="114"/>
      <c r="Y52" s="114"/>
      <c r="Z52" s="114"/>
      <c r="AA52" s="114"/>
      <c r="AB52" s="114"/>
    </row>
    <row r="53" ht="15.75" customHeight="1">
      <c r="A53" s="117"/>
      <c r="B53" s="116"/>
      <c r="C53" s="116"/>
      <c r="D53" s="117"/>
      <c r="E53" s="120"/>
      <c r="F53" s="119"/>
      <c r="G53" s="114"/>
      <c r="H53" s="114"/>
      <c r="I53" s="114"/>
      <c r="J53" s="114"/>
      <c r="K53" s="114"/>
      <c r="L53" s="114"/>
      <c r="M53" s="114"/>
      <c r="N53" s="114"/>
      <c r="O53" s="114"/>
      <c r="P53" s="114"/>
      <c r="Q53" s="114"/>
      <c r="R53" s="114"/>
      <c r="S53" s="114"/>
      <c r="T53" s="114"/>
      <c r="U53" s="114"/>
      <c r="V53" s="114"/>
      <c r="W53" s="114"/>
      <c r="X53" s="114"/>
      <c r="Y53" s="114"/>
      <c r="Z53" s="114"/>
      <c r="AA53" s="114"/>
      <c r="AB53" s="114"/>
    </row>
    <row r="54" ht="15.75" customHeight="1">
      <c r="A54" s="117"/>
      <c r="B54" s="116"/>
      <c r="C54" s="116"/>
      <c r="D54" s="117"/>
      <c r="E54" s="120"/>
      <c r="F54" s="119"/>
      <c r="G54" s="114"/>
      <c r="H54" s="114"/>
      <c r="I54" s="114"/>
      <c r="J54" s="114"/>
      <c r="K54" s="114"/>
      <c r="L54" s="114"/>
      <c r="M54" s="114"/>
      <c r="N54" s="114"/>
      <c r="O54" s="114"/>
      <c r="P54" s="114"/>
      <c r="Q54" s="114"/>
      <c r="R54" s="114"/>
      <c r="S54" s="114"/>
      <c r="T54" s="114"/>
      <c r="U54" s="114"/>
      <c r="V54" s="114"/>
      <c r="W54" s="114"/>
      <c r="X54" s="114"/>
      <c r="Y54" s="114"/>
      <c r="Z54" s="114"/>
      <c r="AA54" s="114"/>
      <c r="AB54" s="114"/>
    </row>
    <row r="55" ht="15.75" customHeight="1">
      <c r="A55" s="117"/>
      <c r="B55" s="116"/>
      <c r="C55" s="116"/>
      <c r="D55" s="117"/>
      <c r="E55" s="120"/>
      <c r="F55" s="119"/>
      <c r="G55" s="114"/>
      <c r="H55" s="114"/>
      <c r="I55" s="114"/>
      <c r="J55" s="114"/>
      <c r="K55" s="114"/>
      <c r="L55" s="114"/>
      <c r="M55" s="114"/>
      <c r="N55" s="114"/>
      <c r="O55" s="114"/>
      <c r="P55" s="114"/>
      <c r="Q55" s="114"/>
      <c r="R55" s="114"/>
      <c r="S55" s="114"/>
      <c r="T55" s="114"/>
      <c r="U55" s="114"/>
      <c r="V55" s="114"/>
      <c r="W55" s="114"/>
      <c r="X55" s="114"/>
      <c r="Y55" s="114"/>
      <c r="Z55" s="114"/>
      <c r="AA55" s="114"/>
      <c r="AB55" s="114"/>
    </row>
    <row r="56" ht="15.75" customHeight="1">
      <c r="A56" s="117"/>
      <c r="B56" s="116"/>
      <c r="C56" s="116"/>
      <c r="D56" s="117"/>
      <c r="E56" s="120"/>
      <c r="F56" s="119"/>
      <c r="G56" s="114"/>
      <c r="H56" s="114"/>
      <c r="I56" s="114"/>
      <c r="J56" s="114"/>
      <c r="K56" s="114"/>
      <c r="L56" s="114"/>
      <c r="M56" s="114"/>
      <c r="N56" s="114"/>
      <c r="O56" s="114"/>
      <c r="P56" s="114"/>
      <c r="Q56" s="114"/>
      <c r="R56" s="114"/>
      <c r="S56" s="114"/>
      <c r="T56" s="114"/>
      <c r="U56" s="114"/>
      <c r="V56" s="114"/>
      <c r="W56" s="114"/>
      <c r="X56" s="114"/>
      <c r="Y56" s="114"/>
      <c r="Z56" s="114"/>
      <c r="AA56" s="114"/>
      <c r="AB56" s="114"/>
    </row>
    <row r="57" ht="15.75" customHeight="1">
      <c r="A57" s="117"/>
      <c r="B57" s="116"/>
      <c r="C57" s="116"/>
      <c r="D57" s="117"/>
      <c r="E57" s="120"/>
      <c r="F57" s="119"/>
      <c r="G57" s="114"/>
      <c r="H57" s="114"/>
      <c r="I57" s="114"/>
      <c r="J57" s="114"/>
      <c r="K57" s="114"/>
      <c r="L57" s="114"/>
      <c r="M57" s="114"/>
      <c r="N57" s="114"/>
      <c r="O57" s="114"/>
      <c r="P57" s="114"/>
      <c r="Q57" s="114"/>
      <c r="R57" s="114"/>
      <c r="S57" s="114"/>
      <c r="T57" s="114"/>
      <c r="U57" s="114"/>
      <c r="V57" s="114"/>
      <c r="W57" s="114"/>
      <c r="X57" s="114"/>
      <c r="Y57" s="114"/>
      <c r="Z57" s="114"/>
      <c r="AA57" s="114"/>
      <c r="AB57" s="114"/>
    </row>
    <row r="58" ht="15.75" customHeight="1">
      <c r="A58" s="117"/>
      <c r="B58" s="116"/>
      <c r="C58" s="116"/>
      <c r="D58" s="117"/>
      <c r="E58" s="120"/>
      <c r="F58" s="119"/>
      <c r="G58" s="114"/>
      <c r="H58" s="114"/>
      <c r="I58" s="114"/>
      <c r="J58" s="114"/>
      <c r="K58" s="114"/>
      <c r="L58" s="114"/>
      <c r="M58" s="114"/>
      <c r="N58" s="114"/>
      <c r="O58" s="114"/>
      <c r="P58" s="114"/>
      <c r="Q58" s="114"/>
      <c r="R58" s="114"/>
      <c r="S58" s="114"/>
      <c r="T58" s="114"/>
      <c r="U58" s="114"/>
      <c r="V58" s="114"/>
      <c r="W58" s="114"/>
      <c r="X58" s="114"/>
      <c r="Y58" s="114"/>
      <c r="Z58" s="114"/>
      <c r="AA58" s="114"/>
      <c r="AB58" s="114"/>
    </row>
    <row r="59" ht="15.75" customHeight="1">
      <c r="A59" s="117"/>
      <c r="B59" s="116"/>
      <c r="C59" s="116"/>
      <c r="D59" s="117"/>
      <c r="E59" s="120"/>
      <c r="F59" s="119"/>
      <c r="G59" s="114"/>
      <c r="H59" s="114"/>
      <c r="I59" s="114"/>
      <c r="J59" s="114"/>
      <c r="K59" s="114"/>
      <c r="L59" s="114"/>
      <c r="M59" s="114"/>
      <c r="N59" s="114"/>
      <c r="O59" s="114"/>
      <c r="P59" s="114"/>
      <c r="Q59" s="114"/>
      <c r="R59" s="114"/>
      <c r="S59" s="114"/>
      <c r="T59" s="114"/>
      <c r="U59" s="114"/>
      <c r="V59" s="114"/>
      <c r="W59" s="114"/>
      <c r="X59" s="114"/>
      <c r="Y59" s="114"/>
      <c r="Z59" s="114"/>
      <c r="AA59" s="114"/>
      <c r="AB59" s="114"/>
    </row>
    <row r="60" ht="15.75" customHeight="1">
      <c r="A60" s="117"/>
      <c r="B60" s="116"/>
      <c r="C60" s="116"/>
      <c r="D60" s="117"/>
      <c r="E60" s="120"/>
      <c r="F60" s="119"/>
      <c r="G60" s="114"/>
      <c r="H60" s="114"/>
      <c r="I60" s="114"/>
      <c r="J60" s="114"/>
      <c r="K60" s="114"/>
      <c r="L60" s="114"/>
      <c r="M60" s="114"/>
      <c r="N60" s="114"/>
      <c r="O60" s="114"/>
      <c r="P60" s="114"/>
      <c r="Q60" s="114"/>
      <c r="R60" s="114"/>
      <c r="S60" s="114"/>
      <c r="T60" s="114"/>
      <c r="U60" s="114"/>
      <c r="V60" s="114"/>
      <c r="W60" s="114"/>
      <c r="X60" s="114"/>
      <c r="Y60" s="114"/>
      <c r="Z60" s="114"/>
      <c r="AA60" s="114"/>
      <c r="AB60" s="114"/>
    </row>
    <row r="61" ht="15.75" customHeight="1">
      <c r="A61" s="117"/>
      <c r="B61" s="116"/>
      <c r="C61" s="116"/>
      <c r="D61" s="117"/>
      <c r="E61" s="120"/>
      <c r="F61" s="119"/>
      <c r="G61" s="114"/>
      <c r="H61" s="114"/>
      <c r="I61" s="114"/>
      <c r="J61" s="114"/>
      <c r="K61" s="114"/>
      <c r="L61" s="114"/>
      <c r="M61" s="114"/>
      <c r="N61" s="114"/>
      <c r="O61" s="114"/>
      <c r="P61" s="114"/>
      <c r="Q61" s="114"/>
      <c r="R61" s="114"/>
      <c r="S61" s="114"/>
      <c r="T61" s="114"/>
      <c r="U61" s="114"/>
      <c r="V61" s="114"/>
      <c r="W61" s="114"/>
      <c r="X61" s="114"/>
      <c r="Y61" s="114"/>
      <c r="Z61" s="114"/>
      <c r="AA61" s="114"/>
      <c r="AB61" s="114"/>
    </row>
    <row r="62" ht="15.75" customHeight="1">
      <c r="A62" s="117"/>
      <c r="B62" s="116"/>
      <c r="C62" s="116"/>
      <c r="D62" s="117"/>
      <c r="E62" s="120"/>
      <c r="F62" s="119"/>
      <c r="G62" s="114"/>
      <c r="H62" s="114"/>
      <c r="I62" s="114"/>
      <c r="J62" s="114"/>
      <c r="K62" s="114"/>
      <c r="L62" s="114"/>
      <c r="M62" s="114"/>
      <c r="N62" s="114"/>
      <c r="O62" s="114"/>
      <c r="P62" s="114"/>
      <c r="Q62" s="114"/>
      <c r="R62" s="114"/>
      <c r="S62" s="114"/>
      <c r="T62" s="114"/>
      <c r="U62" s="114"/>
      <c r="V62" s="114"/>
      <c r="W62" s="114"/>
      <c r="X62" s="114"/>
      <c r="Y62" s="114"/>
      <c r="Z62" s="114"/>
      <c r="AA62" s="114"/>
      <c r="AB62" s="114"/>
    </row>
    <row r="63" ht="15.75" customHeight="1">
      <c r="A63" s="117"/>
      <c r="B63" s="116"/>
      <c r="C63" s="116"/>
      <c r="D63" s="117"/>
      <c r="E63" s="120"/>
      <c r="F63" s="119"/>
      <c r="G63" s="114"/>
      <c r="H63" s="114"/>
      <c r="I63" s="114"/>
      <c r="J63" s="114"/>
      <c r="K63" s="114"/>
      <c r="L63" s="114"/>
      <c r="M63" s="114"/>
      <c r="N63" s="114"/>
      <c r="O63" s="114"/>
      <c r="P63" s="114"/>
      <c r="Q63" s="114"/>
      <c r="R63" s="114"/>
      <c r="S63" s="114"/>
      <c r="T63" s="114"/>
      <c r="U63" s="114"/>
      <c r="V63" s="114"/>
      <c r="W63" s="114"/>
      <c r="X63" s="114"/>
      <c r="Y63" s="114"/>
      <c r="Z63" s="114"/>
      <c r="AA63" s="114"/>
      <c r="AB63" s="114"/>
    </row>
    <row r="64" ht="15.75" customHeight="1">
      <c r="A64" s="117"/>
      <c r="B64" s="116"/>
      <c r="C64" s="116"/>
      <c r="D64" s="117"/>
      <c r="E64" s="120"/>
      <c r="F64" s="119"/>
      <c r="G64" s="114"/>
      <c r="H64" s="114"/>
      <c r="I64" s="114"/>
      <c r="J64" s="114"/>
      <c r="K64" s="114"/>
      <c r="L64" s="114"/>
      <c r="M64" s="114"/>
      <c r="N64" s="114"/>
      <c r="O64" s="114"/>
      <c r="P64" s="114"/>
      <c r="Q64" s="114"/>
      <c r="R64" s="114"/>
      <c r="S64" s="114"/>
      <c r="T64" s="114"/>
      <c r="U64" s="114"/>
      <c r="V64" s="114"/>
      <c r="W64" s="114"/>
      <c r="X64" s="114"/>
      <c r="Y64" s="114"/>
      <c r="Z64" s="114"/>
      <c r="AA64" s="114"/>
      <c r="AB64" s="114"/>
    </row>
    <row r="65" ht="15.75" customHeight="1">
      <c r="A65" s="117"/>
      <c r="B65" s="116"/>
      <c r="C65" s="116"/>
      <c r="D65" s="117"/>
      <c r="E65" s="120"/>
      <c r="F65" s="119"/>
      <c r="G65" s="114"/>
      <c r="H65" s="114"/>
      <c r="I65" s="114"/>
      <c r="J65" s="114"/>
      <c r="K65" s="114"/>
      <c r="L65" s="114"/>
      <c r="M65" s="114"/>
      <c r="N65" s="114"/>
      <c r="O65" s="114"/>
      <c r="P65" s="114"/>
      <c r="Q65" s="114"/>
      <c r="R65" s="114"/>
      <c r="S65" s="114"/>
      <c r="T65" s="114"/>
      <c r="U65" s="114"/>
      <c r="V65" s="114"/>
      <c r="W65" s="114"/>
      <c r="X65" s="114"/>
      <c r="Y65" s="114"/>
      <c r="Z65" s="114"/>
      <c r="AA65" s="114"/>
      <c r="AB65" s="114"/>
    </row>
    <row r="66" ht="15.75" customHeight="1">
      <c r="A66" s="117"/>
      <c r="B66" s="116"/>
      <c r="C66" s="116"/>
      <c r="D66" s="117"/>
      <c r="E66" s="120"/>
      <c r="F66" s="119"/>
      <c r="G66" s="114"/>
      <c r="H66" s="114"/>
      <c r="I66" s="114"/>
      <c r="J66" s="114"/>
      <c r="K66" s="114"/>
      <c r="L66" s="114"/>
      <c r="M66" s="114"/>
      <c r="N66" s="114"/>
      <c r="O66" s="114"/>
      <c r="P66" s="114"/>
      <c r="Q66" s="114"/>
      <c r="R66" s="114"/>
      <c r="S66" s="114"/>
      <c r="T66" s="114"/>
      <c r="U66" s="114"/>
      <c r="V66" s="114"/>
      <c r="W66" s="114"/>
      <c r="X66" s="114"/>
      <c r="Y66" s="114"/>
      <c r="Z66" s="114"/>
      <c r="AA66" s="114"/>
      <c r="AB66" s="114"/>
    </row>
    <row r="67" ht="15.75" customHeight="1">
      <c r="A67" s="117"/>
      <c r="B67" s="116"/>
      <c r="C67" s="116"/>
      <c r="D67" s="117"/>
      <c r="E67" s="120"/>
      <c r="F67" s="119"/>
      <c r="G67" s="114"/>
      <c r="H67" s="114"/>
      <c r="I67" s="114"/>
      <c r="J67" s="114"/>
      <c r="K67" s="114"/>
      <c r="L67" s="114"/>
      <c r="M67" s="114"/>
      <c r="N67" s="114"/>
      <c r="O67" s="114"/>
      <c r="P67" s="114"/>
      <c r="Q67" s="114"/>
      <c r="R67" s="114"/>
      <c r="S67" s="114"/>
      <c r="T67" s="114"/>
      <c r="U67" s="114"/>
      <c r="V67" s="114"/>
      <c r="W67" s="114"/>
      <c r="X67" s="114"/>
      <c r="Y67" s="114"/>
      <c r="Z67" s="114"/>
      <c r="AA67" s="114"/>
      <c r="AB67" s="114"/>
    </row>
    <row r="68" ht="15.75" customHeight="1">
      <c r="A68" s="117"/>
      <c r="B68" s="116"/>
      <c r="C68" s="116"/>
      <c r="D68" s="117"/>
      <c r="E68" s="120"/>
      <c r="F68" s="119"/>
      <c r="G68" s="114"/>
      <c r="H68" s="114"/>
      <c r="I68" s="114"/>
      <c r="J68" s="114"/>
      <c r="K68" s="114"/>
      <c r="L68" s="114"/>
      <c r="M68" s="114"/>
      <c r="N68" s="114"/>
      <c r="O68" s="114"/>
      <c r="P68" s="114"/>
      <c r="Q68" s="114"/>
      <c r="R68" s="114"/>
      <c r="S68" s="114"/>
      <c r="T68" s="114"/>
      <c r="U68" s="114"/>
      <c r="V68" s="114"/>
      <c r="W68" s="114"/>
      <c r="X68" s="114"/>
      <c r="Y68" s="114"/>
      <c r="Z68" s="114"/>
      <c r="AA68" s="114"/>
      <c r="AB68" s="114"/>
    </row>
    <row r="69" ht="15.75" customHeight="1">
      <c r="A69" s="117"/>
      <c r="B69" s="116"/>
      <c r="C69" s="116"/>
      <c r="D69" s="117"/>
      <c r="E69" s="120"/>
      <c r="F69" s="119"/>
      <c r="G69" s="114"/>
      <c r="H69" s="114"/>
      <c r="I69" s="114"/>
      <c r="J69" s="114"/>
      <c r="K69" s="114"/>
      <c r="L69" s="114"/>
      <c r="M69" s="114"/>
      <c r="N69" s="114"/>
      <c r="O69" s="114"/>
      <c r="P69" s="114"/>
      <c r="Q69" s="114"/>
      <c r="R69" s="114"/>
      <c r="S69" s="114"/>
      <c r="T69" s="114"/>
      <c r="U69" s="114"/>
      <c r="V69" s="114"/>
      <c r="W69" s="114"/>
      <c r="X69" s="114"/>
      <c r="Y69" s="114"/>
      <c r="Z69" s="114"/>
      <c r="AA69" s="114"/>
      <c r="AB69" s="114"/>
    </row>
    <row r="70" ht="15.75" customHeight="1">
      <c r="A70" s="117"/>
      <c r="B70" s="116"/>
      <c r="C70" s="116"/>
      <c r="D70" s="117"/>
      <c r="E70" s="120"/>
      <c r="F70" s="119"/>
      <c r="G70" s="114"/>
      <c r="H70" s="114"/>
      <c r="I70" s="114"/>
      <c r="J70" s="114"/>
      <c r="K70" s="114"/>
      <c r="L70" s="114"/>
      <c r="M70" s="114"/>
      <c r="N70" s="114"/>
      <c r="O70" s="114"/>
      <c r="P70" s="114"/>
      <c r="Q70" s="114"/>
      <c r="R70" s="114"/>
      <c r="S70" s="114"/>
      <c r="T70" s="114"/>
      <c r="U70" s="114"/>
      <c r="V70" s="114"/>
      <c r="W70" s="114"/>
      <c r="X70" s="114"/>
      <c r="Y70" s="114"/>
      <c r="Z70" s="114"/>
      <c r="AA70" s="114"/>
      <c r="AB70" s="114"/>
    </row>
    <row r="71" ht="15.75" customHeight="1">
      <c r="A71" s="117"/>
      <c r="B71" s="116"/>
      <c r="C71" s="116"/>
      <c r="D71" s="117"/>
      <c r="E71" s="120"/>
      <c r="F71" s="119"/>
      <c r="G71" s="114"/>
      <c r="H71" s="114"/>
      <c r="I71" s="114"/>
      <c r="J71" s="114"/>
      <c r="K71" s="114"/>
      <c r="L71" s="114"/>
      <c r="M71" s="114"/>
      <c r="N71" s="114"/>
      <c r="O71" s="114"/>
      <c r="P71" s="114"/>
      <c r="Q71" s="114"/>
      <c r="R71" s="114"/>
      <c r="S71" s="114"/>
      <c r="T71" s="114"/>
      <c r="U71" s="114"/>
      <c r="V71" s="114"/>
      <c r="W71" s="114"/>
      <c r="X71" s="114"/>
      <c r="Y71" s="114"/>
      <c r="Z71" s="114"/>
      <c r="AA71" s="114"/>
      <c r="AB71" s="114"/>
    </row>
    <row r="72" ht="15.75" customHeight="1">
      <c r="A72" s="117"/>
      <c r="B72" s="116"/>
      <c r="C72" s="116"/>
      <c r="D72" s="117"/>
      <c r="E72" s="120"/>
      <c r="F72" s="119"/>
      <c r="G72" s="114"/>
      <c r="H72" s="114"/>
      <c r="I72" s="114"/>
      <c r="J72" s="114"/>
      <c r="K72" s="114"/>
      <c r="L72" s="114"/>
      <c r="M72" s="114"/>
      <c r="N72" s="114"/>
      <c r="O72" s="114"/>
      <c r="P72" s="114"/>
      <c r="Q72" s="114"/>
      <c r="R72" s="114"/>
      <c r="S72" s="114"/>
      <c r="T72" s="114"/>
      <c r="U72" s="114"/>
      <c r="V72" s="114"/>
      <c r="W72" s="114"/>
      <c r="X72" s="114"/>
      <c r="Y72" s="114"/>
      <c r="Z72" s="114"/>
      <c r="AA72" s="114"/>
      <c r="AB72" s="114"/>
    </row>
    <row r="73" ht="15.75" customHeight="1">
      <c r="A73" s="117"/>
      <c r="B73" s="116"/>
      <c r="C73" s="116"/>
      <c r="D73" s="117"/>
      <c r="E73" s="120"/>
      <c r="F73" s="119"/>
      <c r="G73" s="114"/>
      <c r="H73" s="114"/>
      <c r="I73" s="114"/>
      <c r="J73" s="114"/>
      <c r="K73" s="114"/>
      <c r="L73" s="114"/>
      <c r="M73" s="114"/>
      <c r="N73" s="114"/>
      <c r="O73" s="114"/>
      <c r="P73" s="114"/>
      <c r="Q73" s="114"/>
      <c r="R73" s="114"/>
      <c r="S73" s="114"/>
      <c r="T73" s="114"/>
      <c r="U73" s="114"/>
      <c r="V73" s="114"/>
      <c r="W73" s="114"/>
      <c r="X73" s="114"/>
      <c r="Y73" s="114"/>
      <c r="Z73" s="114"/>
      <c r="AA73" s="114"/>
      <c r="AB73" s="114"/>
    </row>
    <row r="74" ht="15.75" customHeight="1">
      <c r="A74" s="117"/>
      <c r="B74" s="116"/>
      <c r="C74" s="116"/>
      <c r="D74" s="117"/>
      <c r="E74" s="120"/>
      <c r="F74" s="119"/>
      <c r="G74" s="114"/>
      <c r="H74" s="114"/>
      <c r="I74" s="114"/>
      <c r="J74" s="114"/>
      <c r="K74" s="114"/>
      <c r="L74" s="114"/>
      <c r="M74" s="114"/>
      <c r="N74" s="114"/>
      <c r="O74" s="114"/>
      <c r="P74" s="114"/>
      <c r="Q74" s="114"/>
      <c r="R74" s="114"/>
      <c r="S74" s="114"/>
      <c r="T74" s="114"/>
      <c r="U74" s="114"/>
      <c r="V74" s="114"/>
      <c r="W74" s="114"/>
      <c r="X74" s="114"/>
      <c r="Y74" s="114"/>
      <c r="Z74" s="114"/>
      <c r="AA74" s="114"/>
      <c r="AB74" s="114"/>
    </row>
    <row r="75" ht="15.75" customHeight="1">
      <c r="A75" s="117"/>
      <c r="B75" s="116"/>
      <c r="C75" s="116"/>
      <c r="D75" s="117"/>
      <c r="E75" s="120"/>
      <c r="F75" s="119"/>
      <c r="G75" s="114"/>
      <c r="H75" s="114"/>
      <c r="I75" s="114"/>
      <c r="J75" s="114"/>
      <c r="K75" s="114"/>
      <c r="L75" s="114"/>
      <c r="M75" s="114"/>
      <c r="N75" s="114"/>
      <c r="O75" s="114"/>
      <c r="P75" s="114"/>
      <c r="Q75" s="114"/>
      <c r="R75" s="114"/>
      <c r="S75" s="114"/>
      <c r="T75" s="114"/>
      <c r="U75" s="114"/>
      <c r="V75" s="114"/>
      <c r="W75" s="114"/>
      <c r="X75" s="114"/>
      <c r="Y75" s="114"/>
      <c r="Z75" s="114"/>
      <c r="AA75" s="114"/>
      <c r="AB75" s="114"/>
    </row>
    <row r="76" ht="15.75" customHeight="1">
      <c r="A76" s="117"/>
      <c r="B76" s="116"/>
      <c r="C76" s="116"/>
      <c r="D76" s="117"/>
      <c r="E76" s="120"/>
      <c r="F76" s="119"/>
      <c r="G76" s="114"/>
      <c r="H76" s="114"/>
      <c r="I76" s="114"/>
      <c r="J76" s="114"/>
      <c r="K76" s="114"/>
      <c r="L76" s="114"/>
      <c r="M76" s="114"/>
      <c r="N76" s="114"/>
      <c r="O76" s="114"/>
      <c r="P76" s="114"/>
      <c r="Q76" s="114"/>
      <c r="R76" s="114"/>
      <c r="S76" s="114"/>
      <c r="T76" s="114"/>
      <c r="U76" s="114"/>
      <c r="V76" s="114"/>
      <c r="W76" s="114"/>
      <c r="X76" s="114"/>
      <c r="Y76" s="114"/>
      <c r="Z76" s="114"/>
      <c r="AA76" s="114"/>
      <c r="AB76" s="114"/>
    </row>
    <row r="77" ht="15.75" customHeight="1">
      <c r="A77" s="117"/>
      <c r="B77" s="116"/>
      <c r="C77" s="116"/>
      <c r="D77" s="117"/>
      <c r="E77" s="120"/>
      <c r="F77" s="119"/>
      <c r="G77" s="114"/>
      <c r="H77" s="114"/>
      <c r="I77" s="114"/>
      <c r="J77" s="114"/>
      <c r="K77" s="114"/>
      <c r="L77" s="114"/>
      <c r="M77" s="114"/>
      <c r="N77" s="114"/>
      <c r="O77" s="114"/>
      <c r="P77" s="114"/>
      <c r="Q77" s="114"/>
      <c r="R77" s="114"/>
      <c r="S77" s="114"/>
      <c r="T77" s="114"/>
      <c r="U77" s="114"/>
      <c r="V77" s="114"/>
      <c r="W77" s="114"/>
      <c r="X77" s="114"/>
      <c r="Y77" s="114"/>
      <c r="Z77" s="114"/>
      <c r="AA77" s="114"/>
      <c r="AB77" s="114"/>
    </row>
    <row r="78" ht="15.75" customHeight="1">
      <c r="A78" s="117"/>
      <c r="B78" s="116"/>
      <c r="C78" s="116"/>
      <c r="D78" s="117"/>
      <c r="E78" s="120"/>
      <c r="F78" s="119"/>
      <c r="G78" s="114"/>
      <c r="H78" s="114"/>
      <c r="I78" s="114"/>
      <c r="J78" s="114"/>
      <c r="K78" s="114"/>
      <c r="L78" s="114"/>
      <c r="M78" s="114"/>
      <c r="N78" s="114"/>
      <c r="O78" s="114"/>
      <c r="P78" s="114"/>
      <c r="Q78" s="114"/>
      <c r="R78" s="114"/>
      <c r="S78" s="114"/>
      <c r="T78" s="114"/>
      <c r="U78" s="114"/>
      <c r="V78" s="114"/>
      <c r="W78" s="114"/>
      <c r="X78" s="114"/>
      <c r="Y78" s="114"/>
      <c r="Z78" s="114"/>
      <c r="AA78" s="114"/>
      <c r="AB78" s="114"/>
    </row>
    <row r="79" ht="15.75" customHeight="1">
      <c r="A79" s="117"/>
      <c r="B79" s="116"/>
      <c r="C79" s="116"/>
      <c r="D79" s="117"/>
      <c r="E79" s="120"/>
      <c r="F79" s="119"/>
      <c r="G79" s="114"/>
      <c r="H79" s="114"/>
      <c r="I79" s="114"/>
      <c r="J79" s="114"/>
      <c r="K79" s="114"/>
      <c r="L79" s="114"/>
      <c r="M79" s="114"/>
      <c r="N79" s="114"/>
      <c r="O79" s="114"/>
      <c r="P79" s="114"/>
      <c r="Q79" s="114"/>
      <c r="R79" s="114"/>
      <c r="S79" s="114"/>
      <c r="T79" s="114"/>
      <c r="U79" s="114"/>
      <c r="V79" s="114"/>
      <c r="W79" s="114"/>
      <c r="X79" s="114"/>
      <c r="Y79" s="114"/>
      <c r="Z79" s="114"/>
      <c r="AA79" s="114"/>
      <c r="AB79" s="114"/>
    </row>
    <row r="80" ht="15.75" customHeight="1">
      <c r="A80" s="117"/>
      <c r="B80" s="116"/>
      <c r="C80" s="116"/>
      <c r="D80" s="117"/>
      <c r="E80" s="120"/>
      <c r="F80" s="119"/>
      <c r="G80" s="114"/>
      <c r="H80" s="114"/>
      <c r="I80" s="114"/>
      <c r="J80" s="114"/>
      <c r="K80" s="114"/>
      <c r="L80" s="114"/>
      <c r="M80" s="114"/>
      <c r="N80" s="114"/>
      <c r="O80" s="114"/>
      <c r="P80" s="114"/>
      <c r="Q80" s="114"/>
      <c r="R80" s="114"/>
      <c r="S80" s="114"/>
      <c r="T80" s="114"/>
      <c r="U80" s="114"/>
      <c r="V80" s="114"/>
      <c r="W80" s="114"/>
      <c r="X80" s="114"/>
      <c r="Y80" s="114"/>
      <c r="Z80" s="114"/>
      <c r="AA80" s="114"/>
      <c r="AB80" s="114"/>
    </row>
    <row r="81" ht="15.75" customHeight="1">
      <c r="A81" s="117"/>
      <c r="B81" s="116"/>
      <c r="C81" s="116"/>
      <c r="D81" s="117"/>
      <c r="E81" s="120"/>
      <c r="F81" s="119"/>
      <c r="G81" s="114"/>
      <c r="H81" s="114"/>
      <c r="I81" s="114"/>
      <c r="J81" s="114"/>
      <c r="K81" s="114"/>
      <c r="L81" s="114"/>
      <c r="M81" s="114"/>
      <c r="N81" s="114"/>
      <c r="O81" s="114"/>
      <c r="P81" s="114"/>
      <c r="Q81" s="114"/>
      <c r="R81" s="114"/>
      <c r="S81" s="114"/>
      <c r="T81" s="114"/>
      <c r="U81" s="114"/>
      <c r="V81" s="114"/>
      <c r="W81" s="114"/>
      <c r="X81" s="114"/>
      <c r="Y81" s="114"/>
      <c r="Z81" s="114"/>
      <c r="AA81" s="114"/>
      <c r="AB81" s="114"/>
    </row>
    <row r="82" ht="15.75" customHeight="1">
      <c r="A82" s="117"/>
      <c r="B82" s="116"/>
      <c r="C82" s="116"/>
      <c r="D82" s="117"/>
      <c r="E82" s="120"/>
      <c r="F82" s="119"/>
      <c r="G82" s="114"/>
      <c r="H82" s="114"/>
      <c r="I82" s="114"/>
      <c r="J82" s="114"/>
      <c r="K82" s="114"/>
      <c r="L82" s="114"/>
      <c r="M82" s="114"/>
      <c r="N82" s="114"/>
      <c r="O82" s="114"/>
      <c r="P82" s="114"/>
      <c r="Q82" s="114"/>
      <c r="R82" s="114"/>
      <c r="S82" s="114"/>
      <c r="T82" s="114"/>
      <c r="U82" s="114"/>
      <c r="V82" s="114"/>
      <c r="W82" s="114"/>
      <c r="X82" s="114"/>
      <c r="Y82" s="114"/>
      <c r="Z82" s="114"/>
      <c r="AA82" s="114"/>
      <c r="AB82" s="114"/>
    </row>
    <row r="83" ht="15.75" customHeight="1">
      <c r="A83" s="117"/>
      <c r="B83" s="116"/>
      <c r="C83" s="116"/>
      <c r="D83" s="117"/>
      <c r="E83" s="120"/>
      <c r="F83" s="119"/>
      <c r="G83" s="114"/>
      <c r="H83" s="114"/>
      <c r="I83" s="114"/>
      <c r="J83" s="114"/>
      <c r="K83" s="114"/>
      <c r="L83" s="114"/>
      <c r="M83" s="114"/>
      <c r="N83" s="114"/>
      <c r="O83" s="114"/>
      <c r="P83" s="114"/>
      <c r="Q83" s="114"/>
      <c r="R83" s="114"/>
      <c r="S83" s="114"/>
      <c r="T83" s="114"/>
      <c r="U83" s="114"/>
      <c r="V83" s="114"/>
      <c r="W83" s="114"/>
      <c r="X83" s="114"/>
      <c r="Y83" s="114"/>
      <c r="Z83" s="114"/>
      <c r="AA83" s="114"/>
      <c r="AB83" s="114"/>
    </row>
    <row r="84" ht="15.75" customHeight="1">
      <c r="A84" s="117"/>
      <c r="B84" s="116"/>
      <c r="C84" s="116"/>
      <c r="D84" s="117"/>
      <c r="E84" s="120"/>
      <c r="F84" s="119"/>
      <c r="G84" s="114"/>
      <c r="H84" s="114"/>
      <c r="I84" s="114"/>
      <c r="J84" s="114"/>
      <c r="K84" s="114"/>
      <c r="L84" s="114"/>
      <c r="M84" s="114"/>
      <c r="N84" s="114"/>
      <c r="O84" s="114"/>
      <c r="P84" s="114"/>
      <c r="Q84" s="114"/>
      <c r="R84" s="114"/>
      <c r="S84" s="114"/>
      <c r="T84" s="114"/>
      <c r="U84" s="114"/>
      <c r="V84" s="114"/>
      <c r="W84" s="114"/>
      <c r="X84" s="114"/>
      <c r="Y84" s="114"/>
      <c r="Z84" s="114"/>
      <c r="AA84" s="114"/>
      <c r="AB84" s="114"/>
    </row>
    <row r="85" ht="15.75" customHeight="1">
      <c r="A85" s="117"/>
      <c r="B85" s="116"/>
      <c r="C85" s="116"/>
      <c r="D85" s="117"/>
      <c r="E85" s="120"/>
      <c r="F85" s="119"/>
      <c r="G85" s="114"/>
      <c r="H85" s="114"/>
      <c r="I85" s="114"/>
      <c r="J85" s="114"/>
      <c r="K85" s="114"/>
      <c r="L85" s="114"/>
      <c r="M85" s="114"/>
      <c r="N85" s="114"/>
      <c r="O85" s="114"/>
      <c r="P85" s="114"/>
      <c r="Q85" s="114"/>
      <c r="R85" s="114"/>
      <c r="S85" s="114"/>
      <c r="T85" s="114"/>
      <c r="U85" s="114"/>
      <c r="V85" s="114"/>
      <c r="W85" s="114"/>
      <c r="X85" s="114"/>
      <c r="Y85" s="114"/>
      <c r="Z85" s="114"/>
      <c r="AA85" s="114"/>
      <c r="AB85" s="114"/>
    </row>
    <row r="86" ht="15.75" customHeight="1">
      <c r="A86" s="117"/>
      <c r="B86" s="116"/>
      <c r="C86" s="116"/>
      <c r="D86" s="117"/>
      <c r="E86" s="120"/>
      <c r="F86" s="119"/>
      <c r="G86" s="114"/>
      <c r="H86" s="114"/>
      <c r="I86" s="114"/>
      <c r="J86" s="114"/>
      <c r="K86" s="114"/>
      <c r="L86" s="114"/>
      <c r="M86" s="114"/>
      <c r="N86" s="114"/>
      <c r="O86" s="114"/>
      <c r="P86" s="114"/>
      <c r="Q86" s="114"/>
      <c r="R86" s="114"/>
      <c r="S86" s="114"/>
      <c r="T86" s="114"/>
      <c r="U86" s="114"/>
      <c r="V86" s="114"/>
      <c r="W86" s="114"/>
      <c r="X86" s="114"/>
      <c r="Y86" s="114"/>
      <c r="Z86" s="114"/>
      <c r="AA86" s="114"/>
      <c r="AB86" s="114"/>
    </row>
    <row r="87" ht="15.75" customHeight="1">
      <c r="A87" s="117"/>
      <c r="B87" s="116"/>
      <c r="C87" s="116"/>
      <c r="D87" s="117"/>
      <c r="E87" s="120"/>
      <c r="F87" s="119"/>
      <c r="G87" s="114"/>
      <c r="H87" s="114"/>
      <c r="I87" s="114"/>
      <c r="J87" s="114"/>
      <c r="K87" s="114"/>
      <c r="L87" s="114"/>
      <c r="M87" s="114"/>
      <c r="N87" s="114"/>
      <c r="O87" s="114"/>
      <c r="P87" s="114"/>
      <c r="Q87" s="114"/>
      <c r="R87" s="114"/>
      <c r="S87" s="114"/>
      <c r="T87" s="114"/>
      <c r="U87" s="114"/>
      <c r="V87" s="114"/>
      <c r="W87" s="114"/>
      <c r="X87" s="114"/>
      <c r="Y87" s="114"/>
      <c r="Z87" s="114"/>
      <c r="AA87" s="114"/>
      <c r="AB87" s="114"/>
    </row>
    <row r="88" ht="15.75" customHeight="1">
      <c r="A88" s="117"/>
      <c r="B88" s="116"/>
      <c r="C88" s="116"/>
      <c r="D88" s="117"/>
      <c r="E88" s="120"/>
      <c r="F88" s="119"/>
      <c r="G88" s="114"/>
      <c r="H88" s="114"/>
      <c r="I88" s="114"/>
      <c r="J88" s="114"/>
      <c r="K88" s="114"/>
      <c r="L88" s="114"/>
      <c r="M88" s="114"/>
      <c r="N88" s="114"/>
      <c r="O88" s="114"/>
      <c r="P88" s="114"/>
      <c r="Q88" s="114"/>
      <c r="R88" s="114"/>
      <c r="S88" s="114"/>
      <c r="T88" s="114"/>
      <c r="U88" s="114"/>
      <c r="V88" s="114"/>
      <c r="W88" s="114"/>
      <c r="X88" s="114"/>
      <c r="Y88" s="114"/>
      <c r="Z88" s="114"/>
      <c r="AA88" s="114"/>
      <c r="AB88" s="114"/>
    </row>
    <row r="89" ht="15.75" customHeight="1">
      <c r="A89" s="117"/>
      <c r="B89" s="116"/>
      <c r="C89" s="116"/>
      <c r="D89" s="117"/>
      <c r="E89" s="120"/>
      <c r="F89" s="119"/>
      <c r="G89" s="114"/>
      <c r="H89" s="114"/>
      <c r="I89" s="114"/>
      <c r="J89" s="114"/>
      <c r="K89" s="114"/>
      <c r="L89" s="114"/>
      <c r="M89" s="114"/>
      <c r="N89" s="114"/>
      <c r="O89" s="114"/>
      <c r="P89" s="114"/>
      <c r="Q89" s="114"/>
      <c r="R89" s="114"/>
      <c r="S89" s="114"/>
      <c r="T89" s="114"/>
      <c r="U89" s="114"/>
      <c r="V89" s="114"/>
      <c r="W89" s="114"/>
      <c r="X89" s="114"/>
      <c r="Y89" s="114"/>
      <c r="Z89" s="114"/>
      <c r="AA89" s="114"/>
      <c r="AB89" s="114"/>
    </row>
    <row r="90" ht="15.75" customHeight="1">
      <c r="A90" s="117"/>
      <c r="B90" s="116"/>
      <c r="C90" s="116"/>
      <c r="D90" s="117"/>
      <c r="E90" s="120"/>
      <c r="F90" s="119"/>
      <c r="G90" s="114"/>
      <c r="H90" s="114"/>
      <c r="I90" s="114"/>
      <c r="J90" s="114"/>
      <c r="K90" s="114"/>
      <c r="L90" s="114"/>
      <c r="M90" s="114"/>
      <c r="N90" s="114"/>
      <c r="O90" s="114"/>
      <c r="P90" s="114"/>
      <c r="Q90" s="114"/>
      <c r="R90" s="114"/>
      <c r="S90" s="114"/>
      <c r="T90" s="114"/>
      <c r="U90" s="114"/>
      <c r="V90" s="114"/>
      <c r="W90" s="114"/>
      <c r="X90" s="114"/>
      <c r="Y90" s="114"/>
      <c r="Z90" s="114"/>
      <c r="AA90" s="114"/>
      <c r="AB90" s="114"/>
    </row>
    <row r="91" ht="15.75" customHeight="1">
      <c r="A91" s="117"/>
      <c r="B91" s="116"/>
      <c r="C91" s="116"/>
      <c r="D91" s="117"/>
      <c r="E91" s="120"/>
      <c r="F91" s="119"/>
      <c r="G91" s="114"/>
      <c r="H91" s="114"/>
      <c r="I91" s="114"/>
      <c r="J91" s="114"/>
      <c r="K91" s="114"/>
      <c r="L91" s="114"/>
      <c r="M91" s="114"/>
      <c r="N91" s="114"/>
      <c r="O91" s="114"/>
      <c r="P91" s="114"/>
      <c r="Q91" s="114"/>
      <c r="R91" s="114"/>
      <c r="S91" s="114"/>
      <c r="T91" s="114"/>
      <c r="U91" s="114"/>
      <c r="V91" s="114"/>
      <c r="W91" s="114"/>
      <c r="X91" s="114"/>
      <c r="Y91" s="114"/>
      <c r="Z91" s="114"/>
      <c r="AA91" s="114"/>
      <c r="AB91" s="114"/>
    </row>
    <row r="92" ht="15.75" customHeight="1">
      <c r="A92" s="117"/>
      <c r="B92" s="116"/>
      <c r="C92" s="116"/>
      <c r="D92" s="117"/>
      <c r="E92" s="120"/>
      <c r="F92" s="119"/>
      <c r="G92" s="114"/>
      <c r="H92" s="114"/>
      <c r="I92" s="114"/>
      <c r="J92" s="114"/>
      <c r="K92" s="114"/>
      <c r="L92" s="114"/>
      <c r="M92" s="114"/>
      <c r="N92" s="114"/>
      <c r="O92" s="114"/>
      <c r="P92" s="114"/>
      <c r="Q92" s="114"/>
      <c r="R92" s="114"/>
      <c r="S92" s="114"/>
      <c r="T92" s="114"/>
      <c r="U92" s="114"/>
      <c r="V92" s="114"/>
      <c r="W92" s="114"/>
      <c r="X92" s="114"/>
      <c r="Y92" s="114"/>
      <c r="Z92" s="114"/>
      <c r="AA92" s="114"/>
      <c r="AB92" s="114"/>
    </row>
    <row r="93" ht="15.75" customHeight="1">
      <c r="A93" s="117"/>
      <c r="B93" s="116"/>
      <c r="C93" s="116"/>
      <c r="D93" s="117"/>
      <c r="E93" s="120"/>
      <c r="F93" s="119"/>
      <c r="G93" s="114"/>
      <c r="H93" s="114"/>
      <c r="I93" s="114"/>
      <c r="J93" s="114"/>
      <c r="K93" s="114"/>
      <c r="L93" s="114"/>
      <c r="M93" s="114"/>
      <c r="N93" s="114"/>
      <c r="O93" s="114"/>
      <c r="P93" s="114"/>
      <c r="Q93" s="114"/>
      <c r="R93" s="114"/>
      <c r="S93" s="114"/>
      <c r="T93" s="114"/>
      <c r="U93" s="114"/>
      <c r="V93" s="114"/>
      <c r="W93" s="114"/>
      <c r="X93" s="114"/>
      <c r="Y93" s="114"/>
      <c r="Z93" s="114"/>
      <c r="AA93" s="114"/>
      <c r="AB93" s="114"/>
    </row>
    <row r="94" ht="15.75" customHeight="1">
      <c r="A94" s="117"/>
      <c r="B94" s="116"/>
      <c r="C94" s="116"/>
      <c r="D94" s="117"/>
      <c r="E94" s="120"/>
      <c r="F94" s="119"/>
      <c r="G94" s="114"/>
      <c r="H94" s="114"/>
      <c r="I94" s="114"/>
      <c r="J94" s="114"/>
      <c r="K94" s="114"/>
      <c r="L94" s="114"/>
      <c r="M94" s="114"/>
      <c r="N94" s="114"/>
      <c r="O94" s="114"/>
      <c r="P94" s="114"/>
      <c r="Q94" s="114"/>
      <c r="R94" s="114"/>
      <c r="S94" s="114"/>
      <c r="T94" s="114"/>
      <c r="U94" s="114"/>
      <c r="V94" s="114"/>
      <c r="W94" s="114"/>
      <c r="X94" s="114"/>
      <c r="Y94" s="114"/>
      <c r="Z94" s="114"/>
      <c r="AA94" s="114"/>
      <c r="AB94" s="114"/>
    </row>
    <row r="95" ht="15.75" customHeight="1">
      <c r="A95" s="117"/>
      <c r="B95" s="116"/>
      <c r="C95" s="116"/>
      <c r="D95" s="117"/>
      <c r="E95" s="120"/>
      <c r="F95" s="119"/>
      <c r="G95" s="114"/>
      <c r="H95" s="114"/>
      <c r="I95" s="114"/>
      <c r="J95" s="114"/>
      <c r="K95" s="114"/>
      <c r="L95" s="114"/>
      <c r="M95" s="114"/>
      <c r="N95" s="114"/>
      <c r="O95" s="114"/>
      <c r="P95" s="114"/>
      <c r="Q95" s="114"/>
      <c r="R95" s="114"/>
      <c r="S95" s="114"/>
      <c r="T95" s="114"/>
      <c r="U95" s="114"/>
      <c r="V95" s="114"/>
      <c r="W95" s="114"/>
      <c r="X95" s="114"/>
      <c r="Y95" s="114"/>
      <c r="Z95" s="114"/>
      <c r="AA95" s="114"/>
      <c r="AB95" s="114"/>
    </row>
    <row r="96" ht="15.75" customHeight="1">
      <c r="A96" s="117"/>
      <c r="B96" s="116"/>
      <c r="C96" s="116"/>
      <c r="D96" s="117"/>
      <c r="E96" s="120"/>
      <c r="F96" s="119"/>
      <c r="G96" s="114"/>
      <c r="H96" s="114"/>
      <c r="I96" s="114"/>
      <c r="J96" s="114"/>
      <c r="K96" s="114"/>
      <c r="L96" s="114"/>
      <c r="M96" s="114"/>
      <c r="N96" s="114"/>
      <c r="O96" s="114"/>
      <c r="P96" s="114"/>
      <c r="Q96" s="114"/>
      <c r="R96" s="114"/>
      <c r="S96" s="114"/>
      <c r="T96" s="114"/>
      <c r="U96" s="114"/>
      <c r="V96" s="114"/>
      <c r="W96" s="114"/>
      <c r="X96" s="114"/>
      <c r="Y96" s="114"/>
      <c r="Z96" s="114"/>
      <c r="AA96" s="114"/>
      <c r="AB96" s="114"/>
    </row>
    <row r="97" ht="15.75" customHeight="1">
      <c r="A97" s="117"/>
      <c r="B97" s="116"/>
      <c r="C97" s="116"/>
      <c r="D97" s="117"/>
      <c r="E97" s="120"/>
      <c r="F97" s="119"/>
      <c r="G97" s="114"/>
      <c r="H97" s="114"/>
      <c r="I97" s="114"/>
      <c r="J97" s="114"/>
      <c r="K97" s="114"/>
      <c r="L97" s="114"/>
      <c r="M97" s="114"/>
      <c r="N97" s="114"/>
      <c r="O97" s="114"/>
      <c r="P97" s="114"/>
      <c r="Q97" s="114"/>
      <c r="R97" s="114"/>
      <c r="S97" s="114"/>
      <c r="T97" s="114"/>
      <c r="U97" s="114"/>
      <c r="V97" s="114"/>
      <c r="W97" s="114"/>
      <c r="X97" s="114"/>
      <c r="Y97" s="114"/>
      <c r="Z97" s="114"/>
      <c r="AA97" s="114"/>
      <c r="AB97" s="114"/>
    </row>
    <row r="98" ht="15.75" customHeight="1">
      <c r="A98" s="117"/>
      <c r="B98" s="116"/>
      <c r="C98" s="116"/>
      <c r="D98" s="117"/>
      <c r="E98" s="120"/>
      <c r="F98" s="119"/>
      <c r="G98" s="114"/>
      <c r="H98" s="114"/>
      <c r="I98" s="114"/>
      <c r="J98" s="114"/>
      <c r="K98" s="114"/>
      <c r="L98" s="114"/>
      <c r="M98" s="114"/>
      <c r="N98" s="114"/>
      <c r="O98" s="114"/>
      <c r="P98" s="114"/>
      <c r="Q98" s="114"/>
      <c r="R98" s="114"/>
      <c r="S98" s="114"/>
      <c r="T98" s="114"/>
      <c r="U98" s="114"/>
      <c r="V98" s="114"/>
      <c r="W98" s="114"/>
      <c r="X98" s="114"/>
      <c r="Y98" s="114"/>
      <c r="Z98" s="114"/>
      <c r="AA98" s="114"/>
      <c r="AB98" s="114"/>
    </row>
    <row r="99" ht="15.75" customHeight="1">
      <c r="A99" s="117"/>
      <c r="B99" s="116"/>
      <c r="C99" s="116"/>
      <c r="D99" s="117"/>
      <c r="E99" s="120"/>
      <c r="F99" s="119"/>
      <c r="G99" s="114"/>
      <c r="H99" s="114"/>
      <c r="I99" s="114"/>
      <c r="J99" s="114"/>
      <c r="K99" s="114"/>
      <c r="L99" s="114"/>
      <c r="M99" s="114"/>
      <c r="N99" s="114"/>
      <c r="O99" s="114"/>
      <c r="P99" s="114"/>
      <c r="Q99" s="114"/>
      <c r="R99" s="114"/>
      <c r="S99" s="114"/>
      <c r="T99" s="114"/>
      <c r="U99" s="114"/>
      <c r="V99" s="114"/>
      <c r="W99" s="114"/>
      <c r="X99" s="114"/>
      <c r="Y99" s="114"/>
      <c r="Z99" s="114"/>
      <c r="AA99" s="114"/>
      <c r="AB99" s="114"/>
    </row>
    <row r="100" ht="15.75" customHeight="1">
      <c r="A100" s="117"/>
      <c r="B100" s="116"/>
      <c r="C100" s="116"/>
      <c r="D100" s="117"/>
      <c r="E100" s="120"/>
      <c r="F100" s="119"/>
      <c r="G100" s="114"/>
      <c r="H100" s="114"/>
      <c r="I100" s="114"/>
      <c r="J100" s="114"/>
      <c r="K100" s="114"/>
      <c r="L100" s="114"/>
      <c r="M100" s="114"/>
      <c r="N100" s="114"/>
      <c r="O100" s="114"/>
      <c r="P100" s="114"/>
      <c r="Q100" s="114"/>
      <c r="R100" s="114"/>
      <c r="S100" s="114"/>
      <c r="T100" s="114"/>
      <c r="U100" s="114"/>
      <c r="V100" s="114"/>
      <c r="W100" s="114"/>
      <c r="X100" s="114"/>
      <c r="Y100" s="114"/>
      <c r="Z100" s="114"/>
      <c r="AA100" s="114"/>
      <c r="AB100" s="114"/>
    </row>
    <row r="101" ht="15.75" customHeight="1">
      <c r="A101" s="117"/>
      <c r="B101" s="116"/>
      <c r="C101" s="116"/>
      <c r="D101" s="117"/>
      <c r="E101" s="120"/>
      <c r="F101" s="119"/>
      <c r="G101" s="114"/>
      <c r="H101" s="114"/>
      <c r="I101" s="114"/>
      <c r="J101" s="114"/>
      <c r="K101" s="114"/>
      <c r="L101" s="114"/>
      <c r="M101" s="114"/>
      <c r="N101" s="114"/>
      <c r="O101" s="114"/>
      <c r="P101" s="114"/>
      <c r="Q101" s="114"/>
      <c r="R101" s="114"/>
      <c r="S101" s="114"/>
      <c r="T101" s="114"/>
      <c r="U101" s="114"/>
      <c r="V101" s="114"/>
      <c r="W101" s="114"/>
      <c r="X101" s="114"/>
      <c r="Y101" s="114"/>
      <c r="Z101" s="114"/>
      <c r="AA101" s="114"/>
      <c r="AB101" s="114"/>
    </row>
    <row r="102" ht="15.75" customHeight="1">
      <c r="A102" s="117"/>
      <c r="B102" s="116"/>
      <c r="C102" s="116"/>
      <c r="D102" s="117"/>
      <c r="E102" s="120"/>
      <c r="F102" s="119"/>
      <c r="G102" s="114"/>
      <c r="H102" s="114"/>
      <c r="I102" s="114"/>
      <c r="J102" s="114"/>
      <c r="K102" s="114"/>
      <c r="L102" s="114"/>
      <c r="M102" s="114"/>
      <c r="N102" s="114"/>
      <c r="O102" s="114"/>
      <c r="P102" s="114"/>
      <c r="Q102" s="114"/>
      <c r="R102" s="114"/>
      <c r="S102" s="114"/>
      <c r="T102" s="114"/>
      <c r="U102" s="114"/>
      <c r="V102" s="114"/>
      <c r="W102" s="114"/>
      <c r="X102" s="114"/>
      <c r="Y102" s="114"/>
      <c r="Z102" s="114"/>
      <c r="AA102" s="114"/>
      <c r="AB102" s="114"/>
    </row>
    <row r="103" ht="15.75" customHeight="1">
      <c r="A103" s="117"/>
      <c r="B103" s="116"/>
      <c r="C103" s="116"/>
      <c r="D103" s="117"/>
      <c r="E103" s="120"/>
      <c r="F103" s="119"/>
      <c r="G103" s="114"/>
      <c r="H103" s="114"/>
      <c r="I103" s="114"/>
      <c r="J103" s="114"/>
      <c r="K103" s="114"/>
      <c r="L103" s="114"/>
      <c r="M103" s="114"/>
      <c r="N103" s="114"/>
      <c r="O103" s="114"/>
      <c r="P103" s="114"/>
      <c r="Q103" s="114"/>
      <c r="R103" s="114"/>
      <c r="S103" s="114"/>
      <c r="T103" s="114"/>
      <c r="U103" s="114"/>
      <c r="V103" s="114"/>
      <c r="W103" s="114"/>
      <c r="X103" s="114"/>
      <c r="Y103" s="114"/>
      <c r="Z103" s="114"/>
      <c r="AA103" s="114"/>
      <c r="AB103" s="114"/>
    </row>
    <row r="104" ht="15.75" customHeight="1">
      <c r="A104" s="117"/>
      <c r="B104" s="116"/>
      <c r="C104" s="116"/>
      <c r="D104" s="117"/>
      <c r="E104" s="120"/>
      <c r="F104" s="119"/>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row>
    <row r="105" ht="15.75" customHeight="1">
      <c r="A105" s="117"/>
      <c r="B105" s="116"/>
      <c r="C105" s="116"/>
      <c r="D105" s="117"/>
      <c r="E105" s="120"/>
      <c r="F105" s="119"/>
      <c r="G105" s="114"/>
      <c r="H105" s="114"/>
      <c r="I105" s="114"/>
      <c r="J105" s="114"/>
      <c r="K105" s="114"/>
      <c r="L105" s="114"/>
      <c r="M105" s="114"/>
      <c r="N105" s="114"/>
      <c r="O105" s="114"/>
      <c r="P105" s="114"/>
      <c r="Q105" s="114"/>
      <c r="R105" s="114"/>
      <c r="S105" s="114"/>
      <c r="T105" s="114"/>
      <c r="U105" s="114"/>
      <c r="V105" s="114"/>
      <c r="W105" s="114"/>
      <c r="X105" s="114"/>
      <c r="Y105" s="114"/>
      <c r="Z105" s="114"/>
      <c r="AA105" s="114"/>
      <c r="AB105" s="114"/>
    </row>
    <row r="106" ht="15.75" customHeight="1">
      <c r="A106" s="117"/>
      <c r="B106" s="116"/>
      <c r="C106" s="116"/>
      <c r="D106" s="117"/>
      <c r="E106" s="120"/>
      <c r="F106" s="119"/>
      <c r="G106" s="114"/>
      <c r="H106" s="114"/>
      <c r="I106" s="114"/>
      <c r="J106" s="114"/>
      <c r="K106" s="114"/>
      <c r="L106" s="114"/>
      <c r="M106" s="114"/>
      <c r="N106" s="114"/>
      <c r="O106" s="114"/>
      <c r="P106" s="114"/>
      <c r="Q106" s="114"/>
      <c r="R106" s="114"/>
      <c r="S106" s="114"/>
      <c r="T106" s="114"/>
      <c r="U106" s="114"/>
      <c r="V106" s="114"/>
      <c r="W106" s="114"/>
      <c r="X106" s="114"/>
      <c r="Y106" s="114"/>
      <c r="Z106" s="114"/>
      <c r="AA106" s="114"/>
      <c r="AB106" s="114"/>
    </row>
    <row r="107" ht="15.75" customHeight="1">
      <c r="A107" s="117"/>
      <c r="B107" s="116"/>
      <c r="C107" s="116"/>
      <c r="D107" s="117"/>
      <c r="E107" s="120"/>
      <c r="F107" s="119"/>
      <c r="G107" s="114"/>
      <c r="H107" s="114"/>
      <c r="I107" s="114"/>
      <c r="J107" s="114"/>
      <c r="K107" s="114"/>
      <c r="L107" s="114"/>
      <c r="M107" s="114"/>
      <c r="N107" s="114"/>
      <c r="O107" s="114"/>
      <c r="P107" s="114"/>
      <c r="Q107" s="114"/>
      <c r="R107" s="114"/>
      <c r="S107" s="114"/>
      <c r="T107" s="114"/>
      <c r="U107" s="114"/>
      <c r="V107" s="114"/>
      <c r="W107" s="114"/>
      <c r="X107" s="114"/>
      <c r="Y107" s="114"/>
      <c r="Z107" s="114"/>
      <c r="AA107" s="114"/>
      <c r="AB107" s="114"/>
    </row>
    <row r="108" ht="15.75" customHeight="1">
      <c r="A108" s="117"/>
      <c r="B108" s="116"/>
      <c r="C108" s="116"/>
      <c r="D108" s="117"/>
      <c r="E108" s="120"/>
      <c r="F108" s="119"/>
      <c r="G108" s="114"/>
      <c r="H108" s="114"/>
      <c r="I108" s="114"/>
      <c r="J108" s="114"/>
      <c r="K108" s="114"/>
      <c r="L108" s="114"/>
      <c r="M108" s="114"/>
      <c r="N108" s="114"/>
      <c r="O108" s="114"/>
      <c r="P108" s="114"/>
      <c r="Q108" s="114"/>
      <c r="R108" s="114"/>
      <c r="S108" s="114"/>
      <c r="T108" s="114"/>
      <c r="U108" s="114"/>
      <c r="V108" s="114"/>
      <c r="W108" s="114"/>
      <c r="X108" s="114"/>
      <c r="Y108" s="114"/>
      <c r="Z108" s="114"/>
      <c r="AA108" s="114"/>
      <c r="AB108" s="114"/>
    </row>
    <row r="109" ht="15.75" customHeight="1">
      <c r="A109" s="117"/>
      <c r="B109" s="116"/>
      <c r="C109" s="116"/>
      <c r="D109" s="117"/>
      <c r="E109" s="120"/>
      <c r="F109" s="119"/>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row>
    <row r="110" ht="15.75" customHeight="1">
      <c r="A110" s="117"/>
      <c r="B110" s="116"/>
      <c r="C110" s="116"/>
      <c r="D110" s="117"/>
      <c r="E110" s="120"/>
      <c r="F110" s="119"/>
      <c r="G110" s="114"/>
      <c r="H110" s="114"/>
      <c r="I110" s="114"/>
      <c r="J110" s="114"/>
      <c r="K110" s="114"/>
      <c r="L110" s="114"/>
      <c r="M110" s="114"/>
      <c r="N110" s="114"/>
      <c r="O110" s="114"/>
      <c r="P110" s="114"/>
      <c r="Q110" s="114"/>
      <c r="R110" s="114"/>
      <c r="S110" s="114"/>
      <c r="T110" s="114"/>
      <c r="U110" s="114"/>
      <c r="V110" s="114"/>
      <c r="W110" s="114"/>
      <c r="X110" s="114"/>
      <c r="Y110" s="114"/>
      <c r="Z110" s="114"/>
      <c r="AA110" s="114"/>
      <c r="AB110" s="114"/>
    </row>
    <row r="111" ht="15.75" customHeight="1">
      <c r="A111" s="117"/>
      <c r="B111" s="116"/>
      <c r="C111" s="116"/>
      <c r="D111" s="117"/>
      <c r="E111" s="120"/>
      <c r="F111" s="119"/>
      <c r="G111" s="114"/>
      <c r="H111" s="114"/>
      <c r="I111" s="114"/>
      <c r="J111" s="114"/>
      <c r="K111" s="114"/>
      <c r="L111" s="114"/>
      <c r="M111" s="114"/>
      <c r="N111" s="114"/>
      <c r="O111" s="114"/>
      <c r="P111" s="114"/>
      <c r="Q111" s="114"/>
      <c r="R111" s="114"/>
      <c r="S111" s="114"/>
      <c r="T111" s="114"/>
      <c r="U111" s="114"/>
      <c r="V111" s="114"/>
      <c r="W111" s="114"/>
      <c r="X111" s="114"/>
      <c r="Y111" s="114"/>
      <c r="Z111" s="114"/>
      <c r="AA111" s="114"/>
      <c r="AB111" s="114"/>
    </row>
    <row r="112" ht="15.75" customHeight="1">
      <c r="A112" s="117"/>
      <c r="B112" s="116"/>
      <c r="C112" s="116"/>
      <c r="D112" s="117"/>
      <c r="E112" s="120"/>
      <c r="F112" s="119"/>
      <c r="G112" s="114"/>
      <c r="H112" s="114"/>
      <c r="I112" s="114"/>
      <c r="J112" s="114"/>
      <c r="K112" s="114"/>
      <c r="L112" s="114"/>
      <c r="M112" s="114"/>
      <c r="N112" s="114"/>
      <c r="O112" s="114"/>
      <c r="P112" s="114"/>
      <c r="Q112" s="114"/>
      <c r="R112" s="114"/>
      <c r="S112" s="114"/>
      <c r="T112" s="114"/>
      <c r="U112" s="114"/>
      <c r="V112" s="114"/>
      <c r="W112" s="114"/>
      <c r="X112" s="114"/>
      <c r="Y112" s="114"/>
      <c r="Z112" s="114"/>
      <c r="AA112" s="114"/>
      <c r="AB112" s="114"/>
    </row>
    <row r="113" ht="15.75" customHeight="1">
      <c r="A113" s="117"/>
      <c r="B113" s="116"/>
      <c r="C113" s="116"/>
      <c r="D113" s="117"/>
      <c r="E113" s="120"/>
      <c r="F113" s="119"/>
      <c r="G113" s="114"/>
      <c r="H113" s="114"/>
      <c r="I113" s="114"/>
      <c r="J113" s="114"/>
      <c r="K113" s="114"/>
      <c r="L113" s="114"/>
      <c r="M113" s="114"/>
      <c r="N113" s="114"/>
      <c r="O113" s="114"/>
      <c r="P113" s="114"/>
      <c r="Q113" s="114"/>
      <c r="R113" s="114"/>
      <c r="S113" s="114"/>
      <c r="T113" s="114"/>
      <c r="U113" s="114"/>
      <c r="V113" s="114"/>
      <c r="W113" s="114"/>
      <c r="X113" s="114"/>
      <c r="Y113" s="114"/>
      <c r="Z113" s="114"/>
      <c r="AA113" s="114"/>
      <c r="AB113" s="114"/>
    </row>
    <row r="114" ht="15.75" customHeight="1">
      <c r="A114" s="117"/>
      <c r="B114" s="116"/>
      <c r="C114" s="116"/>
      <c r="D114" s="117"/>
      <c r="E114" s="120"/>
      <c r="F114" s="119"/>
      <c r="G114" s="114"/>
      <c r="H114" s="114"/>
      <c r="I114" s="114"/>
      <c r="J114" s="114"/>
      <c r="K114" s="114"/>
      <c r="L114" s="114"/>
      <c r="M114" s="114"/>
      <c r="N114" s="114"/>
      <c r="O114" s="114"/>
      <c r="P114" s="114"/>
      <c r="Q114" s="114"/>
      <c r="R114" s="114"/>
      <c r="S114" s="114"/>
      <c r="T114" s="114"/>
      <c r="U114" s="114"/>
      <c r="V114" s="114"/>
      <c r="W114" s="114"/>
      <c r="X114" s="114"/>
      <c r="Y114" s="114"/>
      <c r="Z114" s="114"/>
      <c r="AA114" s="114"/>
      <c r="AB114" s="114"/>
    </row>
    <row r="115" ht="15.75" customHeight="1">
      <c r="A115" s="117"/>
      <c r="B115" s="116"/>
      <c r="C115" s="116"/>
      <c r="D115" s="117"/>
      <c r="E115" s="120"/>
      <c r="F115" s="119"/>
      <c r="G115" s="114"/>
      <c r="H115" s="114"/>
      <c r="I115" s="114"/>
      <c r="J115" s="114"/>
      <c r="K115" s="114"/>
      <c r="L115" s="114"/>
      <c r="M115" s="114"/>
      <c r="N115" s="114"/>
      <c r="O115" s="114"/>
      <c r="P115" s="114"/>
      <c r="Q115" s="114"/>
      <c r="R115" s="114"/>
      <c r="S115" s="114"/>
      <c r="T115" s="114"/>
      <c r="U115" s="114"/>
      <c r="V115" s="114"/>
      <c r="W115" s="114"/>
      <c r="X115" s="114"/>
      <c r="Y115" s="114"/>
      <c r="Z115" s="114"/>
      <c r="AA115" s="114"/>
      <c r="AB115" s="114"/>
    </row>
    <row r="116" ht="15.75" customHeight="1">
      <c r="A116" s="117"/>
      <c r="B116" s="116"/>
      <c r="C116" s="116"/>
      <c r="D116" s="117"/>
      <c r="E116" s="120"/>
      <c r="F116" s="119"/>
      <c r="G116" s="114"/>
      <c r="H116" s="114"/>
      <c r="I116" s="114"/>
      <c r="J116" s="114"/>
      <c r="K116" s="114"/>
      <c r="L116" s="114"/>
      <c r="M116" s="114"/>
      <c r="N116" s="114"/>
      <c r="O116" s="114"/>
      <c r="P116" s="114"/>
      <c r="Q116" s="114"/>
      <c r="R116" s="114"/>
      <c r="S116" s="114"/>
      <c r="T116" s="114"/>
      <c r="U116" s="114"/>
      <c r="V116" s="114"/>
      <c r="W116" s="114"/>
      <c r="X116" s="114"/>
      <c r="Y116" s="114"/>
      <c r="Z116" s="114"/>
      <c r="AA116" s="114"/>
      <c r="AB116" s="114"/>
    </row>
    <row r="117" ht="15.75" customHeight="1">
      <c r="A117" s="117"/>
      <c r="B117" s="116"/>
      <c r="C117" s="116"/>
      <c r="D117" s="117"/>
      <c r="E117" s="120"/>
      <c r="F117" s="119"/>
      <c r="G117" s="114"/>
      <c r="H117" s="114"/>
      <c r="I117" s="114"/>
      <c r="J117" s="114"/>
      <c r="K117" s="114"/>
      <c r="L117" s="114"/>
      <c r="M117" s="114"/>
      <c r="N117" s="114"/>
      <c r="O117" s="114"/>
      <c r="P117" s="114"/>
      <c r="Q117" s="114"/>
      <c r="R117" s="114"/>
      <c r="S117" s="114"/>
      <c r="T117" s="114"/>
      <c r="U117" s="114"/>
      <c r="V117" s="114"/>
      <c r="W117" s="114"/>
      <c r="X117" s="114"/>
      <c r="Y117" s="114"/>
      <c r="Z117" s="114"/>
      <c r="AA117" s="114"/>
      <c r="AB117" s="114"/>
    </row>
    <row r="118" ht="15.75" customHeight="1">
      <c r="A118" s="117"/>
      <c r="B118" s="116"/>
      <c r="C118" s="116"/>
      <c r="D118" s="117"/>
      <c r="E118" s="120"/>
      <c r="F118" s="119"/>
      <c r="G118" s="114"/>
      <c r="H118" s="114"/>
      <c r="I118" s="114"/>
      <c r="J118" s="114"/>
      <c r="K118" s="114"/>
      <c r="L118" s="114"/>
      <c r="M118" s="114"/>
      <c r="N118" s="114"/>
      <c r="O118" s="114"/>
      <c r="P118" s="114"/>
      <c r="Q118" s="114"/>
      <c r="R118" s="114"/>
      <c r="S118" s="114"/>
      <c r="T118" s="114"/>
      <c r="U118" s="114"/>
      <c r="V118" s="114"/>
      <c r="W118" s="114"/>
      <c r="X118" s="114"/>
      <c r="Y118" s="114"/>
      <c r="Z118" s="114"/>
      <c r="AA118" s="114"/>
      <c r="AB118" s="114"/>
    </row>
    <row r="119" ht="15.75" customHeight="1">
      <c r="A119" s="117"/>
      <c r="B119" s="116"/>
      <c r="C119" s="116"/>
      <c r="D119" s="117"/>
      <c r="E119" s="120"/>
      <c r="F119" s="119"/>
      <c r="G119" s="114"/>
      <c r="H119" s="114"/>
      <c r="I119" s="114"/>
      <c r="J119" s="114"/>
      <c r="K119" s="114"/>
      <c r="L119" s="114"/>
      <c r="M119" s="114"/>
      <c r="N119" s="114"/>
      <c r="O119" s="114"/>
      <c r="P119" s="114"/>
      <c r="Q119" s="114"/>
      <c r="R119" s="114"/>
      <c r="S119" s="114"/>
      <c r="T119" s="114"/>
      <c r="U119" s="114"/>
      <c r="V119" s="114"/>
      <c r="W119" s="114"/>
      <c r="X119" s="114"/>
      <c r="Y119" s="114"/>
      <c r="Z119" s="114"/>
      <c r="AA119" s="114"/>
      <c r="AB119" s="114"/>
    </row>
    <row r="120" ht="15.75" customHeight="1">
      <c r="A120" s="117"/>
      <c r="B120" s="116"/>
      <c r="C120" s="116"/>
      <c r="D120" s="117"/>
      <c r="E120" s="120"/>
      <c r="F120" s="119"/>
      <c r="G120" s="114"/>
      <c r="H120" s="114"/>
      <c r="I120" s="114"/>
      <c r="J120" s="114"/>
      <c r="K120" s="114"/>
      <c r="L120" s="114"/>
      <c r="M120" s="114"/>
      <c r="N120" s="114"/>
      <c r="O120" s="114"/>
      <c r="P120" s="114"/>
      <c r="Q120" s="114"/>
      <c r="R120" s="114"/>
      <c r="S120" s="114"/>
      <c r="T120" s="114"/>
      <c r="U120" s="114"/>
      <c r="V120" s="114"/>
      <c r="W120" s="114"/>
      <c r="X120" s="114"/>
      <c r="Y120" s="114"/>
      <c r="Z120" s="114"/>
      <c r="AA120" s="114"/>
      <c r="AB120" s="114"/>
    </row>
    <row r="121" ht="15.75" customHeight="1">
      <c r="A121" s="117"/>
      <c r="B121" s="116"/>
      <c r="C121" s="116"/>
      <c r="D121" s="117"/>
      <c r="E121" s="120"/>
      <c r="F121" s="119"/>
      <c r="G121" s="114"/>
      <c r="H121" s="114"/>
      <c r="I121" s="114"/>
      <c r="J121" s="114"/>
      <c r="K121" s="114"/>
      <c r="L121" s="114"/>
      <c r="M121" s="114"/>
      <c r="N121" s="114"/>
      <c r="O121" s="114"/>
      <c r="P121" s="114"/>
      <c r="Q121" s="114"/>
      <c r="R121" s="114"/>
      <c r="S121" s="114"/>
      <c r="T121" s="114"/>
      <c r="U121" s="114"/>
      <c r="V121" s="114"/>
      <c r="W121" s="114"/>
      <c r="X121" s="114"/>
      <c r="Y121" s="114"/>
      <c r="Z121" s="114"/>
      <c r="AA121" s="114"/>
      <c r="AB121" s="114"/>
    </row>
    <row r="122" ht="15.75" customHeight="1">
      <c r="A122" s="117"/>
      <c r="B122" s="116"/>
      <c r="C122" s="116"/>
      <c r="D122" s="117"/>
      <c r="E122" s="120"/>
      <c r="F122" s="119"/>
      <c r="G122" s="114"/>
      <c r="H122" s="114"/>
      <c r="I122" s="114"/>
      <c r="J122" s="114"/>
      <c r="K122" s="114"/>
      <c r="L122" s="114"/>
      <c r="M122" s="114"/>
      <c r="N122" s="114"/>
      <c r="O122" s="114"/>
      <c r="P122" s="114"/>
      <c r="Q122" s="114"/>
      <c r="R122" s="114"/>
      <c r="S122" s="114"/>
      <c r="T122" s="114"/>
      <c r="U122" s="114"/>
      <c r="V122" s="114"/>
      <c r="W122" s="114"/>
      <c r="X122" s="114"/>
      <c r="Y122" s="114"/>
      <c r="Z122" s="114"/>
      <c r="AA122" s="114"/>
      <c r="AB122" s="114"/>
    </row>
    <row r="123" ht="15.75" customHeight="1">
      <c r="A123" s="117"/>
      <c r="B123" s="116"/>
      <c r="C123" s="116"/>
      <c r="D123" s="117"/>
      <c r="E123" s="120"/>
      <c r="F123" s="119"/>
      <c r="G123" s="114"/>
      <c r="H123" s="114"/>
      <c r="I123" s="114"/>
      <c r="J123" s="114"/>
      <c r="K123" s="114"/>
      <c r="L123" s="114"/>
      <c r="M123" s="114"/>
      <c r="N123" s="114"/>
      <c r="O123" s="114"/>
      <c r="P123" s="114"/>
      <c r="Q123" s="114"/>
      <c r="R123" s="114"/>
      <c r="S123" s="114"/>
      <c r="T123" s="114"/>
      <c r="U123" s="114"/>
      <c r="V123" s="114"/>
      <c r="W123" s="114"/>
      <c r="X123" s="114"/>
      <c r="Y123" s="114"/>
      <c r="Z123" s="114"/>
      <c r="AA123" s="114"/>
      <c r="AB123" s="114"/>
    </row>
    <row r="124" ht="15.75" customHeight="1">
      <c r="A124" s="117"/>
      <c r="B124" s="116"/>
      <c r="C124" s="116"/>
      <c r="D124" s="117"/>
      <c r="E124" s="120"/>
      <c r="F124" s="119"/>
      <c r="G124" s="114"/>
      <c r="H124" s="114"/>
      <c r="I124" s="114"/>
      <c r="J124" s="114"/>
      <c r="K124" s="114"/>
      <c r="L124" s="114"/>
      <c r="M124" s="114"/>
      <c r="N124" s="114"/>
      <c r="O124" s="114"/>
      <c r="P124" s="114"/>
      <c r="Q124" s="114"/>
      <c r="R124" s="114"/>
      <c r="S124" s="114"/>
      <c r="T124" s="114"/>
      <c r="U124" s="114"/>
      <c r="V124" s="114"/>
      <c r="W124" s="114"/>
      <c r="X124" s="114"/>
      <c r="Y124" s="114"/>
      <c r="Z124" s="114"/>
      <c r="AA124" s="114"/>
      <c r="AB124" s="114"/>
    </row>
    <row r="125" ht="15.75" customHeight="1">
      <c r="A125" s="117"/>
      <c r="B125" s="116"/>
      <c r="C125" s="116"/>
      <c r="D125" s="117"/>
      <c r="E125" s="120"/>
      <c r="F125" s="119"/>
      <c r="G125" s="114"/>
      <c r="H125" s="114"/>
      <c r="I125" s="114"/>
      <c r="J125" s="114"/>
      <c r="K125" s="114"/>
      <c r="L125" s="114"/>
      <c r="M125" s="114"/>
      <c r="N125" s="114"/>
      <c r="O125" s="114"/>
      <c r="P125" s="114"/>
      <c r="Q125" s="114"/>
      <c r="R125" s="114"/>
      <c r="S125" s="114"/>
      <c r="T125" s="114"/>
      <c r="U125" s="114"/>
      <c r="V125" s="114"/>
      <c r="W125" s="114"/>
      <c r="X125" s="114"/>
      <c r="Y125" s="114"/>
      <c r="Z125" s="114"/>
      <c r="AA125" s="114"/>
      <c r="AB125" s="114"/>
    </row>
    <row r="126" ht="15.75" customHeight="1">
      <c r="A126" s="117"/>
      <c r="B126" s="116"/>
      <c r="C126" s="116"/>
      <c r="D126" s="117"/>
      <c r="E126" s="120"/>
      <c r="F126" s="119"/>
      <c r="G126" s="114"/>
      <c r="H126" s="114"/>
      <c r="I126" s="114"/>
      <c r="J126" s="114"/>
      <c r="K126" s="114"/>
      <c r="L126" s="114"/>
      <c r="M126" s="114"/>
      <c r="N126" s="114"/>
      <c r="O126" s="114"/>
      <c r="P126" s="114"/>
      <c r="Q126" s="114"/>
      <c r="R126" s="114"/>
      <c r="S126" s="114"/>
      <c r="T126" s="114"/>
      <c r="U126" s="114"/>
      <c r="V126" s="114"/>
      <c r="W126" s="114"/>
      <c r="X126" s="114"/>
      <c r="Y126" s="114"/>
      <c r="Z126" s="114"/>
      <c r="AA126" s="114"/>
      <c r="AB126" s="114"/>
    </row>
    <row r="127" ht="15.75" customHeight="1">
      <c r="A127" s="117"/>
      <c r="B127" s="116"/>
      <c r="C127" s="116"/>
      <c r="D127" s="117"/>
      <c r="E127" s="120"/>
      <c r="F127" s="119"/>
      <c r="G127" s="114"/>
      <c r="H127" s="114"/>
      <c r="I127" s="114"/>
      <c r="J127" s="114"/>
      <c r="K127" s="114"/>
      <c r="L127" s="114"/>
      <c r="M127" s="114"/>
      <c r="N127" s="114"/>
      <c r="O127" s="114"/>
      <c r="P127" s="114"/>
      <c r="Q127" s="114"/>
      <c r="R127" s="114"/>
      <c r="S127" s="114"/>
      <c r="T127" s="114"/>
      <c r="U127" s="114"/>
      <c r="V127" s="114"/>
      <c r="W127" s="114"/>
      <c r="X127" s="114"/>
      <c r="Y127" s="114"/>
      <c r="Z127" s="114"/>
      <c r="AA127" s="114"/>
      <c r="AB127" s="114"/>
    </row>
    <row r="128" ht="15.75" customHeight="1">
      <c r="A128" s="117"/>
      <c r="B128" s="116"/>
      <c r="C128" s="116"/>
      <c r="D128" s="117"/>
      <c r="E128" s="120"/>
      <c r="F128" s="119"/>
      <c r="G128" s="114"/>
      <c r="H128" s="114"/>
      <c r="I128" s="114"/>
      <c r="J128" s="114"/>
      <c r="K128" s="114"/>
      <c r="L128" s="114"/>
      <c r="M128" s="114"/>
      <c r="N128" s="114"/>
      <c r="O128" s="114"/>
      <c r="P128" s="114"/>
      <c r="Q128" s="114"/>
      <c r="R128" s="114"/>
      <c r="S128" s="114"/>
      <c r="T128" s="114"/>
      <c r="U128" s="114"/>
      <c r="V128" s="114"/>
      <c r="W128" s="114"/>
      <c r="X128" s="114"/>
      <c r="Y128" s="114"/>
      <c r="Z128" s="114"/>
      <c r="AA128" s="114"/>
      <c r="AB128" s="114"/>
    </row>
    <row r="129" ht="15.75" customHeight="1">
      <c r="A129" s="117"/>
      <c r="B129" s="116"/>
      <c r="C129" s="116"/>
      <c r="D129" s="117"/>
      <c r="E129" s="120"/>
      <c r="F129" s="119"/>
      <c r="G129" s="114"/>
      <c r="H129" s="114"/>
      <c r="I129" s="114"/>
      <c r="J129" s="114"/>
      <c r="K129" s="114"/>
      <c r="L129" s="114"/>
      <c r="M129" s="114"/>
      <c r="N129" s="114"/>
      <c r="O129" s="114"/>
      <c r="P129" s="114"/>
      <c r="Q129" s="114"/>
      <c r="R129" s="114"/>
      <c r="S129" s="114"/>
      <c r="T129" s="114"/>
      <c r="U129" s="114"/>
      <c r="V129" s="114"/>
      <c r="W129" s="114"/>
      <c r="X129" s="114"/>
      <c r="Y129" s="114"/>
      <c r="Z129" s="114"/>
      <c r="AA129" s="114"/>
      <c r="AB129" s="114"/>
    </row>
    <row r="130" ht="15.75" customHeight="1">
      <c r="A130" s="117"/>
      <c r="B130" s="116"/>
      <c r="C130" s="116"/>
      <c r="D130" s="117"/>
      <c r="E130" s="120"/>
      <c r="F130" s="119"/>
      <c r="G130" s="114"/>
      <c r="H130" s="114"/>
      <c r="I130" s="114"/>
      <c r="J130" s="114"/>
      <c r="K130" s="114"/>
      <c r="L130" s="114"/>
      <c r="M130" s="114"/>
      <c r="N130" s="114"/>
      <c r="O130" s="114"/>
      <c r="P130" s="114"/>
      <c r="Q130" s="114"/>
      <c r="R130" s="114"/>
      <c r="S130" s="114"/>
      <c r="T130" s="114"/>
      <c r="U130" s="114"/>
      <c r="V130" s="114"/>
      <c r="W130" s="114"/>
      <c r="X130" s="114"/>
      <c r="Y130" s="114"/>
      <c r="Z130" s="114"/>
      <c r="AA130" s="114"/>
      <c r="AB130" s="114"/>
    </row>
    <row r="131" ht="15.75" customHeight="1">
      <c r="A131" s="117"/>
      <c r="B131" s="116"/>
      <c r="C131" s="116"/>
      <c r="D131" s="117"/>
      <c r="E131" s="120"/>
      <c r="F131" s="119"/>
      <c r="G131" s="114"/>
      <c r="H131" s="114"/>
      <c r="I131" s="114"/>
      <c r="J131" s="114"/>
      <c r="K131" s="114"/>
      <c r="L131" s="114"/>
      <c r="M131" s="114"/>
      <c r="N131" s="114"/>
      <c r="O131" s="114"/>
      <c r="P131" s="114"/>
      <c r="Q131" s="114"/>
      <c r="R131" s="114"/>
      <c r="S131" s="114"/>
      <c r="T131" s="114"/>
      <c r="U131" s="114"/>
      <c r="V131" s="114"/>
      <c r="W131" s="114"/>
      <c r="X131" s="114"/>
      <c r="Y131" s="114"/>
      <c r="Z131" s="114"/>
      <c r="AA131" s="114"/>
      <c r="AB131" s="114"/>
    </row>
    <row r="132" ht="15.75" customHeight="1">
      <c r="A132" s="117"/>
      <c r="B132" s="116"/>
      <c r="C132" s="116"/>
      <c r="D132" s="117"/>
      <c r="E132" s="120"/>
      <c r="F132" s="119"/>
      <c r="G132" s="114"/>
      <c r="H132" s="114"/>
      <c r="I132" s="114"/>
      <c r="J132" s="114"/>
      <c r="K132" s="114"/>
      <c r="L132" s="114"/>
      <c r="M132" s="114"/>
      <c r="N132" s="114"/>
      <c r="O132" s="114"/>
      <c r="P132" s="114"/>
      <c r="Q132" s="114"/>
      <c r="R132" s="114"/>
      <c r="S132" s="114"/>
      <c r="T132" s="114"/>
      <c r="U132" s="114"/>
      <c r="V132" s="114"/>
      <c r="W132" s="114"/>
      <c r="X132" s="114"/>
      <c r="Y132" s="114"/>
      <c r="Z132" s="114"/>
      <c r="AA132" s="114"/>
      <c r="AB132" s="114"/>
    </row>
    <row r="133" ht="15.75" customHeight="1">
      <c r="A133" s="117"/>
      <c r="B133" s="116"/>
      <c r="C133" s="116"/>
      <c r="D133" s="117"/>
      <c r="E133" s="120"/>
      <c r="F133" s="119"/>
      <c r="G133" s="114"/>
      <c r="H133" s="114"/>
      <c r="I133" s="114"/>
      <c r="J133" s="114"/>
      <c r="K133" s="114"/>
      <c r="L133" s="114"/>
      <c r="M133" s="114"/>
      <c r="N133" s="114"/>
      <c r="O133" s="114"/>
      <c r="P133" s="114"/>
      <c r="Q133" s="114"/>
      <c r="R133" s="114"/>
      <c r="S133" s="114"/>
      <c r="T133" s="114"/>
      <c r="U133" s="114"/>
      <c r="V133" s="114"/>
      <c r="W133" s="114"/>
      <c r="X133" s="114"/>
      <c r="Y133" s="114"/>
      <c r="Z133" s="114"/>
      <c r="AA133" s="114"/>
      <c r="AB133" s="114"/>
    </row>
    <row r="134" ht="15.75" customHeight="1">
      <c r="A134" s="117"/>
      <c r="B134" s="116"/>
      <c r="C134" s="116"/>
      <c r="D134" s="117"/>
      <c r="E134" s="120"/>
      <c r="F134" s="119"/>
      <c r="G134" s="114"/>
      <c r="H134" s="114"/>
      <c r="I134" s="114"/>
      <c r="J134" s="114"/>
      <c r="K134" s="114"/>
      <c r="L134" s="114"/>
      <c r="M134" s="114"/>
      <c r="N134" s="114"/>
      <c r="O134" s="114"/>
      <c r="P134" s="114"/>
      <c r="Q134" s="114"/>
      <c r="R134" s="114"/>
      <c r="S134" s="114"/>
      <c r="T134" s="114"/>
      <c r="U134" s="114"/>
      <c r="V134" s="114"/>
      <c r="W134" s="114"/>
      <c r="X134" s="114"/>
      <c r="Y134" s="114"/>
      <c r="Z134" s="114"/>
      <c r="AA134" s="114"/>
      <c r="AB134" s="114"/>
    </row>
    <row r="135" ht="15.75" customHeight="1">
      <c r="A135" s="117"/>
      <c r="B135" s="116"/>
      <c r="C135" s="116"/>
      <c r="D135" s="117"/>
      <c r="E135" s="120"/>
      <c r="F135" s="119"/>
      <c r="G135" s="114"/>
      <c r="H135" s="114"/>
      <c r="I135" s="114"/>
      <c r="J135" s="114"/>
      <c r="K135" s="114"/>
      <c r="L135" s="114"/>
      <c r="M135" s="114"/>
      <c r="N135" s="114"/>
      <c r="O135" s="114"/>
      <c r="P135" s="114"/>
      <c r="Q135" s="114"/>
      <c r="R135" s="114"/>
      <c r="S135" s="114"/>
      <c r="T135" s="114"/>
      <c r="U135" s="114"/>
      <c r="V135" s="114"/>
      <c r="W135" s="114"/>
      <c r="X135" s="114"/>
      <c r="Y135" s="114"/>
      <c r="Z135" s="114"/>
      <c r="AA135" s="114"/>
      <c r="AB135" s="114"/>
    </row>
    <row r="136" ht="15.75" customHeight="1">
      <c r="A136" s="117"/>
      <c r="B136" s="116"/>
      <c r="C136" s="116"/>
      <c r="D136" s="117"/>
      <c r="E136" s="120"/>
      <c r="F136" s="119"/>
      <c r="G136" s="114"/>
      <c r="H136" s="114"/>
      <c r="I136" s="114"/>
      <c r="J136" s="114"/>
      <c r="K136" s="114"/>
      <c r="L136" s="114"/>
      <c r="M136" s="114"/>
      <c r="N136" s="114"/>
      <c r="O136" s="114"/>
      <c r="P136" s="114"/>
      <c r="Q136" s="114"/>
      <c r="R136" s="114"/>
      <c r="S136" s="114"/>
      <c r="T136" s="114"/>
      <c r="U136" s="114"/>
      <c r="V136" s="114"/>
      <c r="W136" s="114"/>
      <c r="X136" s="114"/>
      <c r="Y136" s="114"/>
      <c r="Z136" s="114"/>
      <c r="AA136" s="114"/>
      <c r="AB136" s="114"/>
    </row>
    <row r="137" ht="15.75" customHeight="1">
      <c r="A137" s="117"/>
      <c r="B137" s="116"/>
      <c r="C137" s="116"/>
      <c r="D137" s="117"/>
      <c r="E137" s="120"/>
      <c r="F137" s="119"/>
      <c r="G137" s="114"/>
      <c r="H137" s="114"/>
      <c r="I137" s="114"/>
      <c r="J137" s="114"/>
      <c r="K137" s="114"/>
      <c r="L137" s="114"/>
      <c r="M137" s="114"/>
      <c r="N137" s="114"/>
      <c r="O137" s="114"/>
      <c r="P137" s="114"/>
      <c r="Q137" s="114"/>
      <c r="R137" s="114"/>
      <c r="S137" s="114"/>
      <c r="T137" s="114"/>
      <c r="U137" s="114"/>
      <c r="V137" s="114"/>
      <c r="W137" s="114"/>
      <c r="X137" s="114"/>
      <c r="Y137" s="114"/>
      <c r="Z137" s="114"/>
      <c r="AA137" s="114"/>
      <c r="AB137" s="114"/>
    </row>
    <row r="138" ht="15.75" customHeight="1">
      <c r="A138" s="117"/>
      <c r="B138" s="116"/>
      <c r="C138" s="116"/>
      <c r="D138" s="117"/>
      <c r="E138" s="120"/>
      <c r="F138" s="119"/>
      <c r="G138" s="114"/>
      <c r="H138" s="114"/>
      <c r="I138" s="114"/>
      <c r="J138" s="114"/>
      <c r="K138" s="114"/>
      <c r="L138" s="114"/>
      <c r="M138" s="114"/>
      <c r="N138" s="114"/>
      <c r="O138" s="114"/>
      <c r="P138" s="114"/>
      <c r="Q138" s="114"/>
      <c r="R138" s="114"/>
      <c r="S138" s="114"/>
      <c r="T138" s="114"/>
      <c r="U138" s="114"/>
      <c r="V138" s="114"/>
      <c r="W138" s="114"/>
      <c r="X138" s="114"/>
      <c r="Y138" s="114"/>
      <c r="Z138" s="114"/>
      <c r="AA138" s="114"/>
      <c r="AB138" s="114"/>
    </row>
    <row r="139" ht="15.75" customHeight="1">
      <c r="A139" s="117"/>
      <c r="B139" s="116"/>
      <c r="C139" s="116"/>
      <c r="D139" s="117"/>
      <c r="E139" s="120"/>
      <c r="F139" s="119"/>
      <c r="G139" s="114"/>
      <c r="H139" s="114"/>
      <c r="I139" s="114"/>
      <c r="J139" s="114"/>
      <c r="K139" s="114"/>
      <c r="L139" s="114"/>
      <c r="M139" s="114"/>
      <c r="N139" s="114"/>
      <c r="O139" s="114"/>
      <c r="P139" s="114"/>
      <c r="Q139" s="114"/>
      <c r="R139" s="114"/>
      <c r="S139" s="114"/>
      <c r="T139" s="114"/>
      <c r="U139" s="114"/>
      <c r="V139" s="114"/>
      <c r="W139" s="114"/>
      <c r="X139" s="114"/>
      <c r="Y139" s="114"/>
      <c r="Z139" s="114"/>
      <c r="AA139" s="114"/>
      <c r="AB139" s="114"/>
    </row>
    <row r="140" ht="15.75" customHeight="1">
      <c r="A140" s="117"/>
      <c r="B140" s="116"/>
      <c r="C140" s="116"/>
      <c r="D140" s="117"/>
      <c r="E140" s="120"/>
      <c r="F140" s="119"/>
      <c r="G140" s="114"/>
      <c r="H140" s="114"/>
      <c r="I140" s="114"/>
      <c r="J140" s="114"/>
      <c r="K140" s="114"/>
      <c r="L140" s="114"/>
      <c r="M140" s="114"/>
      <c r="N140" s="114"/>
      <c r="O140" s="114"/>
      <c r="P140" s="114"/>
      <c r="Q140" s="114"/>
      <c r="R140" s="114"/>
      <c r="S140" s="114"/>
      <c r="T140" s="114"/>
      <c r="U140" s="114"/>
      <c r="V140" s="114"/>
      <c r="W140" s="114"/>
      <c r="X140" s="114"/>
      <c r="Y140" s="114"/>
      <c r="Z140" s="114"/>
      <c r="AA140" s="114"/>
      <c r="AB140" s="114"/>
    </row>
    <row r="141" ht="15.75" customHeight="1">
      <c r="A141" s="117"/>
      <c r="B141" s="116"/>
      <c r="C141" s="116"/>
      <c r="D141" s="117"/>
      <c r="E141" s="120"/>
      <c r="F141" s="119"/>
      <c r="G141" s="114"/>
      <c r="H141" s="114"/>
      <c r="I141" s="114"/>
      <c r="J141" s="114"/>
      <c r="K141" s="114"/>
      <c r="L141" s="114"/>
      <c r="M141" s="114"/>
      <c r="N141" s="114"/>
      <c r="O141" s="114"/>
      <c r="P141" s="114"/>
      <c r="Q141" s="114"/>
      <c r="R141" s="114"/>
      <c r="S141" s="114"/>
      <c r="T141" s="114"/>
      <c r="U141" s="114"/>
      <c r="V141" s="114"/>
      <c r="W141" s="114"/>
      <c r="X141" s="114"/>
      <c r="Y141" s="114"/>
      <c r="Z141" s="114"/>
      <c r="AA141" s="114"/>
      <c r="AB141" s="114"/>
    </row>
    <row r="142" ht="15.75" customHeight="1">
      <c r="A142" s="117"/>
      <c r="B142" s="116"/>
      <c r="C142" s="116"/>
      <c r="D142" s="117"/>
      <c r="E142" s="120"/>
      <c r="F142" s="119"/>
      <c r="G142" s="114"/>
      <c r="H142" s="114"/>
      <c r="I142" s="114"/>
      <c r="J142" s="114"/>
      <c r="K142" s="114"/>
      <c r="L142" s="114"/>
      <c r="M142" s="114"/>
      <c r="N142" s="114"/>
      <c r="O142" s="114"/>
      <c r="P142" s="114"/>
      <c r="Q142" s="114"/>
      <c r="R142" s="114"/>
      <c r="S142" s="114"/>
      <c r="T142" s="114"/>
      <c r="U142" s="114"/>
      <c r="V142" s="114"/>
      <c r="W142" s="114"/>
      <c r="X142" s="114"/>
      <c r="Y142" s="114"/>
      <c r="Z142" s="114"/>
      <c r="AA142" s="114"/>
      <c r="AB142" s="114"/>
    </row>
    <row r="143" ht="15.75" customHeight="1">
      <c r="A143" s="117"/>
      <c r="B143" s="116"/>
      <c r="C143" s="116"/>
      <c r="D143" s="117"/>
      <c r="E143" s="120"/>
      <c r="F143" s="119"/>
      <c r="G143" s="114"/>
      <c r="H143" s="114"/>
      <c r="I143" s="114"/>
      <c r="J143" s="114"/>
      <c r="K143" s="114"/>
      <c r="L143" s="114"/>
      <c r="M143" s="114"/>
      <c r="N143" s="114"/>
      <c r="O143" s="114"/>
      <c r="P143" s="114"/>
      <c r="Q143" s="114"/>
      <c r="R143" s="114"/>
      <c r="S143" s="114"/>
      <c r="T143" s="114"/>
      <c r="U143" s="114"/>
      <c r="V143" s="114"/>
      <c r="W143" s="114"/>
      <c r="X143" s="114"/>
      <c r="Y143" s="114"/>
      <c r="Z143" s="114"/>
      <c r="AA143" s="114"/>
      <c r="AB143" s="114"/>
    </row>
    <row r="144" ht="15.75" customHeight="1">
      <c r="A144" s="117"/>
      <c r="B144" s="116"/>
      <c r="C144" s="116"/>
      <c r="D144" s="117"/>
      <c r="E144" s="120"/>
      <c r="F144" s="119"/>
      <c r="G144" s="114"/>
      <c r="H144" s="114"/>
      <c r="I144" s="114"/>
      <c r="J144" s="114"/>
      <c r="K144" s="114"/>
      <c r="L144" s="114"/>
      <c r="M144" s="114"/>
      <c r="N144" s="114"/>
      <c r="O144" s="114"/>
      <c r="P144" s="114"/>
      <c r="Q144" s="114"/>
      <c r="R144" s="114"/>
      <c r="S144" s="114"/>
      <c r="T144" s="114"/>
      <c r="U144" s="114"/>
      <c r="V144" s="114"/>
      <c r="W144" s="114"/>
      <c r="X144" s="114"/>
      <c r="Y144" s="114"/>
      <c r="Z144" s="114"/>
      <c r="AA144" s="114"/>
      <c r="AB144" s="114"/>
    </row>
    <row r="145" ht="15.75" customHeight="1">
      <c r="A145" s="117"/>
      <c r="B145" s="116"/>
      <c r="C145" s="116"/>
      <c r="D145" s="117"/>
      <c r="E145" s="120"/>
      <c r="F145" s="119"/>
      <c r="G145" s="114"/>
      <c r="H145" s="114"/>
      <c r="I145" s="114"/>
      <c r="J145" s="114"/>
      <c r="K145" s="114"/>
      <c r="L145" s="114"/>
      <c r="M145" s="114"/>
      <c r="N145" s="114"/>
      <c r="O145" s="114"/>
      <c r="P145" s="114"/>
      <c r="Q145" s="114"/>
      <c r="R145" s="114"/>
      <c r="S145" s="114"/>
      <c r="T145" s="114"/>
      <c r="U145" s="114"/>
      <c r="V145" s="114"/>
      <c r="W145" s="114"/>
      <c r="X145" s="114"/>
      <c r="Y145" s="114"/>
      <c r="Z145" s="114"/>
      <c r="AA145" s="114"/>
      <c r="AB145" s="114"/>
    </row>
    <row r="146" ht="15.75" customHeight="1">
      <c r="A146" s="117"/>
      <c r="B146" s="116"/>
      <c r="C146" s="116"/>
      <c r="D146" s="117"/>
      <c r="E146" s="120"/>
      <c r="F146" s="119"/>
      <c r="G146" s="114"/>
      <c r="H146" s="114"/>
      <c r="I146" s="114"/>
      <c r="J146" s="114"/>
      <c r="K146" s="114"/>
      <c r="L146" s="114"/>
      <c r="M146" s="114"/>
      <c r="N146" s="114"/>
      <c r="O146" s="114"/>
      <c r="P146" s="114"/>
      <c r="Q146" s="114"/>
      <c r="R146" s="114"/>
      <c r="S146" s="114"/>
      <c r="T146" s="114"/>
      <c r="U146" s="114"/>
      <c r="V146" s="114"/>
      <c r="W146" s="114"/>
      <c r="X146" s="114"/>
      <c r="Y146" s="114"/>
      <c r="Z146" s="114"/>
      <c r="AA146" s="114"/>
      <c r="AB146" s="114"/>
    </row>
    <row r="147" ht="15.75" customHeight="1">
      <c r="A147" s="117"/>
      <c r="B147" s="116"/>
      <c r="C147" s="116"/>
      <c r="D147" s="117"/>
      <c r="E147" s="120"/>
      <c r="F147" s="119"/>
      <c r="G147" s="114"/>
      <c r="H147" s="114"/>
      <c r="I147" s="114"/>
      <c r="J147" s="114"/>
      <c r="K147" s="114"/>
      <c r="L147" s="114"/>
      <c r="M147" s="114"/>
      <c r="N147" s="114"/>
      <c r="O147" s="114"/>
      <c r="P147" s="114"/>
      <c r="Q147" s="114"/>
      <c r="R147" s="114"/>
      <c r="S147" s="114"/>
      <c r="T147" s="114"/>
      <c r="U147" s="114"/>
      <c r="V147" s="114"/>
      <c r="W147" s="114"/>
      <c r="X147" s="114"/>
      <c r="Y147" s="114"/>
      <c r="Z147" s="114"/>
      <c r="AA147" s="114"/>
      <c r="AB147" s="114"/>
    </row>
    <row r="148" ht="15.75" customHeight="1">
      <c r="A148" s="117"/>
      <c r="B148" s="116"/>
      <c r="C148" s="116"/>
      <c r="D148" s="117"/>
      <c r="E148" s="120"/>
      <c r="F148" s="119"/>
      <c r="G148" s="114"/>
      <c r="H148" s="114"/>
      <c r="I148" s="114"/>
      <c r="J148" s="114"/>
      <c r="K148" s="114"/>
      <c r="L148" s="114"/>
      <c r="M148" s="114"/>
      <c r="N148" s="114"/>
      <c r="O148" s="114"/>
      <c r="P148" s="114"/>
      <c r="Q148" s="114"/>
      <c r="R148" s="114"/>
      <c r="S148" s="114"/>
      <c r="T148" s="114"/>
      <c r="U148" s="114"/>
      <c r="V148" s="114"/>
      <c r="W148" s="114"/>
      <c r="X148" s="114"/>
      <c r="Y148" s="114"/>
      <c r="Z148" s="114"/>
      <c r="AA148" s="114"/>
      <c r="AB148" s="114"/>
    </row>
    <row r="149" ht="15.75" customHeight="1">
      <c r="A149" s="117"/>
      <c r="B149" s="116"/>
      <c r="C149" s="116"/>
      <c r="D149" s="117"/>
      <c r="E149" s="120"/>
      <c r="F149" s="119"/>
      <c r="G149" s="114"/>
      <c r="H149" s="114"/>
      <c r="I149" s="114"/>
      <c r="J149" s="114"/>
      <c r="K149" s="114"/>
      <c r="L149" s="114"/>
      <c r="M149" s="114"/>
      <c r="N149" s="114"/>
      <c r="O149" s="114"/>
      <c r="P149" s="114"/>
      <c r="Q149" s="114"/>
      <c r="R149" s="114"/>
      <c r="S149" s="114"/>
      <c r="T149" s="114"/>
      <c r="U149" s="114"/>
      <c r="V149" s="114"/>
      <c r="W149" s="114"/>
      <c r="X149" s="114"/>
      <c r="Y149" s="114"/>
      <c r="Z149" s="114"/>
      <c r="AA149" s="114"/>
      <c r="AB149" s="114"/>
    </row>
    <row r="150" ht="15.75" customHeight="1">
      <c r="A150" s="117"/>
      <c r="B150" s="116"/>
      <c r="C150" s="116"/>
      <c r="D150" s="117"/>
      <c r="E150" s="120"/>
      <c r="F150" s="119"/>
      <c r="G150" s="114"/>
      <c r="H150" s="114"/>
      <c r="I150" s="114"/>
      <c r="J150" s="114"/>
      <c r="K150" s="114"/>
      <c r="L150" s="114"/>
      <c r="M150" s="114"/>
      <c r="N150" s="114"/>
      <c r="O150" s="114"/>
      <c r="P150" s="114"/>
      <c r="Q150" s="114"/>
      <c r="R150" s="114"/>
      <c r="S150" s="114"/>
      <c r="T150" s="114"/>
      <c r="U150" s="114"/>
      <c r="V150" s="114"/>
      <c r="W150" s="114"/>
      <c r="X150" s="114"/>
      <c r="Y150" s="114"/>
      <c r="Z150" s="114"/>
      <c r="AA150" s="114"/>
      <c r="AB150" s="114"/>
    </row>
    <row r="151" ht="15.75" customHeight="1">
      <c r="A151" s="117"/>
      <c r="B151" s="116"/>
      <c r="C151" s="116"/>
      <c r="D151" s="117"/>
      <c r="E151" s="120"/>
      <c r="F151" s="119"/>
      <c r="G151" s="114"/>
      <c r="H151" s="114"/>
      <c r="I151" s="114"/>
      <c r="J151" s="114"/>
      <c r="K151" s="114"/>
      <c r="L151" s="114"/>
      <c r="M151" s="114"/>
      <c r="N151" s="114"/>
      <c r="O151" s="114"/>
      <c r="P151" s="114"/>
      <c r="Q151" s="114"/>
      <c r="R151" s="114"/>
      <c r="S151" s="114"/>
      <c r="T151" s="114"/>
      <c r="U151" s="114"/>
      <c r="V151" s="114"/>
      <c r="W151" s="114"/>
      <c r="X151" s="114"/>
      <c r="Y151" s="114"/>
      <c r="Z151" s="114"/>
      <c r="AA151" s="114"/>
      <c r="AB151" s="114"/>
    </row>
    <row r="152" ht="15.75" customHeight="1">
      <c r="A152" s="117"/>
      <c r="B152" s="116"/>
      <c r="C152" s="116"/>
      <c r="D152" s="117"/>
      <c r="E152" s="120"/>
      <c r="F152" s="119"/>
      <c r="G152" s="114"/>
      <c r="H152" s="114"/>
      <c r="I152" s="114"/>
      <c r="J152" s="114"/>
      <c r="K152" s="114"/>
      <c r="L152" s="114"/>
      <c r="M152" s="114"/>
      <c r="N152" s="114"/>
      <c r="O152" s="114"/>
      <c r="P152" s="114"/>
      <c r="Q152" s="114"/>
      <c r="R152" s="114"/>
      <c r="S152" s="114"/>
      <c r="T152" s="114"/>
      <c r="U152" s="114"/>
      <c r="V152" s="114"/>
      <c r="W152" s="114"/>
      <c r="X152" s="114"/>
      <c r="Y152" s="114"/>
      <c r="Z152" s="114"/>
      <c r="AA152" s="114"/>
      <c r="AB152" s="114"/>
    </row>
    <row r="153" ht="15.75" customHeight="1">
      <c r="A153" s="117"/>
      <c r="B153" s="116"/>
      <c r="C153" s="116"/>
      <c r="D153" s="117"/>
      <c r="E153" s="120"/>
      <c r="F153" s="119"/>
      <c r="G153" s="114"/>
      <c r="H153" s="114"/>
      <c r="I153" s="114"/>
      <c r="J153" s="114"/>
      <c r="K153" s="114"/>
      <c r="L153" s="114"/>
      <c r="M153" s="114"/>
      <c r="N153" s="114"/>
      <c r="O153" s="114"/>
      <c r="P153" s="114"/>
      <c r="Q153" s="114"/>
      <c r="R153" s="114"/>
      <c r="S153" s="114"/>
      <c r="T153" s="114"/>
      <c r="U153" s="114"/>
      <c r="V153" s="114"/>
      <c r="W153" s="114"/>
      <c r="X153" s="114"/>
      <c r="Y153" s="114"/>
      <c r="Z153" s="114"/>
      <c r="AA153" s="114"/>
      <c r="AB153" s="114"/>
    </row>
    <row r="154" ht="15.75" customHeight="1">
      <c r="A154" s="117"/>
      <c r="B154" s="116"/>
      <c r="C154" s="116"/>
      <c r="D154" s="117"/>
      <c r="E154" s="120"/>
      <c r="F154" s="119"/>
      <c r="G154" s="114"/>
      <c r="H154" s="114"/>
      <c r="I154" s="114"/>
      <c r="J154" s="114"/>
      <c r="K154" s="114"/>
      <c r="L154" s="114"/>
      <c r="M154" s="114"/>
      <c r="N154" s="114"/>
      <c r="O154" s="114"/>
      <c r="P154" s="114"/>
      <c r="Q154" s="114"/>
      <c r="R154" s="114"/>
      <c r="S154" s="114"/>
      <c r="T154" s="114"/>
      <c r="U154" s="114"/>
      <c r="V154" s="114"/>
      <c r="W154" s="114"/>
      <c r="X154" s="114"/>
      <c r="Y154" s="114"/>
      <c r="Z154" s="114"/>
      <c r="AA154" s="114"/>
      <c r="AB154" s="114"/>
    </row>
    <row r="155" ht="15.75" customHeight="1">
      <c r="A155" s="117"/>
      <c r="B155" s="116"/>
      <c r="C155" s="116"/>
      <c r="D155" s="117"/>
      <c r="E155" s="120"/>
      <c r="F155" s="119"/>
      <c r="G155" s="114"/>
      <c r="H155" s="114"/>
      <c r="I155" s="114"/>
      <c r="J155" s="114"/>
      <c r="K155" s="114"/>
      <c r="L155" s="114"/>
      <c r="M155" s="114"/>
      <c r="N155" s="114"/>
      <c r="O155" s="114"/>
      <c r="P155" s="114"/>
      <c r="Q155" s="114"/>
      <c r="R155" s="114"/>
      <c r="S155" s="114"/>
      <c r="T155" s="114"/>
      <c r="U155" s="114"/>
      <c r="V155" s="114"/>
      <c r="W155" s="114"/>
      <c r="X155" s="114"/>
      <c r="Y155" s="114"/>
      <c r="Z155" s="114"/>
      <c r="AA155" s="114"/>
      <c r="AB155" s="114"/>
    </row>
    <row r="156" ht="15.75" customHeight="1">
      <c r="A156" s="117"/>
      <c r="B156" s="116"/>
      <c r="C156" s="116"/>
      <c r="D156" s="117"/>
      <c r="E156" s="120"/>
      <c r="F156" s="119"/>
      <c r="G156" s="114"/>
      <c r="H156" s="114"/>
      <c r="I156" s="114"/>
      <c r="J156" s="114"/>
      <c r="K156" s="114"/>
      <c r="L156" s="114"/>
      <c r="M156" s="114"/>
      <c r="N156" s="114"/>
      <c r="O156" s="114"/>
      <c r="P156" s="114"/>
      <c r="Q156" s="114"/>
      <c r="R156" s="114"/>
      <c r="S156" s="114"/>
      <c r="T156" s="114"/>
      <c r="U156" s="114"/>
      <c r="V156" s="114"/>
      <c r="W156" s="114"/>
      <c r="X156" s="114"/>
      <c r="Y156" s="114"/>
      <c r="Z156" s="114"/>
      <c r="AA156" s="114"/>
      <c r="AB156" s="114"/>
    </row>
    <row r="157" ht="15.75" customHeight="1">
      <c r="A157" s="117"/>
      <c r="B157" s="116"/>
      <c r="C157" s="116"/>
      <c r="D157" s="117"/>
      <c r="E157" s="120"/>
      <c r="F157" s="119"/>
      <c r="G157" s="114"/>
      <c r="H157" s="114"/>
      <c r="I157" s="114"/>
      <c r="J157" s="114"/>
      <c r="K157" s="114"/>
      <c r="L157" s="114"/>
      <c r="M157" s="114"/>
      <c r="N157" s="114"/>
      <c r="O157" s="114"/>
      <c r="P157" s="114"/>
      <c r="Q157" s="114"/>
      <c r="R157" s="114"/>
      <c r="S157" s="114"/>
      <c r="T157" s="114"/>
      <c r="U157" s="114"/>
      <c r="V157" s="114"/>
      <c r="W157" s="114"/>
      <c r="X157" s="114"/>
      <c r="Y157" s="114"/>
      <c r="Z157" s="114"/>
      <c r="AA157" s="114"/>
      <c r="AB157" s="114"/>
    </row>
    <row r="158" ht="15.75" customHeight="1">
      <c r="A158" s="117"/>
      <c r="B158" s="116"/>
      <c r="C158" s="116"/>
      <c r="D158" s="117"/>
      <c r="E158" s="120"/>
      <c r="F158" s="119"/>
      <c r="G158" s="114"/>
      <c r="H158" s="114"/>
      <c r="I158" s="114"/>
      <c r="J158" s="114"/>
      <c r="K158" s="114"/>
      <c r="L158" s="114"/>
      <c r="M158" s="114"/>
      <c r="N158" s="114"/>
      <c r="O158" s="114"/>
      <c r="P158" s="114"/>
      <c r="Q158" s="114"/>
      <c r="R158" s="114"/>
      <c r="S158" s="114"/>
      <c r="T158" s="114"/>
      <c r="U158" s="114"/>
      <c r="V158" s="114"/>
      <c r="W158" s="114"/>
      <c r="X158" s="114"/>
      <c r="Y158" s="114"/>
      <c r="Z158" s="114"/>
      <c r="AA158" s="114"/>
      <c r="AB158" s="114"/>
    </row>
    <row r="159" ht="15.75" customHeight="1">
      <c r="A159" s="117"/>
      <c r="B159" s="116"/>
      <c r="C159" s="116"/>
      <c r="D159" s="117"/>
      <c r="E159" s="120"/>
      <c r="F159" s="119"/>
      <c r="G159" s="114"/>
      <c r="H159" s="114"/>
      <c r="I159" s="114"/>
      <c r="J159" s="114"/>
      <c r="K159" s="114"/>
      <c r="L159" s="114"/>
      <c r="M159" s="114"/>
      <c r="N159" s="114"/>
      <c r="O159" s="114"/>
      <c r="P159" s="114"/>
      <c r="Q159" s="114"/>
      <c r="R159" s="114"/>
      <c r="S159" s="114"/>
      <c r="T159" s="114"/>
      <c r="U159" s="114"/>
      <c r="V159" s="114"/>
      <c r="W159" s="114"/>
      <c r="X159" s="114"/>
      <c r="Y159" s="114"/>
      <c r="Z159" s="114"/>
      <c r="AA159" s="114"/>
      <c r="AB159" s="114"/>
    </row>
    <row r="160" ht="15.75" customHeight="1">
      <c r="A160" s="117"/>
      <c r="B160" s="116"/>
      <c r="C160" s="116"/>
      <c r="D160" s="117"/>
      <c r="E160" s="120"/>
      <c r="F160" s="119"/>
      <c r="G160" s="114"/>
      <c r="H160" s="114"/>
      <c r="I160" s="114"/>
      <c r="J160" s="114"/>
      <c r="K160" s="114"/>
      <c r="L160" s="114"/>
      <c r="M160" s="114"/>
      <c r="N160" s="114"/>
      <c r="O160" s="114"/>
      <c r="P160" s="114"/>
      <c r="Q160" s="114"/>
      <c r="R160" s="114"/>
      <c r="S160" s="114"/>
      <c r="T160" s="114"/>
      <c r="U160" s="114"/>
      <c r="V160" s="114"/>
      <c r="W160" s="114"/>
      <c r="X160" s="114"/>
      <c r="Y160" s="114"/>
      <c r="Z160" s="114"/>
      <c r="AA160" s="114"/>
      <c r="AB160" s="114"/>
    </row>
    <row r="161" ht="15.75" customHeight="1">
      <c r="A161" s="117"/>
      <c r="B161" s="116"/>
      <c r="C161" s="116"/>
      <c r="D161" s="117"/>
      <c r="E161" s="120"/>
      <c r="F161" s="119"/>
      <c r="G161" s="114"/>
      <c r="H161" s="114"/>
      <c r="I161" s="114"/>
      <c r="J161" s="114"/>
      <c r="K161" s="114"/>
      <c r="L161" s="114"/>
      <c r="M161" s="114"/>
      <c r="N161" s="114"/>
      <c r="O161" s="114"/>
      <c r="P161" s="114"/>
      <c r="Q161" s="114"/>
      <c r="R161" s="114"/>
      <c r="S161" s="114"/>
      <c r="T161" s="114"/>
      <c r="U161" s="114"/>
      <c r="V161" s="114"/>
      <c r="W161" s="114"/>
      <c r="X161" s="114"/>
      <c r="Y161" s="114"/>
      <c r="Z161" s="114"/>
      <c r="AA161" s="114"/>
      <c r="AB161" s="114"/>
    </row>
    <row r="162" ht="15.75" customHeight="1">
      <c r="A162" s="117"/>
      <c r="B162" s="116"/>
      <c r="C162" s="116"/>
      <c r="D162" s="117"/>
      <c r="E162" s="120"/>
      <c r="F162" s="119"/>
      <c r="G162" s="114"/>
      <c r="H162" s="114"/>
      <c r="I162" s="114"/>
      <c r="J162" s="114"/>
      <c r="K162" s="114"/>
      <c r="L162" s="114"/>
      <c r="M162" s="114"/>
      <c r="N162" s="114"/>
      <c r="O162" s="114"/>
      <c r="P162" s="114"/>
      <c r="Q162" s="114"/>
      <c r="R162" s="114"/>
      <c r="S162" s="114"/>
      <c r="T162" s="114"/>
      <c r="U162" s="114"/>
      <c r="V162" s="114"/>
      <c r="W162" s="114"/>
      <c r="X162" s="114"/>
      <c r="Y162" s="114"/>
      <c r="Z162" s="114"/>
      <c r="AA162" s="114"/>
      <c r="AB162" s="114"/>
    </row>
    <row r="163" ht="15.75" customHeight="1">
      <c r="A163" s="117"/>
      <c r="B163" s="116"/>
      <c r="C163" s="116"/>
      <c r="D163" s="117"/>
      <c r="E163" s="120"/>
      <c r="F163" s="119"/>
      <c r="G163" s="114"/>
      <c r="H163" s="114"/>
      <c r="I163" s="114"/>
      <c r="J163" s="114"/>
      <c r="K163" s="114"/>
      <c r="L163" s="114"/>
      <c r="M163" s="114"/>
      <c r="N163" s="114"/>
      <c r="O163" s="114"/>
      <c r="P163" s="114"/>
      <c r="Q163" s="114"/>
      <c r="R163" s="114"/>
      <c r="S163" s="114"/>
      <c r="T163" s="114"/>
      <c r="U163" s="114"/>
      <c r="V163" s="114"/>
      <c r="W163" s="114"/>
      <c r="X163" s="114"/>
      <c r="Y163" s="114"/>
      <c r="Z163" s="114"/>
      <c r="AA163" s="114"/>
      <c r="AB163" s="114"/>
    </row>
    <row r="164" ht="15.75" customHeight="1">
      <c r="A164" s="117"/>
      <c r="B164" s="116"/>
      <c r="C164" s="116"/>
      <c r="D164" s="117"/>
      <c r="E164" s="120"/>
      <c r="F164" s="119"/>
      <c r="G164" s="114"/>
      <c r="H164" s="114"/>
      <c r="I164" s="114"/>
      <c r="J164" s="114"/>
      <c r="K164" s="114"/>
      <c r="L164" s="114"/>
      <c r="M164" s="114"/>
      <c r="N164" s="114"/>
      <c r="O164" s="114"/>
      <c r="P164" s="114"/>
      <c r="Q164" s="114"/>
      <c r="R164" s="114"/>
      <c r="S164" s="114"/>
      <c r="T164" s="114"/>
      <c r="U164" s="114"/>
      <c r="V164" s="114"/>
      <c r="W164" s="114"/>
      <c r="X164" s="114"/>
      <c r="Y164" s="114"/>
      <c r="Z164" s="114"/>
      <c r="AA164" s="114"/>
      <c r="AB164" s="114"/>
    </row>
    <row r="165" ht="15.75" customHeight="1">
      <c r="A165" s="117"/>
      <c r="B165" s="116"/>
      <c r="C165" s="116"/>
      <c r="D165" s="117"/>
      <c r="E165" s="120"/>
      <c r="F165" s="119"/>
      <c r="G165" s="114"/>
      <c r="H165" s="114"/>
      <c r="I165" s="114"/>
      <c r="J165" s="114"/>
      <c r="K165" s="114"/>
      <c r="L165" s="114"/>
      <c r="M165" s="114"/>
      <c r="N165" s="114"/>
      <c r="O165" s="114"/>
      <c r="P165" s="114"/>
      <c r="Q165" s="114"/>
      <c r="R165" s="114"/>
      <c r="S165" s="114"/>
      <c r="T165" s="114"/>
      <c r="U165" s="114"/>
      <c r="V165" s="114"/>
      <c r="W165" s="114"/>
      <c r="X165" s="114"/>
      <c r="Y165" s="114"/>
      <c r="Z165" s="114"/>
      <c r="AA165" s="114"/>
      <c r="AB165" s="114"/>
    </row>
    <row r="166" ht="15.75" customHeight="1">
      <c r="A166" s="117"/>
      <c r="B166" s="116"/>
      <c r="C166" s="116"/>
      <c r="D166" s="117"/>
      <c r="E166" s="120"/>
      <c r="F166" s="119"/>
      <c r="G166" s="114"/>
      <c r="H166" s="114"/>
      <c r="I166" s="114"/>
      <c r="J166" s="114"/>
      <c r="K166" s="114"/>
      <c r="L166" s="114"/>
      <c r="M166" s="114"/>
      <c r="N166" s="114"/>
      <c r="O166" s="114"/>
      <c r="P166" s="114"/>
      <c r="Q166" s="114"/>
      <c r="R166" s="114"/>
      <c r="S166" s="114"/>
      <c r="T166" s="114"/>
      <c r="U166" s="114"/>
      <c r="V166" s="114"/>
      <c r="W166" s="114"/>
      <c r="X166" s="114"/>
      <c r="Y166" s="114"/>
      <c r="Z166" s="114"/>
      <c r="AA166" s="114"/>
      <c r="AB166" s="114"/>
    </row>
    <row r="167" ht="15.75" customHeight="1">
      <c r="A167" s="117"/>
      <c r="B167" s="116"/>
      <c r="C167" s="116"/>
      <c r="D167" s="117"/>
      <c r="E167" s="120"/>
      <c r="F167" s="119"/>
      <c r="G167" s="114"/>
      <c r="H167" s="114"/>
      <c r="I167" s="114"/>
      <c r="J167" s="114"/>
      <c r="K167" s="114"/>
      <c r="L167" s="114"/>
      <c r="M167" s="114"/>
      <c r="N167" s="114"/>
      <c r="O167" s="114"/>
      <c r="P167" s="114"/>
      <c r="Q167" s="114"/>
      <c r="R167" s="114"/>
      <c r="S167" s="114"/>
      <c r="T167" s="114"/>
      <c r="U167" s="114"/>
      <c r="V167" s="114"/>
      <c r="W167" s="114"/>
      <c r="X167" s="114"/>
      <c r="Y167" s="114"/>
      <c r="Z167" s="114"/>
      <c r="AA167" s="114"/>
      <c r="AB167" s="114"/>
    </row>
    <row r="168" ht="15.75" customHeight="1">
      <c r="A168" s="117"/>
      <c r="B168" s="116"/>
      <c r="C168" s="116"/>
      <c r="D168" s="117"/>
      <c r="E168" s="120"/>
      <c r="F168" s="119"/>
      <c r="G168" s="114"/>
      <c r="H168" s="114"/>
      <c r="I168" s="114"/>
      <c r="J168" s="114"/>
      <c r="K168" s="114"/>
      <c r="L168" s="114"/>
      <c r="M168" s="114"/>
      <c r="N168" s="114"/>
      <c r="O168" s="114"/>
      <c r="P168" s="114"/>
      <c r="Q168" s="114"/>
      <c r="R168" s="114"/>
      <c r="S168" s="114"/>
      <c r="T168" s="114"/>
      <c r="U168" s="114"/>
      <c r="V168" s="114"/>
      <c r="W168" s="114"/>
      <c r="X168" s="114"/>
      <c r="Y168" s="114"/>
      <c r="Z168" s="114"/>
      <c r="AA168" s="114"/>
      <c r="AB168" s="114"/>
    </row>
    <row r="169" ht="15.75" customHeight="1">
      <c r="A169" s="117"/>
      <c r="B169" s="116"/>
      <c r="C169" s="116"/>
      <c r="D169" s="117"/>
      <c r="E169" s="120"/>
      <c r="F169" s="119"/>
      <c r="G169" s="114"/>
      <c r="H169" s="114"/>
      <c r="I169" s="114"/>
      <c r="J169" s="114"/>
      <c r="K169" s="114"/>
      <c r="L169" s="114"/>
      <c r="M169" s="114"/>
      <c r="N169" s="114"/>
      <c r="O169" s="114"/>
      <c r="P169" s="114"/>
      <c r="Q169" s="114"/>
      <c r="R169" s="114"/>
      <c r="S169" s="114"/>
      <c r="T169" s="114"/>
      <c r="U169" s="114"/>
      <c r="V169" s="114"/>
      <c r="W169" s="114"/>
      <c r="X169" s="114"/>
      <c r="Y169" s="114"/>
      <c r="Z169" s="114"/>
      <c r="AA169" s="114"/>
      <c r="AB169" s="114"/>
    </row>
    <row r="170" ht="15.75" customHeight="1">
      <c r="A170" s="117"/>
      <c r="B170" s="116"/>
      <c r="C170" s="116"/>
      <c r="D170" s="117"/>
      <c r="E170" s="120"/>
      <c r="F170" s="119"/>
      <c r="G170" s="114"/>
      <c r="H170" s="114"/>
      <c r="I170" s="114"/>
      <c r="J170" s="114"/>
      <c r="K170" s="114"/>
      <c r="L170" s="114"/>
      <c r="M170" s="114"/>
      <c r="N170" s="114"/>
      <c r="O170" s="114"/>
      <c r="P170" s="114"/>
      <c r="Q170" s="114"/>
      <c r="R170" s="114"/>
      <c r="S170" s="114"/>
      <c r="T170" s="114"/>
      <c r="U170" s="114"/>
      <c r="V170" s="114"/>
      <c r="W170" s="114"/>
      <c r="X170" s="114"/>
      <c r="Y170" s="114"/>
      <c r="Z170" s="114"/>
      <c r="AA170" s="114"/>
      <c r="AB170" s="114"/>
    </row>
    <row r="171" ht="15.75" customHeight="1">
      <c r="A171" s="117"/>
      <c r="B171" s="116"/>
      <c r="C171" s="116"/>
      <c r="D171" s="117"/>
      <c r="E171" s="120"/>
      <c r="F171" s="119"/>
      <c r="G171" s="114"/>
      <c r="H171" s="114"/>
      <c r="I171" s="114"/>
      <c r="J171" s="114"/>
      <c r="K171" s="114"/>
      <c r="L171" s="114"/>
      <c r="M171" s="114"/>
      <c r="N171" s="114"/>
      <c r="O171" s="114"/>
      <c r="P171" s="114"/>
      <c r="Q171" s="114"/>
      <c r="R171" s="114"/>
      <c r="S171" s="114"/>
      <c r="T171" s="114"/>
      <c r="U171" s="114"/>
      <c r="V171" s="114"/>
      <c r="W171" s="114"/>
      <c r="X171" s="114"/>
      <c r="Y171" s="114"/>
      <c r="Z171" s="114"/>
      <c r="AA171" s="114"/>
      <c r="AB171" s="114"/>
    </row>
    <row r="172" ht="15.75" customHeight="1">
      <c r="A172" s="117"/>
      <c r="B172" s="116"/>
      <c r="C172" s="116"/>
      <c r="D172" s="117"/>
      <c r="E172" s="120"/>
      <c r="F172" s="119"/>
      <c r="G172" s="114"/>
      <c r="H172" s="114"/>
      <c r="I172" s="114"/>
      <c r="J172" s="114"/>
      <c r="K172" s="114"/>
      <c r="L172" s="114"/>
      <c r="M172" s="114"/>
      <c r="N172" s="114"/>
      <c r="O172" s="114"/>
      <c r="P172" s="114"/>
      <c r="Q172" s="114"/>
      <c r="R172" s="114"/>
      <c r="S172" s="114"/>
      <c r="T172" s="114"/>
      <c r="U172" s="114"/>
      <c r="V172" s="114"/>
      <c r="W172" s="114"/>
      <c r="X172" s="114"/>
      <c r="Y172" s="114"/>
      <c r="Z172" s="114"/>
      <c r="AA172" s="114"/>
      <c r="AB172" s="114"/>
    </row>
    <row r="173" ht="15.75" customHeight="1">
      <c r="A173" s="117"/>
      <c r="B173" s="116"/>
      <c r="C173" s="116"/>
      <c r="D173" s="117"/>
      <c r="E173" s="120"/>
      <c r="F173" s="119"/>
      <c r="G173" s="114"/>
      <c r="H173" s="114"/>
      <c r="I173" s="114"/>
      <c r="J173" s="114"/>
      <c r="K173" s="114"/>
      <c r="L173" s="114"/>
      <c r="M173" s="114"/>
      <c r="N173" s="114"/>
      <c r="O173" s="114"/>
      <c r="P173" s="114"/>
      <c r="Q173" s="114"/>
      <c r="R173" s="114"/>
      <c r="S173" s="114"/>
      <c r="T173" s="114"/>
      <c r="U173" s="114"/>
      <c r="V173" s="114"/>
      <c r="W173" s="114"/>
      <c r="X173" s="114"/>
      <c r="Y173" s="114"/>
      <c r="Z173" s="114"/>
      <c r="AA173" s="114"/>
      <c r="AB173" s="114"/>
    </row>
    <row r="174" ht="15.75" customHeight="1">
      <c r="A174" s="117"/>
      <c r="B174" s="116"/>
      <c r="C174" s="116"/>
      <c r="D174" s="117"/>
      <c r="E174" s="120"/>
      <c r="F174" s="119"/>
      <c r="G174" s="114"/>
      <c r="H174" s="114"/>
      <c r="I174" s="114"/>
      <c r="J174" s="114"/>
      <c r="K174" s="114"/>
      <c r="L174" s="114"/>
      <c r="M174" s="114"/>
      <c r="N174" s="114"/>
      <c r="O174" s="114"/>
      <c r="P174" s="114"/>
      <c r="Q174" s="114"/>
      <c r="R174" s="114"/>
      <c r="S174" s="114"/>
      <c r="T174" s="114"/>
      <c r="U174" s="114"/>
      <c r="V174" s="114"/>
      <c r="W174" s="114"/>
      <c r="X174" s="114"/>
      <c r="Y174" s="114"/>
      <c r="Z174" s="114"/>
      <c r="AA174" s="114"/>
      <c r="AB174" s="114"/>
    </row>
    <row r="175" ht="15.75" customHeight="1">
      <c r="A175" s="117"/>
      <c r="B175" s="116"/>
      <c r="C175" s="116"/>
      <c r="D175" s="117"/>
      <c r="E175" s="120"/>
      <c r="F175" s="119"/>
      <c r="G175" s="114"/>
      <c r="H175" s="114"/>
      <c r="I175" s="114"/>
      <c r="J175" s="114"/>
      <c r="K175" s="114"/>
      <c r="L175" s="114"/>
      <c r="M175" s="114"/>
      <c r="N175" s="114"/>
      <c r="O175" s="114"/>
      <c r="P175" s="114"/>
      <c r="Q175" s="114"/>
      <c r="R175" s="114"/>
      <c r="S175" s="114"/>
      <c r="T175" s="114"/>
      <c r="U175" s="114"/>
      <c r="V175" s="114"/>
      <c r="W175" s="114"/>
      <c r="X175" s="114"/>
      <c r="Y175" s="114"/>
      <c r="Z175" s="114"/>
      <c r="AA175" s="114"/>
      <c r="AB175" s="114"/>
    </row>
    <row r="176" ht="15.75" customHeight="1">
      <c r="A176" s="117"/>
      <c r="B176" s="116"/>
      <c r="C176" s="116"/>
      <c r="D176" s="117"/>
      <c r="E176" s="120"/>
      <c r="F176" s="119"/>
      <c r="G176" s="114"/>
      <c r="H176" s="114"/>
      <c r="I176" s="114"/>
      <c r="J176" s="114"/>
      <c r="K176" s="114"/>
      <c r="L176" s="114"/>
      <c r="M176" s="114"/>
      <c r="N176" s="114"/>
      <c r="O176" s="114"/>
      <c r="P176" s="114"/>
      <c r="Q176" s="114"/>
      <c r="R176" s="114"/>
      <c r="S176" s="114"/>
      <c r="T176" s="114"/>
      <c r="U176" s="114"/>
      <c r="V176" s="114"/>
      <c r="W176" s="114"/>
      <c r="X176" s="114"/>
      <c r="Y176" s="114"/>
      <c r="Z176" s="114"/>
      <c r="AA176" s="114"/>
      <c r="AB176" s="114"/>
    </row>
    <row r="177" ht="15.75" customHeight="1">
      <c r="A177" s="117"/>
      <c r="B177" s="116"/>
      <c r="C177" s="116"/>
      <c r="D177" s="117"/>
      <c r="E177" s="120"/>
      <c r="F177" s="119"/>
      <c r="G177" s="114"/>
      <c r="H177" s="114"/>
      <c r="I177" s="114"/>
      <c r="J177" s="114"/>
      <c r="K177" s="114"/>
      <c r="L177" s="114"/>
      <c r="M177" s="114"/>
      <c r="N177" s="114"/>
      <c r="O177" s="114"/>
      <c r="P177" s="114"/>
      <c r="Q177" s="114"/>
      <c r="R177" s="114"/>
      <c r="S177" s="114"/>
      <c r="T177" s="114"/>
      <c r="U177" s="114"/>
      <c r="V177" s="114"/>
      <c r="W177" s="114"/>
      <c r="X177" s="114"/>
      <c r="Y177" s="114"/>
      <c r="Z177" s="114"/>
      <c r="AA177" s="114"/>
      <c r="AB177" s="114"/>
    </row>
    <row r="178" ht="15.75" customHeight="1">
      <c r="A178" s="117"/>
      <c r="B178" s="116"/>
      <c r="C178" s="116"/>
      <c r="D178" s="117"/>
      <c r="E178" s="120"/>
      <c r="F178" s="119"/>
      <c r="G178" s="114"/>
      <c r="H178" s="114"/>
      <c r="I178" s="114"/>
      <c r="J178" s="114"/>
      <c r="K178" s="114"/>
      <c r="L178" s="114"/>
      <c r="M178" s="114"/>
      <c r="N178" s="114"/>
      <c r="O178" s="114"/>
      <c r="P178" s="114"/>
      <c r="Q178" s="114"/>
      <c r="R178" s="114"/>
      <c r="S178" s="114"/>
      <c r="T178" s="114"/>
      <c r="U178" s="114"/>
      <c r="V178" s="114"/>
      <c r="W178" s="114"/>
      <c r="X178" s="114"/>
      <c r="Y178" s="114"/>
      <c r="Z178" s="114"/>
      <c r="AA178" s="114"/>
      <c r="AB178" s="114"/>
    </row>
    <row r="179" ht="15.75" customHeight="1">
      <c r="A179" s="117"/>
      <c r="B179" s="116"/>
      <c r="C179" s="116"/>
      <c r="D179" s="117"/>
      <c r="E179" s="120"/>
      <c r="F179" s="119"/>
      <c r="G179" s="114"/>
      <c r="H179" s="114"/>
      <c r="I179" s="114"/>
      <c r="J179" s="114"/>
      <c r="K179" s="114"/>
      <c r="L179" s="114"/>
      <c r="M179" s="114"/>
      <c r="N179" s="114"/>
      <c r="O179" s="114"/>
      <c r="P179" s="114"/>
      <c r="Q179" s="114"/>
      <c r="R179" s="114"/>
      <c r="S179" s="114"/>
      <c r="T179" s="114"/>
      <c r="U179" s="114"/>
      <c r="V179" s="114"/>
      <c r="W179" s="114"/>
      <c r="X179" s="114"/>
      <c r="Y179" s="114"/>
      <c r="Z179" s="114"/>
      <c r="AA179" s="114"/>
      <c r="AB179" s="114"/>
    </row>
    <row r="180" ht="15.75" customHeight="1">
      <c r="A180" s="117"/>
      <c r="B180" s="116"/>
      <c r="C180" s="116"/>
      <c r="D180" s="117"/>
      <c r="E180" s="120"/>
      <c r="F180" s="119"/>
      <c r="G180" s="114"/>
      <c r="H180" s="114"/>
      <c r="I180" s="114"/>
      <c r="J180" s="114"/>
      <c r="K180" s="114"/>
      <c r="L180" s="114"/>
      <c r="M180" s="114"/>
      <c r="N180" s="114"/>
      <c r="O180" s="114"/>
      <c r="P180" s="114"/>
      <c r="Q180" s="114"/>
      <c r="R180" s="114"/>
      <c r="S180" s="114"/>
      <c r="T180" s="114"/>
      <c r="U180" s="114"/>
      <c r="V180" s="114"/>
      <c r="W180" s="114"/>
      <c r="X180" s="114"/>
      <c r="Y180" s="114"/>
      <c r="Z180" s="114"/>
      <c r="AA180" s="114"/>
      <c r="AB180" s="114"/>
    </row>
    <row r="181" ht="15.75" customHeight="1">
      <c r="A181" s="117"/>
      <c r="B181" s="116"/>
      <c r="C181" s="116"/>
      <c r="D181" s="117"/>
      <c r="E181" s="120"/>
      <c r="F181" s="119"/>
      <c r="G181" s="114"/>
      <c r="H181" s="114"/>
      <c r="I181" s="114"/>
      <c r="J181" s="114"/>
      <c r="K181" s="114"/>
      <c r="L181" s="114"/>
      <c r="M181" s="114"/>
      <c r="N181" s="114"/>
      <c r="O181" s="114"/>
      <c r="P181" s="114"/>
      <c r="Q181" s="114"/>
      <c r="R181" s="114"/>
      <c r="S181" s="114"/>
      <c r="T181" s="114"/>
      <c r="U181" s="114"/>
      <c r="V181" s="114"/>
      <c r="W181" s="114"/>
      <c r="X181" s="114"/>
      <c r="Y181" s="114"/>
      <c r="Z181" s="114"/>
      <c r="AA181" s="114"/>
      <c r="AB181" s="114"/>
    </row>
    <row r="182" ht="15.75" customHeight="1">
      <c r="A182" s="117"/>
      <c r="B182" s="116"/>
      <c r="C182" s="116"/>
      <c r="D182" s="117"/>
      <c r="E182" s="120"/>
      <c r="F182" s="119"/>
      <c r="G182" s="114"/>
      <c r="H182" s="114"/>
      <c r="I182" s="114"/>
      <c r="J182" s="114"/>
      <c r="K182" s="114"/>
      <c r="L182" s="114"/>
      <c r="M182" s="114"/>
      <c r="N182" s="114"/>
      <c r="O182" s="114"/>
      <c r="P182" s="114"/>
      <c r="Q182" s="114"/>
      <c r="R182" s="114"/>
      <c r="S182" s="114"/>
      <c r="T182" s="114"/>
      <c r="U182" s="114"/>
      <c r="V182" s="114"/>
      <c r="W182" s="114"/>
      <c r="X182" s="114"/>
      <c r="Y182" s="114"/>
      <c r="Z182" s="114"/>
      <c r="AA182" s="114"/>
      <c r="AB182" s="114"/>
    </row>
    <row r="183" ht="15.75" customHeight="1">
      <c r="A183" s="117"/>
      <c r="B183" s="116"/>
      <c r="C183" s="116"/>
      <c r="D183" s="117"/>
      <c r="E183" s="120"/>
      <c r="F183" s="119"/>
      <c r="G183" s="114"/>
      <c r="H183" s="114"/>
      <c r="I183" s="114"/>
      <c r="J183" s="114"/>
      <c r="K183" s="114"/>
      <c r="L183" s="114"/>
      <c r="M183" s="114"/>
      <c r="N183" s="114"/>
      <c r="O183" s="114"/>
      <c r="P183" s="114"/>
      <c r="Q183" s="114"/>
      <c r="R183" s="114"/>
      <c r="S183" s="114"/>
      <c r="T183" s="114"/>
      <c r="U183" s="114"/>
      <c r="V183" s="114"/>
      <c r="W183" s="114"/>
      <c r="X183" s="114"/>
      <c r="Y183" s="114"/>
      <c r="Z183" s="114"/>
      <c r="AA183" s="114"/>
      <c r="AB183" s="114"/>
    </row>
    <row r="184" ht="15.75" customHeight="1">
      <c r="A184" s="117"/>
      <c r="B184" s="116"/>
      <c r="C184" s="116"/>
      <c r="D184" s="117"/>
      <c r="E184" s="120"/>
      <c r="F184" s="119"/>
      <c r="G184" s="114"/>
      <c r="H184" s="114"/>
      <c r="I184" s="114"/>
      <c r="J184" s="114"/>
      <c r="K184" s="114"/>
      <c r="L184" s="114"/>
      <c r="M184" s="114"/>
      <c r="N184" s="114"/>
      <c r="O184" s="114"/>
      <c r="P184" s="114"/>
      <c r="Q184" s="114"/>
      <c r="R184" s="114"/>
      <c r="S184" s="114"/>
      <c r="T184" s="114"/>
      <c r="U184" s="114"/>
      <c r="V184" s="114"/>
      <c r="W184" s="114"/>
      <c r="X184" s="114"/>
      <c r="Y184" s="114"/>
      <c r="Z184" s="114"/>
      <c r="AA184" s="114"/>
      <c r="AB184" s="114"/>
    </row>
    <row r="185" ht="15.75" customHeight="1">
      <c r="A185" s="117"/>
      <c r="B185" s="116"/>
      <c r="C185" s="116"/>
      <c r="D185" s="117"/>
      <c r="E185" s="120"/>
      <c r="F185" s="119"/>
      <c r="G185" s="114"/>
      <c r="H185" s="114"/>
      <c r="I185" s="114"/>
      <c r="J185" s="114"/>
      <c r="K185" s="114"/>
      <c r="L185" s="114"/>
      <c r="M185" s="114"/>
      <c r="N185" s="114"/>
      <c r="O185" s="114"/>
      <c r="P185" s="114"/>
      <c r="Q185" s="114"/>
      <c r="R185" s="114"/>
      <c r="S185" s="114"/>
      <c r="T185" s="114"/>
      <c r="U185" s="114"/>
      <c r="V185" s="114"/>
      <c r="W185" s="114"/>
      <c r="X185" s="114"/>
      <c r="Y185" s="114"/>
      <c r="Z185" s="114"/>
      <c r="AA185" s="114"/>
      <c r="AB185" s="114"/>
    </row>
    <row r="186" ht="15.75" customHeight="1">
      <c r="A186" s="117"/>
      <c r="B186" s="116"/>
      <c r="C186" s="116"/>
      <c r="D186" s="117"/>
      <c r="E186" s="120"/>
      <c r="F186" s="119"/>
      <c r="G186" s="114"/>
      <c r="H186" s="114"/>
      <c r="I186" s="114"/>
      <c r="J186" s="114"/>
      <c r="K186" s="114"/>
      <c r="L186" s="114"/>
      <c r="M186" s="114"/>
      <c r="N186" s="114"/>
      <c r="O186" s="114"/>
      <c r="P186" s="114"/>
      <c r="Q186" s="114"/>
      <c r="R186" s="114"/>
      <c r="S186" s="114"/>
      <c r="T186" s="114"/>
      <c r="U186" s="114"/>
      <c r="V186" s="114"/>
      <c r="W186" s="114"/>
      <c r="X186" s="114"/>
      <c r="Y186" s="114"/>
      <c r="Z186" s="114"/>
      <c r="AA186" s="114"/>
      <c r="AB186" s="114"/>
    </row>
    <row r="187" ht="15.75" customHeight="1">
      <c r="A187" s="117"/>
      <c r="B187" s="116"/>
      <c r="C187" s="116"/>
      <c r="D187" s="117"/>
      <c r="E187" s="120"/>
      <c r="F187" s="119"/>
      <c r="G187" s="114"/>
      <c r="H187" s="114"/>
      <c r="I187" s="114"/>
      <c r="J187" s="114"/>
      <c r="K187" s="114"/>
      <c r="L187" s="114"/>
      <c r="M187" s="114"/>
      <c r="N187" s="114"/>
      <c r="O187" s="114"/>
      <c r="P187" s="114"/>
      <c r="Q187" s="114"/>
      <c r="R187" s="114"/>
      <c r="S187" s="114"/>
      <c r="T187" s="114"/>
      <c r="U187" s="114"/>
      <c r="V187" s="114"/>
      <c r="W187" s="114"/>
      <c r="X187" s="114"/>
      <c r="Y187" s="114"/>
      <c r="Z187" s="114"/>
      <c r="AA187" s="114"/>
      <c r="AB187" s="114"/>
    </row>
    <row r="188" ht="15.75" customHeight="1">
      <c r="A188" s="117"/>
      <c r="B188" s="116"/>
      <c r="C188" s="116"/>
      <c r="D188" s="117"/>
      <c r="E188" s="120"/>
      <c r="F188" s="119"/>
      <c r="G188" s="114"/>
      <c r="H188" s="114"/>
      <c r="I188" s="114"/>
      <c r="J188" s="114"/>
      <c r="K188" s="114"/>
      <c r="L188" s="114"/>
      <c r="M188" s="114"/>
      <c r="N188" s="114"/>
      <c r="O188" s="114"/>
      <c r="P188" s="114"/>
      <c r="Q188" s="114"/>
      <c r="R188" s="114"/>
      <c r="S188" s="114"/>
      <c r="T188" s="114"/>
      <c r="U188" s="114"/>
      <c r="V188" s="114"/>
      <c r="W188" s="114"/>
      <c r="X188" s="114"/>
      <c r="Y188" s="114"/>
      <c r="Z188" s="114"/>
      <c r="AA188" s="114"/>
      <c r="AB188" s="114"/>
    </row>
    <row r="189" ht="15.75" customHeight="1">
      <c r="A189" s="117"/>
      <c r="B189" s="116"/>
      <c r="C189" s="116"/>
      <c r="D189" s="117"/>
      <c r="E189" s="120"/>
      <c r="F189" s="119"/>
      <c r="G189" s="114"/>
      <c r="H189" s="114"/>
      <c r="I189" s="114"/>
      <c r="J189" s="114"/>
      <c r="K189" s="114"/>
      <c r="L189" s="114"/>
      <c r="M189" s="114"/>
      <c r="N189" s="114"/>
      <c r="O189" s="114"/>
      <c r="P189" s="114"/>
      <c r="Q189" s="114"/>
      <c r="R189" s="114"/>
      <c r="S189" s="114"/>
      <c r="T189" s="114"/>
      <c r="U189" s="114"/>
      <c r="V189" s="114"/>
      <c r="W189" s="114"/>
      <c r="X189" s="114"/>
      <c r="Y189" s="114"/>
      <c r="Z189" s="114"/>
      <c r="AA189" s="114"/>
      <c r="AB189" s="114"/>
    </row>
    <row r="190" ht="15.75" customHeight="1">
      <c r="A190" s="117"/>
      <c r="B190" s="116"/>
      <c r="C190" s="116"/>
      <c r="D190" s="117"/>
      <c r="E190" s="120"/>
      <c r="F190" s="119"/>
      <c r="G190" s="114"/>
      <c r="H190" s="114"/>
      <c r="I190" s="114"/>
      <c r="J190" s="114"/>
      <c r="K190" s="114"/>
      <c r="L190" s="114"/>
      <c r="M190" s="114"/>
      <c r="N190" s="114"/>
      <c r="O190" s="114"/>
      <c r="P190" s="114"/>
      <c r="Q190" s="114"/>
      <c r="R190" s="114"/>
      <c r="S190" s="114"/>
      <c r="T190" s="114"/>
      <c r="U190" s="114"/>
      <c r="V190" s="114"/>
      <c r="W190" s="114"/>
      <c r="X190" s="114"/>
      <c r="Y190" s="114"/>
      <c r="Z190" s="114"/>
      <c r="AA190" s="114"/>
      <c r="AB190" s="114"/>
    </row>
    <row r="191" ht="15.75" customHeight="1">
      <c r="A191" s="117"/>
      <c r="B191" s="116"/>
      <c r="C191" s="116"/>
      <c r="D191" s="117"/>
      <c r="E191" s="120"/>
      <c r="F191" s="119"/>
      <c r="G191" s="114"/>
      <c r="H191" s="114"/>
      <c r="I191" s="114"/>
      <c r="J191" s="114"/>
      <c r="K191" s="114"/>
      <c r="L191" s="114"/>
      <c r="M191" s="114"/>
      <c r="N191" s="114"/>
      <c r="O191" s="114"/>
      <c r="P191" s="114"/>
      <c r="Q191" s="114"/>
      <c r="R191" s="114"/>
      <c r="S191" s="114"/>
      <c r="T191" s="114"/>
      <c r="U191" s="114"/>
      <c r="V191" s="114"/>
      <c r="W191" s="114"/>
      <c r="X191" s="114"/>
      <c r="Y191" s="114"/>
      <c r="Z191" s="114"/>
      <c r="AA191" s="114"/>
      <c r="AB191" s="114"/>
    </row>
    <row r="192" ht="15.75" customHeight="1">
      <c r="A192" s="117"/>
      <c r="B192" s="116"/>
      <c r="C192" s="116"/>
      <c r="D192" s="117"/>
      <c r="E192" s="120"/>
      <c r="F192" s="119"/>
      <c r="G192" s="114"/>
      <c r="H192" s="114"/>
      <c r="I192" s="114"/>
      <c r="J192" s="114"/>
      <c r="K192" s="114"/>
      <c r="L192" s="114"/>
      <c r="M192" s="114"/>
      <c r="N192" s="114"/>
      <c r="O192" s="114"/>
      <c r="P192" s="114"/>
      <c r="Q192" s="114"/>
      <c r="R192" s="114"/>
      <c r="S192" s="114"/>
      <c r="T192" s="114"/>
      <c r="U192" s="114"/>
      <c r="V192" s="114"/>
      <c r="W192" s="114"/>
      <c r="X192" s="114"/>
      <c r="Y192" s="114"/>
      <c r="Z192" s="114"/>
      <c r="AA192" s="114"/>
      <c r="AB192" s="114"/>
    </row>
    <row r="193" ht="15.75" customHeight="1">
      <c r="A193" s="117"/>
      <c r="B193" s="116"/>
      <c r="C193" s="116"/>
      <c r="D193" s="117"/>
      <c r="E193" s="120"/>
      <c r="F193" s="119"/>
      <c r="G193" s="114"/>
      <c r="H193" s="114"/>
      <c r="I193" s="114"/>
      <c r="J193" s="114"/>
      <c r="K193" s="114"/>
      <c r="L193" s="114"/>
      <c r="M193" s="114"/>
      <c r="N193" s="114"/>
      <c r="O193" s="114"/>
      <c r="P193" s="114"/>
      <c r="Q193" s="114"/>
      <c r="R193" s="114"/>
      <c r="S193" s="114"/>
      <c r="T193" s="114"/>
      <c r="U193" s="114"/>
      <c r="V193" s="114"/>
      <c r="W193" s="114"/>
      <c r="X193" s="114"/>
      <c r="Y193" s="114"/>
      <c r="Z193" s="114"/>
      <c r="AA193" s="114"/>
      <c r="AB193" s="114"/>
    </row>
    <row r="194" ht="15.75" customHeight="1">
      <c r="A194" s="117"/>
      <c r="B194" s="116"/>
      <c r="C194" s="116"/>
      <c r="D194" s="117"/>
      <c r="E194" s="120"/>
      <c r="F194" s="119"/>
      <c r="G194" s="114"/>
      <c r="H194" s="114"/>
      <c r="I194" s="114"/>
      <c r="J194" s="114"/>
      <c r="K194" s="114"/>
      <c r="L194" s="114"/>
      <c r="M194" s="114"/>
      <c r="N194" s="114"/>
      <c r="O194" s="114"/>
      <c r="P194" s="114"/>
      <c r="Q194" s="114"/>
      <c r="R194" s="114"/>
      <c r="S194" s="114"/>
      <c r="T194" s="114"/>
      <c r="U194" s="114"/>
      <c r="V194" s="114"/>
      <c r="W194" s="114"/>
      <c r="X194" s="114"/>
      <c r="Y194" s="114"/>
      <c r="Z194" s="114"/>
      <c r="AA194" s="114"/>
      <c r="AB194" s="114"/>
    </row>
    <row r="195" ht="15.75" customHeight="1">
      <c r="A195" s="117"/>
      <c r="B195" s="116"/>
      <c r="C195" s="116"/>
      <c r="D195" s="117"/>
      <c r="E195" s="120"/>
      <c r="F195" s="119"/>
      <c r="G195" s="114"/>
      <c r="H195" s="114"/>
      <c r="I195" s="114"/>
      <c r="J195" s="114"/>
      <c r="K195" s="114"/>
      <c r="L195" s="114"/>
      <c r="M195" s="114"/>
      <c r="N195" s="114"/>
      <c r="O195" s="114"/>
      <c r="P195" s="114"/>
      <c r="Q195" s="114"/>
      <c r="R195" s="114"/>
      <c r="S195" s="114"/>
      <c r="T195" s="114"/>
      <c r="U195" s="114"/>
      <c r="V195" s="114"/>
      <c r="W195" s="114"/>
      <c r="X195" s="114"/>
      <c r="Y195" s="114"/>
      <c r="Z195" s="114"/>
      <c r="AA195" s="114"/>
      <c r="AB195" s="114"/>
    </row>
    <row r="196" ht="15.75" customHeight="1">
      <c r="A196" s="117"/>
      <c r="B196" s="116"/>
      <c r="C196" s="116"/>
      <c r="D196" s="117"/>
      <c r="E196" s="120"/>
      <c r="F196" s="119"/>
      <c r="G196" s="114"/>
      <c r="H196" s="114"/>
      <c r="I196" s="114"/>
      <c r="J196" s="114"/>
      <c r="K196" s="114"/>
      <c r="L196" s="114"/>
      <c r="M196" s="114"/>
      <c r="N196" s="114"/>
      <c r="O196" s="114"/>
      <c r="P196" s="114"/>
      <c r="Q196" s="114"/>
      <c r="R196" s="114"/>
      <c r="S196" s="114"/>
      <c r="T196" s="114"/>
      <c r="U196" s="114"/>
      <c r="V196" s="114"/>
      <c r="W196" s="114"/>
      <c r="X196" s="114"/>
      <c r="Y196" s="114"/>
      <c r="Z196" s="114"/>
      <c r="AA196" s="114"/>
      <c r="AB196" s="114"/>
    </row>
    <row r="197" ht="15.75" customHeight="1">
      <c r="A197" s="117"/>
      <c r="B197" s="116"/>
      <c r="C197" s="116"/>
      <c r="D197" s="117"/>
      <c r="E197" s="120"/>
      <c r="F197" s="119"/>
      <c r="G197" s="114"/>
      <c r="H197" s="114"/>
      <c r="I197" s="114"/>
      <c r="J197" s="114"/>
      <c r="K197" s="114"/>
      <c r="L197" s="114"/>
      <c r="M197" s="114"/>
      <c r="N197" s="114"/>
      <c r="O197" s="114"/>
      <c r="P197" s="114"/>
      <c r="Q197" s="114"/>
      <c r="R197" s="114"/>
      <c r="S197" s="114"/>
      <c r="T197" s="114"/>
      <c r="U197" s="114"/>
      <c r="V197" s="114"/>
      <c r="W197" s="114"/>
      <c r="X197" s="114"/>
      <c r="Y197" s="114"/>
      <c r="Z197" s="114"/>
      <c r="AA197" s="114"/>
      <c r="AB197" s="114"/>
    </row>
    <row r="198" ht="15.75" customHeight="1">
      <c r="A198" s="117"/>
      <c r="B198" s="116"/>
      <c r="C198" s="116"/>
      <c r="D198" s="117"/>
      <c r="E198" s="120"/>
      <c r="F198" s="119"/>
      <c r="G198" s="114"/>
      <c r="H198" s="114"/>
      <c r="I198" s="114"/>
      <c r="J198" s="114"/>
      <c r="K198" s="114"/>
      <c r="L198" s="114"/>
      <c r="M198" s="114"/>
      <c r="N198" s="114"/>
      <c r="O198" s="114"/>
      <c r="P198" s="114"/>
      <c r="Q198" s="114"/>
      <c r="R198" s="114"/>
      <c r="S198" s="114"/>
      <c r="T198" s="114"/>
      <c r="U198" s="114"/>
      <c r="V198" s="114"/>
      <c r="W198" s="114"/>
      <c r="X198" s="114"/>
      <c r="Y198" s="114"/>
      <c r="Z198" s="114"/>
      <c r="AA198" s="114"/>
      <c r="AB198" s="114"/>
    </row>
    <row r="199" ht="15.75" customHeight="1">
      <c r="A199" s="117"/>
      <c r="B199" s="116"/>
      <c r="C199" s="116"/>
      <c r="D199" s="117"/>
      <c r="E199" s="120"/>
      <c r="F199" s="119"/>
      <c r="G199" s="114"/>
      <c r="H199" s="114"/>
      <c r="I199" s="114"/>
      <c r="J199" s="114"/>
      <c r="K199" s="114"/>
      <c r="L199" s="114"/>
      <c r="M199" s="114"/>
      <c r="N199" s="114"/>
      <c r="O199" s="114"/>
      <c r="P199" s="114"/>
      <c r="Q199" s="114"/>
      <c r="R199" s="114"/>
      <c r="S199" s="114"/>
      <c r="T199" s="114"/>
      <c r="U199" s="114"/>
      <c r="V199" s="114"/>
      <c r="W199" s="114"/>
      <c r="X199" s="114"/>
      <c r="Y199" s="114"/>
      <c r="Z199" s="114"/>
      <c r="AA199" s="114"/>
      <c r="AB199" s="114"/>
    </row>
    <row r="200" ht="15.75" customHeight="1">
      <c r="A200" s="117"/>
      <c r="B200" s="116"/>
      <c r="C200" s="116"/>
      <c r="D200" s="117"/>
      <c r="E200" s="120"/>
      <c r="F200" s="119"/>
      <c r="G200" s="114"/>
      <c r="H200" s="114"/>
      <c r="I200" s="114"/>
      <c r="J200" s="114"/>
      <c r="K200" s="114"/>
      <c r="L200" s="114"/>
      <c r="M200" s="114"/>
      <c r="N200" s="114"/>
      <c r="O200" s="114"/>
      <c r="P200" s="114"/>
      <c r="Q200" s="114"/>
      <c r="R200" s="114"/>
      <c r="S200" s="114"/>
      <c r="T200" s="114"/>
      <c r="U200" s="114"/>
      <c r="V200" s="114"/>
      <c r="W200" s="114"/>
      <c r="X200" s="114"/>
      <c r="Y200" s="114"/>
      <c r="Z200" s="114"/>
      <c r="AA200" s="114"/>
      <c r="AB200" s="114"/>
    </row>
    <row r="201" ht="15.75" customHeight="1">
      <c r="A201" s="117"/>
      <c r="B201" s="116"/>
      <c r="C201" s="116"/>
      <c r="D201" s="117"/>
      <c r="E201" s="120"/>
      <c r="F201" s="119"/>
      <c r="G201" s="114"/>
      <c r="H201" s="114"/>
      <c r="I201" s="114"/>
      <c r="J201" s="114"/>
      <c r="K201" s="114"/>
      <c r="L201" s="114"/>
      <c r="M201" s="114"/>
      <c r="N201" s="114"/>
      <c r="O201" s="114"/>
      <c r="P201" s="114"/>
      <c r="Q201" s="114"/>
      <c r="R201" s="114"/>
      <c r="S201" s="114"/>
      <c r="T201" s="114"/>
      <c r="U201" s="114"/>
      <c r="V201" s="114"/>
      <c r="W201" s="114"/>
      <c r="X201" s="114"/>
      <c r="Y201" s="114"/>
      <c r="Z201" s="114"/>
      <c r="AA201" s="114"/>
      <c r="AB201" s="114"/>
    </row>
    <row r="202" ht="15.75" customHeight="1">
      <c r="A202" s="117"/>
      <c r="B202" s="116"/>
      <c r="C202" s="116"/>
      <c r="D202" s="117"/>
      <c r="E202" s="120"/>
      <c r="F202" s="119"/>
      <c r="G202" s="114"/>
      <c r="H202" s="114"/>
      <c r="I202" s="114"/>
      <c r="J202" s="114"/>
      <c r="K202" s="114"/>
      <c r="L202" s="114"/>
      <c r="M202" s="114"/>
      <c r="N202" s="114"/>
      <c r="O202" s="114"/>
      <c r="P202" s="114"/>
      <c r="Q202" s="114"/>
      <c r="R202" s="114"/>
      <c r="S202" s="114"/>
      <c r="T202" s="114"/>
      <c r="U202" s="114"/>
      <c r="V202" s="114"/>
      <c r="W202" s="114"/>
      <c r="X202" s="114"/>
      <c r="Y202" s="114"/>
      <c r="Z202" s="114"/>
      <c r="AA202" s="114"/>
      <c r="AB202" s="114"/>
    </row>
    <row r="203" ht="15.75" customHeight="1">
      <c r="A203" s="117"/>
      <c r="B203" s="116"/>
      <c r="C203" s="116"/>
      <c r="D203" s="117"/>
      <c r="E203" s="120"/>
      <c r="F203" s="119"/>
      <c r="G203" s="114"/>
      <c r="H203" s="114"/>
      <c r="I203" s="114"/>
      <c r="J203" s="114"/>
      <c r="K203" s="114"/>
      <c r="L203" s="114"/>
      <c r="M203" s="114"/>
      <c r="N203" s="114"/>
      <c r="O203" s="114"/>
      <c r="P203" s="114"/>
      <c r="Q203" s="114"/>
      <c r="R203" s="114"/>
      <c r="S203" s="114"/>
      <c r="T203" s="114"/>
      <c r="U203" s="114"/>
      <c r="V203" s="114"/>
      <c r="W203" s="114"/>
      <c r="X203" s="114"/>
      <c r="Y203" s="114"/>
      <c r="Z203" s="114"/>
      <c r="AA203" s="114"/>
      <c r="AB203" s="114"/>
    </row>
    <row r="204" ht="15.75" customHeight="1">
      <c r="A204" s="117"/>
      <c r="B204" s="116"/>
      <c r="C204" s="116"/>
      <c r="D204" s="117"/>
      <c r="E204" s="120"/>
      <c r="F204" s="119"/>
      <c r="G204" s="114"/>
      <c r="H204" s="114"/>
      <c r="I204" s="114"/>
      <c r="J204" s="114"/>
      <c r="K204" s="114"/>
      <c r="L204" s="114"/>
      <c r="M204" s="114"/>
      <c r="N204" s="114"/>
      <c r="O204" s="114"/>
      <c r="P204" s="114"/>
      <c r="Q204" s="114"/>
      <c r="R204" s="114"/>
      <c r="S204" s="114"/>
      <c r="T204" s="114"/>
      <c r="U204" s="114"/>
      <c r="V204" s="114"/>
      <c r="W204" s="114"/>
      <c r="X204" s="114"/>
      <c r="Y204" s="114"/>
      <c r="Z204" s="114"/>
      <c r="AA204" s="114"/>
      <c r="AB204" s="114"/>
    </row>
    <row r="205" ht="15.75" customHeight="1">
      <c r="A205" s="117"/>
      <c r="B205" s="116"/>
      <c r="C205" s="116"/>
      <c r="D205" s="117"/>
      <c r="E205" s="120"/>
      <c r="F205" s="119"/>
      <c r="G205" s="114"/>
      <c r="H205" s="114"/>
      <c r="I205" s="114"/>
      <c r="J205" s="114"/>
      <c r="K205" s="114"/>
      <c r="L205" s="114"/>
      <c r="M205" s="114"/>
      <c r="N205" s="114"/>
      <c r="O205" s="114"/>
      <c r="P205" s="114"/>
      <c r="Q205" s="114"/>
      <c r="R205" s="114"/>
      <c r="S205" s="114"/>
      <c r="T205" s="114"/>
      <c r="U205" s="114"/>
      <c r="V205" s="114"/>
      <c r="W205" s="114"/>
      <c r="X205" s="114"/>
      <c r="Y205" s="114"/>
      <c r="Z205" s="114"/>
      <c r="AA205" s="114"/>
      <c r="AB205" s="114"/>
    </row>
    <row r="206" ht="15.75" customHeight="1">
      <c r="A206" s="117"/>
      <c r="B206" s="116"/>
      <c r="C206" s="116"/>
      <c r="D206" s="117"/>
      <c r="E206" s="120"/>
      <c r="F206" s="119"/>
      <c r="G206" s="114"/>
      <c r="H206" s="114"/>
      <c r="I206" s="114"/>
      <c r="J206" s="114"/>
      <c r="K206" s="114"/>
      <c r="L206" s="114"/>
      <c r="M206" s="114"/>
      <c r="N206" s="114"/>
      <c r="O206" s="114"/>
      <c r="P206" s="114"/>
      <c r="Q206" s="114"/>
      <c r="R206" s="114"/>
      <c r="S206" s="114"/>
      <c r="T206" s="114"/>
      <c r="U206" s="114"/>
      <c r="V206" s="114"/>
      <c r="W206" s="114"/>
      <c r="X206" s="114"/>
      <c r="Y206" s="114"/>
      <c r="Z206" s="114"/>
      <c r="AA206" s="114"/>
      <c r="AB206" s="114"/>
    </row>
    <row r="207" ht="15.75" customHeight="1">
      <c r="A207" s="117"/>
      <c r="B207" s="116"/>
      <c r="C207" s="116"/>
      <c r="D207" s="117"/>
      <c r="E207" s="120"/>
      <c r="F207" s="119"/>
      <c r="G207" s="114"/>
      <c r="H207" s="114"/>
      <c r="I207" s="114"/>
      <c r="J207" s="114"/>
      <c r="K207" s="114"/>
      <c r="L207" s="114"/>
      <c r="M207" s="114"/>
      <c r="N207" s="114"/>
      <c r="O207" s="114"/>
      <c r="P207" s="114"/>
      <c r="Q207" s="114"/>
      <c r="R207" s="114"/>
      <c r="S207" s="114"/>
      <c r="T207" s="114"/>
      <c r="U207" s="114"/>
      <c r="V207" s="114"/>
      <c r="W207" s="114"/>
      <c r="X207" s="114"/>
      <c r="Y207" s="114"/>
      <c r="Z207" s="114"/>
      <c r="AA207" s="114"/>
      <c r="AB207" s="114"/>
    </row>
    <row r="208" ht="15.75" customHeight="1">
      <c r="A208" s="117"/>
      <c r="B208" s="116"/>
      <c r="C208" s="116"/>
      <c r="D208" s="117"/>
      <c r="E208" s="120"/>
      <c r="F208" s="119"/>
      <c r="G208" s="114"/>
      <c r="H208" s="114"/>
      <c r="I208" s="114"/>
      <c r="J208" s="114"/>
      <c r="K208" s="114"/>
      <c r="L208" s="114"/>
      <c r="M208" s="114"/>
      <c r="N208" s="114"/>
      <c r="O208" s="114"/>
      <c r="P208" s="114"/>
      <c r="Q208" s="114"/>
      <c r="R208" s="114"/>
      <c r="S208" s="114"/>
      <c r="T208" s="114"/>
      <c r="U208" s="114"/>
      <c r="V208" s="114"/>
      <c r="W208" s="114"/>
      <c r="X208" s="114"/>
      <c r="Y208" s="114"/>
      <c r="Z208" s="114"/>
      <c r="AA208" s="114"/>
      <c r="AB208" s="114"/>
    </row>
    <row r="209" ht="15.75" customHeight="1">
      <c r="A209" s="117"/>
      <c r="B209" s="116"/>
      <c r="C209" s="116"/>
      <c r="D209" s="117"/>
      <c r="E209" s="120"/>
      <c r="F209" s="119"/>
      <c r="G209" s="114"/>
      <c r="H209" s="114"/>
      <c r="I209" s="114"/>
      <c r="J209" s="114"/>
      <c r="K209" s="114"/>
      <c r="L209" s="114"/>
      <c r="M209" s="114"/>
      <c r="N209" s="114"/>
      <c r="O209" s="114"/>
      <c r="P209" s="114"/>
      <c r="Q209" s="114"/>
      <c r="R209" s="114"/>
      <c r="S209" s="114"/>
      <c r="T209" s="114"/>
      <c r="U209" s="114"/>
      <c r="V209" s="114"/>
      <c r="W209" s="114"/>
      <c r="X209" s="114"/>
      <c r="Y209" s="114"/>
      <c r="Z209" s="114"/>
      <c r="AA209" s="114"/>
      <c r="AB209" s="114"/>
    </row>
    <row r="210" ht="15.75" customHeight="1">
      <c r="A210" s="117"/>
      <c r="B210" s="116"/>
      <c r="C210" s="116"/>
      <c r="D210" s="117"/>
      <c r="E210" s="120"/>
      <c r="F210" s="119"/>
      <c r="G210" s="114"/>
      <c r="H210" s="114"/>
      <c r="I210" s="114"/>
      <c r="J210" s="114"/>
      <c r="K210" s="114"/>
      <c r="L210" s="114"/>
      <c r="M210" s="114"/>
      <c r="N210" s="114"/>
      <c r="O210" s="114"/>
      <c r="P210" s="114"/>
      <c r="Q210" s="114"/>
      <c r="R210" s="114"/>
      <c r="S210" s="114"/>
      <c r="T210" s="114"/>
      <c r="U210" s="114"/>
      <c r="V210" s="114"/>
      <c r="W210" s="114"/>
      <c r="X210" s="114"/>
      <c r="Y210" s="114"/>
      <c r="Z210" s="114"/>
      <c r="AA210" s="114"/>
      <c r="AB210" s="114"/>
    </row>
    <row r="211" ht="15.75" customHeight="1">
      <c r="A211" s="117"/>
      <c r="B211" s="116"/>
      <c r="C211" s="116"/>
      <c r="D211" s="117"/>
      <c r="E211" s="120"/>
      <c r="F211" s="119"/>
      <c r="G211" s="114"/>
      <c r="H211" s="114"/>
      <c r="I211" s="114"/>
      <c r="J211" s="114"/>
      <c r="K211" s="114"/>
      <c r="L211" s="114"/>
      <c r="M211" s="114"/>
      <c r="N211" s="114"/>
      <c r="O211" s="114"/>
      <c r="P211" s="114"/>
      <c r="Q211" s="114"/>
      <c r="R211" s="114"/>
      <c r="S211" s="114"/>
      <c r="T211" s="114"/>
      <c r="U211" s="114"/>
      <c r="V211" s="114"/>
      <c r="W211" s="114"/>
      <c r="X211" s="114"/>
      <c r="Y211" s="114"/>
      <c r="Z211" s="114"/>
      <c r="AA211" s="114"/>
      <c r="AB211" s="114"/>
    </row>
    <row r="212" ht="15.75" customHeight="1">
      <c r="A212" s="117"/>
      <c r="B212" s="116"/>
      <c r="C212" s="116"/>
      <c r="D212" s="117"/>
      <c r="E212" s="120"/>
      <c r="F212" s="119"/>
      <c r="G212" s="114"/>
      <c r="H212" s="114"/>
      <c r="I212" s="114"/>
      <c r="J212" s="114"/>
      <c r="K212" s="114"/>
      <c r="L212" s="114"/>
      <c r="M212" s="114"/>
      <c r="N212" s="114"/>
      <c r="O212" s="114"/>
      <c r="P212" s="114"/>
      <c r="Q212" s="114"/>
      <c r="R212" s="114"/>
      <c r="S212" s="114"/>
      <c r="T212" s="114"/>
      <c r="U212" s="114"/>
      <c r="V212" s="114"/>
      <c r="W212" s="114"/>
      <c r="X212" s="114"/>
      <c r="Y212" s="114"/>
      <c r="Z212" s="114"/>
      <c r="AA212" s="114"/>
      <c r="AB212" s="114"/>
    </row>
    <row r="213" ht="15.75" customHeight="1">
      <c r="A213" s="117"/>
      <c r="B213" s="116"/>
      <c r="C213" s="116"/>
      <c r="D213" s="117"/>
      <c r="E213" s="120"/>
      <c r="F213" s="119"/>
      <c r="G213" s="114"/>
      <c r="H213" s="114"/>
      <c r="I213" s="114"/>
      <c r="J213" s="114"/>
      <c r="K213" s="114"/>
      <c r="L213" s="114"/>
      <c r="M213" s="114"/>
      <c r="N213" s="114"/>
      <c r="O213" s="114"/>
      <c r="P213" s="114"/>
      <c r="Q213" s="114"/>
      <c r="R213" s="114"/>
      <c r="S213" s="114"/>
      <c r="T213" s="114"/>
      <c r="U213" s="114"/>
      <c r="V213" s="114"/>
      <c r="W213" s="114"/>
      <c r="X213" s="114"/>
      <c r="Y213" s="114"/>
      <c r="Z213" s="114"/>
      <c r="AA213" s="114"/>
      <c r="AB213" s="114"/>
    </row>
    <row r="214" ht="15.75" customHeight="1">
      <c r="A214" s="117"/>
      <c r="B214" s="116"/>
      <c r="C214" s="116"/>
      <c r="D214" s="117"/>
      <c r="E214" s="120"/>
      <c r="F214" s="119"/>
      <c r="G214" s="114"/>
      <c r="H214" s="114"/>
      <c r="I214" s="114"/>
      <c r="J214" s="114"/>
      <c r="K214" s="114"/>
      <c r="L214" s="114"/>
      <c r="M214" s="114"/>
      <c r="N214" s="114"/>
      <c r="O214" s="114"/>
      <c r="P214" s="114"/>
      <c r="Q214" s="114"/>
      <c r="R214" s="114"/>
      <c r="S214" s="114"/>
      <c r="T214" s="114"/>
      <c r="U214" s="114"/>
      <c r="V214" s="114"/>
      <c r="W214" s="114"/>
      <c r="X214" s="114"/>
      <c r="Y214" s="114"/>
      <c r="Z214" s="114"/>
      <c r="AA214" s="114"/>
      <c r="AB214" s="114"/>
    </row>
    <row r="215" ht="15.75" customHeight="1">
      <c r="A215" s="117"/>
      <c r="B215" s="116"/>
      <c r="C215" s="116"/>
      <c r="D215" s="117"/>
      <c r="E215" s="120"/>
      <c r="F215" s="119"/>
      <c r="G215" s="114"/>
      <c r="H215" s="114"/>
      <c r="I215" s="114"/>
      <c r="J215" s="114"/>
      <c r="K215" s="114"/>
      <c r="L215" s="114"/>
      <c r="M215" s="114"/>
      <c r="N215" s="114"/>
      <c r="O215" s="114"/>
      <c r="P215" s="114"/>
      <c r="Q215" s="114"/>
      <c r="R215" s="114"/>
      <c r="S215" s="114"/>
      <c r="T215" s="114"/>
      <c r="U215" s="114"/>
      <c r="V215" s="114"/>
      <c r="W215" s="114"/>
      <c r="X215" s="114"/>
      <c r="Y215" s="114"/>
      <c r="Z215" s="114"/>
      <c r="AA215" s="114"/>
      <c r="AB215" s="114"/>
    </row>
    <row r="216" ht="15.75" customHeight="1">
      <c r="A216" s="117"/>
      <c r="B216" s="116"/>
      <c r="C216" s="116"/>
      <c r="D216" s="117"/>
      <c r="E216" s="120"/>
      <c r="F216" s="119"/>
      <c r="G216" s="114"/>
      <c r="H216" s="114"/>
      <c r="I216" s="114"/>
      <c r="J216" s="114"/>
      <c r="K216" s="114"/>
      <c r="L216" s="114"/>
      <c r="M216" s="114"/>
      <c r="N216" s="114"/>
      <c r="O216" s="114"/>
      <c r="P216" s="114"/>
      <c r="Q216" s="114"/>
      <c r="R216" s="114"/>
      <c r="S216" s="114"/>
      <c r="T216" s="114"/>
      <c r="U216" s="114"/>
      <c r="V216" s="114"/>
      <c r="W216" s="114"/>
      <c r="X216" s="114"/>
      <c r="Y216" s="114"/>
      <c r="Z216" s="114"/>
      <c r="AA216" s="114"/>
      <c r="AB216" s="114"/>
    </row>
    <row r="217" ht="15.75" customHeight="1">
      <c r="A217" s="117"/>
      <c r="B217" s="116"/>
      <c r="C217" s="116"/>
      <c r="D217" s="117"/>
      <c r="E217" s="120"/>
      <c r="F217" s="119"/>
      <c r="G217" s="114"/>
      <c r="H217" s="114"/>
      <c r="I217" s="114"/>
      <c r="J217" s="114"/>
      <c r="K217" s="114"/>
      <c r="L217" s="114"/>
      <c r="M217" s="114"/>
      <c r="N217" s="114"/>
      <c r="O217" s="114"/>
      <c r="P217" s="114"/>
      <c r="Q217" s="114"/>
      <c r="R217" s="114"/>
      <c r="S217" s="114"/>
      <c r="T217" s="114"/>
      <c r="U217" s="114"/>
      <c r="V217" s="114"/>
      <c r="W217" s="114"/>
      <c r="X217" s="114"/>
      <c r="Y217" s="114"/>
      <c r="Z217" s="114"/>
      <c r="AA217" s="114"/>
      <c r="AB217" s="114"/>
    </row>
    <row r="218" ht="15.75" customHeight="1">
      <c r="A218" s="117"/>
      <c r="B218" s="116"/>
      <c r="C218" s="116"/>
      <c r="D218" s="117"/>
      <c r="E218" s="120"/>
      <c r="F218" s="119"/>
      <c r="G218" s="114"/>
      <c r="H218" s="114"/>
      <c r="I218" s="114"/>
      <c r="J218" s="114"/>
      <c r="K218" s="114"/>
      <c r="L218" s="114"/>
      <c r="M218" s="114"/>
      <c r="N218" s="114"/>
      <c r="O218" s="114"/>
      <c r="P218" s="114"/>
      <c r="Q218" s="114"/>
      <c r="R218" s="114"/>
      <c r="S218" s="114"/>
      <c r="T218" s="114"/>
      <c r="U218" s="114"/>
      <c r="V218" s="114"/>
      <c r="W218" s="114"/>
      <c r="X218" s="114"/>
      <c r="Y218" s="114"/>
      <c r="Z218" s="114"/>
      <c r="AA218" s="114"/>
      <c r="AB218" s="114"/>
    </row>
    <row r="219" ht="15.75" customHeight="1">
      <c r="A219" s="117"/>
      <c r="B219" s="116"/>
      <c r="C219" s="116"/>
      <c r="D219" s="117"/>
      <c r="E219" s="120"/>
      <c r="F219" s="119"/>
      <c r="G219" s="114"/>
      <c r="H219" s="114"/>
      <c r="I219" s="114"/>
      <c r="J219" s="114"/>
      <c r="K219" s="114"/>
      <c r="L219" s="114"/>
      <c r="M219" s="114"/>
      <c r="N219" s="114"/>
      <c r="O219" s="114"/>
      <c r="P219" s="114"/>
      <c r="Q219" s="114"/>
      <c r="R219" s="114"/>
      <c r="S219" s="114"/>
      <c r="T219" s="114"/>
      <c r="U219" s="114"/>
      <c r="V219" s="114"/>
      <c r="W219" s="114"/>
      <c r="X219" s="114"/>
      <c r="Y219" s="114"/>
      <c r="Z219" s="114"/>
      <c r="AA219" s="114"/>
      <c r="AB219" s="114"/>
    </row>
    <row r="220" ht="15.75" customHeight="1">
      <c r="A220" s="117"/>
      <c r="B220" s="116"/>
      <c r="C220" s="116"/>
      <c r="D220" s="117"/>
      <c r="E220" s="120"/>
      <c r="F220" s="119"/>
      <c r="G220" s="114"/>
      <c r="H220" s="114"/>
      <c r="I220" s="114"/>
      <c r="J220" s="114"/>
      <c r="K220" s="114"/>
      <c r="L220" s="114"/>
      <c r="M220" s="114"/>
      <c r="N220" s="114"/>
      <c r="O220" s="114"/>
      <c r="P220" s="114"/>
      <c r="Q220" s="114"/>
      <c r="R220" s="114"/>
      <c r="S220" s="114"/>
      <c r="T220" s="114"/>
      <c r="U220" s="114"/>
      <c r="V220" s="114"/>
      <c r="W220" s="114"/>
      <c r="X220" s="114"/>
      <c r="Y220" s="114"/>
      <c r="Z220" s="114"/>
      <c r="AA220" s="114"/>
      <c r="AB220" s="114"/>
    </row>
    <row r="221" ht="15.75" customHeight="1">
      <c r="A221" s="117"/>
      <c r="B221" s="116"/>
      <c r="C221" s="116"/>
      <c r="D221" s="117"/>
      <c r="E221" s="120"/>
      <c r="F221" s="119"/>
      <c r="G221" s="114"/>
      <c r="H221" s="114"/>
      <c r="I221" s="114"/>
      <c r="J221" s="114"/>
      <c r="K221" s="114"/>
      <c r="L221" s="114"/>
      <c r="M221" s="114"/>
      <c r="N221" s="114"/>
      <c r="O221" s="114"/>
      <c r="P221" s="114"/>
      <c r="Q221" s="114"/>
      <c r="R221" s="114"/>
      <c r="S221" s="114"/>
      <c r="T221" s="114"/>
      <c r="U221" s="114"/>
      <c r="V221" s="114"/>
      <c r="W221" s="114"/>
      <c r="X221" s="114"/>
      <c r="Y221" s="114"/>
      <c r="Z221" s="114"/>
      <c r="AA221" s="114"/>
      <c r="AB221" s="114"/>
    </row>
    <row r="222" ht="15.75" customHeight="1">
      <c r="A222" s="117"/>
      <c r="B222" s="116"/>
      <c r="C222" s="116"/>
      <c r="D222" s="117"/>
      <c r="E222" s="120"/>
      <c r="F222" s="119"/>
      <c r="G222" s="114"/>
      <c r="H222" s="114"/>
      <c r="I222" s="114"/>
      <c r="J222" s="114"/>
      <c r="K222" s="114"/>
      <c r="L222" s="114"/>
      <c r="M222" s="114"/>
      <c r="N222" s="114"/>
      <c r="O222" s="114"/>
      <c r="P222" s="114"/>
      <c r="Q222" s="114"/>
      <c r="R222" s="114"/>
      <c r="S222" s="114"/>
      <c r="T222" s="114"/>
      <c r="U222" s="114"/>
      <c r="V222" s="114"/>
      <c r="W222" s="114"/>
      <c r="X222" s="114"/>
      <c r="Y222" s="114"/>
      <c r="Z222" s="114"/>
      <c r="AA222" s="114"/>
      <c r="AB222" s="114"/>
    </row>
    <row r="223" ht="15.75" customHeight="1">
      <c r="A223" s="117"/>
      <c r="B223" s="116"/>
      <c r="C223" s="116"/>
      <c r="D223" s="117"/>
      <c r="E223" s="120"/>
      <c r="F223" s="119"/>
      <c r="G223" s="114"/>
      <c r="H223" s="114"/>
      <c r="I223" s="114"/>
      <c r="J223" s="114"/>
      <c r="K223" s="114"/>
      <c r="L223" s="114"/>
      <c r="M223" s="114"/>
      <c r="N223" s="114"/>
      <c r="O223" s="114"/>
      <c r="P223" s="114"/>
      <c r="Q223" s="114"/>
      <c r="R223" s="114"/>
      <c r="S223" s="114"/>
      <c r="T223" s="114"/>
      <c r="U223" s="114"/>
      <c r="V223" s="114"/>
      <c r="W223" s="114"/>
      <c r="X223" s="114"/>
      <c r="Y223" s="114"/>
      <c r="Z223" s="114"/>
      <c r="AA223" s="114"/>
      <c r="AB223" s="114"/>
    </row>
    <row r="224" ht="15.75" customHeight="1">
      <c r="A224" s="117"/>
      <c r="B224" s="116"/>
      <c r="C224" s="116"/>
      <c r="D224" s="117"/>
      <c r="E224" s="120"/>
      <c r="F224" s="119"/>
      <c r="G224" s="114"/>
      <c r="H224" s="114"/>
      <c r="I224" s="114"/>
      <c r="J224" s="114"/>
      <c r="K224" s="114"/>
      <c r="L224" s="114"/>
      <c r="M224" s="114"/>
      <c r="N224" s="114"/>
      <c r="O224" s="114"/>
      <c r="P224" s="114"/>
      <c r="Q224" s="114"/>
      <c r="R224" s="114"/>
      <c r="S224" s="114"/>
      <c r="T224" s="114"/>
      <c r="U224" s="114"/>
      <c r="V224" s="114"/>
      <c r="W224" s="114"/>
      <c r="X224" s="114"/>
      <c r="Y224" s="114"/>
      <c r="Z224" s="114"/>
      <c r="AA224" s="114"/>
      <c r="AB224" s="114"/>
    </row>
    <row r="225" ht="15.75" customHeight="1">
      <c r="A225" s="117"/>
      <c r="B225" s="116"/>
      <c r="C225" s="116"/>
      <c r="D225" s="117"/>
      <c r="E225" s="120"/>
      <c r="F225" s="119"/>
      <c r="G225" s="114"/>
      <c r="H225" s="114"/>
      <c r="I225" s="114"/>
      <c r="J225" s="114"/>
      <c r="K225" s="114"/>
      <c r="L225" s="114"/>
      <c r="M225" s="114"/>
      <c r="N225" s="114"/>
      <c r="O225" s="114"/>
      <c r="P225" s="114"/>
      <c r="Q225" s="114"/>
      <c r="R225" s="114"/>
      <c r="S225" s="114"/>
      <c r="T225" s="114"/>
      <c r="U225" s="114"/>
      <c r="V225" s="114"/>
      <c r="W225" s="114"/>
      <c r="X225" s="114"/>
      <c r="Y225" s="114"/>
      <c r="Z225" s="114"/>
      <c r="AA225" s="114"/>
      <c r="AB225" s="114"/>
    </row>
    <row r="226" ht="15.75" customHeight="1">
      <c r="A226" s="117"/>
      <c r="B226" s="116"/>
      <c r="C226" s="116"/>
      <c r="D226" s="117"/>
      <c r="E226" s="120"/>
      <c r="F226" s="119"/>
      <c r="G226" s="114"/>
      <c r="H226" s="114"/>
      <c r="I226" s="114"/>
      <c r="J226" s="114"/>
      <c r="K226" s="114"/>
      <c r="L226" s="114"/>
      <c r="M226" s="114"/>
      <c r="N226" s="114"/>
      <c r="O226" s="114"/>
      <c r="P226" s="114"/>
      <c r="Q226" s="114"/>
      <c r="R226" s="114"/>
      <c r="S226" s="114"/>
      <c r="T226" s="114"/>
      <c r="U226" s="114"/>
      <c r="V226" s="114"/>
      <c r="W226" s="114"/>
      <c r="X226" s="114"/>
      <c r="Y226" s="114"/>
      <c r="Z226" s="114"/>
      <c r="AA226" s="114"/>
      <c r="AB226" s="114"/>
    </row>
    <row r="227" ht="15.75" customHeight="1">
      <c r="A227" s="117"/>
      <c r="B227" s="116"/>
      <c r="C227" s="116"/>
      <c r="D227" s="117"/>
      <c r="E227" s="120"/>
      <c r="F227" s="119"/>
      <c r="G227" s="114"/>
      <c r="H227" s="114"/>
      <c r="I227" s="114"/>
      <c r="J227" s="114"/>
      <c r="K227" s="114"/>
      <c r="L227" s="114"/>
      <c r="M227" s="114"/>
      <c r="N227" s="114"/>
      <c r="O227" s="114"/>
      <c r="P227" s="114"/>
      <c r="Q227" s="114"/>
      <c r="R227" s="114"/>
      <c r="S227" s="114"/>
      <c r="T227" s="114"/>
      <c r="U227" s="114"/>
      <c r="V227" s="114"/>
      <c r="W227" s="114"/>
      <c r="X227" s="114"/>
      <c r="Y227" s="114"/>
      <c r="Z227" s="114"/>
      <c r="AA227" s="114"/>
      <c r="AB227" s="114"/>
    </row>
    <row r="228" ht="15.75" customHeight="1">
      <c r="A228" s="117"/>
      <c r="B228" s="116"/>
      <c r="C228" s="116"/>
      <c r="D228" s="117"/>
      <c r="E228" s="120"/>
      <c r="F228" s="119"/>
      <c r="G228" s="114"/>
      <c r="H228" s="114"/>
      <c r="I228" s="114"/>
      <c r="J228" s="114"/>
      <c r="K228" s="114"/>
      <c r="L228" s="114"/>
      <c r="M228" s="114"/>
      <c r="N228" s="114"/>
      <c r="O228" s="114"/>
      <c r="P228" s="114"/>
      <c r="Q228" s="114"/>
      <c r="R228" s="114"/>
      <c r="S228" s="114"/>
      <c r="T228" s="114"/>
      <c r="U228" s="114"/>
      <c r="V228" s="114"/>
      <c r="W228" s="114"/>
      <c r="X228" s="114"/>
      <c r="Y228" s="114"/>
      <c r="Z228" s="114"/>
      <c r="AA228" s="114"/>
      <c r="AB228" s="114"/>
    </row>
    <row r="229" ht="15.75" customHeight="1">
      <c r="A229" s="117"/>
      <c r="B229" s="116"/>
      <c r="C229" s="116"/>
      <c r="D229" s="117"/>
      <c r="E229" s="120"/>
      <c r="F229" s="119"/>
      <c r="G229" s="114"/>
      <c r="H229" s="114"/>
      <c r="I229" s="114"/>
      <c r="J229" s="114"/>
      <c r="K229" s="114"/>
      <c r="L229" s="114"/>
      <c r="M229" s="114"/>
      <c r="N229" s="114"/>
      <c r="O229" s="114"/>
      <c r="P229" s="114"/>
      <c r="Q229" s="114"/>
      <c r="R229" s="114"/>
      <c r="S229" s="114"/>
      <c r="T229" s="114"/>
      <c r="U229" s="114"/>
      <c r="V229" s="114"/>
      <c r="W229" s="114"/>
      <c r="X229" s="114"/>
      <c r="Y229" s="114"/>
      <c r="Z229" s="114"/>
      <c r="AA229" s="114"/>
      <c r="AB229" s="114"/>
    </row>
    <row r="230" ht="15.75" customHeight="1">
      <c r="A230" s="117"/>
      <c r="B230" s="116"/>
      <c r="C230" s="116"/>
      <c r="D230" s="117"/>
      <c r="E230" s="120"/>
      <c r="F230" s="119"/>
      <c r="G230" s="114"/>
      <c r="H230" s="114"/>
      <c r="I230" s="114"/>
      <c r="J230" s="114"/>
      <c r="K230" s="114"/>
      <c r="L230" s="114"/>
      <c r="M230" s="114"/>
      <c r="N230" s="114"/>
      <c r="O230" s="114"/>
      <c r="P230" s="114"/>
      <c r="Q230" s="114"/>
      <c r="R230" s="114"/>
      <c r="S230" s="114"/>
      <c r="T230" s="114"/>
      <c r="U230" s="114"/>
      <c r="V230" s="114"/>
      <c r="W230" s="114"/>
      <c r="X230" s="114"/>
      <c r="Y230" s="114"/>
      <c r="Z230" s="114"/>
      <c r="AA230" s="114"/>
      <c r="AB230" s="114"/>
    </row>
    <row r="231" ht="15.75" customHeight="1">
      <c r="A231" s="117"/>
      <c r="B231" s="116"/>
      <c r="C231" s="116"/>
      <c r="D231" s="117"/>
      <c r="E231" s="120"/>
      <c r="F231" s="119"/>
      <c r="G231" s="114"/>
      <c r="H231" s="114"/>
      <c r="I231" s="114"/>
      <c r="J231" s="114"/>
      <c r="K231" s="114"/>
      <c r="L231" s="114"/>
      <c r="M231" s="114"/>
      <c r="N231" s="114"/>
      <c r="O231" s="114"/>
      <c r="P231" s="114"/>
      <c r="Q231" s="114"/>
      <c r="R231" s="114"/>
      <c r="S231" s="114"/>
      <c r="T231" s="114"/>
      <c r="U231" s="114"/>
      <c r="V231" s="114"/>
      <c r="W231" s="114"/>
      <c r="X231" s="114"/>
      <c r="Y231" s="114"/>
      <c r="Z231" s="114"/>
      <c r="AA231" s="114"/>
      <c r="AB231" s="114"/>
    </row>
    <row r="232" ht="15.75" customHeight="1">
      <c r="A232" s="117"/>
      <c r="B232" s="116"/>
      <c r="C232" s="116"/>
      <c r="D232" s="117"/>
      <c r="E232" s="120"/>
      <c r="F232" s="119"/>
      <c r="G232" s="114"/>
      <c r="H232" s="114"/>
      <c r="I232" s="114"/>
      <c r="J232" s="114"/>
      <c r="K232" s="114"/>
      <c r="L232" s="114"/>
      <c r="M232" s="114"/>
      <c r="N232" s="114"/>
      <c r="O232" s="114"/>
      <c r="P232" s="114"/>
      <c r="Q232" s="114"/>
      <c r="R232" s="114"/>
      <c r="S232" s="114"/>
      <c r="T232" s="114"/>
      <c r="U232" s="114"/>
      <c r="V232" s="114"/>
      <c r="W232" s="114"/>
      <c r="X232" s="114"/>
      <c r="Y232" s="114"/>
      <c r="Z232" s="114"/>
      <c r="AA232" s="114"/>
      <c r="AB232" s="114"/>
    </row>
    <row r="233" ht="15.75" customHeight="1">
      <c r="A233" s="117"/>
      <c r="B233" s="116"/>
      <c r="C233" s="116"/>
      <c r="D233" s="117"/>
      <c r="E233" s="120"/>
      <c r="F233" s="119"/>
      <c r="G233" s="114"/>
      <c r="H233" s="114"/>
      <c r="I233" s="114"/>
      <c r="J233" s="114"/>
      <c r="K233" s="114"/>
      <c r="L233" s="114"/>
      <c r="M233" s="114"/>
      <c r="N233" s="114"/>
      <c r="O233" s="114"/>
      <c r="P233" s="114"/>
      <c r="Q233" s="114"/>
      <c r="R233" s="114"/>
      <c r="S233" s="114"/>
      <c r="T233" s="114"/>
      <c r="U233" s="114"/>
      <c r="V233" s="114"/>
      <c r="W233" s="114"/>
      <c r="X233" s="114"/>
      <c r="Y233" s="114"/>
      <c r="Z233" s="114"/>
      <c r="AA233" s="114"/>
      <c r="AB233" s="114"/>
    </row>
    <row r="234" ht="15.75" customHeight="1">
      <c r="A234" s="117"/>
      <c r="B234" s="116"/>
      <c r="C234" s="116"/>
      <c r="D234" s="117"/>
      <c r="E234" s="120"/>
      <c r="F234" s="119"/>
      <c r="G234" s="114"/>
      <c r="H234" s="114"/>
      <c r="I234" s="114"/>
      <c r="J234" s="114"/>
      <c r="K234" s="114"/>
      <c r="L234" s="114"/>
      <c r="M234" s="114"/>
      <c r="N234" s="114"/>
      <c r="O234" s="114"/>
      <c r="P234" s="114"/>
      <c r="Q234" s="114"/>
      <c r="R234" s="114"/>
      <c r="S234" s="114"/>
      <c r="T234" s="114"/>
      <c r="U234" s="114"/>
      <c r="V234" s="114"/>
      <c r="W234" s="114"/>
      <c r="X234" s="114"/>
      <c r="Y234" s="114"/>
      <c r="Z234" s="114"/>
      <c r="AA234" s="114"/>
      <c r="AB234" s="114"/>
    </row>
    <row r="235" ht="15.75" customHeight="1">
      <c r="A235" s="117"/>
      <c r="B235" s="116"/>
      <c r="C235" s="116"/>
      <c r="D235" s="117"/>
      <c r="E235" s="120"/>
      <c r="F235" s="119"/>
      <c r="G235" s="114"/>
      <c r="H235" s="114"/>
      <c r="I235" s="114"/>
      <c r="J235" s="114"/>
      <c r="K235" s="114"/>
      <c r="L235" s="114"/>
      <c r="M235" s="114"/>
      <c r="N235" s="114"/>
      <c r="O235" s="114"/>
      <c r="P235" s="114"/>
      <c r="Q235" s="114"/>
      <c r="R235" s="114"/>
      <c r="S235" s="114"/>
      <c r="T235" s="114"/>
      <c r="U235" s="114"/>
      <c r="V235" s="114"/>
      <c r="W235" s="114"/>
      <c r="X235" s="114"/>
      <c r="Y235" s="114"/>
      <c r="Z235" s="114"/>
      <c r="AA235" s="114"/>
      <c r="AB235" s="114"/>
    </row>
    <row r="236" ht="15.75" customHeight="1">
      <c r="A236" s="117"/>
      <c r="B236" s="116"/>
      <c r="C236" s="116"/>
      <c r="D236" s="117"/>
      <c r="E236" s="120"/>
      <c r="F236" s="119"/>
      <c r="G236" s="114"/>
      <c r="H236" s="114"/>
      <c r="I236" s="114"/>
      <c r="J236" s="114"/>
      <c r="K236" s="114"/>
      <c r="L236" s="114"/>
      <c r="M236" s="114"/>
      <c r="N236" s="114"/>
      <c r="O236" s="114"/>
      <c r="P236" s="114"/>
      <c r="Q236" s="114"/>
      <c r="R236" s="114"/>
      <c r="S236" s="114"/>
      <c r="T236" s="114"/>
      <c r="U236" s="114"/>
      <c r="V236" s="114"/>
      <c r="W236" s="114"/>
      <c r="X236" s="114"/>
      <c r="Y236" s="114"/>
      <c r="Z236" s="114"/>
      <c r="AA236" s="114"/>
      <c r="AB236" s="114"/>
    </row>
    <row r="237" ht="15.75" customHeight="1">
      <c r="A237" s="117"/>
      <c r="B237" s="116"/>
      <c r="C237" s="116"/>
      <c r="D237" s="117"/>
      <c r="E237" s="120"/>
      <c r="F237" s="119"/>
      <c r="G237" s="114"/>
      <c r="H237" s="114"/>
      <c r="I237" s="114"/>
      <c r="J237" s="114"/>
      <c r="K237" s="114"/>
      <c r="L237" s="114"/>
      <c r="M237" s="114"/>
      <c r="N237" s="114"/>
      <c r="O237" s="114"/>
      <c r="P237" s="114"/>
      <c r="Q237" s="114"/>
      <c r="R237" s="114"/>
      <c r="S237" s="114"/>
      <c r="T237" s="114"/>
      <c r="U237" s="114"/>
      <c r="V237" s="114"/>
      <c r="W237" s="114"/>
      <c r="X237" s="114"/>
      <c r="Y237" s="114"/>
      <c r="Z237" s="114"/>
      <c r="AA237" s="114"/>
      <c r="AB237" s="114"/>
    </row>
    <row r="238" ht="15.75" customHeight="1">
      <c r="A238" s="117"/>
      <c r="B238" s="116"/>
      <c r="C238" s="116"/>
      <c r="D238" s="117"/>
      <c r="E238" s="120"/>
      <c r="F238" s="119"/>
      <c r="G238" s="114"/>
      <c r="H238" s="114"/>
      <c r="I238" s="114"/>
      <c r="J238" s="114"/>
      <c r="K238" s="114"/>
      <c r="L238" s="114"/>
      <c r="M238" s="114"/>
      <c r="N238" s="114"/>
      <c r="O238" s="114"/>
      <c r="P238" s="114"/>
      <c r="Q238" s="114"/>
      <c r="R238" s="114"/>
      <c r="S238" s="114"/>
      <c r="T238" s="114"/>
      <c r="U238" s="114"/>
      <c r="V238" s="114"/>
      <c r="W238" s="114"/>
      <c r="X238" s="114"/>
      <c r="Y238" s="114"/>
      <c r="Z238" s="114"/>
      <c r="AA238" s="114"/>
      <c r="AB238" s="114"/>
    </row>
    <row r="239" ht="15.75" customHeight="1">
      <c r="A239" s="117"/>
      <c r="B239" s="116"/>
      <c r="C239" s="116"/>
      <c r="D239" s="117"/>
      <c r="E239" s="120"/>
      <c r="F239" s="119"/>
      <c r="G239" s="114"/>
      <c r="H239" s="114"/>
      <c r="I239" s="114"/>
      <c r="J239" s="114"/>
      <c r="K239" s="114"/>
      <c r="L239" s="114"/>
      <c r="M239" s="114"/>
      <c r="N239" s="114"/>
      <c r="O239" s="114"/>
      <c r="P239" s="114"/>
      <c r="Q239" s="114"/>
      <c r="R239" s="114"/>
      <c r="S239" s="114"/>
      <c r="T239" s="114"/>
      <c r="U239" s="114"/>
      <c r="V239" s="114"/>
      <c r="W239" s="114"/>
      <c r="X239" s="114"/>
      <c r="Y239" s="114"/>
      <c r="Z239" s="114"/>
      <c r="AA239" s="114"/>
      <c r="AB239" s="114"/>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J2:M4"/>
    <mergeCell ref="A11:A12"/>
    <mergeCell ref="C11:C12"/>
  </mergeCells>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4.43" defaultRowHeight="15.0"/>
  <cols>
    <col customWidth="1" min="1" max="1" width="12.0"/>
    <col customWidth="1" min="2" max="2" width="25.0"/>
    <col customWidth="1" min="3" max="3" width="12.0"/>
    <col customWidth="1" min="4" max="4" width="15.0"/>
    <col customWidth="1" min="5" max="5" width="20.0"/>
    <col customWidth="1" min="6" max="21" width="13.0"/>
    <col customWidth="1" min="22" max="22" width="20.71"/>
    <col customWidth="1" min="23" max="23" width="21.14"/>
  </cols>
  <sheetData>
    <row r="1" ht="20.25" customHeight="1">
      <c r="A1" s="141" t="s">
        <v>123</v>
      </c>
      <c r="B1" s="141" t="s">
        <v>124</v>
      </c>
      <c r="C1" s="142" t="s">
        <v>44</v>
      </c>
      <c r="D1" s="142" t="s">
        <v>45</v>
      </c>
      <c r="E1" s="141" t="s">
        <v>14</v>
      </c>
      <c r="F1" s="143" t="s">
        <v>806</v>
      </c>
      <c r="G1" s="143" t="s">
        <v>807</v>
      </c>
      <c r="H1" s="143" t="s">
        <v>808</v>
      </c>
      <c r="I1" s="143" t="s">
        <v>809</v>
      </c>
      <c r="J1" s="143" t="s">
        <v>810</v>
      </c>
      <c r="K1" s="143" t="s">
        <v>811</v>
      </c>
      <c r="L1" s="143" t="s">
        <v>817</v>
      </c>
      <c r="M1" s="143" t="s">
        <v>818</v>
      </c>
      <c r="N1" s="143" t="s">
        <v>820</v>
      </c>
      <c r="O1" s="143" t="s">
        <v>821</v>
      </c>
      <c r="P1" s="143" t="s">
        <v>822</v>
      </c>
      <c r="Q1" s="143" t="s">
        <v>823</v>
      </c>
      <c r="R1" s="143" t="s">
        <v>824</v>
      </c>
      <c r="S1" s="143" t="s">
        <v>825</v>
      </c>
      <c r="T1" s="143" t="s">
        <v>826</v>
      </c>
      <c r="U1" s="143" t="s">
        <v>827</v>
      </c>
      <c r="V1" s="144" t="s">
        <v>828</v>
      </c>
      <c r="W1" s="144"/>
      <c r="X1" s="144"/>
      <c r="Y1" s="144"/>
      <c r="Z1" s="145"/>
    </row>
    <row r="2" ht="15.75" customHeight="1">
      <c r="A2" s="146" t="s">
        <v>296</v>
      </c>
      <c r="B2" s="146" t="str">
        <f>IFERROR(VLOOKUP(A2&amp;"", STUDENTS!A:B, 2, 0), "")</f>
        <v>LÊ THỊ THU HIỀN</v>
      </c>
      <c r="C2" s="147" t="s">
        <v>51</v>
      </c>
      <c r="D2" s="147" t="str">
        <f>IFERROR(VLOOKUP(C2, PIC!A:B, 2, 0), "")</f>
        <v>Anh Vu</v>
      </c>
      <c r="E2" s="148" t="s">
        <v>21</v>
      </c>
      <c r="F2" s="149" t="s">
        <v>815</v>
      </c>
      <c r="G2" s="150">
        <v>45712.45833333334</v>
      </c>
      <c r="H2" s="150">
        <v>45763.58333333334</v>
      </c>
      <c r="I2" s="149">
        <v>45770.54166666666</v>
      </c>
      <c r="J2" s="150">
        <v>45784.45833333334</v>
      </c>
      <c r="K2" s="149">
        <v>45819.58333333334</v>
      </c>
      <c r="L2" s="150">
        <v>45824.54166666666</v>
      </c>
      <c r="M2" s="150">
        <v>45831.54166666666</v>
      </c>
      <c r="N2" s="149">
        <v>45840.54166666666</v>
      </c>
      <c r="O2" s="149">
        <v>45867.41666666666</v>
      </c>
      <c r="P2" s="149"/>
      <c r="Q2" s="149"/>
      <c r="R2" s="149"/>
      <c r="S2" s="149"/>
      <c r="T2" s="149"/>
      <c r="U2" s="150"/>
      <c r="V2" s="151">
        <f t="shared" ref="V2:V147" si="1">MAX(F2:U2)</f>
        <v>45867.41667</v>
      </c>
      <c r="W2" s="152"/>
      <c r="X2" s="152"/>
      <c r="Y2" s="152"/>
      <c r="Z2" s="153"/>
    </row>
    <row r="3" ht="15.75" customHeight="1">
      <c r="A3" s="154" t="s">
        <v>296</v>
      </c>
      <c r="B3" s="154" t="str">
        <f>IFERROR(VLOOKUP(A3&amp;"", STUDENTS!A:B, 2, 0), "")</f>
        <v>LÊ THỊ THU HIỀN</v>
      </c>
      <c r="C3" s="155" t="s">
        <v>51</v>
      </c>
      <c r="D3" s="155" t="str">
        <f>IFERROR(VLOOKUP(C3, PIC!A:B, 2, 0), "")</f>
        <v>Anh Vu</v>
      </c>
      <c r="E3" s="156" t="s">
        <v>22</v>
      </c>
      <c r="F3" s="157">
        <v>45889.45833333334</v>
      </c>
      <c r="G3" s="158">
        <v>45896.45833333334</v>
      </c>
      <c r="H3" s="158"/>
      <c r="I3" s="157">
        <v>45922.54166666666</v>
      </c>
      <c r="J3" s="158">
        <v>45930.45833333334</v>
      </c>
      <c r="K3" s="157">
        <v>45937.45833333334</v>
      </c>
      <c r="L3" s="158">
        <v>45944.45833333334</v>
      </c>
      <c r="M3" s="158">
        <v>45950.45833333334</v>
      </c>
      <c r="N3" s="157">
        <v>45957.45833333334</v>
      </c>
      <c r="O3" s="157">
        <v>45965.45833333334</v>
      </c>
      <c r="P3" s="157">
        <v>45972.45833333334</v>
      </c>
      <c r="Q3" s="157">
        <v>45979.45833333334</v>
      </c>
      <c r="R3" s="157" t="s">
        <v>815</v>
      </c>
      <c r="S3" s="157">
        <v>45993.41666666666</v>
      </c>
      <c r="T3" s="157">
        <v>46000.45833333334</v>
      </c>
      <c r="U3" s="158">
        <v>46042.41666666666</v>
      </c>
      <c r="V3" s="159">
        <f t="shared" si="1"/>
        <v>46042.41667</v>
      </c>
      <c r="W3" s="160"/>
      <c r="X3" s="160"/>
      <c r="Y3" s="161"/>
    </row>
    <row r="4" ht="15.75" customHeight="1">
      <c r="A4" s="146" t="s">
        <v>319</v>
      </c>
      <c r="B4" s="146" t="str">
        <f>IFERROR(VLOOKUP(A4&amp;"", STUDENTS!A:B, 2, 0), "")</f>
        <v>LÝ THỊ DIỄM MY</v>
      </c>
      <c r="C4" s="147" t="s">
        <v>51</v>
      </c>
      <c r="D4" s="147" t="str">
        <f>IFERROR(VLOOKUP(C4, PIC!A:B, 2, 0), "")</f>
        <v>Anh Vu</v>
      </c>
      <c r="E4" s="148" t="s">
        <v>21</v>
      </c>
      <c r="F4" s="149" t="s">
        <v>815</v>
      </c>
      <c r="G4" s="149" t="s">
        <v>815</v>
      </c>
      <c r="H4" s="150">
        <v>45763.58333333334</v>
      </c>
      <c r="I4" s="149">
        <v>45770.54166666666</v>
      </c>
      <c r="J4" s="150">
        <v>45784.45833333334</v>
      </c>
      <c r="K4" s="149">
        <v>45819.58333333334</v>
      </c>
      <c r="L4" s="150">
        <v>45824.54166666666</v>
      </c>
      <c r="M4" s="150">
        <v>45831.54166666666</v>
      </c>
      <c r="N4" s="149">
        <v>45840.54166666666</v>
      </c>
      <c r="O4" s="149">
        <v>45867.41666666666</v>
      </c>
      <c r="P4" s="149"/>
      <c r="Q4" s="149"/>
      <c r="R4" s="149"/>
      <c r="S4" s="149"/>
      <c r="T4" s="149"/>
      <c r="U4" s="150"/>
      <c r="V4" s="151">
        <f t="shared" si="1"/>
        <v>45867.41667</v>
      </c>
      <c r="W4" s="152"/>
      <c r="X4" s="152"/>
      <c r="Y4" s="161"/>
    </row>
    <row r="5" ht="15.75" customHeight="1">
      <c r="A5" s="154" t="s">
        <v>319</v>
      </c>
      <c r="B5" s="154" t="str">
        <f>IFERROR(VLOOKUP(A5&amp;"", STUDENTS!A:B, 2, 0), "")</f>
        <v>LÝ THỊ DIỄM MY</v>
      </c>
      <c r="C5" s="155" t="s">
        <v>51</v>
      </c>
      <c r="D5" s="155" t="str">
        <f>IFERROR(VLOOKUP(C5, PIC!A:B, 2, 0), "")</f>
        <v>Anh Vu</v>
      </c>
      <c r="E5" s="156" t="s">
        <v>22</v>
      </c>
      <c r="F5" s="157">
        <v>45889.45833333334</v>
      </c>
      <c r="G5" s="158">
        <v>45896.45833333334</v>
      </c>
      <c r="H5" s="158"/>
      <c r="I5" s="157">
        <v>45922.54166666666</v>
      </c>
      <c r="J5" s="158">
        <v>45930.45833333334</v>
      </c>
      <c r="K5" s="157">
        <v>45937.45833333334</v>
      </c>
      <c r="L5" s="158">
        <v>45944.45833333334</v>
      </c>
      <c r="M5" s="158">
        <v>45950.45833333334</v>
      </c>
      <c r="N5" s="157">
        <v>45957.45833333334</v>
      </c>
      <c r="O5" s="157">
        <v>45965.45833333334</v>
      </c>
      <c r="P5" s="157">
        <v>45972.45833333334</v>
      </c>
      <c r="Q5" s="157">
        <v>45979.45833333334</v>
      </c>
      <c r="R5" s="157">
        <v>45986.45833333334</v>
      </c>
      <c r="S5" s="157">
        <v>45993.41666666666</v>
      </c>
      <c r="T5" s="157">
        <v>46000.45833333334</v>
      </c>
      <c r="U5" s="158">
        <v>46042.41666666666</v>
      </c>
      <c r="V5" s="159">
        <f t="shared" si="1"/>
        <v>46042.41667</v>
      </c>
      <c r="W5" s="160"/>
      <c r="X5" s="160"/>
      <c r="Y5" s="161"/>
    </row>
    <row r="6" ht="15.75" customHeight="1">
      <c r="A6" s="146" t="s">
        <v>474</v>
      </c>
      <c r="B6" s="146" t="str">
        <f>IFERROR(VLOOKUP(A6&amp;"", STUDENTS!A:B, 2, 0), "")</f>
        <v>NGUYỄN THỊ NGỌC DUNG</v>
      </c>
      <c r="C6" s="147" t="s">
        <v>51</v>
      </c>
      <c r="D6" s="147" t="str">
        <f>IFERROR(VLOOKUP(C6, PIC!A:B, 2, 0), "")</f>
        <v>Anh Vu</v>
      </c>
      <c r="E6" s="148" t="s">
        <v>21</v>
      </c>
      <c r="F6" s="149">
        <v>45700.41666666666</v>
      </c>
      <c r="G6" s="150">
        <v>45712.45833333334</v>
      </c>
      <c r="H6" s="150">
        <v>45763.58333333334</v>
      </c>
      <c r="I6" s="149">
        <v>45770.54166666666</v>
      </c>
      <c r="J6" s="150">
        <v>45784.45833333334</v>
      </c>
      <c r="K6" s="149">
        <v>45819.58333333334</v>
      </c>
      <c r="L6" s="150">
        <v>45824.54166666666</v>
      </c>
      <c r="M6" s="150">
        <v>45831.54166666666</v>
      </c>
      <c r="N6" s="149">
        <v>45840.54166666666</v>
      </c>
      <c r="O6" s="149">
        <v>45867.41666666666</v>
      </c>
      <c r="P6" s="149"/>
      <c r="Q6" s="149"/>
      <c r="R6" s="149"/>
      <c r="S6" s="149"/>
      <c r="T6" s="149"/>
      <c r="U6" s="150"/>
      <c r="V6" s="151">
        <f t="shared" si="1"/>
        <v>45867.41667</v>
      </c>
      <c r="W6" s="152"/>
      <c r="X6" s="152"/>
      <c r="Y6" s="161"/>
    </row>
    <row r="7" ht="15.75" customHeight="1">
      <c r="A7" s="154" t="s">
        <v>474</v>
      </c>
      <c r="B7" s="154" t="str">
        <f>IFERROR(VLOOKUP(A7&amp;"", STUDENTS!A:B, 2, 0), "")</f>
        <v>NGUYỄN THỊ NGỌC DUNG</v>
      </c>
      <c r="C7" s="155" t="s">
        <v>51</v>
      </c>
      <c r="D7" s="155" t="str">
        <f>IFERROR(VLOOKUP(C7, PIC!A:B, 2, 0), "")</f>
        <v>Anh Vu</v>
      </c>
      <c r="E7" s="156" t="s">
        <v>22</v>
      </c>
      <c r="F7" s="157">
        <v>45889.45833333334</v>
      </c>
      <c r="G7" s="158">
        <v>45896.45833333334</v>
      </c>
      <c r="H7" s="158"/>
      <c r="I7" s="157">
        <v>45922.54166666666</v>
      </c>
      <c r="J7" s="158">
        <v>45930.45833333334</v>
      </c>
      <c r="K7" s="157">
        <v>45937.45833333334</v>
      </c>
      <c r="L7" s="158">
        <v>45944.45833333334</v>
      </c>
      <c r="M7" s="158">
        <v>45950.45833333334</v>
      </c>
      <c r="N7" s="157">
        <v>45957.45833333334</v>
      </c>
      <c r="O7" s="157">
        <v>45965.45833333334</v>
      </c>
      <c r="P7" s="157">
        <v>45972.45833333334</v>
      </c>
      <c r="Q7" s="157">
        <v>45979.45833333334</v>
      </c>
      <c r="R7" s="157">
        <v>45986.45833333334</v>
      </c>
      <c r="S7" s="157">
        <v>45993.41666666666</v>
      </c>
      <c r="T7" s="157">
        <v>46000.45833333334</v>
      </c>
      <c r="U7" s="158">
        <v>46042.41666666666</v>
      </c>
      <c r="V7" s="159">
        <f t="shared" si="1"/>
        <v>46042.41667</v>
      </c>
      <c r="W7" s="160"/>
      <c r="X7" s="160"/>
      <c r="Y7" s="161"/>
    </row>
    <row r="8" ht="15.75" customHeight="1">
      <c r="A8" s="146" t="s">
        <v>657</v>
      </c>
      <c r="B8" s="146" t="str">
        <f>IFERROR(VLOOKUP(A8&amp;"", STUDENTS!A:B, 2, 0), "")</f>
        <v>TRẦN THỊ THANH NGA</v>
      </c>
      <c r="C8" s="147" t="s">
        <v>51</v>
      </c>
      <c r="D8" s="147" t="str">
        <f>IFERROR(VLOOKUP(C8, PIC!A:B, 2, 0), "")</f>
        <v>Anh Vu</v>
      </c>
      <c r="E8" s="148" t="s">
        <v>24</v>
      </c>
      <c r="F8" s="149">
        <v>46084.54166666666</v>
      </c>
      <c r="G8" s="150">
        <v>46091.58333333334</v>
      </c>
      <c r="H8" s="150">
        <v>46098.58333333334</v>
      </c>
      <c r="I8" s="149">
        <v>46105.58333333334</v>
      </c>
      <c r="J8" s="150">
        <v>46120.58333333334</v>
      </c>
      <c r="K8" s="149">
        <v>46127.58333333334</v>
      </c>
      <c r="L8" s="150"/>
      <c r="M8" s="150"/>
      <c r="N8" s="149"/>
      <c r="O8" s="149"/>
      <c r="P8" s="149"/>
      <c r="Q8" s="149"/>
      <c r="R8" s="149"/>
      <c r="S8" s="149"/>
      <c r="T8" s="149"/>
      <c r="U8" s="150"/>
      <c r="V8" s="151">
        <f t="shared" si="1"/>
        <v>46127.58333</v>
      </c>
      <c r="W8" s="152"/>
      <c r="X8" s="152"/>
      <c r="Y8" s="161"/>
    </row>
    <row r="9" ht="15.75" customHeight="1">
      <c r="A9" s="154" t="s">
        <v>657</v>
      </c>
      <c r="B9" s="154" t="str">
        <f>IFERROR(VLOOKUP(A9&amp;"", STUDENTS!A:B, 2, 0), "")</f>
        <v>TRẦN THỊ THANH NGA</v>
      </c>
      <c r="C9" s="155" t="s">
        <v>51</v>
      </c>
      <c r="D9" s="155" t="str">
        <f>IFERROR(VLOOKUP(C9, PIC!A:B, 2, 0), "")</f>
        <v>Anh Vu</v>
      </c>
      <c r="E9" s="156" t="s">
        <v>21</v>
      </c>
      <c r="F9" s="157">
        <v>45700.41666666666</v>
      </c>
      <c r="G9" s="158">
        <v>45712.45833333334</v>
      </c>
      <c r="H9" s="158">
        <v>45763.58333333334</v>
      </c>
      <c r="I9" s="157">
        <v>45770.54166666666</v>
      </c>
      <c r="J9" s="158">
        <v>45784.45833333334</v>
      </c>
      <c r="K9" s="157">
        <v>45819.58333333334</v>
      </c>
      <c r="L9" s="158">
        <v>45824.54166666666</v>
      </c>
      <c r="M9" s="158">
        <v>45831.54166666666</v>
      </c>
      <c r="N9" s="157">
        <v>45840.54166666666</v>
      </c>
      <c r="O9" s="157">
        <v>45867.41666666666</v>
      </c>
      <c r="P9" s="157"/>
      <c r="Q9" s="157"/>
      <c r="R9" s="157"/>
      <c r="S9" s="157"/>
      <c r="T9" s="157"/>
      <c r="U9" s="158"/>
      <c r="V9" s="159">
        <f t="shared" si="1"/>
        <v>45867.41667</v>
      </c>
      <c r="W9" s="160"/>
      <c r="X9" s="160"/>
      <c r="Y9" s="161"/>
    </row>
    <row r="10" ht="15.75" customHeight="1">
      <c r="A10" s="146" t="s">
        <v>657</v>
      </c>
      <c r="B10" s="146" t="str">
        <f>IFERROR(VLOOKUP(A10&amp;"", STUDENTS!A:B, 2, 0), "")</f>
        <v>TRẦN THỊ THANH NGA</v>
      </c>
      <c r="C10" s="147" t="s">
        <v>51</v>
      </c>
      <c r="D10" s="147" t="str">
        <f>IFERROR(VLOOKUP(C10, PIC!A:B, 2, 0), "")</f>
        <v>Anh Vu</v>
      </c>
      <c r="E10" s="148" t="s">
        <v>22</v>
      </c>
      <c r="F10" s="149">
        <v>45889.45833333334</v>
      </c>
      <c r="G10" s="150">
        <v>45896.45833333334</v>
      </c>
      <c r="H10" s="150"/>
      <c r="I10" s="149">
        <v>45922.54166666666</v>
      </c>
      <c r="J10" s="150">
        <v>45930.45833333334</v>
      </c>
      <c r="K10" s="149">
        <v>45937.45833333334</v>
      </c>
      <c r="L10" s="150">
        <v>45944.45833333334</v>
      </c>
      <c r="M10" s="150">
        <v>45950.45833333334</v>
      </c>
      <c r="N10" s="149">
        <v>45957.45833333334</v>
      </c>
      <c r="O10" s="149">
        <v>45965.45833333334</v>
      </c>
      <c r="P10" s="149">
        <v>45972.45833333334</v>
      </c>
      <c r="Q10" s="149">
        <v>45979.45833333334</v>
      </c>
      <c r="R10" s="149">
        <v>45986.45833333334</v>
      </c>
      <c r="S10" s="149">
        <v>45993.41666666666</v>
      </c>
      <c r="T10" s="149">
        <v>46000.45833333334</v>
      </c>
      <c r="U10" s="150">
        <v>46042.41666666666</v>
      </c>
      <c r="V10" s="151">
        <f t="shared" si="1"/>
        <v>46042.41667</v>
      </c>
      <c r="W10" s="152"/>
      <c r="X10" s="152"/>
      <c r="Y10" s="161"/>
    </row>
    <row r="11" ht="15.75" customHeight="1">
      <c r="A11" s="154" t="s">
        <v>659</v>
      </c>
      <c r="B11" s="154" t="str">
        <f>IFERROR(VLOOKUP(A11&amp;"", STUDENTS!A:B, 2, 0), "")</f>
        <v>TRẦN THỊ THÙY DUNG</v>
      </c>
      <c r="C11" s="155" t="s">
        <v>51</v>
      </c>
      <c r="D11" s="155" t="str">
        <f>IFERROR(VLOOKUP(C11, PIC!A:B, 2, 0), "")</f>
        <v>Anh Vu</v>
      </c>
      <c r="E11" s="156" t="s">
        <v>24</v>
      </c>
      <c r="F11" s="157">
        <v>46084.54166666666</v>
      </c>
      <c r="G11" s="158">
        <v>46091.58333333334</v>
      </c>
      <c r="H11" s="158">
        <v>46098.58333333334</v>
      </c>
      <c r="I11" s="157">
        <v>46105.58333333334</v>
      </c>
      <c r="J11" s="158">
        <v>46120.58333333334</v>
      </c>
      <c r="K11" s="157">
        <v>46127.58333333334</v>
      </c>
      <c r="L11" s="158"/>
      <c r="M11" s="158"/>
      <c r="N11" s="157"/>
      <c r="O11" s="157"/>
      <c r="P11" s="157"/>
      <c r="Q11" s="157"/>
      <c r="R11" s="157"/>
      <c r="S11" s="157"/>
      <c r="T11" s="157"/>
      <c r="U11" s="158"/>
      <c r="V11" s="159">
        <f t="shared" si="1"/>
        <v>46127.58333</v>
      </c>
      <c r="W11" s="160"/>
      <c r="X11" s="160"/>
      <c r="Y11" s="161"/>
    </row>
    <row r="12" ht="15.75" customHeight="1">
      <c r="A12" s="146" t="s">
        <v>659</v>
      </c>
      <c r="B12" s="146" t="str">
        <f>IFERROR(VLOOKUP(A12&amp;"", STUDENTS!A:B, 2, 0), "")</f>
        <v>TRẦN THỊ THÙY DUNG</v>
      </c>
      <c r="C12" s="147" t="s">
        <v>51</v>
      </c>
      <c r="D12" s="147" t="str">
        <f>IFERROR(VLOOKUP(C12, PIC!A:B, 2, 0), "")</f>
        <v>Anh Vu</v>
      </c>
      <c r="E12" s="148" t="s">
        <v>21</v>
      </c>
      <c r="F12" s="149">
        <v>45700.41666666666</v>
      </c>
      <c r="G12" s="150">
        <v>45712.45833333334</v>
      </c>
      <c r="H12" s="150">
        <v>45763.58333333334</v>
      </c>
      <c r="I12" s="149">
        <v>45770.54166666666</v>
      </c>
      <c r="J12" s="150">
        <v>45784.45833333334</v>
      </c>
      <c r="K12" s="149">
        <v>45819.58333333334</v>
      </c>
      <c r="L12" s="150">
        <v>45824.54166666666</v>
      </c>
      <c r="M12" s="150">
        <v>45831.54166666666</v>
      </c>
      <c r="N12" s="149">
        <v>45840.54166666666</v>
      </c>
      <c r="O12" s="149">
        <v>45867.41666666666</v>
      </c>
      <c r="P12" s="149"/>
      <c r="Q12" s="149"/>
      <c r="R12" s="149"/>
      <c r="S12" s="149"/>
      <c r="T12" s="149"/>
      <c r="U12" s="150"/>
      <c r="V12" s="151">
        <f t="shared" si="1"/>
        <v>45867.41667</v>
      </c>
      <c r="W12" s="152"/>
      <c r="X12" s="152"/>
      <c r="Y12" s="161"/>
    </row>
    <row r="13" ht="15.75" customHeight="1">
      <c r="A13" s="154" t="s">
        <v>659</v>
      </c>
      <c r="B13" s="154" t="str">
        <f>IFERROR(VLOOKUP(A13&amp;"", STUDENTS!A:B, 2, 0), "")</f>
        <v>TRẦN THỊ THÙY DUNG</v>
      </c>
      <c r="C13" s="155" t="s">
        <v>51</v>
      </c>
      <c r="D13" s="155" t="str">
        <f>IFERROR(VLOOKUP(C13, PIC!A:B, 2, 0), "")</f>
        <v>Anh Vu</v>
      </c>
      <c r="E13" s="156" t="s">
        <v>22</v>
      </c>
      <c r="F13" s="157">
        <v>45889.45833333334</v>
      </c>
      <c r="G13" s="158">
        <v>45896.45833333334</v>
      </c>
      <c r="H13" s="158"/>
      <c r="I13" s="157">
        <v>45922.54166666666</v>
      </c>
      <c r="J13" s="158">
        <v>45930.45833333334</v>
      </c>
      <c r="K13" s="157">
        <v>45937.45833333334</v>
      </c>
      <c r="L13" s="158">
        <v>45944.45833333334</v>
      </c>
      <c r="M13" s="158">
        <v>45950.45833333334</v>
      </c>
      <c r="N13" s="157">
        <v>45957.45833333334</v>
      </c>
      <c r="O13" s="157">
        <v>45965.45833333334</v>
      </c>
      <c r="P13" s="157">
        <v>45972.45833333334</v>
      </c>
      <c r="Q13" s="157">
        <v>45979.45833333334</v>
      </c>
      <c r="R13" s="157">
        <v>45986.45833333334</v>
      </c>
      <c r="S13" s="157">
        <v>45993.41666666666</v>
      </c>
      <c r="T13" s="157">
        <v>46000.45833333334</v>
      </c>
      <c r="U13" s="158">
        <v>46042.41666666666</v>
      </c>
      <c r="V13" s="159">
        <f t="shared" si="1"/>
        <v>46042.41667</v>
      </c>
      <c r="W13" s="160"/>
      <c r="X13" s="160"/>
      <c r="Y13" s="161"/>
    </row>
    <row r="14" ht="15.75" customHeight="1">
      <c r="A14" s="146" t="s">
        <v>721</v>
      </c>
      <c r="B14" s="146" t="str">
        <f>IFERROR(VLOOKUP(A14&amp;"", STUDENTS!A:B, 2, 0), "")</f>
        <v>VŨ TÚ ANH</v>
      </c>
      <c r="C14" s="147" t="s">
        <v>51</v>
      </c>
      <c r="D14" s="147" t="str">
        <f>IFERROR(VLOOKUP(C14, PIC!A:B, 2, 0), "")</f>
        <v>Anh Vu</v>
      </c>
      <c r="E14" s="148" t="s">
        <v>24</v>
      </c>
      <c r="F14" s="149">
        <v>46084.54166666666</v>
      </c>
      <c r="G14" s="150">
        <v>46091.58333333334</v>
      </c>
      <c r="H14" s="150">
        <v>46098.58333333334</v>
      </c>
      <c r="I14" s="149">
        <v>46105.58333333334</v>
      </c>
      <c r="J14" s="150">
        <v>46120.58333333334</v>
      </c>
      <c r="K14" s="149">
        <v>46127.58333333334</v>
      </c>
      <c r="L14" s="150"/>
      <c r="M14" s="150"/>
      <c r="N14" s="149"/>
      <c r="O14" s="149"/>
      <c r="P14" s="149"/>
      <c r="Q14" s="149"/>
      <c r="R14" s="149"/>
      <c r="S14" s="149"/>
      <c r="T14" s="149"/>
      <c r="U14" s="150"/>
      <c r="V14" s="151">
        <f t="shared" si="1"/>
        <v>46127.58333</v>
      </c>
      <c r="W14" s="152"/>
      <c r="X14" s="152"/>
      <c r="Y14" s="161"/>
    </row>
    <row r="15" ht="15.75" customHeight="1">
      <c r="A15" s="154" t="s">
        <v>721</v>
      </c>
      <c r="B15" s="154" t="str">
        <f>IFERROR(VLOOKUP(A15&amp;"", STUDENTS!A:B, 2, 0), "")</f>
        <v>VŨ TÚ ANH</v>
      </c>
      <c r="C15" s="155" t="s">
        <v>51</v>
      </c>
      <c r="D15" s="155" t="str">
        <f>IFERROR(VLOOKUP(C15, PIC!A:B, 2, 0), "")</f>
        <v>Anh Vu</v>
      </c>
      <c r="E15" s="156" t="s">
        <v>21</v>
      </c>
      <c r="F15" s="157">
        <v>45700.41666666666</v>
      </c>
      <c r="G15" s="158">
        <v>45712.45833333334</v>
      </c>
      <c r="H15" s="158">
        <v>45763.58333333334</v>
      </c>
      <c r="I15" s="157">
        <v>45770.54166666666</v>
      </c>
      <c r="J15" s="158">
        <v>45784.45833333334</v>
      </c>
      <c r="K15" s="157">
        <v>45819.58333333334</v>
      </c>
      <c r="L15" s="158">
        <v>45824.54166666666</v>
      </c>
      <c r="M15" s="158">
        <v>45831.54166666666</v>
      </c>
      <c r="N15" s="157">
        <v>45840.54166666666</v>
      </c>
      <c r="O15" s="157">
        <v>45867.41666666666</v>
      </c>
      <c r="P15" s="157"/>
      <c r="Q15" s="157"/>
      <c r="R15" s="157"/>
      <c r="S15" s="157"/>
      <c r="T15" s="157"/>
      <c r="U15" s="158"/>
      <c r="V15" s="159">
        <f t="shared" si="1"/>
        <v>45867.41667</v>
      </c>
      <c r="W15" s="160"/>
      <c r="X15" s="160"/>
      <c r="Y15" s="161"/>
    </row>
    <row r="16" ht="15.75" customHeight="1">
      <c r="A16" s="146" t="s">
        <v>721</v>
      </c>
      <c r="B16" s="146" t="str">
        <f>IFERROR(VLOOKUP(A16&amp;"", STUDENTS!A:B, 2, 0), "")</f>
        <v>VŨ TÚ ANH</v>
      </c>
      <c r="C16" s="147" t="s">
        <v>51</v>
      </c>
      <c r="D16" s="147" t="str">
        <f>IFERROR(VLOOKUP(C16, PIC!A:B, 2, 0), "")</f>
        <v>Anh Vu</v>
      </c>
      <c r="E16" s="148" t="s">
        <v>22</v>
      </c>
      <c r="F16" s="149">
        <v>45889.45833333334</v>
      </c>
      <c r="G16" s="150">
        <v>45896.45833333334</v>
      </c>
      <c r="H16" s="150"/>
      <c r="I16" s="149">
        <v>45922.54166666666</v>
      </c>
      <c r="J16" s="150">
        <v>45930.45833333334</v>
      </c>
      <c r="K16" s="149">
        <v>45937.45833333334</v>
      </c>
      <c r="L16" s="150">
        <v>45944.45833333334</v>
      </c>
      <c r="M16" s="150">
        <v>45950.45833333334</v>
      </c>
      <c r="N16" s="149">
        <v>45957.45833333334</v>
      </c>
      <c r="O16" s="149">
        <v>45965.45833333334</v>
      </c>
      <c r="P16" s="149">
        <v>45972.45833333334</v>
      </c>
      <c r="Q16" s="149">
        <v>45979.45833333334</v>
      </c>
      <c r="R16" s="149">
        <v>45986.45833333334</v>
      </c>
      <c r="S16" s="149">
        <v>45993.41666666666</v>
      </c>
      <c r="T16" s="149">
        <v>46000.45833333334</v>
      </c>
      <c r="U16" s="150">
        <v>46042.41666666666</v>
      </c>
      <c r="V16" s="151">
        <f t="shared" si="1"/>
        <v>46042.41667</v>
      </c>
      <c r="W16" s="152"/>
      <c r="X16" s="152"/>
      <c r="Y16" s="161"/>
    </row>
    <row r="17" ht="15.75" customHeight="1">
      <c r="A17" s="154" t="s">
        <v>170</v>
      </c>
      <c r="B17" s="154" t="str">
        <f>IFERROR(VLOOKUP(A17&amp;"", STUDENTS!A:B, 2, 0), "")</f>
        <v>ĐỖ CHÂU BỬU</v>
      </c>
      <c r="C17" s="155" t="s">
        <v>52</v>
      </c>
      <c r="D17" s="155" t="str">
        <f>IFERROR(VLOOKUP(C17, PIC!A:B, 2, 0), "")</f>
        <v>Buu Do 1</v>
      </c>
      <c r="E17" s="156" t="s">
        <v>21</v>
      </c>
      <c r="F17" s="157">
        <v>45715.41666666666</v>
      </c>
      <c r="G17" s="158">
        <v>45765.54166666666</v>
      </c>
      <c r="H17" s="158" t="s">
        <v>815</v>
      </c>
      <c r="I17" s="157" t="s">
        <v>815</v>
      </c>
      <c r="J17" s="158">
        <v>45793.54166666666</v>
      </c>
      <c r="K17" s="157">
        <v>45800.54166666666</v>
      </c>
      <c r="L17" s="158" t="s">
        <v>815</v>
      </c>
      <c r="M17" s="158" t="s">
        <v>815</v>
      </c>
      <c r="N17" s="157" t="s">
        <v>815</v>
      </c>
      <c r="O17" s="157" t="s">
        <v>815</v>
      </c>
      <c r="P17" s="157"/>
      <c r="Q17" s="157"/>
      <c r="R17" s="157"/>
      <c r="S17" s="157"/>
      <c r="T17" s="157"/>
      <c r="U17" s="158"/>
      <c r="V17" s="159">
        <f t="shared" si="1"/>
        <v>45800.54167</v>
      </c>
      <c r="W17" s="160"/>
      <c r="X17" s="160"/>
      <c r="Y17" s="161"/>
    </row>
    <row r="18" ht="15.75" customHeight="1">
      <c r="A18" s="146" t="s">
        <v>196</v>
      </c>
      <c r="B18" s="146" t="str">
        <f>IFERROR(VLOOKUP(A18&amp;"", STUDENTS!A:B, 2, 0), "")</f>
        <v>ĐOÀN TRẦN BÁ ĐẠT</v>
      </c>
      <c r="C18" s="147" t="s">
        <v>52</v>
      </c>
      <c r="D18" s="147" t="str">
        <f>IFERROR(VLOOKUP(C18, PIC!A:B, 2, 0), "")</f>
        <v>Buu Do 1</v>
      </c>
      <c r="E18" s="148" t="s">
        <v>21</v>
      </c>
      <c r="F18" s="149">
        <v>45715.41666666666</v>
      </c>
      <c r="G18" s="150">
        <v>45765.54166666666</v>
      </c>
      <c r="H18" s="150">
        <v>45771.58333333334</v>
      </c>
      <c r="I18" s="149">
        <v>45785.54166666666</v>
      </c>
      <c r="J18" s="150">
        <v>45793.54166666666</v>
      </c>
      <c r="K18" s="149">
        <v>45800.54166666666</v>
      </c>
      <c r="L18" s="150">
        <v>45827.58333333334</v>
      </c>
      <c r="M18" s="150">
        <v>45869.625</v>
      </c>
      <c r="N18" s="149">
        <v>45912.41666666666</v>
      </c>
      <c r="O18" s="149">
        <v>45954.375</v>
      </c>
      <c r="P18" s="149"/>
      <c r="Q18" s="149"/>
      <c r="R18" s="149"/>
      <c r="S18" s="149"/>
      <c r="T18" s="149"/>
      <c r="U18" s="150"/>
      <c r="V18" s="151">
        <f t="shared" si="1"/>
        <v>45954.375</v>
      </c>
      <c r="W18" s="152"/>
      <c r="X18" s="152"/>
      <c r="Y18" s="161"/>
    </row>
    <row r="19" ht="15.75" customHeight="1">
      <c r="A19" s="154" t="s">
        <v>328</v>
      </c>
      <c r="B19" s="154" t="str">
        <f>IFERROR(VLOOKUP(A19&amp;"", STUDENTS!A:B, 2, 0), "")</f>
        <v>NGÔ TRỌNG NGHĨA</v>
      </c>
      <c r="C19" s="155" t="s">
        <v>52</v>
      </c>
      <c r="D19" s="155" t="str">
        <f>IFERROR(VLOOKUP(C19, PIC!A:B, 2, 0), "")</f>
        <v>Buu Do 1</v>
      </c>
      <c r="E19" s="156" t="s">
        <v>21</v>
      </c>
      <c r="F19" s="157">
        <v>45715.45833333334</v>
      </c>
      <c r="G19" s="158">
        <v>45765.54166666666</v>
      </c>
      <c r="H19" s="158">
        <v>45771.58333333334</v>
      </c>
      <c r="I19" s="157" t="s">
        <v>815</v>
      </c>
      <c r="J19" s="158">
        <v>45793.54166666666</v>
      </c>
      <c r="K19" s="157">
        <v>45800.54166666666</v>
      </c>
      <c r="L19" s="158">
        <v>45827.58333333334</v>
      </c>
      <c r="M19" s="158">
        <v>45869.625</v>
      </c>
      <c r="N19" s="157">
        <v>45912.41666666666</v>
      </c>
      <c r="O19" s="157">
        <v>45954.375</v>
      </c>
      <c r="P19" s="157"/>
      <c r="Q19" s="157"/>
      <c r="R19" s="157"/>
      <c r="S19" s="157"/>
      <c r="T19" s="157"/>
      <c r="U19" s="158"/>
      <c r="V19" s="159">
        <f t="shared" si="1"/>
        <v>45954.375</v>
      </c>
      <c r="W19" s="160"/>
      <c r="X19" s="160"/>
      <c r="Y19" s="161"/>
    </row>
    <row r="20" ht="15.75" customHeight="1">
      <c r="A20" s="146" t="s">
        <v>506</v>
      </c>
      <c r="B20" s="146" t="str">
        <f>IFERROR(VLOOKUP(A20&amp;"", STUDENTS!A:B, 2, 0), "")</f>
        <v>NGUYỄN VĂN HOÀNG</v>
      </c>
      <c r="C20" s="147" t="s">
        <v>52</v>
      </c>
      <c r="D20" s="147" t="str">
        <f>IFERROR(VLOOKUP(C20, PIC!A:B, 2, 0), "")</f>
        <v>Buu Do 1</v>
      </c>
      <c r="E20" s="148" t="s">
        <v>21</v>
      </c>
      <c r="F20" s="149">
        <v>45715.41666666666</v>
      </c>
      <c r="G20" s="150">
        <v>45765.54166666666</v>
      </c>
      <c r="H20" s="150">
        <v>45771.58333333334</v>
      </c>
      <c r="I20" s="149">
        <v>45785.54166666666</v>
      </c>
      <c r="J20" s="150" t="s">
        <v>815</v>
      </c>
      <c r="K20" s="149">
        <v>45800.54166666666</v>
      </c>
      <c r="L20" s="150">
        <v>45827.58333333334</v>
      </c>
      <c r="M20" s="150" t="s">
        <v>815</v>
      </c>
      <c r="N20" s="149" t="s">
        <v>815</v>
      </c>
      <c r="O20" s="149" t="s">
        <v>815</v>
      </c>
      <c r="P20" s="149"/>
      <c r="Q20" s="149"/>
      <c r="R20" s="149"/>
      <c r="S20" s="149"/>
      <c r="T20" s="149"/>
      <c r="U20" s="150"/>
      <c r="V20" s="151">
        <f t="shared" si="1"/>
        <v>45827.58333</v>
      </c>
      <c r="W20" s="152"/>
      <c r="X20" s="152"/>
      <c r="Y20" s="161"/>
    </row>
    <row r="21" ht="15.75" customHeight="1">
      <c r="A21" s="154" t="s">
        <v>605</v>
      </c>
      <c r="B21" s="154" t="str">
        <f>IFERROR(VLOOKUP(A21&amp;"", STUDENTS!A:B, 2, 0), "")</f>
        <v>TRẦN ĐỨC LỢI</v>
      </c>
      <c r="C21" s="155" t="s">
        <v>52</v>
      </c>
      <c r="D21" s="155" t="str">
        <f>IFERROR(VLOOKUP(C21, PIC!A:B, 2, 0), "")</f>
        <v>Buu Do 1</v>
      </c>
      <c r="E21" s="156" t="s">
        <v>21</v>
      </c>
      <c r="F21" s="157">
        <v>45715.41666666666</v>
      </c>
      <c r="G21" s="158">
        <v>45765.54166666666</v>
      </c>
      <c r="H21" s="158" t="s">
        <v>815</v>
      </c>
      <c r="I21" s="157" t="s">
        <v>815</v>
      </c>
      <c r="J21" s="158" t="s">
        <v>815</v>
      </c>
      <c r="K21" s="157">
        <v>45800.54166666666</v>
      </c>
      <c r="L21" s="158">
        <v>45827.58333333334</v>
      </c>
      <c r="M21" s="158" t="s">
        <v>815</v>
      </c>
      <c r="N21" s="157" t="s">
        <v>815</v>
      </c>
      <c r="O21" s="157" t="s">
        <v>815</v>
      </c>
      <c r="P21" s="157"/>
      <c r="Q21" s="157"/>
      <c r="R21" s="157"/>
      <c r="S21" s="157"/>
      <c r="T21" s="157"/>
      <c r="U21" s="158"/>
      <c r="V21" s="159">
        <f t="shared" si="1"/>
        <v>45827.58333</v>
      </c>
      <c r="W21" s="160"/>
      <c r="X21" s="160"/>
      <c r="Y21" s="161"/>
    </row>
    <row r="22" ht="15.75" customHeight="1">
      <c r="A22" s="146" t="s">
        <v>677</v>
      </c>
      <c r="B22" s="146" t="str">
        <f>IFERROR(VLOOKUP(A22&amp;"", STUDENTS!A:B, 2, 0), "")</f>
        <v>TRƯƠNG ĐĂNG QUANG</v>
      </c>
      <c r="C22" s="147" t="s">
        <v>52</v>
      </c>
      <c r="D22" s="147" t="str">
        <f>IFERROR(VLOOKUP(C22, PIC!A:B, 2, 0), "")</f>
        <v>Buu Do 1</v>
      </c>
      <c r="E22" s="148" t="s">
        <v>21</v>
      </c>
      <c r="F22" s="149">
        <v>45715.41666666666</v>
      </c>
      <c r="G22" s="150">
        <v>45765.54166666666</v>
      </c>
      <c r="H22" s="150">
        <v>45771.58333333334</v>
      </c>
      <c r="I22" s="149">
        <v>45785.54166666666</v>
      </c>
      <c r="J22" s="150">
        <v>45793.54166666666</v>
      </c>
      <c r="K22" s="149">
        <v>45800.54166666666</v>
      </c>
      <c r="L22" s="150" t="s">
        <v>815</v>
      </c>
      <c r="M22" s="150">
        <v>45869.625</v>
      </c>
      <c r="N22" s="149">
        <v>45912.41666666666</v>
      </c>
      <c r="O22" s="149">
        <v>45954.375</v>
      </c>
      <c r="P22" s="149"/>
      <c r="Q22" s="149"/>
      <c r="R22" s="149"/>
      <c r="S22" s="149"/>
      <c r="T22" s="149"/>
      <c r="U22" s="150"/>
      <c r="V22" s="151">
        <f t="shared" si="1"/>
        <v>45954.375</v>
      </c>
      <c r="W22" s="152"/>
      <c r="X22" s="152"/>
      <c r="Y22" s="161"/>
    </row>
    <row r="23" ht="15.75" customHeight="1">
      <c r="A23" s="154" t="s">
        <v>687</v>
      </c>
      <c r="B23" s="154" t="str">
        <f>IFERROR(VLOOKUP(A23&amp;"", STUDENTS!A:B, 2, 0), "")</f>
        <v>VĂN TÂN LỢI</v>
      </c>
      <c r="C23" s="155" t="s">
        <v>52</v>
      </c>
      <c r="D23" s="155" t="str">
        <f>IFERROR(VLOOKUP(C23, PIC!A:B, 2, 0), "")</f>
        <v>Buu Do 1</v>
      </c>
      <c r="E23" s="156" t="s">
        <v>21</v>
      </c>
      <c r="F23" s="157">
        <v>45715.41666666666</v>
      </c>
      <c r="G23" s="158">
        <v>45765.54166666666</v>
      </c>
      <c r="H23" s="158">
        <v>45771.58333333334</v>
      </c>
      <c r="I23" s="157">
        <v>45785.54166666666</v>
      </c>
      <c r="J23" s="158">
        <v>45793.54166666666</v>
      </c>
      <c r="K23" s="157">
        <v>45800.54166666666</v>
      </c>
      <c r="L23" s="158" t="s">
        <v>815</v>
      </c>
      <c r="M23" s="158">
        <v>45869.625</v>
      </c>
      <c r="N23" s="157">
        <v>45912.41666666666</v>
      </c>
      <c r="O23" s="157">
        <v>45954.375</v>
      </c>
      <c r="P23" s="157"/>
      <c r="Q23" s="157"/>
      <c r="R23" s="157"/>
      <c r="S23" s="157"/>
      <c r="T23" s="157"/>
      <c r="U23" s="158"/>
      <c r="V23" s="159">
        <f t="shared" si="1"/>
        <v>45954.375</v>
      </c>
      <c r="W23" s="160"/>
      <c r="X23" s="160"/>
      <c r="Y23" s="161"/>
    </row>
    <row r="24" ht="15.75" customHeight="1">
      <c r="A24" s="146" t="s">
        <v>701</v>
      </c>
      <c r="B24" s="146" t="str">
        <f>IFERROR(VLOOKUP(A24&amp;"", STUDENTS!A:B, 2, 0), "")</f>
        <v>VÕ PHÚ PHÁT</v>
      </c>
      <c r="C24" s="147" t="s">
        <v>52</v>
      </c>
      <c r="D24" s="147" t="str">
        <f>IFERROR(VLOOKUP(C24, PIC!A:B, 2, 0), "")</f>
        <v>Buu Do 1</v>
      </c>
      <c r="E24" s="148" t="s">
        <v>21</v>
      </c>
      <c r="F24" s="149">
        <v>45715.41666666666</v>
      </c>
      <c r="G24" s="150">
        <v>45765.54166666666</v>
      </c>
      <c r="H24" s="150">
        <v>45771.58333333334</v>
      </c>
      <c r="I24" s="149">
        <v>45785.54166666666</v>
      </c>
      <c r="J24" s="150">
        <v>45793.54166666666</v>
      </c>
      <c r="K24" s="149">
        <v>45800.54166666666</v>
      </c>
      <c r="L24" s="150">
        <v>45827.58333333334</v>
      </c>
      <c r="M24" s="150">
        <v>45869.625</v>
      </c>
      <c r="N24" s="149">
        <v>45912.41666666666</v>
      </c>
      <c r="O24" s="149">
        <v>45954.375</v>
      </c>
      <c r="P24" s="149"/>
      <c r="Q24" s="149"/>
      <c r="R24" s="149"/>
      <c r="S24" s="149"/>
      <c r="T24" s="149"/>
      <c r="U24" s="150"/>
      <c r="V24" s="151">
        <f t="shared" si="1"/>
        <v>45954.375</v>
      </c>
      <c r="W24" s="152"/>
      <c r="X24" s="152"/>
      <c r="Y24" s="161"/>
    </row>
    <row r="25" ht="15.75" customHeight="1">
      <c r="A25" s="154" t="s">
        <v>325</v>
      </c>
      <c r="B25" s="154" t="str">
        <f>IFERROR(VLOOKUP(A25&amp;"", STUDENTS!A:B, 2, 0), "")</f>
        <v>NGÔ THỤY THANH NHƯ</v>
      </c>
      <c r="C25" s="155" t="s">
        <v>53</v>
      </c>
      <c r="D25" s="155" t="str">
        <f>IFERROR(VLOOKUP(C25, PIC!A:B, 2, 0), "")</f>
        <v>Buu Do 2</v>
      </c>
      <c r="E25" s="156" t="s">
        <v>21</v>
      </c>
      <c r="F25" s="157">
        <v>45715.45833333334</v>
      </c>
      <c r="G25" s="158" t="s">
        <v>815</v>
      </c>
      <c r="H25" s="158">
        <v>45772.54166666666</v>
      </c>
      <c r="I25" s="157">
        <v>45793.58333333334</v>
      </c>
      <c r="J25" s="158">
        <v>45800.58333333334</v>
      </c>
      <c r="K25" s="157">
        <v>45813.58333333334</v>
      </c>
      <c r="L25" s="158">
        <v>45820.625</v>
      </c>
      <c r="M25" s="158">
        <v>45827.625</v>
      </c>
      <c r="N25" s="157">
        <v>45834.58333333334</v>
      </c>
      <c r="O25" s="157">
        <v>45882.54166666666</v>
      </c>
      <c r="P25" s="157"/>
      <c r="Q25" s="157"/>
      <c r="R25" s="157"/>
      <c r="S25" s="157"/>
      <c r="T25" s="157"/>
      <c r="U25" s="158"/>
      <c r="V25" s="159">
        <f t="shared" si="1"/>
        <v>45882.54167</v>
      </c>
      <c r="W25" s="160"/>
      <c r="X25" s="160"/>
      <c r="Y25" s="161"/>
    </row>
    <row r="26" ht="15.75" customHeight="1">
      <c r="A26" s="146" t="s">
        <v>415</v>
      </c>
      <c r="B26" s="146" t="str">
        <f>IFERROR(VLOOKUP(A26&amp;"", STUDENTS!A:B, 2, 0), "")</f>
        <v>NGUYỄN NGỌC NGUYỆT NGÂN</v>
      </c>
      <c r="C26" s="147" t="s">
        <v>53</v>
      </c>
      <c r="D26" s="147" t="str">
        <f>IFERROR(VLOOKUP(C26, PIC!A:B, 2, 0), "")</f>
        <v>Buu Do 2</v>
      </c>
      <c r="E26" s="148" t="s">
        <v>21</v>
      </c>
      <c r="F26" s="149">
        <v>45715.45833333334</v>
      </c>
      <c r="G26" s="150">
        <v>45763.45833333334</v>
      </c>
      <c r="H26" s="150">
        <v>45772.54166666666</v>
      </c>
      <c r="I26" s="149">
        <v>45793.58333333334</v>
      </c>
      <c r="J26" s="150">
        <v>45800.58333333334</v>
      </c>
      <c r="K26" s="149">
        <v>45813.58333333334</v>
      </c>
      <c r="L26" s="150">
        <v>45820.625</v>
      </c>
      <c r="M26" s="150" t="s">
        <v>815</v>
      </c>
      <c r="N26" s="149">
        <v>45834.58333333334</v>
      </c>
      <c r="O26" s="149">
        <v>45882.54166666666</v>
      </c>
      <c r="P26" s="149"/>
      <c r="Q26" s="149"/>
      <c r="R26" s="149"/>
      <c r="S26" s="149"/>
      <c r="T26" s="149"/>
      <c r="U26" s="150"/>
      <c r="V26" s="151">
        <f t="shared" si="1"/>
        <v>45882.54167</v>
      </c>
      <c r="W26" s="152"/>
      <c r="X26" s="152"/>
      <c r="Y26" s="161"/>
    </row>
    <row r="27" ht="15.75" customHeight="1">
      <c r="A27" s="154" t="s">
        <v>461</v>
      </c>
      <c r="B27" s="154" t="str">
        <f>IFERROR(VLOOKUP(A27&amp;"", STUDENTS!A:B, 2, 0), "")</f>
        <v>NGUYỄN THỊ HIỀN NI</v>
      </c>
      <c r="C27" s="155" t="s">
        <v>53</v>
      </c>
      <c r="D27" s="155" t="str">
        <f>IFERROR(VLOOKUP(C27, PIC!A:B, 2, 0), "")</f>
        <v>Buu Do 2</v>
      </c>
      <c r="E27" s="156" t="s">
        <v>21</v>
      </c>
      <c r="F27" s="157" t="s">
        <v>815</v>
      </c>
      <c r="G27" s="158">
        <v>45763.45833333334</v>
      </c>
      <c r="H27" s="158">
        <v>45772.54166666666</v>
      </c>
      <c r="I27" s="157" t="s">
        <v>815</v>
      </c>
      <c r="J27" s="158">
        <v>45800.58333333334</v>
      </c>
      <c r="K27" s="157">
        <v>45813.58333333334</v>
      </c>
      <c r="L27" s="158">
        <v>45820.625</v>
      </c>
      <c r="M27" s="158">
        <v>45827.625</v>
      </c>
      <c r="N27" s="157">
        <v>45834.58333333334</v>
      </c>
      <c r="O27" s="157">
        <v>45882.54166666666</v>
      </c>
      <c r="P27" s="157"/>
      <c r="Q27" s="157"/>
      <c r="R27" s="157"/>
      <c r="S27" s="157"/>
      <c r="T27" s="157"/>
      <c r="U27" s="158"/>
      <c r="V27" s="159">
        <f t="shared" si="1"/>
        <v>45882.54167</v>
      </c>
      <c r="W27" s="160"/>
      <c r="X27" s="160"/>
      <c r="Y27" s="161"/>
    </row>
    <row r="28" ht="15.75" customHeight="1">
      <c r="A28" s="146" t="s">
        <v>534</v>
      </c>
      <c r="B28" s="146" t="str">
        <f>IFERROR(VLOOKUP(A28&amp;"", STUDENTS!A:B, 2, 0), "")</f>
        <v>PHẠM LÊ HOÀI PHƯƠNG</v>
      </c>
      <c r="C28" s="147" t="s">
        <v>53</v>
      </c>
      <c r="D28" s="147" t="str">
        <f>IFERROR(VLOOKUP(C28, PIC!A:B, 2, 0), "")</f>
        <v>Buu Do 2</v>
      </c>
      <c r="E28" s="148" t="s">
        <v>21</v>
      </c>
      <c r="F28" s="149">
        <v>45715.45833333334</v>
      </c>
      <c r="G28" s="150">
        <v>45763.45833333334</v>
      </c>
      <c r="H28" s="150">
        <v>45772.54166666666</v>
      </c>
      <c r="I28" s="149">
        <v>45793.58333333334</v>
      </c>
      <c r="J28" s="150">
        <v>45800.58333333334</v>
      </c>
      <c r="K28" s="149">
        <v>45813.625</v>
      </c>
      <c r="L28" s="150">
        <v>45820.625</v>
      </c>
      <c r="M28" s="150">
        <v>45827.625</v>
      </c>
      <c r="N28" s="149">
        <v>45834.58333333334</v>
      </c>
      <c r="O28" s="149">
        <v>45882.54166666666</v>
      </c>
      <c r="P28" s="149"/>
      <c r="Q28" s="149"/>
      <c r="R28" s="149"/>
      <c r="S28" s="149"/>
      <c r="T28" s="149"/>
      <c r="U28" s="150"/>
      <c r="V28" s="151">
        <f t="shared" si="1"/>
        <v>45882.54167</v>
      </c>
      <c r="W28" s="152"/>
      <c r="X28" s="152"/>
      <c r="Y28" s="161"/>
    </row>
    <row r="29" ht="15.75" customHeight="1">
      <c r="A29" s="154" t="s">
        <v>560</v>
      </c>
      <c r="B29" s="154" t="str">
        <f>IFERROR(VLOOKUP(A29&amp;"", STUDENTS!A:B, 2, 0), "")</f>
        <v>PHAN HỮU CƯỜNG</v>
      </c>
      <c r="C29" s="155" t="s">
        <v>53</v>
      </c>
      <c r="D29" s="155" t="str">
        <f>IFERROR(VLOOKUP(C29, PIC!A:B, 2, 0), "")</f>
        <v>Buu Do 2</v>
      </c>
      <c r="E29" s="156" t="s">
        <v>21</v>
      </c>
      <c r="F29" s="157">
        <v>45715.45833333334</v>
      </c>
      <c r="G29" s="158">
        <v>45763.45833333334</v>
      </c>
      <c r="H29" s="158">
        <v>45772.54166666666</v>
      </c>
      <c r="I29" s="157" t="s">
        <v>815</v>
      </c>
      <c r="J29" s="158">
        <v>45800.58333333334</v>
      </c>
      <c r="K29" s="157">
        <v>45813.58333333334</v>
      </c>
      <c r="L29" s="158">
        <v>45820.625</v>
      </c>
      <c r="M29" s="158">
        <v>45827.625</v>
      </c>
      <c r="N29" s="157">
        <v>45834.58333333334</v>
      </c>
      <c r="O29" s="157">
        <v>45882.54166666666</v>
      </c>
      <c r="P29" s="157"/>
      <c r="Q29" s="157"/>
      <c r="R29" s="157"/>
      <c r="S29" s="157"/>
      <c r="T29" s="157"/>
      <c r="U29" s="158"/>
      <c r="V29" s="159">
        <f t="shared" si="1"/>
        <v>45882.54167</v>
      </c>
      <c r="W29" s="160"/>
      <c r="X29" s="160"/>
      <c r="Y29" s="161"/>
    </row>
    <row r="30" ht="15.75" customHeight="1">
      <c r="A30" s="146" t="s">
        <v>144</v>
      </c>
      <c r="B30" s="146" t="str">
        <f>IFERROR(VLOOKUP(A30&amp;"", STUDENTS!A:B, 2, 0), "")</f>
        <v>BÙI NGỌC QUỐC</v>
      </c>
      <c r="C30" s="147" t="s">
        <v>54</v>
      </c>
      <c r="D30" s="147" t="str">
        <f>IFERROR(VLOOKUP(C30, PIC!A:B, 2, 0), "")</f>
        <v>Cuong Nguyen</v>
      </c>
      <c r="E30" s="148" t="s">
        <v>21</v>
      </c>
      <c r="F30" s="149" t="s">
        <v>815</v>
      </c>
      <c r="G30" s="150">
        <v>45665.375</v>
      </c>
      <c r="H30" s="150">
        <v>45679.41666666666</v>
      </c>
      <c r="I30" s="149" t="s">
        <v>815</v>
      </c>
      <c r="J30" s="150">
        <v>45702.58333333334</v>
      </c>
      <c r="K30" s="149" t="s">
        <v>815</v>
      </c>
      <c r="L30" s="150">
        <v>45716.375</v>
      </c>
      <c r="M30" s="150">
        <v>45764.375</v>
      </c>
      <c r="N30" s="149" t="s">
        <v>815</v>
      </c>
      <c r="O30" s="149">
        <v>45820.375</v>
      </c>
      <c r="P30" s="149"/>
      <c r="Q30" s="149"/>
      <c r="R30" s="149"/>
      <c r="S30" s="149"/>
      <c r="T30" s="149"/>
      <c r="U30" s="150"/>
      <c r="V30" s="151">
        <f t="shared" si="1"/>
        <v>45820.375</v>
      </c>
      <c r="W30" s="152"/>
      <c r="X30" s="152"/>
      <c r="Y30" s="161"/>
    </row>
    <row r="31" ht="15.75" customHeight="1">
      <c r="A31" s="154" t="s">
        <v>144</v>
      </c>
      <c r="B31" s="154" t="str">
        <f>IFERROR(VLOOKUP(A31&amp;"", STUDENTS!A:B, 2, 0), "")</f>
        <v>BÙI NGỌC QUỐC</v>
      </c>
      <c r="C31" s="155" t="s">
        <v>54</v>
      </c>
      <c r="D31" s="155" t="str">
        <f>IFERROR(VLOOKUP(C31, PIC!A:B, 2, 0), "")</f>
        <v>Cuong Nguyen</v>
      </c>
      <c r="E31" s="156" t="s">
        <v>22</v>
      </c>
      <c r="F31" s="157">
        <v>45869.58333333334</v>
      </c>
      <c r="G31" s="158">
        <v>45881.375</v>
      </c>
      <c r="H31" s="158">
        <v>45890.375</v>
      </c>
      <c r="I31" s="157">
        <v>45897.625</v>
      </c>
      <c r="J31" s="158" t="s">
        <v>815</v>
      </c>
      <c r="K31" s="157">
        <v>45909.375</v>
      </c>
      <c r="L31" s="158">
        <v>45917.375</v>
      </c>
      <c r="M31" s="158" t="s">
        <v>815</v>
      </c>
      <c r="N31" s="157" t="s">
        <v>815</v>
      </c>
      <c r="O31" s="157">
        <v>45939.375</v>
      </c>
      <c r="P31" s="157" t="s">
        <v>815</v>
      </c>
      <c r="Q31" s="157">
        <v>45966.41666666666</v>
      </c>
      <c r="R31" s="157" t="s">
        <v>815</v>
      </c>
      <c r="S31" s="157" t="s">
        <v>815</v>
      </c>
      <c r="T31" s="157">
        <v>46035.41666666666</v>
      </c>
      <c r="U31" s="158">
        <v>46084.41666666666</v>
      </c>
      <c r="V31" s="159">
        <f t="shared" si="1"/>
        <v>46084.41667</v>
      </c>
      <c r="W31" s="160"/>
      <c r="X31" s="160"/>
      <c r="Y31" s="161"/>
    </row>
    <row r="32" ht="15.75" customHeight="1">
      <c r="A32" s="146" t="s">
        <v>155</v>
      </c>
      <c r="B32" s="146" t="str">
        <f>IFERROR(VLOOKUP(A32&amp;"", STUDENTS!A:B, 2, 0), "")</f>
        <v>ĐẶNG QUỐC MẠNH</v>
      </c>
      <c r="C32" s="147" t="s">
        <v>54</v>
      </c>
      <c r="D32" s="147" t="str">
        <f>IFERROR(VLOOKUP(C32, PIC!A:B, 2, 0), "")</f>
        <v>Cuong Nguyen</v>
      </c>
      <c r="E32" s="148" t="s">
        <v>21</v>
      </c>
      <c r="F32" s="149">
        <v>45639.58333333334</v>
      </c>
      <c r="G32" s="150">
        <v>45672.41666666666</v>
      </c>
      <c r="H32" s="150" t="s">
        <v>815</v>
      </c>
      <c r="I32" s="149" t="s">
        <v>815</v>
      </c>
      <c r="J32" s="150">
        <v>45716.375</v>
      </c>
      <c r="K32" s="149">
        <v>45764.375</v>
      </c>
      <c r="L32" s="150">
        <v>45769.375</v>
      </c>
      <c r="M32" s="150">
        <v>45785.41666666666</v>
      </c>
      <c r="N32" s="149" t="s">
        <v>815</v>
      </c>
      <c r="O32" s="149">
        <v>45820.375</v>
      </c>
      <c r="P32" s="149"/>
      <c r="Q32" s="149"/>
      <c r="R32" s="149"/>
      <c r="S32" s="149"/>
      <c r="T32" s="149"/>
      <c r="U32" s="150"/>
      <c r="V32" s="151">
        <f t="shared" si="1"/>
        <v>45820.375</v>
      </c>
      <c r="W32" s="152"/>
      <c r="X32" s="152"/>
      <c r="Y32" s="161"/>
    </row>
    <row r="33" ht="15.75" customHeight="1">
      <c r="A33" s="154" t="s">
        <v>155</v>
      </c>
      <c r="B33" s="154" t="str">
        <f>IFERROR(VLOOKUP(A33&amp;"", STUDENTS!A:B, 2, 0), "")</f>
        <v>ĐẶNG QUỐC MẠNH</v>
      </c>
      <c r="C33" s="155" t="s">
        <v>54</v>
      </c>
      <c r="D33" s="155" t="str">
        <f>IFERROR(VLOOKUP(C33, PIC!A:B, 2, 0), "")</f>
        <v>Cuong Nguyen</v>
      </c>
      <c r="E33" s="156" t="s">
        <v>22</v>
      </c>
      <c r="F33" s="157">
        <v>45869.58333333334</v>
      </c>
      <c r="G33" s="158">
        <v>45881.375</v>
      </c>
      <c r="H33" s="158" t="s">
        <v>815</v>
      </c>
      <c r="I33" s="157">
        <v>45897.625</v>
      </c>
      <c r="J33" s="158" t="s">
        <v>815</v>
      </c>
      <c r="K33" s="157">
        <v>45909.375</v>
      </c>
      <c r="L33" s="158">
        <v>45917.375</v>
      </c>
      <c r="M33" s="158">
        <v>45923.375</v>
      </c>
      <c r="N33" s="157" t="s">
        <v>815</v>
      </c>
      <c r="O33" s="157">
        <v>45939.375</v>
      </c>
      <c r="P33" s="157">
        <v>45944.41666666666</v>
      </c>
      <c r="Q33" s="157" t="s">
        <v>815</v>
      </c>
      <c r="R33" s="157">
        <v>46007.41666666666</v>
      </c>
      <c r="S33" s="157" t="s">
        <v>815</v>
      </c>
      <c r="T33" s="157">
        <v>46035.41666666666</v>
      </c>
      <c r="U33" s="158">
        <v>46084.41666666666</v>
      </c>
      <c r="V33" s="159">
        <f t="shared" si="1"/>
        <v>46084.41667</v>
      </c>
      <c r="W33" s="160"/>
      <c r="X33" s="160"/>
      <c r="Y33" s="161"/>
    </row>
    <row r="34" ht="15.75" customHeight="1">
      <c r="A34" s="146" t="s">
        <v>226</v>
      </c>
      <c r="B34" s="146" t="str">
        <f>IFERROR(VLOOKUP(A34&amp;"", STUDENTS!A:B, 2, 0), "")</f>
        <v>HOÀNG XUÂN MẪN</v>
      </c>
      <c r="C34" s="147" t="s">
        <v>54</v>
      </c>
      <c r="D34" s="147" t="str">
        <f>IFERROR(VLOOKUP(C34, PIC!A:B, 2, 0), "")</f>
        <v>Cuong Nguyen</v>
      </c>
      <c r="E34" s="148" t="s">
        <v>21</v>
      </c>
      <c r="F34" s="149">
        <v>45639.58333333334</v>
      </c>
      <c r="G34" s="150">
        <v>45665.375</v>
      </c>
      <c r="H34" s="150">
        <v>45679.41666666666</v>
      </c>
      <c r="I34" s="149">
        <v>45709.375</v>
      </c>
      <c r="J34" s="150" t="s">
        <v>815</v>
      </c>
      <c r="K34" s="149" t="s">
        <v>815</v>
      </c>
      <c r="L34" s="150">
        <v>45769.375</v>
      </c>
      <c r="M34" s="150" t="s">
        <v>815</v>
      </c>
      <c r="N34" s="149">
        <v>45792.41666666666</v>
      </c>
      <c r="O34" s="149">
        <v>45820.375</v>
      </c>
      <c r="P34" s="149"/>
      <c r="Q34" s="149"/>
      <c r="R34" s="149"/>
      <c r="S34" s="149"/>
      <c r="T34" s="149"/>
      <c r="U34" s="150"/>
      <c r="V34" s="151">
        <f t="shared" si="1"/>
        <v>45820.375</v>
      </c>
      <c r="W34" s="152"/>
      <c r="X34" s="152"/>
      <c r="Y34" s="161"/>
    </row>
    <row r="35" ht="15.75" customHeight="1">
      <c r="A35" s="154" t="s">
        <v>226</v>
      </c>
      <c r="B35" s="154" t="str">
        <f>IFERROR(VLOOKUP(A35&amp;"", STUDENTS!A:B, 2, 0), "")</f>
        <v>HOÀNG XUÂN MẪN</v>
      </c>
      <c r="C35" s="155" t="s">
        <v>54</v>
      </c>
      <c r="D35" s="155" t="str">
        <f>IFERROR(VLOOKUP(C35, PIC!A:B, 2, 0), "")</f>
        <v>Cuong Nguyen</v>
      </c>
      <c r="E35" s="156" t="s">
        <v>22</v>
      </c>
      <c r="F35" s="157">
        <v>45869.58333333334</v>
      </c>
      <c r="G35" s="158">
        <v>45881.375</v>
      </c>
      <c r="H35" s="158" t="s">
        <v>815</v>
      </c>
      <c r="I35" s="157" t="s">
        <v>815</v>
      </c>
      <c r="J35" s="158">
        <v>45904.375</v>
      </c>
      <c r="K35" s="157">
        <v>45909.375</v>
      </c>
      <c r="L35" s="158">
        <v>45917.375</v>
      </c>
      <c r="M35" s="158">
        <v>45923.375</v>
      </c>
      <c r="N35" s="157">
        <v>45932.375</v>
      </c>
      <c r="O35" s="157">
        <v>45939.375</v>
      </c>
      <c r="P35" s="157">
        <v>45944.41666666666</v>
      </c>
      <c r="Q35" s="157" t="s">
        <v>815</v>
      </c>
      <c r="R35" s="157" t="s">
        <v>815</v>
      </c>
      <c r="S35" s="157">
        <v>46021.41666666666</v>
      </c>
      <c r="T35" s="157">
        <v>46035.41666666666</v>
      </c>
      <c r="U35" s="158">
        <v>46084.41666666666</v>
      </c>
      <c r="V35" s="159">
        <f t="shared" si="1"/>
        <v>46084.41667</v>
      </c>
      <c r="W35" s="160"/>
      <c r="X35" s="160"/>
      <c r="Y35" s="161"/>
    </row>
    <row r="36" ht="15.75" customHeight="1">
      <c r="A36" s="146" t="s">
        <v>245</v>
      </c>
      <c r="B36" s="146" t="str">
        <f>IFERROR(VLOOKUP(A36&amp;"", STUDENTS!A:B, 2, 0), "")</f>
        <v>HUỲNH TUẤN KHANH</v>
      </c>
      <c r="C36" s="147" t="s">
        <v>54</v>
      </c>
      <c r="D36" s="147" t="str">
        <f>IFERROR(VLOOKUP(C36, PIC!A:B, 2, 0), "")</f>
        <v>Cuong Nguyen</v>
      </c>
      <c r="E36" s="148" t="s">
        <v>21</v>
      </c>
      <c r="F36" s="149">
        <v>45639.58333333334</v>
      </c>
      <c r="G36" s="150">
        <v>45672.41666666666</v>
      </c>
      <c r="H36" s="150">
        <v>45702.58333333334</v>
      </c>
      <c r="I36" s="149">
        <v>45709.375</v>
      </c>
      <c r="J36" s="150">
        <v>45716.375</v>
      </c>
      <c r="K36" s="149">
        <v>45764.375</v>
      </c>
      <c r="L36" s="150">
        <v>45769.375</v>
      </c>
      <c r="M36" s="150">
        <v>45785.41666666666</v>
      </c>
      <c r="N36" s="149">
        <v>45792.41666666666</v>
      </c>
      <c r="O36" s="149">
        <v>45820.375</v>
      </c>
      <c r="P36" s="149"/>
      <c r="Q36" s="149"/>
      <c r="R36" s="149"/>
      <c r="S36" s="149"/>
      <c r="T36" s="149"/>
      <c r="U36" s="150"/>
      <c r="V36" s="151">
        <f t="shared" si="1"/>
        <v>45820.375</v>
      </c>
      <c r="W36" s="152"/>
      <c r="X36" s="152"/>
      <c r="Y36" s="161"/>
    </row>
    <row r="37" ht="15.75" customHeight="1">
      <c r="A37" s="154" t="s">
        <v>245</v>
      </c>
      <c r="B37" s="154" t="str">
        <f>IFERROR(VLOOKUP(A37&amp;"", STUDENTS!A:B, 2, 0), "")</f>
        <v>HUỲNH TUẤN KHANH</v>
      </c>
      <c r="C37" s="155" t="s">
        <v>54</v>
      </c>
      <c r="D37" s="155" t="str">
        <f>IFERROR(VLOOKUP(C37, PIC!A:B, 2, 0), "")</f>
        <v>Cuong Nguyen</v>
      </c>
      <c r="E37" s="156" t="s">
        <v>22</v>
      </c>
      <c r="F37" s="157">
        <v>45869.58333333334</v>
      </c>
      <c r="G37" s="158">
        <v>45881.375</v>
      </c>
      <c r="H37" s="158">
        <v>45890.375</v>
      </c>
      <c r="I37" s="157">
        <v>45897.625</v>
      </c>
      <c r="J37" s="158" t="s">
        <v>815</v>
      </c>
      <c r="K37" s="157">
        <v>45909.375</v>
      </c>
      <c r="L37" s="158">
        <v>45917.375</v>
      </c>
      <c r="M37" s="158">
        <v>45923.375</v>
      </c>
      <c r="N37" s="157">
        <v>45932.375</v>
      </c>
      <c r="O37" s="157">
        <v>45939.375</v>
      </c>
      <c r="P37" s="157">
        <v>45944.41666666666</v>
      </c>
      <c r="Q37" s="157">
        <v>45966.41666666666</v>
      </c>
      <c r="R37" s="157">
        <v>46007.41666666666</v>
      </c>
      <c r="S37" s="157">
        <v>46021.41666666666</v>
      </c>
      <c r="T37" s="157">
        <v>46035.41666666666</v>
      </c>
      <c r="U37" s="158">
        <v>46084.41666666666</v>
      </c>
      <c r="V37" s="159">
        <f t="shared" si="1"/>
        <v>46084.41667</v>
      </c>
      <c r="W37" s="160"/>
      <c r="X37" s="160"/>
      <c r="Y37" s="161"/>
    </row>
    <row r="38" ht="15.75" customHeight="1">
      <c r="A38" s="146" t="s">
        <v>352</v>
      </c>
      <c r="B38" s="146" t="str">
        <f>IFERROR(VLOOKUP(A38&amp;"", STUDENTS!A:B, 2, 0), "")</f>
        <v>NGUYỄN ĐÔNG HỒ</v>
      </c>
      <c r="C38" s="147" t="s">
        <v>54</v>
      </c>
      <c r="D38" s="147" t="str">
        <f>IFERROR(VLOOKUP(C38, PIC!A:B, 2, 0), "")</f>
        <v>Cuong Nguyen</v>
      </c>
      <c r="E38" s="148" t="s">
        <v>21</v>
      </c>
      <c r="F38" s="149">
        <v>45639.58333333334</v>
      </c>
      <c r="G38" s="150">
        <v>45672.41666666666</v>
      </c>
      <c r="H38" s="150">
        <v>45702.58333333334</v>
      </c>
      <c r="I38" s="149">
        <v>45709.375</v>
      </c>
      <c r="J38" s="150">
        <v>45716.375</v>
      </c>
      <c r="K38" s="149">
        <v>45764.375</v>
      </c>
      <c r="L38" s="150">
        <v>45769.375</v>
      </c>
      <c r="M38" s="150">
        <v>45785.41666666666</v>
      </c>
      <c r="N38" s="149" t="s">
        <v>815</v>
      </c>
      <c r="O38" s="149">
        <v>45820.375</v>
      </c>
      <c r="P38" s="149"/>
      <c r="Q38" s="149"/>
      <c r="R38" s="149"/>
      <c r="S38" s="149"/>
      <c r="T38" s="149"/>
      <c r="U38" s="150"/>
      <c r="V38" s="151">
        <f t="shared" si="1"/>
        <v>45820.375</v>
      </c>
      <c r="W38" s="152"/>
      <c r="X38" s="152"/>
      <c r="Y38" s="161"/>
    </row>
    <row r="39" ht="15.75" customHeight="1">
      <c r="A39" s="154" t="s">
        <v>352</v>
      </c>
      <c r="B39" s="154" t="str">
        <f>IFERROR(VLOOKUP(A39&amp;"", STUDENTS!A:B, 2, 0), "")</f>
        <v>NGUYỄN ĐÔNG HỒ</v>
      </c>
      <c r="C39" s="155" t="s">
        <v>54</v>
      </c>
      <c r="D39" s="155" t="str">
        <f>IFERROR(VLOOKUP(C39, PIC!A:B, 2, 0), "")</f>
        <v>Cuong Nguyen</v>
      </c>
      <c r="E39" s="156" t="s">
        <v>22</v>
      </c>
      <c r="F39" s="157">
        <v>45869.58333333334</v>
      </c>
      <c r="G39" s="158">
        <v>45881.375</v>
      </c>
      <c r="H39" s="158">
        <v>45890.375</v>
      </c>
      <c r="I39" s="157" t="s">
        <v>815</v>
      </c>
      <c r="J39" s="158">
        <v>45904.375</v>
      </c>
      <c r="K39" s="157" t="s">
        <v>815</v>
      </c>
      <c r="L39" s="158">
        <v>45917.375</v>
      </c>
      <c r="M39" s="158">
        <v>45923.375</v>
      </c>
      <c r="N39" s="157">
        <v>45932.375</v>
      </c>
      <c r="O39" s="157">
        <v>45939.375</v>
      </c>
      <c r="P39" s="157" t="s">
        <v>815</v>
      </c>
      <c r="Q39" s="157">
        <v>45966.41666666666</v>
      </c>
      <c r="R39" s="157">
        <v>46007.41666666666</v>
      </c>
      <c r="S39" s="157" t="s">
        <v>815</v>
      </c>
      <c r="T39" s="157">
        <v>46035.41666666666</v>
      </c>
      <c r="U39" s="158">
        <v>46084.41666666666</v>
      </c>
      <c r="V39" s="159">
        <f t="shared" si="1"/>
        <v>46084.41667</v>
      </c>
      <c r="W39" s="160"/>
      <c r="X39" s="160"/>
      <c r="Y39" s="161"/>
    </row>
    <row r="40" ht="15.75" customHeight="1">
      <c r="A40" s="146" t="s">
        <v>510</v>
      </c>
      <c r="B40" s="146" t="str">
        <f>IFERROR(VLOOKUP(A40&amp;"", STUDENTS!A:B, 2, 0), "")</f>
        <v>NGUYỄN VĂN MẠNH CƯỜNG</v>
      </c>
      <c r="C40" s="147" t="s">
        <v>54</v>
      </c>
      <c r="D40" s="147" t="str">
        <f>IFERROR(VLOOKUP(C40, PIC!A:B, 2, 0), "")</f>
        <v>Cuong Nguyen</v>
      </c>
      <c r="E40" s="148" t="s">
        <v>21</v>
      </c>
      <c r="F40" s="149">
        <v>45639.58333333334</v>
      </c>
      <c r="G40" s="150">
        <v>45672.41666666666</v>
      </c>
      <c r="H40" s="150">
        <v>45679.41666666666</v>
      </c>
      <c r="I40" s="149">
        <v>45709.375</v>
      </c>
      <c r="J40" s="150">
        <v>45716.375</v>
      </c>
      <c r="K40" s="149">
        <v>45764.375</v>
      </c>
      <c r="L40" s="150">
        <v>45769.375</v>
      </c>
      <c r="M40" s="150">
        <v>45785.41666666666</v>
      </c>
      <c r="N40" s="149">
        <v>45792.41666666666</v>
      </c>
      <c r="O40" s="149">
        <v>45820.375</v>
      </c>
      <c r="P40" s="149"/>
      <c r="Q40" s="149"/>
      <c r="R40" s="149"/>
      <c r="S40" s="149"/>
      <c r="T40" s="149"/>
      <c r="U40" s="150"/>
      <c r="V40" s="151">
        <f t="shared" si="1"/>
        <v>45820.375</v>
      </c>
      <c r="W40" s="152"/>
      <c r="X40" s="152"/>
      <c r="Y40" s="161"/>
    </row>
    <row r="41" ht="15.75" customHeight="1">
      <c r="A41" s="154" t="s">
        <v>510</v>
      </c>
      <c r="B41" s="154" t="str">
        <f>IFERROR(VLOOKUP(A41&amp;"", STUDENTS!A:B, 2, 0), "")</f>
        <v>NGUYỄN VĂN MẠNH CƯỜNG</v>
      </c>
      <c r="C41" s="155" t="s">
        <v>54</v>
      </c>
      <c r="D41" s="155" t="str">
        <f>IFERROR(VLOOKUP(C41, PIC!A:B, 2, 0), "")</f>
        <v>Cuong Nguyen</v>
      </c>
      <c r="E41" s="156" t="s">
        <v>22</v>
      </c>
      <c r="F41" s="157">
        <v>45869.58333333334</v>
      </c>
      <c r="G41" s="158">
        <v>45881.375</v>
      </c>
      <c r="H41" s="158">
        <v>45890.375</v>
      </c>
      <c r="I41" s="157">
        <v>45897.625</v>
      </c>
      <c r="J41" s="158">
        <v>45904.375</v>
      </c>
      <c r="K41" s="157">
        <v>45909.375</v>
      </c>
      <c r="L41" s="158">
        <v>45917.375</v>
      </c>
      <c r="M41" s="158">
        <v>45923.375</v>
      </c>
      <c r="N41" s="157">
        <v>45932.375</v>
      </c>
      <c r="O41" s="157">
        <v>45939.375</v>
      </c>
      <c r="P41" s="157">
        <v>45944.41666666666</v>
      </c>
      <c r="Q41" s="157">
        <v>45966.41666666666</v>
      </c>
      <c r="R41" s="157">
        <v>46007.41666666666</v>
      </c>
      <c r="S41" s="157" t="s">
        <v>815</v>
      </c>
      <c r="T41" s="157">
        <v>46035.41666666666</v>
      </c>
      <c r="U41" s="158">
        <v>46084.41666666666</v>
      </c>
      <c r="V41" s="159">
        <f t="shared" si="1"/>
        <v>46084.41667</v>
      </c>
      <c r="W41" s="160"/>
      <c r="X41" s="160"/>
      <c r="Y41" s="161"/>
    </row>
    <row r="42" ht="15.75" customHeight="1">
      <c r="A42" s="146" t="s">
        <v>553</v>
      </c>
      <c r="B42" s="146" t="str">
        <f>IFERROR(VLOOKUP(A42&amp;"", STUDENTS!A:B, 2, 0), "")</f>
        <v>PHAN CÔNG TOẠI</v>
      </c>
      <c r="C42" s="147" t="s">
        <v>54</v>
      </c>
      <c r="D42" s="147" t="str">
        <f>IFERROR(VLOOKUP(C42, PIC!A:B, 2, 0), "")</f>
        <v>Cuong Nguyen</v>
      </c>
      <c r="E42" s="148" t="s">
        <v>21</v>
      </c>
      <c r="F42" s="149">
        <v>45639.58333333334</v>
      </c>
      <c r="G42" s="150">
        <v>45672.41666666666</v>
      </c>
      <c r="H42" s="150" t="s">
        <v>815</v>
      </c>
      <c r="I42" s="149">
        <v>45709.375</v>
      </c>
      <c r="J42" s="150">
        <v>45716.375</v>
      </c>
      <c r="K42" s="149">
        <v>45764.375</v>
      </c>
      <c r="L42" s="150">
        <v>45769.375</v>
      </c>
      <c r="M42" s="150">
        <v>45785.41666666666</v>
      </c>
      <c r="N42" s="149">
        <v>45792.41666666666</v>
      </c>
      <c r="O42" s="149">
        <v>45820.375</v>
      </c>
      <c r="P42" s="149"/>
      <c r="Q42" s="149"/>
      <c r="R42" s="149"/>
      <c r="S42" s="149"/>
      <c r="T42" s="149"/>
      <c r="U42" s="150"/>
      <c r="V42" s="151">
        <f t="shared" si="1"/>
        <v>45820.375</v>
      </c>
      <c r="W42" s="152"/>
      <c r="X42" s="152"/>
      <c r="Y42" s="161"/>
    </row>
    <row r="43" ht="15.75" customHeight="1">
      <c r="A43" s="154" t="s">
        <v>553</v>
      </c>
      <c r="B43" s="154" t="str">
        <f>IFERROR(VLOOKUP(A43&amp;"", STUDENTS!A:B, 2, 0), "")</f>
        <v>PHAN CÔNG TOẠI</v>
      </c>
      <c r="C43" s="155" t="s">
        <v>54</v>
      </c>
      <c r="D43" s="155" t="str">
        <f>IFERROR(VLOOKUP(C43, PIC!A:B, 2, 0), "")</f>
        <v>Cuong Nguyen</v>
      </c>
      <c r="E43" s="156" t="s">
        <v>22</v>
      </c>
      <c r="F43" s="157">
        <v>45869.58333333334</v>
      </c>
      <c r="G43" s="158">
        <v>45881.375</v>
      </c>
      <c r="H43" s="158">
        <v>45890.375</v>
      </c>
      <c r="I43" s="157">
        <v>45897.625</v>
      </c>
      <c r="J43" s="158">
        <v>45904.375</v>
      </c>
      <c r="K43" s="157">
        <v>45909.375</v>
      </c>
      <c r="L43" s="158" t="s">
        <v>815</v>
      </c>
      <c r="M43" s="158">
        <v>45923.375</v>
      </c>
      <c r="N43" s="157" t="s">
        <v>815</v>
      </c>
      <c r="O43" s="157">
        <v>45939.375</v>
      </c>
      <c r="P43" s="157">
        <v>45944.41666666666</v>
      </c>
      <c r="Q43" s="157">
        <v>45966.41666666666</v>
      </c>
      <c r="R43" s="157">
        <v>46007.41666666666</v>
      </c>
      <c r="S43" s="157">
        <v>46021.41666666666</v>
      </c>
      <c r="T43" s="157">
        <v>46035.41666666666</v>
      </c>
      <c r="U43" s="158">
        <v>46084.41666666666</v>
      </c>
      <c r="V43" s="159">
        <f t="shared" si="1"/>
        <v>46084.41667</v>
      </c>
      <c r="W43" s="160"/>
      <c r="X43" s="160"/>
      <c r="Y43" s="161"/>
    </row>
    <row r="44" ht="15.75" customHeight="1">
      <c r="A44" s="146" t="s">
        <v>617</v>
      </c>
      <c r="B44" s="146" t="str">
        <f>IFERROR(VLOOKUP(A44&amp;"", STUDENTS!A:B, 2, 0), "")</f>
        <v>TRẦN KHANG</v>
      </c>
      <c r="C44" s="147" t="s">
        <v>54</v>
      </c>
      <c r="D44" s="147" t="str">
        <f>IFERROR(VLOOKUP(C44, PIC!A:B, 2, 0), "")</f>
        <v>Cuong Nguyen</v>
      </c>
      <c r="E44" s="148" t="s">
        <v>21</v>
      </c>
      <c r="F44" s="149">
        <v>45639.58333333334</v>
      </c>
      <c r="G44" s="150">
        <v>45665.375</v>
      </c>
      <c r="H44" s="150">
        <v>45679.41666666666</v>
      </c>
      <c r="I44" s="149">
        <v>45709.375</v>
      </c>
      <c r="J44" s="150" t="s">
        <v>815</v>
      </c>
      <c r="K44" s="149">
        <v>45764.375</v>
      </c>
      <c r="L44" s="150">
        <v>45769.375</v>
      </c>
      <c r="M44" s="150" t="s">
        <v>815</v>
      </c>
      <c r="N44" s="149">
        <v>45792.41666666666</v>
      </c>
      <c r="O44" s="149">
        <v>45820.375</v>
      </c>
      <c r="P44" s="149"/>
      <c r="Q44" s="149"/>
      <c r="R44" s="149"/>
      <c r="S44" s="149"/>
      <c r="T44" s="149"/>
      <c r="U44" s="150"/>
      <c r="V44" s="151">
        <f t="shared" si="1"/>
        <v>45820.375</v>
      </c>
      <c r="W44" s="152"/>
      <c r="X44" s="152"/>
      <c r="Y44" s="161"/>
    </row>
    <row r="45" ht="15.75" customHeight="1">
      <c r="A45" s="154" t="s">
        <v>617</v>
      </c>
      <c r="B45" s="154" t="str">
        <f>IFERROR(VLOOKUP(A45&amp;"", STUDENTS!A:B, 2, 0), "")</f>
        <v>TRẦN KHANG</v>
      </c>
      <c r="C45" s="155" t="s">
        <v>54</v>
      </c>
      <c r="D45" s="155" t="str">
        <f>IFERROR(VLOOKUP(C45, PIC!A:B, 2, 0), "")</f>
        <v>Cuong Nguyen</v>
      </c>
      <c r="E45" s="156" t="s">
        <v>22</v>
      </c>
      <c r="F45" s="157" t="s">
        <v>815</v>
      </c>
      <c r="G45" s="158">
        <v>45881.375</v>
      </c>
      <c r="H45" s="158">
        <v>45890.375</v>
      </c>
      <c r="I45" s="157">
        <v>45897.625</v>
      </c>
      <c r="J45" s="158">
        <v>45904.375</v>
      </c>
      <c r="K45" s="157" t="s">
        <v>815</v>
      </c>
      <c r="L45" s="158">
        <v>45917.375</v>
      </c>
      <c r="M45" s="158" t="s">
        <v>815</v>
      </c>
      <c r="N45" s="157">
        <v>45932.375</v>
      </c>
      <c r="O45" s="157">
        <v>45939.375</v>
      </c>
      <c r="P45" s="157">
        <v>45944.41666666666</v>
      </c>
      <c r="Q45" s="157">
        <v>45966.41666666666</v>
      </c>
      <c r="R45" s="157">
        <v>46007.41666666666</v>
      </c>
      <c r="S45" s="157">
        <v>46021.41666666666</v>
      </c>
      <c r="T45" s="157">
        <v>46035.41666666666</v>
      </c>
      <c r="U45" s="158">
        <v>46084.41666666666</v>
      </c>
      <c r="V45" s="159">
        <f t="shared" si="1"/>
        <v>46084.41667</v>
      </c>
      <c r="W45" s="160"/>
      <c r="X45" s="160"/>
      <c r="Y45" s="161"/>
    </row>
    <row r="46" ht="15.75" customHeight="1">
      <c r="A46" s="146" t="s">
        <v>695</v>
      </c>
      <c r="B46" s="146" t="str">
        <f>IFERROR(VLOOKUP(A46&amp;"", STUDENTS!A:B, 2, 0), "")</f>
        <v>VÕ ĐỒNG ĐỨC DUY</v>
      </c>
      <c r="C46" s="147" t="s">
        <v>54</v>
      </c>
      <c r="D46" s="147" t="str">
        <f>IFERROR(VLOOKUP(C46, PIC!A:B, 2, 0), "")</f>
        <v>Cuong Nguyen</v>
      </c>
      <c r="E46" s="148" t="s">
        <v>21</v>
      </c>
      <c r="F46" s="149">
        <v>45639.58333333334</v>
      </c>
      <c r="G46" s="150">
        <v>45672.41666666666</v>
      </c>
      <c r="H46" s="150">
        <v>45702.58333333334</v>
      </c>
      <c r="I46" s="149">
        <v>45709.375</v>
      </c>
      <c r="J46" s="150">
        <v>45716.375</v>
      </c>
      <c r="K46" s="149">
        <v>45764.375</v>
      </c>
      <c r="L46" s="150" t="s">
        <v>815</v>
      </c>
      <c r="M46" s="150">
        <v>45785.41666666666</v>
      </c>
      <c r="N46" s="149">
        <v>45792.41666666666</v>
      </c>
      <c r="O46" s="149">
        <v>45820.375</v>
      </c>
      <c r="P46" s="149"/>
      <c r="Q46" s="149"/>
      <c r="R46" s="149"/>
      <c r="S46" s="149"/>
      <c r="T46" s="149"/>
      <c r="U46" s="150"/>
      <c r="V46" s="151">
        <f t="shared" si="1"/>
        <v>45820.375</v>
      </c>
      <c r="W46" s="152"/>
      <c r="X46" s="152"/>
      <c r="Y46" s="161"/>
    </row>
    <row r="47" ht="15.75" customHeight="1">
      <c r="A47" s="154" t="s">
        <v>695</v>
      </c>
      <c r="B47" s="154" t="str">
        <f>IFERROR(VLOOKUP(A47&amp;"", STUDENTS!A:B, 2, 0), "")</f>
        <v>VÕ ĐỒNG ĐỨC DUY</v>
      </c>
      <c r="C47" s="155" t="s">
        <v>54</v>
      </c>
      <c r="D47" s="155" t="str">
        <f>IFERROR(VLOOKUP(C47, PIC!A:B, 2, 0), "")</f>
        <v>Cuong Nguyen</v>
      </c>
      <c r="E47" s="156" t="s">
        <v>22</v>
      </c>
      <c r="F47" s="157" t="s">
        <v>815</v>
      </c>
      <c r="G47" s="158" t="s">
        <v>815</v>
      </c>
      <c r="H47" s="158" t="s">
        <v>815</v>
      </c>
      <c r="I47" s="157" t="s">
        <v>815</v>
      </c>
      <c r="J47" s="158" t="s">
        <v>815</v>
      </c>
      <c r="K47" s="157" t="s">
        <v>815</v>
      </c>
      <c r="L47" s="158" t="s">
        <v>815</v>
      </c>
      <c r="M47" s="158" t="s">
        <v>815</v>
      </c>
      <c r="N47" s="157" t="s">
        <v>815</v>
      </c>
      <c r="O47" s="157" t="s">
        <v>815</v>
      </c>
      <c r="P47" s="157" t="s">
        <v>815</v>
      </c>
      <c r="Q47" s="157" t="s">
        <v>815</v>
      </c>
      <c r="R47" s="157" t="s">
        <v>815</v>
      </c>
      <c r="S47" s="157" t="s">
        <v>815</v>
      </c>
      <c r="T47" s="157" t="s">
        <v>815</v>
      </c>
      <c r="U47" s="158" t="s">
        <v>815</v>
      </c>
      <c r="V47" s="159">
        <f t="shared" si="1"/>
        <v>0</v>
      </c>
      <c r="W47" s="160"/>
      <c r="X47" s="160"/>
      <c r="Y47" s="161"/>
    </row>
    <row r="48" ht="15.75" customHeight="1">
      <c r="A48" s="146" t="s">
        <v>294</v>
      </c>
      <c r="B48" s="146" t="str">
        <f>IFERROR(VLOOKUP(A48&amp;"", STUDENTS!A:B, 2, 0), "")</f>
        <v>LÊ THỊ LAN HƯƠNG</v>
      </c>
      <c r="C48" s="147" t="s">
        <v>55</v>
      </c>
      <c r="D48" s="147" t="str">
        <f>IFERROR(VLOOKUP(C48, PIC!A:B, 2, 0), "")</f>
        <v>Duc Nguyen</v>
      </c>
      <c r="E48" s="148" t="s">
        <v>21</v>
      </c>
      <c r="F48" s="149">
        <v>45639.625</v>
      </c>
      <c r="G48" s="150">
        <v>45649.45833333334</v>
      </c>
      <c r="H48" s="150">
        <v>45670.58333333334</v>
      </c>
      <c r="I48" s="149">
        <v>45693.54166666666</v>
      </c>
      <c r="J48" s="150">
        <v>45707.54166666666</v>
      </c>
      <c r="K48" s="149">
        <v>45715.54166666666</v>
      </c>
      <c r="L48" s="150" t="s">
        <v>815</v>
      </c>
      <c r="M48" s="150">
        <v>45782.58333333334</v>
      </c>
      <c r="N48" s="149">
        <v>45803.58333333334</v>
      </c>
      <c r="O48" s="149">
        <v>45839.58333333334</v>
      </c>
      <c r="P48" s="149"/>
      <c r="Q48" s="149"/>
      <c r="R48" s="149"/>
      <c r="S48" s="149"/>
      <c r="T48" s="149"/>
      <c r="U48" s="150"/>
      <c r="V48" s="151">
        <f t="shared" si="1"/>
        <v>45839.58333</v>
      </c>
      <c r="W48" s="152"/>
      <c r="X48" s="152"/>
      <c r="Y48" s="161"/>
    </row>
    <row r="49" ht="15.75" customHeight="1">
      <c r="A49" s="154" t="s">
        <v>330</v>
      </c>
      <c r="B49" s="154" t="str">
        <f>IFERROR(VLOOKUP(A49&amp;"", STUDENTS!A:B, 2, 0), "")</f>
        <v>NGUYỄN ANH ĐỨC</v>
      </c>
      <c r="C49" s="155" t="s">
        <v>55</v>
      </c>
      <c r="D49" s="155" t="str">
        <f>IFERROR(VLOOKUP(C49, PIC!A:B, 2, 0), "")</f>
        <v>Duc Nguyen</v>
      </c>
      <c r="E49" s="156" t="s">
        <v>21</v>
      </c>
      <c r="F49" s="157">
        <v>45637.41666666666</v>
      </c>
      <c r="G49" s="158">
        <v>45656.45833333334</v>
      </c>
      <c r="H49" s="158">
        <v>45670.58333333334</v>
      </c>
      <c r="I49" s="157">
        <v>45693.54166666666</v>
      </c>
      <c r="J49" s="158">
        <v>45707.54166666666</v>
      </c>
      <c r="K49" s="157">
        <v>45715.54166666666</v>
      </c>
      <c r="L49" s="158">
        <v>45764.54166666666</v>
      </c>
      <c r="M49" s="158">
        <v>45782.54166666666</v>
      </c>
      <c r="N49" s="157" t="s">
        <v>815</v>
      </c>
      <c r="O49" s="157">
        <v>45839.58333333334</v>
      </c>
      <c r="P49" s="157"/>
      <c r="Q49" s="157"/>
      <c r="R49" s="157"/>
      <c r="S49" s="157"/>
      <c r="T49" s="157"/>
      <c r="U49" s="158"/>
      <c r="V49" s="159">
        <f t="shared" si="1"/>
        <v>45839.58333</v>
      </c>
      <c r="W49" s="160"/>
      <c r="X49" s="160"/>
      <c r="Y49" s="161"/>
    </row>
    <row r="50" ht="15.75" customHeight="1">
      <c r="A50" s="146" t="s">
        <v>411</v>
      </c>
      <c r="B50" s="146" t="str">
        <f>IFERROR(VLOOKUP(A50&amp;"", STUDENTS!A:B, 2, 0), "")</f>
        <v>NGUYỄN MINH THƯ</v>
      </c>
      <c r="C50" s="147" t="s">
        <v>55</v>
      </c>
      <c r="D50" s="147" t="str">
        <f>IFERROR(VLOOKUP(C50, PIC!A:B, 2, 0), "")</f>
        <v>Duc Nguyen</v>
      </c>
      <c r="E50" s="148" t="s">
        <v>21</v>
      </c>
      <c r="F50" s="149">
        <v>45637.41666666666</v>
      </c>
      <c r="G50" s="150">
        <v>45656.45833333334</v>
      </c>
      <c r="H50" s="150">
        <v>45670.58333333334</v>
      </c>
      <c r="I50" s="149">
        <v>45693.54166666666</v>
      </c>
      <c r="J50" s="150">
        <v>45707.54166666666</v>
      </c>
      <c r="K50" s="149">
        <v>45715.54166666666</v>
      </c>
      <c r="L50" s="150">
        <v>45764.54166666666</v>
      </c>
      <c r="M50" s="150" t="s">
        <v>815</v>
      </c>
      <c r="N50" s="149">
        <v>45803.58333333334</v>
      </c>
      <c r="O50" s="149">
        <v>45839.58333333334</v>
      </c>
      <c r="P50" s="149"/>
      <c r="Q50" s="149"/>
      <c r="R50" s="149"/>
      <c r="S50" s="149"/>
      <c r="T50" s="149"/>
      <c r="U50" s="150"/>
      <c r="V50" s="151">
        <f t="shared" si="1"/>
        <v>45839.58333</v>
      </c>
      <c r="W50" s="152"/>
      <c r="X50" s="152"/>
      <c r="Y50" s="161"/>
    </row>
    <row r="51" ht="15.75" customHeight="1">
      <c r="A51" s="154" t="s">
        <v>496</v>
      </c>
      <c r="B51" s="154" t="str">
        <f>IFERROR(VLOOKUP(A51&amp;"", STUDENTS!A:B, 2, 0), "")</f>
        <v>NGUYỄN TRỌNG BÌNH NGUYÊN</v>
      </c>
      <c r="C51" s="155" t="s">
        <v>55</v>
      </c>
      <c r="D51" s="155" t="str">
        <f>IFERROR(VLOOKUP(C51, PIC!A:B, 2, 0), "")</f>
        <v>Duc Nguyen</v>
      </c>
      <c r="E51" s="156" t="s">
        <v>21</v>
      </c>
      <c r="F51" s="157">
        <v>45639.625</v>
      </c>
      <c r="G51" s="158">
        <v>45649.45833333334</v>
      </c>
      <c r="H51" s="158">
        <v>45670.58333333334</v>
      </c>
      <c r="I51" s="157">
        <v>45693.54166666666</v>
      </c>
      <c r="J51" s="158">
        <v>45707.54166666666</v>
      </c>
      <c r="K51" s="157">
        <v>45715.54166666666</v>
      </c>
      <c r="L51" s="158">
        <v>45764.54166666666</v>
      </c>
      <c r="M51" s="158">
        <v>45782.58333333334</v>
      </c>
      <c r="N51" s="157">
        <v>45803.58333333334</v>
      </c>
      <c r="O51" s="157">
        <v>45839.58333333334</v>
      </c>
      <c r="P51" s="157"/>
      <c r="Q51" s="157"/>
      <c r="R51" s="157"/>
      <c r="S51" s="157"/>
      <c r="T51" s="157"/>
      <c r="U51" s="158"/>
      <c r="V51" s="159">
        <f t="shared" si="1"/>
        <v>45839.58333</v>
      </c>
      <c r="W51" s="160"/>
      <c r="X51" s="160"/>
      <c r="Y51" s="161"/>
    </row>
    <row r="52" ht="15.75" customHeight="1">
      <c r="A52" s="146" t="s">
        <v>547</v>
      </c>
      <c r="B52" s="146" t="str">
        <f>IFERROR(VLOOKUP(A52&amp;"", STUDENTS!A:B, 2, 0), "")</f>
        <v>PHẠM THỊ BÍCH THÚY</v>
      </c>
      <c r="C52" s="147" t="s">
        <v>55</v>
      </c>
      <c r="D52" s="147" t="str">
        <f>IFERROR(VLOOKUP(C52, PIC!A:B, 2, 0), "")</f>
        <v>Duc Nguyen</v>
      </c>
      <c r="E52" s="148" t="s">
        <v>21</v>
      </c>
      <c r="F52" s="149">
        <v>45639.625</v>
      </c>
      <c r="G52" s="150">
        <v>45649.45833333334</v>
      </c>
      <c r="H52" s="150">
        <v>45670.58333333334</v>
      </c>
      <c r="I52" s="149">
        <v>45693.54166666666</v>
      </c>
      <c r="J52" s="150">
        <v>45707.54166666666</v>
      </c>
      <c r="K52" s="149">
        <v>45715.54166666666</v>
      </c>
      <c r="L52" s="150">
        <v>45764.54166666666</v>
      </c>
      <c r="M52" s="150" t="s">
        <v>815</v>
      </c>
      <c r="N52" s="149">
        <v>45803.58333333334</v>
      </c>
      <c r="O52" s="149">
        <v>45839.58333333334</v>
      </c>
      <c r="P52" s="149"/>
      <c r="Q52" s="149"/>
      <c r="R52" s="149"/>
      <c r="S52" s="149"/>
      <c r="T52" s="149"/>
      <c r="U52" s="150"/>
      <c r="V52" s="151">
        <f t="shared" si="1"/>
        <v>45839.58333</v>
      </c>
      <c r="W52" s="152"/>
      <c r="X52" s="152"/>
      <c r="Y52" s="161"/>
    </row>
    <row r="53" ht="15.75" customHeight="1">
      <c r="A53" s="154" t="s">
        <v>176</v>
      </c>
      <c r="B53" s="154" t="str">
        <f>IFERROR(VLOOKUP(A53&amp;"", STUDENTS!A:B, 2, 0), "")</f>
        <v>ĐỖ HOÀNG MINH HUY</v>
      </c>
      <c r="C53" s="155" t="s">
        <v>56</v>
      </c>
      <c r="D53" s="155" t="str">
        <f>IFERROR(VLOOKUP(C53, PIC!A:B, 2, 0), "")</f>
        <v>Dat Nguyen</v>
      </c>
      <c r="E53" s="156" t="s">
        <v>21</v>
      </c>
      <c r="F53" s="157" t="s">
        <v>815</v>
      </c>
      <c r="G53" s="158">
        <v>45660.41666666666</v>
      </c>
      <c r="H53" s="158">
        <v>45663.54166666666</v>
      </c>
      <c r="I53" s="157">
        <v>45678.375</v>
      </c>
      <c r="J53" s="158" t="s">
        <v>815</v>
      </c>
      <c r="K53" s="157">
        <v>45709.54166666666</v>
      </c>
      <c r="L53" s="158">
        <v>45714.54166666666</v>
      </c>
      <c r="M53" s="158">
        <v>45762.54166666666</v>
      </c>
      <c r="N53" s="157">
        <v>45769.41666666666</v>
      </c>
      <c r="O53" s="157">
        <v>45807.58333333334</v>
      </c>
      <c r="P53" s="157"/>
      <c r="Q53" s="157"/>
      <c r="R53" s="157"/>
      <c r="S53" s="157"/>
      <c r="T53" s="157"/>
      <c r="U53" s="158"/>
      <c r="V53" s="159">
        <f t="shared" si="1"/>
        <v>45807.58333</v>
      </c>
      <c r="W53" s="160"/>
      <c r="X53" s="160"/>
      <c r="Y53" s="161"/>
    </row>
    <row r="54" ht="15.75" customHeight="1">
      <c r="A54" s="146" t="s">
        <v>228</v>
      </c>
      <c r="B54" s="146" t="str">
        <f>IFERROR(VLOOKUP(A54&amp;"", STUDENTS!A:B, 2, 0), "")</f>
        <v>HUỲNH BỬU BỬU</v>
      </c>
      <c r="C54" s="147" t="s">
        <v>56</v>
      </c>
      <c r="D54" s="147" t="str">
        <f>IFERROR(VLOOKUP(C54, PIC!A:B, 2, 0), "")</f>
        <v>Dat Nguyen</v>
      </c>
      <c r="E54" s="148" t="s">
        <v>21</v>
      </c>
      <c r="F54" s="149">
        <v>45639.41666666666</v>
      </c>
      <c r="G54" s="150">
        <v>45660.41666666666</v>
      </c>
      <c r="H54" s="150">
        <v>45663.54166666666</v>
      </c>
      <c r="I54" s="149">
        <v>45678.375</v>
      </c>
      <c r="J54" s="150">
        <v>45700.54166666666</v>
      </c>
      <c r="K54" s="149" t="s">
        <v>815</v>
      </c>
      <c r="L54" s="150">
        <v>45714.54166666666</v>
      </c>
      <c r="M54" s="150">
        <v>45762.54166666666</v>
      </c>
      <c r="N54" s="149">
        <v>45769.41666666666</v>
      </c>
      <c r="O54" s="149">
        <v>45807.58333333334</v>
      </c>
      <c r="P54" s="149"/>
      <c r="Q54" s="149"/>
      <c r="R54" s="149"/>
      <c r="S54" s="149"/>
      <c r="T54" s="149"/>
      <c r="U54" s="150"/>
      <c r="V54" s="151">
        <f t="shared" si="1"/>
        <v>45807.58333</v>
      </c>
      <c r="W54" s="152"/>
      <c r="X54" s="152"/>
      <c r="Y54" s="161"/>
    </row>
    <row r="55" ht="15.75" customHeight="1">
      <c r="A55" s="154" t="s">
        <v>445</v>
      </c>
      <c r="B55" s="154" t="str">
        <f>IFERROR(VLOOKUP(A55&amp;"", STUDENTS!A:B, 2, 0), "")</f>
        <v>NGUYỄN TẤT ĐẠT</v>
      </c>
      <c r="C55" s="155" t="s">
        <v>56</v>
      </c>
      <c r="D55" s="155" t="str">
        <f>IFERROR(VLOOKUP(C55, PIC!A:B, 2, 0), "")</f>
        <v>Dat Nguyen</v>
      </c>
      <c r="E55" s="156" t="s">
        <v>21</v>
      </c>
      <c r="F55" s="157">
        <v>45639.41666666666</v>
      </c>
      <c r="G55" s="158">
        <v>45660.41666666666</v>
      </c>
      <c r="H55" s="158">
        <v>45663.54166666666</v>
      </c>
      <c r="I55" s="157">
        <v>45678.375</v>
      </c>
      <c r="J55" s="158">
        <v>45700.54166666666</v>
      </c>
      <c r="K55" s="157">
        <v>45709.54166666666</v>
      </c>
      <c r="L55" s="158">
        <v>45714.54166666666</v>
      </c>
      <c r="M55" s="158">
        <v>45762.54166666666</v>
      </c>
      <c r="N55" s="157">
        <v>45769.41666666666</v>
      </c>
      <c r="O55" s="157">
        <v>45807.58333333334</v>
      </c>
      <c r="P55" s="157"/>
      <c r="Q55" s="157"/>
      <c r="R55" s="157"/>
      <c r="S55" s="157"/>
      <c r="T55" s="157"/>
      <c r="U55" s="158"/>
      <c r="V55" s="159">
        <f t="shared" si="1"/>
        <v>45807.58333</v>
      </c>
      <c r="W55" s="160"/>
      <c r="X55" s="160"/>
      <c r="Y55" s="161"/>
    </row>
    <row r="56" ht="15.75" customHeight="1">
      <c r="A56" s="146" t="s">
        <v>482</v>
      </c>
      <c r="B56" s="146" t="str">
        <f>IFERROR(VLOOKUP(A56&amp;"", STUDENTS!A:B, 2, 0), "")</f>
        <v>NGUYỄN THIÊN ÂN</v>
      </c>
      <c r="C56" s="147" t="s">
        <v>56</v>
      </c>
      <c r="D56" s="147" t="str">
        <f>IFERROR(VLOOKUP(C56, PIC!A:B, 2, 0), "")</f>
        <v>Dat Nguyen</v>
      </c>
      <c r="E56" s="148" t="s">
        <v>21</v>
      </c>
      <c r="F56" s="149">
        <v>45639.41666666666</v>
      </c>
      <c r="G56" s="150" t="s">
        <v>815</v>
      </c>
      <c r="H56" s="150">
        <v>45663.54166666666</v>
      </c>
      <c r="I56" s="149">
        <v>45678.375</v>
      </c>
      <c r="J56" s="150">
        <v>45700.54166666666</v>
      </c>
      <c r="K56" s="149">
        <v>45709.54166666666</v>
      </c>
      <c r="L56" s="150">
        <v>45714.54166666666</v>
      </c>
      <c r="M56" s="150">
        <v>45762.54166666666</v>
      </c>
      <c r="N56" s="149">
        <v>45769.41666666666</v>
      </c>
      <c r="O56" s="149">
        <v>45807.58333333334</v>
      </c>
      <c r="P56" s="149"/>
      <c r="Q56" s="149"/>
      <c r="R56" s="149"/>
      <c r="S56" s="149"/>
      <c r="T56" s="149"/>
      <c r="U56" s="150"/>
      <c r="V56" s="151">
        <f t="shared" si="1"/>
        <v>45807.58333</v>
      </c>
      <c r="W56" s="152"/>
      <c r="X56" s="152"/>
      <c r="Y56" s="161"/>
    </row>
    <row r="57" ht="15.75" customHeight="1">
      <c r="A57" s="154" t="s">
        <v>167</v>
      </c>
      <c r="B57" s="154" t="str">
        <f>IFERROR(VLOOKUP(A57&amp;"", STUDENTS!A:B, 2, 0), "")</f>
        <v>ĐINH TRƯƠNG THANH TUYỀN</v>
      </c>
      <c r="C57" s="155" t="s">
        <v>57</v>
      </c>
      <c r="D57" s="155" t="str">
        <f>IFERROR(VLOOKUP(C57, PIC!A:B, 2, 0), "")</f>
        <v>Nhat Nguyen</v>
      </c>
      <c r="E57" s="156" t="s">
        <v>22</v>
      </c>
      <c r="F57" s="157">
        <v>45841.58333333334</v>
      </c>
      <c r="G57" s="158">
        <v>45853.41666666666</v>
      </c>
      <c r="H57" s="158" t="s">
        <v>815</v>
      </c>
      <c r="I57" s="157">
        <v>45889.625</v>
      </c>
      <c r="J57" s="158" t="s">
        <v>815</v>
      </c>
      <c r="K57" s="157">
        <v>45924.625</v>
      </c>
      <c r="L57" s="158">
        <v>45931.625</v>
      </c>
      <c r="M57" s="158">
        <v>45953.41666666666</v>
      </c>
      <c r="N57" s="157">
        <v>45960.41666666666</v>
      </c>
      <c r="O57" s="157">
        <v>45982.45833333334</v>
      </c>
      <c r="P57" s="157">
        <v>45989.45833333334</v>
      </c>
      <c r="Q57" s="157">
        <v>45996.41666666666</v>
      </c>
      <c r="R57" s="157">
        <v>46010.41666666666</v>
      </c>
      <c r="S57" s="157">
        <v>46021.375</v>
      </c>
      <c r="T57" s="157">
        <v>46038.45833333334</v>
      </c>
      <c r="U57" s="158">
        <v>46083.45833333334</v>
      </c>
      <c r="V57" s="159">
        <f t="shared" si="1"/>
        <v>46083.45833</v>
      </c>
      <c r="W57" s="160"/>
      <c r="X57" s="160"/>
      <c r="Y57" s="161"/>
    </row>
    <row r="58" ht="15.75" customHeight="1">
      <c r="A58" s="146" t="s">
        <v>184</v>
      </c>
      <c r="B58" s="146" t="str">
        <f>IFERROR(VLOOKUP(A58&amp;"", STUDENTS!A:B, 2, 0), "")</f>
        <v>ĐỖ VŨ GIA LONG</v>
      </c>
      <c r="C58" s="147" t="s">
        <v>57</v>
      </c>
      <c r="D58" s="147" t="str">
        <f>IFERROR(VLOOKUP(C58, PIC!A:B, 2, 0), "")</f>
        <v>Nhat Nguyen</v>
      </c>
      <c r="E58" s="148" t="s">
        <v>22</v>
      </c>
      <c r="F58" s="149">
        <v>45841.58333333334</v>
      </c>
      <c r="G58" s="150">
        <v>45853.41666666666</v>
      </c>
      <c r="H58" s="150">
        <v>45882.625</v>
      </c>
      <c r="I58" s="149">
        <v>45889.625</v>
      </c>
      <c r="J58" s="150">
        <v>45917.625</v>
      </c>
      <c r="K58" s="149">
        <v>45924.625</v>
      </c>
      <c r="L58" s="150">
        <v>45931.625</v>
      </c>
      <c r="M58" s="150">
        <v>45953.41666666666</v>
      </c>
      <c r="N58" s="149">
        <v>45960.41666666666</v>
      </c>
      <c r="O58" s="149">
        <v>45982.45833333334</v>
      </c>
      <c r="P58" s="149">
        <v>45989.45833333334</v>
      </c>
      <c r="Q58" s="149">
        <v>45996.41666666666</v>
      </c>
      <c r="R58" s="149">
        <v>46010.41666666666</v>
      </c>
      <c r="S58" s="149">
        <v>46021.375</v>
      </c>
      <c r="T58" s="149">
        <v>46038.45833333334</v>
      </c>
      <c r="U58" s="150">
        <v>46083.45833333334</v>
      </c>
      <c r="V58" s="151">
        <f t="shared" si="1"/>
        <v>46083.45833</v>
      </c>
      <c r="W58" s="152"/>
      <c r="X58" s="152"/>
      <c r="Y58" s="161"/>
    </row>
    <row r="59" ht="15.75" customHeight="1">
      <c r="A59" s="154" t="s">
        <v>188</v>
      </c>
      <c r="B59" s="154" t="str">
        <f>IFERROR(VLOOKUP(A59&amp;"", STUDENTS!A:B, 2, 0), "")</f>
        <v>ĐOÀN KHÁNH NGUYÊN</v>
      </c>
      <c r="C59" s="155" t="s">
        <v>57</v>
      </c>
      <c r="D59" s="155" t="str">
        <f>IFERROR(VLOOKUP(C59, PIC!A:B, 2, 0), "")</f>
        <v>Nhat Nguyen</v>
      </c>
      <c r="E59" s="156" t="s">
        <v>22</v>
      </c>
      <c r="F59" s="157">
        <v>45841.58333333334</v>
      </c>
      <c r="G59" s="158">
        <v>45853.41666666666</v>
      </c>
      <c r="H59" s="158">
        <v>45882.625</v>
      </c>
      <c r="I59" s="157">
        <v>45889.625</v>
      </c>
      <c r="J59" s="158">
        <v>45917.625</v>
      </c>
      <c r="K59" s="157">
        <v>45924.625</v>
      </c>
      <c r="L59" s="158">
        <v>45931.625</v>
      </c>
      <c r="M59" s="158">
        <v>45953.41666666666</v>
      </c>
      <c r="N59" s="157">
        <v>45960.41666666666</v>
      </c>
      <c r="O59" s="157">
        <v>45982.45833333334</v>
      </c>
      <c r="P59" s="157">
        <v>45989.45833333334</v>
      </c>
      <c r="Q59" s="157" t="s">
        <v>815</v>
      </c>
      <c r="R59" s="157" t="s">
        <v>815</v>
      </c>
      <c r="S59" s="157" t="s">
        <v>815</v>
      </c>
      <c r="T59" s="157" t="s">
        <v>815</v>
      </c>
      <c r="U59" s="158"/>
      <c r="V59" s="159">
        <f t="shared" si="1"/>
        <v>45989.45833</v>
      </c>
      <c r="W59" s="160"/>
      <c r="X59" s="160"/>
      <c r="Y59" s="161"/>
    </row>
    <row r="60" ht="15.75" customHeight="1">
      <c r="A60" s="146" t="s">
        <v>230</v>
      </c>
      <c r="B60" s="146" t="str">
        <f>IFERROR(VLOOKUP(A60&amp;"", STUDENTS!A:B, 2, 0), "")</f>
        <v>HUỲNH NGUYÊN KHANG</v>
      </c>
      <c r="C60" s="147" t="s">
        <v>57</v>
      </c>
      <c r="D60" s="147" t="str">
        <f>IFERROR(VLOOKUP(C60, PIC!A:B, 2, 0), "")</f>
        <v>Nhat Nguyen</v>
      </c>
      <c r="E60" s="148" t="s">
        <v>21</v>
      </c>
      <c r="F60" s="149">
        <v>45702.45833333334</v>
      </c>
      <c r="G60" s="150">
        <v>45709.45833333334</v>
      </c>
      <c r="H60" s="150">
        <v>45716.45833333334</v>
      </c>
      <c r="I60" s="149">
        <v>45765.45833333334</v>
      </c>
      <c r="J60" s="150">
        <v>45770.45833333334</v>
      </c>
      <c r="K60" s="149">
        <v>45785.45833333334</v>
      </c>
      <c r="L60" s="150">
        <v>45792.45833333334</v>
      </c>
      <c r="M60" s="150">
        <v>45800.45833333334</v>
      </c>
      <c r="N60" s="149">
        <v>45806.54166666666</v>
      </c>
      <c r="O60" s="149">
        <v>45813.41666666666</v>
      </c>
      <c r="P60" s="149">
        <v>45820.41666666666</v>
      </c>
      <c r="Q60" s="149">
        <v>45841.41666666666</v>
      </c>
      <c r="R60" s="149"/>
      <c r="S60" s="149"/>
      <c r="T60" s="149"/>
      <c r="U60" s="150"/>
      <c r="V60" s="151">
        <f t="shared" si="1"/>
        <v>45841.41667</v>
      </c>
      <c r="W60" s="152"/>
      <c r="X60" s="152"/>
      <c r="Y60" s="161"/>
    </row>
    <row r="61" ht="15.75" customHeight="1">
      <c r="A61" s="154" t="s">
        <v>230</v>
      </c>
      <c r="B61" s="154" t="str">
        <f>IFERROR(VLOOKUP(A61&amp;"", STUDENTS!A:B, 2, 0), "")</f>
        <v>HUỲNH NGUYÊN KHANG</v>
      </c>
      <c r="C61" s="155" t="s">
        <v>57</v>
      </c>
      <c r="D61" s="155" t="str">
        <f>IFERROR(VLOOKUP(C61, PIC!A:B, 2, 0), "")</f>
        <v>Nhat Nguyen</v>
      </c>
      <c r="E61" s="156" t="s">
        <v>22</v>
      </c>
      <c r="F61" s="157">
        <v>45890.41666666666</v>
      </c>
      <c r="G61" s="158">
        <v>45897.41666666666</v>
      </c>
      <c r="H61" s="158">
        <v>45904.41666666666</v>
      </c>
      <c r="I61" s="157">
        <v>45911.41666666666</v>
      </c>
      <c r="J61" s="158">
        <v>45925.41666666666</v>
      </c>
      <c r="K61" s="157">
        <v>45939.41666666666</v>
      </c>
      <c r="L61" s="158">
        <v>45946.41666666666</v>
      </c>
      <c r="M61" s="158">
        <v>45953.41666666666</v>
      </c>
      <c r="N61" s="157">
        <v>45960.41666666666</v>
      </c>
      <c r="O61" s="157">
        <v>45982.45833333334</v>
      </c>
      <c r="P61" s="157" t="s">
        <v>815</v>
      </c>
      <c r="Q61" s="157" t="s">
        <v>815</v>
      </c>
      <c r="R61" s="157">
        <v>46010.41666666666</v>
      </c>
      <c r="S61" s="157">
        <v>46021.375</v>
      </c>
      <c r="T61" s="157"/>
      <c r="U61" s="158"/>
      <c r="V61" s="159">
        <f t="shared" si="1"/>
        <v>46021.375</v>
      </c>
      <c r="W61" s="160"/>
      <c r="X61" s="160"/>
      <c r="Y61" s="161"/>
    </row>
    <row r="62" ht="15.75" customHeight="1">
      <c r="A62" s="146" t="s">
        <v>357</v>
      </c>
      <c r="B62" s="146" t="str">
        <f>IFERROR(VLOOKUP(A62&amp;"", STUDENTS!A:B, 2, 0), "")</f>
        <v>NGUYỄN ĐỨC NHẬT</v>
      </c>
      <c r="C62" s="147" t="s">
        <v>57</v>
      </c>
      <c r="D62" s="147" t="str">
        <f>IFERROR(VLOOKUP(C62, PIC!A:B, 2, 0), "")</f>
        <v>Nhat Nguyen</v>
      </c>
      <c r="E62" s="148" t="s">
        <v>21</v>
      </c>
      <c r="F62" s="149">
        <v>45702.45833333334</v>
      </c>
      <c r="G62" s="150">
        <v>45709.45833333334</v>
      </c>
      <c r="H62" s="150">
        <v>45716.45833333334</v>
      </c>
      <c r="I62" s="149">
        <v>45765.45833333334</v>
      </c>
      <c r="J62" s="150">
        <v>45770.45833333334</v>
      </c>
      <c r="K62" s="149">
        <v>45785.45833333334</v>
      </c>
      <c r="L62" s="150">
        <v>45792.45833333334</v>
      </c>
      <c r="M62" s="150">
        <v>45800.45833333334</v>
      </c>
      <c r="N62" s="149">
        <v>45806.54166666666</v>
      </c>
      <c r="O62" s="149">
        <v>45813.41666666666</v>
      </c>
      <c r="P62" s="149">
        <v>45820.41666666666</v>
      </c>
      <c r="Q62" s="149">
        <v>45841.41666666666</v>
      </c>
      <c r="R62" s="149"/>
      <c r="S62" s="149"/>
      <c r="T62" s="149"/>
      <c r="U62" s="150"/>
      <c r="V62" s="151">
        <f t="shared" si="1"/>
        <v>45841.41667</v>
      </c>
      <c r="W62" s="152"/>
      <c r="X62" s="152"/>
      <c r="Y62" s="161"/>
    </row>
    <row r="63" ht="15.75" customHeight="1">
      <c r="A63" s="154" t="s">
        <v>357</v>
      </c>
      <c r="B63" s="154" t="str">
        <f>IFERROR(VLOOKUP(A63&amp;"", STUDENTS!A:B, 2, 0), "")</f>
        <v>NGUYỄN ĐỨC NHẬT</v>
      </c>
      <c r="C63" s="155" t="s">
        <v>57</v>
      </c>
      <c r="D63" s="155" t="str">
        <f>IFERROR(VLOOKUP(C63, PIC!A:B, 2, 0), "")</f>
        <v>Nhat Nguyen</v>
      </c>
      <c r="E63" s="156" t="s">
        <v>22</v>
      </c>
      <c r="F63" s="157">
        <v>45890.41666666666</v>
      </c>
      <c r="G63" s="158">
        <v>45897.41666666666</v>
      </c>
      <c r="H63" s="158">
        <v>45904.41666666666</v>
      </c>
      <c r="I63" s="157">
        <v>45911.41666666666</v>
      </c>
      <c r="J63" s="158">
        <v>45925.41666666666</v>
      </c>
      <c r="K63" s="157">
        <v>45939.41666666666</v>
      </c>
      <c r="L63" s="158">
        <v>45946.41666666666</v>
      </c>
      <c r="M63" s="158">
        <v>45953.41666666666</v>
      </c>
      <c r="N63" s="157">
        <v>45960.41666666666</v>
      </c>
      <c r="O63" s="157">
        <v>45982.45833333334</v>
      </c>
      <c r="P63" s="157">
        <v>45989.45833333334</v>
      </c>
      <c r="Q63" s="157">
        <v>45996.41666666666</v>
      </c>
      <c r="R63" s="157">
        <v>46010.41666666666</v>
      </c>
      <c r="S63" s="157">
        <v>46021.375</v>
      </c>
      <c r="T63" s="157"/>
      <c r="U63" s="158"/>
      <c r="V63" s="159">
        <f t="shared" si="1"/>
        <v>46021.375</v>
      </c>
      <c r="W63" s="160"/>
      <c r="X63" s="160"/>
      <c r="Y63" s="161"/>
    </row>
    <row r="64" ht="15.75" customHeight="1">
      <c r="A64" s="146" t="s">
        <v>568</v>
      </c>
      <c r="B64" s="146" t="str">
        <f>IFERROR(VLOOKUP(A64&amp;"", STUDENTS!A:B, 2, 0), "")</f>
        <v>PHAN THẾ AN</v>
      </c>
      <c r="C64" s="147" t="s">
        <v>57</v>
      </c>
      <c r="D64" s="147" t="str">
        <f>IFERROR(VLOOKUP(C64, PIC!A:B, 2, 0), "")</f>
        <v>Nhat Nguyen</v>
      </c>
      <c r="E64" s="148" t="s">
        <v>21</v>
      </c>
      <c r="F64" s="149">
        <v>45702.45833333334</v>
      </c>
      <c r="G64" s="150">
        <v>45709.45833333334</v>
      </c>
      <c r="H64" s="150">
        <v>45716.45833333334</v>
      </c>
      <c r="I64" s="149">
        <v>45765.45833333334</v>
      </c>
      <c r="J64" s="150">
        <v>45770.45833333334</v>
      </c>
      <c r="K64" s="149">
        <v>45785.45833333334</v>
      </c>
      <c r="L64" s="150">
        <v>45792.45833333334</v>
      </c>
      <c r="M64" s="150">
        <v>45800.45833333334</v>
      </c>
      <c r="N64" s="149">
        <v>45806.54166666666</v>
      </c>
      <c r="O64" s="149">
        <v>45813.41666666666</v>
      </c>
      <c r="P64" s="149">
        <v>45820.41666666666</v>
      </c>
      <c r="Q64" s="149">
        <v>45841.41666666666</v>
      </c>
      <c r="R64" s="149"/>
      <c r="S64" s="149"/>
      <c r="T64" s="149"/>
      <c r="U64" s="150"/>
      <c r="V64" s="151">
        <f t="shared" si="1"/>
        <v>45841.41667</v>
      </c>
      <c r="W64" s="152"/>
      <c r="X64" s="152"/>
      <c r="Y64" s="161"/>
    </row>
    <row r="65" ht="15.75" customHeight="1">
      <c r="A65" s="154" t="s">
        <v>568</v>
      </c>
      <c r="B65" s="154" t="str">
        <f>IFERROR(VLOOKUP(A65&amp;"", STUDENTS!A:B, 2, 0), "")</f>
        <v>PHAN THẾ AN</v>
      </c>
      <c r="C65" s="155" t="s">
        <v>57</v>
      </c>
      <c r="D65" s="155" t="str">
        <f>IFERROR(VLOOKUP(C65, PIC!A:B, 2, 0), "")</f>
        <v>Nhat Nguyen</v>
      </c>
      <c r="E65" s="156" t="s">
        <v>22</v>
      </c>
      <c r="F65" s="157">
        <v>45890.41666666666</v>
      </c>
      <c r="G65" s="158">
        <v>45897.41666666666</v>
      </c>
      <c r="H65" s="158">
        <v>45904.41666666666</v>
      </c>
      <c r="I65" s="157">
        <v>45911.41666666666</v>
      </c>
      <c r="J65" s="158">
        <v>45925.41666666666</v>
      </c>
      <c r="K65" s="157">
        <v>45939.41666666666</v>
      </c>
      <c r="L65" s="158">
        <v>45946.41666666666</v>
      </c>
      <c r="M65" s="158">
        <v>45953.41666666666</v>
      </c>
      <c r="N65" s="157">
        <v>45960.41666666666</v>
      </c>
      <c r="O65" s="157">
        <v>45982.45833333334</v>
      </c>
      <c r="P65" s="157">
        <v>45989.45833333334</v>
      </c>
      <c r="Q65" s="157">
        <v>45996.41666666666</v>
      </c>
      <c r="R65" s="157">
        <v>46010.41666666666</v>
      </c>
      <c r="S65" s="157">
        <v>46021.375</v>
      </c>
      <c r="T65" s="157">
        <v>46038.45833333334</v>
      </c>
      <c r="U65" s="158">
        <v>46083.45833333334</v>
      </c>
      <c r="V65" s="159">
        <f t="shared" si="1"/>
        <v>46083.45833</v>
      </c>
      <c r="W65" s="160"/>
      <c r="X65" s="160"/>
      <c r="Y65" s="161"/>
    </row>
    <row r="66" ht="15.75" customHeight="1">
      <c r="A66" s="146" t="s">
        <v>625</v>
      </c>
      <c r="B66" s="146" t="str">
        <f>IFERROR(VLOOKUP(A66&amp;"", STUDENTS!A:B, 2, 0), "")</f>
        <v>TRẦN NGỌC PHƯỚC HOÀNG</v>
      </c>
      <c r="C66" s="147" t="s">
        <v>57</v>
      </c>
      <c r="D66" s="147" t="str">
        <f>IFERROR(VLOOKUP(C66, PIC!A:B, 2, 0), "")</f>
        <v>Nhat Nguyen</v>
      </c>
      <c r="E66" s="148" t="s">
        <v>21</v>
      </c>
      <c r="F66" s="149">
        <v>45702.45833333334</v>
      </c>
      <c r="G66" s="150">
        <v>45709.45833333334</v>
      </c>
      <c r="H66" s="150">
        <v>45716.45833333334</v>
      </c>
      <c r="I66" s="149">
        <v>45765.45833333334</v>
      </c>
      <c r="J66" s="150">
        <v>45770.45833333334</v>
      </c>
      <c r="K66" s="149">
        <v>45785.45833333334</v>
      </c>
      <c r="L66" s="150">
        <v>45792.45833333334</v>
      </c>
      <c r="M66" s="150">
        <v>45800.45833333334</v>
      </c>
      <c r="N66" s="149">
        <v>45806.54166666666</v>
      </c>
      <c r="O66" s="149">
        <v>45813.41666666666</v>
      </c>
      <c r="P66" s="149">
        <v>45820.41666666666</v>
      </c>
      <c r="Q66" s="149">
        <v>45841.41666666666</v>
      </c>
      <c r="R66" s="149"/>
      <c r="S66" s="149"/>
      <c r="T66" s="149"/>
      <c r="U66" s="150"/>
      <c r="V66" s="151">
        <f t="shared" si="1"/>
        <v>45841.41667</v>
      </c>
      <c r="W66" s="152"/>
      <c r="X66" s="152"/>
      <c r="Y66" s="161"/>
    </row>
    <row r="67" ht="15.75" customHeight="1">
      <c r="A67" s="154" t="s">
        <v>625</v>
      </c>
      <c r="B67" s="154" t="str">
        <f>IFERROR(VLOOKUP(A67&amp;"", STUDENTS!A:B, 2, 0), "")</f>
        <v>TRẦN NGỌC PHƯỚC HOÀNG</v>
      </c>
      <c r="C67" s="155" t="s">
        <v>57</v>
      </c>
      <c r="D67" s="155" t="str">
        <f>IFERROR(VLOOKUP(C67, PIC!A:B, 2, 0), "")</f>
        <v>Nhat Nguyen</v>
      </c>
      <c r="E67" s="156" t="s">
        <v>22</v>
      </c>
      <c r="F67" s="157">
        <v>45890.41666666666</v>
      </c>
      <c r="G67" s="158">
        <v>45897.41666666666</v>
      </c>
      <c r="H67" s="158">
        <v>45904.41666666666</v>
      </c>
      <c r="I67" s="157">
        <v>45911.41666666666</v>
      </c>
      <c r="J67" s="158">
        <v>45925.41666666666</v>
      </c>
      <c r="K67" s="157">
        <v>45939.41666666666</v>
      </c>
      <c r="L67" s="158">
        <v>45946.41666666666</v>
      </c>
      <c r="M67" s="158">
        <v>45953.41666666666</v>
      </c>
      <c r="N67" s="157">
        <v>45960.41666666666</v>
      </c>
      <c r="O67" s="157" t="s">
        <v>815</v>
      </c>
      <c r="P67" s="157">
        <v>45989.45833333334</v>
      </c>
      <c r="Q67" s="157">
        <v>45996.41666666666</v>
      </c>
      <c r="R67" s="157">
        <v>46010.41666666666</v>
      </c>
      <c r="S67" s="157">
        <v>46021.375</v>
      </c>
      <c r="T67" s="157"/>
      <c r="U67" s="158"/>
      <c r="V67" s="159">
        <f t="shared" si="1"/>
        <v>46021.375</v>
      </c>
      <c r="W67" s="160"/>
      <c r="X67" s="160"/>
      <c r="Y67" s="161"/>
    </row>
    <row r="68" ht="15.75" customHeight="1">
      <c r="A68" s="146" t="s">
        <v>675</v>
      </c>
      <c r="B68" s="146" t="str">
        <f>IFERROR(VLOOKUP(A68&amp;"", STUDENTS!A:B, 2, 0), "")</f>
        <v>TRANG KỲ ANH</v>
      </c>
      <c r="C68" s="147" t="s">
        <v>57</v>
      </c>
      <c r="D68" s="147" t="str">
        <f>IFERROR(VLOOKUP(C68, PIC!A:B, 2, 0), "")</f>
        <v>Nhat Nguyen</v>
      </c>
      <c r="E68" s="148" t="s">
        <v>21</v>
      </c>
      <c r="F68" s="149">
        <v>45702.45833333334</v>
      </c>
      <c r="G68" s="150">
        <v>45709.45833333334</v>
      </c>
      <c r="H68" s="150">
        <v>45716.45833333334</v>
      </c>
      <c r="I68" s="149">
        <v>45765.45833333334</v>
      </c>
      <c r="J68" s="150">
        <v>45770.45833333334</v>
      </c>
      <c r="K68" s="149">
        <v>45785.45833333334</v>
      </c>
      <c r="L68" s="150">
        <v>45792.45833333334</v>
      </c>
      <c r="M68" s="150" t="s">
        <v>815</v>
      </c>
      <c r="N68" s="149">
        <v>45806.54166666666</v>
      </c>
      <c r="O68" s="149">
        <v>45813.41666666666</v>
      </c>
      <c r="P68" s="149">
        <v>45820.41666666666</v>
      </c>
      <c r="Q68" s="149">
        <v>45841.41666666666</v>
      </c>
      <c r="R68" s="149"/>
      <c r="S68" s="149"/>
      <c r="T68" s="149"/>
      <c r="U68" s="150"/>
      <c r="V68" s="151">
        <f t="shared" si="1"/>
        <v>45841.41667</v>
      </c>
      <c r="W68" s="152"/>
      <c r="X68" s="152"/>
      <c r="Y68" s="161"/>
    </row>
    <row r="69" ht="15.75" customHeight="1">
      <c r="A69" s="154" t="s">
        <v>697</v>
      </c>
      <c r="B69" s="154" t="str">
        <f>IFERROR(VLOOKUP(A69&amp;"", STUDENTS!A:B, 2, 0), "")</f>
        <v>VÕ DUY KIỆT</v>
      </c>
      <c r="C69" s="155" t="s">
        <v>57</v>
      </c>
      <c r="D69" s="155" t="str">
        <f>IFERROR(VLOOKUP(C69, PIC!A:B, 2, 0), "")</f>
        <v>Nhat Nguyen</v>
      </c>
      <c r="E69" s="156" t="s">
        <v>22</v>
      </c>
      <c r="F69" s="157">
        <v>45841.58333333334</v>
      </c>
      <c r="G69" s="158">
        <v>45853.41666666666</v>
      </c>
      <c r="H69" s="158">
        <v>45882.625</v>
      </c>
      <c r="I69" s="157">
        <v>45889.625</v>
      </c>
      <c r="J69" s="158">
        <v>45917.625</v>
      </c>
      <c r="K69" s="157">
        <v>45924.625</v>
      </c>
      <c r="L69" s="158">
        <v>45931.625</v>
      </c>
      <c r="M69" s="158" t="s">
        <v>815</v>
      </c>
      <c r="N69" s="157">
        <v>45960.41666666666</v>
      </c>
      <c r="O69" s="157">
        <v>45982.45833333334</v>
      </c>
      <c r="P69" s="157" t="s">
        <v>815</v>
      </c>
      <c r="Q69" s="157">
        <v>45996.41666666666</v>
      </c>
      <c r="R69" s="157" t="s">
        <v>815</v>
      </c>
      <c r="S69" s="157" t="s">
        <v>815</v>
      </c>
      <c r="T69" s="157" t="s">
        <v>815</v>
      </c>
      <c r="U69" s="158"/>
      <c r="V69" s="159">
        <f t="shared" si="1"/>
        <v>45996.41667</v>
      </c>
      <c r="W69" s="160"/>
      <c r="X69" s="160"/>
      <c r="Y69" s="161"/>
    </row>
    <row r="70" ht="15.75" customHeight="1">
      <c r="A70" s="146" t="s">
        <v>239</v>
      </c>
      <c r="B70" s="146" t="str">
        <f>IFERROR(VLOOKUP(A70&amp;"", STUDENTS!A:B, 2, 0), "")</f>
        <v>HUỲNH TẤN PHÁT</v>
      </c>
      <c r="C70" s="147" t="s">
        <v>58</v>
      </c>
      <c r="D70" s="147" t="str">
        <f>IFERROR(VLOOKUP(C70, PIC!A:B, 2, 0), "")</f>
        <v>Hung Nguyen</v>
      </c>
      <c r="E70" s="148" t="s">
        <v>24</v>
      </c>
      <c r="F70" s="149"/>
      <c r="G70" s="150"/>
      <c r="H70" s="150"/>
      <c r="I70" s="149"/>
      <c r="J70" s="150"/>
      <c r="K70" s="149"/>
      <c r="L70" s="150"/>
      <c r="M70" s="150"/>
      <c r="N70" s="149"/>
      <c r="O70" s="149"/>
      <c r="P70" s="149"/>
      <c r="Q70" s="149"/>
      <c r="R70" s="149"/>
      <c r="S70" s="149"/>
      <c r="T70" s="149"/>
      <c r="U70" s="150"/>
      <c r="V70" s="151">
        <f t="shared" si="1"/>
        <v>0</v>
      </c>
      <c r="W70" s="152"/>
      <c r="X70" s="152"/>
      <c r="Y70" s="161"/>
    </row>
    <row r="71" ht="15.75" customHeight="1">
      <c r="A71" s="154" t="s">
        <v>239</v>
      </c>
      <c r="B71" s="154" t="str">
        <f>IFERROR(VLOOKUP(A71&amp;"", STUDENTS!A:B, 2, 0), "")</f>
        <v>HUỲNH TẤN PHÁT</v>
      </c>
      <c r="C71" s="155" t="s">
        <v>58</v>
      </c>
      <c r="D71" s="155" t="str">
        <f>IFERROR(VLOOKUP(C71, PIC!A:B, 2, 0), "")</f>
        <v>Hung Nguyen</v>
      </c>
      <c r="E71" s="156" t="s">
        <v>21</v>
      </c>
      <c r="F71" s="157">
        <v>45772.58333333334</v>
      </c>
      <c r="G71" s="158">
        <v>45786.58333333334</v>
      </c>
      <c r="H71" s="158" t="s">
        <v>815</v>
      </c>
      <c r="I71" s="157">
        <v>45849.45833333334</v>
      </c>
      <c r="J71" s="158">
        <v>45849.45833333334</v>
      </c>
      <c r="K71" s="157">
        <v>45862.625</v>
      </c>
      <c r="L71" s="158">
        <v>45869.41666666666</v>
      </c>
      <c r="M71" s="158">
        <v>45890.58333333334</v>
      </c>
      <c r="N71" s="157">
        <v>45897.54166666666</v>
      </c>
      <c r="O71" s="157">
        <v>45918.41666666666</v>
      </c>
      <c r="P71" s="157"/>
      <c r="Q71" s="157"/>
      <c r="R71" s="157"/>
      <c r="S71" s="157"/>
      <c r="T71" s="157"/>
      <c r="U71" s="158"/>
      <c r="V71" s="159">
        <f t="shared" si="1"/>
        <v>45918.41667</v>
      </c>
      <c r="W71" s="160"/>
      <c r="X71" s="160"/>
      <c r="Y71" s="161"/>
    </row>
    <row r="72" ht="15.75" customHeight="1">
      <c r="A72" s="146" t="s">
        <v>239</v>
      </c>
      <c r="B72" s="146" t="str">
        <f>IFERROR(VLOOKUP(A72&amp;"", STUDENTS!A:B, 2, 0), "")</f>
        <v>HUỲNH TẤN PHÁT</v>
      </c>
      <c r="C72" s="147" t="s">
        <v>58</v>
      </c>
      <c r="D72" s="147" t="str">
        <f>IFERROR(VLOOKUP(C72, PIC!A:B, 2, 0), "")</f>
        <v>Hung Nguyen</v>
      </c>
      <c r="E72" s="148" t="s">
        <v>22</v>
      </c>
      <c r="F72" s="149">
        <v>45946.45833333334</v>
      </c>
      <c r="G72" s="150">
        <v>45953.45833333334</v>
      </c>
      <c r="H72" s="150">
        <v>45960.45833333334</v>
      </c>
      <c r="I72" s="149">
        <v>45961.625</v>
      </c>
      <c r="J72" s="150">
        <v>45974.41666666666</v>
      </c>
      <c r="K72" s="149">
        <v>45981.41666666666</v>
      </c>
      <c r="L72" s="150">
        <v>45988.41666666666</v>
      </c>
      <c r="M72" s="150">
        <v>45995.41666666666</v>
      </c>
      <c r="N72" s="162">
        <v>46002.625</v>
      </c>
      <c r="O72" s="149">
        <v>46010.625</v>
      </c>
      <c r="P72" s="149">
        <v>46017.58333333334</v>
      </c>
      <c r="Q72" s="149">
        <v>46038.58333333334</v>
      </c>
      <c r="R72" s="149">
        <v>46044.41666666666</v>
      </c>
      <c r="S72" s="149">
        <v>46051.625</v>
      </c>
      <c r="T72" s="149">
        <v>46052.625</v>
      </c>
      <c r="U72" s="150">
        <v>46104.41666666666</v>
      </c>
      <c r="V72" s="151">
        <f t="shared" si="1"/>
        <v>46104.41667</v>
      </c>
      <c r="W72" s="152"/>
      <c r="X72" s="152"/>
      <c r="Y72" s="161"/>
    </row>
    <row r="73" ht="15.75" customHeight="1">
      <c r="A73" s="154" t="s">
        <v>263</v>
      </c>
      <c r="B73" s="154" t="str">
        <f>IFERROR(VLOOKUP(A73&amp;"", STUDENTS!A:B, 2, 0), "")</f>
        <v>LÊ HOÀNG NGUYỄN</v>
      </c>
      <c r="C73" s="155" t="s">
        <v>58</v>
      </c>
      <c r="D73" s="155" t="str">
        <f>IFERROR(VLOOKUP(C73, PIC!A:B, 2, 0), "")</f>
        <v>Hung Nguyen</v>
      </c>
      <c r="E73" s="156" t="s">
        <v>24</v>
      </c>
      <c r="F73" s="157"/>
      <c r="G73" s="158"/>
      <c r="H73" s="158"/>
      <c r="I73" s="157"/>
      <c r="J73" s="158"/>
      <c r="K73" s="157"/>
      <c r="L73" s="158"/>
      <c r="M73" s="158"/>
      <c r="N73" s="157"/>
      <c r="O73" s="157"/>
      <c r="P73" s="157"/>
      <c r="Q73" s="157"/>
      <c r="R73" s="157"/>
      <c r="S73" s="157"/>
      <c r="T73" s="157"/>
      <c r="U73" s="158"/>
      <c r="V73" s="159">
        <f t="shared" si="1"/>
        <v>0</v>
      </c>
      <c r="W73" s="160"/>
      <c r="X73" s="160"/>
      <c r="Y73" s="161"/>
    </row>
    <row r="74" ht="15.75" customHeight="1">
      <c r="A74" s="146" t="s">
        <v>263</v>
      </c>
      <c r="B74" s="146" t="str">
        <f>IFERROR(VLOOKUP(A74&amp;"", STUDENTS!A:B, 2, 0), "")</f>
        <v>LÊ HOÀNG NGUYỄN</v>
      </c>
      <c r="C74" s="147" t="s">
        <v>58</v>
      </c>
      <c r="D74" s="147" t="str">
        <f>IFERROR(VLOOKUP(C74, PIC!A:B, 2, 0), "")</f>
        <v>Hung Nguyen</v>
      </c>
      <c r="E74" s="148" t="s">
        <v>21</v>
      </c>
      <c r="F74" s="149">
        <v>45772.58333333334</v>
      </c>
      <c r="G74" s="150">
        <v>45786.58333333334</v>
      </c>
      <c r="H74" s="150">
        <v>45841.54166666666</v>
      </c>
      <c r="I74" s="149">
        <v>45849.45833333334</v>
      </c>
      <c r="J74" s="150">
        <v>45849.45833333334</v>
      </c>
      <c r="K74" s="149">
        <v>45862.625</v>
      </c>
      <c r="L74" s="150">
        <v>45869.41666666666</v>
      </c>
      <c r="M74" s="150">
        <v>45890.58333333334</v>
      </c>
      <c r="N74" s="149">
        <v>45897.54166666666</v>
      </c>
      <c r="O74" s="149">
        <v>45918.41666666666</v>
      </c>
      <c r="P74" s="149"/>
      <c r="Q74" s="149"/>
      <c r="R74" s="149"/>
      <c r="S74" s="149"/>
      <c r="T74" s="149"/>
      <c r="U74" s="150"/>
      <c r="V74" s="151">
        <f t="shared" si="1"/>
        <v>45918.41667</v>
      </c>
      <c r="W74" s="152"/>
      <c r="X74" s="152"/>
      <c r="Y74" s="161"/>
    </row>
    <row r="75" ht="15.75" customHeight="1">
      <c r="A75" s="154" t="s">
        <v>263</v>
      </c>
      <c r="B75" s="154" t="str">
        <f>IFERROR(VLOOKUP(A75&amp;"", STUDENTS!A:B, 2, 0), "")</f>
        <v>LÊ HOÀNG NGUYỄN</v>
      </c>
      <c r="C75" s="155" t="s">
        <v>58</v>
      </c>
      <c r="D75" s="155" t="str">
        <f>IFERROR(VLOOKUP(C75, PIC!A:B, 2, 0), "")</f>
        <v>Hung Nguyen</v>
      </c>
      <c r="E75" s="156" t="s">
        <v>22</v>
      </c>
      <c r="F75" s="157">
        <v>45946.45833333334</v>
      </c>
      <c r="G75" s="158">
        <v>45953.45833333334</v>
      </c>
      <c r="H75" s="158">
        <v>45960.45833333334</v>
      </c>
      <c r="I75" s="157">
        <v>45961.625</v>
      </c>
      <c r="J75" s="158">
        <v>45974.41666666666</v>
      </c>
      <c r="K75" s="157">
        <v>45981.41666666666</v>
      </c>
      <c r="L75" s="158">
        <v>45988.41666666666</v>
      </c>
      <c r="M75" s="158">
        <v>45995.41666666666</v>
      </c>
      <c r="N75" s="163">
        <v>46002.625</v>
      </c>
      <c r="O75" s="157">
        <v>46010.625</v>
      </c>
      <c r="P75" s="157">
        <v>46017.58333333334</v>
      </c>
      <c r="Q75" s="157">
        <v>46038.58333333334</v>
      </c>
      <c r="R75" s="157">
        <v>46044.41666666666</v>
      </c>
      <c r="S75" s="157">
        <v>46051.625</v>
      </c>
      <c r="T75" s="157">
        <v>46052.625</v>
      </c>
      <c r="U75" s="158">
        <v>46104.41666666666</v>
      </c>
      <c r="V75" s="159">
        <f t="shared" si="1"/>
        <v>46104.41667</v>
      </c>
      <c r="W75" s="160"/>
      <c r="X75" s="160"/>
      <c r="Y75" s="161"/>
    </row>
    <row r="76" ht="15.75" customHeight="1">
      <c r="A76" s="146" t="s">
        <v>383</v>
      </c>
      <c r="B76" s="146" t="str">
        <f>IFERROR(VLOOKUP(A76&amp;"", STUDENTS!A:B, 2, 0), "")</f>
        <v>Nguyễn Hồng Mỹ</v>
      </c>
      <c r="C76" s="147" t="s">
        <v>58</v>
      </c>
      <c r="D76" s="147" t="str">
        <f>IFERROR(VLOOKUP(C76, PIC!A:B, 2, 0), "")</f>
        <v>Hung Nguyen</v>
      </c>
      <c r="E76" s="148" t="s">
        <v>24</v>
      </c>
      <c r="F76" s="149"/>
      <c r="G76" s="150"/>
      <c r="H76" s="150"/>
      <c r="I76" s="149"/>
      <c r="J76" s="150"/>
      <c r="K76" s="149"/>
      <c r="L76" s="150"/>
      <c r="M76" s="150"/>
      <c r="N76" s="149"/>
      <c r="O76" s="149"/>
      <c r="P76" s="149"/>
      <c r="Q76" s="149"/>
      <c r="R76" s="149"/>
      <c r="S76" s="149"/>
      <c r="T76" s="149"/>
      <c r="U76" s="150"/>
      <c r="V76" s="151">
        <f t="shared" si="1"/>
        <v>0</v>
      </c>
      <c r="W76" s="152"/>
      <c r="X76" s="152"/>
      <c r="Y76" s="161"/>
    </row>
    <row r="77" ht="15.75" customHeight="1">
      <c r="A77" s="154" t="s">
        <v>528</v>
      </c>
      <c r="B77" s="154" t="str">
        <f>IFERROR(VLOOKUP(A77&amp;"", STUDENTS!A:B, 2, 0), "")</f>
        <v>PHẠM HỮU TUẤN</v>
      </c>
      <c r="C77" s="155" t="s">
        <v>58</v>
      </c>
      <c r="D77" s="155" t="str">
        <f>IFERROR(VLOOKUP(C77, PIC!A:B, 2, 0), "")</f>
        <v>Hung Nguyen</v>
      </c>
      <c r="E77" s="156" t="s">
        <v>24</v>
      </c>
      <c r="F77" s="157"/>
      <c r="G77" s="158"/>
      <c r="H77" s="158"/>
      <c r="I77" s="157"/>
      <c r="J77" s="158"/>
      <c r="K77" s="157"/>
      <c r="L77" s="158"/>
      <c r="M77" s="158"/>
      <c r="N77" s="157"/>
      <c r="O77" s="157"/>
      <c r="P77" s="157"/>
      <c r="Q77" s="157"/>
      <c r="R77" s="157"/>
      <c r="S77" s="157"/>
      <c r="T77" s="157"/>
      <c r="U77" s="158"/>
      <c r="V77" s="159">
        <f t="shared" si="1"/>
        <v>0</v>
      </c>
      <c r="W77" s="160"/>
      <c r="X77" s="160"/>
      <c r="Y77" s="161"/>
    </row>
    <row r="78" ht="15.75" customHeight="1">
      <c r="A78" s="146" t="s">
        <v>528</v>
      </c>
      <c r="B78" s="146" t="str">
        <f>IFERROR(VLOOKUP(A78&amp;"", STUDENTS!A:B, 2, 0), "")</f>
        <v>PHẠM HỮU TUẤN</v>
      </c>
      <c r="C78" s="147" t="s">
        <v>58</v>
      </c>
      <c r="D78" s="147" t="str">
        <f>IFERROR(VLOOKUP(C78, PIC!A:B, 2, 0), "")</f>
        <v>Hung Nguyen</v>
      </c>
      <c r="E78" s="148" t="s">
        <v>21</v>
      </c>
      <c r="F78" s="149">
        <v>45772.58333333334</v>
      </c>
      <c r="G78" s="150">
        <v>45786.58333333334</v>
      </c>
      <c r="H78" s="150">
        <v>45841.54166666666</v>
      </c>
      <c r="I78" s="149">
        <v>45849.45833333334</v>
      </c>
      <c r="J78" s="150">
        <v>45849.45833333334</v>
      </c>
      <c r="K78" s="149">
        <v>45862.625</v>
      </c>
      <c r="L78" s="150">
        <v>45869.41666666666</v>
      </c>
      <c r="M78" s="150" t="s">
        <v>815</v>
      </c>
      <c r="N78" s="149">
        <v>45897.54166666666</v>
      </c>
      <c r="O78" s="149">
        <v>45918.41666666666</v>
      </c>
      <c r="P78" s="149"/>
      <c r="Q78" s="149"/>
      <c r="R78" s="149"/>
      <c r="S78" s="149"/>
      <c r="T78" s="149"/>
      <c r="U78" s="150"/>
      <c r="V78" s="151">
        <f t="shared" si="1"/>
        <v>45918.41667</v>
      </c>
      <c r="W78" s="152"/>
      <c r="X78" s="152"/>
      <c r="Y78" s="161"/>
    </row>
    <row r="79" ht="15.75" customHeight="1">
      <c r="A79" s="154" t="s">
        <v>528</v>
      </c>
      <c r="B79" s="154" t="str">
        <f>IFERROR(VLOOKUP(A79&amp;"", STUDENTS!A:B, 2, 0), "")</f>
        <v>PHẠM HỮU TUẤN</v>
      </c>
      <c r="C79" s="155" t="s">
        <v>58</v>
      </c>
      <c r="D79" s="155" t="str">
        <f>IFERROR(VLOOKUP(C79, PIC!A:B, 2, 0), "")</f>
        <v>Hung Nguyen</v>
      </c>
      <c r="E79" s="156" t="s">
        <v>22</v>
      </c>
      <c r="F79" s="157">
        <v>45946.45833333334</v>
      </c>
      <c r="G79" s="158">
        <v>45953.45833333334</v>
      </c>
      <c r="H79" s="158">
        <v>45960.45833333334</v>
      </c>
      <c r="I79" s="157">
        <v>45961.625</v>
      </c>
      <c r="J79" s="158">
        <v>45974.41666666666</v>
      </c>
      <c r="K79" s="157">
        <v>45981.41666666666</v>
      </c>
      <c r="L79" s="158"/>
      <c r="M79" s="158">
        <v>45995.41666666666</v>
      </c>
      <c r="N79" s="163">
        <v>46002.625</v>
      </c>
      <c r="O79" s="157">
        <v>46010.625</v>
      </c>
      <c r="P79" s="157">
        <v>46017.58333333334</v>
      </c>
      <c r="Q79" s="157" t="s">
        <v>815</v>
      </c>
      <c r="R79" s="157">
        <v>46044.41666666666</v>
      </c>
      <c r="S79" s="157">
        <v>46051.625</v>
      </c>
      <c r="T79" s="157">
        <v>46052.625</v>
      </c>
      <c r="U79" s="158">
        <v>46104.41666666666</v>
      </c>
      <c r="V79" s="159">
        <f t="shared" si="1"/>
        <v>46104.41667</v>
      </c>
      <c r="W79" s="160"/>
      <c r="X79" s="160"/>
      <c r="Y79" s="161"/>
    </row>
    <row r="80" ht="15.75" customHeight="1">
      <c r="A80" s="146" t="s">
        <v>603</v>
      </c>
      <c r="B80" s="146" t="str">
        <f>IFERROR(VLOOKUP(A80&amp;"", STUDENTS!A:B, 2, 0), "")</f>
        <v>TRẦN ĐÌNH CHIẾN</v>
      </c>
      <c r="C80" s="147" t="s">
        <v>58</v>
      </c>
      <c r="D80" s="147" t="str">
        <f>IFERROR(VLOOKUP(C80, PIC!A:B, 2, 0), "")</f>
        <v>Hung Nguyen</v>
      </c>
      <c r="E80" s="148" t="s">
        <v>24</v>
      </c>
      <c r="F80" s="149"/>
      <c r="G80" s="150"/>
      <c r="H80" s="150"/>
      <c r="I80" s="149"/>
      <c r="J80" s="150"/>
      <c r="K80" s="149"/>
      <c r="L80" s="150"/>
      <c r="M80" s="150"/>
      <c r="N80" s="149"/>
      <c r="O80" s="149"/>
      <c r="P80" s="149"/>
      <c r="Q80" s="149"/>
      <c r="R80" s="149"/>
      <c r="S80" s="149"/>
      <c r="T80" s="149"/>
      <c r="U80" s="150"/>
      <c r="V80" s="151">
        <f t="shared" si="1"/>
        <v>0</v>
      </c>
      <c r="W80" s="152"/>
      <c r="X80" s="152"/>
      <c r="Y80" s="161"/>
    </row>
    <row r="81" ht="15.75" customHeight="1">
      <c r="A81" s="154" t="s">
        <v>603</v>
      </c>
      <c r="B81" s="154" t="str">
        <f>IFERROR(VLOOKUP(A81&amp;"", STUDENTS!A:B, 2, 0), "")</f>
        <v>TRẦN ĐÌNH CHIẾN</v>
      </c>
      <c r="C81" s="155" t="s">
        <v>58</v>
      </c>
      <c r="D81" s="155" t="str">
        <f>IFERROR(VLOOKUP(C81, PIC!A:B, 2, 0), "")</f>
        <v>Hung Nguyen</v>
      </c>
      <c r="E81" s="156" t="s">
        <v>21</v>
      </c>
      <c r="F81" s="157">
        <v>45772.58333333334</v>
      </c>
      <c r="G81" s="158">
        <v>45786.58333333334</v>
      </c>
      <c r="H81" s="158">
        <v>45841.54166666666</v>
      </c>
      <c r="I81" s="157">
        <v>45849.45833333334</v>
      </c>
      <c r="J81" s="158">
        <v>45855.54166666666</v>
      </c>
      <c r="K81" s="157">
        <v>45862.625</v>
      </c>
      <c r="L81" s="158">
        <v>45869.41666666666</v>
      </c>
      <c r="M81" s="158">
        <v>45890.58333333334</v>
      </c>
      <c r="N81" s="157">
        <v>45897.54166666666</v>
      </c>
      <c r="O81" s="157">
        <v>45918.41666666666</v>
      </c>
      <c r="P81" s="157"/>
      <c r="Q81" s="157"/>
      <c r="R81" s="157"/>
      <c r="S81" s="157"/>
      <c r="T81" s="157"/>
      <c r="U81" s="158"/>
      <c r="V81" s="159">
        <f t="shared" si="1"/>
        <v>45918.41667</v>
      </c>
      <c r="W81" s="160"/>
      <c r="X81" s="160"/>
      <c r="Y81" s="161"/>
    </row>
    <row r="82" ht="15.75" customHeight="1">
      <c r="A82" s="146" t="s">
        <v>603</v>
      </c>
      <c r="B82" s="146" t="str">
        <f>IFERROR(VLOOKUP(A82&amp;"", STUDENTS!A:B, 2, 0), "")</f>
        <v>TRẦN ĐÌNH CHIẾN</v>
      </c>
      <c r="C82" s="147" t="s">
        <v>58</v>
      </c>
      <c r="D82" s="147" t="str">
        <f>IFERROR(VLOOKUP(C82, PIC!A:B, 2, 0), "")</f>
        <v>Hung Nguyen</v>
      </c>
      <c r="E82" s="148" t="s">
        <v>22</v>
      </c>
      <c r="F82" s="149">
        <v>45946.45833333334</v>
      </c>
      <c r="G82" s="150">
        <v>45953.45833333334</v>
      </c>
      <c r="H82" s="150">
        <v>45960.45833333334</v>
      </c>
      <c r="I82" s="149">
        <v>45961.625</v>
      </c>
      <c r="J82" s="150">
        <v>45974.41666666666</v>
      </c>
      <c r="K82" s="149">
        <v>45981.41666666666</v>
      </c>
      <c r="L82" s="150">
        <v>45988.41666666666</v>
      </c>
      <c r="M82" s="150">
        <v>45995.41666666666</v>
      </c>
      <c r="N82" s="162">
        <v>46002.625</v>
      </c>
      <c r="O82" s="149">
        <v>46010.625</v>
      </c>
      <c r="P82" s="149">
        <v>46017.58333333334</v>
      </c>
      <c r="Q82" s="149">
        <v>46038.58333333334</v>
      </c>
      <c r="R82" s="149">
        <v>46044.41666666666</v>
      </c>
      <c r="S82" s="149">
        <v>46051.625</v>
      </c>
      <c r="T82" s="149">
        <v>46052.625</v>
      </c>
      <c r="U82" s="150">
        <v>46104.41666666666</v>
      </c>
      <c r="V82" s="151">
        <f t="shared" si="1"/>
        <v>46104.41667</v>
      </c>
      <c r="W82" s="152"/>
      <c r="X82" s="152"/>
      <c r="Y82" s="161"/>
    </row>
    <row r="83" ht="15.75" customHeight="1">
      <c r="A83" s="154" t="s">
        <v>665</v>
      </c>
      <c r="B83" s="154" t="str">
        <f>IFERROR(VLOOKUP(A83&amp;"", STUDENTS!A:B, 2, 0), "")</f>
        <v>TRẦN VĂN HÀ</v>
      </c>
      <c r="C83" s="155" t="s">
        <v>58</v>
      </c>
      <c r="D83" s="155" t="str">
        <f>IFERROR(VLOOKUP(C83, PIC!A:B, 2, 0), "")</f>
        <v>Hung Nguyen</v>
      </c>
      <c r="E83" s="156" t="s">
        <v>24</v>
      </c>
      <c r="F83" s="157"/>
      <c r="G83" s="158"/>
      <c r="H83" s="158"/>
      <c r="I83" s="157"/>
      <c r="J83" s="158"/>
      <c r="K83" s="157"/>
      <c r="L83" s="158"/>
      <c r="M83" s="158"/>
      <c r="N83" s="157"/>
      <c r="O83" s="157"/>
      <c r="P83" s="157"/>
      <c r="Q83" s="157"/>
      <c r="R83" s="157"/>
      <c r="S83" s="157"/>
      <c r="T83" s="157"/>
      <c r="U83" s="158"/>
      <c r="V83" s="159">
        <f t="shared" si="1"/>
        <v>0</v>
      </c>
      <c r="W83" s="160"/>
      <c r="X83" s="160"/>
      <c r="Y83" s="161"/>
    </row>
    <row r="84" ht="15.75" customHeight="1">
      <c r="A84" s="146" t="s">
        <v>665</v>
      </c>
      <c r="B84" s="146" t="str">
        <f>IFERROR(VLOOKUP(A84&amp;"", STUDENTS!A:B, 2, 0), "")</f>
        <v>TRẦN VĂN HÀ</v>
      </c>
      <c r="C84" s="147" t="s">
        <v>58</v>
      </c>
      <c r="D84" s="147" t="str">
        <f>IFERROR(VLOOKUP(C84, PIC!A:B, 2, 0), "")</f>
        <v>Hung Nguyen</v>
      </c>
      <c r="E84" s="148" t="s">
        <v>21</v>
      </c>
      <c r="F84" s="149">
        <v>45772.58333333334</v>
      </c>
      <c r="G84" s="150">
        <v>45786.58333333334</v>
      </c>
      <c r="H84" s="150">
        <v>45841.54166666666</v>
      </c>
      <c r="I84" s="149">
        <v>45849.45833333334</v>
      </c>
      <c r="J84" s="150">
        <v>45849.45833333334</v>
      </c>
      <c r="K84" s="149">
        <v>45862.625</v>
      </c>
      <c r="L84" s="150">
        <v>45869.41666666666</v>
      </c>
      <c r="M84" s="150">
        <v>45890.58333333334</v>
      </c>
      <c r="N84" s="149">
        <v>45897.54166666666</v>
      </c>
      <c r="O84" s="149">
        <v>45918.41666666666</v>
      </c>
      <c r="P84" s="149"/>
      <c r="Q84" s="149"/>
      <c r="R84" s="149"/>
      <c r="S84" s="149"/>
      <c r="T84" s="149"/>
      <c r="U84" s="150"/>
      <c r="V84" s="151">
        <f t="shared" si="1"/>
        <v>45918.41667</v>
      </c>
      <c r="W84" s="152"/>
      <c r="X84" s="152"/>
      <c r="Y84" s="161"/>
    </row>
    <row r="85" ht="15.75" customHeight="1">
      <c r="A85" s="154" t="s">
        <v>665</v>
      </c>
      <c r="B85" s="154" t="str">
        <f>IFERROR(VLOOKUP(A85&amp;"", STUDENTS!A:B, 2, 0), "")</f>
        <v>TRẦN VĂN HÀ</v>
      </c>
      <c r="C85" s="155" t="s">
        <v>58</v>
      </c>
      <c r="D85" s="155" t="str">
        <f>IFERROR(VLOOKUP(C85, PIC!A:B, 2, 0), "")</f>
        <v>Hung Nguyen</v>
      </c>
      <c r="E85" s="156" t="s">
        <v>22</v>
      </c>
      <c r="F85" s="157">
        <v>45946.45833333334</v>
      </c>
      <c r="G85" s="158">
        <v>45953.45833333334</v>
      </c>
      <c r="H85" s="158">
        <v>45960.45833333334</v>
      </c>
      <c r="I85" s="157">
        <v>45961.625</v>
      </c>
      <c r="J85" s="158">
        <v>45974.41666666666</v>
      </c>
      <c r="K85" s="157">
        <v>45981.41666666666</v>
      </c>
      <c r="L85" s="158">
        <v>45988.41666666666</v>
      </c>
      <c r="M85" s="158">
        <v>45995.41666666666</v>
      </c>
      <c r="N85" s="163">
        <v>46002.625</v>
      </c>
      <c r="O85" s="157">
        <v>46010.625</v>
      </c>
      <c r="P85" s="157">
        <v>46017.58333333334</v>
      </c>
      <c r="Q85" s="157">
        <v>46038.58333333334</v>
      </c>
      <c r="R85" s="157">
        <v>46044.41666666666</v>
      </c>
      <c r="S85" s="157">
        <v>46051.625</v>
      </c>
      <c r="T85" s="157">
        <v>46052.625</v>
      </c>
      <c r="U85" s="158">
        <v>46104.41666666666</v>
      </c>
      <c r="V85" s="159">
        <f t="shared" si="1"/>
        <v>46104.41667</v>
      </c>
      <c r="W85" s="160"/>
      <c r="X85" s="160"/>
      <c r="Y85" s="161"/>
    </row>
    <row r="86" ht="15.75" customHeight="1">
      <c r="A86" s="146" t="s">
        <v>159</v>
      </c>
      <c r="B86" s="146" t="str">
        <f>IFERROR(VLOOKUP(A86&amp;"", STUDENTS!A:B, 2, 0), "")</f>
        <v>ĐÀO SỸ THỜI</v>
      </c>
      <c r="C86" s="147" t="s">
        <v>59</v>
      </c>
      <c r="D86" s="147" t="str">
        <f>IFERROR(VLOOKUP(C86, PIC!A:B, 2, 0), "")</f>
        <v>Huong Le</v>
      </c>
      <c r="E86" s="148" t="s">
        <v>21</v>
      </c>
      <c r="F86" s="149">
        <v>45663.58333333334</v>
      </c>
      <c r="G86" s="150" t="s">
        <v>815</v>
      </c>
      <c r="H86" s="150">
        <v>45716.58333333334</v>
      </c>
      <c r="I86" s="149">
        <v>45762.58333333334</v>
      </c>
      <c r="J86" s="150">
        <v>45768.58333333334</v>
      </c>
      <c r="K86" s="149" t="s">
        <v>815</v>
      </c>
      <c r="L86" s="150">
        <v>45806.58333333334</v>
      </c>
      <c r="M86" s="150">
        <v>45810.54166666666</v>
      </c>
      <c r="N86" s="149">
        <v>45824.58333333334</v>
      </c>
      <c r="O86" s="149">
        <v>45852.54166666666</v>
      </c>
      <c r="P86" s="149"/>
      <c r="Q86" s="149"/>
      <c r="R86" s="149"/>
      <c r="S86" s="149"/>
      <c r="T86" s="149"/>
      <c r="U86" s="150"/>
      <c r="V86" s="151">
        <f t="shared" si="1"/>
        <v>45852.54167</v>
      </c>
      <c r="W86" s="152"/>
      <c r="X86" s="152"/>
      <c r="Y86" s="161"/>
    </row>
    <row r="87" ht="15.75" customHeight="1">
      <c r="A87" s="154" t="s">
        <v>247</v>
      </c>
      <c r="B87" s="154" t="str">
        <f>IFERROR(VLOOKUP(A87&amp;"", STUDENTS!A:B, 2, 0), "")</f>
        <v>LẠC MINH HOÀNG</v>
      </c>
      <c r="C87" s="155" t="s">
        <v>59</v>
      </c>
      <c r="D87" s="155" t="str">
        <f>IFERROR(VLOOKUP(C87, PIC!A:B, 2, 0), "")</f>
        <v>Huong Le</v>
      </c>
      <c r="E87" s="156" t="s">
        <v>22</v>
      </c>
      <c r="F87" s="157">
        <v>45915.54166666666</v>
      </c>
      <c r="G87" s="158">
        <v>45922.58333333334</v>
      </c>
      <c r="H87" s="158">
        <v>45929.54166666666</v>
      </c>
      <c r="I87" s="157">
        <v>45943.54166666666</v>
      </c>
      <c r="J87" s="158">
        <v>45950.58333333334</v>
      </c>
      <c r="K87" s="157">
        <v>45957.54166666666</v>
      </c>
      <c r="L87" s="158">
        <v>45972.58333333334</v>
      </c>
      <c r="M87" s="158">
        <v>45980.58333333334</v>
      </c>
      <c r="N87" s="157">
        <v>45981.58333333334</v>
      </c>
      <c r="O87" s="157">
        <v>45996.58333333334</v>
      </c>
      <c r="P87" s="157" t="s">
        <v>815</v>
      </c>
      <c r="Q87" s="157">
        <v>46008.58333333334</v>
      </c>
      <c r="R87" s="157" t="s">
        <v>815</v>
      </c>
      <c r="S87" s="157">
        <v>46021.54166666666</v>
      </c>
      <c r="T87" s="157">
        <v>46041.54166666666</v>
      </c>
      <c r="U87" s="158">
        <v>46115.54166666666</v>
      </c>
      <c r="V87" s="159">
        <f t="shared" si="1"/>
        <v>46115.54167</v>
      </c>
      <c r="W87" s="160"/>
      <c r="X87" s="160"/>
      <c r="Y87" s="161"/>
    </row>
    <row r="88" ht="15.75" customHeight="1">
      <c r="A88" s="146" t="s">
        <v>294</v>
      </c>
      <c r="B88" s="146" t="str">
        <f>IFERROR(VLOOKUP(A88&amp;"", STUDENTS!A:B, 2, 0), "")</f>
        <v>LÊ THỊ LAN HƯƠNG</v>
      </c>
      <c r="C88" s="147" t="s">
        <v>59</v>
      </c>
      <c r="D88" s="147" t="str">
        <f>IFERROR(VLOOKUP(C88, PIC!A:B, 2, 0), "")</f>
        <v>Huong Le</v>
      </c>
      <c r="E88" s="148" t="s">
        <v>22</v>
      </c>
      <c r="F88" s="149">
        <v>45915.54166666666</v>
      </c>
      <c r="G88" s="150" t="s">
        <v>815</v>
      </c>
      <c r="H88" s="150">
        <v>45929.54166666666</v>
      </c>
      <c r="I88" s="149" t="s">
        <v>815</v>
      </c>
      <c r="J88" s="150">
        <v>45950.58333333334</v>
      </c>
      <c r="K88" s="149">
        <v>45957.54166666666</v>
      </c>
      <c r="L88" s="150">
        <v>45972.58333333334</v>
      </c>
      <c r="M88" s="150">
        <v>45980.58333333334</v>
      </c>
      <c r="N88" s="149">
        <v>45981.58333333334</v>
      </c>
      <c r="O88" s="149">
        <v>45996.58333333334</v>
      </c>
      <c r="P88" s="149">
        <v>46006.58333333334</v>
      </c>
      <c r="Q88" s="149">
        <v>46008.58333333334</v>
      </c>
      <c r="R88" s="149">
        <v>46017.54166666666</v>
      </c>
      <c r="S88" s="149">
        <v>46021.54166666666</v>
      </c>
      <c r="T88" s="149">
        <v>46041.54166666666</v>
      </c>
      <c r="U88" s="150">
        <v>46115.54166666666</v>
      </c>
      <c r="V88" s="151">
        <f t="shared" si="1"/>
        <v>46115.54167</v>
      </c>
      <c r="W88" s="152"/>
      <c r="X88" s="152"/>
      <c r="Y88" s="161"/>
    </row>
    <row r="89" ht="15.75" customHeight="1">
      <c r="A89" s="154" t="s">
        <v>313</v>
      </c>
      <c r="B89" s="154" t="str">
        <f>IFERROR(VLOOKUP(A89&amp;"", STUDENTS!A:B, 2, 0), "")</f>
        <v>LƯƠNG TRÀ VY</v>
      </c>
      <c r="C89" s="155" t="s">
        <v>59</v>
      </c>
      <c r="D89" s="155" t="str">
        <f>IFERROR(VLOOKUP(C89, PIC!A:B, 2, 0), "")</f>
        <v>Huong Le</v>
      </c>
      <c r="E89" s="156" t="s">
        <v>21</v>
      </c>
      <c r="F89" s="157">
        <v>45663.58333333334</v>
      </c>
      <c r="G89" s="158">
        <v>45698.58333333334</v>
      </c>
      <c r="H89" s="158">
        <v>45716.58333333334</v>
      </c>
      <c r="I89" s="157">
        <v>45762.58333333334</v>
      </c>
      <c r="J89" s="158">
        <v>45768.58333333334</v>
      </c>
      <c r="K89" s="157" t="s">
        <v>815</v>
      </c>
      <c r="L89" s="158">
        <v>45806.58333333334</v>
      </c>
      <c r="M89" s="158">
        <v>45810.54166666666</v>
      </c>
      <c r="N89" s="157">
        <v>45824.58333333334</v>
      </c>
      <c r="O89" s="157">
        <v>45852.54166666666</v>
      </c>
      <c r="P89" s="157"/>
      <c r="Q89" s="157"/>
      <c r="R89" s="157"/>
      <c r="S89" s="157"/>
      <c r="T89" s="157"/>
      <c r="U89" s="158"/>
      <c r="V89" s="159">
        <f t="shared" si="1"/>
        <v>45852.54167</v>
      </c>
      <c r="W89" s="160"/>
      <c r="X89" s="160"/>
      <c r="Y89" s="161"/>
    </row>
    <row r="90" ht="15.75" customHeight="1">
      <c r="A90" s="146" t="s">
        <v>313</v>
      </c>
      <c r="B90" s="146" t="str">
        <f>IFERROR(VLOOKUP(A90&amp;"", STUDENTS!A:B, 2, 0), "")</f>
        <v>LƯƠNG TRÀ VY</v>
      </c>
      <c r="C90" s="147" t="s">
        <v>59</v>
      </c>
      <c r="D90" s="147" t="str">
        <f>IFERROR(VLOOKUP(C90, PIC!A:B, 2, 0), "")</f>
        <v>Huong Le</v>
      </c>
      <c r="E90" s="148" t="s">
        <v>22</v>
      </c>
      <c r="F90" s="149">
        <v>45915.54166666666</v>
      </c>
      <c r="G90" s="150">
        <v>45922.58333333334</v>
      </c>
      <c r="H90" s="150">
        <v>45929.54166666666</v>
      </c>
      <c r="I90" s="149">
        <v>45943.54166666666</v>
      </c>
      <c r="J90" s="150">
        <v>45950.58333333334</v>
      </c>
      <c r="K90" s="149" t="s">
        <v>815</v>
      </c>
      <c r="L90" s="150" t="s">
        <v>815</v>
      </c>
      <c r="M90" s="150">
        <v>45980.58333333334</v>
      </c>
      <c r="N90" s="149">
        <v>45981.58333333334</v>
      </c>
      <c r="O90" s="149">
        <v>45996.58333333334</v>
      </c>
      <c r="P90" s="149">
        <v>46006.58333333334</v>
      </c>
      <c r="Q90" s="149">
        <v>46008.58333333334</v>
      </c>
      <c r="R90" s="149">
        <v>46017.54166666666</v>
      </c>
      <c r="S90" s="149">
        <v>46021.54166666666</v>
      </c>
      <c r="T90" s="149">
        <v>46041.54166666666</v>
      </c>
      <c r="U90" s="150">
        <v>46115.54166666666</v>
      </c>
      <c r="V90" s="151">
        <f t="shared" si="1"/>
        <v>46115.54167</v>
      </c>
      <c r="W90" s="152"/>
      <c r="X90" s="152"/>
      <c r="Y90" s="161"/>
    </row>
    <row r="91" ht="15.75" customHeight="1">
      <c r="A91" s="154" t="s">
        <v>330</v>
      </c>
      <c r="B91" s="154" t="str">
        <f>IFERROR(VLOOKUP(A91&amp;"", STUDENTS!A:B, 2, 0), "")</f>
        <v>NGUYỄN ANH ĐỨC</v>
      </c>
      <c r="C91" s="155" t="s">
        <v>59</v>
      </c>
      <c r="D91" s="155" t="str">
        <f>IFERROR(VLOOKUP(C91, PIC!A:B, 2, 0), "")</f>
        <v>Huong Le</v>
      </c>
      <c r="E91" s="156" t="s">
        <v>22</v>
      </c>
      <c r="F91" s="157">
        <v>45915.54166666666</v>
      </c>
      <c r="G91" s="158">
        <v>45922.58333333334</v>
      </c>
      <c r="H91" s="158">
        <v>45929.54166666666</v>
      </c>
      <c r="I91" s="157">
        <v>45943.54166666666</v>
      </c>
      <c r="J91" s="158">
        <v>45950.58333333334</v>
      </c>
      <c r="K91" s="157">
        <v>45957.54166666666</v>
      </c>
      <c r="L91" s="158" t="s">
        <v>815</v>
      </c>
      <c r="M91" s="158">
        <v>45980.58333333334</v>
      </c>
      <c r="N91" s="157">
        <v>45981.58333333334</v>
      </c>
      <c r="O91" s="157">
        <v>45996.58333333334</v>
      </c>
      <c r="P91" s="157">
        <v>46006.58333333334</v>
      </c>
      <c r="Q91" s="157">
        <v>46008.58333333334</v>
      </c>
      <c r="R91" s="157">
        <v>46017.54166666666</v>
      </c>
      <c r="S91" s="157">
        <v>46021.54166666666</v>
      </c>
      <c r="T91" s="157">
        <v>46041.54166666666</v>
      </c>
      <c r="U91" s="158">
        <v>46115.54166666666</v>
      </c>
      <c r="V91" s="159">
        <f t="shared" si="1"/>
        <v>46115.54167</v>
      </c>
      <c r="W91" s="160"/>
      <c r="X91" s="160"/>
      <c r="Y91" s="161"/>
    </row>
    <row r="92" ht="15.75" customHeight="1">
      <c r="A92" s="146" t="s">
        <v>411</v>
      </c>
      <c r="B92" s="146" t="str">
        <f>IFERROR(VLOOKUP(A92&amp;"", STUDENTS!A:B, 2, 0), "")</f>
        <v>NGUYỄN MINH THƯ</v>
      </c>
      <c r="C92" s="147" t="s">
        <v>59</v>
      </c>
      <c r="D92" s="147" t="str">
        <f>IFERROR(VLOOKUP(C92, PIC!A:B, 2, 0), "")</f>
        <v>Huong Le</v>
      </c>
      <c r="E92" s="148" t="s">
        <v>22</v>
      </c>
      <c r="F92" s="149">
        <v>45915.54166666666</v>
      </c>
      <c r="G92" s="150" t="s">
        <v>815</v>
      </c>
      <c r="H92" s="150" t="s">
        <v>815</v>
      </c>
      <c r="I92" s="149">
        <v>45943.54166666666</v>
      </c>
      <c r="J92" s="150">
        <v>45950.58333333334</v>
      </c>
      <c r="K92" s="149">
        <v>45957.54166666666</v>
      </c>
      <c r="L92" s="150" t="s">
        <v>815</v>
      </c>
      <c r="M92" s="150">
        <v>45980.58333333334</v>
      </c>
      <c r="N92" s="149">
        <v>45981.58333333334</v>
      </c>
      <c r="O92" s="149">
        <v>45996.58333333334</v>
      </c>
      <c r="P92" s="149">
        <v>46006.58333333334</v>
      </c>
      <c r="Q92" s="149">
        <v>46008.58333333334</v>
      </c>
      <c r="R92" s="149">
        <v>46017.54166666666</v>
      </c>
      <c r="S92" s="149">
        <v>46021.54166666666</v>
      </c>
      <c r="T92" s="149">
        <v>46041.54166666666</v>
      </c>
      <c r="U92" s="150">
        <v>46115.54166666666</v>
      </c>
      <c r="V92" s="151">
        <f t="shared" si="1"/>
        <v>46115.54167</v>
      </c>
      <c r="W92" s="152"/>
      <c r="X92" s="152"/>
      <c r="Y92" s="161"/>
    </row>
    <row r="93" ht="15.75" customHeight="1">
      <c r="A93" s="154" t="s">
        <v>433</v>
      </c>
      <c r="B93" s="154" t="str">
        <f>IFERROR(VLOOKUP(A93&amp;"", STUDENTS!A:B, 2, 0), "")</f>
        <v>NGUYỄN QUANG TRUNG</v>
      </c>
      <c r="C93" s="155" t="s">
        <v>59</v>
      </c>
      <c r="D93" s="155" t="str">
        <f>IFERROR(VLOOKUP(C93, PIC!A:B, 2, 0), "")</f>
        <v>Huong Le</v>
      </c>
      <c r="E93" s="156" t="s">
        <v>21</v>
      </c>
      <c r="F93" s="157">
        <v>45663.58333333334</v>
      </c>
      <c r="G93" s="158">
        <v>45698.58333333334</v>
      </c>
      <c r="H93" s="158">
        <v>45716.58333333334</v>
      </c>
      <c r="I93" s="157">
        <v>45762.58333333334</v>
      </c>
      <c r="J93" s="158">
        <v>45768.58333333334</v>
      </c>
      <c r="K93" s="157">
        <v>45782.54166666666</v>
      </c>
      <c r="L93" s="158">
        <v>45806.58333333334</v>
      </c>
      <c r="M93" s="158">
        <v>45810.54166666666</v>
      </c>
      <c r="N93" s="157">
        <v>45824.58333333334</v>
      </c>
      <c r="O93" s="157">
        <v>45852.54166666666</v>
      </c>
      <c r="P93" s="157"/>
      <c r="Q93" s="157"/>
      <c r="R93" s="157"/>
      <c r="S93" s="157"/>
      <c r="T93" s="157"/>
      <c r="U93" s="158"/>
      <c r="V93" s="159">
        <f t="shared" si="1"/>
        <v>45852.54167</v>
      </c>
      <c r="W93" s="160"/>
      <c r="X93" s="160"/>
      <c r="Y93" s="161"/>
    </row>
    <row r="94" ht="15.75" customHeight="1">
      <c r="A94" s="146" t="s">
        <v>451</v>
      </c>
      <c r="B94" s="146" t="str">
        <f>IFERROR(VLOOKUP(A94&amp;"", STUDENTS!A:B, 2, 0), "")</f>
        <v>NGUYỄN THÀNH PHI</v>
      </c>
      <c r="C94" s="147" t="s">
        <v>59</v>
      </c>
      <c r="D94" s="147" t="str">
        <f>IFERROR(VLOOKUP(C94, PIC!A:B, 2, 0), "")</f>
        <v>Huong Le</v>
      </c>
      <c r="E94" s="148" t="s">
        <v>21</v>
      </c>
      <c r="F94" s="149" t="s">
        <v>815</v>
      </c>
      <c r="G94" s="150">
        <v>45698.58333333334</v>
      </c>
      <c r="H94" s="150">
        <v>45716.58333333334</v>
      </c>
      <c r="I94" s="149">
        <v>45762.58333333334</v>
      </c>
      <c r="J94" s="150">
        <v>45768.58333333334</v>
      </c>
      <c r="K94" s="149">
        <v>45782.54166666666</v>
      </c>
      <c r="L94" s="150">
        <v>45806.58333333334</v>
      </c>
      <c r="M94" s="150">
        <v>45810.54166666666</v>
      </c>
      <c r="N94" s="149">
        <v>45824.58333333334</v>
      </c>
      <c r="O94" s="149">
        <v>45852.54166666666</v>
      </c>
      <c r="P94" s="149"/>
      <c r="Q94" s="149"/>
      <c r="R94" s="149"/>
      <c r="S94" s="149"/>
      <c r="T94" s="149"/>
      <c r="U94" s="150"/>
      <c r="V94" s="151">
        <f t="shared" si="1"/>
        <v>45852.54167</v>
      </c>
      <c r="W94" s="152"/>
      <c r="X94" s="152"/>
      <c r="Y94" s="161"/>
    </row>
    <row r="95" ht="15.75" customHeight="1">
      <c r="A95" s="154" t="s">
        <v>451</v>
      </c>
      <c r="B95" s="154" t="str">
        <f>IFERROR(VLOOKUP(A95&amp;"", STUDENTS!A:B, 2, 0), "")</f>
        <v>NGUYỄN THÀNH PHI</v>
      </c>
      <c r="C95" s="155" t="s">
        <v>59</v>
      </c>
      <c r="D95" s="155" t="str">
        <f>IFERROR(VLOOKUP(C95, PIC!A:B, 2, 0), "")</f>
        <v>Huong Le</v>
      </c>
      <c r="E95" s="156" t="s">
        <v>22</v>
      </c>
      <c r="F95" s="157" t="s">
        <v>815</v>
      </c>
      <c r="G95" s="158">
        <v>45922.58333333334</v>
      </c>
      <c r="H95" s="158">
        <v>45929.54166666666</v>
      </c>
      <c r="I95" s="157" t="s">
        <v>815</v>
      </c>
      <c r="J95" s="158">
        <v>45950.58333333334</v>
      </c>
      <c r="K95" s="157">
        <v>45957.54166666666</v>
      </c>
      <c r="L95" s="158" t="s">
        <v>815</v>
      </c>
      <c r="M95" s="158">
        <v>45980.58333333334</v>
      </c>
      <c r="N95" s="157">
        <v>45981.58333333334</v>
      </c>
      <c r="O95" s="157">
        <v>45996.58333333334</v>
      </c>
      <c r="P95" s="157">
        <v>46006.58333333334</v>
      </c>
      <c r="Q95" s="157">
        <v>46008.58333333334</v>
      </c>
      <c r="R95" s="157">
        <v>46017.54166666666</v>
      </c>
      <c r="S95" s="157" t="s">
        <v>815</v>
      </c>
      <c r="T95" s="157">
        <v>46041.54166666666</v>
      </c>
      <c r="U95" s="158">
        <v>46115.54166666666</v>
      </c>
      <c r="V95" s="159">
        <f t="shared" si="1"/>
        <v>46115.54167</v>
      </c>
      <c r="W95" s="160"/>
      <c r="X95" s="160"/>
      <c r="Y95" s="161"/>
    </row>
    <row r="96" ht="15.75" customHeight="1">
      <c r="A96" s="146" t="s">
        <v>466</v>
      </c>
      <c r="B96" s="146" t="str">
        <f>IFERROR(VLOOKUP(A96&amp;"", STUDENTS!A:B, 2, 0), "")</f>
        <v>NGUYỄN THỊ HỒNG ĐÀO</v>
      </c>
      <c r="C96" s="147" t="s">
        <v>59</v>
      </c>
      <c r="D96" s="147" t="str">
        <f>IFERROR(VLOOKUP(C96, PIC!A:B, 2, 0), "")</f>
        <v>Huong Le</v>
      </c>
      <c r="E96" s="148" t="s">
        <v>21</v>
      </c>
      <c r="F96" s="149">
        <v>45663.58333333334</v>
      </c>
      <c r="G96" s="150" t="s">
        <v>815</v>
      </c>
      <c r="H96" s="150">
        <v>45716.58333333334</v>
      </c>
      <c r="I96" s="149" t="s">
        <v>815</v>
      </c>
      <c r="J96" s="150">
        <v>45768.58333333334</v>
      </c>
      <c r="K96" s="149">
        <v>45782.54166666666</v>
      </c>
      <c r="L96" s="150">
        <v>45806.58333333334</v>
      </c>
      <c r="M96" s="150">
        <v>45810.54166666666</v>
      </c>
      <c r="N96" s="149">
        <v>45824.58333333334</v>
      </c>
      <c r="O96" s="149">
        <v>45852.54166666666</v>
      </c>
      <c r="P96" s="149"/>
      <c r="Q96" s="149"/>
      <c r="R96" s="149"/>
      <c r="S96" s="149"/>
      <c r="T96" s="149"/>
      <c r="U96" s="150"/>
      <c r="V96" s="151">
        <f t="shared" si="1"/>
        <v>45852.54167</v>
      </c>
      <c r="W96" s="152"/>
      <c r="X96" s="152"/>
      <c r="Y96" s="161"/>
    </row>
    <row r="97" ht="15.75" customHeight="1">
      <c r="A97" s="154" t="s">
        <v>466</v>
      </c>
      <c r="B97" s="154" t="str">
        <f>IFERROR(VLOOKUP(A97&amp;"", STUDENTS!A:B, 2, 0), "")</f>
        <v>NGUYỄN THỊ HỒNG ĐÀO</v>
      </c>
      <c r="C97" s="155" t="s">
        <v>59</v>
      </c>
      <c r="D97" s="155" t="str">
        <f>IFERROR(VLOOKUP(C97, PIC!A:B, 2, 0), "")</f>
        <v>Huong Le</v>
      </c>
      <c r="E97" s="156" t="s">
        <v>22</v>
      </c>
      <c r="F97" s="157">
        <v>45915.54166666666</v>
      </c>
      <c r="G97" s="158" t="s">
        <v>815</v>
      </c>
      <c r="H97" s="158" t="s">
        <v>815</v>
      </c>
      <c r="I97" s="157">
        <v>45943.54166666666</v>
      </c>
      <c r="J97" s="158">
        <v>45950.58333333334</v>
      </c>
      <c r="K97" s="157">
        <v>45957.54166666666</v>
      </c>
      <c r="L97" s="158">
        <v>45972.58333333334</v>
      </c>
      <c r="M97" s="158">
        <v>45980.58333333334</v>
      </c>
      <c r="N97" s="157">
        <v>45981.58333333334</v>
      </c>
      <c r="O97" s="157">
        <v>45996.58333333334</v>
      </c>
      <c r="P97" s="157">
        <v>46006.58333333334</v>
      </c>
      <c r="Q97" s="157">
        <v>46008.58333333334</v>
      </c>
      <c r="R97" s="157">
        <v>46017.54166666666</v>
      </c>
      <c r="S97" s="157">
        <v>46021.54166666666</v>
      </c>
      <c r="T97" s="157">
        <v>46041.54166666666</v>
      </c>
      <c r="U97" s="158">
        <v>46115.54166666666</v>
      </c>
      <c r="V97" s="159">
        <f t="shared" si="1"/>
        <v>46115.54167</v>
      </c>
      <c r="W97" s="160"/>
      <c r="X97" s="160"/>
      <c r="Y97" s="161"/>
    </row>
    <row r="98" ht="15.75" customHeight="1">
      <c r="A98" s="146" t="s">
        <v>484</v>
      </c>
      <c r="B98" s="146" t="str">
        <f>IFERROR(VLOOKUP(A98&amp;"", STUDENTS!A:B, 2, 0), "")</f>
        <v>NGUYỄN THÙY GIANG</v>
      </c>
      <c r="C98" s="147" t="s">
        <v>59</v>
      </c>
      <c r="D98" s="147" t="str">
        <f>IFERROR(VLOOKUP(C98, PIC!A:B, 2, 0), "")</f>
        <v>Huong Le</v>
      </c>
      <c r="E98" s="148" t="s">
        <v>21</v>
      </c>
      <c r="F98" s="149">
        <v>45663.58333333334</v>
      </c>
      <c r="G98" s="150">
        <v>45698.58333333334</v>
      </c>
      <c r="H98" s="150" t="s">
        <v>815</v>
      </c>
      <c r="I98" s="149">
        <v>45762.58333333334</v>
      </c>
      <c r="J98" s="150">
        <v>45768.58333333334</v>
      </c>
      <c r="K98" s="149">
        <v>45782.54166666666</v>
      </c>
      <c r="L98" s="150">
        <v>45806.58333333334</v>
      </c>
      <c r="M98" s="150">
        <v>45810.54166666666</v>
      </c>
      <c r="N98" s="149">
        <v>45824.58333333334</v>
      </c>
      <c r="O98" s="149">
        <v>45852.54166666666</v>
      </c>
      <c r="P98" s="149"/>
      <c r="Q98" s="149"/>
      <c r="R98" s="149"/>
      <c r="S98" s="149"/>
      <c r="T98" s="149"/>
      <c r="U98" s="150"/>
      <c r="V98" s="151">
        <f t="shared" si="1"/>
        <v>45852.54167</v>
      </c>
      <c r="W98" s="152"/>
      <c r="X98" s="152"/>
      <c r="Y98" s="161"/>
    </row>
    <row r="99" ht="15.75" customHeight="1">
      <c r="A99" s="154" t="s">
        <v>484</v>
      </c>
      <c r="B99" s="154" t="str">
        <f>IFERROR(VLOOKUP(A99&amp;"", STUDENTS!A:B, 2, 0), "")</f>
        <v>NGUYỄN THÙY GIANG</v>
      </c>
      <c r="C99" s="155" t="s">
        <v>59</v>
      </c>
      <c r="D99" s="155" t="str">
        <f>IFERROR(VLOOKUP(C99, PIC!A:B, 2, 0), "")</f>
        <v>Huong Le</v>
      </c>
      <c r="E99" s="156" t="s">
        <v>22</v>
      </c>
      <c r="F99" s="157">
        <v>45915.54166666666</v>
      </c>
      <c r="G99" s="158">
        <v>45922.58333333334</v>
      </c>
      <c r="H99" s="158">
        <v>45929.54166666666</v>
      </c>
      <c r="I99" s="157" t="s">
        <v>815</v>
      </c>
      <c r="J99" s="158">
        <v>45950.58333333334</v>
      </c>
      <c r="K99" s="157">
        <v>45957.54166666666</v>
      </c>
      <c r="L99" s="158">
        <v>45972.58333333334</v>
      </c>
      <c r="M99" s="158">
        <v>45980.58333333334</v>
      </c>
      <c r="N99" s="157">
        <v>45981.58333333334</v>
      </c>
      <c r="O99" s="157">
        <v>45996.58333333334</v>
      </c>
      <c r="P99" s="157">
        <v>46006.58333333334</v>
      </c>
      <c r="Q99" s="157">
        <v>46008.58333333334</v>
      </c>
      <c r="R99" s="157">
        <v>46017.54166666666</v>
      </c>
      <c r="S99" s="157" t="s">
        <v>815</v>
      </c>
      <c r="T99" s="157" t="s">
        <v>815</v>
      </c>
      <c r="U99" s="158" t="s">
        <v>815</v>
      </c>
      <c r="V99" s="159">
        <f t="shared" si="1"/>
        <v>46017.54167</v>
      </c>
      <c r="W99" s="160"/>
      <c r="X99" s="160"/>
      <c r="Y99" s="161"/>
    </row>
    <row r="100" ht="15.75" customHeight="1">
      <c r="A100" s="146" t="s">
        <v>547</v>
      </c>
      <c r="B100" s="146" t="str">
        <f>IFERROR(VLOOKUP(A100&amp;"", STUDENTS!A:B, 2, 0), "")</f>
        <v>PHẠM THỊ BÍCH THÚY</v>
      </c>
      <c r="C100" s="147" t="s">
        <v>59</v>
      </c>
      <c r="D100" s="147" t="str">
        <f>IFERROR(VLOOKUP(C100, PIC!A:B, 2, 0), "")</f>
        <v>Huong Le</v>
      </c>
      <c r="E100" s="148" t="s">
        <v>22</v>
      </c>
      <c r="F100" s="149">
        <v>45915.54166666666</v>
      </c>
      <c r="G100" s="150">
        <v>45922.58333333334</v>
      </c>
      <c r="H100" s="150">
        <v>45929.54166666666</v>
      </c>
      <c r="I100" s="149" t="s">
        <v>815</v>
      </c>
      <c r="J100" s="150">
        <v>45950.58333333334</v>
      </c>
      <c r="K100" s="149">
        <v>45957.54166666666</v>
      </c>
      <c r="L100" s="150">
        <v>45972.58333333334</v>
      </c>
      <c r="M100" s="150">
        <v>45980.58333333334</v>
      </c>
      <c r="N100" s="149">
        <v>45981.58333333334</v>
      </c>
      <c r="O100" s="149">
        <v>45996.58333333334</v>
      </c>
      <c r="P100" s="149">
        <v>46006.58333333334</v>
      </c>
      <c r="Q100" s="149">
        <v>46008.58333333334</v>
      </c>
      <c r="R100" s="149" t="s">
        <v>815</v>
      </c>
      <c r="S100" s="149">
        <v>46021.54166666666</v>
      </c>
      <c r="T100" s="149">
        <v>46041.54166666666</v>
      </c>
      <c r="U100" s="150">
        <v>46115.54166666666</v>
      </c>
      <c r="V100" s="151">
        <f t="shared" si="1"/>
        <v>46115.54167</v>
      </c>
      <c r="W100" s="152"/>
      <c r="X100" s="152"/>
      <c r="Y100" s="161"/>
    </row>
    <row r="101" ht="15.75" customHeight="1">
      <c r="A101" s="154" t="s">
        <v>140</v>
      </c>
      <c r="B101" s="154" t="str">
        <f>IFERROR(VLOOKUP(A101&amp;"", STUDENTS!A:B, 2, 0), "")</f>
        <v>BÙI HUỲNH TRUNG TÍN</v>
      </c>
      <c r="C101" s="155" t="s">
        <v>60</v>
      </c>
      <c r="D101" s="155" t="str">
        <f>IFERROR(VLOOKUP(C101, PIC!A:B, 2, 0), "")</f>
        <v>Huy Tran 1</v>
      </c>
      <c r="E101" s="156" t="s">
        <v>22</v>
      </c>
      <c r="F101" s="157">
        <v>45853.375</v>
      </c>
      <c r="G101" s="158">
        <v>45853.45833333334</v>
      </c>
      <c r="H101" s="158">
        <v>45888.375</v>
      </c>
      <c r="I101" s="157">
        <v>45895.45833333334</v>
      </c>
      <c r="J101" s="158"/>
      <c r="K101" s="157"/>
      <c r="L101" s="158"/>
      <c r="M101" s="158"/>
      <c r="N101" s="157"/>
      <c r="O101" s="157"/>
      <c r="P101" s="157"/>
      <c r="Q101" s="157"/>
      <c r="R101" s="157"/>
      <c r="S101" s="157"/>
      <c r="T101" s="157"/>
      <c r="U101" s="158"/>
      <c r="V101" s="159">
        <f t="shared" si="1"/>
        <v>45895.45833</v>
      </c>
      <c r="W101" s="160"/>
      <c r="X101" s="160"/>
      <c r="Y101" s="161"/>
    </row>
    <row r="102" ht="15.75" customHeight="1">
      <c r="A102" s="146" t="s">
        <v>216</v>
      </c>
      <c r="B102" s="146" t="str">
        <f>IFERROR(VLOOKUP(A102&amp;"", STUDENTS!A:B, 2, 0), "")</f>
        <v>HOÀNG MINH DUY</v>
      </c>
      <c r="C102" s="147" t="s">
        <v>60</v>
      </c>
      <c r="D102" s="147" t="str">
        <f>IFERROR(VLOOKUP(C102, PIC!A:B, 2, 0), "")</f>
        <v>Huy Tran 1</v>
      </c>
      <c r="E102" s="148" t="s">
        <v>21</v>
      </c>
      <c r="F102" s="149">
        <v>45644.375</v>
      </c>
      <c r="G102" s="150">
        <v>45652.375</v>
      </c>
      <c r="H102" s="150">
        <v>45659.375</v>
      </c>
      <c r="I102" s="149">
        <v>45671.375</v>
      </c>
      <c r="J102" s="150">
        <v>45694.375</v>
      </c>
      <c r="K102" s="149">
        <v>45701.375</v>
      </c>
      <c r="L102" s="150">
        <v>45707.45833333334</v>
      </c>
      <c r="M102" s="150" t="s">
        <v>815</v>
      </c>
      <c r="N102" s="149">
        <v>45762.45833333334</v>
      </c>
      <c r="O102" s="149">
        <v>45799.375</v>
      </c>
      <c r="P102" s="149"/>
      <c r="Q102" s="149"/>
      <c r="R102" s="149"/>
      <c r="S102" s="149"/>
      <c r="T102" s="149"/>
      <c r="U102" s="150"/>
      <c r="V102" s="151">
        <f t="shared" si="1"/>
        <v>45799.375</v>
      </c>
      <c r="W102" s="152"/>
      <c r="X102" s="152"/>
      <c r="Y102" s="161"/>
    </row>
    <row r="103" ht="15.75" customHeight="1">
      <c r="A103" s="154" t="s">
        <v>216</v>
      </c>
      <c r="B103" s="154" t="str">
        <f>IFERROR(VLOOKUP(A103&amp;"", STUDENTS!A:B, 2, 0), "")</f>
        <v>HOÀNG MINH DUY</v>
      </c>
      <c r="C103" s="155" t="s">
        <v>60</v>
      </c>
      <c r="D103" s="155" t="str">
        <f>IFERROR(VLOOKUP(C103, PIC!A:B, 2, 0), "")</f>
        <v>Huy Tran 1</v>
      </c>
      <c r="E103" s="156" t="s">
        <v>22</v>
      </c>
      <c r="F103" s="157">
        <v>45853.375</v>
      </c>
      <c r="G103" s="158">
        <v>45853.45833333334</v>
      </c>
      <c r="H103" s="158">
        <v>45888.375</v>
      </c>
      <c r="I103" s="157">
        <v>45895.45833333334</v>
      </c>
      <c r="J103" s="158"/>
      <c r="K103" s="157"/>
      <c r="L103" s="158"/>
      <c r="M103" s="158"/>
      <c r="N103" s="157"/>
      <c r="O103" s="157"/>
      <c r="P103" s="157"/>
      <c r="Q103" s="157"/>
      <c r="R103" s="157"/>
      <c r="S103" s="157"/>
      <c r="T103" s="157"/>
      <c r="U103" s="158"/>
      <c r="V103" s="159">
        <f t="shared" si="1"/>
        <v>45895.45833</v>
      </c>
      <c r="W103" s="160"/>
      <c r="X103" s="160"/>
      <c r="Y103" s="161"/>
    </row>
    <row r="104" ht="15.75" customHeight="1">
      <c r="A104" s="146" t="s">
        <v>232</v>
      </c>
      <c r="B104" s="146" t="str">
        <f>IFERROR(VLOOKUP(A104&amp;"", STUDENTS!A:B, 2, 0), "")</f>
        <v>HUỲNH NHẬT DUY</v>
      </c>
      <c r="C104" s="147" t="s">
        <v>60</v>
      </c>
      <c r="D104" s="147" t="str">
        <f>IFERROR(VLOOKUP(C104, PIC!A:B, 2, 0), "")</f>
        <v>Huy Tran 1</v>
      </c>
      <c r="E104" s="148" t="s">
        <v>21</v>
      </c>
      <c r="F104" s="149">
        <v>45644.375</v>
      </c>
      <c r="G104" s="150">
        <v>45652.375</v>
      </c>
      <c r="H104" s="150">
        <v>45659.375</v>
      </c>
      <c r="I104" s="149">
        <v>45671.375</v>
      </c>
      <c r="J104" s="150">
        <v>45694.375</v>
      </c>
      <c r="K104" s="149">
        <v>45701.375</v>
      </c>
      <c r="L104" s="150">
        <v>45707.45833333334</v>
      </c>
      <c r="M104" s="150">
        <v>45715.375</v>
      </c>
      <c r="N104" s="149">
        <v>45762.45833333334</v>
      </c>
      <c r="O104" s="149">
        <v>45799.375</v>
      </c>
      <c r="P104" s="149"/>
      <c r="Q104" s="149"/>
      <c r="R104" s="149"/>
      <c r="S104" s="149"/>
      <c r="T104" s="149"/>
      <c r="U104" s="150"/>
      <c r="V104" s="151">
        <f t="shared" si="1"/>
        <v>45799.375</v>
      </c>
      <c r="W104" s="152"/>
      <c r="X104" s="152"/>
      <c r="Y104" s="161"/>
    </row>
    <row r="105" ht="15.75" customHeight="1">
      <c r="A105" s="154" t="s">
        <v>232</v>
      </c>
      <c r="B105" s="154" t="str">
        <f>IFERROR(VLOOKUP(A105&amp;"", STUDENTS!A:B, 2, 0), "")</f>
        <v>HUỲNH NHẬT DUY</v>
      </c>
      <c r="C105" s="155" t="s">
        <v>60</v>
      </c>
      <c r="D105" s="155" t="str">
        <f>IFERROR(VLOOKUP(C105, PIC!A:B, 2, 0), "")</f>
        <v>Huy Tran 1</v>
      </c>
      <c r="E105" s="156" t="s">
        <v>22</v>
      </c>
      <c r="F105" s="157">
        <v>45853.375</v>
      </c>
      <c r="G105" s="158">
        <v>45853.45833333334</v>
      </c>
      <c r="H105" s="158">
        <v>45888.375</v>
      </c>
      <c r="I105" s="157">
        <v>45895.45833333334</v>
      </c>
      <c r="J105" s="158"/>
      <c r="K105" s="157"/>
      <c r="L105" s="158"/>
      <c r="M105" s="158"/>
      <c r="N105" s="157"/>
      <c r="O105" s="157"/>
      <c r="P105" s="157"/>
      <c r="Q105" s="157"/>
      <c r="R105" s="157"/>
      <c r="S105" s="157"/>
      <c r="T105" s="157"/>
      <c r="U105" s="158"/>
      <c r="V105" s="159">
        <f t="shared" si="1"/>
        <v>45895.45833</v>
      </c>
      <c r="W105" s="160"/>
      <c r="X105" s="160"/>
      <c r="Y105" s="161"/>
    </row>
    <row r="106" ht="15.75" customHeight="1">
      <c r="A106" s="146" t="s">
        <v>321</v>
      </c>
      <c r="B106" s="146" t="str">
        <f>IFERROR(VLOOKUP(A106&amp;"", STUDENTS!A:B, 2, 0), "")</f>
        <v>MAI THỊ THÙY TRANG</v>
      </c>
      <c r="C106" s="147" t="s">
        <v>60</v>
      </c>
      <c r="D106" s="147" t="str">
        <f>IFERROR(VLOOKUP(C106, PIC!A:B, 2, 0), "")</f>
        <v>Huy Tran 1</v>
      </c>
      <c r="E106" s="148" t="s">
        <v>21</v>
      </c>
      <c r="F106" s="149">
        <v>45644.375</v>
      </c>
      <c r="G106" s="150" t="s">
        <v>815</v>
      </c>
      <c r="H106" s="150">
        <v>45659.375</v>
      </c>
      <c r="I106" s="149">
        <v>45671.375</v>
      </c>
      <c r="J106" s="150">
        <v>45694.375</v>
      </c>
      <c r="K106" s="149">
        <v>45701.375</v>
      </c>
      <c r="L106" s="150">
        <v>45707.45833333334</v>
      </c>
      <c r="M106" s="150">
        <v>45715.375</v>
      </c>
      <c r="N106" s="149">
        <v>45762.45833333334</v>
      </c>
      <c r="O106" s="149">
        <v>45799.375</v>
      </c>
      <c r="P106" s="149"/>
      <c r="Q106" s="149"/>
      <c r="R106" s="149"/>
      <c r="S106" s="149"/>
      <c r="T106" s="149"/>
      <c r="U106" s="150"/>
      <c r="V106" s="151">
        <f t="shared" si="1"/>
        <v>45799.375</v>
      </c>
      <c r="W106" s="152"/>
      <c r="X106" s="152"/>
      <c r="Y106" s="161"/>
    </row>
    <row r="107" ht="15.75" customHeight="1">
      <c r="A107" s="154" t="s">
        <v>321</v>
      </c>
      <c r="B107" s="154" t="str">
        <f>IFERROR(VLOOKUP(A107&amp;"", STUDENTS!A:B, 2, 0), "")</f>
        <v>MAI THỊ THÙY TRANG</v>
      </c>
      <c r="C107" s="155" t="s">
        <v>60</v>
      </c>
      <c r="D107" s="155" t="str">
        <f>IFERROR(VLOOKUP(C107, PIC!A:B, 2, 0), "")</f>
        <v>Huy Tran 1</v>
      </c>
      <c r="E107" s="156" t="s">
        <v>22</v>
      </c>
      <c r="F107" s="157">
        <v>45853.375</v>
      </c>
      <c r="G107" s="158">
        <v>45853.45833333334</v>
      </c>
      <c r="H107" s="158">
        <v>45888.375</v>
      </c>
      <c r="I107" s="157">
        <v>45895.45833333334</v>
      </c>
      <c r="J107" s="158"/>
      <c r="K107" s="157"/>
      <c r="L107" s="158"/>
      <c r="M107" s="158"/>
      <c r="N107" s="157"/>
      <c r="O107" s="157"/>
      <c r="P107" s="157"/>
      <c r="Q107" s="157"/>
      <c r="R107" s="157"/>
      <c r="S107" s="157"/>
      <c r="T107" s="157"/>
      <c r="U107" s="158"/>
      <c r="V107" s="159">
        <f t="shared" si="1"/>
        <v>45895.45833</v>
      </c>
      <c r="W107" s="160"/>
      <c r="X107" s="160"/>
      <c r="Y107" s="161"/>
    </row>
    <row r="108" ht="15.75" customHeight="1">
      <c r="A108" s="146" t="s">
        <v>340</v>
      </c>
      <c r="B108" s="146" t="str">
        <f>IFERROR(VLOOKUP(A108&amp;"", STUDENTS!A:B, 2, 0), "")</f>
        <v>NGUYỄN CÔNG ĐOÀN</v>
      </c>
      <c r="C108" s="147" t="s">
        <v>60</v>
      </c>
      <c r="D108" s="147" t="str">
        <f>IFERROR(VLOOKUP(C108, PIC!A:B, 2, 0), "")</f>
        <v>Huy Tran 1</v>
      </c>
      <c r="E108" s="148" t="s">
        <v>22</v>
      </c>
      <c r="F108" s="149">
        <v>45853.375</v>
      </c>
      <c r="G108" s="150">
        <v>45853.45833333334</v>
      </c>
      <c r="H108" s="150">
        <v>45888.375</v>
      </c>
      <c r="I108" s="149">
        <v>45895.45833333334</v>
      </c>
      <c r="J108" s="150"/>
      <c r="K108" s="149"/>
      <c r="L108" s="150"/>
      <c r="M108" s="150"/>
      <c r="N108" s="149"/>
      <c r="O108" s="149"/>
      <c r="P108" s="149"/>
      <c r="Q108" s="149"/>
      <c r="R108" s="149"/>
      <c r="S108" s="149"/>
      <c r="T108" s="149"/>
      <c r="U108" s="150"/>
      <c r="V108" s="151">
        <f t="shared" si="1"/>
        <v>45895.45833</v>
      </c>
      <c r="W108" s="152"/>
      <c r="X108" s="152"/>
      <c r="Y108" s="161"/>
    </row>
    <row r="109" ht="15.75" customHeight="1">
      <c r="A109" s="154" t="s">
        <v>395</v>
      </c>
      <c r="B109" s="154" t="str">
        <f>IFERROR(VLOOKUP(A109&amp;"", STUDENTS!A:B, 2, 0), "")</f>
        <v>NGUYỄN KHÁNH UYÊN</v>
      </c>
      <c r="C109" s="155" t="s">
        <v>60</v>
      </c>
      <c r="D109" s="155" t="str">
        <f>IFERROR(VLOOKUP(C109, PIC!A:B, 2, 0), "")</f>
        <v>Huy Tran 1</v>
      </c>
      <c r="E109" s="156" t="s">
        <v>22</v>
      </c>
      <c r="F109" s="157">
        <v>45853.375</v>
      </c>
      <c r="G109" s="158">
        <v>45853.45833333334</v>
      </c>
      <c r="H109" s="158">
        <v>45888.375</v>
      </c>
      <c r="I109" s="157">
        <v>45895.45833333334</v>
      </c>
      <c r="J109" s="158"/>
      <c r="K109" s="157"/>
      <c r="L109" s="158"/>
      <c r="M109" s="158"/>
      <c r="N109" s="157"/>
      <c r="O109" s="157"/>
      <c r="P109" s="157"/>
      <c r="Q109" s="157"/>
      <c r="R109" s="157"/>
      <c r="S109" s="157"/>
      <c r="T109" s="157"/>
      <c r="U109" s="158"/>
      <c r="V109" s="159">
        <f t="shared" si="1"/>
        <v>45895.45833</v>
      </c>
      <c r="W109" s="160"/>
      <c r="X109" s="160"/>
      <c r="Y109" s="161"/>
    </row>
    <row r="110" ht="15.75" customHeight="1">
      <c r="A110" s="146" t="s">
        <v>504</v>
      </c>
      <c r="B110" s="146" t="str">
        <f>IFERROR(VLOOKUP(A110&amp;"", STUDENTS!A:B, 2, 0), "")</f>
        <v>NGUYỄN VĂN ĐỨC</v>
      </c>
      <c r="C110" s="147" t="s">
        <v>60</v>
      </c>
      <c r="D110" s="147" t="str">
        <f>IFERROR(VLOOKUP(C110, PIC!A:B, 2, 0), "")</f>
        <v>Huy Tran 1</v>
      </c>
      <c r="E110" s="148" t="s">
        <v>22</v>
      </c>
      <c r="F110" s="149">
        <v>45853.375</v>
      </c>
      <c r="G110" s="150" t="s">
        <v>815</v>
      </c>
      <c r="H110" s="150" t="s">
        <v>815</v>
      </c>
      <c r="I110" s="149" t="s">
        <v>815</v>
      </c>
      <c r="J110" s="150"/>
      <c r="K110" s="149"/>
      <c r="L110" s="150"/>
      <c r="M110" s="150"/>
      <c r="N110" s="149"/>
      <c r="O110" s="149"/>
      <c r="P110" s="149"/>
      <c r="Q110" s="149"/>
      <c r="R110" s="149"/>
      <c r="S110" s="149"/>
      <c r="T110" s="149"/>
      <c r="U110" s="150"/>
      <c r="V110" s="151">
        <f t="shared" si="1"/>
        <v>45853.375</v>
      </c>
      <c r="W110" s="152"/>
      <c r="X110" s="152"/>
      <c r="Y110" s="161"/>
    </row>
    <row r="111" ht="15.75" customHeight="1">
      <c r="A111" s="154" t="s">
        <v>583</v>
      </c>
      <c r="B111" s="154" t="str">
        <f>IFERROR(VLOOKUP(A111&amp;"", STUDENTS!A:B, 2, 0), "")</f>
        <v>TĂNG HOÀNG YẾN</v>
      </c>
      <c r="C111" s="155" t="s">
        <v>60</v>
      </c>
      <c r="D111" s="155" t="str">
        <f>IFERROR(VLOOKUP(C111, PIC!A:B, 2, 0), "")</f>
        <v>Huy Tran 1</v>
      </c>
      <c r="E111" s="156" t="s">
        <v>22</v>
      </c>
      <c r="F111" s="157">
        <v>45853.375</v>
      </c>
      <c r="G111" s="158">
        <v>45853.45833333334</v>
      </c>
      <c r="H111" s="158">
        <v>45888.375</v>
      </c>
      <c r="I111" s="157">
        <v>45895.45833333334</v>
      </c>
      <c r="J111" s="158"/>
      <c r="K111" s="157"/>
      <c r="L111" s="158"/>
      <c r="M111" s="158"/>
      <c r="N111" s="157"/>
      <c r="O111" s="157"/>
      <c r="P111" s="157"/>
      <c r="Q111" s="157"/>
      <c r="R111" s="157"/>
      <c r="S111" s="157"/>
      <c r="T111" s="157"/>
      <c r="U111" s="158"/>
      <c r="V111" s="159">
        <f t="shared" si="1"/>
        <v>45895.45833</v>
      </c>
      <c r="W111" s="160"/>
      <c r="X111" s="160"/>
      <c r="Y111" s="161"/>
    </row>
    <row r="112" ht="15.75" customHeight="1">
      <c r="A112" s="146" t="s">
        <v>627</v>
      </c>
      <c r="B112" s="146" t="str">
        <f>IFERROR(VLOOKUP(A112&amp;"", STUDENTS!A:B, 2, 0), "")</f>
        <v>TRẦN NHƯ TRÂM ANH</v>
      </c>
      <c r="C112" s="147" t="s">
        <v>60</v>
      </c>
      <c r="D112" s="147" t="str">
        <f>IFERROR(VLOOKUP(C112, PIC!A:B, 2, 0), "")</f>
        <v>Huy Tran 1</v>
      </c>
      <c r="E112" s="148" t="s">
        <v>21</v>
      </c>
      <c r="F112" s="149">
        <v>45644.375</v>
      </c>
      <c r="G112" s="150">
        <v>45652.375</v>
      </c>
      <c r="H112" s="150">
        <v>45659.375</v>
      </c>
      <c r="I112" s="149">
        <v>45671.375</v>
      </c>
      <c r="J112" s="150">
        <v>45694.375</v>
      </c>
      <c r="K112" s="149">
        <v>45701.375</v>
      </c>
      <c r="L112" s="150">
        <v>45707.45833333334</v>
      </c>
      <c r="M112" s="150">
        <v>45715.375</v>
      </c>
      <c r="N112" s="149">
        <v>45762.45833333334</v>
      </c>
      <c r="O112" s="149">
        <v>45799.375</v>
      </c>
      <c r="P112" s="149"/>
      <c r="Q112" s="149"/>
      <c r="R112" s="149"/>
      <c r="S112" s="149"/>
      <c r="T112" s="149"/>
      <c r="U112" s="150"/>
      <c r="V112" s="151">
        <f t="shared" si="1"/>
        <v>45799.375</v>
      </c>
      <c r="W112" s="152"/>
      <c r="X112" s="152"/>
      <c r="Y112" s="161"/>
    </row>
    <row r="113" ht="15.75" customHeight="1">
      <c r="A113" s="154" t="s">
        <v>689</v>
      </c>
      <c r="B113" s="154" t="str">
        <f>IFERROR(VLOOKUP(A113&amp;"", STUDENTS!A:B, 2, 0), "")</f>
        <v>VÕ CAO TRÍ</v>
      </c>
      <c r="C113" s="155" t="s">
        <v>60</v>
      </c>
      <c r="D113" s="155" t="str">
        <f>IFERROR(VLOOKUP(C113, PIC!A:B, 2, 0), "")</f>
        <v>Huy Tran 1</v>
      </c>
      <c r="E113" s="156" t="s">
        <v>21</v>
      </c>
      <c r="F113" s="157">
        <v>45644.375</v>
      </c>
      <c r="G113" s="158">
        <v>45652.375</v>
      </c>
      <c r="H113" s="158">
        <v>45659.375</v>
      </c>
      <c r="I113" s="157">
        <v>45671.375</v>
      </c>
      <c r="J113" s="158">
        <v>45694.375</v>
      </c>
      <c r="K113" s="157">
        <v>45701.375</v>
      </c>
      <c r="L113" s="158">
        <v>45707.45833333334</v>
      </c>
      <c r="M113" s="158">
        <v>45715.375</v>
      </c>
      <c r="N113" s="157">
        <v>45762.45833333334</v>
      </c>
      <c r="O113" s="157">
        <v>45799.375</v>
      </c>
      <c r="P113" s="157"/>
      <c r="Q113" s="157"/>
      <c r="R113" s="157"/>
      <c r="S113" s="157"/>
      <c r="T113" s="157"/>
      <c r="U113" s="158"/>
      <c r="V113" s="159">
        <f t="shared" si="1"/>
        <v>45799.375</v>
      </c>
      <c r="W113" s="160"/>
      <c r="X113" s="160"/>
      <c r="Y113" s="161"/>
    </row>
    <row r="114" ht="15.75" customHeight="1">
      <c r="A114" s="146" t="s">
        <v>140</v>
      </c>
      <c r="B114" s="146" t="str">
        <f>IFERROR(VLOOKUP(A114&amp;"", STUDENTS!A:B, 2, 0), "")</f>
        <v>BÙI HUỲNH TRUNG TÍN</v>
      </c>
      <c r="C114" s="147" t="s">
        <v>61</v>
      </c>
      <c r="D114" s="147" t="str">
        <f>IFERROR(VLOOKUP(C114, PIC!A:B, 2, 0), "")</f>
        <v>Huy Tran 2</v>
      </c>
      <c r="E114" s="148" t="s">
        <v>21</v>
      </c>
      <c r="F114" s="149">
        <v>45644.375</v>
      </c>
      <c r="G114" s="150">
        <v>45652.375</v>
      </c>
      <c r="H114" s="150">
        <v>45666.375</v>
      </c>
      <c r="I114" s="149">
        <v>45692.375</v>
      </c>
      <c r="J114" s="150">
        <v>45700.45833333334</v>
      </c>
      <c r="K114" s="149">
        <v>45708.375</v>
      </c>
      <c r="L114" s="150">
        <v>45714.45833333334</v>
      </c>
      <c r="M114" s="150">
        <v>45756.45833333334</v>
      </c>
      <c r="N114" s="149">
        <v>45762.375</v>
      </c>
      <c r="O114" s="149">
        <v>45799.375</v>
      </c>
      <c r="P114" s="149"/>
      <c r="Q114" s="149"/>
      <c r="R114" s="149"/>
      <c r="S114" s="149"/>
      <c r="T114" s="149"/>
      <c r="U114" s="150"/>
      <c r="V114" s="151">
        <f t="shared" si="1"/>
        <v>45799.375</v>
      </c>
      <c r="W114" s="152"/>
      <c r="X114" s="152"/>
      <c r="Y114" s="161"/>
    </row>
    <row r="115" ht="15.75" customHeight="1">
      <c r="A115" s="154" t="s">
        <v>340</v>
      </c>
      <c r="B115" s="154" t="str">
        <f>IFERROR(VLOOKUP(A115&amp;"", STUDENTS!A:B, 2, 0), "")</f>
        <v>NGUYỄN CÔNG ĐOÀN</v>
      </c>
      <c r="C115" s="155" t="s">
        <v>61</v>
      </c>
      <c r="D115" s="155" t="str">
        <f>IFERROR(VLOOKUP(C115, PIC!A:B, 2, 0), "")</f>
        <v>Huy Tran 2</v>
      </c>
      <c r="E115" s="156" t="s">
        <v>21</v>
      </c>
      <c r="F115" s="157">
        <v>45644.375</v>
      </c>
      <c r="G115" s="158">
        <v>45652.375</v>
      </c>
      <c r="H115" s="158">
        <v>45666.375</v>
      </c>
      <c r="I115" s="157">
        <v>45692.375</v>
      </c>
      <c r="J115" s="158">
        <v>45700.45833333334</v>
      </c>
      <c r="K115" s="157">
        <v>45708.375</v>
      </c>
      <c r="L115" s="158">
        <v>45714.45833333334</v>
      </c>
      <c r="M115" s="158">
        <v>45756.45833333334</v>
      </c>
      <c r="N115" s="157">
        <v>45762.375</v>
      </c>
      <c r="O115" s="157">
        <v>45799.375</v>
      </c>
      <c r="P115" s="157"/>
      <c r="Q115" s="157"/>
      <c r="R115" s="157"/>
      <c r="S115" s="157"/>
      <c r="T115" s="157"/>
      <c r="U115" s="158"/>
      <c r="V115" s="159">
        <f t="shared" si="1"/>
        <v>45799.375</v>
      </c>
      <c r="W115" s="160"/>
      <c r="X115" s="160"/>
      <c r="Y115" s="161"/>
    </row>
    <row r="116" ht="15.75" customHeight="1">
      <c r="A116" s="146" t="s">
        <v>395</v>
      </c>
      <c r="B116" s="146" t="str">
        <f>IFERROR(VLOOKUP(A116&amp;"", STUDENTS!A:B, 2, 0), "")</f>
        <v>NGUYỄN KHÁNH UYÊN</v>
      </c>
      <c r="C116" s="147" t="s">
        <v>61</v>
      </c>
      <c r="D116" s="147" t="str">
        <f>IFERROR(VLOOKUP(C116, PIC!A:B, 2, 0), "")</f>
        <v>Huy Tran 2</v>
      </c>
      <c r="E116" s="148" t="s">
        <v>21</v>
      </c>
      <c r="F116" s="149">
        <v>45644.375</v>
      </c>
      <c r="G116" s="150" t="s">
        <v>815</v>
      </c>
      <c r="H116" s="150">
        <v>45666.375</v>
      </c>
      <c r="I116" s="149">
        <v>45692.375</v>
      </c>
      <c r="J116" s="150">
        <v>45700.45833333334</v>
      </c>
      <c r="K116" s="149">
        <v>45708.375</v>
      </c>
      <c r="L116" s="150">
        <v>45714.45833333334</v>
      </c>
      <c r="M116" s="150">
        <v>45756.45833333334</v>
      </c>
      <c r="N116" s="149">
        <v>45762.375</v>
      </c>
      <c r="O116" s="149">
        <v>45799.375</v>
      </c>
      <c r="P116" s="149"/>
      <c r="Q116" s="149"/>
      <c r="R116" s="149"/>
      <c r="S116" s="149"/>
      <c r="T116" s="149"/>
      <c r="U116" s="150"/>
      <c r="V116" s="151">
        <f t="shared" si="1"/>
        <v>45799.375</v>
      </c>
      <c r="W116" s="152"/>
      <c r="X116" s="152"/>
      <c r="Y116" s="161"/>
    </row>
    <row r="117" ht="15.75" customHeight="1">
      <c r="A117" s="154" t="s">
        <v>504</v>
      </c>
      <c r="B117" s="154" t="str">
        <f>IFERROR(VLOOKUP(A117&amp;"", STUDENTS!A:B, 2, 0), "")</f>
        <v>NGUYỄN VĂN ĐỨC</v>
      </c>
      <c r="C117" s="155" t="s">
        <v>61</v>
      </c>
      <c r="D117" s="155" t="str">
        <f>IFERROR(VLOOKUP(C117, PIC!A:B, 2, 0), "")</f>
        <v>Huy Tran 2</v>
      </c>
      <c r="E117" s="156" t="s">
        <v>21</v>
      </c>
      <c r="F117" s="157">
        <v>45644.375</v>
      </c>
      <c r="G117" s="158">
        <v>45652.375</v>
      </c>
      <c r="H117" s="158">
        <v>45666.375</v>
      </c>
      <c r="I117" s="157">
        <v>45692.375</v>
      </c>
      <c r="J117" s="158">
        <v>45700.45833333334</v>
      </c>
      <c r="K117" s="157" t="s">
        <v>815</v>
      </c>
      <c r="L117" s="158">
        <v>45714.45833333334</v>
      </c>
      <c r="M117" s="158">
        <v>45756.45833333334</v>
      </c>
      <c r="N117" s="157">
        <v>45762.375</v>
      </c>
      <c r="O117" s="157">
        <v>45799.375</v>
      </c>
      <c r="P117" s="157"/>
      <c r="Q117" s="157"/>
      <c r="R117" s="157"/>
      <c r="S117" s="157"/>
      <c r="T117" s="157"/>
      <c r="U117" s="158"/>
      <c r="V117" s="159">
        <f t="shared" si="1"/>
        <v>45799.375</v>
      </c>
      <c r="W117" s="160"/>
      <c r="X117" s="160"/>
      <c r="Y117" s="161"/>
    </row>
    <row r="118" ht="15.75" customHeight="1">
      <c r="A118" s="146" t="s">
        <v>583</v>
      </c>
      <c r="B118" s="146" t="str">
        <f>IFERROR(VLOOKUP(A118&amp;"", STUDENTS!A:B, 2, 0), "")</f>
        <v>TĂNG HOÀNG YẾN</v>
      </c>
      <c r="C118" s="147" t="s">
        <v>61</v>
      </c>
      <c r="D118" s="147" t="str">
        <f>IFERROR(VLOOKUP(C118, PIC!A:B, 2, 0), "")</f>
        <v>Huy Tran 2</v>
      </c>
      <c r="E118" s="148" t="s">
        <v>21</v>
      </c>
      <c r="F118" s="149">
        <v>45644.375</v>
      </c>
      <c r="G118" s="150">
        <v>45652.375</v>
      </c>
      <c r="H118" s="150">
        <v>45666.375</v>
      </c>
      <c r="I118" s="149">
        <v>45692.375</v>
      </c>
      <c r="J118" s="150">
        <v>45700.45833333334</v>
      </c>
      <c r="K118" s="149">
        <v>45708.375</v>
      </c>
      <c r="L118" s="150">
        <v>45714.45833333334</v>
      </c>
      <c r="M118" s="150">
        <v>45756.45833333334</v>
      </c>
      <c r="N118" s="149">
        <v>45762.375</v>
      </c>
      <c r="O118" s="149">
        <v>45799.375</v>
      </c>
      <c r="P118" s="149"/>
      <c r="Q118" s="149"/>
      <c r="R118" s="149"/>
      <c r="S118" s="149"/>
      <c r="T118" s="149"/>
      <c r="U118" s="150"/>
      <c r="V118" s="151">
        <f t="shared" si="1"/>
        <v>45799.375</v>
      </c>
      <c r="W118" s="152"/>
      <c r="X118" s="152"/>
      <c r="Y118" s="161"/>
    </row>
    <row r="119" ht="15.75" customHeight="1">
      <c r="A119" s="154" t="s">
        <v>190</v>
      </c>
      <c r="B119" s="154" t="str">
        <f>IFERROR(VLOOKUP(A119&amp;"", STUDENTS!A:B, 2, 0), "")</f>
        <v>ĐOÀN NHẬT QUANG</v>
      </c>
      <c r="C119" s="155" t="s">
        <v>62</v>
      </c>
      <c r="D119" s="155" t="str">
        <f>IFERROR(VLOOKUP(C119, PIC!A:B, 2, 0), "")</f>
        <v>Huyen Vo</v>
      </c>
      <c r="E119" s="156" t="s">
        <v>21</v>
      </c>
      <c r="F119" s="157">
        <v>45646.375</v>
      </c>
      <c r="G119" s="158">
        <v>45653.375</v>
      </c>
      <c r="H119" s="158">
        <v>45673.41666666666</v>
      </c>
      <c r="I119" s="157" t="s">
        <v>815</v>
      </c>
      <c r="J119" s="158">
        <v>45700.58333333334</v>
      </c>
      <c r="K119" s="157">
        <v>45707.58333333334</v>
      </c>
      <c r="L119" s="158">
        <v>45714.58333333334</v>
      </c>
      <c r="M119" s="158">
        <v>45756.375</v>
      </c>
      <c r="N119" s="157">
        <v>45784.375</v>
      </c>
      <c r="O119" s="157"/>
      <c r="P119" s="157"/>
      <c r="Q119" s="157"/>
      <c r="R119" s="157"/>
      <c r="S119" s="157"/>
      <c r="T119" s="157"/>
      <c r="U119" s="158"/>
      <c r="V119" s="159">
        <f t="shared" si="1"/>
        <v>45784.375</v>
      </c>
      <c r="W119" s="160"/>
      <c r="X119" s="160"/>
      <c r="Y119" s="161"/>
    </row>
    <row r="120" ht="15.75" customHeight="1">
      <c r="A120" s="146" t="s">
        <v>198</v>
      </c>
      <c r="B120" s="146" t="str">
        <f>IFERROR(VLOOKUP(A120&amp;"", STUDENTS!A:B, 2, 0), "")</f>
        <v>DƯƠNG HOÀNG LONG</v>
      </c>
      <c r="C120" s="147" t="s">
        <v>62</v>
      </c>
      <c r="D120" s="147" t="str">
        <f>IFERROR(VLOOKUP(C120, PIC!A:B, 2, 0), "")</f>
        <v>Huyen Vo</v>
      </c>
      <c r="E120" s="148" t="s">
        <v>21</v>
      </c>
      <c r="F120" s="149">
        <v>45646.375</v>
      </c>
      <c r="G120" s="150">
        <v>45653.375</v>
      </c>
      <c r="H120" s="150">
        <v>45673.375</v>
      </c>
      <c r="I120" s="149">
        <v>45680.375</v>
      </c>
      <c r="J120" s="150">
        <v>45700.58333333334</v>
      </c>
      <c r="K120" s="149">
        <v>45707.58333333334</v>
      </c>
      <c r="L120" s="150">
        <v>45714.58333333334</v>
      </c>
      <c r="M120" s="150">
        <v>45756.375</v>
      </c>
      <c r="N120" s="149" t="s">
        <v>815</v>
      </c>
      <c r="O120" s="149"/>
      <c r="P120" s="149"/>
      <c r="Q120" s="149"/>
      <c r="R120" s="149"/>
      <c r="S120" s="149"/>
      <c r="T120" s="149"/>
      <c r="U120" s="150"/>
      <c r="V120" s="151">
        <f t="shared" si="1"/>
        <v>45756.375</v>
      </c>
      <c r="W120" s="152"/>
      <c r="X120" s="152"/>
      <c r="Y120" s="161"/>
    </row>
    <row r="121" ht="15.75" customHeight="1">
      <c r="A121" s="154" t="s">
        <v>237</v>
      </c>
      <c r="B121" s="154" t="str">
        <f>IFERROR(VLOOKUP(A121&amp;"", STUDENTS!A:B, 2, 0), "")</f>
        <v>HUỲNH TẤN LỘC</v>
      </c>
      <c r="C121" s="155" t="s">
        <v>62</v>
      </c>
      <c r="D121" s="155" t="str">
        <f>IFERROR(VLOOKUP(C121, PIC!A:B, 2, 0), "")</f>
        <v>Huyen Vo</v>
      </c>
      <c r="E121" s="156" t="s">
        <v>21</v>
      </c>
      <c r="F121" s="157">
        <v>45646.375</v>
      </c>
      <c r="G121" s="158">
        <v>45653.375</v>
      </c>
      <c r="H121" s="158">
        <v>45673.41666666666</v>
      </c>
      <c r="I121" s="157">
        <v>45680.41666666666</v>
      </c>
      <c r="J121" s="158">
        <v>45700.58333333334</v>
      </c>
      <c r="K121" s="157">
        <v>45707.58333333334</v>
      </c>
      <c r="L121" s="158" t="s">
        <v>815</v>
      </c>
      <c r="M121" s="158">
        <v>45756.375</v>
      </c>
      <c r="N121" s="157" t="s">
        <v>815</v>
      </c>
      <c r="O121" s="157"/>
      <c r="P121" s="157"/>
      <c r="Q121" s="157"/>
      <c r="R121" s="157"/>
      <c r="S121" s="157"/>
      <c r="T121" s="157"/>
      <c r="U121" s="158"/>
      <c r="V121" s="159">
        <f t="shared" si="1"/>
        <v>45756.375</v>
      </c>
      <c r="W121" s="160"/>
      <c r="X121" s="160"/>
      <c r="Y121" s="161"/>
    </row>
    <row r="122" ht="15.75" customHeight="1">
      <c r="A122" s="146" t="s">
        <v>249</v>
      </c>
      <c r="B122" s="146" t="str">
        <f>IFERROR(VLOOKUP(A122&amp;"", STUDENTS!A:B, 2, 0), "")</f>
        <v>LẠI MINH HIẾU</v>
      </c>
      <c r="C122" s="147" t="s">
        <v>62</v>
      </c>
      <c r="D122" s="147" t="str">
        <f>IFERROR(VLOOKUP(C122, PIC!A:B, 2, 0), "")</f>
        <v>Huyen Vo</v>
      </c>
      <c r="E122" s="148" t="s">
        <v>21</v>
      </c>
      <c r="F122" s="149">
        <v>45646.375</v>
      </c>
      <c r="G122" s="150">
        <v>45653.375</v>
      </c>
      <c r="H122" s="150">
        <v>45673.375</v>
      </c>
      <c r="I122" s="149" t="s">
        <v>815</v>
      </c>
      <c r="J122" s="150">
        <v>45700.58333333334</v>
      </c>
      <c r="K122" s="149">
        <v>45707.58333333334</v>
      </c>
      <c r="L122" s="150">
        <v>45714.58333333334</v>
      </c>
      <c r="M122" s="150">
        <v>45756.375</v>
      </c>
      <c r="N122" s="149">
        <v>45784.375</v>
      </c>
      <c r="O122" s="149"/>
      <c r="P122" s="149"/>
      <c r="Q122" s="149"/>
      <c r="R122" s="149"/>
      <c r="S122" s="149"/>
      <c r="T122" s="149"/>
      <c r="U122" s="150"/>
      <c r="V122" s="151">
        <f t="shared" si="1"/>
        <v>45784.375</v>
      </c>
      <c r="W122" s="152"/>
      <c r="X122" s="152"/>
      <c r="Y122" s="161"/>
    </row>
    <row r="123" ht="15.75" customHeight="1">
      <c r="A123" s="154" t="s">
        <v>307</v>
      </c>
      <c r="B123" s="154" t="str">
        <f>IFERROR(VLOOKUP(A123&amp;"", STUDENTS!A:B, 2, 0), "")</f>
        <v>LƯƠNG ANH TUẤN</v>
      </c>
      <c r="C123" s="155" t="s">
        <v>62</v>
      </c>
      <c r="D123" s="155" t="str">
        <f>IFERROR(VLOOKUP(C123, PIC!A:B, 2, 0), "")</f>
        <v>Huyen Vo</v>
      </c>
      <c r="E123" s="156" t="s">
        <v>21</v>
      </c>
      <c r="F123" s="157">
        <v>45646.375</v>
      </c>
      <c r="G123" s="158">
        <v>45653.375</v>
      </c>
      <c r="H123" s="158">
        <v>45673.41666666666</v>
      </c>
      <c r="I123" s="157">
        <v>45680.41666666666</v>
      </c>
      <c r="J123" s="158">
        <v>45694.375</v>
      </c>
      <c r="K123" s="157">
        <v>45701.375</v>
      </c>
      <c r="L123" s="158">
        <v>45708.375</v>
      </c>
      <c r="M123" s="158">
        <v>45756.375</v>
      </c>
      <c r="N123" s="157">
        <v>45784.375</v>
      </c>
      <c r="O123" s="157"/>
      <c r="P123" s="157"/>
      <c r="Q123" s="157"/>
      <c r="R123" s="157"/>
      <c r="S123" s="157"/>
      <c r="T123" s="157"/>
      <c r="U123" s="158"/>
      <c r="V123" s="159">
        <f t="shared" si="1"/>
        <v>45784.375</v>
      </c>
      <c r="W123" s="160"/>
      <c r="X123" s="160"/>
      <c r="Y123" s="161"/>
    </row>
    <row r="124" ht="15.75" customHeight="1">
      <c r="A124" s="146" t="s">
        <v>376</v>
      </c>
      <c r="B124" s="146" t="str">
        <f>IFERROR(VLOOKUP(A124&amp;"", STUDENTS!A:B, 2, 0), "")</f>
        <v>NGUYỄN HOÀNG HẠ UYÊN</v>
      </c>
      <c r="C124" s="147" t="s">
        <v>62</v>
      </c>
      <c r="D124" s="147" t="str">
        <f>IFERROR(VLOOKUP(C124, PIC!A:B, 2, 0), "")</f>
        <v>Huyen Vo</v>
      </c>
      <c r="E124" s="148" t="s">
        <v>21</v>
      </c>
      <c r="F124" s="149">
        <v>45646.375</v>
      </c>
      <c r="G124" s="150">
        <v>45653.375</v>
      </c>
      <c r="H124" s="150" t="s">
        <v>815</v>
      </c>
      <c r="I124" s="149" t="s">
        <v>815</v>
      </c>
      <c r="J124" s="150">
        <v>45700.58333333334</v>
      </c>
      <c r="K124" s="149">
        <v>45707.58333333334</v>
      </c>
      <c r="L124" s="150" t="s">
        <v>815</v>
      </c>
      <c r="M124" s="150" t="s">
        <v>815</v>
      </c>
      <c r="N124" s="149">
        <v>45784.375</v>
      </c>
      <c r="O124" s="149"/>
      <c r="P124" s="149"/>
      <c r="Q124" s="149"/>
      <c r="R124" s="149"/>
      <c r="S124" s="149"/>
      <c r="T124" s="149"/>
      <c r="U124" s="150"/>
      <c r="V124" s="151">
        <f t="shared" si="1"/>
        <v>45784.375</v>
      </c>
      <c r="W124" s="152"/>
      <c r="X124" s="152"/>
      <c r="Y124" s="161"/>
    </row>
    <row r="125" ht="15.75" customHeight="1">
      <c r="A125" s="154" t="s">
        <v>387</v>
      </c>
      <c r="B125" s="154" t="str">
        <f>IFERROR(VLOOKUP(A125&amp;"", STUDENTS!A:B, 2, 0), "")</f>
        <v>NGUYỄN HỮU NGHỊ</v>
      </c>
      <c r="C125" s="155" t="s">
        <v>62</v>
      </c>
      <c r="D125" s="155" t="str">
        <f>IFERROR(VLOOKUP(C125, PIC!A:B, 2, 0), "")</f>
        <v>Huyen Vo</v>
      </c>
      <c r="E125" s="156" t="s">
        <v>21</v>
      </c>
      <c r="F125" s="157" t="s">
        <v>815</v>
      </c>
      <c r="G125" s="158">
        <v>45653.375</v>
      </c>
      <c r="H125" s="158">
        <v>45673.375</v>
      </c>
      <c r="I125" s="157">
        <v>45680.375</v>
      </c>
      <c r="J125" s="158">
        <v>45700.58333333334</v>
      </c>
      <c r="K125" s="157">
        <v>45707.58333333334</v>
      </c>
      <c r="L125" s="158">
        <v>45714.58333333334</v>
      </c>
      <c r="M125" s="158">
        <v>45756.375</v>
      </c>
      <c r="N125" s="157">
        <v>45784.375</v>
      </c>
      <c r="O125" s="157"/>
      <c r="P125" s="157"/>
      <c r="Q125" s="157"/>
      <c r="R125" s="157"/>
      <c r="S125" s="157"/>
      <c r="T125" s="157"/>
      <c r="U125" s="158"/>
      <c r="V125" s="159">
        <f t="shared" si="1"/>
        <v>45784.375</v>
      </c>
      <c r="W125" s="160"/>
      <c r="X125" s="160"/>
      <c r="Y125" s="161"/>
    </row>
    <row r="126" ht="15.75" customHeight="1">
      <c r="A126" s="146" t="s">
        <v>220</v>
      </c>
      <c r="B126" s="146" t="str">
        <f>IFERROR(VLOOKUP(A126&amp;"", STUDENTS!A:B, 2, 0), "")</f>
        <v>HOÀNG NGỌC THẲNG</v>
      </c>
      <c r="C126" s="147" t="s">
        <v>63</v>
      </c>
      <c r="D126" s="147" t="str">
        <f>IFERROR(VLOOKUP(C126, PIC!A:B, 2, 0), "")</f>
        <v>Lanh Le</v>
      </c>
      <c r="E126" s="148" t="s">
        <v>21</v>
      </c>
      <c r="F126" s="149">
        <v>45637.375</v>
      </c>
      <c r="G126" s="150">
        <v>45645.375</v>
      </c>
      <c r="H126" s="150">
        <v>45667.41666666666</v>
      </c>
      <c r="I126" s="149">
        <v>45674.41666666666</v>
      </c>
      <c r="J126" s="150">
        <v>45695.41666666666</v>
      </c>
      <c r="K126" s="149">
        <v>45702.41666666666</v>
      </c>
      <c r="L126" s="150">
        <v>45709.58333333334</v>
      </c>
      <c r="M126" s="150">
        <v>45716.54166666666</v>
      </c>
      <c r="N126" s="149">
        <v>45765.625</v>
      </c>
      <c r="O126" s="149">
        <v>45806.41666666666</v>
      </c>
      <c r="P126" s="149"/>
      <c r="Q126" s="149"/>
      <c r="R126" s="149"/>
      <c r="S126" s="149"/>
      <c r="T126" s="149"/>
      <c r="U126" s="150"/>
      <c r="V126" s="151">
        <f t="shared" si="1"/>
        <v>45806.41667</v>
      </c>
      <c r="W126" s="152"/>
      <c r="X126" s="152"/>
      <c r="Y126" s="161"/>
    </row>
    <row r="127" ht="15.75" customHeight="1">
      <c r="A127" s="154" t="s">
        <v>220</v>
      </c>
      <c r="B127" s="154" t="str">
        <f>IFERROR(VLOOKUP(A127&amp;"", STUDENTS!A:B, 2, 0), "")</f>
        <v>HOÀNG NGỌC THẲNG</v>
      </c>
      <c r="C127" s="155" t="s">
        <v>63</v>
      </c>
      <c r="D127" s="155" t="str">
        <f>IFERROR(VLOOKUP(C127, PIC!A:B, 2, 0), "")</f>
        <v>Lanh Le</v>
      </c>
      <c r="E127" s="156" t="s">
        <v>22</v>
      </c>
      <c r="F127" s="157">
        <v>45841.375</v>
      </c>
      <c r="G127" s="158">
        <v>45849.375</v>
      </c>
      <c r="H127" s="158">
        <v>45862.375</v>
      </c>
      <c r="I127" s="157" t="s">
        <v>815</v>
      </c>
      <c r="J127" s="158">
        <v>45888.41666666666</v>
      </c>
      <c r="K127" s="157">
        <v>45895.41666666666</v>
      </c>
      <c r="L127" s="158">
        <v>45911.45833333334</v>
      </c>
      <c r="M127" s="158">
        <v>45925.41666666666</v>
      </c>
      <c r="N127" s="157" t="s">
        <v>815</v>
      </c>
      <c r="O127" s="157">
        <v>45939.45833333334</v>
      </c>
      <c r="P127" s="157">
        <v>45946.375</v>
      </c>
      <c r="Q127" s="157">
        <v>45961.45833333334</v>
      </c>
      <c r="R127" s="157">
        <v>45967.625</v>
      </c>
      <c r="S127" s="157">
        <v>45974.625</v>
      </c>
      <c r="T127" s="157">
        <v>46006.41666666666</v>
      </c>
      <c r="U127" s="158">
        <v>46045.41666666666</v>
      </c>
      <c r="V127" s="159">
        <f t="shared" si="1"/>
        <v>46045.41667</v>
      </c>
      <c r="W127" s="160"/>
      <c r="X127" s="160"/>
      <c r="Y127" s="161"/>
    </row>
    <row r="128" ht="15.75" customHeight="1">
      <c r="A128" s="146" t="s">
        <v>220</v>
      </c>
      <c r="B128" s="146" t="str">
        <f>IFERROR(VLOOKUP(A128&amp;"", STUDENTS!A:B, 2, 0), "")</f>
        <v>HOÀNG NGỌC THẲNG</v>
      </c>
      <c r="C128" s="147" t="s">
        <v>63</v>
      </c>
      <c r="D128" s="147" t="str">
        <f>IFERROR(VLOOKUP(C128, PIC!A:B, 2, 0), "")</f>
        <v>Lanh Le</v>
      </c>
      <c r="E128" s="148" t="s">
        <v>23</v>
      </c>
      <c r="F128" s="149">
        <v>45729.45833333334</v>
      </c>
      <c r="G128" s="150">
        <v>45743.45833333334</v>
      </c>
      <c r="H128" s="164">
        <v>46113.458333333336</v>
      </c>
      <c r="I128" s="149"/>
      <c r="J128" s="150"/>
      <c r="K128" s="149"/>
      <c r="L128" s="150"/>
      <c r="M128" s="150"/>
      <c r="N128" s="149"/>
      <c r="O128" s="149"/>
      <c r="P128" s="149"/>
      <c r="Q128" s="149"/>
      <c r="R128" s="149"/>
      <c r="S128" s="149"/>
      <c r="T128" s="149"/>
      <c r="U128" s="150"/>
      <c r="V128" s="151">
        <f t="shared" si="1"/>
        <v>46113.45833</v>
      </c>
      <c r="W128" s="152"/>
      <c r="X128" s="152"/>
      <c r="Y128" s="161"/>
    </row>
    <row r="129" ht="15.75" customHeight="1">
      <c r="A129" s="154" t="s">
        <v>234</v>
      </c>
      <c r="B129" s="154" t="str">
        <f>IFERROR(VLOOKUP(A129&amp;"", STUDENTS!A:B, 2, 0), "")</f>
        <v>HUỲNH PHÚC TRƯỜNG</v>
      </c>
      <c r="C129" s="155" t="s">
        <v>63</v>
      </c>
      <c r="D129" s="155" t="str">
        <f>IFERROR(VLOOKUP(C129, PIC!A:B, 2, 0), "")</f>
        <v>Lanh Le</v>
      </c>
      <c r="E129" s="156" t="s">
        <v>21</v>
      </c>
      <c r="F129" s="157">
        <v>45637.375</v>
      </c>
      <c r="G129" s="158">
        <v>45645.375</v>
      </c>
      <c r="H129" s="158">
        <v>45667.41666666666</v>
      </c>
      <c r="I129" s="157">
        <v>45674.41666666666</v>
      </c>
      <c r="J129" s="158">
        <v>45695.41666666666</v>
      </c>
      <c r="K129" s="157">
        <v>45702.41666666666</v>
      </c>
      <c r="L129" s="158">
        <v>45709.58333333334</v>
      </c>
      <c r="M129" s="158">
        <v>45716.54166666666</v>
      </c>
      <c r="N129" s="157">
        <v>45765.625</v>
      </c>
      <c r="O129" s="157">
        <v>45806.41666666666</v>
      </c>
      <c r="P129" s="157"/>
      <c r="Q129" s="157"/>
      <c r="R129" s="157"/>
      <c r="S129" s="157"/>
      <c r="T129" s="157"/>
      <c r="U129" s="158"/>
      <c r="V129" s="159">
        <f t="shared" si="1"/>
        <v>45806.41667</v>
      </c>
      <c r="W129" s="160"/>
      <c r="X129" s="160"/>
      <c r="Y129" s="161"/>
    </row>
    <row r="130" ht="15.75" customHeight="1">
      <c r="A130" s="146" t="s">
        <v>234</v>
      </c>
      <c r="B130" s="146" t="str">
        <f>IFERROR(VLOOKUP(A130&amp;"", STUDENTS!A:B, 2, 0), "")</f>
        <v>HUỲNH PHÚC TRƯỜNG</v>
      </c>
      <c r="C130" s="147" t="s">
        <v>63</v>
      </c>
      <c r="D130" s="147" t="str">
        <f>IFERROR(VLOOKUP(C130, PIC!A:B, 2, 0), "")</f>
        <v>Lanh Le</v>
      </c>
      <c r="E130" s="148" t="s">
        <v>22</v>
      </c>
      <c r="F130" s="149">
        <v>45841.375</v>
      </c>
      <c r="G130" s="150">
        <v>45849.375</v>
      </c>
      <c r="H130" s="150">
        <v>45862.375</v>
      </c>
      <c r="I130" s="149">
        <v>45881.41666666666</v>
      </c>
      <c r="J130" s="150">
        <v>45888.41666666666</v>
      </c>
      <c r="K130" s="149">
        <v>45895.41666666666</v>
      </c>
      <c r="L130" s="150">
        <v>45911.45833333334</v>
      </c>
      <c r="M130" s="150">
        <v>45925.41666666666</v>
      </c>
      <c r="N130" s="149">
        <v>45932.45833333334</v>
      </c>
      <c r="O130" s="149">
        <v>45939.45833333334</v>
      </c>
      <c r="P130" s="149">
        <v>45946.375</v>
      </c>
      <c r="Q130" s="149">
        <v>45961.45833333334</v>
      </c>
      <c r="R130" s="149">
        <v>45967.625</v>
      </c>
      <c r="S130" s="149">
        <v>45974.625</v>
      </c>
      <c r="T130" s="149">
        <v>46006.41666666666</v>
      </c>
      <c r="U130" s="150">
        <v>46045.41666666666</v>
      </c>
      <c r="V130" s="151">
        <f t="shared" si="1"/>
        <v>46045.41667</v>
      </c>
      <c r="W130" s="152"/>
      <c r="X130" s="152"/>
      <c r="Y130" s="161"/>
    </row>
    <row r="131" ht="15.75" customHeight="1">
      <c r="A131" s="154" t="s">
        <v>234</v>
      </c>
      <c r="B131" s="154" t="str">
        <f>IFERROR(VLOOKUP(A131&amp;"", STUDENTS!A:B, 2, 0), "")</f>
        <v>HUỲNH PHÚC TRƯỜNG</v>
      </c>
      <c r="C131" s="155" t="s">
        <v>63</v>
      </c>
      <c r="D131" s="155" t="str">
        <f>IFERROR(VLOOKUP(C131, PIC!A:B, 2, 0), "")</f>
        <v>Lanh Le</v>
      </c>
      <c r="E131" s="156" t="s">
        <v>23</v>
      </c>
      <c r="F131" s="157">
        <v>45729.45833333334</v>
      </c>
      <c r="G131" s="158">
        <v>45743.45833333334</v>
      </c>
      <c r="H131" s="165">
        <v>46113.458333333336</v>
      </c>
      <c r="I131" s="157"/>
      <c r="J131" s="158"/>
      <c r="K131" s="157"/>
      <c r="L131" s="158"/>
      <c r="M131" s="158"/>
      <c r="N131" s="157"/>
      <c r="O131" s="157"/>
      <c r="P131" s="157"/>
      <c r="Q131" s="157"/>
      <c r="R131" s="157"/>
      <c r="S131" s="157"/>
      <c r="T131" s="157"/>
      <c r="U131" s="158"/>
      <c r="V131" s="159">
        <f t="shared" si="1"/>
        <v>46113.45833</v>
      </c>
      <c r="W131" s="160"/>
      <c r="X131" s="160"/>
      <c r="Y131" s="161"/>
    </row>
    <row r="132" ht="15.75" customHeight="1">
      <c r="A132" s="146" t="s">
        <v>298</v>
      </c>
      <c r="B132" s="146" t="str">
        <f>IFERROR(VLOOKUP(A132&amp;"", STUDENTS!A:B, 2, 0), "")</f>
        <v>LÊ TRẦN XUÂN LÃNH</v>
      </c>
      <c r="C132" s="147" t="s">
        <v>63</v>
      </c>
      <c r="D132" s="147" t="str">
        <f>IFERROR(VLOOKUP(C132, PIC!A:B, 2, 0), "")</f>
        <v>Lanh Le</v>
      </c>
      <c r="E132" s="148" t="s">
        <v>21</v>
      </c>
      <c r="F132" s="149">
        <v>45639.375</v>
      </c>
      <c r="G132" s="150">
        <v>45645.375</v>
      </c>
      <c r="H132" s="150">
        <v>45667.41666666666</v>
      </c>
      <c r="I132" s="149">
        <v>45674.41666666666</v>
      </c>
      <c r="J132" s="150">
        <v>45695.41666666666</v>
      </c>
      <c r="K132" s="149">
        <v>45702.41666666666</v>
      </c>
      <c r="L132" s="150" t="s">
        <v>815</v>
      </c>
      <c r="M132" s="150">
        <v>45716.54166666666</v>
      </c>
      <c r="N132" s="149">
        <v>45765.625</v>
      </c>
      <c r="O132" s="149">
        <v>45806.41666666666</v>
      </c>
      <c r="P132" s="149"/>
      <c r="Q132" s="149"/>
      <c r="R132" s="149"/>
      <c r="S132" s="149"/>
      <c r="T132" s="149"/>
      <c r="U132" s="150"/>
      <c r="V132" s="151">
        <f t="shared" si="1"/>
        <v>45806.41667</v>
      </c>
      <c r="W132" s="152"/>
      <c r="X132" s="152"/>
      <c r="Y132" s="161"/>
    </row>
    <row r="133" ht="15.75" customHeight="1">
      <c r="A133" s="154" t="s">
        <v>298</v>
      </c>
      <c r="B133" s="154" t="str">
        <f>IFERROR(VLOOKUP(A133&amp;"", STUDENTS!A:B, 2, 0), "")</f>
        <v>LÊ TRẦN XUÂN LÃNH</v>
      </c>
      <c r="C133" s="155" t="s">
        <v>63</v>
      </c>
      <c r="D133" s="155" t="str">
        <f>IFERROR(VLOOKUP(C133, PIC!A:B, 2, 0), "")</f>
        <v>Lanh Le</v>
      </c>
      <c r="E133" s="156" t="s">
        <v>22</v>
      </c>
      <c r="F133" s="157">
        <v>45841.375</v>
      </c>
      <c r="G133" s="158" t="s">
        <v>815</v>
      </c>
      <c r="H133" s="158">
        <v>45862.375</v>
      </c>
      <c r="I133" s="157">
        <v>45881.41666666666</v>
      </c>
      <c r="J133" s="158">
        <v>45888.41666666666</v>
      </c>
      <c r="K133" s="157">
        <v>45895.41666666666</v>
      </c>
      <c r="L133" s="158">
        <v>45911.45833333334</v>
      </c>
      <c r="M133" s="158" t="s">
        <v>815</v>
      </c>
      <c r="N133" s="157">
        <v>45932.45833333334</v>
      </c>
      <c r="O133" s="157">
        <v>45939.45833333334</v>
      </c>
      <c r="P133" s="157">
        <v>45946.375</v>
      </c>
      <c r="Q133" s="157">
        <v>45961.45833333334</v>
      </c>
      <c r="R133" s="157">
        <v>45967.625</v>
      </c>
      <c r="S133" s="157">
        <v>45974.625</v>
      </c>
      <c r="T133" s="157">
        <v>46006.41666666666</v>
      </c>
      <c r="U133" s="158">
        <v>46045.41666666666</v>
      </c>
      <c r="V133" s="159">
        <f t="shared" si="1"/>
        <v>46045.41667</v>
      </c>
      <c r="W133" s="160"/>
      <c r="X133" s="160"/>
      <c r="Y133" s="161"/>
    </row>
    <row r="134" ht="15.75" customHeight="1">
      <c r="A134" s="146" t="s">
        <v>298</v>
      </c>
      <c r="B134" s="146" t="str">
        <f>IFERROR(VLOOKUP(A134&amp;"", STUDENTS!A:B, 2, 0), "")</f>
        <v>LÊ TRẦN XUÂN LÃNH</v>
      </c>
      <c r="C134" s="147" t="s">
        <v>63</v>
      </c>
      <c r="D134" s="147" t="str">
        <f>IFERROR(VLOOKUP(C134, PIC!A:B, 2, 0), "")</f>
        <v>Lanh Le</v>
      </c>
      <c r="E134" s="148" t="s">
        <v>23</v>
      </c>
      <c r="F134" s="149">
        <v>45729.45833333334</v>
      </c>
      <c r="G134" s="150">
        <v>45743.45833333334</v>
      </c>
      <c r="H134" s="164">
        <v>46113.458333333336</v>
      </c>
      <c r="I134" s="149"/>
      <c r="J134" s="150"/>
      <c r="K134" s="149"/>
      <c r="L134" s="150"/>
      <c r="M134" s="150"/>
      <c r="N134" s="149"/>
      <c r="O134" s="149"/>
      <c r="P134" s="149"/>
      <c r="Q134" s="149"/>
      <c r="R134" s="149"/>
      <c r="S134" s="149"/>
      <c r="T134" s="149"/>
      <c r="U134" s="150"/>
      <c r="V134" s="151">
        <f t="shared" si="1"/>
        <v>46113.45833</v>
      </c>
      <c r="W134" s="152"/>
      <c r="X134" s="152"/>
      <c r="Y134" s="161"/>
    </row>
    <row r="135" ht="15.75" customHeight="1">
      <c r="A135" s="154" t="s">
        <v>438</v>
      </c>
      <c r="B135" s="154" t="str">
        <f>IFERROR(VLOOKUP(A135&amp;"", STUDENTS!A:B, 2, 0), "")</f>
        <v>NGUYỄN QUỐC TUẤN</v>
      </c>
      <c r="C135" s="155" t="s">
        <v>63</v>
      </c>
      <c r="D135" s="155" t="str">
        <f>IFERROR(VLOOKUP(C135, PIC!A:B, 2, 0), "")</f>
        <v>Lanh Le</v>
      </c>
      <c r="E135" s="156" t="s">
        <v>21</v>
      </c>
      <c r="F135" s="157" t="s">
        <v>815</v>
      </c>
      <c r="G135" s="158">
        <v>45645.375</v>
      </c>
      <c r="H135" s="158">
        <v>45667.41666666666</v>
      </c>
      <c r="I135" s="157" t="s">
        <v>815</v>
      </c>
      <c r="J135" s="158">
        <v>45695.41666666666</v>
      </c>
      <c r="K135" s="157">
        <v>45702.41666666666</v>
      </c>
      <c r="L135" s="158">
        <v>45709.58333333334</v>
      </c>
      <c r="M135" s="158">
        <v>45716.54166666666</v>
      </c>
      <c r="N135" s="157">
        <v>45765.625</v>
      </c>
      <c r="O135" s="157">
        <v>45806.41666666666</v>
      </c>
      <c r="P135" s="157"/>
      <c r="Q135" s="157"/>
      <c r="R135" s="157"/>
      <c r="S135" s="157"/>
      <c r="T135" s="157"/>
      <c r="U135" s="158"/>
      <c r="V135" s="159">
        <f t="shared" si="1"/>
        <v>45806.41667</v>
      </c>
      <c r="W135" s="160"/>
      <c r="X135" s="160"/>
      <c r="Y135" s="161"/>
    </row>
    <row r="136" ht="15.75" customHeight="1">
      <c r="A136" s="146" t="s">
        <v>438</v>
      </c>
      <c r="B136" s="146" t="str">
        <f>IFERROR(VLOOKUP(A136&amp;"", STUDENTS!A:B, 2, 0), "")</f>
        <v>NGUYỄN QUỐC TUẤN</v>
      </c>
      <c r="C136" s="147" t="s">
        <v>63</v>
      </c>
      <c r="D136" s="147" t="str">
        <f>IFERROR(VLOOKUP(C136, PIC!A:B, 2, 0), "")</f>
        <v>Lanh Le</v>
      </c>
      <c r="E136" s="148" t="s">
        <v>22</v>
      </c>
      <c r="F136" s="149" t="s">
        <v>815</v>
      </c>
      <c r="G136" s="150">
        <v>45849.375</v>
      </c>
      <c r="H136" s="150">
        <v>45862.375</v>
      </c>
      <c r="I136" s="149">
        <v>45881.41666666666</v>
      </c>
      <c r="J136" s="150">
        <v>45888.41666666666</v>
      </c>
      <c r="K136" s="149">
        <v>45895.41666666666</v>
      </c>
      <c r="L136" s="150" t="s">
        <v>815</v>
      </c>
      <c r="M136" s="150" t="s">
        <v>815</v>
      </c>
      <c r="N136" s="149" t="s">
        <v>815</v>
      </c>
      <c r="O136" s="149" t="s">
        <v>815</v>
      </c>
      <c r="P136" s="149" t="s">
        <v>815</v>
      </c>
      <c r="Q136" s="149" t="s">
        <v>815</v>
      </c>
      <c r="R136" s="149">
        <v>45967.625</v>
      </c>
      <c r="S136" s="149" t="s">
        <v>815</v>
      </c>
      <c r="T136" s="149" t="s">
        <v>815</v>
      </c>
      <c r="U136" s="150" t="s">
        <v>815</v>
      </c>
      <c r="V136" s="151">
        <f t="shared" si="1"/>
        <v>45967.625</v>
      </c>
      <c r="W136" s="152"/>
      <c r="X136" s="152"/>
      <c r="Y136" s="161"/>
    </row>
    <row r="137" ht="15.75" customHeight="1">
      <c r="A137" s="154" t="s">
        <v>553</v>
      </c>
      <c r="B137" s="154" t="str">
        <f>IFERROR(VLOOKUP(A137&amp;"", STUDENTS!A:B, 2, 0), "")</f>
        <v>PHAN CÔNG TOẠI</v>
      </c>
      <c r="C137" s="155" t="s">
        <v>63</v>
      </c>
      <c r="D137" s="155" t="str">
        <f>IFERROR(VLOOKUP(C137, PIC!A:B, 2, 0), "")</f>
        <v>Lanh Le</v>
      </c>
      <c r="E137" s="156" t="s">
        <v>23</v>
      </c>
      <c r="F137" s="163">
        <v>45729.45833333333</v>
      </c>
      <c r="G137" s="165">
        <v>45743.45833333333</v>
      </c>
      <c r="H137" s="165">
        <v>46113.458333333336</v>
      </c>
      <c r="I137" s="157"/>
      <c r="J137" s="158"/>
      <c r="K137" s="157"/>
      <c r="L137" s="158"/>
      <c r="M137" s="158"/>
      <c r="N137" s="157"/>
      <c r="O137" s="157"/>
      <c r="P137" s="157"/>
      <c r="Q137" s="157"/>
      <c r="R137" s="157"/>
      <c r="S137" s="157"/>
      <c r="T137" s="157"/>
      <c r="U137" s="158"/>
      <c r="V137" s="159">
        <f t="shared" si="1"/>
        <v>46113.45833</v>
      </c>
      <c r="W137" s="160"/>
      <c r="X137" s="160"/>
      <c r="Y137" s="161"/>
    </row>
    <row r="138" ht="15.75" customHeight="1">
      <c r="A138" s="146" t="s">
        <v>599</v>
      </c>
      <c r="B138" s="146" t="str">
        <f>IFERROR(VLOOKUP(A138&amp;"", STUDENTS!A:B, 2, 0), "")</f>
        <v>TRẦN ANH DUY</v>
      </c>
      <c r="C138" s="147" t="s">
        <v>63</v>
      </c>
      <c r="D138" s="147" t="str">
        <f>IFERROR(VLOOKUP(C138, PIC!A:B, 2, 0), "")</f>
        <v>Lanh Le</v>
      </c>
      <c r="E138" s="148" t="s">
        <v>21</v>
      </c>
      <c r="F138" s="149">
        <v>45636.45833333334</v>
      </c>
      <c r="G138" s="150">
        <v>45653.45833333334</v>
      </c>
      <c r="H138" s="150">
        <v>45667.41666666666</v>
      </c>
      <c r="I138" s="149">
        <v>45674.41666666666</v>
      </c>
      <c r="J138" s="150" t="s">
        <v>815</v>
      </c>
      <c r="K138" s="149">
        <v>45702.41666666666</v>
      </c>
      <c r="L138" s="150">
        <v>45709.58333333334</v>
      </c>
      <c r="M138" s="150" t="s">
        <v>815</v>
      </c>
      <c r="N138" s="149" t="s">
        <v>815</v>
      </c>
      <c r="O138" s="149">
        <v>45806.41666666666</v>
      </c>
      <c r="P138" s="149"/>
      <c r="Q138" s="149"/>
      <c r="R138" s="149"/>
      <c r="S138" s="149"/>
      <c r="T138" s="149"/>
      <c r="U138" s="150"/>
      <c r="V138" s="151">
        <f t="shared" si="1"/>
        <v>45806.41667</v>
      </c>
      <c r="W138" s="152"/>
      <c r="X138" s="152"/>
      <c r="Y138" s="161"/>
    </row>
    <row r="139" ht="15.75" customHeight="1">
      <c r="A139" s="154" t="s">
        <v>599</v>
      </c>
      <c r="B139" s="154" t="str">
        <f>IFERROR(VLOOKUP(A139&amp;"", STUDENTS!A:B, 2, 0), "")</f>
        <v>TRẦN ANH DUY</v>
      </c>
      <c r="C139" s="155" t="s">
        <v>63</v>
      </c>
      <c r="D139" s="155" t="str">
        <f>IFERROR(VLOOKUP(C139, PIC!A:B, 2, 0), "")</f>
        <v>Lanh Le</v>
      </c>
      <c r="E139" s="156" t="s">
        <v>22</v>
      </c>
      <c r="F139" s="157">
        <v>45841.375</v>
      </c>
      <c r="G139" s="158">
        <v>45849.375</v>
      </c>
      <c r="H139" s="158">
        <v>45862.375</v>
      </c>
      <c r="I139" s="157">
        <v>45881.41666666666</v>
      </c>
      <c r="J139" s="158">
        <v>45888.41666666666</v>
      </c>
      <c r="K139" s="157">
        <v>45895.41666666666</v>
      </c>
      <c r="L139" s="158">
        <v>45911.45833333334</v>
      </c>
      <c r="M139" s="158">
        <v>45925.41666666666</v>
      </c>
      <c r="N139" s="157">
        <v>45932.45833333334</v>
      </c>
      <c r="O139" s="157" t="s">
        <v>815</v>
      </c>
      <c r="P139" s="157">
        <v>45946.375</v>
      </c>
      <c r="Q139" s="157">
        <v>45961.45833333334</v>
      </c>
      <c r="R139" s="157">
        <v>45967.625</v>
      </c>
      <c r="S139" s="157">
        <v>45974.625</v>
      </c>
      <c r="T139" s="157">
        <v>46006.41666666666</v>
      </c>
      <c r="U139" s="158">
        <v>46045.41666666666</v>
      </c>
      <c r="V139" s="159">
        <f t="shared" si="1"/>
        <v>46045.41667</v>
      </c>
      <c r="W139" s="160"/>
      <c r="X139" s="160"/>
      <c r="Y139" s="161"/>
    </row>
    <row r="140" ht="15.75" customHeight="1">
      <c r="A140" s="146" t="s">
        <v>599</v>
      </c>
      <c r="B140" s="146" t="str">
        <f>IFERROR(VLOOKUP(A140&amp;"", STUDENTS!A:B, 2, 0), "")</f>
        <v>TRẦN ANH DUY</v>
      </c>
      <c r="C140" s="147" t="s">
        <v>63</v>
      </c>
      <c r="D140" s="147" t="str">
        <f>IFERROR(VLOOKUP(C140, PIC!A:B, 2, 0), "")</f>
        <v>Lanh Le</v>
      </c>
      <c r="E140" s="148" t="s">
        <v>23</v>
      </c>
      <c r="F140" s="162">
        <v>45729.45833333333</v>
      </c>
      <c r="G140" s="164">
        <v>45743.45833333333</v>
      </c>
      <c r="H140" s="164">
        <v>46113.458333333336</v>
      </c>
      <c r="I140" s="149"/>
      <c r="J140" s="150"/>
      <c r="K140" s="149"/>
      <c r="L140" s="150"/>
      <c r="M140" s="150"/>
      <c r="N140" s="149"/>
      <c r="O140" s="149"/>
      <c r="P140" s="149"/>
      <c r="Q140" s="149"/>
      <c r="R140" s="149"/>
      <c r="S140" s="149"/>
      <c r="T140" s="149"/>
      <c r="U140" s="150"/>
      <c r="V140" s="151">
        <f t="shared" si="1"/>
        <v>46113.45833</v>
      </c>
      <c r="W140" s="152"/>
      <c r="X140" s="152"/>
      <c r="Y140" s="161"/>
    </row>
    <row r="141" ht="15.75" customHeight="1">
      <c r="A141" s="154" t="s">
        <v>611</v>
      </c>
      <c r="B141" s="154" t="str">
        <f>IFERROR(VLOOKUP(A141&amp;"", STUDENTS!A:B, 2, 0), "")</f>
        <v>TRẦN DƯƠNG HOÀN MỸ</v>
      </c>
      <c r="C141" s="166" t="s">
        <v>63</v>
      </c>
      <c r="D141" s="155" t="str">
        <f>IFERROR(VLOOKUP(C141, PIC!A:B, 2, 0), "")</f>
        <v>Lanh Le</v>
      </c>
      <c r="E141" s="156" t="s">
        <v>21</v>
      </c>
      <c r="F141" s="157">
        <v>45639.375</v>
      </c>
      <c r="G141" s="158">
        <v>45645.375</v>
      </c>
      <c r="H141" s="158">
        <v>45667.41666666666</v>
      </c>
      <c r="I141" s="157">
        <v>45674.41666666666</v>
      </c>
      <c r="J141" s="158">
        <v>45695.41666666666</v>
      </c>
      <c r="K141" s="157">
        <v>45702.41666666666</v>
      </c>
      <c r="L141" s="158">
        <v>45709.58333333334</v>
      </c>
      <c r="M141" s="158">
        <v>45716.54166666666</v>
      </c>
      <c r="N141" s="157">
        <v>45765.625</v>
      </c>
      <c r="O141" s="157">
        <v>45806.41666666666</v>
      </c>
      <c r="P141" s="157"/>
      <c r="Q141" s="157"/>
      <c r="R141" s="157"/>
      <c r="S141" s="157"/>
      <c r="T141" s="157"/>
      <c r="U141" s="158"/>
      <c r="V141" s="159">
        <f t="shared" si="1"/>
        <v>45806.41667</v>
      </c>
      <c r="W141" s="160"/>
      <c r="X141" s="160"/>
      <c r="Y141" s="161"/>
    </row>
    <row r="142" ht="15.75" customHeight="1">
      <c r="A142" s="146" t="s">
        <v>611</v>
      </c>
      <c r="B142" s="146" t="str">
        <f>IFERROR(VLOOKUP(A142&amp;"", STUDENTS!A:B, 2, 0), "")</f>
        <v>TRẦN DƯƠNG HOÀN MỸ</v>
      </c>
      <c r="C142" s="147" t="s">
        <v>63</v>
      </c>
      <c r="D142" s="147" t="str">
        <f>IFERROR(VLOOKUP(C142, PIC!A:B, 2, 0), "")</f>
        <v>Lanh Le</v>
      </c>
      <c r="E142" s="148" t="s">
        <v>22</v>
      </c>
      <c r="F142" s="149">
        <v>45841.375</v>
      </c>
      <c r="G142" s="150">
        <v>45849.375</v>
      </c>
      <c r="H142" s="150">
        <v>45862.375</v>
      </c>
      <c r="I142" s="149">
        <v>45881.41666666666</v>
      </c>
      <c r="J142" s="150">
        <v>45888.41666666666</v>
      </c>
      <c r="K142" s="149">
        <v>45895.41666666666</v>
      </c>
      <c r="L142" s="150">
        <v>45911.45833333334</v>
      </c>
      <c r="M142" s="150">
        <v>45925.41666666666</v>
      </c>
      <c r="N142" s="149" t="s">
        <v>815</v>
      </c>
      <c r="O142" s="149">
        <v>45939.45833333334</v>
      </c>
      <c r="P142" s="149">
        <v>45946.375</v>
      </c>
      <c r="Q142" s="149" t="s">
        <v>815</v>
      </c>
      <c r="R142" s="149">
        <v>45967.625</v>
      </c>
      <c r="S142" s="149">
        <v>45974.625</v>
      </c>
      <c r="T142" s="149">
        <v>46006.41666666666</v>
      </c>
      <c r="U142" s="150">
        <v>46045.41666666666</v>
      </c>
      <c r="V142" s="151">
        <f t="shared" si="1"/>
        <v>46045.41667</v>
      </c>
      <c r="W142" s="152"/>
      <c r="X142" s="152"/>
      <c r="Y142" s="161"/>
    </row>
    <row r="143" ht="15.75" customHeight="1">
      <c r="A143" s="154" t="s">
        <v>611</v>
      </c>
      <c r="B143" s="154" t="str">
        <f>IFERROR(VLOOKUP(A143&amp;"", STUDENTS!A:B, 2, 0), "")</f>
        <v>TRẦN DƯƠNG HOÀN MỸ</v>
      </c>
      <c r="C143" s="155" t="s">
        <v>63</v>
      </c>
      <c r="D143" s="155" t="str">
        <f>IFERROR(VLOOKUP(C143, PIC!A:B, 2, 0), "")</f>
        <v>Lanh Le</v>
      </c>
      <c r="E143" s="156" t="s">
        <v>23</v>
      </c>
      <c r="F143" s="163">
        <v>45729.45833333333</v>
      </c>
      <c r="G143" s="165">
        <v>45743.45833333333</v>
      </c>
      <c r="H143" s="165">
        <v>46113.458333333336</v>
      </c>
      <c r="I143" s="157"/>
      <c r="J143" s="158"/>
      <c r="K143" s="157"/>
      <c r="L143" s="158"/>
      <c r="M143" s="158"/>
      <c r="N143" s="157"/>
      <c r="O143" s="157"/>
      <c r="P143" s="157"/>
      <c r="Q143" s="157"/>
      <c r="R143" s="157"/>
      <c r="S143" s="157"/>
      <c r="T143" s="157"/>
      <c r="U143" s="158"/>
      <c r="V143" s="159">
        <f t="shared" si="1"/>
        <v>46113.45833</v>
      </c>
      <c r="W143" s="160"/>
      <c r="X143" s="160"/>
      <c r="Y143" s="161"/>
    </row>
    <row r="144" ht="15.75" customHeight="1">
      <c r="A144" s="146" t="s">
        <v>317</v>
      </c>
      <c r="B144" s="146" t="str">
        <f>IFERROR(VLOOKUP(A144&amp;"", STUDENTS!A:B, 2, 0), "")</f>
        <v>LÝ THỊ BÉ XÍU</v>
      </c>
      <c r="C144" s="147" t="s">
        <v>64</v>
      </c>
      <c r="D144" s="147" t="str">
        <f>IFERROR(VLOOKUP(C144, PIC!A:B, 2, 0), "")</f>
        <v>Thao Vu 1</v>
      </c>
      <c r="E144" s="148" t="s">
        <v>21</v>
      </c>
      <c r="F144" s="149">
        <v>45637.375</v>
      </c>
      <c r="G144" s="150">
        <v>45660.375</v>
      </c>
      <c r="H144" s="150">
        <v>45664.41666666666</v>
      </c>
      <c r="I144" s="149">
        <v>45671.45833333334</v>
      </c>
      <c r="J144" s="150">
        <v>45678.45833333334</v>
      </c>
      <c r="K144" s="149">
        <v>45692.41666666666</v>
      </c>
      <c r="L144" s="150">
        <v>45699.45833333334</v>
      </c>
      <c r="M144" s="150">
        <v>45706.41666666666</v>
      </c>
      <c r="N144" s="149">
        <v>45706.54166666666</v>
      </c>
      <c r="O144" s="149">
        <v>45801.41666666666</v>
      </c>
      <c r="P144" s="149"/>
      <c r="Q144" s="149"/>
      <c r="R144" s="149"/>
      <c r="S144" s="149"/>
      <c r="T144" s="149"/>
      <c r="U144" s="150"/>
      <c r="V144" s="151">
        <f t="shared" si="1"/>
        <v>45801.41667</v>
      </c>
      <c r="W144" s="152"/>
      <c r="X144" s="152"/>
      <c r="Y144" s="161"/>
    </row>
    <row r="145" ht="15.75" customHeight="1">
      <c r="A145" s="154" t="s">
        <v>342</v>
      </c>
      <c r="B145" s="154" t="str">
        <f>IFERROR(VLOOKUP(A145&amp;"", STUDENTS!A:B, 2, 0), "")</f>
        <v>NGUYỄN CÔNG HẬU</v>
      </c>
      <c r="C145" s="155" t="s">
        <v>64</v>
      </c>
      <c r="D145" s="155" t="str">
        <f>IFERROR(VLOOKUP(C145, PIC!A:B, 2, 0), "")</f>
        <v>Thao Vu 1</v>
      </c>
      <c r="E145" s="156" t="s">
        <v>21</v>
      </c>
      <c r="F145" s="157">
        <v>45635.4375</v>
      </c>
      <c r="G145" s="158">
        <v>45660.375</v>
      </c>
      <c r="H145" s="158">
        <v>45664.41666666666</v>
      </c>
      <c r="I145" s="157">
        <v>45671.45833333334</v>
      </c>
      <c r="J145" s="158">
        <v>45678.45833333334</v>
      </c>
      <c r="K145" s="157">
        <v>45692.41666666666</v>
      </c>
      <c r="L145" s="158">
        <v>45699.375</v>
      </c>
      <c r="M145" s="158">
        <v>45706.41666666666</v>
      </c>
      <c r="N145" s="157">
        <v>45713.41666666666</v>
      </c>
      <c r="O145" s="157">
        <v>45801.41666666666</v>
      </c>
      <c r="P145" s="157"/>
      <c r="Q145" s="157"/>
      <c r="R145" s="157"/>
      <c r="S145" s="157"/>
      <c r="T145" s="157"/>
      <c r="U145" s="158"/>
      <c r="V145" s="159">
        <f t="shared" si="1"/>
        <v>45801.41667</v>
      </c>
      <c r="W145" s="160"/>
      <c r="X145" s="160"/>
      <c r="Y145" s="161"/>
    </row>
    <row r="146" ht="15.75" customHeight="1">
      <c r="A146" s="146" t="s">
        <v>370</v>
      </c>
      <c r="B146" s="146" t="str">
        <f>IFERROR(VLOOKUP(A146&amp;"", STUDENTS!A:B, 2, 0), "")</f>
        <v>Nguyen Hoai Nam</v>
      </c>
      <c r="C146" s="147" t="s">
        <v>64</v>
      </c>
      <c r="D146" s="147" t="str">
        <f>IFERROR(VLOOKUP(C146, PIC!A:B, 2, 0), "")</f>
        <v>Thao Vu 1</v>
      </c>
      <c r="E146" s="148" t="s">
        <v>21</v>
      </c>
      <c r="F146" s="149">
        <v>45635.4375</v>
      </c>
      <c r="G146" s="150">
        <v>45660.375</v>
      </c>
      <c r="H146" s="150">
        <v>45664.41666666666</v>
      </c>
      <c r="I146" s="149" t="s">
        <v>815</v>
      </c>
      <c r="J146" s="150">
        <v>45678.45833333334</v>
      </c>
      <c r="K146" s="149">
        <v>45699.375</v>
      </c>
      <c r="L146" s="150" t="s">
        <v>815</v>
      </c>
      <c r="M146" s="150">
        <v>45706.41666666666</v>
      </c>
      <c r="N146" s="149">
        <v>45713.41666666666</v>
      </c>
      <c r="O146" s="149">
        <v>45801.41666666666</v>
      </c>
      <c r="P146" s="149"/>
      <c r="Q146" s="149"/>
      <c r="R146" s="149"/>
      <c r="S146" s="149"/>
      <c r="T146" s="149"/>
      <c r="U146" s="150"/>
      <c r="V146" s="151">
        <f t="shared" si="1"/>
        <v>45801.41667</v>
      </c>
      <c r="W146" s="152"/>
      <c r="X146" s="152"/>
      <c r="Y146" s="161"/>
    </row>
    <row r="147" ht="15.75" customHeight="1">
      <c r="A147" s="154" t="s">
        <v>717</v>
      </c>
      <c r="B147" s="154" t="str">
        <f>IFERROR(VLOOKUP(A147&amp;"", STUDENTS!A:B, 2, 0), "")</f>
        <v>VŨ THANH THẢO</v>
      </c>
      <c r="C147" s="155" t="s">
        <v>64</v>
      </c>
      <c r="D147" s="155" t="str">
        <f>IFERROR(VLOOKUP(C147, PIC!A:B, 2, 0), "")</f>
        <v>Thao Vu 1</v>
      </c>
      <c r="E147" s="156" t="s">
        <v>21</v>
      </c>
      <c r="F147" s="157">
        <v>45635.4375</v>
      </c>
      <c r="G147" s="158">
        <v>45660.375</v>
      </c>
      <c r="H147" s="158">
        <v>45664.41666666666</v>
      </c>
      <c r="I147" s="157">
        <v>45671.45833333334</v>
      </c>
      <c r="J147" s="158">
        <v>45678.45833333334</v>
      </c>
      <c r="K147" s="157">
        <v>45692.41666666666</v>
      </c>
      <c r="L147" s="158">
        <v>45699.375</v>
      </c>
      <c r="M147" s="158">
        <v>45706.41666666666</v>
      </c>
      <c r="N147" s="157">
        <v>45713.41666666666</v>
      </c>
      <c r="O147" s="157">
        <v>45801.41666666666</v>
      </c>
      <c r="P147" s="157"/>
      <c r="Q147" s="157"/>
      <c r="R147" s="157"/>
      <c r="S147" s="157"/>
      <c r="T147" s="157"/>
      <c r="U147" s="158"/>
      <c r="V147" s="159">
        <f t="shared" si="1"/>
        <v>45801.41667</v>
      </c>
      <c r="W147" s="160"/>
      <c r="X147" s="160"/>
      <c r="Y147" s="161"/>
    </row>
    <row r="148" ht="15.75" customHeight="1">
      <c r="A148" s="146">
        <v>213820.0</v>
      </c>
      <c r="B148" s="146" t="s">
        <v>723</v>
      </c>
      <c r="C148" s="167" t="s">
        <v>64</v>
      </c>
      <c r="D148" s="167" t="s">
        <v>829</v>
      </c>
      <c r="E148" s="168" t="s">
        <v>21</v>
      </c>
      <c r="F148" s="149">
        <v>45635.4375</v>
      </c>
      <c r="G148" s="150">
        <v>45660.375</v>
      </c>
      <c r="H148" s="150">
        <v>45664.41666666666</v>
      </c>
      <c r="I148" s="149">
        <v>45671.45833333334</v>
      </c>
      <c r="J148" s="150">
        <v>45678.45833333334</v>
      </c>
      <c r="K148" s="149">
        <v>45692.41666666666</v>
      </c>
      <c r="L148" s="150">
        <v>45699.375</v>
      </c>
      <c r="M148" s="150">
        <v>45706.41666666666</v>
      </c>
      <c r="N148" s="149">
        <v>45713.41666666666</v>
      </c>
      <c r="O148" s="149">
        <v>45801.41666666666</v>
      </c>
      <c r="P148" s="149"/>
      <c r="Q148" s="149"/>
      <c r="R148" s="149"/>
      <c r="S148" s="149"/>
      <c r="T148" s="149"/>
      <c r="U148" s="150"/>
      <c r="V148" s="152"/>
      <c r="W148" s="152"/>
      <c r="X148" s="152"/>
      <c r="Y148" s="161"/>
    </row>
    <row r="149" ht="15.75" customHeight="1">
      <c r="A149" s="154" t="s">
        <v>149</v>
      </c>
      <c r="B149" s="154" t="str">
        <f>IFERROR(VLOOKUP(A149&amp;"", STUDENTS!A:B, 2, 0), "")</f>
        <v>Chu Thị Lệ Quỳnh</v>
      </c>
      <c r="C149" s="155" t="s">
        <v>65</v>
      </c>
      <c r="D149" s="155" t="str">
        <f>IFERROR(VLOOKUP(C149, PIC!A:B, 2, 0), "")</f>
        <v>Thao Vu 2</v>
      </c>
      <c r="E149" s="156" t="s">
        <v>21</v>
      </c>
      <c r="F149" s="157" t="s">
        <v>815</v>
      </c>
      <c r="G149" s="158">
        <v>45656.375</v>
      </c>
      <c r="H149" s="158">
        <v>45665.45833333334</v>
      </c>
      <c r="I149" s="157">
        <v>45672.45833333334</v>
      </c>
      <c r="J149" s="158" t="s">
        <v>815</v>
      </c>
      <c r="K149" s="157">
        <v>45694.45833333334</v>
      </c>
      <c r="L149" s="158">
        <v>45699.45833333334</v>
      </c>
      <c r="M149" s="158">
        <v>45706.54166666666</v>
      </c>
      <c r="N149" s="157">
        <v>45713.54166666666</v>
      </c>
      <c r="O149" s="157">
        <v>45801.41666666666</v>
      </c>
      <c r="P149" s="157"/>
      <c r="Q149" s="157"/>
      <c r="R149" s="157"/>
      <c r="S149" s="157"/>
      <c r="T149" s="157"/>
      <c r="U149" s="158"/>
      <c r="V149" s="159">
        <f t="shared" ref="V149:V524" si="2">MAX(F149:U149)</f>
        <v>45801.41667</v>
      </c>
      <c r="W149" s="160"/>
      <c r="X149" s="160"/>
      <c r="Y149" s="161"/>
    </row>
    <row r="150" ht="15.75" customHeight="1">
      <c r="A150" s="146" t="s">
        <v>212</v>
      </c>
      <c r="B150" s="146" t="str">
        <f>IFERROR(VLOOKUP(A150&amp;"", STUDENTS!A:B, 2, 0), "")</f>
        <v>HỒ MẠNH DŨNG</v>
      </c>
      <c r="C150" s="147" t="s">
        <v>65</v>
      </c>
      <c r="D150" s="147" t="str">
        <f>IFERROR(VLOOKUP(C150, PIC!A:B, 2, 0), "")</f>
        <v>Thao Vu 2</v>
      </c>
      <c r="E150" s="148" t="s">
        <v>21</v>
      </c>
      <c r="F150" s="149" t="s">
        <v>815</v>
      </c>
      <c r="G150" s="150">
        <v>45656.375</v>
      </c>
      <c r="H150" s="150">
        <v>45665.45833333334</v>
      </c>
      <c r="I150" s="149">
        <v>45672.45833333334</v>
      </c>
      <c r="J150" s="150">
        <v>45679.45833333334</v>
      </c>
      <c r="K150" s="149">
        <v>45694.45833333334</v>
      </c>
      <c r="L150" s="150">
        <v>45699.45833333334</v>
      </c>
      <c r="M150" s="150">
        <v>45706.54166666666</v>
      </c>
      <c r="N150" s="149">
        <v>45713.54166666666</v>
      </c>
      <c r="O150" s="149">
        <v>45801.41666666666</v>
      </c>
      <c r="P150" s="149"/>
      <c r="Q150" s="149"/>
      <c r="R150" s="149"/>
      <c r="S150" s="149"/>
      <c r="T150" s="149"/>
      <c r="U150" s="150"/>
      <c r="V150" s="151">
        <f t="shared" si="2"/>
        <v>45801.41667</v>
      </c>
      <c r="W150" s="152"/>
      <c r="X150" s="152"/>
      <c r="Y150" s="161"/>
    </row>
    <row r="151" ht="15.75" customHeight="1">
      <c r="A151" s="154" t="s">
        <v>212</v>
      </c>
      <c r="B151" s="154" t="str">
        <f>IFERROR(VLOOKUP(A151&amp;"", STUDENTS!A:B, 2, 0), "")</f>
        <v>HỒ MẠNH DŨNG</v>
      </c>
      <c r="C151" s="155" t="s">
        <v>65</v>
      </c>
      <c r="D151" s="155" t="str">
        <f>IFERROR(VLOOKUP(C151, PIC!A:B, 2, 0), "")</f>
        <v>Thao Vu 2</v>
      </c>
      <c r="E151" s="156" t="s">
        <v>22</v>
      </c>
      <c r="F151" s="157">
        <v>45839.375</v>
      </c>
      <c r="G151" s="158">
        <v>45846.375</v>
      </c>
      <c r="H151" s="158">
        <v>45852.41666666666</v>
      </c>
      <c r="I151" s="157">
        <v>45859.41666666666</v>
      </c>
      <c r="J151" s="158"/>
      <c r="K151" s="157"/>
      <c r="L151" s="158"/>
      <c r="M151" s="158"/>
      <c r="N151" s="157"/>
      <c r="O151" s="157"/>
      <c r="P151" s="157"/>
      <c r="Q151" s="157"/>
      <c r="R151" s="157"/>
      <c r="S151" s="157"/>
      <c r="T151" s="157"/>
      <c r="U151" s="158"/>
      <c r="V151" s="159">
        <f t="shared" si="2"/>
        <v>45859.41667</v>
      </c>
      <c r="W151" s="160"/>
      <c r="X151" s="160"/>
      <c r="Y151" s="161"/>
    </row>
    <row r="152" ht="15.75" customHeight="1">
      <c r="A152" s="146" t="s">
        <v>267</v>
      </c>
      <c r="B152" s="146" t="str">
        <f>IFERROR(VLOOKUP(A152&amp;"", STUDENTS!A:B, 2, 0), "")</f>
        <v>LÊ MINH DUY</v>
      </c>
      <c r="C152" s="147" t="s">
        <v>65</v>
      </c>
      <c r="D152" s="147" t="str">
        <f>IFERROR(VLOOKUP(C152, PIC!A:B, 2, 0), "")</f>
        <v>Thao Vu 2</v>
      </c>
      <c r="E152" s="148" t="s">
        <v>21</v>
      </c>
      <c r="F152" s="149">
        <v>45644.45833333334</v>
      </c>
      <c r="G152" s="150">
        <v>45656.375</v>
      </c>
      <c r="H152" s="150">
        <v>45665.45833333334</v>
      </c>
      <c r="I152" s="149">
        <v>45672.45833333334</v>
      </c>
      <c r="J152" s="150">
        <v>45679.45833333334</v>
      </c>
      <c r="K152" s="149">
        <v>45694.45833333334</v>
      </c>
      <c r="L152" s="150" t="s">
        <v>815</v>
      </c>
      <c r="M152" s="150">
        <v>45706.54166666666</v>
      </c>
      <c r="N152" s="149">
        <v>45713.54166666666</v>
      </c>
      <c r="O152" s="149">
        <v>45801.41666666666</v>
      </c>
      <c r="P152" s="149"/>
      <c r="Q152" s="149"/>
      <c r="R152" s="149"/>
      <c r="S152" s="149"/>
      <c r="T152" s="149"/>
      <c r="U152" s="150"/>
      <c r="V152" s="151">
        <f t="shared" si="2"/>
        <v>45801.41667</v>
      </c>
      <c r="W152" s="152"/>
      <c r="X152" s="152"/>
      <c r="Y152" s="161"/>
    </row>
    <row r="153" ht="15.75" customHeight="1">
      <c r="A153" s="154" t="s">
        <v>267</v>
      </c>
      <c r="B153" s="154" t="str">
        <f>IFERROR(VLOOKUP(A153&amp;"", STUDENTS!A:B, 2, 0), "")</f>
        <v>LÊ MINH DUY</v>
      </c>
      <c r="C153" s="155" t="s">
        <v>65</v>
      </c>
      <c r="D153" s="155" t="str">
        <f>IFERROR(VLOOKUP(C153, PIC!A:B, 2, 0), "")</f>
        <v>Thao Vu 2</v>
      </c>
      <c r="E153" s="156" t="s">
        <v>22</v>
      </c>
      <c r="F153" s="157">
        <v>45839.375</v>
      </c>
      <c r="G153" s="158">
        <v>45846.375</v>
      </c>
      <c r="H153" s="158">
        <v>45852.41666666666</v>
      </c>
      <c r="I153" s="157">
        <v>45859.41666666666</v>
      </c>
      <c r="J153" s="158"/>
      <c r="K153" s="157"/>
      <c r="L153" s="158"/>
      <c r="M153" s="158"/>
      <c r="N153" s="157"/>
      <c r="O153" s="157"/>
      <c r="P153" s="157"/>
      <c r="Q153" s="157"/>
      <c r="R153" s="157"/>
      <c r="S153" s="157"/>
      <c r="T153" s="157"/>
      <c r="U153" s="158"/>
      <c r="V153" s="159">
        <f t="shared" si="2"/>
        <v>45859.41667</v>
      </c>
      <c r="W153" s="160"/>
      <c r="X153" s="160"/>
      <c r="Y153" s="161"/>
    </row>
    <row r="154" ht="15.75" customHeight="1">
      <c r="A154" s="146" t="s">
        <v>413</v>
      </c>
      <c r="B154" s="146" t="str">
        <f>IFERROR(VLOOKUP(A154&amp;"", STUDENTS!A:B, 2, 0), "")</f>
        <v>NGUYỄN NGỌC HOÀNG BẢO TRÂN</v>
      </c>
      <c r="C154" s="147" t="s">
        <v>65</v>
      </c>
      <c r="D154" s="147" t="str">
        <f>IFERROR(VLOOKUP(C154, PIC!A:B, 2, 0), "")</f>
        <v>Thao Vu 2</v>
      </c>
      <c r="E154" s="148" t="s">
        <v>21</v>
      </c>
      <c r="F154" s="149">
        <v>45637.375</v>
      </c>
      <c r="G154" s="150">
        <v>45656.375</v>
      </c>
      <c r="H154" s="150">
        <v>45665.45833333334</v>
      </c>
      <c r="I154" s="149">
        <v>45672.45833333334</v>
      </c>
      <c r="J154" s="150">
        <v>45679.45833333334</v>
      </c>
      <c r="K154" s="149">
        <v>45694.45833333334</v>
      </c>
      <c r="L154" s="150">
        <v>45699.45833333334</v>
      </c>
      <c r="M154" s="150">
        <v>45706.54166666666</v>
      </c>
      <c r="N154" s="149">
        <v>45713.54166666666</v>
      </c>
      <c r="O154" s="149">
        <v>45801.41666666666</v>
      </c>
      <c r="P154" s="149"/>
      <c r="Q154" s="149"/>
      <c r="R154" s="149"/>
      <c r="S154" s="149"/>
      <c r="T154" s="149"/>
      <c r="U154" s="150"/>
      <c r="V154" s="151">
        <f t="shared" si="2"/>
        <v>45801.41667</v>
      </c>
      <c r="W154" s="152"/>
      <c r="X154" s="152"/>
      <c r="Y154" s="161"/>
    </row>
    <row r="155" ht="15.75" customHeight="1">
      <c r="A155" s="154" t="s">
        <v>413</v>
      </c>
      <c r="B155" s="154" t="str">
        <f>IFERROR(VLOOKUP(A155&amp;"", STUDENTS!A:B, 2, 0), "")</f>
        <v>NGUYỄN NGỌC HOÀNG BẢO TRÂN</v>
      </c>
      <c r="C155" s="155" t="s">
        <v>65</v>
      </c>
      <c r="D155" s="155" t="str">
        <f>IFERROR(VLOOKUP(C155, PIC!A:B, 2, 0), "")</f>
        <v>Thao Vu 2</v>
      </c>
      <c r="E155" s="156" t="s">
        <v>22</v>
      </c>
      <c r="F155" s="157">
        <v>45839.375</v>
      </c>
      <c r="G155" s="158">
        <v>45846.375</v>
      </c>
      <c r="H155" s="158">
        <v>45852.41666666666</v>
      </c>
      <c r="I155" s="157">
        <v>45859.41666666666</v>
      </c>
      <c r="J155" s="158"/>
      <c r="K155" s="157"/>
      <c r="L155" s="158"/>
      <c r="M155" s="158"/>
      <c r="N155" s="157"/>
      <c r="O155" s="157"/>
      <c r="P155" s="157"/>
      <c r="Q155" s="157"/>
      <c r="R155" s="157"/>
      <c r="S155" s="157"/>
      <c r="T155" s="157"/>
      <c r="U155" s="158"/>
      <c r="V155" s="159">
        <f t="shared" si="2"/>
        <v>45859.41667</v>
      </c>
      <c r="W155" s="160"/>
      <c r="X155" s="160"/>
      <c r="Y155" s="161"/>
    </row>
    <row r="156" ht="15.75" customHeight="1">
      <c r="A156" s="146" t="s">
        <v>601</v>
      </c>
      <c r="B156" s="146" t="str">
        <f>IFERROR(VLOOKUP(A156&amp;"", STUDENTS!A:B, 2, 0), "")</f>
        <v>TRẦN ĐÌNH AN</v>
      </c>
      <c r="C156" s="147" t="s">
        <v>65</v>
      </c>
      <c r="D156" s="147" t="str">
        <f>IFERROR(VLOOKUP(C156, PIC!A:B, 2, 0), "")</f>
        <v>Thao Vu 2</v>
      </c>
      <c r="E156" s="148" t="s">
        <v>21</v>
      </c>
      <c r="F156" s="149">
        <v>45637.375</v>
      </c>
      <c r="G156" s="150">
        <v>45656.375</v>
      </c>
      <c r="H156" s="150">
        <v>45665.45833333334</v>
      </c>
      <c r="I156" s="149">
        <v>45671.45833333334</v>
      </c>
      <c r="J156" s="150">
        <v>45678.45833333334</v>
      </c>
      <c r="K156" s="149">
        <v>45692.41666666666</v>
      </c>
      <c r="L156" s="150">
        <v>45699.45833333334</v>
      </c>
      <c r="M156" s="150">
        <v>45706.54166666666</v>
      </c>
      <c r="N156" s="149">
        <v>45713.54166666666</v>
      </c>
      <c r="O156" s="149">
        <v>45801.41666666666</v>
      </c>
      <c r="P156" s="149"/>
      <c r="Q156" s="149"/>
      <c r="R156" s="149"/>
      <c r="S156" s="149"/>
      <c r="T156" s="149"/>
      <c r="U156" s="150"/>
      <c r="V156" s="151">
        <f t="shared" si="2"/>
        <v>45801.41667</v>
      </c>
      <c r="W156" s="152"/>
      <c r="X156" s="152"/>
      <c r="Y156" s="161"/>
    </row>
    <row r="157" ht="15.75" customHeight="1">
      <c r="A157" s="154" t="s">
        <v>699</v>
      </c>
      <c r="B157" s="154" t="str">
        <f>IFERROR(VLOOKUP(A157&amp;"", STUDENTS!A:B, 2, 0), "")</f>
        <v>VÕ NGUYỄN DUY ANH</v>
      </c>
      <c r="C157" s="155" t="s">
        <v>65</v>
      </c>
      <c r="D157" s="155" t="str">
        <f>IFERROR(VLOOKUP(C157, PIC!A:B, 2, 0), "")</f>
        <v>Thao Vu 2</v>
      </c>
      <c r="E157" s="156" t="s">
        <v>21</v>
      </c>
      <c r="F157" s="157">
        <v>45644.45833333334</v>
      </c>
      <c r="G157" s="158">
        <v>45656.375</v>
      </c>
      <c r="H157" s="158">
        <v>45665.45833333334</v>
      </c>
      <c r="I157" s="157">
        <v>45672.45833333334</v>
      </c>
      <c r="J157" s="158">
        <v>45679.45833333334</v>
      </c>
      <c r="K157" s="157">
        <v>45694.45833333334</v>
      </c>
      <c r="L157" s="158">
        <v>45699.45833333334</v>
      </c>
      <c r="M157" s="158">
        <v>45706.54166666666</v>
      </c>
      <c r="N157" s="157">
        <v>45713.54166666666</v>
      </c>
      <c r="O157" s="157">
        <v>45801.41666666666</v>
      </c>
      <c r="P157" s="157"/>
      <c r="Q157" s="157"/>
      <c r="R157" s="157"/>
      <c r="S157" s="157"/>
      <c r="T157" s="157"/>
      <c r="U157" s="158"/>
      <c r="V157" s="159">
        <f t="shared" si="2"/>
        <v>45801.41667</v>
      </c>
      <c r="W157" s="160"/>
      <c r="X157" s="160"/>
      <c r="Y157" s="161"/>
    </row>
    <row r="158" ht="15.75" customHeight="1">
      <c r="A158" s="146" t="s">
        <v>699</v>
      </c>
      <c r="B158" s="146" t="str">
        <f>IFERROR(VLOOKUP(A158&amp;"", STUDENTS!A:B, 2, 0), "")</f>
        <v>VÕ NGUYỄN DUY ANH</v>
      </c>
      <c r="C158" s="147" t="s">
        <v>65</v>
      </c>
      <c r="D158" s="147" t="str">
        <f>IFERROR(VLOOKUP(C158, PIC!A:B, 2, 0), "")</f>
        <v>Thao Vu 2</v>
      </c>
      <c r="E158" s="148" t="s">
        <v>22</v>
      </c>
      <c r="F158" s="149">
        <v>45839.375</v>
      </c>
      <c r="G158" s="150">
        <v>45846.375</v>
      </c>
      <c r="H158" s="150">
        <v>45852.41666666666</v>
      </c>
      <c r="I158" s="149">
        <v>45859.41666666666</v>
      </c>
      <c r="J158" s="150"/>
      <c r="K158" s="149"/>
      <c r="L158" s="150"/>
      <c r="M158" s="150"/>
      <c r="N158" s="149"/>
      <c r="O158" s="149"/>
      <c r="P158" s="149"/>
      <c r="Q158" s="149"/>
      <c r="R158" s="149"/>
      <c r="S158" s="149"/>
      <c r="T158" s="149"/>
      <c r="U158" s="150"/>
      <c r="V158" s="151">
        <f t="shared" si="2"/>
        <v>45859.41667</v>
      </c>
      <c r="W158" s="152"/>
      <c r="X158" s="152"/>
      <c r="Y158" s="161"/>
    </row>
    <row r="159" ht="15.75" customHeight="1">
      <c r="A159" s="154" t="s">
        <v>346</v>
      </c>
      <c r="B159" s="154" t="str">
        <f>IFERROR(VLOOKUP(A159&amp;"", STUDENTS!A:B, 2, 0), "")</f>
        <v>NGUYỄN ĐẶNG NGỌC MINH</v>
      </c>
      <c r="C159" s="155" t="s">
        <v>66</v>
      </c>
      <c r="D159" s="155" t="str">
        <f>IFERROR(VLOOKUP(C159, PIC!A:B, 2, 0), "")</f>
        <v>Minh Nguyen</v>
      </c>
      <c r="E159" s="156" t="s">
        <v>21</v>
      </c>
      <c r="F159" s="157">
        <v>45693.45833333334</v>
      </c>
      <c r="G159" s="158">
        <v>45705.58333333334</v>
      </c>
      <c r="H159" s="158">
        <v>45712.58333333334</v>
      </c>
      <c r="I159" s="157"/>
      <c r="J159" s="158"/>
      <c r="K159" s="157"/>
      <c r="L159" s="158"/>
      <c r="M159" s="158"/>
      <c r="N159" s="157"/>
      <c r="O159" s="157"/>
      <c r="P159" s="157"/>
      <c r="Q159" s="157"/>
      <c r="R159" s="157"/>
      <c r="S159" s="157"/>
      <c r="T159" s="157"/>
      <c r="U159" s="158"/>
      <c r="V159" s="159">
        <f t="shared" si="2"/>
        <v>45712.58333</v>
      </c>
      <c r="W159" s="160"/>
      <c r="X159" s="160"/>
      <c r="Y159" s="161"/>
    </row>
    <row r="160" ht="15.75" customHeight="1">
      <c r="A160" s="146" t="s">
        <v>514</v>
      </c>
      <c r="B160" s="146" t="str">
        <f>IFERROR(VLOOKUP(A160&amp;"", STUDENTS!A:B, 2, 0), "")</f>
        <v>NGUYỄN VĂN THÁI</v>
      </c>
      <c r="C160" s="147" t="s">
        <v>66</v>
      </c>
      <c r="D160" s="147" t="str">
        <f>IFERROR(VLOOKUP(C160, PIC!A:B, 2, 0), "")</f>
        <v>Minh Nguyen</v>
      </c>
      <c r="E160" s="148" t="s">
        <v>21</v>
      </c>
      <c r="F160" s="149">
        <v>45693.45833333334</v>
      </c>
      <c r="G160" s="150">
        <v>45705.58333333334</v>
      </c>
      <c r="H160" s="150" t="s">
        <v>815</v>
      </c>
      <c r="I160" s="149"/>
      <c r="J160" s="150"/>
      <c r="K160" s="149"/>
      <c r="L160" s="150"/>
      <c r="M160" s="150"/>
      <c r="N160" s="149"/>
      <c r="O160" s="149"/>
      <c r="P160" s="149"/>
      <c r="Q160" s="149"/>
      <c r="R160" s="149"/>
      <c r="S160" s="149"/>
      <c r="T160" s="149"/>
      <c r="U160" s="150"/>
      <c r="V160" s="151">
        <f t="shared" si="2"/>
        <v>45705.58333</v>
      </c>
      <c r="W160" s="152"/>
      <c r="X160" s="152"/>
      <c r="Y160" s="161"/>
    </row>
    <row r="161" ht="15.75" customHeight="1">
      <c r="A161" s="154" t="s">
        <v>518</v>
      </c>
      <c r="B161" s="154" t="str">
        <f>IFERROR(VLOOKUP(A161&amp;"", STUDENTS!A:B, 2, 0), "")</f>
        <v>ÔNG HOÀI THỊNH</v>
      </c>
      <c r="C161" s="155" t="s">
        <v>66</v>
      </c>
      <c r="D161" s="155" t="str">
        <f>IFERROR(VLOOKUP(C161, PIC!A:B, 2, 0), "")</f>
        <v>Minh Nguyen</v>
      </c>
      <c r="E161" s="156" t="s">
        <v>21</v>
      </c>
      <c r="F161" s="157">
        <v>45693.45833333334</v>
      </c>
      <c r="G161" s="158">
        <v>45705.58333333334</v>
      </c>
      <c r="H161" s="158" t="s">
        <v>815</v>
      </c>
      <c r="I161" s="157"/>
      <c r="J161" s="158"/>
      <c r="K161" s="157"/>
      <c r="L161" s="158"/>
      <c r="M161" s="158"/>
      <c r="N161" s="157"/>
      <c r="O161" s="157"/>
      <c r="P161" s="157"/>
      <c r="Q161" s="157"/>
      <c r="R161" s="157"/>
      <c r="S161" s="157"/>
      <c r="T161" s="157"/>
      <c r="U161" s="158"/>
      <c r="V161" s="159">
        <f t="shared" si="2"/>
        <v>45705.58333</v>
      </c>
      <c r="W161" s="160"/>
      <c r="X161" s="160"/>
      <c r="Y161" s="161"/>
    </row>
    <row r="162" ht="15.75" customHeight="1">
      <c r="A162" s="146" t="s">
        <v>522</v>
      </c>
      <c r="B162" s="146" t="str">
        <f>IFERROR(VLOOKUP(A162&amp;"", STUDENTS!A:B, 2, 0), "")</f>
        <v>PHẠM HỒ LƯỢNG</v>
      </c>
      <c r="C162" s="147" t="s">
        <v>66</v>
      </c>
      <c r="D162" s="147" t="str">
        <f>IFERROR(VLOOKUP(C162, PIC!A:B, 2, 0), "")</f>
        <v>Minh Nguyen</v>
      </c>
      <c r="E162" s="148" t="s">
        <v>21</v>
      </c>
      <c r="F162" s="149">
        <v>45693.45833333334</v>
      </c>
      <c r="G162" s="150">
        <v>45705.58333333334</v>
      </c>
      <c r="H162" s="150">
        <v>45712.58333333334</v>
      </c>
      <c r="I162" s="149"/>
      <c r="J162" s="150"/>
      <c r="K162" s="149"/>
      <c r="L162" s="150"/>
      <c r="M162" s="150"/>
      <c r="N162" s="149"/>
      <c r="O162" s="149"/>
      <c r="P162" s="149"/>
      <c r="Q162" s="149"/>
      <c r="R162" s="149"/>
      <c r="S162" s="149"/>
      <c r="T162" s="149"/>
      <c r="U162" s="150"/>
      <c r="V162" s="151">
        <f t="shared" si="2"/>
        <v>45712.58333</v>
      </c>
      <c r="W162" s="152"/>
      <c r="X162" s="152"/>
      <c r="Y162" s="161"/>
    </row>
    <row r="163" ht="15.75" customHeight="1">
      <c r="A163" s="154" t="s">
        <v>589</v>
      </c>
      <c r="B163" s="154" t="str">
        <f>IFERROR(VLOOKUP(A163&amp;"", STUDENTS!A:B, 2, 0), "")</f>
        <v>THÁI TRẦN HỒNG PHÚC</v>
      </c>
      <c r="C163" s="155" t="s">
        <v>66</v>
      </c>
      <c r="D163" s="155" t="str">
        <f>IFERROR(VLOOKUP(C163, PIC!A:B, 2, 0), "")</f>
        <v>Minh Nguyen</v>
      </c>
      <c r="E163" s="156" t="s">
        <v>21</v>
      </c>
      <c r="F163" s="157">
        <v>45693.45833333334</v>
      </c>
      <c r="G163" s="158">
        <v>45705.58333333334</v>
      </c>
      <c r="H163" s="158" t="s">
        <v>815</v>
      </c>
      <c r="I163" s="157"/>
      <c r="J163" s="158"/>
      <c r="K163" s="157"/>
      <c r="L163" s="158"/>
      <c r="M163" s="158"/>
      <c r="N163" s="157"/>
      <c r="O163" s="157"/>
      <c r="P163" s="157"/>
      <c r="Q163" s="157"/>
      <c r="R163" s="157"/>
      <c r="S163" s="157"/>
      <c r="T163" s="157"/>
      <c r="U163" s="158"/>
      <c r="V163" s="159">
        <f t="shared" si="2"/>
        <v>45705.58333</v>
      </c>
      <c r="W163" s="160"/>
      <c r="X163" s="160"/>
      <c r="Y163" s="161"/>
    </row>
    <row r="164" ht="15.75" customHeight="1">
      <c r="A164" s="146" t="s">
        <v>645</v>
      </c>
      <c r="B164" s="146" t="str">
        <f>IFERROR(VLOOKUP(A164&amp;"", STUDENTS!A:B, 2, 0), "")</f>
        <v>TRẦN THẾ ANH</v>
      </c>
      <c r="C164" s="147" t="s">
        <v>66</v>
      </c>
      <c r="D164" s="147" t="str">
        <f>IFERROR(VLOOKUP(C164, PIC!A:B, 2, 0), "")</f>
        <v>Minh Nguyen</v>
      </c>
      <c r="E164" s="148" t="s">
        <v>21</v>
      </c>
      <c r="F164" s="149">
        <v>45693.45833333334</v>
      </c>
      <c r="G164" s="150">
        <v>45705.58333333334</v>
      </c>
      <c r="H164" s="150">
        <v>45712.58333333334</v>
      </c>
      <c r="I164" s="149"/>
      <c r="J164" s="150"/>
      <c r="K164" s="149"/>
      <c r="L164" s="150"/>
      <c r="M164" s="150"/>
      <c r="N164" s="149"/>
      <c r="O164" s="149"/>
      <c r="P164" s="149"/>
      <c r="Q164" s="149"/>
      <c r="R164" s="149"/>
      <c r="S164" s="149"/>
      <c r="T164" s="149"/>
      <c r="U164" s="150"/>
      <c r="V164" s="151">
        <f t="shared" si="2"/>
        <v>45712.58333</v>
      </c>
      <c r="W164" s="152"/>
      <c r="X164" s="152"/>
      <c r="Y164" s="161"/>
    </row>
    <row r="165" ht="15.75" customHeight="1">
      <c r="A165" s="154" t="s">
        <v>142</v>
      </c>
      <c r="B165" s="154" t="str">
        <f>IFERROR(VLOOKUP(A165&amp;"", STUDENTS!A:B, 2, 0), "")</f>
        <v>BÙI MINH NHẬT</v>
      </c>
      <c r="C165" s="155" t="s">
        <v>67</v>
      </c>
      <c r="D165" s="155" t="str">
        <f>IFERROR(VLOOKUP(C165, PIC!A:B, 2, 0), "")</f>
        <v>Nhat Bui</v>
      </c>
      <c r="E165" s="156" t="s">
        <v>21</v>
      </c>
      <c r="F165" s="157">
        <v>45639.458333333336</v>
      </c>
      <c r="G165" s="158">
        <v>45643.395833333336</v>
      </c>
      <c r="H165" s="158">
        <v>45653.416666666664</v>
      </c>
      <c r="I165" s="157">
        <v>45667.375</v>
      </c>
      <c r="J165" s="158">
        <v>45674.375</v>
      </c>
      <c r="K165" s="157">
        <v>45693.583333333336</v>
      </c>
      <c r="L165" s="158" t="s">
        <v>815</v>
      </c>
      <c r="M165" s="158">
        <v>45707.416666666664</v>
      </c>
      <c r="N165" s="157">
        <v>45714.416666666664</v>
      </c>
      <c r="O165" s="157">
        <v>45769.583333333336</v>
      </c>
      <c r="P165" s="157"/>
      <c r="Q165" s="157"/>
      <c r="R165" s="157"/>
      <c r="S165" s="157"/>
      <c r="T165" s="157"/>
      <c r="U165" s="158"/>
      <c r="V165" s="159">
        <f t="shared" si="2"/>
        <v>45769.58333</v>
      </c>
      <c r="W165" s="160"/>
      <c r="X165" s="160"/>
      <c r="Y165" s="161"/>
    </row>
    <row r="166" ht="15.75" customHeight="1">
      <c r="A166" s="146" t="s">
        <v>204</v>
      </c>
      <c r="B166" s="146" t="str">
        <f>IFERROR(VLOOKUP(A166&amp;"", STUDENTS!A:B, 2, 0), "")</f>
        <v>DƯƠNG THỊ HƯƠNG LAN</v>
      </c>
      <c r="C166" s="147" t="s">
        <v>67</v>
      </c>
      <c r="D166" s="147" t="str">
        <f>IFERROR(VLOOKUP(C166, PIC!A:B, 2, 0), "")</f>
        <v>Nhat Bui</v>
      </c>
      <c r="E166" s="148" t="s">
        <v>21</v>
      </c>
      <c r="F166" s="149">
        <v>45639.458333333336</v>
      </c>
      <c r="G166" s="150" t="s">
        <v>815</v>
      </c>
      <c r="H166" s="150">
        <v>45653.416666666664</v>
      </c>
      <c r="I166" s="149" t="s">
        <v>815</v>
      </c>
      <c r="J166" s="150">
        <v>45674.375</v>
      </c>
      <c r="K166" s="149">
        <v>45693.583333333336</v>
      </c>
      <c r="L166" s="150">
        <v>45698.541666666664</v>
      </c>
      <c r="M166" s="150">
        <v>45707.416666666664</v>
      </c>
      <c r="N166" s="149">
        <v>45714.416666666664</v>
      </c>
      <c r="O166" s="149">
        <v>45769.583333333336</v>
      </c>
      <c r="P166" s="149"/>
      <c r="Q166" s="149"/>
      <c r="R166" s="149"/>
      <c r="S166" s="149"/>
      <c r="T166" s="149"/>
      <c r="U166" s="150"/>
      <c r="V166" s="151">
        <f t="shared" si="2"/>
        <v>45769.58333</v>
      </c>
      <c r="W166" s="152"/>
      <c r="X166" s="152"/>
      <c r="Y166" s="161"/>
    </row>
    <row r="167" ht="15.75" customHeight="1">
      <c r="A167" s="154" t="s">
        <v>222</v>
      </c>
      <c r="B167" s="154" t="str">
        <f>IFERROR(VLOOKUP(A167&amp;"", STUDENTS!A:B, 2, 0), "")</f>
        <v>HOÀNG NHƯ QUỲNH</v>
      </c>
      <c r="C167" s="155" t="s">
        <v>67</v>
      </c>
      <c r="D167" s="155" t="str">
        <f>IFERROR(VLOOKUP(C167, PIC!A:B, 2, 0), "")</f>
        <v>Nhat Bui</v>
      </c>
      <c r="E167" s="156" t="s">
        <v>21</v>
      </c>
      <c r="F167" s="157">
        <v>45639.458333333336</v>
      </c>
      <c r="G167" s="158">
        <v>45643.395833333336</v>
      </c>
      <c r="H167" s="158">
        <v>45653.416666666664</v>
      </c>
      <c r="I167" s="157" t="s">
        <v>815</v>
      </c>
      <c r="J167" s="158" t="s">
        <v>815</v>
      </c>
      <c r="K167" s="157">
        <v>45693.583333333336</v>
      </c>
      <c r="L167" s="158">
        <v>45698.541666666664</v>
      </c>
      <c r="M167" s="158">
        <v>45707.416666666664</v>
      </c>
      <c r="N167" s="157">
        <v>45714.416666666664</v>
      </c>
      <c r="O167" s="157">
        <v>45769.583333333336</v>
      </c>
      <c r="P167" s="157"/>
      <c r="Q167" s="157"/>
      <c r="R167" s="157"/>
      <c r="S167" s="157"/>
      <c r="T167" s="157"/>
      <c r="U167" s="158"/>
      <c r="V167" s="159">
        <f t="shared" si="2"/>
        <v>45769.58333</v>
      </c>
      <c r="W167" s="160"/>
      <c r="X167" s="160"/>
      <c r="Y167" s="161"/>
    </row>
    <row r="168" ht="15.75" customHeight="1">
      <c r="A168" s="146" t="s">
        <v>292</v>
      </c>
      <c r="B168" s="146" t="str">
        <f>IFERROR(VLOOKUP(A168&amp;"", STUDENTS!A:B, 2, 0), "")</f>
        <v>LÊ THỊ LAN ANH</v>
      </c>
      <c r="C168" s="147" t="s">
        <v>67</v>
      </c>
      <c r="D168" s="147" t="str">
        <f>IFERROR(VLOOKUP(C168, PIC!A:B, 2, 0), "")</f>
        <v>Nhat Bui</v>
      </c>
      <c r="E168" s="148" t="s">
        <v>21</v>
      </c>
      <c r="F168" s="149">
        <v>45639.458333333336</v>
      </c>
      <c r="G168" s="150" t="s">
        <v>815</v>
      </c>
      <c r="H168" s="150" t="s">
        <v>815</v>
      </c>
      <c r="I168" s="149">
        <v>45667.375</v>
      </c>
      <c r="J168" s="150">
        <v>45674.375</v>
      </c>
      <c r="K168" s="149">
        <v>45693.583333333336</v>
      </c>
      <c r="L168" s="150">
        <v>45698.541666666664</v>
      </c>
      <c r="M168" s="150">
        <v>45707.416666666664</v>
      </c>
      <c r="N168" s="149" t="s">
        <v>815</v>
      </c>
      <c r="O168" s="149">
        <v>45769.583333333336</v>
      </c>
      <c r="P168" s="149"/>
      <c r="Q168" s="149"/>
      <c r="R168" s="149"/>
      <c r="S168" s="149"/>
      <c r="T168" s="149"/>
      <c r="U168" s="150"/>
      <c r="V168" s="151">
        <f t="shared" si="2"/>
        <v>45769.58333</v>
      </c>
      <c r="W168" s="152"/>
      <c r="X168" s="152"/>
      <c r="Y168" s="161"/>
    </row>
    <row r="169" ht="15.75" customHeight="1">
      <c r="A169" s="154" t="s">
        <v>348</v>
      </c>
      <c r="B169" s="154" t="str">
        <f>IFERROR(VLOOKUP(A169&amp;"", STUDENTS!A:B, 2, 0), "")</f>
        <v>NGUYỄN ĐẠT THỊNH</v>
      </c>
      <c r="C169" s="155" t="s">
        <v>67</v>
      </c>
      <c r="D169" s="155" t="str">
        <f>IFERROR(VLOOKUP(C169, PIC!A:B, 2, 0), "")</f>
        <v>Nhat Bui</v>
      </c>
      <c r="E169" s="156" t="s">
        <v>21</v>
      </c>
      <c r="F169" s="157">
        <v>45639.458333333336</v>
      </c>
      <c r="G169" s="158">
        <v>45643.395833333336</v>
      </c>
      <c r="H169" s="158">
        <v>45653.416666666664</v>
      </c>
      <c r="I169" s="157">
        <v>45667.375</v>
      </c>
      <c r="J169" s="158">
        <v>45674.375</v>
      </c>
      <c r="K169" s="157">
        <v>45693.583333333336</v>
      </c>
      <c r="L169" s="158">
        <v>45698.541666666664</v>
      </c>
      <c r="M169" s="158">
        <v>45707.416666666664</v>
      </c>
      <c r="N169" s="157">
        <v>45714.416666666664</v>
      </c>
      <c r="O169" s="157">
        <v>45769.583333333336</v>
      </c>
      <c r="P169" s="157"/>
      <c r="Q169" s="157"/>
      <c r="R169" s="157"/>
      <c r="S169" s="157"/>
      <c r="T169" s="157"/>
      <c r="U169" s="158"/>
      <c r="V169" s="159">
        <f t="shared" si="2"/>
        <v>45769.58333</v>
      </c>
      <c r="W169" s="160"/>
      <c r="X169" s="160"/>
      <c r="Y169" s="161"/>
    </row>
    <row r="170" ht="15.75" customHeight="1">
      <c r="A170" s="146" t="s">
        <v>480</v>
      </c>
      <c r="B170" s="146" t="str">
        <f>IFERROR(VLOOKUP(A170&amp;"", STUDENTS!A:B, 2, 0), "")</f>
        <v>NGUYỄN THỊ THÙY TRANG</v>
      </c>
      <c r="C170" s="147" t="s">
        <v>67</v>
      </c>
      <c r="D170" s="147" t="str">
        <f>IFERROR(VLOOKUP(C170, PIC!A:B, 2, 0), "")</f>
        <v>Nhat Bui</v>
      </c>
      <c r="E170" s="148" t="s">
        <v>21</v>
      </c>
      <c r="F170" s="149">
        <v>45639.458333333336</v>
      </c>
      <c r="G170" s="150">
        <v>45643.395833333336</v>
      </c>
      <c r="H170" s="150">
        <v>45653.416666666664</v>
      </c>
      <c r="I170" s="149">
        <v>45667.375</v>
      </c>
      <c r="J170" s="150">
        <v>45674.375</v>
      </c>
      <c r="K170" s="149">
        <v>45693.583333333336</v>
      </c>
      <c r="L170" s="150">
        <v>45698.541666666664</v>
      </c>
      <c r="M170" s="150">
        <v>45707.416666666664</v>
      </c>
      <c r="N170" s="149">
        <v>45714.416666666664</v>
      </c>
      <c r="O170" s="149">
        <v>45769.583333333336</v>
      </c>
      <c r="P170" s="149"/>
      <c r="Q170" s="149"/>
      <c r="R170" s="149"/>
      <c r="S170" s="149"/>
      <c r="T170" s="149"/>
      <c r="U170" s="150"/>
      <c r="V170" s="151">
        <f t="shared" si="2"/>
        <v>45769.58333</v>
      </c>
      <c r="W170" s="152"/>
      <c r="X170" s="152"/>
      <c r="Y170" s="161"/>
    </row>
    <row r="171" ht="15.75" customHeight="1">
      <c r="A171" s="154" t="s">
        <v>564</v>
      </c>
      <c r="B171" s="154" t="str">
        <f>IFERROR(VLOOKUP(A171&amp;"", STUDENTS!A:B, 2, 0), "")</f>
        <v>PHAN LÊ HỒNG LEL</v>
      </c>
      <c r="C171" s="155" t="s">
        <v>67</v>
      </c>
      <c r="D171" s="155" t="str">
        <f>IFERROR(VLOOKUP(C171, PIC!A:B, 2, 0), "")</f>
        <v>Nhat Bui</v>
      </c>
      <c r="E171" s="156" t="s">
        <v>21</v>
      </c>
      <c r="F171" s="157">
        <v>45639.458333333336</v>
      </c>
      <c r="G171" s="158">
        <v>45643.395833333336</v>
      </c>
      <c r="H171" s="158">
        <v>45653.416666666664</v>
      </c>
      <c r="I171" s="157" t="s">
        <v>815</v>
      </c>
      <c r="J171" s="158" t="s">
        <v>815</v>
      </c>
      <c r="K171" s="157" t="s">
        <v>815</v>
      </c>
      <c r="L171" s="158" t="s">
        <v>815</v>
      </c>
      <c r="M171" s="158" t="s">
        <v>815</v>
      </c>
      <c r="N171" s="157" t="s">
        <v>815</v>
      </c>
      <c r="O171" s="157" t="s">
        <v>815</v>
      </c>
      <c r="P171" s="157"/>
      <c r="Q171" s="157"/>
      <c r="R171" s="157"/>
      <c r="S171" s="157"/>
      <c r="T171" s="157"/>
      <c r="U171" s="158"/>
      <c r="V171" s="159">
        <f t="shared" si="2"/>
        <v>45653.41667</v>
      </c>
      <c r="W171" s="160"/>
      <c r="X171" s="160"/>
      <c r="Y171" s="161"/>
    </row>
    <row r="172" ht="15.75" customHeight="1">
      <c r="A172" s="146" t="s">
        <v>647</v>
      </c>
      <c r="B172" s="146" t="str">
        <f>IFERROR(VLOOKUP(A172&amp;"", STUDENTS!A:B, 2, 0), "")</f>
        <v>TRẦN THỊ ÁNH NGUYỆT</v>
      </c>
      <c r="C172" s="147" t="s">
        <v>67</v>
      </c>
      <c r="D172" s="147" t="str">
        <f>IFERROR(VLOOKUP(C172, PIC!A:B, 2, 0), "")</f>
        <v>Nhat Bui</v>
      </c>
      <c r="E172" s="148" t="s">
        <v>21</v>
      </c>
      <c r="F172" s="149">
        <v>45639.458333333336</v>
      </c>
      <c r="G172" s="150">
        <v>45643.395833333336</v>
      </c>
      <c r="H172" s="150">
        <v>45653.416666666664</v>
      </c>
      <c r="I172" s="149">
        <v>45667.375</v>
      </c>
      <c r="J172" s="150">
        <v>45674.375</v>
      </c>
      <c r="K172" s="149" t="s">
        <v>815</v>
      </c>
      <c r="L172" s="150">
        <v>45698.541666666664</v>
      </c>
      <c r="M172" s="150" t="s">
        <v>815</v>
      </c>
      <c r="N172" s="149" t="s">
        <v>815</v>
      </c>
      <c r="O172" s="149" t="s">
        <v>815</v>
      </c>
      <c r="P172" s="149"/>
      <c r="Q172" s="149"/>
      <c r="R172" s="149"/>
      <c r="S172" s="149"/>
      <c r="T172" s="149"/>
      <c r="U172" s="150"/>
      <c r="V172" s="151">
        <f t="shared" si="2"/>
        <v>45698.54167</v>
      </c>
      <c r="W172" s="152"/>
      <c r="X172" s="152"/>
      <c r="Y172" s="161"/>
    </row>
    <row r="173" ht="15.75" customHeight="1">
      <c r="A173" s="154" t="s">
        <v>218</v>
      </c>
      <c r="B173" s="154" t="str">
        <f>IFERROR(VLOOKUP(A173&amp;"", STUDENTS!A:B, 2, 0), "")</f>
        <v>HOÀNG NAM VƯƠNG</v>
      </c>
      <c r="C173" s="155" t="s">
        <v>68</v>
      </c>
      <c r="D173" s="155" t="str">
        <f>IFERROR(VLOOKUP(C173, PIC!A:B, 2, 0), "")</f>
        <v>Nhat Phan 1</v>
      </c>
      <c r="E173" s="156" t="s">
        <v>21</v>
      </c>
      <c r="F173" s="157">
        <v>45645.41666666666</v>
      </c>
      <c r="G173" s="158">
        <v>45665.41666666666</v>
      </c>
      <c r="H173" s="158" t="s">
        <v>815</v>
      </c>
      <c r="I173" s="157" t="s">
        <v>815</v>
      </c>
      <c r="J173" s="158">
        <v>45756.41666666666</v>
      </c>
      <c r="K173" s="157">
        <v>45763.41666666666</v>
      </c>
      <c r="L173" s="158">
        <v>45789.41666666666</v>
      </c>
      <c r="M173" s="158">
        <v>45800.41666666666</v>
      </c>
      <c r="N173" s="157">
        <v>45803.375</v>
      </c>
      <c r="O173" s="157">
        <v>45819.41666666666</v>
      </c>
      <c r="P173" s="157">
        <v>45826.41666666666</v>
      </c>
      <c r="Q173" s="157">
        <v>45853.41666666666</v>
      </c>
      <c r="R173" s="157"/>
      <c r="S173" s="157"/>
      <c r="T173" s="157"/>
      <c r="U173" s="158"/>
      <c r="V173" s="159">
        <f t="shared" si="2"/>
        <v>45853.41667</v>
      </c>
      <c r="W173" s="160"/>
      <c r="X173" s="160"/>
      <c r="Y173" s="161"/>
    </row>
    <row r="174" ht="15.75" customHeight="1">
      <c r="A174" s="146" t="s">
        <v>218</v>
      </c>
      <c r="B174" s="146" t="str">
        <f>IFERROR(VLOOKUP(A174&amp;"", STUDENTS!A:B, 2, 0), "")</f>
        <v>HOÀNG NAM VƯƠNG</v>
      </c>
      <c r="C174" s="147" t="s">
        <v>68</v>
      </c>
      <c r="D174" s="147" t="str">
        <f>IFERROR(VLOOKUP(C174, PIC!A:B, 2, 0), "")</f>
        <v>Nhat Phan 1</v>
      </c>
      <c r="E174" s="148" t="s">
        <v>22</v>
      </c>
      <c r="F174" s="149">
        <v>45887.375</v>
      </c>
      <c r="G174" s="150" t="s">
        <v>815</v>
      </c>
      <c r="H174" s="150">
        <v>45912.58333333334</v>
      </c>
      <c r="I174" s="149">
        <v>45915.58333333334</v>
      </c>
      <c r="J174" s="150">
        <v>45922.625</v>
      </c>
      <c r="K174" s="149">
        <v>45926.58333333334</v>
      </c>
      <c r="L174" s="150">
        <v>45940.625</v>
      </c>
      <c r="M174" s="150">
        <v>45943.625</v>
      </c>
      <c r="N174" s="149">
        <v>45950.625</v>
      </c>
      <c r="O174" s="149">
        <v>45957.625</v>
      </c>
      <c r="P174" s="149">
        <v>46007.625</v>
      </c>
      <c r="Q174" s="149">
        <v>46021.58333333334</v>
      </c>
      <c r="R174" s="149"/>
      <c r="S174" s="149"/>
      <c r="T174" s="149"/>
      <c r="U174" s="150"/>
      <c r="V174" s="151">
        <f t="shared" si="2"/>
        <v>46021.58333</v>
      </c>
      <c r="W174" s="152"/>
      <c r="X174" s="152"/>
      <c r="Y174" s="161"/>
    </row>
    <row r="175" ht="15.75" customHeight="1">
      <c r="A175" s="154" t="s">
        <v>323</v>
      </c>
      <c r="B175" s="154" t="str">
        <f>IFERROR(VLOOKUP(A175&amp;"", STUDENTS!A:B, 2, 0), "")</f>
        <v>NGÔ MINH HIẾU</v>
      </c>
      <c r="C175" s="155" t="s">
        <v>68</v>
      </c>
      <c r="D175" s="155" t="str">
        <f>IFERROR(VLOOKUP(C175, PIC!A:B, 2, 0), "")</f>
        <v>Nhat Phan 1</v>
      </c>
      <c r="E175" s="156" t="s">
        <v>22</v>
      </c>
      <c r="F175" s="157">
        <v>45887.375</v>
      </c>
      <c r="G175" s="158">
        <v>45894.45833333334</v>
      </c>
      <c r="H175" s="158">
        <v>45912.58333333334</v>
      </c>
      <c r="I175" s="157">
        <v>45915.58333333334</v>
      </c>
      <c r="J175" s="158">
        <v>45922.625</v>
      </c>
      <c r="K175" s="157">
        <v>45926.58333333334</v>
      </c>
      <c r="L175" s="158" t="s">
        <v>815</v>
      </c>
      <c r="M175" s="158">
        <v>45943.625</v>
      </c>
      <c r="N175" s="157">
        <v>45950.625</v>
      </c>
      <c r="O175" s="157">
        <v>45957.625</v>
      </c>
      <c r="P175" s="157">
        <v>46007.625</v>
      </c>
      <c r="Q175" s="157">
        <v>46021.58333333334</v>
      </c>
      <c r="R175" s="157"/>
      <c r="S175" s="157"/>
      <c r="T175" s="157"/>
      <c r="U175" s="158"/>
      <c r="V175" s="159">
        <f t="shared" si="2"/>
        <v>46021.58333</v>
      </c>
      <c r="W175" s="160"/>
      <c r="X175" s="160"/>
      <c r="Y175" s="161"/>
    </row>
    <row r="176" ht="15.75" customHeight="1">
      <c r="A176" s="146" t="s">
        <v>374</v>
      </c>
      <c r="B176" s="146" t="str">
        <f>IFERROR(VLOOKUP(A176&amp;"", STUDENTS!A:B, 2, 0), "")</f>
        <v>NGUYỄN HOÀNG GIANG</v>
      </c>
      <c r="C176" s="147" t="s">
        <v>68</v>
      </c>
      <c r="D176" s="147" t="str">
        <f>IFERROR(VLOOKUP(C176, PIC!A:B, 2, 0), "")</f>
        <v>Nhat Phan 1</v>
      </c>
      <c r="E176" s="148" t="s">
        <v>21</v>
      </c>
      <c r="F176" s="149">
        <v>45645.41666666666</v>
      </c>
      <c r="G176" s="150">
        <v>45665.41666666666</v>
      </c>
      <c r="H176" s="150">
        <v>45707.375</v>
      </c>
      <c r="I176" s="149">
        <v>45714.375</v>
      </c>
      <c r="J176" s="150">
        <v>45756.41666666666</v>
      </c>
      <c r="K176" s="149">
        <v>45763.41666666666</v>
      </c>
      <c r="L176" s="150">
        <v>45789.41666666666</v>
      </c>
      <c r="M176" s="150">
        <v>45800.41666666666</v>
      </c>
      <c r="N176" s="149">
        <v>45803.375</v>
      </c>
      <c r="O176" s="149">
        <v>45819.41666666666</v>
      </c>
      <c r="P176" s="149" t="s">
        <v>815</v>
      </c>
      <c r="Q176" s="149" t="s">
        <v>815</v>
      </c>
      <c r="R176" s="149"/>
      <c r="S176" s="149"/>
      <c r="T176" s="149"/>
      <c r="U176" s="150"/>
      <c r="V176" s="151">
        <f t="shared" si="2"/>
        <v>45819.41667</v>
      </c>
      <c r="W176" s="152"/>
      <c r="X176" s="152"/>
      <c r="Y176" s="161"/>
    </row>
    <row r="177" ht="15.75" customHeight="1">
      <c r="A177" s="154" t="s">
        <v>556</v>
      </c>
      <c r="B177" s="154" t="str">
        <f>IFERROR(VLOOKUP(A177&amp;"", STUDENTS!A:B, 2, 0), "")</f>
        <v>PHAN ĐÌNH MINH NHẬT</v>
      </c>
      <c r="C177" s="155" t="s">
        <v>68</v>
      </c>
      <c r="D177" s="155" t="str">
        <f>IFERROR(VLOOKUP(C177, PIC!A:B, 2, 0), "")</f>
        <v>Nhat Phan 1</v>
      </c>
      <c r="E177" s="156" t="s">
        <v>21</v>
      </c>
      <c r="F177" s="157"/>
      <c r="G177" s="158">
        <v>45665.41666666666</v>
      </c>
      <c r="H177" s="158">
        <v>45707.375</v>
      </c>
      <c r="I177" s="157">
        <v>45714.375</v>
      </c>
      <c r="J177" s="158" t="s">
        <v>815</v>
      </c>
      <c r="K177" s="157">
        <v>45763.41666666666</v>
      </c>
      <c r="L177" s="158">
        <v>45789.41666666666</v>
      </c>
      <c r="M177" s="158">
        <v>45800.41666666666</v>
      </c>
      <c r="N177" s="157">
        <v>45803.375</v>
      </c>
      <c r="O177" s="157">
        <v>45819.41666666666</v>
      </c>
      <c r="P177" s="157">
        <v>45826.41666666666</v>
      </c>
      <c r="Q177" s="157">
        <v>45853.41666666666</v>
      </c>
      <c r="R177" s="157"/>
      <c r="S177" s="157"/>
      <c r="T177" s="157"/>
      <c r="U177" s="158"/>
      <c r="V177" s="159">
        <f t="shared" si="2"/>
        <v>45853.41667</v>
      </c>
      <c r="W177" s="160"/>
      <c r="X177" s="160"/>
      <c r="Y177" s="161"/>
    </row>
    <row r="178" ht="15.75" customHeight="1">
      <c r="A178" s="146" t="s">
        <v>556</v>
      </c>
      <c r="B178" s="146" t="str">
        <f>IFERROR(VLOOKUP(A178&amp;"", STUDENTS!A:B, 2, 0), "")</f>
        <v>PHAN ĐÌNH MINH NHẬT</v>
      </c>
      <c r="C178" s="147" t="s">
        <v>68</v>
      </c>
      <c r="D178" s="147" t="str">
        <f>IFERROR(VLOOKUP(C178, PIC!A:B, 2, 0), "")</f>
        <v>Nhat Phan 1</v>
      </c>
      <c r="E178" s="148" t="s">
        <v>22</v>
      </c>
      <c r="F178" s="149">
        <v>45887.375</v>
      </c>
      <c r="G178" s="150">
        <v>45894.45833333334</v>
      </c>
      <c r="H178" s="150">
        <v>45912.58333333334</v>
      </c>
      <c r="I178" s="149">
        <v>45915.58333333334</v>
      </c>
      <c r="J178" s="150">
        <v>45922.625</v>
      </c>
      <c r="K178" s="149">
        <v>45926.58333333334</v>
      </c>
      <c r="L178" s="150">
        <v>45940.625</v>
      </c>
      <c r="M178" s="150">
        <v>45943.625</v>
      </c>
      <c r="N178" s="149">
        <v>45950.625</v>
      </c>
      <c r="O178" s="149">
        <v>45957.625</v>
      </c>
      <c r="P178" s="149" t="s">
        <v>815</v>
      </c>
      <c r="Q178" s="149">
        <v>46021.58333333334</v>
      </c>
      <c r="R178" s="149"/>
      <c r="S178" s="149"/>
      <c r="T178" s="149"/>
      <c r="U178" s="150"/>
      <c r="V178" s="151">
        <f t="shared" si="2"/>
        <v>46021.58333</v>
      </c>
      <c r="W178" s="152"/>
      <c r="X178" s="152"/>
      <c r="Y178" s="161"/>
    </row>
    <row r="179" ht="15.75" customHeight="1">
      <c r="A179" s="154" t="s">
        <v>639</v>
      </c>
      <c r="B179" s="154" t="str">
        <f>IFERROR(VLOOKUP(A179&amp;"", STUDENTS!A:B, 2, 0), "")</f>
        <v>TRẦN QUỐC VIỆT</v>
      </c>
      <c r="C179" s="155" t="s">
        <v>68</v>
      </c>
      <c r="D179" s="155" t="str">
        <f>IFERROR(VLOOKUP(C179, PIC!A:B, 2, 0), "")</f>
        <v>Nhat Phan 1</v>
      </c>
      <c r="E179" s="156" t="s">
        <v>22</v>
      </c>
      <c r="F179" s="157">
        <v>45887.375</v>
      </c>
      <c r="G179" s="158">
        <v>45894.45833333334</v>
      </c>
      <c r="H179" s="158">
        <v>45912.58333333334</v>
      </c>
      <c r="I179" s="157">
        <v>45915.58333333334</v>
      </c>
      <c r="J179" s="158">
        <v>45922.625</v>
      </c>
      <c r="K179" s="157">
        <v>45926.58333333334</v>
      </c>
      <c r="L179" s="158">
        <v>45940.625</v>
      </c>
      <c r="M179" s="158">
        <v>45943.625</v>
      </c>
      <c r="N179" s="157">
        <v>45950.625</v>
      </c>
      <c r="O179" s="157">
        <v>45957.625</v>
      </c>
      <c r="P179" s="157">
        <v>46007.625</v>
      </c>
      <c r="Q179" s="157">
        <v>46021.58333333334</v>
      </c>
      <c r="R179" s="157"/>
      <c r="S179" s="157"/>
      <c r="T179" s="157"/>
      <c r="U179" s="158"/>
      <c r="V179" s="159">
        <f t="shared" si="2"/>
        <v>46021.58333</v>
      </c>
      <c r="W179" s="160"/>
      <c r="X179" s="160"/>
      <c r="Y179" s="161"/>
    </row>
    <row r="180" ht="15.75" customHeight="1">
      <c r="A180" s="146" t="s">
        <v>643</v>
      </c>
      <c r="B180" s="146" t="str">
        <f>IFERROR(VLOOKUP(A180&amp;"", STUDENTS!A:B, 2, 0), "")</f>
        <v>TRẦN THANH HIẾU</v>
      </c>
      <c r="C180" s="147" t="s">
        <v>68</v>
      </c>
      <c r="D180" s="147" t="str">
        <f>IFERROR(VLOOKUP(C180, PIC!A:B, 2, 0), "")</f>
        <v>Nhat Phan 1</v>
      </c>
      <c r="E180" s="148" t="s">
        <v>21</v>
      </c>
      <c r="F180" s="149">
        <v>45645.41666666666</v>
      </c>
      <c r="G180" s="150">
        <v>45665.41666666666</v>
      </c>
      <c r="H180" s="150">
        <v>45707.375</v>
      </c>
      <c r="I180" s="149">
        <v>45714.375</v>
      </c>
      <c r="J180" s="150">
        <v>45756.41666666666</v>
      </c>
      <c r="K180" s="149">
        <v>45763.41666666666</v>
      </c>
      <c r="L180" s="150">
        <v>45789.41666666666</v>
      </c>
      <c r="M180" s="150">
        <v>45800.41666666666</v>
      </c>
      <c r="N180" s="149">
        <v>45803.375</v>
      </c>
      <c r="O180" s="149">
        <v>45819.41666666666</v>
      </c>
      <c r="P180" s="149">
        <v>45826.41666666666</v>
      </c>
      <c r="Q180" s="149">
        <v>45853.41666666666</v>
      </c>
      <c r="R180" s="149"/>
      <c r="S180" s="149"/>
      <c r="T180" s="149"/>
      <c r="U180" s="150"/>
      <c r="V180" s="151">
        <f t="shared" si="2"/>
        <v>45853.41667</v>
      </c>
      <c r="W180" s="152"/>
      <c r="X180" s="152"/>
      <c r="Y180" s="161"/>
    </row>
    <row r="181" ht="15.75" customHeight="1">
      <c r="A181" s="154" t="s">
        <v>643</v>
      </c>
      <c r="B181" s="154" t="str">
        <f>IFERROR(VLOOKUP(A181&amp;"", STUDENTS!A:B, 2, 0), "")</f>
        <v>TRẦN THANH HIẾU</v>
      </c>
      <c r="C181" s="155" t="s">
        <v>68</v>
      </c>
      <c r="D181" s="155" t="str">
        <f>IFERROR(VLOOKUP(C181, PIC!A:B, 2, 0), "")</f>
        <v>Nhat Phan 1</v>
      </c>
      <c r="E181" s="156" t="s">
        <v>22</v>
      </c>
      <c r="F181" s="157">
        <v>45887.375</v>
      </c>
      <c r="G181" s="158">
        <v>45894.45833333334</v>
      </c>
      <c r="H181" s="158">
        <v>45912.58333333334</v>
      </c>
      <c r="I181" s="157" t="s">
        <v>815</v>
      </c>
      <c r="J181" s="158">
        <v>45922.625</v>
      </c>
      <c r="K181" s="157">
        <v>45926.58333333334</v>
      </c>
      <c r="L181" s="158">
        <v>45940.625</v>
      </c>
      <c r="M181" s="158">
        <v>45943.625</v>
      </c>
      <c r="N181" s="157">
        <v>45950.625</v>
      </c>
      <c r="O181" s="157">
        <v>45957.625</v>
      </c>
      <c r="P181" s="157">
        <v>46007.625</v>
      </c>
      <c r="Q181" s="157">
        <v>46021.58333333334</v>
      </c>
      <c r="R181" s="157"/>
      <c r="S181" s="157"/>
      <c r="T181" s="157"/>
      <c r="U181" s="158"/>
      <c r="V181" s="159">
        <f t="shared" si="2"/>
        <v>46021.58333</v>
      </c>
      <c r="W181" s="160"/>
      <c r="X181" s="160"/>
      <c r="Y181" s="161"/>
    </row>
    <row r="182" ht="15.75" customHeight="1">
      <c r="A182" s="146" t="s">
        <v>715</v>
      </c>
      <c r="B182" s="146" t="str">
        <f>IFERROR(VLOOKUP(A182&amp;"", STUDENTS!A:B, 2, 0), "")</f>
        <v>VŨ NHẬT MINH TRƯỜNG</v>
      </c>
      <c r="C182" s="147" t="s">
        <v>68</v>
      </c>
      <c r="D182" s="147" t="str">
        <f>IFERROR(VLOOKUP(C182, PIC!A:B, 2, 0), "")</f>
        <v>Nhat Phan 1</v>
      </c>
      <c r="E182" s="148" t="s">
        <v>22</v>
      </c>
      <c r="F182" s="149">
        <v>45887.375</v>
      </c>
      <c r="G182" s="150">
        <v>45894.45833333334</v>
      </c>
      <c r="H182" s="150">
        <v>45912.58333333334</v>
      </c>
      <c r="I182" s="149" t="s">
        <v>815</v>
      </c>
      <c r="J182" s="150">
        <v>45922.625</v>
      </c>
      <c r="K182" s="149">
        <v>45926.58333333334</v>
      </c>
      <c r="L182" s="150">
        <v>45940.625</v>
      </c>
      <c r="M182" s="150">
        <v>45943.625</v>
      </c>
      <c r="N182" s="149">
        <v>45950.625</v>
      </c>
      <c r="O182" s="149">
        <v>45957.625</v>
      </c>
      <c r="P182" s="149">
        <v>46007.625</v>
      </c>
      <c r="Q182" s="149">
        <v>46021.58333333334</v>
      </c>
      <c r="R182" s="149"/>
      <c r="S182" s="149"/>
      <c r="T182" s="149"/>
      <c r="U182" s="150"/>
      <c r="V182" s="151">
        <f t="shared" si="2"/>
        <v>46021.58333</v>
      </c>
      <c r="W182" s="152"/>
      <c r="X182" s="152"/>
      <c r="Y182" s="161"/>
    </row>
    <row r="183" ht="15.75" customHeight="1">
      <c r="A183" s="154" t="s">
        <v>257</v>
      </c>
      <c r="B183" s="154" t="str">
        <f>IFERROR(VLOOKUP(A183&amp;"", STUDENTS!A:B, 2, 0), "")</f>
        <v>LÊ ANH TIẾN</v>
      </c>
      <c r="C183" s="155" t="s">
        <v>69</v>
      </c>
      <c r="D183" s="155" t="str">
        <f>IFERROR(VLOOKUP(C183, PIC!A:B, 2, 0), "")</f>
        <v>Nhat Phan 2</v>
      </c>
      <c r="E183" s="156" t="s">
        <v>21</v>
      </c>
      <c r="F183" s="157">
        <v>45663.41666666666</v>
      </c>
      <c r="G183" s="158">
        <v>45671.41666666666</v>
      </c>
      <c r="H183" s="158">
        <v>45677.41666666666</v>
      </c>
      <c r="I183" s="157">
        <v>45695.45833333334</v>
      </c>
      <c r="J183" s="158">
        <v>45702.54166666666</v>
      </c>
      <c r="K183" s="157">
        <v>45706.45833333334</v>
      </c>
      <c r="L183" s="158">
        <v>45709.41666666666</v>
      </c>
      <c r="M183" s="158">
        <v>45713.45833333334</v>
      </c>
      <c r="N183" s="157">
        <v>45716.41666666666</v>
      </c>
      <c r="O183" s="157">
        <v>45758.41666666666</v>
      </c>
      <c r="P183" s="157">
        <v>45765.41666666666</v>
      </c>
      <c r="Q183" s="157">
        <v>45772.41666666666</v>
      </c>
      <c r="R183" s="157"/>
      <c r="S183" s="157"/>
      <c r="T183" s="157"/>
      <c r="U183" s="158"/>
      <c r="V183" s="159">
        <f t="shared" si="2"/>
        <v>45772.41667</v>
      </c>
      <c r="W183" s="160"/>
      <c r="X183" s="160"/>
      <c r="Y183" s="161"/>
    </row>
    <row r="184" ht="15.75" customHeight="1">
      <c r="A184" s="146" t="s">
        <v>311</v>
      </c>
      <c r="B184" s="146" t="str">
        <f>IFERROR(VLOOKUP(A184&amp;"", STUDENTS!A:B, 2, 0), "")</f>
        <v>LƯƠNG MINH QUÂN</v>
      </c>
      <c r="C184" s="147" t="s">
        <v>69</v>
      </c>
      <c r="D184" s="147" t="str">
        <f>IFERROR(VLOOKUP(C184, PIC!A:B, 2, 0), "")</f>
        <v>Nhat Phan 2</v>
      </c>
      <c r="E184" s="148" t="s">
        <v>21</v>
      </c>
      <c r="F184" s="149">
        <v>45663.41666666666</v>
      </c>
      <c r="G184" s="150">
        <v>45671.41666666666</v>
      </c>
      <c r="H184" s="150">
        <v>45677.41666666666</v>
      </c>
      <c r="I184" s="149">
        <v>45695.45833333334</v>
      </c>
      <c r="J184" s="150">
        <v>45702.54166666666</v>
      </c>
      <c r="K184" s="149">
        <v>45706.45833333334</v>
      </c>
      <c r="L184" s="150" t="s">
        <v>815</v>
      </c>
      <c r="M184" s="150">
        <v>45713.45833333334</v>
      </c>
      <c r="N184" s="149">
        <v>45716.41666666666</v>
      </c>
      <c r="O184" s="149">
        <v>45758.41666666666</v>
      </c>
      <c r="P184" s="149">
        <v>45765.41666666666</v>
      </c>
      <c r="Q184" s="149">
        <v>45772.41666666666</v>
      </c>
      <c r="R184" s="149"/>
      <c r="S184" s="149"/>
      <c r="T184" s="149"/>
      <c r="U184" s="150"/>
      <c r="V184" s="151">
        <f t="shared" si="2"/>
        <v>45772.41667</v>
      </c>
      <c r="W184" s="152"/>
      <c r="X184" s="152"/>
      <c r="Y184" s="161"/>
    </row>
    <row r="185" ht="15.75" customHeight="1">
      <c r="A185" s="154" t="s">
        <v>323</v>
      </c>
      <c r="B185" s="154" t="str">
        <f>IFERROR(VLOOKUP(A185&amp;"", STUDENTS!A:B, 2, 0), "")</f>
        <v>NGÔ MINH HIẾU</v>
      </c>
      <c r="C185" s="155" t="s">
        <v>69</v>
      </c>
      <c r="D185" s="155" t="str">
        <f>IFERROR(VLOOKUP(C185, PIC!A:B, 2, 0), "")</f>
        <v>Nhat Phan 2</v>
      </c>
      <c r="E185" s="156" t="s">
        <v>21</v>
      </c>
      <c r="F185" s="157">
        <v>45663.41666666666</v>
      </c>
      <c r="G185" s="158">
        <v>45671.41666666666</v>
      </c>
      <c r="H185" s="158">
        <v>45677.41666666666</v>
      </c>
      <c r="I185" s="157">
        <v>45695.45833333334</v>
      </c>
      <c r="J185" s="158">
        <v>45702.54166666666</v>
      </c>
      <c r="K185" s="157">
        <v>45706.45833333334</v>
      </c>
      <c r="L185" s="158">
        <v>45709.41666666666</v>
      </c>
      <c r="M185" s="158">
        <v>45713.45833333334</v>
      </c>
      <c r="N185" s="157">
        <v>45716.41666666666</v>
      </c>
      <c r="O185" s="157" t="s">
        <v>815</v>
      </c>
      <c r="P185" s="157">
        <v>45765.41666666666</v>
      </c>
      <c r="Q185" s="157">
        <v>45772.41666666666</v>
      </c>
      <c r="R185" s="157"/>
      <c r="S185" s="157"/>
      <c r="T185" s="157"/>
      <c r="U185" s="158"/>
      <c r="V185" s="159">
        <f t="shared" si="2"/>
        <v>45772.41667</v>
      </c>
      <c r="W185" s="160"/>
      <c r="X185" s="160"/>
      <c r="Y185" s="161"/>
    </row>
    <row r="186" ht="15.75" customHeight="1">
      <c r="A186" s="146" t="s">
        <v>403</v>
      </c>
      <c r="B186" s="146" t="str">
        <f>IFERROR(VLOOKUP(A186&amp;"", STUDENTS!A:B, 2, 0), "")</f>
        <v>NGUYỄN MINH DUY</v>
      </c>
      <c r="C186" s="147" t="s">
        <v>69</v>
      </c>
      <c r="D186" s="147" t="str">
        <f>IFERROR(VLOOKUP(C186, PIC!A:B, 2, 0), "")</f>
        <v>Nhat Phan 2</v>
      </c>
      <c r="E186" s="148" t="s">
        <v>21</v>
      </c>
      <c r="F186" s="149">
        <v>45663.41666666666</v>
      </c>
      <c r="G186" s="150">
        <v>45671.41666666666</v>
      </c>
      <c r="H186" s="150">
        <v>45677.41666666666</v>
      </c>
      <c r="I186" s="149">
        <v>45695.45833333334</v>
      </c>
      <c r="J186" s="150" t="s">
        <v>815</v>
      </c>
      <c r="K186" s="149">
        <v>45706.45833333334</v>
      </c>
      <c r="L186" s="150">
        <v>45709.41666666666</v>
      </c>
      <c r="M186" s="150">
        <v>45713.45833333334</v>
      </c>
      <c r="N186" s="149">
        <v>45716.41666666666</v>
      </c>
      <c r="O186" s="149">
        <v>45758.41666666666</v>
      </c>
      <c r="P186" s="149" t="s">
        <v>815</v>
      </c>
      <c r="Q186" s="149">
        <v>45772.41666666666</v>
      </c>
      <c r="R186" s="149"/>
      <c r="S186" s="149"/>
      <c r="T186" s="149"/>
      <c r="U186" s="150"/>
      <c r="V186" s="151">
        <f t="shared" si="2"/>
        <v>45772.41667</v>
      </c>
      <c r="W186" s="152"/>
      <c r="X186" s="152"/>
      <c r="Y186" s="161"/>
    </row>
    <row r="187" ht="15.75" customHeight="1">
      <c r="A187" s="154" t="s">
        <v>639</v>
      </c>
      <c r="B187" s="154" t="str">
        <f>IFERROR(VLOOKUP(A187&amp;"", STUDENTS!A:B, 2, 0), "")</f>
        <v>TRẦN QUỐC VIỆT</v>
      </c>
      <c r="C187" s="155" t="s">
        <v>69</v>
      </c>
      <c r="D187" s="155" t="str">
        <f>IFERROR(VLOOKUP(C187, PIC!A:B, 2, 0), "")</f>
        <v>Nhat Phan 2</v>
      </c>
      <c r="E187" s="156" t="s">
        <v>21</v>
      </c>
      <c r="F187" s="157">
        <v>45663.41666666666</v>
      </c>
      <c r="G187" s="158">
        <v>45671.41666666666</v>
      </c>
      <c r="H187" s="158">
        <v>45677.41666666666</v>
      </c>
      <c r="I187" s="157">
        <v>45695.45833333334</v>
      </c>
      <c r="J187" s="158">
        <v>45702.54166666666</v>
      </c>
      <c r="K187" s="157">
        <v>45706.45833333334</v>
      </c>
      <c r="L187" s="158">
        <v>45709.41666666666</v>
      </c>
      <c r="M187" s="158">
        <v>45713.45833333334</v>
      </c>
      <c r="N187" s="157">
        <v>45716.41666666666</v>
      </c>
      <c r="O187" s="157">
        <v>45758.41666666666</v>
      </c>
      <c r="P187" s="157">
        <v>45765.41666666666</v>
      </c>
      <c r="Q187" s="157">
        <v>45772.41666666666</v>
      </c>
      <c r="R187" s="157"/>
      <c r="S187" s="157"/>
      <c r="T187" s="157"/>
      <c r="U187" s="158"/>
      <c r="V187" s="159">
        <f t="shared" si="2"/>
        <v>45772.41667</v>
      </c>
      <c r="W187" s="160"/>
      <c r="X187" s="160"/>
      <c r="Y187" s="161"/>
    </row>
    <row r="188" ht="15.75" customHeight="1">
      <c r="A188" s="146" t="s">
        <v>715</v>
      </c>
      <c r="B188" s="146" t="str">
        <f>IFERROR(VLOOKUP(A188&amp;"", STUDENTS!A:B, 2, 0), "")</f>
        <v>VŨ NHẬT MINH TRƯỜNG</v>
      </c>
      <c r="C188" s="147" t="s">
        <v>69</v>
      </c>
      <c r="D188" s="147" t="str">
        <f>IFERROR(VLOOKUP(C188, PIC!A:B, 2, 0), "")</f>
        <v>Nhat Phan 2</v>
      </c>
      <c r="E188" s="148" t="s">
        <v>21</v>
      </c>
      <c r="F188" s="149">
        <v>45663.41666666666</v>
      </c>
      <c r="G188" s="150">
        <v>45671.41666666666</v>
      </c>
      <c r="H188" s="150">
        <v>45677.41666666666</v>
      </c>
      <c r="I188" s="149">
        <v>45695.45833333334</v>
      </c>
      <c r="J188" s="150">
        <v>45702.54166666666</v>
      </c>
      <c r="K188" s="149">
        <v>45706.45833333334</v>
      </c>
      <c r="L188" s="150">
        <v>45709.41666666666</v>
      </c>
      <c r="M188" s="150">
        <v>45713.45833333334</v>
      </c>
      <c r="N188" s="149">
        <v>45716.41666666666</v>
      </c>
      <c r="O188" s="149" t="s">
        <v>815</v>
      </c>
      <c r="P188" s="149">
        <v>45765.41666666666</v>
      </c>
      <c r="Q188" s="149">
        <v>45772.41666666666</v>
      </c>
      <c r="R188" s="149"/>
      <c r="S188" s="149"/>
      <c r="T188" s="149"/>
      <c r="U188" s="150"/>
      <c r="V188" s="151">
        <f t="shared" si="2"/>
        <v>45772.41667</v>
      </c>
      <c r="W188" s="152"/>
      <c r="X188" s="152"/>
      <c r="Y188" s="161"/>
    </row>
    <row r="189" ht="15.75" customHeight="1">
      <c r="A189" s="154" t="s">
        <v>167</v>
      </c>
      <c r="B189" s="154" t="str">
        <f>IFERROR(VLOOKUP(A189&amp;"", STUDENTS!A:B, 2, 0), "")</f>
        <v>ĐINH TRƯƠNG THANH TUYỀN</v>
      </c>
      <c r="C189" s="155" t="s">
        <v>70</v>
      </c>
      <c r="D189" s="155" t="str">
        <f>IFERROR(VLOOKUP(C189, PIC!A:B, 2, 0), "")</f>
        <v>Qui Em</v>
      </c>
      <c r="E189" s="156" t="s">
        <v>21</v>
      </c>
      <c r="F189" s="157">
        <v>45638.41666666666</v>
      </c>
      <c r="G189" s="158">
        <v>45649.41666666666</v>
      </c>
      <c r="H189" s="165">
        <v>45666.416666666664</v>
      </c>
      <c r="I189" s="157">
        <v>45678.41666666666</v>
      </c>
      <c r="J189" s="158">
        <v>45694.41666666666</v>
      </c>
      <c r="K189" s="157" t="s">
        <v>815</v>
      </c>
      <c r="L189" s="158" t="s">
        <v>815</v>
      </c>
      <c r="M189" s="158" t="s">
        <v>815</v>
      </c>
      <c r="N189" s="157">
        <v>45772.45833333334</v>
      </c>
      <c r="O189" s="157">
        <v>45807.41666666666</v>
      </c>
      <c r="P189" s="157"/>
      <c r="Q189" s="157"/>
      <c r="R189" s="157"/>
      <c r="S189" s="157"/>
      <c r="T189" s="157"/>
      <c r="U189" s="158"/>
      <c r="V189" s="159">
        <f t="shared" si="2"/>
        <v>45807.41667</v>
      </c>
      <c r="W189" s="160"/>
      <c r="X189" s="160"/>
      <c r="Y189" s="161"/>
    </row>
    <row r="190" ht="15.75" customHeight="1">
      <c r="A190" s="146" t="s">
        <v>167</v>
      </c>
      <c r="B190" s="146" t="str">
        <f>IFERROR(VLOOKUP(A190&amp;"", STUDENTS!A:B, 2, 0), "")</f>
        <v>ĐINH TRƯƠNG THANH TUYỀN</v>
      </c>
      <c r="C190" s="147" t="s">
        <v>70</v>
      </c>
      <c r="D190" s="147" t="str">
        <f>IFERROR(VLOOKUP(C190, PIC!A:B, 2, 0), "")</f>
        <v>Qui Em</v>
      </c>
      <c r="E190" s="148" t="s">
        <v>22</v>
      </c>
      <c r="F190" s="149">
        <v>45841.58333333334</v>
      </c>
      <c r="G190" s="150">
        <v>45853.41666666666</v>
      </c>
      <c r="H190" s="150" t="s">
        <v>815</v>
      </c>
      <c r="I190" s="149">
        <v>45889.625</v>
      </c>
      <c r="J190" s="150" t="s">
        <v>815</v>
      </c>
      <c r="K190" s="149">
        <v>45924.625</v>
      </c>
      <c r="L190" s="150">
        <v>45931.625</v>
      </c>
      <c r="M190" s="150"/>
      <c r="N190" s="149"/>
      <c r="O190" s="149"/>
      <c r="P190" s="149"/>
      <c r="Q190" s="149"/>
      <c r="R190" s="149"/>
      <c r="S190" s="149"/>
      <c r="T190" s="149"/>
      <c r="U190" s="150"/>
      <c r="V190" s="151">
        <f t="shared" si="2"/>
        <v>45931.625</v>
      </c>
      <c r="W190" s="152"/>
      <c r="X190" s="152"/>
      <c r="Y190" s="161"/>
    </row>
    <row r="191" ht="15.75" customHeight="1">
      <c r="A191" s="154" t="s">
        <v>184</v>
      </c>
      <c r="B191" s="154" t="str">
        <f>IFERROR(VLOOKUP(A191&amp;"", STUDENTS!A:B, 2, 0), "")</f>
        <v>ĐỖ VŨ GIA LONG</v>
      </c>
      <c r="C191" s="155" t="s">
        <v>70</v>
      </c>
      <c r="D191" s="155" t="str">
        <f>IFERROR(VLOOKUP(C191, PIC!A:B, 2, 0), "")</f>
        <v>Qui Em</v>
      </c>
      <c r="E191" s="156" t="s">
        <v>21</v>
      </c>
      <c r="F191" s="154"/>
      <c r="G191" s="158">
        <v>45649.41666666666</v>
      </c>
      <c r="H191" s="158">
        <v>45656.41666666666</v>
      </c>
      <c r="I191" s="157" t="s">
        <v>815</v>
      </c>
      <c r="J191" s="158">
        <v>45701.41666666666</v>
      </c>
      <c r="K191" s="157">
        <v>45705.41666666666</v>
      </c>
      <c r="L191" s="158">
        <v>45712.41666666666</v>
      </c>
      <c r="M191" s="158">
        <v>45756.54166666666</v>
      </c>
      <c r="N191" s="157">
        <v>45772.45833333334</v>
      </c>
      <c r="O191" s="157">
        <v>45807.41666666666</v>
      </c>
      <c r="P191" s="157"/>
      <c r="Q191" s="157"/>
      <c r="R191" s="157"/>
      <c r="S191" s="157"/>
      <c r="T191" s="157"/>
      <c r="U191" s="158"/>
      <c r="V191" s="160">
        <f t="shared" si="2"/>
        <v>45807.41667</v>
      </c>
      <c r="W191" s="160"/>
      <c r="X191" s="160"/>
      <c r="Y191" s="161"/>
    </row>
    <row r="192" ht="15.75" customHeight="1">
      <c r="A192" s="146" t="s">
        <v>184</v>
      </c>
      <c r="B192" s="146" t="str">
        <f>IFERROR(VLOOKUP(A192&amp;"", STUDENTS!A:B, 2, 0), "")</f>
        <v>ĐỖ VŨ GIA LONG</v>
      </c>
      <c r="C192" s="147" t="s">
        <v>70</v>
      </c>
      <c r="D192" s="147" t="str">
        <f>IFERROR(VLOOKUP(C192, PIC!A:B, 2, 0), "")</f>
        <v>Qui Em</v>
      </c>
      <c r="E192" s="148" t="s">
        <v>22</v>
      </c>
      <c r="F192" s="149">
        <v>45841.58333333334</v>
      </c>
      <c r="G192" s="150">
        <v>45853.41666666666</v>
      </c>
      <c r="H192" s="150">
        <v>45882.625</v>
      </c>
      <c r="I192" s="149">
        <v>45889.625</v>
      </c>
      <c r="J192" s="150">
        <v>45917.625</v>
      </c>
      <c r="K192" s="149">
        <v>45924.625</v>
      </c>
      <c r="L192" s="150">
        <v>45931.625</v>
      </c>
      <c r="M192" s="150"/>
      <c r="N192" s="149"/>
      <c r="O192" s="149"/>
      <c r="P192" s="149"/>
      <c r="Q192" s="149"/>
      <c r="R192" s="149"/>
      <c r="S192" s="149"/>
      <c r="T192" s="149"/>
      <c r="U192" s="150"/>
      <c r="V192" s="151">
        <f t="shared" si="2"/>
        <v>45931.625</v>
      </c>
      <c r="W192" s="152"/>
      <c r="X192" s="152"/>
      <c r="Y192" s="161"/>
    </row>
    <row r="193" ht="15.75" customHeight="1">
      <c r="A193" s="154" t="s">
        <v>188</v>
      </c>
      <c r="B193" s="154" t="str">
        <f>IFERROR(VLOOKUP(A193&amp;"", STUDENTS!A:B, 2, 0), "")</f>
        <v>ĐOÀN KHÁNH NGUYÊN</v>
      </c>
      <c r="C193" s="155" t="s">
        <v>70</v>
      </c>
      <c r="D193" s="155" t="str">
        <f>IFERROR(VLOOKUP(C193, PIC!A:B, 2, 0), "")</f>
        <v>Qui Em</v>
      </c>
      <c r="E193" s="156" t="s">
        <v>21</v>
      </c>
      <c r="F193" s="157">
        <v>45638.41666666666</v>
      </c>
      <c r="G193" s="158">
        <v>45649.41666666666</v>
      </c>
      <c r="H193" s="165">
        <v>45666.416666666664</v>
      </c>
      <c r="I193" s="157">
        <v>45678.41666666666</v>
      </c>
      <c r="J193" s="158">
        <v>45701.41666666666</v>
      </c>
      <c r="K193" s="157" t="s">
        <v>815</v>
      </c>
      <c r="L193" s="158">
        <v>45712.41666666666</v>
      </c>
      <c r="M193" s="158">
        <v>45756.54166666666</v>
      </c>
      <c r="N193" s="157">
        <v>45772.45833333334</v>
      </c>
      <c r="O193" s="157">
        <v>45807.41666666666</v>
      </c>
      <c r="P193" s="157"/>
      <c r="Q193" s="157"/>
      <c r="R193" s="157"/>
      <c r="S193" s="157"/>
      <c r="T193" s="157"/>
      <c r="U193" s="158"/>
      <c r="V193" s="159">
        <f t="shared" si="2"/>
        <v>45807.41667</v>
      </c>
      <c r="W193" s="160"/>
      <c r="X193" s="160"/>
      <c r="Y193" s="161"/>
    </row>
    <row r="194" ht="15.75" customHeight="1">
      <c r="A194" s="146" t="s">
        <v>188</v>
      </c>
      <c r="B194" s="146" t="str">
        <f>IFERROR(VLOOKUP(A194&amp;"", STUDENTS!A:B, 2, 0), "")</f>
        <v>ĐOÀN KHÁNH NGUYÊN</v>
      </c>
      <c r="C194" s="147" t="s">
        <v>70</v>
      </c>
      <c r="D194" s="147" t="str">
        <f>IFERROR(VLOOKUP(C194, PIC!A:B, 2, 0), "")</f>
        <v>Qui Em</v>
      </c>
      <c r="E194" s="148" t="s">
        <v>22</v>
      </c>
      <c r="F194" s="149">
        <v>45841.58333333334</v>
      </c>
      <c r="G194" s="150">
        <v>45853.41666666666</v>
      </c>
      <c r="H194" s="150">
        <v>45882.625</v>
      </c>
      <c r="I194" s="149">
        <v>45889.625</v>
      </c>
      <c r="J194" s="150">
        <v>45917.625</v>
      </c>
      <c r="K194" s="149">
        <v>45924.625</v>
      </c>
      <c r="L194" s="150">
        <v>45931.625</v>
      </c>
      <c r="M194" s="150"/>
      <c r="N194" s="149"/>
      <c r="O194" s="149"/>
      <c r="P194" s="149"/>
      <c r="Q194" s="149"/>
      <c r="R194" s="149"/>
      <c r="S194" s="149"/>
      <c r="T194" s="149"/>
      <c r="U194" s="150"/>
      <c r="V194" s="151">
        <f t="shared" si="2"/>
        <v>45931.625</v>
      </c>
      <c r="W194" s="152"/>
      <c r="X194" s="152"/>
      <c r="Y194" s="161"/>
    </row>
    <row r="195" ht="15.75" customHeight="1">
      <c r="A195" s="154" t="s">
        <v>192</v>
      </c>
      <c r="B195" s="154" t="str">
        <f>IFERROR(VLOOKUP(A195&amp;"", STUDENTS!A:B, 2, 0), "")</f>
        <v>ĐOÀN QUANG TUẤN</v>
      </c>
      <c r="C195" s="155" t="s">
        <v>70</v>
      </c>
      <c r="D195" s="155" t="str">
        <f>IFERROR(VLOOKUP(C195, PIC!A:B, 2, 0), "")</f>
        <v>Qui Em</v>
      </c>
      <c r="E195" s="156" t="s">
        <v>21</v>
      </c>
      <c r="F195" s="157">
        <v>45638.41666666666</v>
      </c>
      <c r="G195" s="158" t="s">
        <v>815</v>
      </c>
      <c r="H195" s="158">
        <v>45656.41666666666</v>
      </c>
      <c r="I195" s="157">
        <v>45670.41666666666</v>
      </c>
      <c r="J195" s="158">
        <v>45701.41666666666</v>
      </c>
      <c r="K195" s="157">
        <v>45705.41666666666</v>
      </c>
      <c r="L195" s="158">
        <v>45712.41666666666</v>
      </c>
      <c r="M195" s="158">
        <v>45756.54166666666</v>
      </c>
      <c r="N195" s="157">
        <v>45772.45833333334</v>
      </c>
      <c r="O195" s="157">
        <v>45807.41666666666</v>
      </c>
      <c r="P195" s="157"/>
      <c r="Q195" s="157"/>
      <c r="R195" s="157"/>
      <c r="S195" s="157"/>
      <c r="T195" s="157"/>
      <c r="U195" s="158"/>
      <c r="V195" s="159">
        <f t="shared" si="2"/>
        <v>45807.41667</v>
      </c>
      <c r="W195" s="160"/>
      <c r="X195" s="160"/>
      <c r="Y195" s="161"/>
    </row>
    <row r="196" ht="15.75" customHeight="1">
      <c r="A196" s="146" t="s">
        <v>202</v>
      </c>
      <c r="B196" s="146" t="str">
        <f>IFERROR(VLOOKUP(A196&amp;"", STUDENTS!A:B, 2, 0), "")</f>
        <v>ĐƯỜNG QUANG HUY</v>
      </c>
      <c r="C196" s="147" t="s">
        <v>70</v>
      </c>
      <c r="D196" s="147" t="str">
        <f>IFERROR(VLOOKUP(C196, PIC!A:B, 2, 0), "")</f>
        <v>Qui Em</v>
      </c>
      <c r="E196" s="148" t="s">
        <v>21</v>
      </c>
      <c r="F196" s="149">
        <v>45638.41666666666</v>
      </c>
      <c r="G196" s="150">
        <v>45649.41666666666</v>
      </c>
      <c r="H196" s="150">
        <v>45656.41666666666</v>
      </c>
      <c r="I196" s="149">
        <v>45670.41666666666</v>
      </c>
      <c r="J196" s="150">
        <v>45694.41666666666</v>
      </c>
      <c r="K196" s="149">
        <v>45705.41666666666</v>
      </c>
      <c r="L196" s="150">
        <v>45712.41666666666</v>
      </c>
      <c r="M196" s="150">
        <v>45756.54166666666</v>
      </c>
      <c r="N196" s="149">
        <v>45772.45833333334</v>
      </c>
      <c r="O196" s="149">
        <v>45807.41666666666</v>
      </c>
      <c r="P196" s="149"/>
      <c r="Q196" s="149"/>
      <c r="R196" s="149"/>
      <c r="S196" s="149"/>
      <c r="T196" s="149"/>
      <c r="U196" s="150"/>
      <c r="V196" s="151">
        <f t="shared" si="2"/>
        <v>45807.41667</v>
      </c>
      <c r="W196" s="152"/>
      <c r="X196" s="152"/>
      <c r="Y196" s="161"/>
    </row>
    <row r="197" ht="15.75" customHeight="1">
      <c r="A197" s="154" t="s">
        <v>434</v>
      </c>
      <c r="B197" s="154" t="str">
        <f>IFERROR(VLOOKUP(A197&amp;"", STUDENTS!A:B, 2, 0), "")</f>
        <v>NGUYỄN QUÍ EM</v>
      </c>
      <c r="C197" s="155" t="s">
        <v>70</v>
      </c>
      <c r="D197" s="155" t="str">
        <f>IFERROR(VLOOKUP(C197, PIC!A:B, 2, 0), "")</f>
        <v>Qui Em</v>
      </c>
      <c r="E197" s="156" t="s">
        <v>21</v>
      </c>
      <c r="F197" s="157" t="s">
        <v>815</v>
      </c>
      <c r="G197" s="158">
        <v>45649.41666666666</v>
      </c>
      <c r="H197" s="165">
        <v>45666.416666666664</v>
      </c>
      <c r="I197" s="157">
        <v>45678.41666666666</v>
      </c>
      <c r="J197" s="158">
        <v>45701.41666666666</v>
      </c>
      <c r="K197" s="157">
        <v>45705.41666666666</v>
      </c>
      <c r="L197" s="158" t="s">
        <v>815</v>
      </c>
      <c r="M197" s="158">
        <v>45756.54166666666</v>
      </c>
      <c r="N197" s="157">
        <v>45772.45833333334</v>
      </c>
      <c r="O197" s="157">
        <v>45807.41666666666</v>
      </c>
      <c r="P197" s="157"/>
      <c r="Q197" s="157"/>
      <c r="R197" s="157"/>
      <c r="S197" s="157"/>
      <c r="T197" s="157"/>
      <c r="U197" s="158"/>
      <c r="V197" s="159">
        <f t="shared" si="2"/>
        <v>45807.41667</v>
      </c>
      <c r="W197" s="160"/>
      <c r="X197" s="160"/>
      <c r="Y197" s="161"/>
    </row>
    <row r="198" ht="15.75" customHeight="1">
      <c r="A198" s="146" t="s">
        <v>434</v>
      </c>
      <c r="B198" s="146" t="str">
        <f>IFERROR(VLOOKUP(A198&amp;"", STUDENTS!A:B, 2, 0), "")</f>
        <v>NGUYỄN QUÍ EM</v>
      </c>
      <c r="C198" s="147" t="s">
        <v>70</v>
      </c>
      <c r="D198" s="147" t="str">
        <f>IFERROR(VLOOKUP(C198, PIC!A:B, 2, 0), "")</f>
        <v>Qui Em</v>
      </c>
      <c r="E198" s="148" t="s">
        <v>22</v>
      </c>
      <c r="F198" s="149">
        <v>45841.58333333334</v>
      </c>
      <c r="G198" s="150">
        <v>45853.41666666666</v>
      </c>
      <c r="H198" s="150" t="s">
        <v>815</v>
      </c>
      <c r="I198" s="149">
        <v>45889.625</v>
      </c>
      <c r="J198" s="150">
        <v>45917.625</v>
      </c>
      <c r="K198" s="149">
        <v>45924.625</v>
      </c>
      <c r="L198" s="150" t="s">
        <v>815</v>
      </c>
      <c r="M198" s="150"/>
      <c r="N198" s="149"/>
      <c r="O198" s="149"/>
      <c r="P198" s="149"/>
      <c r="Q198" s="149"/>
      <c r="R198" s="149"/>
      <c r="S198" s="149"/>
      <c r="T198" s="149"/>
      <c r="U198" s="150"/>
      <c r="V198" s="151">
        <f t="shared" si="2"/>
        <v>45924.625</v>
      </c>
      <c r="W198" s="152"/>
      <c r="X198" s="152"/>
      <c r="Y198" s="161"/>
    </row>
    <row r="199" ht="15.75" customHeight="1">
      <c r="A199" s="154" t="s">
        <v>607</v>
      </c>
      <c r="B199" s="154" t="str">
        <f>IFERROR(VLOOKUP(A199&amp;"", STUDENTS!A:B, 2, 0), "")</f>
        <v>TRẦN ĐỨC NAM</v>
      </c>
      <c r="C199" s="155" t="s">
        <v>70</v>
      </c>
      <c r="D199" s="155" t="str">
        <f>IFERROR(VLOOKUP(C199, PIC!A:B, 2, 0), "")</f>
        <v>Qui Em</v>
      </c>
      <c r="E199" s="156" t="s">
        <v>21</v>
      </c>
      <c r="F199" s="157" t="s">
        <v>815</v>
      </c>
      <c r="G199" s="158">
        <v>45649.41666666666</v>
      </c>
      <c r="H199" s="165">
        <v>45666.416666666664</v>
      </c>
      <c r="I199" s="157" t="s">
        <v>815</v>
      </c>
      <c r="J199" s="158">
        <v>45694.41666666666</v>
      </c>
      <c r="K199" s="157" t="s">
        <v>815</v>
      </c>
      <c r="L199" s="158">
        <v>45712.41666666666</v>
      </c>
      <c r="M199" s="158" t="s">
        <v>815</v>
      </c>
      <c r="N199" s="157">
        <v>45772.45833333334</v>
      </c>
      <c r="O199" s="157">
        <v>45807.41666666666</v>
      </c>
      <c r="P199" s="157"/>
      <c r="Q199" s="157"/>
      <c r="R199" s="157"/>
      <c r="S199" s="157"/>
      <c r="T199" s="157"/>
      <c r="U199" s="158"/>
      <c r="V199" s="159">
        <f t="shared" si="2"/>
        <v>45807.41667</v>
      </c>
      <c r="W199" s="160"/>
      <c r="X199" s="160"/>
      <c r="Y199" s="161"/>
    </row>
    <row r="200" ht="15.75" customHeight="1">
      <c r="A200" s="146" t="s">
        <v>697</v>
      </c>
      <c r="B200" s="146" t="str">
        <f>IFERROR(VLOOKUP(A200&amp;"", STUDENTS!A:B, 2, 0), "")</f>
        <v>VÕ DUY KIỆT</v>
      </c>
      <c r="C200" s="147" t="s">
        <v>70</v>
      </c>
      <c r="D200" s="147" t="str">
        <f>IFERROR(VLOOKUP(C200, PIC!A:B, 2, 0), "")</f>
        <v>Qui Em</v>
      </c>
      <c r="E200" s="148" t="s">
        <v>21</v>
      </c>
      <c r="F200" s="149">
        <v>45638.41666666666</v>
      </c>
      <c r="G200" s="150">
        <v>45649.41666666666</v>
      </c>
      <c r="H200" s="150">
        <v>45656.41666666666</v>
      </c>
      <c r="I200" s="149">
        <v>45670.41666666666</v>
      </c>
      <c r="J200" s="150">
        <v>45694.41666666666</v>
      </c>
      <c r="K200" s="149">
        <v>45705.41666666666</v>
      </c>
      <c r="L200" s="150">
        <v>45712.41666666666</v>
      </c>
      <c r="M200" s="150">
        <v>45756.54166666666</v>
      </c>
      <c r="N200" s="149">
        <v>45772.45833333334</v>
      </c>
      <c r="O200" s="149">
        <v>45807.41666666666</v>
      </c>
      <c r="P200" s="149"/>
      <c r="Q200" s="149"/>
      <c r="R200" s="149"/>
      <c r="S200" s="149"/>
      <c r="T200" s="149"/>
      <c r="U200" s="150"/>
      <c r="V200" s="151">
        <f t="shared" si="2"/>
        <v>45807.41667</v>
      </c>
      <c r="W200" s="152"/>
      <c r="X200" s="152"/>
      <c r="Y200" s="161"/>
    </row>
    <row r="201" ht="15.75" customHeight="1">
      <c r="A201" s="154" t="s">
        <v>697</v>
      </c>
      <c r="B201" s="154" t="str">
        <f>IFERROR(VLOOKUP(A201&amp;"", STUDENTS!A:B, 2, 0), "")</f>
        <v>VÕ DUY KIỆT</v>
      </c>
      <c r="C201" s="155" t="s">
        <v>70</v>
      </c>
      <c r="D201" s="155" t="str">
        <f>IFERROR(VLOOKUP(C201, PIC!A:B, 2, 0), "")</f>
        <v>Qui Em</v>
      </c>
      <c r="E201" s="156" t="s">
        <v>22</v>
      </c>
      <c r="F201" s="157">
        <v>45841.58333333334</v>
      </c>
      <c r="G201" s="158">
        <v>45853.41666666666</v>
      </c>
      <c r="H201" s="158">
        <v>45882.625</v>
      </c>
      <c r="I201" s="157">
        <v>45889.625</v>
      </c>
      <c r="J201" s="158">
        <v>45917.625</v>
      </c>
      <c r="K201" s="157">
        <v>45924.625</v>
      </c>
      <c r="L201" s="158">
        <v>45931.625</v>
      </c>
      <c r="M201" s="158"/>
      <c r="N201" s="157"/>
      <c r="O201" s="157"/>
      <c r="P201" s="157"/>
      <c r="Q201" s="157"/>
      <c r="R201" s="157"/>
      <c r="S201" s="157"/>
      <c r="T201" s="157"/>
      <c r="U201" s="158"/>
      <c r="V201" s="159">
        <f t="shared" si="2"/>
        <v>45931.625</v>
      </c>
      <c r="W201" s="160"/>
      <c r="X201" s="160"/>
      <c r="Y201" s="161"/>
    </row>
    <row r="202" ht="15.75" customHeight="1">
      <c r="A202" s="146" t="s">
        <v>288</v>
      </c>
      <c r="B202" s="146" t="str">
        <f>IFERROR(VLOOKUP(A202&amp;"", STUDENTS!A:B, 2, 0), "")</f>
        <v>LÊ THỊ DIỄM QUYÊN</v>
      </c>
      <c r="C202" s="147" t="s">
        <v>71</v>
      </c>
      <c r="D202" s="147" t="str">
        <f>IFERROR(VLOOKUP(C202, PIC!A:B, 2, 0), "")</f>
        <v>Tan Tran</v>
      </c>
      <c r="E202" s="148" t="s">
        <v>24</v>
      </c>
      <c r="F202" s="149">
        <v>45713.58333333334</v>
      </c>
      <c r="G202" s="150">
        <v>45827.45833333334</v>
      </c>
      <c r="H202" s="150">
        <v>45833.625</v>
      </c>
      <c r="I202" s="149">
        <v>45853.625</v>
      </c>
      <c r="J202" s="150">
        <v>45869.375</v>
      </c>
      <c r="K202" s="149">
        <v>45882.45833333334</v>
      </c>
      <c r="L202" s="150" t="s">
        <v>815</v>
      </c>
      <c r="M202" s="150">
        <v>45917.375</v>
      </c>
      <c r="N202" s="149">
        <v>45924.41666666666</v>
      </c>
      <c r="O202" s="149">
        <v>45952.45833333334</v>
      </c>
      <c r="P202" s="149">
        <v>45981.625</v>
      </c>
      <c r="Q202" s="149" t="s">
        <v>815</v>
      </c>
      <c r="R202" s="149">
        <v>45994.45833333334</v>
      </c>
      <c r="S202" s="149">
        <v>46008.45833333334</v>
      </c>
      <c r="T202" s="149">
        <v>46050.54166666666</v>
      </c>
      <c r="U202" s="150"/>
      <c r="V202" s="151">
        <f t="shared" si="2"/>
        <v>46050.54167</v>
      </c>
      <c r="W202" s="152"/>
      <c r="X202" s="152"/>
      <c r="Y202" s="161"/>
    </row>
    <row r="203" ht="15.75" customHeight="1">
      <c r="A203" s="154" t="s">
        <v>348</v>
      </c>
      <c r="B203" s="154" t="str">
        <f>IFERROR(VLOOKUP(A203&amp;"", STUDENTS!A:B, 2, 0), "")</f>
        <v>NGUYỄN ĐẠT THỊNH</v>
      </c>
      <c r="C203" s="155" t="s">
        <v>71</v>
      </c>
      <c r="D203" s="155" t="str">
        <f>IFERROR(VLOOKUP(C203, PIC!A:B, 2, 0), "")</f>
        <v>Tan Tran</v>
      </c>
      <c r="E203" s="156" t="s">
        <v>24</v>
      </c>
      <c r="F203" s="157" t="s">
        <v>815</v>
      </c>
      <c r="G203" s="158" t="s">
        <v>815</v>
      </c>
      <c r="H203" s="158">
        <v>45833.625</v>
      </c>
      <c r="I203" s="157">
        <v>45853.625</v>
      </c>
      <c r="J203" s="158">
        <v>45869.375</v>
      </c>
      <c r="K203" s="157">
        <v>45882.45833333334</v>
      </c>
      <c r="L203" s="158">
        <v>45896.625</v>
      </c>
      <c r="M203" s="158">
        <v>45917.375</v>
      </c>
      <c r="N203" s="157">
        <v>45924.41666666666</v>
      </c>
      <c r="O203" s="157">
        <v>45952.45833333334</v>
      </c>
      <c r="P203" s="157">
        <v>45981.625</v>
      </c>
      <c r="Q203" s="157" t="s">
        <v>815</v>
      </c>
      <c r="R203" s="157">
        <v>45994.45833333334</v>
      </c>
      <c r="S203" s="157">
        <v>46008.45833333334</v>
      </c>
      <c r="T203" s="157" t="s">
        <v>815</v>
      </c>
      <c r="U203" s="158"/>
      <c r="V203" s="159">
        <f t="shared" si="2"/>
        <v>46008.45833</v>
      </c>
      <c r="W203" s="160"/>
      <c r="X203" s="160"/>
      <c r="Y203" s="161"/>
    </row>
    <row r="204" ht="15.75" customHeight="1">
      <c r="A204" s="146" t="s">
        <v>570</v>
      </c>
      <c r="B204" s="146" t="str">
        <f>IFERROR(VLOOKUP(A204&amp;"", STUDENTS!A:B, 2, 0), "")</f>
        <v>PHAN THU THẢO</v>
      </c>
      <c r="C204" s="147" t="s">
        <v>71</v>
      </c>
      <c r="D204" s="147" t="str">
        <f>IFERROR(VLOOKUP(C204, PIC!A:B, 2, 0), "")</f>
        <v>Tan Tran</v>
      </c>
      <c r="E204" s="148" t="s">
        <v>24</v>
      </c>
      <c r="F204" s="149" t="s">
        <v>815</v>
      </c>
      <c r="G204" s="150" t="s">
        <v>815</v>
      </c>
      <c r="H204" s="150" t="s">
        <v>815</v>
      </c>
      <c r="I204" s="149" t="s">
        <v>815</v>
      </c>
      <c r="J204" s="150">
        <v>45869.375</v>
      </c>
      <c r="K204" s="149">
        <v>45882.45833333334</v>
      </c>
      <c r="L204" s="150" t="s">
        <v>815</v>
      </c>
      <c r="M204" s="150">
        <v>45917.375</v>
      </c>
      <c r="N204" s="149">
        <v>45924.41666666666</v>
      </c>
      <c r="O204" s="149">
        <v>45952.45833333334</v>
      </c>
      <c r="P204" s="149" t="s">
        <v>815</v>
      </c>
      <c r="Q204" s="149">
        <v>45987.45833333334</v>
      </c>
      <c r="R204" s="149">
        <v>45994.45833333334</v>
      </c>
      <c r="S204" s="149">
        <v>46008.45833333334</v>
      </c>
      <c r="T204" s="149">
        <v>46050.54166666666</v>
      </c>
      <c r="U204" s="150"/>
      <c r="V204" s="151">
        <f t="shared" si="2"/>
        <v>46050.54167</v>
      </c>
      <c r="W204" s="152"/>
      <c r="X204" s="152"/>
      <c r="Y204" s="161"/>
    </row>
    <row r="205" ht="15.75" customHeight="1">
      <c r="A205" s="154" t="s">
        <v>619</v>
      </c>
      <c r="B205" s="154" t="str">
        <f>IFERROR(VLOOKUP(A205&amp;"", STUDENTS!A:B, 2, 0), "")</f>
        <v>TRẦN KIM HẰNG</v>
      </c>
      <c r="C205" s="155" t="s">
        <v>71</v>
      </c>
      <c r="D205" s="155" t="str">
        <f>IFERROR(VLOOKUP(C205, PIC!A:B, 2, 0), "")</f>
        <v>Tan Tran</v>
      </c>
      <c r="E205" s="156" t="s">
        <v>24</v>
      </c>
      <c r="F205" s="157">
        <v>45713.58333333334</v>
      </c>
      <c r="G205" s="158">
        <v>45827.45833333334</v>
      </c>
      <c r="H205" s="158">
        <v>45833.625</v>
      </c>
      <c r="I205" s="157">
        <v>45853.625</v>
      </c>
      <c r="J205" s="158">
        <v>45869.375</v>
      </c>
      <c r="K205" s="157">
        <v>45882.45833333334</v>
      </c>
      <c r="L205" s="158">
        <v>45896.625</v>
      </c>
      <c r="M205" s="158">
        <v>45917.375</v>
      </c>
      <c r="N205" s="157">
        <v>45924.41666666666</v>
      </c>
      <c r="O205" s="157">
        <v>45952.45833333334</v>
      </c>
      <c r="P205" s="157" t="s">
        <v>815</v>
      </c>
      <c r="Q205" s="157">
        <v>45987.45833333334</v>
      </c>
      <c r="R205" s="157">
        <v>45994.45833333334</v>
      </c>
      <c r="S205" s="157">
        <v>46008.45833333334</v>
      </c>
      <c r="T205" s="157">
        <v>46050.54166666666</v>
      </c>
      <c r="U205" s="158"/>
      <c r="V205" s="159">
        <f t="shared" si="2"/>
        <v>46050.54167</v>
      </c>
      <c r="W205" s="160"/>
      <c r="X205" s="160"/>
      <c r="Y205" s="161"/>
    </row>
    <row r="206" ht="15.75" customHeight="1">
      <c r="A206" s="146" t="s">
        <v>631</v>
      </c>
      <c r="B206" s="146" t="str">
        <f>IFERROR(VLOOKUP(A206&amp;"", STUDENTS!A:B, 2, 0), "")</f>
        <v>TRẦN NHỰT TÂN</v>
      </c>
      <c r="C206" s="147" t="s">
        <v>71</v>
      </c>
      <c r="D206" s="147" t="str">
        <f>IFERROR(VLOOKUP(C206, PIC!A:B, 2, 0), "")</f>
        <v>Tan Tran</v>
      </c>
      <c r="E206" s="148" t="s">
        <v>24</v>
      </c>
      <c r="F206" s="149">
        <v>45713.58333333334</v>
      </c>
      <c r="G206" s="150">
        <v>45827.45833333334</v>
      </c>
      <c r="H206" s="150">
        <v>45833.625</v>
      </c>
      <c r="I206" s="149">
        <v>45853.625</v>
      </c>
      <c r="J206" s="150">
        <v>45869.375</v>
      </c>
      <c r="K206" s="149">
        <v>45882.45833333334</v>
      </c>
      <c r="L206" s="150" t="s">
        <v>815</v>
      </c>
      <c r="M206" s="150">
        <v>45917.375</v>
      </c>
      <c r="N206" s="149">
        <v>45924.41666666666</v>
      </c>
      <c r="O206" s="149">
        <v>45952.45833333334</v>
      </c>
      <c r="P206" s="149">
        <v>45981.625</v>
      </c>
      <c r="Q206" s="149">
        <v>45987.45833333334</v>
      </c>
      <c r="R206" s="149">
        <v>45994.45833333334</v>
      </c>
      <c r="S206" s="149">
        <v>46008.45833333334</v>
      </c>
      <c r="T206" s="149">
        <v>46050.54166666666</v>
      </c>
      <c r="U206" s="150"/>
      <c r="V206" s="151">
        <f t="shared" si="2"/>
        <v>46050.54167</v>
      </c>
      <c r="W206" s="152"/>
      <c r="X206" s="152"/>
      <c r="Y206" s="161"/>
    </row>
    <row r="207" ht="15.75" customHeight="1">
      <c r="A207" s="154" t="s">
        <v>635</v>
      </c>
      <c r="B207" s="154" t="str">
        <f>IFERROR(VLOOKUP(A207&amp;"", STUDENTS!A:B, 2, 0), "")</f>
        <v>TRẦN QUANG TỐNG</v>
      </c>
      <c r="C207" s="155" t="s">
        <v>71</v>
      </c>
      <c r="D207" s="155" t="str">
        <f>IFERROR(VLOOKUP(C207, PIC!A:B, 2, 0), "")</f>
        <v>Tan Tran</v>
      </c>
      <c r="E207" s="156" t="s">
        <v>24</v>
      </c>
      <c r="F207" s="157">
        <v>45713.58333333334</v>
      </c>
      <c r="G207" s="158">
        <v>45827.45833333334</v>
      </c>
      <c r="H207" s="158">
        <v>45833.625</v>
      </c>
      <c r="I207" s="157">
        <v>45853.625</v>
      </c>
      <c r="J207" s="158">
        <v>45869.375</v>
      </c>
      <c r="K207" s="157">
        <v>45882.45833333334</v>
      </c>
      <c r="L207" s="158">
        <v>45896.625</v>
      </c>
      <c r="M207" s="158">
        <v>45917.375</v>
      </c>
      <c r="N207" s="157">
        <v>45924.41666666666</v>
      </c>
      <c r="O207" s="157" t="s">
        <v>815</v>
      </c>
      <c r="P207" s="157">
        <v>45981.625</v>
      </c>
      <c r="Q207" s="157">
        <v>45987.45833333334</v>
      </c>
      <c r="R207" s="157">
        <v>45994.45833333334</v>
      </c>
      <c r="S207" s="157">
        <v>46008.45833333334</v>
      </c>
      <c r="T207" s="157">
        <v>46050.54166666666</v>
      </c>
      <c r="U207" s="158"/>
      <c r="V207" s="159">
        <f t="shared" si="2"/>
        <v>46050.54167</v>
      </c>
      <c r="W207" s="160"/>
      <c r="X207" s="160"/>
      <c r="Y207" s="161"/>
    </row>
    <row r="208" ht="15.75" customHeight="1">
      <c r="A208" s="146" t="s">
        <v>667</v>
      </c>
      <c r="B208" s="146" t="str">
        <f>IFERROR(VLOOKUP(A208&amp;"", STUDENTS!A:B, 2, 0), "")</f>
        <v>TRẦN VĨNH PHÚC</v>
      </c>
      <c r="C208" s="147" t="s">
        <v>71</v>
      </c>
      <c r="D208" s="147" t="str">
        <f>IFERROR(VLOOKUP(C208, PIC!A:B, 2, 0), "")</f>
        <v>Tan Tran</v>
      </c>
      <c r="E208" s="148" t="s">
        <v>24</v>
      </c>
      <c r="F208" s="149">
        <v>45713.58333333334</v>
      </c>
      <c r="G208" s="150">
        <v>45827.45833333334</v>
      </c>
      <c r="H208" s="150">
        <v>45833.625</v>
      </c>
      <c r="I208" s="149">
        <v>45853.625</v>
      </c>
      <c r="J208" s="150">
        <v>45869.375</v>
      </c>
      <c r="K208" s="149">
        <v>45882.45833333334</v>
      </c>
      <c r="L208" s="150">
        <v>45896.625</v>
      </c>
      <c r="M208" s="150">
        <v>45917.375</v>
      </c>
      <c r="N208" s="149">
        <v>45924.41666666666</v>
      </c>
      <c r="O208" s="149">
        <v>45952.45833333334</v>
      </c>
      <c r="P208" s="149">
        <v>45981.625</v>
      </c>
      <c r="Q208" s="149">
        <v>45987.45833333334</v>
      </c>
      <c r="R208" s="149">
        <v>45994.45833333334</v>
      </c>
      <c r="S208" s="149">
        <v>46008.45833333334</v>
      </c>
      <c r="T208" s="149">
        <v>46050.54166666666</v>
      </c>
      <c r="U208" s="150"/>
      <c r="V208" s="151">
        <f t="shared" si="2"/>
        <v>46050.54167</v>
      </c>
      <c r="W208" s="152"/>
      <c r="X208" s="152"/>
      <c r="Y208" s="161"/>
    </row>
    <row r="209" ht="15.75" customHeight="1">
      <c r="A209" s="154" t="s">
        <v>265</v>
      </c>
      <c r="B209" s="154" t="str">
        <f>IFERROR(VLOOKUP(A209&amp;"", STUDENTS!A:B, 2, 0), "")</f>
        <v>LÊ HỒNG QUÂN</v>
      </c>
      <c r="C209" s="155" t="s">
        <v>72</v>
      </c>
      <c r="D209" s="155" t="str">
        <f>IFERROR(VLOOKUP(C209, PIC!A:B, 2, 0), "")</f>
        <v>Thien Truong</v>
      </c>
      <c r="E209" s="156" t="s">
        <v>21</v>
      </c>
      <c r="F209" s="157">
        <v>45670.54166666666</v>
      </c>
      <c r="G209" s="158">
        <v>45679.375</v>
      </c>
      <c r="H209" s="158">
        <v>45698.45833333334</v>
      </c>
      <c r="I209" s="157">
        <v>45705.45833333334</v>
      </c>
      <c r="J209" s="158">
        <v>45712.54166666666</v>
      </c>
      <c r="K209" s="157">
        <v>45761.45833333334</v>
      </c>
      <c r="L209" s="158">
        <v>45769.45833333334</v>
      </c>
      <c r="M209" s="158" t="s">
        <v>815</v>
      </c>
      <c r="N209" s="157">
        <v>45789.45833333334</v>
      </c>
      <c r="O209" s="157">
        <v>45803.54166666666</v>
      </c>
      <c r="P209" s="157">
        <v>45812.41666666666</v>
      </c>
      <c r="Q209" s="157">
        <v>45832.375</v>
      </c>
      <c r="R209" s="157"/>
      <c r="S209" s="157"/>
      <c r="T209" s="157"/>
      <c r="U209" s="158"/>
      <c r="V209" s="159">
        <f t="shared" si="2"/>
        <v>45832.375</v>
      </c>
      <c r="W209" s="160"/>
      <c r="X209" s="160"/>
      <c r="Y209" s="161"/>
    </row>
    <row r="210" ht="15.75" customHeight="1">
      <c r="A210" s="146" t="s">
        <v>265</v>
      </c>
      <c r="B210" s="146" t="str">
        <f>IFERROR(VLOOKUP(A210&amp;"", STUDENTS!A:B, 2, 0), "")</f>
        <v>LÊ HỒNG QUÂN</v>
      </c>
      <c r="C210" s="147" t="s">
        <v>72</v>
      </c>
      <c r="D210" s="147" t="str">
        <f>IFERROR(VLOOKUP(C210, PIC!A:B, 2, 0), "")</f>
        <v>Thien Truong</v>
      </c>
      <c r="E210" s="148" t="s">
        <v>22</v>
      </c>
      <c r="F210" s="149">
        <v>45866.54166666666</v>
      </c>
      <c r="G210" s="150">
        <v>45910.45833333334</v>
      </c>
      <c r="H210" s="150">
        <v>45915.45833333334</v>
      </c>
      <c r="I210" s="149">
        <v>45922.45833333334</v>
      </c>
      <c r="J210" s="150">
        <v>45929.45833333334</v>
      </c>
      <c r="K210" s="149">
        <v>45943.41666666666</v>
      </c>
      <c r="L210" s="150">
        <v>45944.58333333334</v>
      </c>
      <c r="M210" s="150"/>
      <c r="N210" s="149">
        <v>45957.41666666666</v>
      </c>
      <c r="O210" s="149">
        <v>45964.58333333334</v>
      </c>
      <c r="P210" s="149">
        <v>45971.54166666666</v>
      </c>
      <c r="Q210" s="149">
        <v>45985.58333333334</v>
      </c>
      <c r="R210" s="149">
        <v>45992.54166666666</v>
      </c>
      <c r="S210" s="149" t="s">
        <v>815</v>
      </c>
      <c r="T210" s="149">
        <v>46006.45833333334</v>
      </c>
      <c r="U210" s="150">
        <v>46048.41666666666</v>
      </c>
      <c r="V210" s="151">
        <f t="shared" si="2"/>
        <v>46048.41667</v>
      </c>
      <c r="W210" s="152"/>
      <c r="X210" s="152"/>
      <c r="Y210" s="161"/>
    </row>
    <row r="211" ht="15.75" customHeight="1">
      <c r="A211" s="154" t="s">
        <v>265</v>
      </c>
      <c r="B211" s="154" t="str">
        <f>IFERROR(VLOOKUP(A211&amp;"", STUDENTS!A:B, 2, 0), "")</f>
        <v>LÊ HỒNG QUÂN</v>
      </c>
      <c r="C211" s="155" t="s">
        <v>72</v>
      </c>
      <c r="D211" s="155" t="str">
        <f>IFERROR(VLOOKUP(C211, PIC!A:B, 2, 0), "")</f>
        <v>Thien Truong</v>
      </c>
      <c r="E211" s="156" t="s">
        <v>23</v>
      </c>
      <c r="F211" s="157">
        <v>46084.58333333334</v>
      </c>
      <c r="G211" s="158" t="s">
        <v>815</v>
      </c>
      <c r="H211" s="158">
        <v>46106.45833333334</v>
      </c>
      <c r="I211" s="157">
        <v>46119.45833333334</v>
      </c>
      <c r="J211" s="158">
        <v>46127.54166666666</v>
      </c>
      <c r="K211" s="157">
        <v>46134.58333333334</v>
      </c>
      <c r="L211" s="158"/>
      <c r="M211" s="158"/>
      <c r="N211" s="157"/>
      <c r="O211" s="157"/>
      <c r="P211" s="157"/>
      <c r="Q211" s="157"/>
      <c r="R211" s="157"/>
      <c r="S211" s="157"/>
      <c r="T211" s="157"/>
      <c r="U211" s="158"/>
      <c r="V211" s="159">
        <f t="shared" si="2"/>
        <v>46134.58333</v>
      </c>
      <c r="W211" s="160"/>
      <c r="X211" s="160"/>
      <c r="Y211" s="161"/>
    </row>
    <row r="212" ht="15.75" customHeight="1">
      <c r="A212" s="146" t="s">
        <v>108</v>
      </c>
      <c r="B212" s="146" t="str">
        <f>IFERROR(VLOOKUP(A212&amp;"", STUDENTS!A:B, 2, 0), "")</f>
        <v>LÊ THANH SƠN</v>
      </c>
      <c r="C212" s="147" t="s">
        <v>72</v>
      </c>
      <c r="D212" s="147" t="str">
        <f>IFERROR(VLOOKUP(C212, PIC!A:B, 2, 0), "")</f>
        <v>Thien Truong</v>
      </c>
      <c r="E212" s="148" t="s">
        <v>21</v>
      </c>
      <c r="F212" s="149">
        <v>45670.54166666666</v>
      </c>
      <c r="G212" s="150">
        <v>45679.375</v>
      </c>
      <c r="H212" s="150">
        <v>45698.45833333334</v>
      </c>
      <c r="I212" s="149">
        <v>45705.45833333334</v>
      </c>
      <c r="J212" s="150">
        <v>45712.54166666666</v>
      </c>
      <c r="K212" s="149">
        <v>45761.45833333334</v>
      </c>
      <c r="L212" s="150">
        <v>45769.45833333334</v>
      </c>
      <c r="M212" s="150">
        <v>45782.45833333334</v>
      </c>
      <c r="N212" s="149">
        <v>45789.45833333334</v>
      </c>
      <c r="O212" s="149">
        <v>45803.54166666666</v>
      </c>
      <c r="P212" s="149">
        <v>45812.41666666666</v>
      </c>
      <c r="Q212" s="149">
        <v>45832.375</v>
      </c>
      <c r="R212" s="149"/>
      <c r="S212" s="149"/>
      <c r="T212" s="149"/>
      <c r="U212" s="150"/>
      <c r="V212" s="151">
        <f t="shared" si="2"/>
        <v>45832.375</v>
      </c>
      <c r="W212" s="152"/>
      <c r="X212" s="152"/>
      <c r="Y212" s="161"/>
    </row>
    <row r="213" ht="15.75" customHeight="1">
      <c r="A213" s="154" t="s">
        <v>108</v>
      </c>
      <c r="B213" s="154" t="str">
        <f>IFERROR(VLOOKUP(A213&amp;"", STUDENTS!A:B, 2, 0), "")</f>
        <v>LÊ THANH SƠN</v>
      </c>
      <c r="C213" s="155" t="s">
        <v>72</v>
      </c>
      <c r="D213" s="155" t="str">
        <f>IFERROR(VLOOKUP(C213, PIC!A:B, 2, 0), "")</f>
        <v>Thien Truong</v>
      </c>
      <c r="E213" s="156" t="s">
        <v>22</v>
      </c>
      <c r="F213" s="157">
        <v>45866.54166666666</v>
      </c>
      <c r="G213" s="158">
        <v>45910.45833333334</v>
      </c>
      <c r="H213" s="158">
        <v>45915.45833333334</v>
      </c>
      <c r="I213" s="157">
        <v>45922.45833333334</v>
      </c>
      <c r="J213" s="158">
        <v>45929.45833333334</v>
      </c>
      <c r="K213" s="157">
        <v>45943.41666666666</v>
      </c>
      <c r="L213" s="158">
        <v>45944.58333333334</v>
      </c>
      <c r="M213" s="158"/>
      <c r="N213" s="157">
        <v>45957.41666666666</v>
      </c>
      <c r="O213" s="157">
        <v>45964.58333333334</v>
      </c>
      <c r="P213" s="157">
        <v>45971.54166666666</v>
      </c>
      <c r="Q213" s="157">
        <v>45985.58333333334</v>
      </c>
      <c r="R213" s="157">
        <v>45992.54166666666</v>
      </c>
      <c r="S213" s="157">
        <v>45999.41666666666</v>
      </c>
      <c r="T213" s="157">
        <v>46006.45833333334</v>
      </c>
      <c r="U213" s="158">
        <v>46048.41666666666</v>
      </c>
      <c r="V213" s="159">
        <f t="shared" si="2"/>
        <v>46048.41667</v>
      </c>
      <c r="W213" s="160"/>
      <c r="X213" s="160"/>
      <c r="Y213" s="161"/>
    </row>
    <row r="214" ht="15.75" customHeight="1">
      <c r="A214" s="146" t="s">
        <v>108</v>
      </c>
      <c r="B214" s="146" t="str">
        <f>IFERROR(VLOOKUP(A214&amp;"", STUDENTS!A:B, 2, 0), "")</f>
        <v>LÊ THANH SƠN</v>
      </c>
      <c r="C214" s="147" t="s">
        <v>72</v>
      </c>
      <c r="D214" s="147" t="str">
        <f>IFERROR(VLOOKUP(C214, PIC!A:B, 2, 0), "")</f>
        <v>Thien Truong</v>
      </c>
      <c r="E214" s="148" t="s">
        <v>23</v>
      </c>
      <c r="F214" s="149">
        <v>46084.58333333334</v>
      </c>
      <c r="G214" s="150">
        <v>46099.45833333334</v>
      </c>
      <c r="H214" s="150">
        <v>46106.45833333334</v>
      </c>
      <c r="I214" s="149">
        <v>46119.45833333334</v>
      </c>
      <c r="J214" s="150">
        <v>46127.54166666666</v>
      </c>
      <c r="K214" s="149">
        <v>46134.58333333334</v>
      </c>
      <c r="L214" s="150"/>
      <c r="M214" s="150"/>
      <c r="N214" s="149"/>
      <c r="O214" s="149"/>
      <c r="P214" s="149"/>
      <c r="Q214" s="149"/>
      <c r="R214" s="149"/>
      <c r="S214" s="149"/>
      <c r="T214" s="149"/>
      <c r="U214" s="150"/>
      <c r="V214" s="151">
        <f t="shared" si="2"/>
        <v>46134.58333</v>
      </c>
      <c r="W214" s="152"/>
      <c r="X214" s="152"/>
      <c r="Y214" s="161"/>
    </row>
    <row r="215" ht="15.75" customHeight="1">
      <c r="A215" s="154" t="s">
        <v>296</v>
      </c>
      <c r="B215" s="154" t="str">
        <f>IFERROR(VLOOKUP(A215&amp;"", STUDENTS!A:B, 2, 0), "")</f>
        <v>LÊ THỊ THU HIỀN</v>
      </c>
      <c r="C215" s="155" t="s">
        <v>72</v>
      </c>
      <c r="D215" s="155" t="str">
        <f>IFERROR(VLOOKUP(C215, PIC!A:B, 2, 0), "")</f>
        <v>Thien Truong</v>
      </c>
      <c r="E215" s="156" t="s">
        <v>23</v>
      </c>
      <c r="F215" s="157">
        <v>46084.58333333334</v>
      </c>
      <c r="G215" s="158">
        <v>46099.45833333334</v>
      </c>
      <c r="H215" s="158">
        <v>46106.45833333334</v>
      </c>
      <c r="I215" s="157" t="s">
        <v>815</v>
      </c>
      <c r="J215" s="158">
        <v>46127.54166666666</v>
      </c>
      <c r="K215" s="157">
        <v>46134.58333333334</v>
      </c>
      <c r="L215" s="158"/>
      <c r="M215" s="158"/>
      <c r="N215" s="157"/>
      <c r="O215" s="157"/>
      <c r="P215" s="157"/>
      <c r="Q215" s="157"/>
      <c r="R215" s="157"/>
      <c r="S215" s="157"/>
      <c r="T215" s="157"/>
      <c r="U215" s="158"/>
      <c r="V215" s="159">
        <f t="shared" si="2"/>
        <v>46134.58333</v>
      </c>
      <c r="W215" s="160"/>
      <c r="X215" s="160"/>
      <c r="Y215" s="161"/>
    </row>
    <row r="216" ht="15.75" customHeight="1">
      <c r="A216" s="146" t="s">
        <v>315</v>
      </c>
      <c r="B216" s="146" t="str">
        <f>IFERROR(VLOOKUP(A216&amp;"", STUDENTS!A:B, 2, 0), "")</f>
        <v>LÝ KHÁNH LONG</v>
      </c>
      <c r="C216" s="147" t="s">
        <v>72</v>
      </c>
      <c r="D216" s="147" t="str">
        <f>IFERROR(VLOOKUP(C216, PIC!A:B, 2, 0), "")</f>
        <v>Thien Truong</v>
      </c>
      <c r="E216" s="148" t="s">
        <v>21</v>
      </c>
      <c r="F216" s="149">
        <v>45670.54166666666</v>
      </c>
      <c r="G216" s="150">
        <v>45679.375</v>
      </c>
      <c r="H216" s="150">
        <v>45698.45833333334</v>
      </c>
      <c r="I216" s="149">
        <v>45705.45833333334</v>
      </c>
      <c r="J216" s="150">
        <v>45712.54166666666</v>
      </c>
      <c r="K216" s="149">
        <v>45761.45833333334</v>
      </c>
      <c r="L216" s="150">
        <v>45769.45833333334</v>
      </c>
      <c r="M216" s="150">
        <v>45782.45833333334</v>
      </c>
      <c r="N216" s="149" t="s">
        <v>815</v>
      </c>
      <c r="O216" s="149">
        <v>45803.54166666666</v>
      </c>
      <c r="P216" s="149">
        <v>45812.41666666666</v>
      </c>
      <c r="Q216" s="149">
        <v>45832.375</v>
      </c>
      <c r="R216" s="149"/>
      <c r="S216" s="149"/>
      <c r="T216" s="149"/>
      <c r="U216" s="150"/>
      <c r="V216" s="151">
        <f t="shared" si="2"/>
        <v>45832.375</v>
      </c>
      <c r="W216" s="152"/>
      <c r="X216" s="152"/>
      <c r="Y216" s="161"/>
    </row>
    <row r="217" ht="15.75" customHeight="1">
      <c r="A217" s="154" t="s">
        <v>315</v>
      </c>
      <c r="B217" s="154" t="str">
        <f>IFERROR(VLOOKUP(A217&amp;"", STUDENTS!A:B, 2, 0), "")</f>
        <v>LÝ KHÁNH LONG</v>
      </c>
      <c r="C217" s="155" t="s">
        <v>72</v>
      </c>
      <c r="D217" s="155" t="str">
        <f>IFERROR(VLOOKUP(C217, PIC!A:B, 2, 0), "")</f>
        <v>Thien Truong</v>
      </c>
      <c r="E217" s="156" t="s">
        <v>22</v>
      </c>
      <c r="F217" s="157" t="s">
        <v>815</v>
      </c>
      <c r="G217" s="158">
        <v>45910.45833333334</v>
      </c>
      <c r="H217" s="158">
        <v>45915.45833333334</v>
      </c>
      <c r="I217" s="157">
        <v>45922.45833333334</v>
      </c>
      <c r="J217" s="158">
        <v>45929.45833333334</v>
      </c>
      <c r="K217" s="157">
        <v>45943.41666666666</v>
      </c>
      <c r="L217" s="158">
        <v>45944.58333333334</v>
      </c>
      <c r="M217" s="158"/>
      <c r="N217" s="157">
        <v>45957.41666666666</v>
      </c>
      <c r="O217" s="157">
        <v>45964.58333333334</v>
      </c>
      <c r="P217" s="157">
        <v>45971.54166666666</v>
      </c>
      <c r="Q217" s="157">
        <v>45985.58333333334</v>
      </c>
      <c r="R217" s="157">
        <v>45992.54166666666</v>
      </c>
      <c r="S217" s="157">
        <v>45999.41666666666</v>
      </c>
      <c r="T217" s="157">
        <v>46006.45833333334</v>
      </c>
      <c r="U217" s="158">
        <v>46048.41666666666</v>
      </c>
      <c r="V217" s="159">
        <f t="shared" si="2"/>
        <v>46048.41667</v>
      </c>
      <c r="W217" s="160"/>
      <c r="X217" s="160"/>
      <c r="Y217" s="161"/>
    </row>
    <row r="218" ht="15.75" customHeight="1">
      <c r="A218" s="146" t="s">
        <v>315</v>
      </c>
      <c r="B218" s="146" t="str">
        <f>IFERROR(VLOOKUP(A218&amp;"", STUDENTS!A:B, 2, 0), "")</f>
        <v>LÝ KHÁNH LONG</v>
      </c>
      <c r="C218" s="147" t="s">
        <v>72</v>
      </c>
      <c r="D218" s="147" t="str">
        <f>IFERROR(VLOOKUP(C218, PIC!A:B, 2, 0), "")</f>
        <v>Thien Truong</v>
      </c>
      <c r="E218" s="148" t="s">
        <v>23</v>
      </c>
      <c r="F218" s="149">
        <v>46084.58333333334</v>
      </c>
      <c r="G218" s="150">
        <v>46099.45833333334</v>
      </c>
      <c r="H218" s="150">
        <v>46106.45833333334</v>
      </c>
      <c r="I218" s="149">
        <v>46119.45833333334</v>
      </c>
      <c r="J218" s="150">
        <v>46127.54166666666</v>
      </c>
      <c r="K218" s="149">
        <v>46134.58333333334</v>
      </c>
      <c r="L218" s="150"/>
      <c r="M218" s="150"/>
      <c r="N218" s="149"/>
      <c r="O218" s="149"/>
      <c r="P218" s="149"/>
      <c r="Q218" s="149"/>
      <c r="R218" s="149"/>
      <c r="S218" s="149"/>
      <c r="T218" s="149"/>
      <c r="U218" s="150"/>
      <c r="V218" s="151">
        <f t="shared" si="2"/>
        <v>46134.58333</v>
      </c>
      <c r="W218" s="152"/>
      <c r="X218" s="152"/>
      <c r="Y218" s="161"/>
    </row>
    <row r="219" ht="15.75" customHeight="1">
      <c r="A219" s="154" t="s">
        <v>319</v>
      </c>
      <c r="B219" s="154" t="str">
        <f>IFERROR(VLOOKUP(A219&amp;"", STUDENTS!A:B, 2, 0), "")</f>
        <v>LÝ THỊ DIỄM MY</v>
      </c>
      <c r="C219" s="155" t="s">
        <v>72</v>
      </c>
      <c r="D219" s="155" t="str">
        <f>IFERROR(VLOOKUP(C219, PIC!A:B, 2, 0), "")</f>
        <v>Thien Truong</v>
      </c>
      <c r="E219" s="156" t="s">
        <v>23</v>
      </c>
      <c r="F219" s="157">
        <v>46084.58333333334</v>
      </c>
      <c r="G219" s="158">
        <v>46099.45833333334</v>
      </c>
      <c r="H219" s="158">
        <v>46106.45833333334</v>
      </c>
      <c r="I219" s="157" t="s">
        <v>815</v>
      </c>
      <c r="J219" s="158">
        <v>46127.54166666666</v>
      </c>
      <c r="K219" s="157">
        <v>46134.58333333334</v>
      </c>
      <c r="L219" s="158"/>
      <c r="M219" s="158"/>
      <c r="N219" s="157"/>
      <c r="O219" s="157"/>
      <c r="P219" s="157"/>
      <c r="Q219" s="157"/>
      <c r="R219" s="157"/>
      <c r="S219" s="157"/>
      <c r="T219" s="157"/>
      <c r="U219" s="158"/>
      <c r="V219" s="159">
        <f t="shared" si="2"/>
        <v>46134.58333</v>
      </c>
      <c r="W219" s="160"/>
      <c r="X219" s="160"/>
      <c r="Y219" s="161"/>
    </row>
    <row r="220" ht="15.75" customHeight="1">
      <c r="A220" s="146" t="s">
        <v>334</v>
      </c>
      <c r="B220" s="146" t="str">
        <f>IFERROR(VLOOKUP(A220&amp;"", STUDENTS!A:B, 2, 0), "")</f>
        <v>NGUYỄN BÁ PHI NHẬT</v>
      </c>
      <c r="C220" s="147" t="s">
        <v>72</v>
      </c>
      <c r="D220" s="147" t="str">
        <f>IFERROR(VLOOKUP(C220, PIC!A:B, 2, 0), "")</f>
        <v>Thien Truong</v>
      </c>
      <c r="E220" s="148" t="s">
        <v>21</v>
      </c>
      <c r="F220" s="149">
        <v>45670.54166666666</v>
      </c>
      <c r="G220" s="150">
        <v>45679.375</v>
      </c>
      <c r="H220" s="150">
        <v>45698.45833333334</v>
      </c>
      <c r="I220" s="149">
        <v>45705.45833333334</v>
      </c>
      <c r="J220" s="150">
        <v>45712.54166666666</v>
      </c>
      <c r="K220" s="149">
        <v>45761.45833333334</v>
      </c>
      <c r="L220" s="150">
        <v>45769.45833333334</v>
      </c>
      <c r="M220" s="150">
        <v>45782.45833333334</v>
      </c>
      <c r="N220" s="149" t="s">
        <v>815</v>
      </c>
      <c r="O220" s="149">
        <v>45803.54166666666</v>
      </c>
      <c r="P220" s="149" t="s">
        <v>815</v>
      </c>
      <c r="Q220" s="149">
        <v>45832.375</v>
      </c>
      <c r="R220" s="149"/>
      <c r="S220" s="149"/>
      <c r="T220" s="149"/>
      <c r="U220" s="150"/>
      <c r="V220" s="151">
        <f t="shared" si="2"/>
        <v>45832.375</v>
      </c>
      <c r="W220" s="152"/>
      <c r="X220" s="152"/>
      <c r="Y220" s="161"/>
    </row>
    <row r="221" ht="15.75" customHeight="1">
      <c r="A221" s="154" t="s">
        <v>334</v>
      </c>
      <c r="B221" s="154" t="str">
        <f>IFERROR(VLOOKUP(A221&amp;"", STUDENTS!A:B, 2, 0), "")</f>
        <v>NGUYỄN BÁ PHI NHẬT</v>
      </c>
      <c r="C221" s="155" t="s">
        <v>72</v>
      </c>
      <c r="D221" s="155" t="str">
        <f>IFERROR(VLOOKUP(C221, PIC!A:B, 2, 0), "")</f>
        <v>Thien Truong</v>
      </c>
      <c r="E221" s="156" t="s">
        <v>22</v>
      </c>
      <c r="F221" s="157">
        <v>45866.54166666666</v>
      </c>
      <c r="G221" s="158">
        <v>45910.45833333334</v>
      </c>
      <c r="H221" s="158">
        <v>45915.45833333334</v>
      </c>
      <c r="I221" s="157">
        <v>45922.45833333334</v>
      </c>
      <c r="J221" s="158" t="s">
        <v>815</v>
      </c>
      <c r="K221" s="157">
        <v>45943.41666666666</v>
      </c>
      <c r="L221" s="158">
        <v>45944.58333333334</v>
      </c>
      <c r="M221" s="158"/>
      <c r="N221" s="157">
        <v>45957.41666666666</v>
      </c>
      <c r="O221" s="157">
        <v>45964.58333333334</v>
      </c>
      <c r="P221" s="157">
        <v>45971.54166666666</v>
      </c>
      <c r="Q221" s="157">
        <v>45985.58333333334</v>
      </c>
      <c r="R221" s="157">
        <v>45992.54166666666</v>
      </c>
      <c r="S221" s="157" t="s">
        <v>815</v>
      </c>
      <c r="T221" s="157">
        <v>46006.45833333334</v>
      </c>
      <c r="U221" s="158" t="s">
        <v>815</v>
      </c>
      <c r="V221" s="159">
        <f t="shared" si="2"/>
        <v>46006.45833</v>
      </c>
      <c r="W221" s="160"/>
      <c r="X221" s="160"/>
      <c r="Y221" s="161"/>
    </row>
    <row r="222" ht="15.75" customHeight="1">
      <c r="A222" s="146" t="s">
        <v>401</v>
      </c>
      <c r="B222" s="146" t="str">
        <f>IFERROR(VLOOKUP(A222&amp;"", STUDENTS!A:B, 2, 0), "")</f>
        <v>NGUYỄN LÝ KHÁNH HUY</v>
      </c>
      <c r="C222" s="147" t="s">
        <v>72</v>
      </c>
      <c r="D222" s="147" t="str">
        <f>IFERROR(VLOOKUP(C222, PIC!A:B, 2, 0), "")</f>
        <v>Thien Truong</v>
      </c>
      <c r="E222" s="148" t="s">
        <v>21</v>
      </c>
      <c r="F222" s="149">
        <v>45670.54166666666</v>
      </c>
      <c r="G222" s="150">
        <v>45679.375</v>
      </c>
      <c r="H222" s="150" t="s">
        <v>815</v>
      </c>
      <c r="I222" s="149">
        <v>45705.45833333334</v>
      </c>
      <c r="J222" s="150">
        <v>45712.54166666666</v>
      </c>
      <c r="K222" s="149">
        <v>45761.45833333334</v>
      </c>
      <c r="L222" s="150">
        <v>45769.45833333334</v>
      </c>
      <c r="M222" s="150">
        <v>45782.45833333334</v>
      </c>
      <c r="N222" s="149">
        <v>45789.45833333334</v>
      </c>
      <c r="O222" s="149">
        <v>45803.54166666666</v>
      </c>
      <c r="P222" s="149">
        <v>45812.41666666666</v>
      </c>
      <c r="Q222" s="149">
        <v>45832.375</v>
      </c>
      <c r="R222" s="149"/>
      <c r="S222" s="149"/>
      <c r="T222" s="149"/>
      <c r="U222" s="150"/>
      <c r="V222" s="151">
        <f t="shared" si="2"/>
        <v>45832.375</v>
      </c>
      <c r="W222" s="152"/>
      <c r="X222" s="152"/>
      <c r="Y222" s="161"/>
    </row>
    <row r="223" ht="15.75" customHeight="1">
      <c r="A223" s="154" t="s">
        <v>401</v>
      </c>
      <c r="B223" s="154" t="str">
        <f>IFERROR(VLOOKUP(A223&amp;"", STUDENTS!A:B, 2, 0), "")</f>
        <v>NGUYỄN LÝ KHÁNH HUY</v>
      </c>
      <c r="C223" s="155" t="s">
        <v>72</v>
      </c>
      <c r="D223" s="155" t="str">
        <f>IFERROR(VLOOKUP(C223, PIC!A:B, 2, 0), "")</f>
        <v>Thien Truong</v>
      </c>
      <c r="E223" s="156" t="s">
        <v>22</v>
      </c>
      <c r="F223" s="157" t="s">
        <v>815</v>
      </c>
      <c r="G223" s="158">
        <v>45910.45833333334</v>
      </c>
      <c r="H223" s="158">
        <v>45915.45833333334</v>
      </c>
      <c r="I223" s="157">
        <v>45922.45833333334</v>
      </c>
      <c r="J223" s="158">
        <v>45929.45833333334</v>
      </c>
      <c r="K223" s="157" t="s">
        <v>815</v>
      </c>
      <c r="L223" s="158">
        <v>45944.58333333334</v>
      </c>
      <c r="M223" s="158"/>
      <c r="N223" s="157">
        <v>45957.41666666666</v>
      </c>
      <c r="O223" s="157">
        <v>45964.58333333334</v>
      </c>
      <c r="P223" s="157">
        <v>45971.54166666666</v>
      </c>
      <c r="Q223" s="157">
        <v>45985.58333333334</v>
      </c>
      <c r="R223" s="157">
        <v>45992.54166666666</v>
      </c>
      <c r="S223" s="157">
        <v>45999.41666666666</v>
      </c>
      <c r="T223" s="157">
        <v>46006.45833333334</v>
      </c>
      <c r="U223" s="158">
        <v>46048.41666666666</v>
      </c>
      <c r="V223" s="159">
        <f t="shared" si="2"/>
        <v>46048.41667</v>
      </c>
      <c r="W223" s="160"/>
      <c r="X223" s="160"/>
      <c r="Y223" s="161"/>
    </row>
    <row r="224" ht="15.75" customHeight="1">
      <c r="A224" s="146" t="s">
        <v>401</v>
      </c>
      <c r="B224" s="146" t="str">
        <f>IFERROR(VLOOKUP(A224&amp;"", STUDENTS!A:B, 2, 0), "")</f>
        <v>NGUYỄN LÝ KHÁNH HUY</v>
      </c>
      <c r="C224" s="147" t="s">
        <v>72</v>
      </c>
      <c r="D224" s="147" t="str">
        <f>IFERROR(VLOOKUP(C224, PIC!A:B, 2, 0), "")</f>
        <v>Thien Truong</v>
      </c>
      <c r="E224" s="148" t="s">
        <v>23</v>
      </c>
      <c r="F224" s="149">
        <v>46084.58333333334</v>
      </c>
      <c r="G224" s="150">
        <v>46099.45833333334</v>
      </c>
      <c r="H224" s="150" t="s">
        <v>815</v>
      </c>
      <c r="I224" s="149">
        <v>46119.45833333334</v>
      </c>
      <c r="J224" s="150">
        <v>46127.54166666666</v>
      </c>
      <c r="K224" s="149">
        <v>46134.58333333334</v>
      </c>
      <c r="L224" s="150"/>
      <c r="M224" s="150"/>
      <c r="N224" s="149"/>
      <c r="O224" s="149"/>
      <c r="P224" s="149"/>
      <c r="Q224" s="149"/>
      <c r="R224" s="149"/>
      <c r="S224" s="149"/>
      <c r="T224" s="149"/>
      <c r="U224" s="150"/>
      <c r="V224" s="151">
        <f t="shared" si="2"/>
        <v>46134.58333</v>
      </c>
      <c r="W224" s="152"/>
      <c r="X224" s="152"/>
      <c r="Y224" s="161"/>
    </row>
    <row r="225" ht="15.75" customHeight="1">
      <c r="A225" s="154" t="s">
        <v>474</v>
      </c>
      <c r="B225" s="154" t="str">
        <f>IFERROR(VLOOKUP(A225&amp;"", STUDENTS!A:B, 2, 0), "")</f>
        <v>NGUYỄN THỊ NGỌC DUNG</v>
      </c>
      <c r="C225" s="155" t="s">
        <v>72</v>
      </c>
      <c r="D225" s="155" t="str">
        <f>IFERROR(VLOOKUP(C225, PIC!A:B, 2, 0), "")</f>
        <v>Thien Truong</v>
      </c>
      <c r="E225" s="156" t="s">
        <v>23</v>
      </c>
      <c r="F225" s="157"/>
      <c r="G225" s="158">
        <v>46099.45833333334</v>
      </c>
      <c r="H225" s="158">
        <v>46106.45833333334</v>
      </c>
      <c r="I225" s="157" t="s">
        <v>815</v>
      </c>
      <c r="J225" s="158">
        <v>46127.54166666666</v>
      </c>
      <c r="K225" s="157">
        <v>46134.58333333334</v>
      </c>
      <c r="L225" s="158"/>
      <c r="M225" s="158"/>
      <c r="N225" s="157"/>
      <c r="O225" s="157"/>
      <c r="P225" s="157"/>
      <c r="Q225" s="157"/>
      <c r="R225" s="157"/>
      <c r="S225" s="157"/>
      <c r="T225" s="157"/>
      <c r="U225" s="158"/>
      <c r="V225" s="159">
        <f t="shared" si="2"/>
        <v>46134.58333</v>
      </c>
      <c r="W225" s="160"/>
      <c r="X225" s="160"/>
      <c r="Y225" s="161"/>
    </row>
    <row r="226" ht="15.75" customHeight="1">
      <c r="A226" s="146" t="s">
        <v>572</v>
      </c>
      <c r="B226" s="146" t="str">
        <f>IFERROR(VLOOKUP(A226&amp;"", STUDENTS!A:B, 2, 0), "")</f>
        <v>PHÙNG ĐÌNH HUY</v>
      </c>
      <c r="C226" s="147" t="s">
        <v>72</v>
      </c>
      <c r="D226" s="147" t="str">
        <f>IFERROR(VLOOKUP(C226, PIC!A:B, 2, 0), "")</f>
        <v>Thien Truong</v>
      </c>
      <c r="E226" s="148" t="s">
        <v>21</v>
      </c>
      <c r="F226" s="149">
        <v>45670.54166666666</v>
      </c>
      <c r="G226" s="150">
        <v>45679.375</v>
      </c>
      <c r="H226" s="150">
        <v>45698.45833333334</v>
      </c>
      <c r="I226" s="149">
        <v>45705.45833333334</v>
      </c>
      <c r="J226" s="150">
        <v>45712.54166666666</v>
      </c>
      <c r="K226" s="149">
        <v>45761.45833333334</v>
      </c>
      <c r="L226" s="150">
        <v>45769.45833333334</v>
      </c>
      <c r="M226" s="150">
        <v>45782.45833333334</v>
      </c>
      <c r="N226" s="149">
        <v>45789.45833333334</v>
      </c>
      <c r="O226" s="149">
        <v>45803.54166666666</v>
      </c>
      <c r="P226" s="149">
        <v>45812.41666666666</v>
      </c>
      <c r="Q226" s="149">
        <v>45832.375</v>
      </c>
      <c r="R226" s="149"/>
      <c r="S226" s="149"/>
      <c r="T226" s="149"/>
      <c r="U226" s="150"/>
      <c r="V226" s="151">
        <f t="shared" si="2"/>
        <v>45832.375</v>
      </c>
      <c r="W226" s="152"/>
      <c r="X226" s="152"/>
      <c r="Y226" s="161"/>
    </row>
    <row r="227" ht="15.75" customHeight="1">
      <c r="A227" s="154" t="s">
        <v>572</v>
      </c>
      <c r="B227" s="154" t="str">
        <f>IFERROR(VLOOKUP(A227&amp;"", STUDENTS!A:B, 2, 0), "")</f>
        <v>PHÙNG ĐÌNH HUY</v>
      </c>
      <c r="C227" s="155" t="s">
        <v>72</v>
      </c>
      <c r="D227" s="155" t="str">
        <f>IFERROR(VLOOKUP(C227, PIC!A:B, 2, 0), "")</f>
        <v>Thien Truong</v>
      </c>
      <c r="E227" s="156" t="s">
        <v>22</v>
      </c>
      <c r="F227" s="157">
        <v>45866.54166666666</v>
      </c>
      <c r="G227" s="158">
        <v>45910.45833333334</v>
      </c>
      <c r="H227" s="158">
        <v>45915.45833333334</v>
      </c>
      <c r="I227" s="157">
        <v>45922.45833333334</v>
      </c>
      <c r="J227" s="158">
        <v>45929.45833333334</v>
      </c>
      <c r="K227" s="157">
        <v>45943.41666666666</v>
      </c>
      <c r="L227" s="158">
        <v>45944.58333333334</v>
      </c>
      <c r="M227" s="158"/>
      <c r="N227" s="157">
        <v>45957.41666666666</v>
      </c>
      <c r="O227" s="157">
        <v>45964.58333333334</v>
      </c>
      <c r="P227" s="157">
        <v>45971.54166666666</v>
      </c>
      <c r="Q227" s="157">
        <v>45985.58333333334</v>
      </c>
      <c r="R227" s="157">
        <v>45992.54166666666</v>
      </c>
      <c r="S227" s="157">
        <v>45999.41666666666</v>
      </c>
      <c r="T227" s="157" t="s">
        <v>815</v>
      </c>
      <c r="U227" s="158">
        <v>46048.41666666666</v>
      </c>
      <c r="V227" s="159">
        <f t="shared" si="2"/>
        <v>46048.41667</v>
      </c>
      <c r="W227" s="160"/>
      <c r="X227" s="160"/>
      <c r="Y227" s="161"/>
    </row>
    <row r="228" ht="15.75" customHeight="1">
      <c r="A228" s="146" t="s">
        <v>576</v>
      </c>
      <c r="B228" s="146" t="str">
        <f>IFERROR(VLOOKUP(A228&amp;"", STUDENTS!A:B, 2, 0), "")</f>
        <v>QUÁCH NHẬT TRUNG</v>
      </c>
      <c r="C228" s="147" t="s">
        <v>72</v>
      </c>
      <c r="D228" s="147" t="str">
        <f>IFERROR(VLOOKUP(C228, PIC!A:B, 2, 0), "")</f>
        <v>Thien Truong</v>
      </c>
      <c r="E228" s="148" t="s">
        <v>21</v>
      </c>
      <c r="F228" s="149">
        <v>45670.54166666666</v>
      </c>
      <c r="G228" s="150">
        <v>45679.375</v>
      </c>
      <c r="H228" s="150">
        <v>45698.45833333334</v>
      </c>
      <c r="I228" s="149">
        <v>45705.45833333334</v>
      </c>
      <c r="J228" s="150">
        <v>45712.54166666666</v>
      </c>
      <c r="K228" s="149">
        <v>45761.45833333334</v>
      </c>
      <c r="L228" s="150">
        <v>45769.45833333334</v>
      </c>
      <c r="M228" s="150">
        <v>45782.45833333334</v>
      </c>
      <c r="N228" s="149" t="s">
        <v>815</v>
      </c>
      <c r="O228" s="149">
        <v>45803.54166666666</v>
      </c>
      <c r="P228" s="149">
        <v>45812.41666666666</v>
      </c>
      <c r="Q228" s="149">
        <v>45832.375</v>
      </c>
      <c r="R228" s="149"/>
      <c r="S228" s="149"/>
      <c r="T228" s="149"/>
      <c r="U228" s="150"/>
      <c r="V228" s="151">
        <f t="shared" si="2"/>
        <v>45832.375</v>
      </c>
      <c r="W228" s="152"/>
      <c r="X228" s="152"/>
      <c r="Y228" s="161"/>
    </row>
    <row r="229" ht="15.75" customHeight="1">
      <c r="A229" s="154" t="s">
        <v>576</v>
      </c>
      <c r="B229" s="154" t="str">
        <f>IFERROR(VLOOKUP(A229&amp;"", STUDENTS!A:B, 2, 0), "")</f>
        <v>QUÁCH NHẬT TRUNG</v>
      </c>
      <c r="C229" s="155" t="s">
        <v>72</v>
      </c>
      <c r="D229" s="155" t="str">
        <f>IFERROR(VLOOKUP(C229, PIC!A:B, 2, 0), "")</f>
        <v>Thien Truong</v>
      </c>
      <c r="E229" s="156" t="s">
        <v>22</v>
      </c>
      <c r="F229" s="157">
        <v>45866.54166666666</v>
      </c>
      <c r="G229" s="158" t="s">
        <v>815</v>
      </c>
      <c r="H229" s="158">
        <v>45915.45833333334</v>
      </c>
      <c r="I229" s="157">
        <v>45922.45833333334</v>
      </c>
      <c r="J229" s="158">
        <v>45929.45833333334</v>
      </c>
      <c r="K229" s="157">
        <v>45943.41666666666</v>
      </c>
      <c r="L229" s="158">
        <v>45944.58333333334</v>
      </c>
      <c r="M229" s="158"/>
      <c r="N229" s="157">
        <v>45957.41666666666</v>
      </c>
      <c r="O229" s="157">
        <v>45964.58333333334</v>
      </c>
      <c r="P229" s="157">
        <v>45971.54166666666</v>
      </c>
      <c r="Q229" s="157">
        <v>45985.58333333334</v>
      </c>
      <c r="R229" s="157">
        <v>45992.54166666666</v>
      </c>
      <c r="S229" s="157">
        <v>45999.41666666666</v>
      </c>
      <c r="T229" s="157">
        <v>46006.45833333334</v>
      </c>
      <c r="U229" s="158">
        <v>46048.41666666666</v>
      </c>
      <c r="V229" s="159">
        <f t="shared" si="2"/>
        <v>46048.41667</v>
      </c>
      <c r="W229" s="160"/>
      <c r="X229" s="160"/>
      <c r="Y229" s="161"/>
    </row>
    <row r="230" ht="15.75" customHeight="1">
      <c r="A230" s="146" t="s">
        <v>683</v>
      </c>
      <c r="B230" s="146" t="str">
        <f>IFERROR(VLOOKUP(A230&amp;"", STUDENTS!A:B, 2, 0), "")</f>
        <v>TRƯƠNG TRUNG THIÊN</v>
      </c>
      <c r="C230" s="147" t="s">
        <v>72</v>
      </c>
      <c r="D230" s="147" t="str">
        <f>IFERROR(VLOOKUP(C230, PIC!A:B, 2, 0), "")</f>
        <v>Thien Truong</v>
      </c>
      <c r="E230" s="148" t="s">
        <v>21</v>
      </c>
      <c r="F230" s="149">
        <v>45670.54166666666</v>
      </c>
      <c r="G230" s="150">
        <v>45679.375</v>
      </c>
      <c r="H230" s="150">
        <v>45698.45833333334</v>
      </c>
      <c r="I230" s="149">
        <v>45705.45833333334</v>
      </c>
      <c r="J230" s="150">
        <v>45712.54166666666</v>
      </c>
      <c r="K230" s="149">
        <v>45761.45833333334</v>
      </c>
      <c r="L230" s="150">
        <v>45769.45833333334</v>
      </c>
      <c r="M230" s="150">
        <v>45782.45833333334</v>
      </c>
      <c r="N230" s="149">
        <v>45789.45833333334</v>
      </c>
      <c r="O230" s="149" t="s">
        <v>815</v>
      </c>
      <c r="P230" s="149">
        <v>45812.41666666666</v>
      </c>
      <c r="Q230" s="149">
        <v>45832.375</v>
      </c>
      <c r="R230" s="149"/>
      <c r="S230" s="149"/>
      <c r="T230" s="149"/>
      <c r="U230" s="150"/>
      <c r="V230" s="151">
        <f t="shared" si="2"/>
        <v>45832.375</v>
      </c>
      <c r="W230" s="152"/>
      <c r="X230" s="152"/>
      <c r="Y230" s="161"/>
    </row>
    <row r="231" ht="15.75" customHeight="1">
      <c r="A231" s="154" t="s">
        <v>683</v>
      </c>
      <c r="B231" s="154" t="str">
        <f>IFERROR(VLOOKUP(A231&amp;"", STUDENTS!A:B, 2, 0), "")</f>
        <v>TRƯƠNG TRUNG THIÊN</v>
      </c>
      <c r="C231" s="155" t="s">
        <v>72</v>
      </c>
      <c r="D231" s="155" t="str">
        <f>IFERROR(VLOOKUP(C231, PIC!A:B, 2, 0), "")</f>
        <v>Thien Truong</v>
      </c>
      <c r="E231" s="156" t="s">
        <v>22</v>
      </c>
      <c r="F231" s="157">
        <v>45866.54166666666</v>
      </c>
      <c r="G231" s="158" t="s">
        <v>815</v>
      </c>
      <c r="H231" s="158">
        <v>45915.45833333334</v>
      </c>
      <c r="I231" s="157">
        <v>45922.45833333334</v>
      </c>
      <c r="J231" s="158">
        <v>45929.45833333334</v>
      </c>
      <c r="K231" s="157">
        <v>45943.41666666666</v>
      </c>
      <c r="L231" s="158">
        <v>45944.58333333334</v>
      </c>
      <c r="M231" s="158"/>
      <c r="N231" s="157">
        <v>45957.41666666666</v>
      </c>
      <c r="O231" s="157">
        <v>45964.58333333334</v>
      </c>
      <c r="P231" s="157" t="s">
        <v>815</v>
      </c>
      <c r="Q231" s="157">
        <v>45985.58333333334</v>
      </c>
      <c r="R231" s="157">
        <v>45992.54166666666</v>
      </c>
      <c r="S231" s="157">
        <v>45999.41666666666</v>
      </c>
      <c r="T231" s="157">
        <v>46006.45833333334</v>
      </c>
      <c r="U231" s="158">
        <v>46048.41666666666</v>
      </c>
      <c r="V231" s="159">
        <f t="shared" si="2"/>
        <v>46048.41667</v>
      </c>
      <c r="W231" s="160"/>
      <c r="X231" s="160"/>
      <c r="Y231" s="161"/>
    </row>
    <row r="232" ht="15.75" customHeight="1">
      <c r="A232" s="146" t="s">
        <v>683</v>
      </c>
      <c r="B232" s="146" t="str">
        <f>IFERROR(VLOOKUP(A232&amp;"", STUDENTS!A:B, 2, 0), "")</f>
        <v>TRƯƠNG TRUNG THIÊN</v>
      </c>
      <c r="C232" s="147" t="s">
        <v>72</v>
      </c>
      <c r="D232" s="147" t="str">
        <f>IFERROR(VLOOKUP(C232, PIC!A:B, 2, 0), "")</f>
        <v>Thien Truong</v>
      </c>
      <c r="E232" s="148" t="s">
        <v>23</v>
      </c>
      <c r="F232" s="149">
        <v>46084.58333333334</v>
      </c>
      <c r="G232" s="150">
        <v>46099.45833333334</v>
      </c>
      <c r="H232" s="150" t="s">
        <v>815</v>
      </c>
      <c r="I232" s="149">
        <v>46119.45833333334</v>
      </c>
      <c r="J232" s="150">
        <v>46127.54166666666</v>
      </c>
      <c r="K232" s="149">
        <v>46134.58333333334</v>
      </c>
      <c r="L232" s="150"/>
      <c r="M232" s="150"/>
      <c r="N232" s="149"/>
      <c r="O232" s="149"/>
      <c r="P232" s="149"/>
      <c r="Q232" s="149"/>
      <c r="R232" s="149"/>
      <c r="S232" s="149"/>
      <c r="T232" s="149"/>
      <c r="U232" s="150"/>
      <c r="V232" s="151">
        <f t="shared" si="2"/>
        <v>46134.58333</v>
      </c>
      <c r="W232" s="152"/>
      <c r="X232" s="152"/>
      <c r="Y232" s="161"/>
    </row>
    <row r="233" ht="15.75" customHeight="1">
      <c r="A233" s="154" t="s">
        <v>309</v>
      </c>
      <c r="B233" s="154" t="str">
        <f>IFERROR(VLOOKUP(A233&amp;"", STUDENTS!A:B, 2, 0), "")</f>
        <v>LƯƠNG CÔNG KỲ</v>
      </c>
      <c r="C233" s="155" t="s">
        <v>73</v>
      </c>
      <c r="D233" s="155" t="str">
        <f>IFERROR(VLOOKUP(C233, PIC!A:B, 2, 0), "")</f>
        <v>Ky Luong</v>
      </c>
      <c r="E233" s="156" t="s">
        <v>21</v>
      </c>
      <c r="F233" s="157">
        <v>45765.375</v>
      </c>
      <c r="G233" s="158">
        <v>45783.41666666666</v>
      </c>
      <c r="H233" s="158">
        <v>45790.41666666666</v>
      </c>
      <c r="I233" s="157">
        <v>45804.41666666666</v>
      </c>
      <c r="J233" s="158">
        <v>45811.625</v>
      </c>
      <c r="K233" s="157">
        <v>45818.625</v>
      </c>
      <c r="L233" s="158">
        <v>45825.625</v>
      </c>
      <c r="M233" s="158">
        <v>45832.625</v>
      </c>
      <c r="N233" s="157">
        <v>45846.625</v>
      </c>
      <c r="O233" s="157">
        <v>45867.58333333334</v>
      </c>
      <c r="P233" s="157"/>
      <c r="Q233" s="157"/>
      <c r="R233" s="157"/>
      <c r="S233" s="157"/>
      <c r="T233" s="157"/>
      <c r="U233" s="158"/>
      <c r="V233" s="159">
        <f t="shared" si="2"/>
        <v>45867.58333</v>
      </c>
      <c r="W233" s="160"/>
      <c r="X233" s="160"/>
      <c r="Y233" s="161"/>
    </row>
    <row r="234" ht="15.75" customHeight="1">
      <c r="A234" s="146" t="s">
        <v>332</v>
      </c>
      <c r="B234" s="146" t="str">
        <f>IFERROR(VLOOKUP(A234&amp;"", STUDENTS!A:B, 2, 0), "")</f>
        <v>NGUYỄN BÁ NGỌC</v>
      </c>
      <c r="C234" s="147" t="s">
        <v>73</v>
      </c>
      <c r="D234" s="147" t="str">
        <f>IFERROR(VLOOKUP(C234, PIC!A:B, 2, 0), "")</f>
        <v>Ky Luong</v>
      </c>
      <c r="E234" s="148" t="s">
        <v>21</v>
      </c>
      <c r="F234" s="149">
        <v>45765.375</v>
      </c>
      <c r="G234" s="150">
        <v>45783.41666666666</v>
      </c>
      <c r="H234" s="150">
        <v>45790.41666666666</v>
      </c>
      <c r="I234" s="149">
        <v>45804.41666666666</v>
      </c>
      <c r="J234" s="150">
        <v>45811.625</v>
      </c>
      <c r="K234" s="149">
        <v>45818.625</v>
      </c>
      <c r="L234" s="150">
        <v>45825.625</v>
      </c>
      <c r="M234" s="150">
        <v>45832.625</v>
      </c>
      <c r="N234" s="149">
        <v>45846.625</v>
      </c>
      <c r="O234" s="149">
        <v>45867.58333333334</v>
      </c>
      <c r="P234" s="149"/>
      <c r="Q234" s="149"/>
      <c r="R234" s="149"/>
      <c r="S234" s="149"/>
      <c r="T234" s="149"/>
      <c r="U234" s="150"/>
      <c r="V234" s="151">
        <f t="shared" si="2"/>
        <v>45867.58333</v>
      </c>
      <c r="W234" s="152"/>
      <c r="X234" s="152"/>
      <c r="Y234" s="161"/>
    </row>
    <row r="235" ht="15.75" customHeight="1">
      <c r="A235" s="154" t="s">
        <v>419</v>
      </c>
      <c r="B235" s="154" t="str">
        <f>IFERROR(VLOOKUP(A235&amp;"", STUDENTS!A:B, 2, 0), "")</f>
        <v>NGUYỄN NHẬT HÀO</v>
      </c>
      <c r="C235" s="155" t="s">
        <v>73</v>
      </c>
      <c r="D235" s="155" t="str">
        <f>IFERROR(VLOOKUP(C235, PIC!A:B, 2, 0), "")</f>
        <v>Ky Luong</v>
      </c>
      <c r="E235" s="156" t="s">
        <v>21</v>
      </c>
      <c r="F235" s="157">
        <v>45765.375</v>
      </c>
      <c r="G235" s="158">
        <v>45783.41666666666</v>
      </c>
      <c r="H235" s="158">
        <v>45790.41666666666</v>
      </c>
      <c r="I235" s="157">
        <v>45804.41666666666</v>
      </c>
      <c r="J235" s="158">
        <v>45811.625</v>
      </c>
      <c r="K235" s="157">
        <v>45818.625</v>
      </c>
      <c r="L235" s="158">
        <v>45825.625</v>
      </c>
      <c r="M235" s="158">
        <v>45832.625</v>
      </c>
      <c r="N235" s="157">
        <v>45846.625</v>
      </c>
      <c r="O235" s="157">
        <v>45867.58333333334</v>
      </c>
      <c r="P235" s="157"/>
      <c r="Q235" s="157"/>
      <c r="R235" s="157"/>
      <c r="S235" s="157"/>
      <c r="T235" s="157"/>
      <c r="U235" s="158"/>
      <c r="V235" s="159">
        <f t="shared" si="2"/>
        <v>45867.58333</v>
      </c>
      <c r="W235" s="160"/>
      <c r="X235" s="160"/>
      <c r="Y235" s="161"/>
    </row>
    <row r="236" ht="15.75" customHeight="1">
      <c r="A236" s="146" t="s">
        <v>562</v>
      </c>
      <c r="B236" s="146" t="str">
        <f>IFERROR(VLOOKUP(A236&amp;"", STUDENTS!A:B, 2, 0), "")</f>
        <v>PHAN HUY NHÂN</v>
      </c>
      <c r="C236" s="147" t="s">
        <v>73</v>
      </c>
      <c r="D236" s="147" t="str">
        <f>IFERROR(VLOOKUP(C236, PIC!A:B, 2, 0), "")</f>
        <v>Ky Luong</v>
      </c>
      <c r="E236" s="148" t="s">
        <v>21</v>
      </c>
      <c r="F236" s="149">
        <v>45765.375</v>
      </c>
      <c r="G236" s="150">
        <v>45783.41666666666</v>
      </c>
      <c r="H236" s="150">
        <v>45790.41666666666</v>
      </c>
      <c r="I236" s="149">
        <v>45804.41666666666</v>
      </c>
      <c r="J236" s="150">
        <v>45811.625</v>
      </c>
      <c r="K236" s="149">
        <v>45818.625</v>
      </c>
      <c r="L236" s="150">
        <v>45825.625</v>
      </c>
      <c r="M236" s="150" t="s">
        <v>815</v>
      </c>
      <c r="N236" s="149">
        <v>45846.625</v>
      </c>
      <c r="O236" s="149">
        <v>45867.58333333334</v>
      </c>
      <c r="P236" s="149"/>
      <c r="Q236" s="149"/>
      <c r="R236" s="149"/>
      <c r="S236" s="149"/>
      <c r="T236" s="149"/>
      <c r="U236" s="150"/>
      <c r="V236" s="151">
        <f t="shared" si="2"/>
        <v>45867.58333</v>
      </c>
      <c r="W236" s="152"/>
      <c r="X236" s="152"/>
      <c r="Y236" s="161"/>
    </row>
    <row r="237" ht="15.75" customHeight="1">
      <c r="A237" s="154" t="s">
        <v>693</v>
      </c>
      <c r="B237" s="154" t="str">
        <f>IFERROR(VLOOKUP(A237&amp;"", STUDENTS!A:B, 2, 0), "")</f>
        <v>VÕ CHÍ THIỆN</v>
      </c>
      <c r="C237" s="155" t="s">
        <v>73</v>
      </c>
      <c r="D237" s="155" t="str">
        <f>IFERROR(VLOOKUP(C237, PIC!A:B, 2, 0), "")</f>
        <v>Ky Luong</v>
      </c>
      <c r="E237" s="156" t="s">
        <v>21</v>
      </c>
      <c r="F237" s="157">
        <v>45765.375</v>
      </c>
      <c r="G237" s="158">
        <v>45783.41666666666</v>
      </c>
      <c r="H237" s="158">
        <v>45790.41666666666</v>
      </c>
      <c r="I237" s="157">
        <v>45804.41666666666</v>
      </c>
      <c r="J237" s="158">
        <v>45811.625</v>
      </c>
      <c r="K237" s="157">
        <v>45818.625</v>
      </c>
      <c r="L237" s="158">
        <v>45825.625</v>
      </c>
      <c r="M237" s="158">
        <v>45832.625</v>
      </c>
      <c r="N237" s="157">
        <v>45846.625</v>
      </c>
      <c r="O237" s="157">
        <v>45867.58333333334</v>
      </c>
      <c r="P237" s="157"/>
      <c r="Q237" s="157"/>
      <c r="R237" s="157"/>
      <c r="S237" s="157"/>
      <c r="T237" s="157"/>
      <c r="U237" s="158"/>
      <c r="V237" s="159">
        <f t="shared" si="2"/>
        <v>45867.58333</v>
      </c>
      <c r="W237" s="160"/>
      <c r="X237" s="160"/>
      <c r="Y237" s="161"/>
    </row>
    <row r="238" ht="15.75" customHeight="1">
      <c r="A238" s="146" t="s">
        <v>186</v>
      </c>
      <c r="B238" s="146" t="str">
        <f>IFERROR(VLOOKUP(A238&amp;"", STUDENTS!A:B, 2, 0), "")</f>
        <v>ĐOÀN ANH MINH</v>
      </c>
      <c r="C238" s="147" t="s">
        <v>74</v>
      </c>
      <c r="D238" s="147" t="str">
        <f>IFERROR(VLOOKUP(C238, PIC!A:B, 2, 0), "")</f>
        <v>Dung Hoang</v>
      </c>
      <c r="E238" s="148" t="s">
        <v>21</v>
      </c>
      <c r="F238" s="149">
        <v>45813.375</v>
      </c>
      <c r="G238" s="150">
        <v>45818.375</v>
      </c>
      <c r="H238" s="150">
        <v>45827.375</v>
      </c>
      <c r="I238" s="149">
        <v>45831.375</v>
      </c>
      <c r="J238" s="150">
        <v>45917.45833333334</v>
      </c>
      <c r="K238" s="149">
        <v>45923.45833333334</v>
      </c>
      <c r="L238" s="150">
        <v>45926.625</v>
      </c>
      <c r="M238" s="150">
        <v>45939.58333333334</v>
      </c>
      <c r="N238" s="149">
        <v>45940.54166666666</v>
      </c>
      <c r="O238" s="149">
        <v>45947.45833333334</v>
      </c>
      <c r="P238" s="149">
        <v>45957.58333333334</v>
      </c>
      <c r="Q238" s="149">
        <v>45964.45833333334</v>
      </c>
      <c r="R238" s="149">
        <v>45971.58333333334</v>
      </c>
      <c r="S238" s="149">
        <v>45985.41666666666</v>
      </c>
      <c r="T238" s="149"/>
      <c r="U238" s="150"/>
      <c r="V238" s="151">
        <f t="shared" si="2"/>
        <v>45985.41667</v>
      </c>
      <c r="W238" s="152"/>
      <c r="X238" s="152"/>
      <c r="Y238" s="161"/>
    </row>
    <row r="239" ht="15.75" customHeight="1">
      <c r="A239" s="154" t="s">
        <v>186</v>
      </c>
      <c r="B239" s="154" t="str">
        <f>IFERROR(VLOOKUP(A239&amp;"", STUDENTS!A:B, 2, 0), "")</f>
        <v>ĐOÀN ANH MINH</v>
      </c>
      <c r="C239" s="155" t="s">
        <v>74</v>
      </c>
      <c r="D239" s="155" t="str">
        <f>IFERROR(VLOOKUP(C239, PIC!A:B, 2, 0), "")</f>
        <v>Dung Hoang</v>
      </c>
      <c r="E239" s="156" t="s">
        <v>22</v>
      </c>
      <c r="F239" s="157"/>
      <c r="G239" s="158">
        <v>46106.41666666666</v>
      </c>
      <c r="H239" s="158" t="s">
        <v>815</v>
      </c>
      <c r="I239" s="157">
        <v>46119.58333333334</v>
      </c>
      <c r="J239" s="158">
        <v>46126.41666666666</v>
      </c>
      <c r="K239" s="157">
        <v>46135.41666666666</v>
      </c>
      <c r="L239" s="158"/>
      <c r="M239" s="158"/>
      <c r="N239" s="157"/>
      <c r="O239" s="157"/>
      <c r="P239" s="157"/>
      <c r="Q239" s="157"/>
      <c r="R239" s="157"/>
      <c r="S239" s="157"/>
      <c r="T239" s="157"/>
      <c r="U239" s="158"/>
      <c r="V239" s="159">
        <f t="shared" si="2"/>
        <v>46135.41667</v>
      </c>
      <c r="W239" s="160"/>
      <c r="X239" s="160"/>
      <c r="Y239" s="161"/>
    </row>
    <row r="240" ht="15.75" customHeight="1">
      <c r="A240" s="146" t="s">
        <v>186</v>
      </c>
      <c r="B240" s="146" t="str">
        <f>IFERROR(VLOOKUP(A240&amp;"", STUDENTS!A:B, 2, 0), "")</f>
        <v>ĐOÀN ANH MINH</v>
      </c>
      <c r="C240" s="147" t="s">
        <v>74</v>
      </c>
      <c r="D240" s="147" t="str">
        <f>IFERROR(VLOOKUP(C240, PIC!A:B, 2, 0), "")</f>
        <v>Dung Hoang</v>
      </c>
      <c r="E240" s="148" t="s">
        <v>25</v>
      </c>
      <c r="F240" s="149">
        <v>45818.375</v>
      </c>
      <c r="G240" s="150">
        <v>45827.375</v>
      </c>
      <c r="H240" s="150">
        <v>45831.375</v>
      </c>
      <c r="I240" s="149">
        <v>45840.45833333334</v>
      </c>
      <c r="J240" s="150">
        <v>45852.45833333334</v>
      </c>
      <c r="K240" s="149">
        <v>45855.45833333334</v>
      </c>
      <c r="L240" s="150">
        <v>45866.45833333334</v>
      </c>
      <c r="M240" s="150">
        <v>45881.625</v>
      </c>
      <c r="N240" s="149">
        <v>45884.58333333334</v>
      </c>
      <c r="O240" s="149">
        <v>45884.625</v>
      </c>
      <c r="P240" s="149">
        <v>45887.41666666666</v>
      </c>
      <c r="Q240" s="149">
        <v>45903.45833333334</v>
      </c>
      <c r="R240" s="149">
        <v>45904.45833333334</v>
      </c>
      <c r="S240" s="149">
        <v>45909.45833333334</v>
      </c>
      <c r="T240" s="149">
        <v>45989.625</v>
      </c>
      <c r="U240" s="150">
        <v>46041.41666666666</v>
      </c>
      <c r="V240" s="151">
        <f t="shared" si="2"/>
        <v>46041.41667</v>
      </c>
      <c r="W240" s="152"/>
      <c r="X240" s="152"/>
      <c r="Y240" s="161"/>
    </row>
    <row r="241" ht="15.75" customHeight="1">
      <c r="A241" s="154" t="s">
        <v>224</v>
      </c>
      <c r="B241" s="154" t="str">
        <f>IFERROR(VLOOKUP(A241&amp;"", STUDENTS!A:B, 2, 0), "")</f>
        <v>HOÀNG TIẾN DŨNG</v>
      </c>
      <c r="C241" s="155" t="s">
        <v>74</v>
      </c>
      <c r="D241" s="155" t="str">
        <f>IFERROR(VLOOKUP(C241, PIC!A:B, 2, 0), "")</f>
        <v>Dung Hoang</v>
      </c>
      <c r="E241" s="156" t="s">
        <v>21</v>
      </c>
      <c r="F241" s="157">
        <v>45813.375</v>
      </c>
      <c r="G241" s="158">
        <v>45818.375</v>
      </c>
      <c r="H241" s="158">
        <v>45827.375</v>
      </c>
      <c r="I241" s="157" t="s">
        <v>815</v>
      </c>
      <c r="J241" s="158">
        <v>45917.45833333334</v>
      </c>
      <c r="K241" s="157">
        <v>45923.45833333334</v>
      </c>
      <c r="L241" s="158">
        <v>45926.625</v>
      </c>
      <c r="M241" s="158">
        <v>45939.58333333334</v>
      </c>
      <c r="N241" s="157">
        <v>45940.54166666666</v>
      </c>
      <c r="O241" s="157">
        <v>45947.45833333334</v>
      </c>
      <c r="P241" s="157">
        <v>45957.58333333334</v>
      </c>
      <c r="Q241" s="157">
        <v>45964.45833333334</v>
      </c>
      <c r="R241" s="157">
        <v>45971.58333333334</v>
      </c>
      <c r="S241" s="157">
        <v>45985.41666666666</v>
      </c>
      <c r="T241" s="157"/>
      <c r="U241" s="158"/>
      <c r="V241" s="159">
        <f t="shared" si="2"/>
        <v>45985.41667</v>
      </c>
      <c r="W241" s="160"/>
      <c r="X241" s="160"/>
      <c r="Y241" s="161"/>
    </row>
    <row r="242" ht="15.75" customHeight="1">
      <c r="A242" s="146" t="s">
        <v>224</v>
      </c>
      <c r="B242" s="146" t="str">
        <f>IFERROR(VLOOKUP(A242&amp;"", STUDENTS!A:B, 2, 0), "")</f>
        <v>HOÀNG TIẾN DŨNG</v>
      </c>
      <c r="C242" s="147" t="s">
        <v>74</v>
      </c>
      <c r="D242" s="147" t="str">
        <f>IFERROR(VLOOKUP(C242, PIC!A:B, 2, 0), "")</f>
        <v>Dung Hoang</v>
      </c>
      <c r="E242" s="148" t="s">
        <v>22</v>
      </c>
      <c r="F242" s="149"/>
      <c r="G242" s="150">
        <v>46106.41666666666</v>
      </c>
      <c r="H242" s="150">
        <v>46114.45833333334</v>
      </c>
      <c r="I242" s="149">
        <v>46119.58333333334</v>
      </c>
      <c r="J242" s="150">
        <v>46126.41666666666</v>
      </c>
      <c r="K242" s="149">
        <v>46135.41666666666</v>
      </c>
      <c r="L242" s="150"/>
      <c r="M242" s="150"/>
      <c r="N242" s="149"/>
      <c r="O242" s="149"/>
      <c r="P242" s="149"/>
      <c r="Q242" s="149"/>
      <c r="R242" s="149"/>
      <c r="S242" s="149"/>
      <c r="T242" s="149"/>
      <c r="U242" s="150"/>
      <c r="V242" s="151">
        <f t="shared" si="2"/>
        <v>46135.41667</v>
      </c>
      <c r="W242" s="152"/>
      <c r="X242" s="152"/>
      <c r="Y242" s="161"/>
    </row>
    <row r="243" ht="15.75" customHeight="1">
      <c r="A243" s="154" t="s">
        <v>224</v>
      </c>
      <c r="B243" s="154" t="str">
        <f>IFERROR(VLOOKUP(A243&amp;"", STUDENTS!A:B, 2, 0), "")</f>
        <v>HOÀNG TIẾN DŨNG</v>
      </c>
      <c r="C243" s="155" t="s">
        <v>74</v>
      </c>
      <c r="D243" s="155" t="str">
        <f>IFERROR(VLOOKUP(C243, PIC!A:B, 2, 0), "")</f>
        <v>Dung Hoang</v>
      </c>
      <c r="E243" s="156" t="s">
        <v>25</v>
      </c>
      <c r="F243" s="157">
        <v>45818.375</v>
      </c>
      <c r="G243" s="158">
        <v>45827.375</v>
      </c>
      <c r="H243" s="158" t="s">
        <v>815</v>
      </c>
      <c r="I243" s="157">
        <v>45840.45833333334</v>
      </c>
      <c r="J243" s="158">
        <v>45852.45833333334</v>
      </c>
      <c r="K243" s="157">
        <v>45855.45833333334</v>
      </c>
      <c r="L243" s="158">
        <v>45866.45833333334</v>
      </c>
      <c r="M243" s="158">
        <v>45881.625</v>
      </c>
      <c r="N243" s="157">
        <v>45884.58333333334</v>
      </c>
      <c r="O243" s="157">
        <v>45884.625</v>
      </c>
      <c r="P243" s="157">
        <v>45887.41666666666</v>
      </c>
      <c r="Q243" s="157">
        <v>45903.45833333334</v>
      </c>
      <c r="R243" s="157">
        <v>45904.45833333334</v>
      </c>
      <c r="S243" s="157">
        <v>45909.45833333334</v>
      </c>
      <c r="T243" s="157">
        <v>45989.625</v>
      </c>
      <c r="U243" s="158">
        <v>46041.41666666666</v>
      </c>
      <c r="V243" s="159">
        <f t="shared" si="2"/>
        <v>46041.41667</v>
      </c>
      <c r="W243" s="160"/>
      <c r="X243" s="160"/>
      <c r="Y243" s="161"/>
    </row>
    <row r="244" ht="15.75" customHeight="1">
      <c r="A244" s="146" t="s">
        <v>382</v>
      </c>
      <c r="B244" s="146" t="str">
        <f>IFERROR(VLOOKUP(A244&amp;"", STUDENTS!A:B, 2, 0), "")</f>
        <v>NGUYỄN HOÀNG PHÚC</v>
      </c>
      <c r="C244" s="147" t="s">
        <v>74</v>
      </c>
      <c r="D244" s="147" t="str">
        <f>IFERROR(VLOOKUP(C244, PIC!A:B, 2, 0), "")</f>
        <v>Dung Hoang</v>
      </c>
      <c r="E244" s="148" t="s">
        <v>21</v>
      </c>
      <c r="F244" s="149" t="s">
        <v>815</v>
      </c>
      <c r="G244" s="150">
        <v>45818.375</v>
      </c>
      <c r="H244" s="150">
        <v>45827.375</v>
      </c>
      <c r="I244" s="149" t="s">
        <v>815</v>
      </c>
      <c r="J244" s="150">
        <v>45917.45833333334</v>
      </c>
      <c r="K244" s="149">
        <v>45923.45833333334</v>
      </c>
      <c r="L244" s="150">
        <v>45926.625</v>
      </c>
      <c r="M244" s="150">
        <v>45939.58333333334</v>
      </c>
      <c r="N244" s="149" t="s">
        <v>815</v>
      </c>
      <c r="O244" s="149">
        <v>45947.45833333334</v>
      </c>
      <c r="P244" s="149">
        <v>45957.58333333334</v>
      </c>
      <c r="Q244" s="149">
        <v>45964.45833333334</v>
      </c>
      <c r="R244" s="149" t="s">
        <v>815</v>
      </c>
      <c r="S244" s="149">
        <v>45985.41666666666</v>
      </c>
      <c r="T244" s="149"/>
      <c r="U244" s="150"/>
      <c r="V244" s="151">
        <f t="shared" si="2"/>
        <v>45985.41667</v>
      </c>
      <c r="W244" s="152"/>
      <c r="X244" s="152"/>
      <c r="Y244" s="161"/>
    </row>
    <row r="245" ht="15.75" customHeight="1">
      <c r="A245" s="154" t="s">
        <v>382</v>
      </c>
      <c r="B245" s="154" t="str">
        <f>IFERROR(VLOOKUP(A245&amp;"", STUDENTS!A:B, 2, 0), "")</f>
        <v>NGUYỄN HOÀNG PHÚC</v>
      </c>
      <c r="C245" s="155" t="s">
        <v>74</v>
      </c>
      <c r="D245" s="155" t="str">
        <f>IFERROR(VLOOKUP(C245, PIC!A:B, 2, 0), "")</f>
        <v>Dung Hoang</v>
      </c>
      <c r="E245" s="156" t="s">
        <v>22</v>
      </c>
      <c r="F245" s="157"/>
      <c r="G245" s="158">
        <v>46106.41666666666</v>
      </c>
      <c r="H245" s="158">
        <v>46114.45833333334</v>
      </c>
      <c r="I245" s="157">
        <v>46119.58333333334</v>
      </c>
      <c r="J245" s="158">
        <v>46126.41666666666</v>
      </c>
      <c r="K245" s="157">
        <v>46135.41666666666</v>
      </c>
      <c r="L245" s="158"/>
      <c r="M245" s="158"/>
      <c r="N245" s="157"/>
      <c r="O245" s="157"/>
      <c r="P245" s="157"/>
      <c r="Q245" s="157"/>
      <c r="R245" s="157"/>
      <c r="S245" s="157"/>
      <c r="T245" s="157"/>
      <c r="U245" s="158"/>
      <c r="V245" s="159">
        <f t="shared" si="2"/>
        <v>46135.41667</v>
      </c>
      <c r="W245" s="160"/>
      <c r="X245" s="160"/>
      <c r="Y245" s="161"/>
    </row>
    <row r="246" ht="15.75" customHeight="1">
      <c r="A246" s="146" t="s">
        <v>382</v>
      </c>
      <c r="B246" s="146" t="str">
        <f>IFERROR(VLOOKUP(A246&amp;"", STUDENTS!A:B, 2, 0), "")</f>
        <v>NGUYỄN HOÀNG PHÚC</v>
      </c>
      <c r="C246" s="147" t="s">
        <v>74</v>
      </c>
      <c r="D246" s="147" t="str">
        <f>IFERROR(VLOOKUP(C246, PIC!A:B, 2, 0), "")</f>
        <v>Dung Hoang</v>
      </c>
      <c r="E246" s="148" t="s">
        <v>25</v>
      </c>
      <c r="F246" s="149">
        <v>45818.375</v>
      </c>
      <c r="G246" s="150">
        <v>45827.375</v>
      </c>
      <c r="H246" s="150" t="s">
        <v>815</v>
      </c>
      <c r="I246" s="149">
        <v>45840.45833333334</v>
      </c>
      <c r="J246" s="150">
        <v>45852.45833333334</v>
      </c>
      <c r="K246" s="149">
        <v>45855.45833333334</v>
      </c>
      <c r="L246" s="150">
        <v>45866.45833333334</v>
      </c>
      <c r="M246" s="150">
        <v>45881.625</v>
      </c>
      <c r="N246" s="149">
        <v>45884.58333333334</v>
      </c>
      <c r="O246" s="149">
        <v>45884.625</v>
      </c>
      <c r="P246" s="149">
        <v>45887.41666666666</v>
      </c>
      <c r="Q246" s="149">
        <v>45903.45833333334</v>
      </c>
      <c r="R246" s="149">
        <v>45904.45833333334</v>
      </c>
      <c r="S246" s="149">
        <v>45909.45833333334</v>
      </c>
      <c r="T246" s="149">
        <v>45989.625</v>
      </c>
      <c r="U246" s="150">
        <v>46041.41666666666</v>
      </c>
      <c r="V246" s="151">
        <f t="shared" si="2"/>
        <v>46041.41667</v>
      </c>
      <c r="W246" s="152"/>
      <c r="X246" s="152"/>
      <c r="Y246" s="161"/>
    </row>
    <row r="247" ht="15.75" customHeight="1">
      <c r="A247" s="154" t="s">
        <v>425</v>
      </c>
      <c r="B247" s="154" t="str">
        <f>IFERROR(VLOOKUP(A247&amp;"", STUDENTS!A:B, 2, 0), "")</f>
        <v>NGUYỄN PHÚC THANH TOÀN</v>
      </c>
      <c r="C247" s="155" t="s">
        <v>74</v>
      </c>
      <c r="D247" s="155" t="str">
        <f>IFERROR(VLOOKUP(C247, PIC!A:B, 2, 0), "")</f>
        <v>Dung Hoang</v>
      </c>
      <c r="E247" s="156" t="s">
        <v>21</v>
      </c>
      <c r="F247" s="157">
        <v>45813.375</v>
      </c>
      <c r="G247" s="158">
        <v>45818.375</v>
      </c>
      <c r="H247" s="158">
        <v>45827.375</v>
      </c>
      <c r="I247" s="157">
        <v>45831.375</v>
      </c>
      <c r="J247" s="158">
        <v>45917.45833333334</v>
      </c>
      <c r="K247" s="157">
        <v>45923.45833333334</v>
      </c>
      <c r="L247" s="158">
        <v>45926.625</v>
      </c>
      <c r="M247" s="158">
        <v>45939.58333333334</v>
      </c>
      <c r="N247" s="157">
        <v>45940.54166666666</v>
      </c>
      <c r="O247" s="157">
        <v>45947.45833333334</v>
      </c>
      <c r="P247" s="157">
        <v>45957.58333333334</v>
      </c>
      <c r="Q247" s="157">
        <v>45964.45833333334</v>
      </c>
      <c r="R247" s="157">
        <v>45971.58333333334</v>
      </c>
      <c r="S247" s="157">
        <v>45985.41666666666</v>
      </c>
      <c r="T247" s="157"/>
      <c r="U247" s="158"/>
      <c r="V247" s="159">
        <f t="shared" si="2"/>
        <v>45985.41667</v>
      </c>
      <c r="W247" s="160"/>
      <c r="X247" s="160"/>
      <c r="Y247" s="161"/>
    </row>
    <row r="248" ht="15.75" customHeight="1">
      <c r="A248" s="146" t="s">
        <v>425</v>
      </c>
      <c r="B248" s="146" t="str">
        <f>IFERROR(VLOOKUP(A248&amp;"", STUDENTS!A:B, 2, 0), "")</f>
        <v>NGUYỄN PHÚC THANH TOÀN</v>
      </c>
      <c r="C248" s="147" t="s">
        <v>74</v>
      </c>
      <c r="D248" s="147" t="str">
        <f>IFERROR(VLOOKUP(C248, PIC!A:B, 2, 0), "")</f>
        <v>Dung Hoang</v>
      </c>
      <c r="E248" s="148" t="s">
        <v>22</v>
      </c>
      <c r="F248" s="149"/>
      <c r="G248" s="150">
        <v>46106.41666666666</v>
      </c>
      <c r="H248" s="150">
        <v>46114.45833333334</v>
      </c>
      <c r="I248" s="149">
        <v>46119.58333333334</v>
      </c>
      <c r="J248" s="150">
        <v>46126.41666666666</v>
      </c>
      <c r="K248" s="149">
        <v>46135.41666666666</v>
      </c>
      <c r="L248" s="150"/>
      <c r="M248" s="150"/>
      <c r="N248" s="149"/>
      <c r="O248" s="149"/>
      <c r="P248" s="149"/>
      <c r="Q248" s="149"/>
      <c r="R248" s="149"/>
      <c r="S248" s="149"/>
      <c r="T248" s="149"/>
      <c r="U248" s="150"/>
      <c r="V248" s="151">
        <f t="shared" si="2"/>
        <v>46135.41667</v>
      </c>
      <c r="W248" s="152"/>
      <c r="X248" s="152"/>
      <c r="Y248" s="161"/>
    </row>
    <row r="249" ht="15.75" customHeight="1">
      <c r="A249" s="154" t="s">
        <v>425</v>
      </c>
      <c r="B249" s="154" t="str">
        <f>IFERROR(VLOOKUP(A249&amp;"", STUDENTS!A:B, 2, 0), "")</f>
        <v>NGUYỄN PHÚC THANH TOÀN</v>
      </c>
      <c r="C249" s="155" t="s">
        <v>74</v>
      </c>
      <c r="D249" s="155" t="str">
        <f>IFERROR(VLOOKUP(C249, PIC!A:B, 2, 0), "")</f>
        <v>Dung Hoang</v>
      </c>
      <c r="E249" s="156" t="s">
        <v>25</v>
      </c>
      <c r="F249" s="157">
        <v>45818.375</v>
      </c>
      <c r="G249" s="158">
        <v>45827.375</v>
      </c>
      <c r="H249" s="158">
        <v>45831.375</v>
      </c>
      <c r="I249" s="157">
        <v>45840.45833333334</v>
      </c>
      <c r="J249" s="158">
        <v>45852.45833333334</v>
      </c>
      <c r="K249" s="157">
        <v>45855.45833333334</v>
      </c>
      <c r="L249" s="158">
        <v>45866.45833333334</v>
      </c>
      <c r="M249" s="158" t="s">
        <v>815</v>
      </c>
      <c r="N249" s="157">
        <v>45884.58333333334</v>
      </c>
      <c r="O249" s="157">
        <v>45884.625</v>
      </c>
      <c r="P249" s="157">
        <v>45887.41666666666</v>
      </c>
      <c r="Q249" s="157">
        <v>45903.45833333334</v>
      </c>
      <c r="R249" s="157">
        <v>45904.45833333334</v>
      </c>
      <c r="S249" s="157">
        <v>45909.45833333334</v>
      </c>
      <c r="T249" s="157">
        <v>45989.625</v>
      </c>
      <c r="U249" s="158">
        <v>46041.41666666666</v>
      </c>
      <c r="V249" s="159">
        <f t="shared" si="2"/>
        <v>46041.41667</v>
      </c>
      <c r="W249" s="160"/>
      <c r="X249" s="160"/>
      <c r="Y249" s="161"/>
    </row>
    <row r="250" ht="15.75" customHeight="1">
      <c r="A250" s="146" t="s">
        <v>431</v>
      </c>
      <c r="B250" s="146" t="str">
        <f>IFERROR(VLOOKUP(A250&amp;"", STUDENTS!A:B, 2, 0), "")</f>
        <v>NGUYỄN QUANG TRUNG</v>
      </c>
      <c r="C250" s="147" t="s">
        <v>74</v>
      </c>
      <c r="D250" s="147" t="str">
        <f>IFERROR(VLOOKUP(C250, PIC!A:B, 2, 0), "")</f>
        <v>Dung Hoang</v>
      </c>
      <c r="E250" s="148" t="s">
        <v>21</v>
      </c>
      <c r="F250" s="149">
        <v>45813.375</v>
      </c>
      <c r="G250" s="150">
        <v>45818.375</v>
      </c>
      <c r="H250" s="150">
        <v>45827.375</v>
      </c>
      <c r="I250" s="149">
        <v>45831.375</v>
      </c>
      <c r="J250" s="150">
        <v>45917.45833333334</v>
      </c>
      <c r="K250" s="149">
        <v>45923.45833333334</v>
      </c>
      <c r="L250" s="150">
        <v>45926.625</v>
      </c>
      <c r="M250" s="150">
        <v>45939.58333333334</v>
      </c>
      <c r="N250" s="149">
        <v>45940.54166666666</v>
      </c>
      <c r="O250" s="149">
        <v>45947.45833333334</v>
      </c>
      <c r="P250" s="149">
        <v>45957.58333333334</v>
      </c>
      <c r="Q250" s="149">
        <v>45964.45833333334</v>
      </c>
      <c r="R250" s="149">
        <v>45971.58333333334</v>
      </c>
      <c r="S250" s="149">
        <v>45985.41666666666</v>
      </c>
      <c r="T250" s="149"/>
      <c r="U250" s="150"/>
      <c r="V250" s="151">
        <f t="shared" si="2"/>
        <v>45985.41667</v>
      </c>
      <c r="W250" s="152"/>
      <c r="X250" s="152"/>
      <c r="Y250" s="161"/>
    </row>
    <row r="251" ht="15.75" customHeight="1">
      <c r="A251" s="154" t="s">
        <v>431</v>
      </c>
      <c r="B251" s="154" t="str">
        <f>IFERROR(VLOOKUP(A251&amp;"", STUDENTS!A:B, 2, 0), "")</f>
        <v>NGUYỄN QUANG TRUNG</v>
      </c>
      <c r="C251" s="155" t="s">
        <v>74</v>
      </c>
      <c r="D251" s="155" t="str">
        <f>IFERROR(VLOOKUP(C251, PIC!A:B, 2, 0), "")</f>
        <v>Dung Hoang</v>
      </c>
      <c r="E251" s="156" t="s">
        <v>22</v>
      </c>
      <c r="F251" s="157"/>
      <c r="G251" s="158">
        <v>46106.41666666666</v>
      </c>
      <c r="H251" s="158">
        <v>46114.45833333334</v>
      </c>
      <c r="I251" s="157">
        <v>46119.58333333334</v>
      </c>
      <c r="J251" s="158">
        <v>46126.41666666666</v>
      </c>
      <c r="K251" s="157">
        <v>46135.41666666666</v>
      </c>
      <c r="L251" s="158"/>
      <c r="M251" s="158"/>
      <c r="N251" s="157"/>
      <c r="O251" s="157"/>
      <c r="P251" s="157"/>
      <c r="Q251" s="157"/>
      <c r="R251" s="157"/>
      <c r="S251" s="157"/>
      <c r="T251" s="157"/>
      <c r="U251" s="158"/>
      <c r="V251" s="159">
        <f t="shared" si="2"/>
        <v>46135.41667</v>
      </c>
      <c r="W251" s="160"/>
      <c r="X251" s="160"/>
      <c r="Y251" s="161"/>
    </row>
    <row r="252" ht="15.75" customHeight="1">
      <c r="A252" s="146" t="s">
        <v>431</v>
      </c>
      <c r="B252" s="146" t="str">
        <f>IFERROR(VLOOKUP(A252&amp;"", STUDENTS!A:B, 2, 0), "")</f>
        <v>NGUYỄN QUANG TRUNG</v>
      </c>
      <c r="C252" s="147" t="s">
        <v>74</v>
      </c>
      <c r="D252" s="147" t="str">
        <f>IFERROR(VLOOKUP(C252, PIC!A:B, 2, 0), "")</f>
        <v>Dung Hoang</v>
      </c>
      <c r="E252" s="148" t="s">
        <v>25</v>
      </c>
      <c r="F252" s="149">
        <v>45818.375</v>
      </c>
      <c r="G252" s="150">
        <v>45827.375</v>
      </c>
      <c r="H252" s="150">
        <v>45831.375</v>
      </c>
      <c r="I252" s="149">
        <v>45840.45833333334</v>
      </c>
      <c r="J252" s="150">
        <v>45852.45833333334</v>
      </c>
      <c r="K252" s="149">
        <v>45855.45833333334</v>
      </c>
      <c r="L252" s="150">
        <v>45866.45833333334</v>
      </c>
      <c r="M252" s="150">
        <v>45881.625</v>
      </c>
      <c r="N252" s="149">
        <v>45884.58333333334</v>
      </c>
      <c r="O252" s="149">
        <v>45884.625</v>
      </c>
      <c r="P252" s="149">
        <v>45887.41666666666</v>
      </c>
      <c r="Q252" s="149">
        <v>45903.45833333334</v>
      </c>
      <c r="R252" s="149">
        <v>45904.45833333334</v>
      </c>
      <c r="S252" s="149">
        <v>45909.45833333334</v>
      </c>
      <c r="T252" s="149">
        <v>45989.625</v>
      </c>
      <c r="U252" s="150">
        <v>46041.41666666666</v>
      </c>
      <c r="V252" s="151">
        <f t="shared" si="2"/>
        <v>46041.41667</v>
      </c>
      <c r="W252" s="152"/>
      <c r="X252" s="152"/>
      <c r="Y252" s="161"/>
    </row>
    <row r="253" ht="15.75" customHeight="1">
      <c r="A253" s="154" t="s">
        <v>453</v>
      </c>
      <c r="B253" s="154" t="str">
        <f>IFERROR(VLOOKUP(A253&amp;"", STUDENTS!A:B, 2, 0), "")</f>
        <v>NGUYỄN THÀNH PHƯỚC</v>
      </c>
      <c r="C253" s="155" t="s">
        <v>74</v>
      </c>
      <c r="D253" s="155" t="str">
        <f>IFERROR(VLOOKUP(C253, PIC!A:B, 2, 0), "")</f>
        <v>Dung Hoang</v>
      </c>
      <c r="E253" s="156" t="s">
        <v>21</v>
      </c>
      <c r="F253" s="157" t="s">
        <v>815</v>
      </c>
      <c r="G253" s="158">
        <v>45818.375</v>
      </c>
      <c r="H253" s="158">
        <v>45827.375</v>
      </c>
      <c r="I253" s="157">
        <v>45831.375</v>
      </c>
      <c r="J253" s="158">
        <v>45917.45833333334</v>
      </c>
      <c r="K253" s="157">
        <v>45923.45833333334</v>
      </c>
      <c r="L253" s="158">
        <v>45926.625</v>
      </c>
      <c r="M253" s="158">
        <v>45939.58333333334</v>
      </c>
      <c r="N253" s="157">
        <v>45940.54166666666</v>
      </c>
      <c r="O253" s="157">
        <v>45947.45833333334</v>
      </c>
      <c r="P253" s="157">
        <v>45957.58333333334</v>
      </c>
      <c r="Q253" s="157">
        <v>45964.45833333334</v>
      </c>
      <c r="R253" s="157">
        <v>45971.58333333334</v>
      </c>
      <c r="S253" s="157">
        <v>45985.41666666666</v>
      </c>
      <c r="T253" s="157"/>
      <c r="U253" s="158"/>
      <c r="V253" s="159">
        <f t="shared" si="2"/>
        <v>45985.41667</v>
      </c>
      <c r="W253" s="160"/>
      <c r="X253" s="160"/>
      <c r="Y253" s="161"/>
    </row>
    <row r="254" ht="15.75" customHeight="1">
      <c r="A254" s="146" t="s">
        <v>453</v>
      </c>
      <c r="B254" s="146" t="str">
        <f>IFERROR(VLOOKUP(A254&amp;"", STUDENTS!A:B, 2, 0), "")</f>
        <v>NGUYỄN THÀNH PHƯỚC</v>
      </c>
      <c r="C254" s="147" t="s">
        <v>74</v>
      </c>
      <c r="D254" s="147" t="str">
        <f>IFERROR(VLOOKUP(C254, PIC!A:B, 2, 0), "")</f>
        <v>Dung Hoang</v>
      </c>
      <c r="E254" s="148" t="s">
        <v>22</v>
      </c>
      <c r="F254" s="149"/>
      <c r="G254" s="150">
        <v>46106.41666666666</v>
      </c>
      <c r="H254" s="150">
        <v>46114.45833333334</v>
      </c>
      <c r="I254" s="149">
        <v>46119.58333333334</v>
      </c>
      <c r="J254" s="150">
        <v>46126.41666666666</v>
      </c>
      <c r="K254" s="149">
        <v>46135.41666666666</v>
      </c>
      <c r="L254" s="150"/>
      <c r="M254" s="150"/>
      <c r="N254" s="149"/>
      <c r="O254" s="149"/>
      <c r="P254" s="149"/>
      <c r="Q254" s="149"/>
      <c r="R254" s="149"/>
      <c r="S254" s="149"/>
      <c r="T254" s="149"/>
      <c r="U254" s="150"/>
      <c r="V254" s="151">
        <f t="shared" si="2"/>
        <v>46135.41667</v>
      </c>
      <c r="W254" s="152"/>
      <c r="X254" s="152"/>
      <c r="Y254" s="161"/>
    </row>
    <row r="255" ht="15.75" customHeight="1">
      <c r="A255" s="154" t="s">
        <v>453</v>
      </c>
      <c r="B255" s="154" t="str">
        <f>IFERROR(VLOOKUP(A255&amp;"", STUDENTS!A:B, 2, 0), "")</f>
        <v>NGUYỄN THÀNH PHƯỚC</v>
      </c>
      <c r="C255" s="155" t="s">
        <v>74</v>
      </c>
      <c r="D255" s="155" t="str">
        <f>IFERROR(VLOOKUP(C255, PIC!A:B, 2, 0), "")</f>
        <v>Dung Hoang</v>
      </c>
      <c r="E255" s="156" t="s">
        <v>25</v>
      </c>
      <c r="F255" s="157">
        <v>45818.375</v>
      </c>
      <c r="G255" s="158">
        <v>45827.375</v>
      </c>
      <c r="H255" s="158">
        <v>45831.375</v>
      </c>
      <c r="I255" s="157">
        <v>45840.45833333334</v>
      </c>
      <c r="J255" s="158">
        <v>45852.45833333334</v>
      </c>
      <c r="K255" s="157">
        <v>45855.45833333334</v>
      </c>
      <c r="L255" s="158">
        <v>45866.45833333334</v>
      </c>
      <c r="M255" s="158">
        <v>45881.625</v>
      </c>
      <c r="N255" s="157">
        <v>45884.58333333334</v>
      </c>
      <c r="O255" s="157">
        <v>45884.625</v>
      </c>
      <c r="P255" s="157">
        <v>45887.41666666666</v>
      </c>
      <c r="Q255" s="157">
        <v>45903.45833333334</v>
      </c>
      <c r="R255" s="157">
        <v>45904.45833333334</v>
      </c>
      <c r="S255" s="157" t="s">
        <v>815</v>
      </c>
      <c r="T255" s="157">
        <v>45989.625</v>
      </c>
      <c r="U255" s="158">
        <v>46041.41666666666</v>
      </c>
      <c r="V255" s="159">
        <f t="shared" si="2"/>
        <v>46041.41667</v>
      </c>
      <c r="W255" s="160"/>
      <c r="X255" s="160"/>
      <c r="Y255" s="161"/>
    </row>
    <row r="256" ht="15.75" customHeight="1">
      <c r="A256" s="146" t="s">
        <v>492</v>
      </c>
      <c r="B256" s="146" t="str">
        <f>IFERROR(VLOOKUP(A256&amp;"", STUDENTS!A:B, 2, 0), "")</f>
        <v>NGUYỄN TRẦN NGỌC HƯNG</v>
      </c>
      <c r="C256" s="147" t="s">
        <v>74</v>
      </c>
      <c r="D256" s="147" t="str">
        <f>IFERROR(VLOOKUP(C256, PIC!A:B, 2, 0), "")</f>
        <v>Dung Hoang</v>
      </c>
      <c r="E256" s="148" t="s">
        <v>21</v>
      </c>
      <c r="F256" s="149" t="s">
        <v>815</v>
      </c>
      <c r="G256" s="150"/>
      <c r="H256" s="150"/>
      <c r="I256" s="149"/>
      <c r="J256" s="150" t="s">
        <v>815</v>
      </c>
      <c r="K256" s="149" t="s">
        <v>815</v>
      </c>
      <c r="L256" s="150"/>
      <c r="M256" s="150" t="s">
        <v>815</v>
      </c>
      <c r="N256" s="149" t="s">
        <v>815</v>
      </c>
      <c r="O256" s="149" t="s">
        <v>815</v>
      </c>
      <c r="P256" s="149" t="s">
        <v>815</v>
      </c>
      <c r="Q256" s="149" t="s">
        <v>815</v>
      </c>
      <c r="R256" s="149" t="s">
        <v>815</v>
      </c>
      <c r="S256" s="149" t="s">
        <v>815</v>
      </c>
      <c r="T256" s="149"/>
      <c r="U256" s="150"/>
      <c r="V256" s="151">
        <f t="shared" si="2"/>
        <v>0</v>
      </c>
      <c r="W256" s="152"/>
      <c r="X256" s="152"/>
      <c r="Y256" s="161"/>
    </row>
    <row r="257" ht="15.75" customHeight="1">
      <c r="A257" s="154" t="s">
        <v>492</v>
      </c>
      <c r="B257" s="154" t="str">
        <f>IFERROR(VLOOKUP(A257&amp;"", STUDENTS!A:B, 2, 0), "")</f>
        <v>NGUYỄN TRẦN NGỌC HƯNG</v>
      </c>
      <c r="C257" s="155" t="s">
        <v>74</v>
      </c>
      <c r="D257" s="155" t="str">
        <f>IFERROR(VLOOKUP(C257, PIC!A:B, 2, 0), "")</f>
        <v>Dung Hoang</v>
      </c>
      <c r="E257" s="156" t="s">
        <v>22</v>
      </c>
      <c r="F257" s="157"/>
      <c r="G257" s="158" t="s">
        <v>815</v>
      </c>
      <c r="H257" s="158" t="s">
        <v>815</v>
      </c>
      <c r="I257" s="157" t="s">
        <v>815</v>
      </c>
      <c r="J257" s="158" t="s">
        <v>815</v>
      </c>
      <c r="K257" s="154" t="s">
        <v>815</v>
      </c>
      <c r="L257" s="158"/>
      <c r="M257" s="158"/>
      <c r="N257" s="157"/>
      <c r="O257" s="157"/>
      <c r="P257" s="157"/>
      <c r="Q257" s="157"/>
      <c r="R257" s="157"/>
      <c r="S257" s="157"/>
      <c r="T257" s="157"/>
      <c r="U257" s="158"/>
      <c r="V257" s="159">
        <f t="shared" si="2"/>
        <v>0</v>
      </c>
      <c r="W257" s="160"/>
      <c r="X257" s="160"/>
      <c r="Y257" s="161"/>
    </row>
    <row r="258" ht="15.75" customHeight="1">
      <c r="A258" s="146" t="s">
        <v>591</v>
      </c>
      <c r="B258" s="146" t="str">
        <f>IFERROR(VLOOKUP(A258&amp;"", STUDENTS!A:B, 2, 0), "")</f>
        <v>THỚI PHI LONG</v>
      </c>
      <c r="C258" s="147" t="s">
        <v>74</v>
      </c>
      <c r="D258" s="147" t="str">
        <f>IFERROR(VLOOKUP(C258, PIC!A:B, 2, 0), "")</f>
        <v>Dung Hoang</v>
      </c>
      <c r="E258" s="148" t="s">
        <v>21</v>
      </c>
      <c r="F258" s="149">
        <v>45813.375</v>
      </c>
      <c r="G258" s="150">
        <v>45818.375</v>
      </c>
      <c r="H258" s="150" t="s">
        <v>815</v>
      </c>
      <c r="I258" s="149" t="s">
        <v>815</v>
      </c>
      <c r="J258" s="150" t="s">
        <v>815</v>
      </c>
      <c r="K258" s="149" t="s">
        <v>815</v>
      </c>
      <c r="L258" s="150"/>
      <c r="M258" s="150" t="s">
        <v>815</v>
      </c>
      <c r="N258" s="149" t="s">
        <v>815</v>
      </c>
      <c r="O258" s="149" t="s">
        <v>815</v>
      </c>
      <c r="P258" s="149" t="s">
        <v>815</v>
      </c>
      <c r="Q258" s="149" t="s">
        <v>815</v>
      </c>
      <c r="R258" s="149" t="s">
        <v>815</v>
      </c>
      <c r="S258" s="149" t="s">
        <v>815</v>
      </c>
      <c r="T258" s="149"/>
      <c r="U258" s="150"/>
      <c r="V258" s="151">
        <f t="shared" si="2"/>
        <v>45818.375</v>
      </c>
      <c r="W258" s="152"/>
      <c r="X258" s="152"/>
      <c r="Y258" s="161"/>
    </row>
    <row r="259" ht="15.75" customHeight="1">
      <c r="A259" s="154" t="s">
        <v>591</v>
      </c>
      <c r="B259" s="154" t="str">
        <f>IFERROR(VLOOKUP(A259&amp;"", STUDENTS!A:B, 2, 0), "")</f>
        <v>THỚI PHI LONG</v>
      </c>
      <c r="C259" s="155" t="s">
        <v>74</v>
      </c>
      <c r="D259" s="155" t="str">
        <f>IFERROR(VLOOKUP(C259, PIC!A:B, 2, 0), "")</f>
        <v>Dung Hoang</v>
      </c>
      <c r="E259" s="156" t="s">
        <v>22</v>
      </c>
      <c r="F259" s="157"/>
      <c r="G259" s="158" t="s">
        <v>815</v>
      </c>
      <c r="H259" s="158" t="s">
        <v>815</v>
      </c>
      <c r="I259" s="157" t="s">
        <v>815</v>
      </c>
      <c r="J259" s="158" t="s">
        <v>815</v>
      </c>
      <c r="K259" s="154" t="s">
        <v>815</v>
      </c>
      <c r="L259" s="158"/>
      <c r="M259" s="158"/>
      <c r="N259" s="157"/>
      <c r="O259" s="157"/>
      <c r="P259" s="157"/>
      <c r="Q259" s="157"/>
      <c r="R259" s="157"/>
      <c r="S259" s="157"/>
      <c r="T259" s="157"/>
      <c r="U259" s="158"/>
      <c r="V259" s="159">
        <f t="shared" si="2"/>
        <v>0</v>
      </c>
      <c r="W259" s="160"/>
      <c r="X259" s="160"/>
      <c r="Y259" s="161"/>
    </row>
    <row r="260" ht="15.75" customHeight="1">
      <c r="A260" s="146" t="s">
        <v>173</v>
      </c>
      <c r="B260" s="146" t="str">
        <f>IFERROR(VLOOKUP(A260&amp;"", STUDENTS!A:B, 2, 0), "")</f>
        <v>ĐỖ GIA KHÁNH</v>
      </c>
      <c r="C260" s="147" t="s">
        <v>75</v>
      </c>
      <c r="D260" s="147" t="str">
        <f>IFERROR(VLOOKUP(C260, PIC!A:B, 2, 0), "")</f>
        <v>Anh To</v>
      </c>
      <c r="E260" s="148" t="s">
        <v>21</v>
      </c>
      <c r="F260" s="149">
        <v>45761.41666666666</v>
      </c>
      <c r="G260" s="150">
        <v>45786.45833333334</v>
      </c>
      <c r="H260" s="150">
        <v>45793.45833333334</v>
      </c>
      <c r="I260" s="149">
        <v>45803.45833333334</v>
      </c>
      <c r="J260" s="150">
        <v>45817.45833333334</v>
      </c>
      <c r="K260" s="149">
        <v>45824.45833333334</v>
      </c>
      <c r="L260" s="150">
        <v>45852.625</v>
      </c>
      <c r="M260" s="150">
        <v>45859.375</v>
      </c>
      <c r="N260" s="149">
        <v>45866.41666666666</v>
      </c>
      <c r="O260" s="149">
        <v>45894.54166666666</v>
      </c>
      <c r="P260" s="149"/>
      <c r="Q260" s="149"/>
      <c r="R260" s="149"/>
      <c r="S260" s="149"/>
      <c r="T260" s="149"/>
      <c r="U260" s="150"/>
      <c r="V260" s="151">
        <f t="shared" si="2"/>
        <v>45894.54167</v>
      </c>
      <c r="W260" s="152"/>
      <c r="X260" s="152"/>
      <c r="Y260" s="161"/>
    </row>
    <row r="261" ht="15.75" customHeight="1">
      <c r="A261" s="154" t="s">
        <v>173</v>
      </c>
      <c r="B261" s="154" t="str">
        <f>IFERROR(VLOOKUP(A261&amp;"", STUDENTS!A:B, 2, 0), "")</f>
        <v>ĐỖ GIA KHÁNH</v>
      </c>
      <c r="C261" s="155" t="s">
        <v>75</v>
      </c>
      <c r="D261" s="155" t="str">
        <f>IFERROR(VLOOKUP(C261, PIC!A:B, 2, 0), "")</f>
        <v>Anh To</v>
      </c>
      <c r="E261" s="156" t="s">
        <v>22</v>
      </c>
      <c r="F261" s="157">
        <v>45922.41666666666</v>
      </c>
      <c r="G261" s="158">
        <v>45926.54166666666</v>
      </c>
      <c r="H261" s="158">
        <v>45929.41666666666</v>
      </c>
      <c r="I261" s="157"/>
      <c r="J261" s="158">
        <v>45947.41666666666</v>
      </c>
      <c r="K261" s="157">
        <v>45950.41666666666</v>
      </c>
      <c r="L261" s="158">
        <v>45971.625</v>
      </c>
      <c r="M261" s="158">
        <v>45980.625</v>
      </c>
      <c r="N261" s="157">
        <v>46008.625</v>
      </c>
      <c r="O261" s="157">
        <v>46017.625</v>
      </c>
      <c r="P261" s="157">
        <v>46041.625</v>
      </c>
      <c r="Q261" s="157">
        <v>46048.54166666666</v>
      </c>
      <c r="R261" s="157">
        <v>46086.41666666666</v>
      </c>
      <c r="S261" s="157">
        <v>46087.41666666666</v>
      </c>
      <c r="T261" s="157">
        <v>46094.41666666666</v>
      </c>
      <c r="U261" s="158"/>
      <c r="V261" s="159">
        <f t="shared" si="2"/>
        <v>46094.41667</v>
      </c>
      <c r="W261" s="160"/>
      <c r="X261" s="160"/>
      <c r="Y261" s="161"/>
    </row>
    <row r="262" ht="15.75" customHeight="1">
      <c r="A262" s="146" t="s">
        <v>281</v>
      </c>
      <c r="B262" s="146" t="str">
        <f>IFERROR(VLOOKUP(A262&amp;"", STUDENTS!A:B, 2, 0), "")</f>
        <v>LÊ PHƯỚC THIỆN</v>
      </c>
      <c r="C262" s="147" t="s">
        <v>75</v>
      </c>
      <c r="D262" s="147" t="str">
        <f>IFERROR(VLOOKUP(C262, PIC!A:B, 2, 0), "")</f>
        <v>Anh To</v>
      </c>
      <c r="E262" s="148" t="s">
        <v>21</v>
      </c>
      <c r="F262" s="149">
        <v>45761.41666666666</v>
      </c>
      <c r="G262" s="150">
        <v>45786.45833333334</v>
      </c>
      <c r="H262" s="150">
        <v>45793.45833333334</v>
      </c>
      <c r="I262" s="149">
        <v>45803.45833333334</v>
      </c>
      <c r="J262" s="150">
        <v>45817.45833333334</v>
      </c>
      <c r="K262" s="149">
        <v>45824.45833333334</v>
      </c>
      <c r="L262" s="150">
        <v>45852.625</v>
      </c>
      <c r="M262" s="150">
        <v>45859.375</v>
      </c>
      <c r="N262" s="149" t="s">
        <v>815</v>
      </c>
      <c r="O262" s="149">
        <v>45894.54166666666</v>
      </c>
      <c r="P262" s="149"/>
      <c r="Q262" s="149"/>
      <c r="R262" s="149"/>
      <c r="S262" s="149"/>
      <c r="T262" s="149"/>
      <c r="U262" s="150"/>
      <c r="V262" s="151">
        <f t="shared" si="2"/>
        <v>45894.54167</v>
      </c>
      <c r="W262" s="152"/>
      <c r="X262" s="152"/>
      <c r="Y262" s="161"/>
    </row>
    <row r="263" ht="15.75" customHeight="1">
      <c r="A263" s="154" t="s">
        <v>281</v>
      </c>
      <c r="B263" s="154" t="str">
        <f>IFERROR(VLOOKUP(A263&amp;"", STUDENTS!A:B, 2, 0), "")</f>
        <v>LÊ PHƯỚC THIỆN</v>
      </c>
      <c r="C263" s="155" t="s">
        <v>75</v>
      </c>
      <c r="D263" s="155" t="str">
        <f>IFERROR(VLOOKUP(C263, PIC!A:B, 2, 0), "")</f>
        <v>Anh To</v>
      </c>
      <c r="E263" s="156" t="s">
        <v>22</v>
      </c>
      <c r="F263" s="157">
        <v>45922.41666666666</v>
      </c>
      <c r="G263" s="158">
        <v>45926.54166666666</v>
      </c>
      <c r="H263" s="158">
        <v>45929.41666666666</v>
      </c>
      <c r="I263" s="157"/>
      <c r="J263" s="158" t="s">
        <v>815</v>
      </c>
      <c r="K263" s="157">
        <v>45950.41666666666</v>
      </c>
      <c r="L263" s="158">
        <v>45971.625</v>
      </c>
      <c r="M263" s="158">
        <v>45980.625</v>
      </c>
      <c r="N263" s="157">
        <v>46008.625</v>
      </c>
      <c r="O263" s="157" t="s">
        <v>815</v>
      </c>
      <c r="P263" s="157">
        <v>46041.625</v>
      </c>
      <c r="Q263" s="157">
        <v>46048.54166666666</v>
      </c>
      <c r="R263" s="157">
        <v>46086.41666666666</v>
      </c>
      <c r="S263" s="157" t="s">
        <v>815</v>
      </c>
      <c r="T263" s="157" t="s">
        <v>815</v>
      </c>
      <c r="U263" s="158"/>
      <c r="V263" s="159">
        <f t="shared" si="2"/>
        <v>46086.41667</v>
      </c>
      <c r="W263" s="160"/>
      <c r="X263" s="160"/>
      <c r="Y263" s="161"/>
    </row>
    <row r="264" ht="15.75" customHeight="1">
      <c r="A264" s="146" t="s">
        <v>336</v>
      </c>
      <c r="B264" s="146" t="str">
        <f>IFERROR(VLOOKUP(A264&amp;"", STUDENTS!A:B, 2, 0), "")</f>
        <v>NGUYỄN BẢO ĐẠT</v>
      </c>
      <c r="C264" s="147" t="s">
        <v>75</v>
      </c>
      <c r="D264" s="147" t="str">
        <f>IFERROR(VLOOKUP(C264, PIC!A:B, 2, 0), "")</f>
        <v>Anh To</v>
      </c>
      <c r="E264" s="148" t="s">
        <v>21</v>
      </c>
      <c r="F264" s="149">
        <v>45761.41666666666</v>
      </c>
      <c r="G264" s="150">
        <v>45786.45833333334</v>
      </c>
      <c r="H264" s="150">
        <v>45793.45833333334</v>
      </c>
      <c r="I264" s="149">
        <v>45803.45833333334</v>
      </c>
      <c r="J264" s="150">
        <v>45817.45833333334</v>
      </c>
      <c r="K264" s="149">
        <v>45824.45833333334</v>
      </c>
      <c r="L264" s="150">
        <v>45852.625</v>
      </c>
      <c r="M264" s="150">
        <v>45859.375</v>
      </c>
      <c r="N264" s="149">
        <v>45866.41666666666</v>
      </c>
      <c r="O264" s="149">
        <v>45894.54166666666</v>
      </c>
      <c r="P264" s="149"/>
      <c r="Q264" s="149"/>
      <c r="R264" s="149"/>
      <c r="S264" s="149"/>
      <c r="T264" s="149"/>
      <c r="U264" s="150"/>
      <c r="V264" s="151">
        <f t="shared" si="2"/>
        <v>45894.54167</v>
      </c>
      <c r="W264" s="152"/>
      <c r="X264" s="152"/>
      <c r="Y264" s="161"/>
    </row>
    <row r="265" ht="15.75" customHeight="1">
      <c r="A265" s="154" t="s">
        <v>336</v>
      </c>
      <c r="B265" s="154" t="str">
        <f>IFERROR(VLOOKUP(A265&amp;"", STUDENTS!A:B, 2, 0), "")</f>
        <v>NGUYỄN BẢO ĐẠT</v>
      </c>
      <c r="C265" s="155" t="s">
        <v>75</v>
      </c>
      <c r="D265" s="155" t="str">
        <f>IFERROR(VLOOKUP(C265, PIC!A:B, 2, 0), "")</f>
        <v>Anh To</v>
      </c>
      <c r="E265" s="156" t="s">
        <v>22</v>
      </c>
      <c r="F265" s="157">
        <v>45922.41666666666</v>
      </c>
      <c r="G265" s="158">
        <v>45926.54166666666</v>
      </c>
      <c r="H265" s="158" t="s">
        <v>815</v>
      </c>
      <c r="I265" s="157"/>
      <c r="J265" s="158">
        <v>45947.41666666666</v>
      </c>
      <c r="K265" s="157">
        <v>45950.41666666666</v>
      </c>
      <c r="L265" s="158">
        <v>45971.625</v>
      </c>
      <c r="M265" s="158">
        <v>45980.625</v>
      </c>
      <c r="N265" s="157" t="s">
        <v>815</v>
      </c>
      <c r="O265" s="157">
        <v>46017.625</v>
      </c>
      <c r="P265" s="157">
        <v>46041.625</v>
      </c>
      <c r="Q265" s="157">
        <v>46048.54166666666</v>
      </c>
      <c r="R265" s="157">
        <v>46086.41666666666</v>
      </c>
      <c r="S265" s="157">
        <v>46087.41666666666</v>
      </c>
      <c r="T265" s="157">
        <v>46094.41666666666</v>
      </c>
      <c r="U265" s="158"/>
      <c r="V265" s="159">
        <f t="shared" si="2"/>
        <v>46094.41667</v>
      </c>
      <c r="W265" s="160"/>
      <c r="X265" s="160"/>
      <c r="Y265" s="161"/>
    </row>
    <row r="266" ht="15.75" customHeight="1">
      <c r="A266" s="146" t="s">
        <v>417</v>
      </c>
      <c r="B266" s="146" t="str">
        <f>IFERROR(VLOOKUP(A266&amp;"", STUDENTS!A:B, 2, 0), "")</f>
        <v>NGUYỄN NGỌC PHƯƠNG NHI</v>
      </c>
      <c r="C266" s="147" t="s">
        <v>75</v>
      </c>
      <c r="D266" s="147" t="str">
        <f>IFERROR(VLOOKUP(C266, PIC!A:B, 2, 0), "")</f>
        <v>Anh To</v>
      </c>
      <c r="E266" s="148" t="s">
        <v>21</v>
      </c>
      <c r="F266" s="149">
        <v>45761.41666666666</v>
      </c>
      <c r="G266" s="150" t="s">
        <v>815</v>
      </c>
      <c r="H266" s="150">
        <v>45793.45833333334</v>
      </c>
      <c r="I266" s="149">
        <v>45803.45833333334</v>
      </c>
      <c r="J266" s="150">
        <v>45817.45833333334</v>
      </c>
      <c r="K266" s="149">
        <v>45824.45833333334</v>
      </c>
      <c r="L266" s="150">
        <v>45852.625</v>
      </c>
      <c r="M266" s="150">
        <v>45859.375</v>
      </c>
      <c r="N266" s="149">
        <v>45866.41666666666</v>
      </c>
      <c r="O266" s="149">
        <v>45894.54166666666</v>
      </c>
      <c r="P266" s="149"/>
      <c r="Q266" s="149"/>
      <c r="R266" s="149"/>
      <c r="S266" s="149"/>
      <c r="T266" s="149"/>
      <c r="U266" s="150"/>
      <c r="V266" s="151">
        <f t="shared" si="2"/>
        <v>45894.54167</v>
      </c>
      <c r="W266" s="152"/>
      <c r="X266" s="152"/>
      <c r="Y266" s="161"/>
    </row>
    <row r="267" ht="15.75" customHeight="1">
      <c r="A267" s="154" t="s">
        <v>417</v>
      </c>
      <c r="B267" s="154" t="str">
        <f>IFERROR(VLOOKUP(A267&amp;"", STUDENTS!A:B, 2, 0), "")</f>
        <v>NGUYỄN NGỌC PHƯƠNG NHI</v>
      </c>
      <c r="C267" s="155" t="s">
        <v>75</v>
      </c>
      <c r="D267" s="155" t="str">
        <f>IFERROR(VLOOKUP(C267, PIC!A:B, 2, 0), "")</f>
        <v>Anh To</v>
      </c>
      <c r="E267" s="156" t="s">
        <v>22</v>
      </c>
      <c r="F267" s="157">
        <v>45922.41666666666</v>
      </c>
      <c r="G267" s="158">
        <v>45926.54166666666</v>
      </c>
      <c r="H267" s="158">
        <v>45929.41666666666</v>
      </c>
      <c r="I267" s="157"/>
      <c r="J267" s="158">
        <v>45947.41666666666</v>
      </c>
      <c r="K267" s="157">
        <v>45950.41666666666</v>
      </c>
      <c r="L267" s="158">
        <v>45971.625</v>
      </c>
      <c r="M267" s="158">
        <v>45980.625</v>
      </c>
      <c r="N267" s="157">
        <v>46008.625</v>
      </c>
      <c r="O267" s="157" t="s">
        <v>815</v>
      </c>
      <c r="P267" s="157">
        <v>46041.625</v>
      </c>
      <c r="Q267" s="157">
        <v>46048.54166666666</v>
      </c>
      <c r="R267" s="157">
        <v>46086.41666666666</v>
      </c>
      <c r="S267" s="157">
        <v>46087.41666666666</v>
      </c>
      <c r="T267" s="157">
        <v>46094.41666666666</v>
      </c>
      <c r="U267" s="158"/>
      <c r="V267" s="159">
        <f t="shared" si="2"/>
        <v>46094.41667</v>
      </c>
      <c r="W267" s="160"/>
      <c r="X267" s="160"/>
      <c r="Y267" s="161"/>
    </row>
    <row r="268" ht="15.75" customHeight="1">
      <c r="A268" s="146" t="s">
        <v>587</v>
      </c>
      <c r="B268" s="146" t="str">
        <f>IFERROR(VLOOKUP(A268&amp;"", STUDENTS!A:B, 2, 0), "")</f>
        <v>THÁI NHẬT TÂN</v>
      </c>
      <c r="C268" s="147" t="s">
        <v>75</v>
      </c>
      <c r="D268" s="147" t="str">
        <f>IFERROR(VLOOKUP(C268, PIC!A:B, 2, 0), "")</f>
        <v>Anh To</v>
      </c>
      <c r="E268" s="148" t="s">
        <v>21</v>
      </c>
      <c r="F268" s="149">
        <v>45761.41666666666</v>
      </c>
      <c r="G268" s="150">
        <v>45786.45833333334</v>
      </c>
      <c r="H268" s="150">
        <v>45793.45833333334</v>
      </c>
      <c r="I268" s="149" t="s">
        <v>815</v>
      </c>
      <c r="J268" s="150">
        <v>45817.45833333334</v>
      </c>
      <c r="K268" s="149">
        <v>45824.45833333334</v>
      </c>
      <c r="L268" s="150">
        <v>45852.625</v>
      </c>
      <c r="M268" s="150">
        <v>45859.375</v>
      </c>
      <c r="N268" s="149" t="s">
        <v>815</v>
      </c>
      <c r="O268" s="149">
        <v>45894.54166666666</v>
      </c>
      <c r="P268" s="149"/>
      <c r="Q268" s="149"/>
      <c r="R268" s="149"/>
      <c r="S268" s="149"/>
      <c r="T268" s="149"/>
      <c r="U268" s="150"/>
      <c r="V268" s="151">
        <f t="shared" si="2"/>
        <v>45894.54167</v>
      </c>
      <c r="W268" s="152"/>
      <c r="X268" s="152"/>
      <c r="Y268" s="161"/>
    </row>
    <row r="269" ht="15.75" customHeight="1">
      <c r="A269" s="154" t="s">
        <v>587</v>
      </c>
      <c r="B269" s="154" t="str">
        <f>IFERROR(VLOOKUP(A269&amp;"", STUDENTS!A:B, 2, 0), "")</f>
        <v>THÁI NHẬT TÂN</v>
      </c>
      <c r="C269" s="155" t="s">
        <v>75</v>
      </c>
      <c r="D269" s="155" t="str">
        <f>IFERROR(VLOOKUP(C269, PIC!A:B, 2, 0), "")</f>
        <v>Anh To</v>
      </c>
      <c r="E269" s="156" t="s">
        <v>22</v>
      </c>
      <c r="F269" s="157" t="s">
        <v>815</v>
      </c>
      <c r="G269" s="158" t="s">
        <v>815</v>
      </c>
      <c r="H269" s="158" t="s">
        <v>815</v>
      </c>
      <c r="I269" s="157"/>
      <c r="J269" s="158" t="s">
        <v>815</v>
      </c>
      <c r="K269" s="157" t="s">
        <v>815</v>
      </c>
      <c r="L269" s="158" t="s">
        <v>815</v>
      </c>
      <c r="M269" s="158" t="s">
        <v>815</v>
      </c>
      <c r="N269" s="157" t="s">
        <v>815</v>
      </c>
      <c r="O269" s="157" t="s">
        <v>815</v>
      </c>
      <c r="P269" s="157" t="s">
        <v>815</v>
      </c>
      <c r="Q269" s="157" t="s">
        <v>815</v>
      </c>
      <c r="R269" s="157"/>
      <c r="S269" s="157"/>
      <c r="T269" s="157"/>
      <c r="U269" s="158"/>
      <c r="V269" s="159">
        <f t="shared" si="2"/>
        <v>0</v>
      </c>
      <c r="W269" s="160"/>
      <c r="X269" s="160"/>
      <c r="Y269" s="161"/>
    </row>
    <row r="270" ht="15.75" customHeight="1">
      <c r="A270" s="146" t="s">
        <v>593</v>
      </c>
      <c r="B270" s="146" t="str">
        <f>IFERROR(VLOOKUP(A270&amp;"", STUDENTS!A:B, 2, 0), "")</f>
        <v>TÔ DIỆP THIÊN ANH</v>
      </c>
      <c r="C270" s="147" t="s">
        <v>75</v>
      </c>
      <c r="D270" s="147" t="str">
        <f>IFERROR(VLOOKUP(C270, PIC!A:B, 2, 0), "")</f>
        <v>Anh To</v>
      </c>
      <c r="E270" s="148" t="s">
        <v>21</v>
      </c>
      <c r="F270" s="149">
        <v>45761.41666666666</v>
      </c>
      <c r="G270" s="150">
        <v>45786.45833333334</v>
      </c>
      <c r="H270" s="150" t="s">
        <v>815</v>
      </c>
      <c r="I270" s="149">
        <v>45803.45833333334</v>
      </c>
      <c r="J270" s="150">
        <v>45817.45833333334</v>
      </c>
      <c r="K270" s="149">
        <v>45824.45833333334</v>
      </c>
      <c r="L270" s="150">
        <v>45852.625</v>
      </c>
      <c r="M270" s="150">
        <v>45859.375</v>
      </c>
      <c r="N270" s="149">
        <v>45866.41666666666</v>
      </c>
      <c r="O270" s="149">
        <v>45894.54166666666</v>
      </c>
      <c r="P270" s="149"/>
      <c r="Q270" s="149"/>
      <c r="R270" s="149"/>
      <c r="S270" s="149"/>
      <c r="T270" s="149"/>
      <c r="U270" s="150"/>
      <c r="V270" s="151">
        <f t="shared" si="2"/>
        <v>45894.54167</v>
      </c>
      <c r="W270" s="152"/>
      <c r="X270" s="152"/>
      <c r="Y270" s="161"/>
    </row>
    <row r="271" ht="15.75" customHeight="1">
      <c r="A271" s="154" t="s">
        <v>593</v>
      </c>
      <c r="B271" s="154" t="str">
        <f>IFERROR(VLOOKUP(A271&amp;"", STUDENTS!A:B, 2, 0), "")</f>
        <v>TÔ DIỆP THIÊN ANH</v>
      </c>
      <c r="C271" s="155" t="s">
        <v>75</v>
      </c>
      <c r="D271" s="155" t="str">
        <f>IFERROR(VLOOKUP(C271, PIC!A:B, 2, 0), "")</f>
        <v>Anh To</v>
      </c>
      <c r="E271" s="156" t="s">
        <v>22</v>
      </c>
      <c r="F271" s="157">
        <v>45922.41666666666</v>
      </c>
      <c r="G271" s="158">
        <v>45926.54166666666</v>
      </c>
      <c r="H271" s="158">
        <v>45929.41666666666</v>
      </c>
      <c r="I271" s="157"/>
      <c r="J271" s="158">
        <v>45947.41666666666</v>
      </c>
      <c r="K271" s="157" t="s">
        <v>815</v>
      </c>
      <c r="L271" s="158">
        <v>45971.625</v>
      </c>
      <c r="M271" s="158">
        <v>45980.625</v>
      </c>
      <c r="N271" s="157">
        <v>46008.625</v>
      </c>
      <c r="O271" s="157">
        <v>46017.625</v>
      </c>
      <c r="P271" s="157">
        <v>46041.625</v>
      </c>
      <c r="Q271" s="157">
        <v>46048.54166666666</v>
      </c>
      <c r="R271" s="157">
        <v>46086.41666666666</v>
      </c>
      <c r="S271" s="157">
        <v>46087.41666666666</v>
      </c>
      <c r="T271" s="157">
        <v>46094.41666666666</v>
      </c>
      <c r="U271" s="158"/>
      <c r="V271" s="159">
        <f t="shared" si="2"/>
        <v>46094.41667</v>
      </c>
      <c r="W271" s="160"/>
      <c r="X271" s="160"/>
      <c r="Y271" s="161"/>
    </row>
    <row r="272" ht="15.75" customHeight="1">
      <c r="A272" s="146" t="s">
        <v>210</v>
      </c>
      <c r="B272" s="146" t="str">
        <f>IFERROR(VLOOKUP(A272&amp;"", STUDENTS!A:B, 2, 0), "")</f>
        <v>HỒ HUỲNH THÔNG</v>
      </c>
      <c r="C272" s="147" t="s">
        <v>76</v>
      </c>
      <c r="D272" s="147" t="str">
        <f>IFERROR(VLOOKUP(C272, PIC!A:B, 2, 0), "")</f>
        <v>My Tran</v>
      </c>
      <c r="E272" s="148" t="s">
        <v>21</v>
      </c>
      <c r="F272" s="149">
        <v>45763.54166666666</v>
      </c>
      <c r="G272" s="150">
        <v>45769.54166666666</v>
      </c>
      <c r="H272" s="150">
        <v>45786.41666666666</v>
      </c>
      <c r="I272" s="149">
        <v>45804.54166666666</v>
      </c>
      <c r="J272" s="150">
        <v>45811.58333333334</v>
      </c>
      <c r="K272" s="149">
        <v>45818.58333333334</v>
      </c>
      <c r="L272" s="150">
        <v>45825.58333333334</v>
      </c>
      <c r="M272" s="150">
        <v>45832.58333333334</v>
      </c>
      <c r="N272" s="149">
        <v>45846.58333333334</v>
      </c>
      <c r="O272" s="149">
        <v>45868.375</v>
      </c>
      <c r="P272" s="149"/>
      <c r="Q272" s="149"/>
      <c r="R272" s="149"/>
      <c r="S272" s="149"/>
      <c r="T272" s="149"/>
      <c r="U272" s="150"/>
      <c r="V272" s="151">
        <f t="shared" si="2"/>
        <v>45868.375</v>
      </c>
      <c r="W272" s="152"/>
      <c r="X272" s="152"/>
      <c r="Y272" s="161"/>
    </row>
    <row r="273" ht="15.75" customHeight="1">
      <c r="A273" s="154" t="s">
        <v>210</v>
      </c>
      <c r="B273" s="154" t="str">
        <f>IFERROR(VLOOKUP(A273&amp;"", STUDENTS!A:B, 2, 0), "")</f>
        <v>HỒ HUỲNH THÔNG</v>
      </c>
      <c r="C273" s="155" t="s">
        <v>76</v>
      </c>
      <c r="D273" s="155" t="str">
        <f>IFERROR(VLOOKUP(C273, PIC!A:B, 2, 0), "")</f>
        <v>My Tran</v>
      </c>
      <c r="E273" s="156" t="s">
        <v>22</v>
      </c>
      <c r="F273" s="157">
        <v>45895.58333333334</v>
      </c>
      <c r="G273" s="158">
        <v>45895.58333333334</v>
      </c>
      <c r="H273" s="158" t="s">
        <v>815</v>
      </c>
      <c r="I273" s="157">
        <v>45953.625</v>
      </c>
      <c r="J273" s="158" t="s">
        <v>815</v>
      </c>
      <c r="K273" s="157">
        <v>45964.625</v>
      </c>
      <c r="L273" s="158" t="s">
        <v>815</v>
      </c>
      <c r="M273" s="158">
        <v>45993.58333333334</v>
      </c>
      <c r="N273" s="157">
        <v>46000.58333333334</v>
      </c>
      <c r="O273" s="157">
        <v>46007.58333333334</v>
      </c>
      <c r="P273" s="157">
        <v>46013.58333333334</v>
      </c>
      <c r="Q273" s="157"/>
      <c r="R273" s="157"/>
      <c r="S273" s="157"/>
      <c r="T273" s="157"/>
      <c r="U273" s="158"/>
      <c r="V273" s="159">
        <f t="shared" si="2"/>
        <v>46013.58333</v>
      </c>
      <c r="W273" s="160"/>
      <c r="X273" s="160"/>
      <c r="Y273" s="161"/>
    </row>
    <row r="274" ht="15.75" customHeight="1">
      <c r="A274" s="146" t="s">
        <v>228</v>
      </c>
      <c r="B274" s="146" t="str">
        <f>IFERROR(VLOOKUP(A274&amp;"", STUDENTS!A:B, 2, 0), "")</f>
        <v>HUỲNH BỬU BỬU</v>
      </c>
      <c r="C274" s="147" t="s">
        <v>76</v>
      </c>
      <c r="D274" s="147" t="str">
        <f>IFERROR(VLOOKUP(C274, PIC!A:B, 2, 0), "")</f>
        <v>My Tran</v>
      </c>
      <c r="E274" s="148" t="s">
        <v>22</v>
      </c>
      <c r="F274" s="149">
        <v>45895.58333333334</v>
      </c>
      <c r="G274" s="150" t="s">
        <v>815</v>
      </c>
      <c r="H274" s="150" t="s">
        <v>815</v>
      </c>
      <c r="I274" s="149">
        <v>45923.625</v>
      </c>
      <c r="J274" s="150">
        <v>45930.625</v>
      </c>
      <c r="K274" s="149">
        <v>45964.625</v>
      </c>
      <c r="L274" s="150">
        <v>45979.625</v>
      </c>
      <c r="M274" s="150">
        <v>45993.58333333334</v>
      </c>
      <c r="N274" s="149">
        <v>46000.58333333334</v>
      </c>
      <c r="O274" s="149">
        <v>46007.58333333334</v>
      </c>
      <c r="P274" s="149">
        <v>46013.58333333334</v>
      </c>
      <c r="Q274" s="149"/>
      <c r="R274" s="149"/>
      <c r="S274" s="149"/>
      <c r="T274" s="149"/>
      <c r="U274" s="150"/>
      <c r="V274" s="151">
        <f t="shared" si="2"/>
        <v>46013.58333</v>
      </c>
      <c r="W274" s="152"/>
      <c r="X274" s="152"/>
      <c r="Y274" s="161"/>
    </row>
    <row r="275" ht="15.75" customHeight="1">
      <c r="A275" s="154" t="s">
        <v>399</v>
      </c>
      <c r="B275" s="154" t="str">
        <f>IFERROR(VLOOKUP(A275&amp;"", STUDENTS!A:B, 2, 0), "")</f>
        <v>NGUYỄN LÊ KHOA</v>
      </c>
      <c r="C275" s="155" t="s">
        <v>76</v>
      </c>
      <c r="D275" s="155" t="str">
        <f>IFERROR(VLOOKUP(C275, PIC!A:B, 2, 0), "")</f>
        <v>My Tran</v>
      </c>
      <c r="E275" s="156" t="s">
        <v>22</v>
      </c>
      <c r="F275" s="157">
        <v>45895.58333333334</v>
      </c>
      <c r="G275" s="158">
        <v>45895.58333333334</v>
      </c>
      <c r="H275" s="158">
        <v>45916.625</v>
      </c>
      <c r="I275" s="157">
        <v>45923.625</v>
      </c>
      <c r="J275" s="158">
        <v>45930.625</v>
      </c>
      <c r="K275" s="157">
        <v>45964.625</v>
      </c>
      <c r="L275" s="158">
        <v>45979.625</v>
      </c>
      <c r="M275" s="158">
        <v>45993.58333333334</v>
      </c>
      <c r="N275" s="157">
        <v>46000.58333333334</v>
      </c>
      <c r="O275" s="157" t="s">
        <v>815</v>
      </c>
      <c r="P275" s="157">
        <v>46013.58333333334</v>
      </c>
      <c r="Q275" s="157"/>
      <c r="R275" s="157"/>
      <c r="S275" s="157"/>
      <c r="T275" s="157"/>
      <c r="U275" s="158"/>
      <c r="V275" s="159">
        <f t="shared" si="2"/>
        <v>46013.58333</v>
      </c>
      <c r="W275" s="160"/>
      <c r="X275" s="160"/>
      <c r="Y275" s="161"/>
    </row>
    <row r="276" ht="15.75" customHeight="1">
      <c r="A276" s="146" t="s">
        <v>440</v>
      </c>
      <c r="B276" s="146" t="str">
        <f>IFERROR(VLOOKUP(A276&amp;"", STUDENTS!A:B, 2, 0), "")</f>
        <v>NGUYỄN TẤN HUY</v>
      </c>
      <c r="C276" s="147" t="s">
        <v>76</v>
      </c>
      <c r="D276" s="147" t="str">
        <f>IFERROR(VLOOKUP(C276, PIC!A:B, 2, 0), "")</f>
        <v>My Tran</v>
      </c>
      <c r="E276" s="148" t="s">
        <v>21</v>
      </c>
      <c r="F276" s="149">
        <v>45763.54166666666</v>
      </c>
      <c r="G276" s="150">
        <v>45769.54166666666</v>
      </c>
      <c r="H276" s="150">
        <v>45786.41666666666</v>
      </c>
      <c r="I276" s="149">
        <v>45804.54166666666</v>
      </c>
      <c r="J276" s="150">
        <v>45811.58333333334</v>
      </c>
      <c r="K276" s="149">
        <v>45818.58333333334</v>
      </c>
      <c r="L276" s="150">
        <v>45825.58333333334</v>
      </c>
      <c r="M276" s="150">
        <v>45832.58333333334</v>
      </c>
      <c r="N276" s="149">
        <v>45846.58333333334</v>
      </c>
      <c r="O276" s="149">
        <v>45868.375</v>
      </c>
      <c r="P276" s="149"/>
      <c r="Q276" s="149"/>
      <c r="R276" s="149"/>
      <c r="S276" s="149"/>
      <c r="T276" s="149"/>
      <c r="U276" s="150"/>
      <c r="V276" s="151">
        <f t="shared" si="2"/>
        <v>45868.375</v>
      </c>
      <c r="W276" s="152"/>
      <c r="X276" s="152"/>
      <c r="Y276" s="161"/>
    </row>
    <row r="277" ht="15.75" customHeight="1">
      <c r="A277" s="154" t="s">
        <v>520</v>
      </c>
      <c r="B277" s="154" t="str">
        <f>IFERROR(VLOOKUP(A277&amp;"", STUDENTS!A:B, 2, 0), "")</f>
        <v>PHẠM ĐỨC ÁO</v>
      </c>
      <c r="C277" s="155" t="s">
        <v>76</v>
      </c>
      <c r="D277" s="155" t="str">
        <f>IFERROR(VLOOKUP(C277, PIC!A:B, 2, 0), "")</f>
        <v>My Tran</v>
      </c>
      <c r="E277" s="156" t="s">
        <v>21</v>
      </c>
      <c r="F277" s="157">
        <v>45763.54166666666</v>
      </c>
      <c r="G277" s="158">
        <v>45769.54166666666</v>
      </c>
      <c r="H277" s="158">
        <v>45786.41666666666</v>
      </c>
      <c r="I277" s="157">
        <v>45804.54166666666</v>
      </c>
      <c r="J277" s="158">
        <v>45811.58333333334</v>
      </c>
      <c r="K277" s="157">
        <v>45818.58333333334</v>
      </c>
      <c r="L277" s="158">
        <v>45825.58333333334</v>
      </c>
      <c r="M277" s="158">
        <v>45832.58333333334</v>
      </c>
      <c r="N277" s="157">
        <v>45846.58333333334</v>
      </c>
      <c r="O277" s="157">
        <v>45868.375</v>
      </c>
      <c r="P277" s="157"/>
      <c r="Q277" s="157"/>
      <c r="R277" s="157"/>
      <c r="S277" s="157"/>
      <c r="T277" s="157"/>
      <c r="U277" s="158"/>
      <c r="V277" s="159">
        <f t="shared" si="2"/>
        <v>45868.375</v>
      </c>
      <c r="W277" s="160"/>
      <c r="X277" s="160"/>
      <c r="Y277" s="161"/>
    </row>
    <row r="278" ht="15.75" customHeight="1">
      <c r="A278" s="146" t="s">
        <v>534</v>
      </c>
      <c r="B278" s="146" t="str">
        <f>IFERROR(VLOOKUP(A278&amp;"", STUDENTS!A:B, 2, 0), "")</f>
        <v>PHẠM LÊ HOÀI PHƯƠNG</v>
      </c>
      <c r="C278" s="147" t="s">
        <v>76</v>
      </c>
      <c r="D278" s="147" t="str">
        <f>IFERROR(VLOOKUP(C278, PIC!A:B, 2, 0), "")</f>
        <v>My Tran</v>
      </c>
      <c r="E278" s="148" t="s">
        <v>22</v>
      </c>
      <c r="F278" s="149">
        <v>45895.58333333334</v>
      </c>
      <c r="G278" s="150">
        <v>45895.58333333334</v>
      </c>
      <c r="H278" s="150">
        <v>45916.625</v>
      </c>
      <c r="I278" s="149">
        <v>45923.625</v>
      </c>
      <c r="J278" s="150">
        <v>45930.625</v>
      </c>
      <c r="K278" s="149">
        <v>45964.625</v>
      </c>
      <c r="L278" s="150">
        <v>45979.625</v>
      </c>
      <c r="M278" s="150">
        <v>45993.58333333334</v>
      </c>
      <c r="N278" s="149">
        <v>46000.58333333334</v>
      </c>
      <c r="O278" s="149">
        <v>46007.58333333334</v>
      </c>
      <c r="P278" s="149">
        <v>46013.58333333334</v>
      </c>
      <c r="Q278" s="149"/>
      <c r="R278" s="149"/>
      <c r="S278" s="149"/>
      <c r="T278" s="149"/>
      <c r="U278" s="150"/>
      <c r="V278" s="151">
        <f t="shared" si="2"/>
        <v>46013.58333</v>
      </c>
      <c r="W278" s="152"/>
      <c r="X278" s="152"/>
      <c r="Y278" s="161"/>
    </row>
    <row r="279" ht="15.75" customHeight="1">
      <c r="A279" s="154" t="s">
        <v>595</v>
      </c>
      <c r="B279" s="154" t="str">
        <f>IFERROR(VLOOKUP(A279&amp;"", STUDENTS!A:B, 2, 0), "")</f>
        <v>TÔ PHƯỚC THÁI</v>
      </c>
      <c r="C279" s="155" t="s">
        <v>76</v>
      </c>
      <c r="D279" s="155" t="str">
        <f>IFERROR(VLOOKUP(C279, PIC!A:B, 2, 0), "")</f>
        <v>My Tran</v>
      </c>
      <c r="E279" s="156" t="s">
        <v>21</v>
      </c>
      <c r="F279" s="157">
        <v>45763.54166666666</v>
      </c>
      <c r="G279" s="158">
        <v>45769.54166666666</v>
      </c>
      <c r="H279" s="158" t="s">
        <v>815</v>
      </c>
      <c r="I279" s="157">
        <v>45804.54166666666</v>
      </c>
      <c r="J279" s="158">
        <v>45811.58333333334</v>
      </c>
      <c r="K279" s="157">
        <v>45818.58333333334</v>
      </c>
      <c r="L279" s="158">
        <v>45825.58333333334</v>
      </c>
      <c r="M279" s="158">
        <v>45832.58333333334</v>
      </c>
      <c r="N279" s="157" t="s">
        <v>815</v>
      </c>
      <c r="O279" s="157">
        <v>45868.375</v>
      </c>
      <c r="P279" s="157"/>
      <c r="Q279" s="157"/>
      <c r="R279" s="157"/>
      <c r="S279" s="157"/>
      <c r="T279" s="157"/>
      <c r="U279" s="158"/>
      <c r="V279" s="159">
        <f t="shared" si="2"/>
        <v>45868.375</v>
      </c>
      <c r="W279" s="160"/>
      <c r="X279" s="160"/>
      <c r="Y279" s="161"/>
    </row>
    <row r="280" ht="15.75" customHeight="1">
      <c r="A280" s="146" t="s">
        <v>595</v>
      </c>
      <c r="B280" s="146" t="str">
        <f>IFERROR(VLOOKUP(A280&amp;"", STUDENTS!A:B, 2, 0), "")</f>
        <v>TÔ PHƯỚC THÁI</v>
      </c>
      <c r="C280" s="147" t="s">
        <v>76</v>
      </c>
      <c r="D280" s="147" t="str">
        <f>IFERROR(VLOOKUP(C280, PIC!A:B, 2, 0), "")</f>
        <v>My Tran</v>
      </c>
      <c r="E280" s="148" t="s">
        <v>22</v>
      </c>
      <c r="F280" s="149">
        <v>45895.58333333334</v>
      </c>
      <c r="G280" s="150">
        <v>45895.58333333334</v>
      </c>
      <c r="H280" s="150">
        <v>45916.625</v>
      </c>
      <c r="I280" s="149">
        <v>45923.625</v>
      </c>
      <c r="J280" s="150">
        <v>45930.625</v>
      </c>
      <c r="K280" s="149" t="s">
        <v>815</v>
      </c>
      <c r="L280" s="150">
        <v>45979.625</v>
      </c>
      <c r="M280" s="150">
        <v>45993.58333333334</v>
      </c>
      <c r="N280" s="149">
        <v>46000.58333333334</v>
      </c>
      <c r="O280" s="149">
        <v>46007.58333333334</v>
      </c>
      <c r="P280" s="149">
        <v>46013.58333333334</v>
      </c>
      <c r="Q280" s="149"/>
      <c r="R280" s="149"/>
      <c r="S280" s="149"/>
      <c r="T280" s="149"/>
      <c r="U280" s="150"/>
      <c r="V280" s="151">
        <f t="shared" si="2"/>
        <v>46013.58333</v>
      </c>
      <c r="W280" s="152"/>
      <c r="X280" s="152"/>
      <c r="Y280" s="161"/>
    </row>
    <row r="281" ht="15.75" customHeight="1">
      <c r="A281" s="154" t="s">
        <v>615</v>
      </c>
      <c r="B281" s="154" t="str">
        <f>IFERROR(VLOOKUP(A281&amp;"", STUDENTS!A:B, 2, 0), "")</f>
        <v>TRẦN HƯƠNG QUỲNH</v>
      </c>
      <c r="C281" s="155" t="s">
        <v>76</v>
      </c>
      <c r="D281" s="155" t="str">
        <f>IFERROR(VLOOKUP(C281, PIC!A:B, 2, 0), "")</f>
        <v>My Tran</v>
      </c>
      <c r="E281" s="156" t="s">
        <v>21</v>
      </c>
      <c r="F281" s="157">
        <v>45763.54166666666</v>
      </c>
      <c r="G281" s="158">
        <v>45769.54166666666</v>
      </c>
      <c r="H281" s="158">
        <v>45786.41666666666</v>
      </c>
      <c r="I281" s="157">
        <v>45804.54166666666</v>
      </c>
      <c r="J281" s="158">
        <v>45811.58333333334</v>
      </c>
      <c r="K281" s="157">
        <v>45818.58333333334</v>
      </c>
      <c r="L281" s="158">
        <v>45825.58333333334</v>
      </c>
      <c r="M281" s="158" t="s">
        <v>815</v>
      </c>
      <c r="N281" s="157">
        <v>45846.58333333334</v>
      </c>
      <c r="O281" s="157">
        <v>45868.375</v>
      </c>
      <c r="P281" s="157"/>
      <c r="Q281" s="157"/>
      <c r="R281" s="157"/>
      <c r="S281" s="157"/>
      <c r="T281" s="157"/>
      <c r="U281" s="158"/>
      <c r="V281" s="159">
        <f t="shared" si="2"/>
        <v>45868.375</v>
      </c>
      <c r="W281" s="160"/>
      <c r="X281" s="160"/>
      <c r="Y281" s="161"/>
    </row>
    <row r="282" ht="15.75" customHeight="1">
      <c r="A282" s="146" t="s">
        <v>615</v>
      </c>
      <c r="B282" s="146" t="str">
        <f>IFERROR(VLOOKUP(A282&amp;"", STUDENTS!A:B, 2, 0), "")</f>
        <v>TRẦN HƯƠNG QUỲNH</v>
      </c>
      <c r="C282" s="147" t="s">
        <v>76</v>
      </c>
      <c r="D282" s="147" t="str">
        <f>IFERROR(VLOOKUP(C282, PIC!A:B, 2, 0), "")</f>
        <v>My Tran</v>
      </c>
      <c r="E282" s="148" t="s">
        <v>22</v>
      </c>
      <c r="F282" s="149">
        <v>45895.58333333334</v>
      </c>
      <c r="G282" s="150">
        <v>45895.58333333334</v>
      </c>
      <c r="H282" s="150">
        <v>45916.625</v>
      </c>
      <c r="I282" s="149">
        <v>45923.625</v>
      </c>
      <c r="J282" s="150">
        <v>45930.625</v>
      </c>
      <c r="K282" s="149">
        <v>45964.625</v>
      </c>
      <c r="L282" s="150">
        <v>45979.625</v>
      </c>
      <c r="M282" s="150">
        <v>45993.58333333334</v>
      </c>
      <c r="N282" s="149">
        <v>46000.58333333334</v>
      </c>
      <c r="O282" s="149" t="s">
        <v>815</v>
      </c>
      <c r="P282" s="149">
        <v>46013.58333333334</v>
      </c>
      <c r="Q282" s="149"/>
      <c r="R282" s="149"/>
      <c r="S282" s="149"/>
      <c r="T282" s="149"/>
      <c r="U282" s="150"/>
      <c r="V282" s="151">
        <f t="shared" si="2"/>
        <v>46013.58333</v>
      </c>
      <c r="W282" s="152"/>
      <c r="X282" s="152"/>
      <c r="Y282" s="161"/>
    </row>
    <row r="283" ht="15.75" customHeight="1">
      <c r="A283" s="154" t="s">
        <v>651</v>
      </c>
      <c r="B283" s="154" t="str">
        <f>IFERROR(VLOOKUP(A283&amp;"", STUDENTS!A:B, 2, 0), "")</f>
        <v>TRẦN THỊ HOÀN MỸ</v>
      </c>
      <c r="C283" s="155" t="s">
        <v>76</v>
      </c>
      <c r="D283" s="155" t="str">
        <f>IFERROR(VLOOKUP(C283, PIC!A:B, 2, 0), "")</f>
        <v>My Tran</v>
      </c>
      <c r="E283" s="156" t="s">
        <v>21</v>
      </c>
      <c r="F283" s="157">
        <v>45763.54166666666</v>
      </c>
      <c r="G283" s="158">
        <v>45769.54166666666</v>
      </c>
      <c r="H283" s="158">
        <v>45786.41666666666</v>
      </c>
      <c r="I283" s="157">
        <v>45804.54166666666</v>
      </c>
      <c r="J283" s="158">
        <v>45811.58333333334</v>
      </c>
      <c r="K283" s="157">
        <v>45818.58333333334</v>
      </c>
      <c r="L283" s="158">
        <v>45825.58333333334</v>
      </c>
      <c r="M283" s="158">
        <v>45832.58333333334</v>
      </c>
      <c r="N283" s="157">
        <v>45846.58333333334</v>
      </c>
      <c r="O283" s="157">
        <v>45868.375</v>
      </c>
      <c r="P283" s="157"/>
      <c r="Q283" s="157"/>
      <c r="R283" s="157"/>
      <c r="S283" s="157"/>
      <c r="T283" s="157"/>
      <c r="U283" s="158"/>
      <c r="V283" s="159">
        <f t="shared" si="2"/>
        <v>45868.375</v>
      </c>
      <c r="W283" s="160"/>
      <c r="X283" s="160"/>
      <c r="Y283" s="161"/>
    </row>
    <row r="284" ht="15.75" customHeight="1">
      <c r="A284" s="146" t="s">
        <v>651</v>
      </c>
      <c r="B284" s="146" t="str">
        <f>IFERROR(VLOOKUP(A284&amp;"", STUDENTS!A:B, 2, 0), "")</f>
        <v>TRẦN THỊ HOÀN MỸ</v>
      </c>
      <c r="C284" s="147" t="s">
        <v>76</v>
      </c>
      <c r="D284" s="147" t="str">
        <f>IFERROR(VLOOKUP(C284, PIC!A:B, 2, 0), "")</f>
        <v>My Tran</v>
      </c>
      <c r="E284" s="148" t="s">
        <v>22</v>
      </c>
      <c r="F284" s="149">
        <v>45895.58333333334</v>
      </c>
      <c r="G284" s="150">
        <v>45895.58333333334</v>
      </c>
      <c r="H284" s="150">
        <v>45916.625</v>
      </c>
      <c r="I284" s="149">
        <v>45953.625</v>
      </c>
      <c r="J284" s="150" t="s">
        <v>815</v>
      </c>
      <c r="K284" s="149">
        <v>45964.625</v>
      </c>
      <c r="L284" s="150">
        <v>45979.625</v>
      </c>
      <c r="M284" s="150">
        <v>45993.58333333334</v>
      </c>
      <c r="N284" s="149">
        <v>46000.58333333334</v>
      </c>
      <c r="O284" s="149">
        <v>46007.58333333334</v>
      </c>
      <c r="P284" s="149">
        <v>46013.58333333334</v>
      </c>
      <c r="Q284" s="149"/>
      <c r="R284" s="149"/>
      <c r="S284" s="149"/>
      <c r="T284" s="149"/>
      <c r="U284" s="150"/>
      <c r="V284" s="151">
        <f t="shared" si="2"/>
        <v>46013.58333</v>
      </c>
      <c r="W284" s="152"/>
      <c r="X284" s="152"/>
      <c r="Y284" s="161"/>
    </row>
    <row r="285" ht="15.75" customHeight="1">
      <c r="A285" s="154" t="s">
        <v>685</v>
      </c>
      <c r="B285" s="154" t="str">
        <f>IFERROR(VLOOKUP(A285&amp;"", STUDENTS!A:B, 2, 0), "")</f>
        <v>TỪ NGUYỄN MINH NHẬT</v>
      </c>
      <c r="C285" s="155" t="s">
        <v>76</v>
      </c>
      <c r="D285" s="155" t="str">
        <f>IFERROR(VLOOKUP(C285, PIC!A:B, 2, 0), "")</f>
        <v>My Tran</v>
      </c>
      <c r="E285" s="156" t="s">
        <v>21</v>
      </c>
      <c r="F285" s="157">
        <v>45763.54166666666</v>
      </c>
      <c r="G285" s="158">
        <v>45769.54166666666</v>
      </c>
      <c r="H285" s="158">
        <v>45786.41666666666</v>
      </c>
      <c r="I285" s="157">
        <v>45804.54166666666</v>
      </c>
      <c r="J285" s="158">
        <v>45811.58333333334</v>
      </c>
      <c r="K285" s="157">
        <v>45818.58333333334</v>
      </c>
      <c r="L285" s="158">
        <v>45825.58333333334</v>
      </c>
      <c r="M285" s="158">
        <v>45832.58333333334</v>
      </c>
      <c r="N285" s="157">
        <v>45846.58333333334</v>
      </c>
      <c r="O285" s="157">
        <v>45868.375</v>
      </c>
      <c r="P285" s="157"/>
      <c r="Q285" s="157"/>
      <c r="R285" s="157"/>
      <c r="S285" s="157"/>
      <c r="T285" s="157"/>
      <c r="U285" s="158"/>
      <c r="V285" s="159">
        <f t="shared" si="2"/>
        <v>45868.375</v>
      </c>
      <c r="W285" s="160"/>
      <c r="X285" s="160"/>
      <c r="Y285" s="161"/>
    </row>
    <row r="286" ht="15.75" customHeight="1">
      <c r="A286" s="146" t="s">
        <v>709</v>
      </c>
      <c r="B286" s="146" t="str">
        <f>IFERROR(VLOOKUP(A286&amp;"", STUDENTS!A:B, 2, 0), "")</f>
        <v>VÕ THỊ TUYẾT HỒNG</v>
      </c>
      <c r="C286" s="147" t="s">
        <v>76</v>
      </c>
      <c r="D286" s="147" t="str">
        <f>IFERROR(VLOOKUP(C286, PIC!A:B, 2, 0), "")</f>
        <v>My Tran</v>
      </c>
      <c r="E286" s="148" t="s">
        <v>21</v>
      </c>
      <c r="F286" s="149">
        <v>45763.54166666666</v>
      </c>
      <c r="G286" s="150">
        <v>45769.54166666666</v>
      </c>
      <c r="H286" s="150">
        <v>45786.41666666666</v>
      </c>
      <c r="I286" s="149">
        <v>45804.54166666666</v>
      </c>
      <c r="J286" s="150">
        <v>45811.58333333334</v>
      </c>
      <c r="K286" s="149">
        <v>45818.58333333334</v>
      </c>
      <c r="L286" s="150">
        <v>45825.58333333334</v>
      </c>
      <c r="M286" s="150">
        <v>45832.58333333334</v>
      </c>
      <c r="N286" s="149">
        <v>45846.58333333334</v>
      </c>
      <c r="O286" s="149">
        <v>45868.375</v>
      </c>
      <c r="P286" s="149"/>
      <c r="Q286" s="149"/>
      <c r="R286" s="149"/>
      <c r="S286" s="149"/>
      <c r="T286" s="149"/>
      <c r="U286" s="150"/>
      <c r="V286" s="151">
        <f t="shared" si="2"/>
        <v>45868.375</v>
      </c>
      <c r="W286" s="152"/>
      <c r="X286" s="152"/>
      <c r="Y286" s="161"/>
    </row>
    <row r="287" ht="15.75" customHeight="1">
      <c r="A287" s="154" t="s">
        <v>147</v>
      </c>
      <c r="B287" s="154" t="str">
        <f>IFERROR(VLOOKUP(A287&amp;"", STUDENTS!A:B, 2, 0), "")</f>
        <v>CHU KHÁNH LINH</v>
      </c>
      <c r="C287" s="155" t="s">
        <v>77</v>
      </c>
      <c r="D287" s="155" t="str">
        <f>IFERROR(VLOOKUP(C287, PIC!A:B, 2, 0), "")</f>
        <v>Vinh Nguyen</v>
      </c>
      <c r="E287" s="156" t="s">
        <v>21</v>
      </c>
      <c r="F287" s="157">
        <v>45715.58333333334</v>
      </c>
      <c r="G287" s="158">
        <v>45756.58333333334</v>
      </c>
      <c r="H287" s="158">
        <v>45771.54166666666</v>
      </c>
      <c r="I287" s="157">
        <v>45786.54166666666</v>
      </c>
      <c r="J287" s="158">
        <v>45790.54166666666</v>
      </c>
      <c r="K287" s="157">
        <v>45799.54166666666</v>
      </c>
      <c r="L287" s="158">
        <v>45805.54166666666</v>
      </c>
      <c r="M287" s="158">
        <v>45813.58333333334</v>
      </c>
      <c r="N287" s="157">
        <v>45820.58333333334</v>
      </c>
      <c r="O287" s="157">
        <v>45849.54166666666</v>
      </c>
      <c r="P287" s="157"/>
      <c r="Q287" s="157"/>
      <c r="R287" s="157"/>
      <c r="S287" s="157"/>
      <c r="T287" s="157"/>
      <c r="U287" s="158"/>
      <c r="V287" s="159">
        <f t="shared" si="2"/>
        <v>45849.54167</v>
      </c>
      <c r="W287" s="160"/>
      <c r="X287" s="160"/>
      <c r="Y287" s="161"/>
    </row>
    <row r="288" ht="15.75" customHeight="1">
      <c r="A288" s="146" t="s">
        <v>147</v>
      </c>
      <c r="B288" s="146" t="str">
        <f>IFERROR(VLOOKUP(A288&amp;"", STUDENTS!A:B, 2, 0), "")</f>
        <v>CHU KHÁNH LINH</v>
      </c>
      <c r="C288" s="147" t="s">
        <v>77</v>
      </c>
      <c r="D288" s="147" t="str">
        <f>IFERROR(VLOOKUP(C288, PIC!A:B, 2, 0), "")</f>
        <v>Vinh Nguyen</v>
      </c>
      <c r="E288" s="148" t="s">
        <v>22</v>
      </c>
      <c r="F288" s="149">
        <v>45890.54166666666</v>
      </c>
      <c r="G288" s="150">
        <v>45897.58333333334</v>
      </c>
      <c r="H288" s="150">
        <v>45911.58333333334</v>
      </c>
      <c r="I288" s="149">
        <v>45918.58333333334</v>
      </c>
      <c r="J288" s="150">
        <v>45925.58333333334</v>
      </c>
      <c r="K288" s="149">
        <v>45932.58333333334</v>
      </c>
      <c r="L288" s="150">
        <v>45946.58333333334</v>
      </c>
      <c r="M288" s="150">
        <v>45953.58333333334</v>
      </c>
      <c r="N288" s="149">
        <v>45960.58333333334</v>
      </c>
      <c r="O288" s="149">
        <v>45966.58333333334</v>
      </c>
      <c r="P288" s="149">
        <v>45982.58333333334</v>
      </c>
      <c r="Q288" s="149">
        <v>45988.58333333334</v>
      </c>
      <c r="R288" s="149">
        <v>45995.58333333334</v>
      </c>
      <c r="S288" s="149">
        <v>45999.45833333334</v>
      </c>
      <c r="T288" s="149">
        <v>46014.625</v>
      </c>
      <c r="U288" s="150">
        <v>46044.54166666666</v>
      </c>
      <c r="V288" s="151">
        <f t="shared" si="2"/>
        <v>46044.54167</v>
      </c>
      <c r="W288" s="152"/>
      <c r="X288" s="152"/>
      <c r="Y288" s="161"/>
    </row>
    <row r="289" ht="15.75" customHeight="1">
      <c r="A289" s="154" t="s">
        <v>147</v>
      </c>
      <c r="B289" s="154" t="str">
        <f>IFERROR(VLOOKUP(A289&amp;"", STUDENTS!A:B, 2, 0), "")</f>
        <v>CHU KHÁNH LINH</v>
      </c>
      <c r="C289" s="155" t="s">
        <v>77</v>
      </c>
      <c r="D289" s="155" t="str">
        <f>IFERROR(VLOOKUP(C289, PIC!A:B, 2, 0), "")</f>
        <v>Vinh Nguyen</v>
      </c>
      <c r="E289" s="156" t="s">
        <v>23</v>
      </c>
      <c r="F289" s="157"/>
      <c r="G289" s="158">
        <v>46107.58333333334</v>
      </c>
      <c r="H289" s="158">
        <v>46114.58333333334</v>
      </c>
      <c r="I289" s="157">
        <v>46121.58333333334</v>
      </c>
      <c r="J289" s="158">
        <v>46128.58333333334</v>
      </c>
      <c r="K289" s="154" t="s">
        <v>815</v>
      </c>
      <c r="L289" s="158"/>
      <c r="M289" s="158"/>
      <c r="N289" s="157"/>
      <c r="O289" s="157"/>
      <c r="P289" s="157"/>
      <c r="Q289" s="157"/>
      <c r="R289" s="157"/>
      <c r="S289" s="157"/>
      <c r="T289" s="157"/>
      <c r="U289" s="158"/>
      <c r="V289" s="159">
        <f t="shared" si="2"/>
        <v>46128.58333</v>
      </c>
      <c r="W289" s="160"/>
      <c r="X289" s="160"/>
      <c r="Y289" s="161"/>
    </row>
    <row r="290" ht="15.75" customHeight="1">
      <c r="A290" s="146" t="s">
        <v>159</v>
      </c>
      <c r="B290" s="146" t="str">
        <f>IFERROR(VLOOKUP(A290&amp;"", STUDENTS!A:B, 2, 0), "")</f>
        <v>ĐÀO SỸ THỜI</v>
      </c>
      <c r="C290" s="147" t="s">
        <v>77</v>
      </c>
      <c r="D290" s="147" t="str">
        <f>IFERROR(VLOOKUP(C290, PIC!A:B, 2, 0), "")</f>
        <v>Vinh Nguyen</v>
      </c>
      <c r="E290" s="148" t="s">
        <v>22</v>
      </c>
      <c r="F290" s="149">
        <v>45890.54166666666</v>
      </c>
      <c r="G290" s="150">
        <v>45897.58333333334</v>
      </c>
      <c r="H290" s="150">
        <v>45911.58333333334</v>
      </c>
      <c r="I290" s="149">
        <v>45918.58333333334</v>
      </c>
      <c r="J290" s="150">
        <v>45925.58333333334</v>
      </c>
      <c r="K290" s="149">
        <v>45932.58333333334</v>
      </c>
      <c r="L290" s="150">
        <v>45946.58333333334</v>
      </c>
      <c r="M290" s="150">
        <v>45953.58333333334</v>
      </c>
      <c r="N290" s="149">
        <v>45960.58333333334</v>
      </c>
      <c r="O290" s="149">
        <v>45966.58333333334</v>
      </c>
      <c r="P290" s="149">
        <v>45982.58333333334</v>
      </c>
      <c r="Q290" s="149">
        <v>45988.58333333334</v>
      </c>
      <c r="R290" s="149">
        <v>45995.58333333334</v>
      </c>
      <c r="S290" s="149" t="s">
        <v>815</v>
      </c>
      <c r="T290" s="149">
        <v>46014.625</v>
      </c>
      <c r="U290" s="150">
        <v>46044.54166666666</v>
      </c>
      <c r="V290" s="151">
        <f t="shared" si="2"/>
        <v>46044.54167</v>
      </c>
      <c r="W290" s="152"/>
      <c r="X290" s="152"/>
      <c r="Y290" s="161"/>
    </row>
    <row r="291" ht="15.75" customHeight="1">
      <c r="A291" s="154" t="s">
        <v>159</v>
      </c>
      <c r="B291" s="154" t="str">
        <f>IFERROR(VLOOKUP(A291&amp;"", STUDENTS!A:B, 2, 0), "")</f>
        <v>ĐÀO SỸ THỜI</v>
      </c>
      <c r="C291" s="155" t="s">
        <v>77</v>
      </c>
      <c r="D291" s="155" t="str">
        <f>IFERROR(VLOOKUP(C291, PIC!A:B, 2, 0), "")</f>
        <v>Vinh Nguyen</v>
      </c>
      <c r="E291" s="156" t="s">
        <v>23</v>
      </c>
      <c r="F291" s="157"/>
      <c r="G291" s="158">
        <v>46107.58333333334</v>
      </c>
      <c r="H291" s="158">
        <v>46114.58333333334</v>
      </c>
      <c r="I291" s="157" t="s">
        <v>815</v>
      </c>
      <c r="J291" s="158" t="s">
        <v>815</v>
      </c>
      <c r="K291" s="154" t="s">
        <v>815</v>
      </c>
      <c r="L291" s="158"/>
      <c r="M291" s="158"/>
      <c r="N291" s="157"/>
      <c r="O291" s="157"/>
      <c r="P291" s="157"/>
      <c r="Q291" s="157"/>
      <c r="R291" s="157"/>
      <c r="S291" s="157"/>
      <c r="T291" s="157"/>
      <c r="U291" s="158"/>
      <c r="V291" s="159">
        <f t="shared" si="2"/>
        <v>46114.58333</v>
      </c>
      <c r="W291" s="160"/>
      <c r="X291" s="160"/>
      <c r="Y291" s="161"/>
    </row>
    <row r="292" ht="15.75" customHeight="1">
      <c r="A292" s="146" t="s">
        <v>247</v>
      </c>
      <c r="B292" s="146" t="str">
        <f>IFERROR(VLOOKUP(A292&amp;"", STUDENTS!A:B, 2, 0), "")</f>
        <v>LẠC MINH HOÀNG</v>
      </c>
      <c r="C292" s="147" t="s">
        <v>77</v>
      </c>
      <c r="D292" s="147" t="str">
        <f>IFERROR(VLOOKUP(C292, PIC!A:B, 2, 0), "")</f>
        <v>Vinh Nguyen</v>
      </c>
      <c r="E292" s="148" t="s">
        <v>21</v>
      </c>
      <c r="F292" s="149">
        <v>45715.58333333334</v>
      </c>
      <c r="G292" s="150">
        <v>45756.58333333334</v>
      </c>
      <c r="H292" s="150">
        <v>45771.54166666666</v>
      </c>
      <c r="I292" s="149">
        <v>45786.54166666666</v>
      </c>
      <c r="J292" s="150">
        <v>45790.54166666666</v>
      </c>
      <c r="K292" s="149">
        <v>45799.54166666666</v>
      </c>
      <c r="L292" s="150">
        <v>45805.54166666666</v>
      </c>
      <c r="M292" s="150">
        <v>45813.58333333334</v>
      </c>
      <c r="N292" s="149">
        <v>45820.58333333334</v>
      </c>
      <c r="O292" s="149">
        <v>45849.54166666666</v>
      </c>
      <c r="P292" s="149"/>
      <c r="Q292" s="149"/>
      <c r="R292" s="149"/>
      <c r="S292" s="149"/>
      <c r="T292" s="149"/>
      <c r="U292" s="150"/>
      <c r="V292" s="151">
        <f t="shared" si="2"/>
        <v>45849.54167</v>
      </c>
      <c r="W292" s="152"/>
      <c r="X292" s="152"/>
      <c r="Y292" s="161"/>
    </row>
    <row r="293" ht="15.75" customHeight="1">
      <c r="A293" s="154" t="s">
        <v>255</v>
      </c>
      <c r="B293" s="154" t="str">
        <f>IFERROR(VLOOKUP(A293&amp;"", STUDENTS!A:B, 2, 0), "")</f>
        <v>LÂM VĂN TIẾN</v>
      </c>
      <c r="C293" s="155" t="s">
        <v>77</v>
      </c>
      <c r="D293" s="155" t="str">
        <f>IFERROR(VLOOKUP(C293, PIC!A:B, 2, 0), "")</f>
        <v>Vinh Nguyen</v>
      </c>
      <c r="E293" s="156" t="s">
        <v>21</v>
      </c>
      <c r="F293" s="157">
        <v>45715.58333333334</v>
      </c>
      <c r="G293" s="158">
        <v>45756.58333333334</v>
      </c>
      <c r="H293" s="158">
        <v>45771.54166666666</v>
      </c>
      <c r="I293" s="157">
        <v>45786.54166666666</v>
      </c>
      <c r="J293" s="158">
        <v>45790.54166666666</v>
      </c>
      <c r="K293" s="157">
        <v>45799.54166666666</v>
      </c>
      <c r="L293" s="158">
        <v>45805.54166666666</v>
      </c>
      <c r="M293" s="158">
        <v>45813.58333333334</v>
      </c>
      <c r="N293" s="157">
        <v>45820.58333333334</v>
      </c>
      <c r="O293" s="157">
        <v>45849.54166666666</v>
      </c>
      <c r="P293" s="157"/>
      <c r="Q293" s="157"/>
      <c r="R293" s="157"/>
      <c r="S293" s="157"/>
      <c r="T293" s="157"/>
      <c r="U293" s="158"/>
      <c r="V293" s="159">
        <f t="shared" si="2"/>
        <v>45849.54167</v>
      </c>
      <c r="W293" s="160"/>
      <c r="X293" s="160"/>
      <c r="Y293" s="161"/>
    </row>
    <row r="294" ht="15.75" customHeight="1">
      <c r="A294" s="146" t="s">
        <v>255</v>
      </c>
      <c r="B294" s="146" t="str">
        <f>IFERROR(VLOOKUP(A294&amp;"", STUDENTS!A:B, 2, 0), "")</f>
        <v>LÂM VĂN TIẾN</v>
      </c>
      <c r="C294" s="147" t="s">
        <v>77</v>
      </c>
      <c r="D294" s="147" t="str">
        <f>IFERROR(VLOOKUP(C294, PIC!A:B, 2, 0), "")</f>
        <v>Vinh Nguyen</v>
      </c>
      <c r="E294" s="148" t="s">
        <v>22</v>
      </c>
      <c r="F294" s="149">
        <v>45890.54166666666</v>
      </c>
      <c r="G294" s="150">
        <v>45897.58333333334</v>
      </c>
      <c r="H294" s="150">
        <v>45911.58333333334</v>
      </c>
      <c r="I294" s="149">
        <v>45918.58333333334</v>
      </c>
      <c r="J294" s="150">
        <v>45925.58333333334</v>
      </c>
      <c r="K294" s="149">
        <v>45932.58333333334</v>
      </c>
      <c r="L294" s="150">
        <v>45946.58333333334</v>
      </c>
      <c r="M294" s="150">
        <v>45953.58333333334</v>
      </c>
      <c r="N294" s="149">
        <v>45960.58333333334</v>
      </c>
      <c r="O294" s="149">
        <v>45966.58333333334</v>
      </c>
      <c r="P294" s="149">
        <v>45982.58333333334</v>
      </c>
      <c r="Q294" s="149">
        <v>45988.58333333334</v>
      </c>
      <c r="R294" s="149">
        <v>45995.58333333334</v>
      </c>
      <c r="S294" s="149" t="s">
        <v>815</v>
      </c>
      <c r="T294" s="149">
        <v>46014.625</v>
      </c>
      <c r="U294" s="150">
        <v>46044.54166666666</v>
      </c>
      <c r="V294" s="151">
        <f t="shared" si="2"/>
        <v>46044.54167</v>
      </c>
      <c r="W294" s="152"/>
      <c r="X294" s="152"/>
      <c r="Y294" s="161"/>
    </row>
    <row r="295" ht="15.75" customHeight="1">
      <c r="A295" s="154" t="s">
        <v>255</v>
      </c>
      <c r="B295" s="154" t="str">
        <f>IFERROR(VLOOKUP(A295&amp;"", STUDENTS!A:B, 2, 0), "")</f>
        <v>LÂM VĂN TIẾN</v>
      </c>
      <c r="C295" s="155" t="s">
        <v>77</v>
      </c>
      <c r="D295" s="155" t="str">
        <f>IFERROR(VLOOKUP(C295, PIC!A:B, 2, 0), "")</f>
        <v>Vinh Nguyen</v>
      </c>
      <c r="E295" s="156" t="s">
        <v>23</v>
      </c>
      <c r="F295" s="157"/>
      <c r="G295" s="158">
        <v>46107.58333333334</v>
      </c>
      <c r="H295" s="158">
        <v>46114.58333333334</v>
      </c>
      <c r="I295" s="157">
        <v>46121.58333333334</v>
      </c>
      <c r="J295" s="158">
        <v>46128.58333333334</v>
      </c>
      <c r="K295" s="157">
        <v>46135.58333333334</v>
      </c>
      <c r="L295" s="158"/>
      <c r="M295" s="158"/>
      <c r="N295" s="157"/>
      <c r="O295" s="157"/>
      <c r="P295" s="157"/>
      <c r="Q295" s="157"/>
      <c r="R295" s="157"/>
      <c r="S295" s="157"/>
      <c r="T295" s="157"/>
      <c r="U295" s="158"/>
      <c r="V295" s="159">
        <f t="shared" si="2"/>
        <v>46135.58333</v>
      </c>
      <c r="W295" s="160"/>
      <c r="X295" s="160"/>
      <c r="Y295" s="161"/>
    </row>
    <row r="296" ht="15.75" customHeight="1">
      <c r="A296" s="146" t="s">
        <v>273</v>
      </c>
      <c r="B296" s="146" t="str">
        <f>IFERROR(VLOOKUP(A296&amp;"", STUDENTS!A:B, 2, 0), "")</f>
        <v>LE MINH TRUONG</v>
      </c>
      <c r="C296" s="147" t="s">
        <v>77</v>
      </c>
      <c r="D296" s="147" t="str">
        <f>IFERROR(VLOOKUP(C296, PIC!A:B, 2, 0), "")</f>
        <v>Vinh Nguyen</v>
      </c>
      <c r="E296" s="148" t="s">
        <v>21</v>
      </c>
      <c r="F296" s="149" t="s">
        <v>815</v>
      </c>
      <c r="G296" s="150">
        <v>45756.58333333334</v>
      </c>
      <c r="H296" s="150" t="s">
        <v>815</v>
      </c>
      <c r="I296" s="149" t="s">
        <v>815</v>
      </c>
      <c r="J296" s="150" t="s">
        <v>815</v>
      </c>
      <c r="K296" s="149" t="s">
        <v>815</v>
      </c>
      <c r="L296" s="150">
        <v>45805.54166666666</v>
      </c>
      <c r="M296" s="150">
        <v>45813.58333333334</v>
      </c>
      <c r="N296" s="149">
        <v>45820.58333333334</v>
      </c>
      <c r="O296" s="149">
        <v>45849.54166666666</v>
      </c>
      <c r="P296" s="149"/>
      <c r="Q296" s="149"/>
      <c r="R296" s="149"/>
      <c r="S296" s="149"/>
      <c r="T296" s="149"/>
      <c r="U296" s="150"/>
      <c r="V296" s="151">
        <f t="shared" si="2"/>
        <v>45849.54167</v>
      </c>
      <c r="W296" s="152"/>
      <c r="X296" s="152"/>
      <c r="Y296" s="161"/>
    </row>
    <row r="297" ht="15.75" customHeight="1">
      <c r="A297" s="154" t="s">
        <v>302</v>
      </c>
      <c r="B297" s="154" t="str">
        <f>IFERROR(VLOOKUP(A297&amp;"", STUDENTS!A:B, 2, 0), "")</f>
        <v>LE VAN DONG TAM</v>
      </c>
      <c r="C297" s="155" t="s">
        <v>77</v>
      </c>
      <c r="D297" s="155" t="str">
        <f>IFERROR(VLOOKUP(C297, PIC!A:B, 2, 0), "")</f>
        <v>Vinh Nguyen</v>
      </c>
      <c r="E297" s="156" t="s">
        <v>21</v>
      </c>
      <c r="F297" s="157">
        <v>45715.58333333334</v>
      </c>
      <c r="G297" s="158">
        <v>45756.58333333334</v>
      </c>
      <c r="H297" s="158">
        <v>45771.54166666666</v>
      </c>
      <c r="I297" s="157" t="s">
        <v>815</v>
      </c>
      <c r="J297" s="158">
        <v>45790.54166666666</v>
      </c>
      <c r="K297" s="157" t="s">
        <v>815</v>
      </c>
      <c r="L297" s="158">
        <v>45805.54166666666</v>
      </c>
      <c r="M297" s="158">
        <v>45813.58333333334</v>
      </c>
      <c r="N297" s="157">
        <v>45820.58333333334</v>
      </c>
      <c r="O297" s="157">
        <v>45849.54166666666</v>
      </c>
      <c r="P297" s="157"/>
      <c r="Q297" s="157"/>
      <c r="R297" s="157"/>
      <c r="S297" s="157"/>
      <c r="T297" s="157"/>
      <c r="U297" s="158"/>
      <c r="V297" s="159">
        <f t="shared" si="2"/>
        <v>45849.54167</v>
      </c>
      <c r="W297" s="160"/>
      <c r="X297" s="160"/>
      <c r="Y297" s="161"/>
    </row>
    <row r="298" ht="15.75" customHeight="1">
      <c r="A298" s="146" t="s">
        <v>421</v>
      </c>
      <c r="B298" s="146" t="str">
        <f>IFERROR(VLOOKUP(A298&amp;"", STUDENTS!A:B, 2, 0), "")</f>
        <v>NGUYỄN PHAN THẾ VINH</v>
      </c>
      <c r="C298" s="147" t="s">
        <v>77</v>
      </c>
      <c r="D298" s="147" t="str">
        <f>IFERROR(VLOOKUP(C298, PIC!A:B, 2, 0), "")</f>
        <v>Vinh Nguyen</v>
      </c>
      <c r="E298" s="148" t="s">
        <v>21</v>
      </c>
      <c r="F298" s="149">
        <v>45715.58333333334</v>
      </c>
      <c r="G298" s="150">
        <v>45756.58333333334</v>
      </c>
      <c r="H298" s="150">
        <v>45771.54166666666</v>
      </c>
      <c r="I298" s="149">
        <v>45786.54166666666</v>
      </c>
      <c r="J298" s="150">
        <v>45790.54166666666</v>
      </c>
      <c r="K298" s="149">
        <v>45799.54166666666</v>
      </c>
      <c r="L298" s="150">
        <v>45805.54166666666</v>
      </c>
      <c r="M298" s="150">
        <v>45813.58333333334</v>
      </c>
      <c r="N298" s="149">
        <v>45820.58333333334</v>
      </c>
      <c r="O298" s="149">
        <v>45849.54166666666</v>
      </c>
      <c r="P298" s="149"/>
      <c r="Q298" s="149"/>
      <c r="R298" s="149"/>
      <c r="S298" s="149"/>
      <c r="T298" s="149"/>
      <c r="U298" s="150"/>
      <c r="V298" s="151">
        <f t="shared" si="2"/>
        <v>45849.54167</v>
      </c>
      <c r="W298" s="152"/>
      <c r="X298" s="152"/>
      <c r="Y298" s="161"/>
    </row>
    <row r="299" ht="15.75" customHeight="1">
      <c r="A299" s="154" t="s">
        <v>421</v>
      </c>
      <c r="B299" s="154" t="str">
        <f>IFERROR(VLOOKUP(A299&amp;"", STUDENTS!A:B, 2, 0), "")</f>
        <v>NGUYỄN PHAN THẾ VINH</v>
      </c>
      <c r="C299" s="155" t="s">
        <v>77</v>
      </c>
      <c r="D299" s="155" t="str">
        <f>IFERROR(VLOOKUP(C299, PIC!A:B, 2, 0), "")</f>
        <v>Vinh Nguyen</v>
      </c>
      <c r="E299" s="156" t="s">
        <v>22</v>
      </c>
      <c r="F299" s="157">
        <v>45890.54166666666</v>
      </c>
      <c r="G299" s="158">
        <v>45897.58333333334</v>
      </c>
      <c r="H299" s="158" t="s">
        <v>815</v>
      </c>
      <c r="I299" s="157">
        <v>45918.58333333334</v>
      </c>
      <c r="J299" s="158">
        <v>45925.58333333334</v>
      </c>
      <c r="K299" s="157">
        <v>45932.58333333334</v>
      </c>
      <c r="L299" s="158">
        <v>45946.58333333334</v>
      </c>
      <c r="M299" s="158">
        <v>45953.58333333334</v>
      </c>
      <c r="N299" s="157">
        <v>45960.58333333334</v>
      </c>
      <c r="O299" s="157">
        <v>45966.58333333334</v>
      </c>
      <c r="P299" s="157">
        <v>45982.58333333334</v>
      </c>
      <c r="Q299" s="157">
        <v>45988.58333333334</v>
      </c>
      <c r="R299" s="157">
        <v>45995.58333333334</v>
      </c>
      <c r="S299" s="157">
        <v>45999.45833333334</v>
      </c>
      <c r="T299" s="157">
        <v>46014.625</v>
      </c>
      <c r="U299" s="158">
        <v>46044.54166666666</v>
      </c>
      <c r="V299" s="159">
        <f t="shared" si="2"/>
        <v>46044.54167</v>
      </c>
      <c r="W299" s="160"/>
      <c r="X299" s="160"/>
      <c r="Y299" s="161"/>
    </row>
    <row r="300" ht="15.75" customHeight="1">
      <c r="A300" s="146" t="s">
        <v>421</v>
      </c>
      <c r="B300" s="146" t="str">
        <f>IFERROR(VLOOKUP(A300&amp;"", STUDENTS!A:B, 2, 0), "")</f>
        <v>NGUYỄN PHAN THẾ VINH</v>
      </c>
      <c r="C300" s="147" t="s">
        <v>77</v>
      </c>
      <c r="D300" s="147" t="str">
        <f>IFERROR(VLOOKUP(C300, PIC!A:B, 2, 0), "")</f>
        <v>Vinh Nguyen</v>
      </c>
      <c r="E300" s="148" t="s">
        <v>23</v>
      </c>
      <c r="F300" s="149"/>
      <c r="G300" s="150">
        <v>46107.58333333334</v>
      </c>
      <c r="H300" s="150">
        <v>46114.58333333334</v>
      </c>
      <c r="I300" s="149">
        <v>46121.58333333334</v>
      </c>
      <c r="J300" s="150">
        <v>46128.58333333334</v>
      </c>
      <c r="K300" s="146" t="s">
        <v>815</v>
      </c>
      <c r="L300" s="150"/>
      <c r="M300" s="150"/>
      <c r="N300" s="149"/>
      <c r="O300" s="149"/>
      <c r="P300" s="149"/>
      <c r="Q300" s="149"/>
      <c r="R300" s="149"/>
      <c r="S300" s="149"/>
      <c r="T300" s="149"/>
      <c r="U300" s="150"/>
      <c r="V300" s="151">
        <f t="shared" si="2"/>
        <v>46128.58333</v>
      </c>
      <c r="W300" s="152"/>
      <c r="X300" s="152"/>
      <c r="Y300" s="161"/>
    </row>
    <row r="301" ht="15.75" customHeight="1">
      <c r="A301" s="154" t="s">
        <v>433</v>
      </c>
      <c r="B301" s="154" t="str">
        <f>IFERROR(VLOOKUP(A301&amp;"", STUDENTS!A:B, 2, 0), "")</f>
        <v>NGUYỄN QUANG TRUNG</v>
      </c>
      <c r="C301" s="155" t="s">
        <v>77</v>
      </c>
      <c r="D301" s="155" t="str">
        <f>IFERROR(VLOOKUP(C301, PIC!A:B, 2, 0), "")</f>
        <v>Vinh Nguyen</v>
      </c>
      <c r="E301" s="156" t="s">
        <v>22</v>
      </c>
      <c r="F301" s="157">
        <v>45890.54166666666</v>
      </c>
      <c r="G301" s="158">
        <v>45897.58333333334</v>
      </c>
      <c r="H301" s="158">
        <v>45911.58333333334</v>
      </c>
      <c r="I301" s="157">
        <v>45918.58333333334</v>
      </c>
      <c r="J301" s="158">
        <v>45925.58333333334</v>
      </c>
      <c r="K301" s="157">
        <v>45932.58333333334</v>
      </c>
      <c r="L301" s="158">
        <v>45946.58333333334</v>
      </c>
      <c r="M301" s="158" t="s">
        <v>815</v>
      </c>
      <c r="N301" s="157" t="s">
        <v>815</v>
      </c>
      <c r="O301" s="157">
        <v>45966.58333333334</v>
      </c>
      <c r="P301" s="157">
        <v>45982.58333333334</v>
      </c>
      <c r="Q301" s="157" t="s">
        <v>815</v>
      </c>
      <c r="R301" s="157">
        <v>45995.58333333334</v>
      </c>
      <c r="S301" s="157">
        <v>45999.45833333334</v>
      </c>
      <c r="T301" s="157">
        <v>46014.625</v>
      </c>
      <c r="U301" s="158">
        <v>46044.54166666666</v>
      </c>
      <c r="V301" s="159">
        <f t="shared" si="2"/>
        <v>46044.54167</v>
      </c>
      <c r="W301" s="160"/>
      <c r="X301" s="160"/>
      <c r="Y301" s="161"/>
    </row>
    <row r="302" ht="15.75" customHeight="1">
      <c r="A302" s="146" t="s">
        <v>433</v>
      </c>
      <c r="B302" s="146" t="str">
        <f>IFERROR(VLOOKUP(A302&amp;"", STUDENTS!A:B, 2, 0), "")</f>
        <v>NGUYỄN QUANG TRUNG</v>
      </c>
      <c r="C302" s="147" t="s">
        <v>77</v>
      </c>
      <c r="D302" s="147" t="str">
        <f>IFERROR(VLOOKUP(C302, PIC!A:B, 2, 0), "")</f>
        <v>Vinh Nguyen</v>
      </c>
      <c r="E302" s="148" t="s">
        <v>23</v>
      </c>
      <c r="F302" s="149"/>
      <c r="G302" s="150">
        <v>46107.58333333334</v>
      </c>
      <c r="H302" s="150">
        <v>46114.58333333334</v>
      </c>
      <c r="I302" s="149">
        <v>46121.58333333334</v>
      </c>
      <c r="J302" s="150">
        <v>46128.58333333334</v>
      </c>
      <c r="K302" s="149">
        <v>46135.58333333334</v>
      </c>
      <c r="L302" s="150"/>
      <c r="M302" s="150"/>
      <c r="N302" s="149"/>
      <c r="O302" s="149"/>
      <c r="P302" s="149"/>
      <c r="Q302" s="149"/>
      <c r="R302" s="149"/>
      <c r="S302" s="149"/>
      <c r="T302" s="149"/>
      <c r="U302" s="150"/>
      <c r="V302" s="151">
        <f t="shared" si="2"/>
        <v>46135.58333</v>
      </c>
      <c r="W302" s="152"/>
      <c r="X302" s="152"/>
      <c r="Y302" s="161"/>
    </row>
    <row r="303" ht="15.75" customHeight="1">
      <c r="A303" s="154" t="s">
        <v>494</v>
      </c>
      <c r="B303" s="154" t="str">
        <f>IFERROR(VLOOKUP(A303&amp;"", STUDENTS!A:B, 2, 0), "")</f>
        <v>NGUYỄN TRANG QUỲNH NHƯ</v>
      </c>
      <c r="C303" s="155" t="s">
        <v>77</v>
      </c>
      <c r="D303" s="155" t="str">
        <f>IFERROR(VLOOKUP(C303, PIC!A:B, 2, 0), "")</f>
        <v>Vinh Nguyen</v>
      </c>
      <c r="E303" s="156" t="s">
        <v>21</v>
      </c>
      <c r="F303" s="157">
        <v>45715.58333333334</v>
      </c>
      <c r="G303" s="158">
        <v>45756.58333333334</v>
      </c>
      <c r="H303" s="158">
        <v>45771.54166666666</v>
      </c>
      <c r="I303" s="157">
        <v>45786.54166666666</v>
      </c>
      <c r="J303" s="158">
        <v>45790.54166666666</v>
      </c>
      <c r="K303" s="157">
        <v>45799.54166666666</v>
      </c>
      <c r="L303" s="158">
        <v>45805.54166666666</v>
      </c>
      <c r="M303" s="158" t="s">
        <v>815</v>
      </c>
      <c r="N303" s="157">
        <v>45820.58333333334</v>
      </c>
      <c r="O303" s="157">
        <v>45849.54166666666</v>
      </c>
      <c r="P303" s="157"/>
      <c r="Q303" s="157"/>
      <c r="R303" s="157"/>
      <c r="S303" s="157"/>
      <c r="T303" s="157"/>
      <c r="U303" s="158"/>
      <c r="V303" s="159">
        <f t="shared" si="2"/>
        <v>45849.54167</v>
      </c>
      <c r="W303" s="160"/>
      <c r="X303" s="160"/>
      <c r="Y303" s="161"/>
    </row>
    <row r="304" ht="15.75" customHeight="1">
      <c r="A304" s="146" t="s">
        <v>494</v>
      </c>
      <c r="B304" s="146" t="str">
        <f>IFERROR(VLOOKUP(A304&amp;"", STUDENTS!A:B, 2, 0), "")</f>
        <v>NGUYỄN TRANG QUỲNH NHƯ</v>
      </c>
      <c r="C304" s="147" t="s">
        <v>77</v>
      </c>
      <c r="D304" s="147" t="str">
        <f>IFERROR(VLOOKUP(C304, PIC!A:B, 2, 0), "")</f>
        <v>Vinh Nguyen</v>
      </c>
      <c r="E304" s="148" t="s">
        <v>22</v>
      </c>
      <c r="F304" s="149">
        <v>45890.54166666666</v>
      </c>
      <c r="G304" s="150">
        <v>45897.58333333334</v>
      </c>
      <c r="H304" s="150" t="s">
        <v>815</v>
      </c>
      <c r="I304" s="149">
        <v>45918.58333333334</v>
      </c>
      <c r="J304" s="150">
        <v>45925.58333333334</v>
      </c>
      <c r="K304" s="149">
        <v>45932.58333333334</v>
      </c>
      <c r="L304" s="150">
        <v>45946.58333333334</v>
      </c>
      <c r="M304" s="150">
        <v>45953.58333333334</v>
      </c>
      <c r="N304" s="149">
        <v>45960.58333333334</v>
      </c>
      <c r="O304" s="149">
        <v>45966.58333333334</v>
      </c>
      <c r="P304" s="149">
        <v>45982.58333333334</v>
      </c>
      <c r="Q304" s="149" t="s">
        <v>815</v>
      </c>
      <c r="R304" s="149">
        <v>45995.58333333334</v>
      </c>
      <c r="S304" s="149">
        <v>45999.45833333334</v>
      </c>
      <c r="T304" s="149">
        <v>46014.625</v>
      </c>
      <c r="U304" s="150">
        <v>46044.54166666666</v>
      </c>
      <c r="V304" s="151">
        <f t="shared" si="2"/>
        <v>46044.54167</v>
      </c>
      <c r="W304" s="152"/>
      <c r="X304" s="152"/>
      <c r="Y304" s="161"/>
    </row>
    <row r="305" ht="15.75" customHeight="1">
      <c r="A305" s="154" t="s">
        <v>494</v>
      </c>
      <c r="B305" s="154" t="str">
        <f>IFERROR(VLOOKUP(A305&amp;"", STUDENTS!A:B, 2, 0), "")</f>
        <v>NGUYỄN TRANG QUỲNH NHƯ</v>
      </c>
      <c r="C305" s="155" t="s">
        <v>77</v>
      </c>
      <c r="D305" s="155" t="str">
        <f>IFERROR(VLOOKUP(C305, PIC!A:B, 2, 0), "")</f>
        <v>Vinh Nguyen</v>
      </c>
      <c r="E305" s="156" t="s">
        <v>23</v>
      </c>
      <c r="F305" s="157"/>
      <c r="G305" s="158">
        <v>46107.58333333334</v>
      </c>
      <c r="H305" s="158" t="s">
        <v>815</v>
      </c>
      <c r="I305" s="157">
        <v>46121.58333333334</v>
      </c>
      <c r="J305" s="158">
        <v>46128.58333333334</v>
      </c>
      <c r="K305" s="157">
        <v>46135.58333333334</v>
      </c>
      <c r="L305" s="158"/>
      <c r="M305" s="158"/>
      <c r="N305" s="157"/>
      <c r="O305" s="157"/>
      <c r="P305" s="157"/>
      <c r="Q305" s="157"/>
      <c r="R305" s="157"/>
      <c r="S305" s="157"/>
      <c r="T305" s="157"/>
      <c r="U305" s="158"/>
      <c r="V305" s="159">
        <f t="shared" si="2"/>
        <v>46135.58333</v>
      </c>
      <c r="W305" s="160"/>
      <c r="X305" s="160"/>
      <c r="Y305" s="161"/>
    </row>
    <row r="306" ht="15.75" customHeight="1">
      <c r="A306" s="146" t="s">
        <v>498</v>
      </c>
      <c r="B306" s="146" t="str">
        <f>IFERROR(VLOOKUP(A306&amp;"", STUDENTS!A:B, 2, 0), "")</f>
        <v>NGUYỄN TRÚC DUYÊN</v>
      </c>
      <c r="C306" s="147" t="s">
        <v>77</v>
      </c>
      <c r="D306" s="147" t="str">
        <f>IFERROR(VLOOKUP(C306, PIC!A:B, 2, 0), "")</f>
        <v>Vinh Nguyen</v>
      </c>
      <c r="E306" s="148" t="s">
        <v>21</v>
      </c>
      <c r="F306" s="149">
        <v>45715.58333333334</v>
      </c>
      <c r="G306" s="150" t="s">
        <v>815</v>
      </c>
      <c r="H306" s="150">
        <v>45771.54166666666</v>
      </c>
      <c r="I306" s="149">
        <v>45786.54166666666</v>
      </c>
      <c r="J306" s="150">
        <v>45790.54166666666</v>
      </c>
      <c r="K306" s="149" t="s">
        <v>815</v>
      </c>
      <c r="L306" s="150">
        <v>45805.54166666666</v>
      </c>
      <c r="M306" s="150">
        <v>45813.58333333334</v>
      </c>
      <c r="N306" s="149">
        <v>45820.58333333334</v>
      </c>
      <c r="O306" s="149">
        <v>45849.54166666666</v>
      </c>
      <c r="P306" s="149"/>
      <c r="Q306" s="149"/>
      <c r="R306" s="149"/>
      <c r="S306" s="149"/>
      <c r="T306" s="149"/>
      <c r="U306" s="150"/>
      <c r="V306" s="151">
        <f t="shared" si="2"/>
        <v>45849.54167</v>
      </c>
      <c r="W306" s="152"/>
      <c r="X306" s="152"/>
      <c r="Y306" s="161"/>
    </row>
    <row r="307" ht="15.75" customHeight="1">
      <c r="A307" s="154" t="s">
        <v>498</v>
      </c>
      <c r="B307" s="154" t="str">
        <f>IFERROR(VLOOKUP(A307&amp;"", STUDENTS!A:B, 2, 0), "")</f>
        <v>NGUYỄN TRÚC DUYÊN</v>
      </c>
      <c r="C307" s="155" t="s">
        <v>77</v>
      </c>
      <c r="D307" s="155" t="str">
        <f>IFERROR(VLOOKUP(C307, PIC!A:B, 2, 0), "")</f>
        <v>Vinh Nguyen</v>
      </c>
      <c r="E307" s="156" t="s">
        <v>22</v>
      </c>
      <c r="F307" s="157">
        <v>45890.54166666666</v>
      </c>
      <c r="G307" s="158">
        <v>45897.58333333334</v>
      </c>
      <c r="H307" s="158">
        <v>45911.58333333334</v>
      </c>
      <c r="I307" s="157">
        <v>45918.58333333334</v>
      </c>
      <c r="J307" s="158">
        <v>45925.58333333334</v>
      </c>
      <c r="K307" s="157" t="s">
        <v>815</v>
      </c>
      <c r="L307" s="158">
        <v>45946.58333333334</v>
      </c>
      <c r="M307" s="158" t="s">
        <v>815</v>
      </c>
      <c r="N307" s="157">
        <v>45960.58333333334</v>
      </c>
      <c r="O307" s="157">
        <v>45966.58333333334</v>
      </c>
      <c r="P307" s="157">
        <v>45982.58333333334</v>
      </c>
      <c r="Q307" s="157">
        <v>45988.58333333334</v>
      </c>
      <c r="R307" s="157">
        <v>45995.58333333334</v>
      </c>
      <c r="S307" s="157">
        <v>45999.45833333334</v>
      </c>
      <c r="T307" s="157">
        <v>46014.625</v>
      </c>
      <c r="U307" s="158">
        <v>46044.54166666666</v>
      </c>
      <c r="V307" s="159">
        <f t="shared" si="2"/>
        <v>46044.54167</v>
      </c>
      <c r="W307" s="160"/>
      <c r="X307" s="160"/>
      <c r="Y307" s="161"/>
    </row>
    <row r="308" ht="15.75" customHeight="1">
      <c r="A308" s="146" t="s">
        <v>498</v>
      </c>
      <c r="B308" s="146" t="str">
        <f>IFERROR(VLOOKUP(A308&amp;"", STUDENTS!A:B, 2, 0), "")</f>
        <v>NGUYỄN TRÚC DUYÊN</v>
      </c>
      <c r="C308" s="147" t="s">
        <v>77</v>
      </c>
      <c r="D308" s="147" t="str">
        <f>IFERROR(VLOOKUP(C308, PIC!A:B, 2, 0), "")</f>
        <v>Vinh Nguyen</v>
      </c>
      <c r="E308" s="148" t="s">
        <v>23</v>
      </c>
      <c r="F308" s="149"/>
      <c r="G308" s="150">
        <v>46107.58333333334</v>
      </c>
      <c r="H308" s="150">
        <v>46114.58333333334</v>
      </c>
      <c r="I308" s="149" t="s">
        <v>815</v>
      </c>
      <c r="J308" s="150">
        <v>46128.58333333334</v>
      </c>
      <c r="K308" s="149">
        <v>46135.58333333334</v>
      </c>
      <c r="L308" s="150"/>
      <c r="M308" s="150"/>
      <c r="N308" s="149"/>
      <c r="O308" s="149"/>
      <c r="P308" s="149"/>
      <c r="Q308" s="149"/>
      <c r="R308" s="149"/>
      <c r="S308" s="149"/>
      <c r="T308" s="149"/>
      <c r="U308" s="150"/>
      <c r="V308" s="151">
        <f t="shared" si="2"/>
        <v>46135.58333</v>
      </c>
      <c r="W308" s="152"/>
      <c r="X308" s="152"/>
      <c r="Y308" s="161"/>
    </row>
    <row r="309" ht="15.75" customHeight="1">
      <c r="A309" s="154" t="s">
        <v>566</v>
      </c>
      <c r="B309" s="154" t="str">
        <f>IFERROR(VLOOKUP(A309&amp;"", STUDENTS!A:B, 2, 0), "")</f>
        <v>PHAN QUỐC BÌNH</v>
      </c>
      <c r="C309" s="155" t="s">
        <v>77</v>
      </c>
      <c r="D309" s="155" t="str">
        <f>IFERROR(VLOOKUP(C309, PIC!A:B, 2, 0), "")</f>
        <v>Vinh Nguyen</v>
      </c>
      <c r="E309" s="156" t="s">
        <v>21</v>
      </c>
      <c r="F309" s="157">
        <v>45715.58333333334</v>
      </c>
      <c r="G309" s="158">
        <v>45756.58333333334</v>
      </c>
      <c r="H309" s="158">
        <v>45771.54166666666</v>
      </c>
      <c r="I309" s="157">
        <v>45786.54166666666</v>
      </c>
      <c r="J309" s="158">
        <v>45790.54166666666</v>
      </c>
      <c r="K309" s="157">
        <v>45799.54166666666</v>
      </c>
      <c r="L309" s="158">
        <v>45805.54166666666</v>
      </c>
      <c r="M309" s="158">
        <v>45813.58333333334</v>
      </c>
      <c r="N309" s="157">
        <v>45820.58333333334</v>
      </c>
      <c r="O309" s="157">
        <v>45849.54166666666</v>
      </c>
      <c r="P309" s="157"/>
      <c r="Q309" s="157"/>
      <c r="R309" s="157"/>
      <c r="S309" s="157"/>
      <c r="T309" s="157"/>
      <c r="U309" s="158"/>
      <c r="V309" s="159">
        <f t="shared" si="2"/>
        <v>45849.54167</v>
      </c>
      <c r="W309" s="160"/>
      <c r="X309" s="160"/>
      <c r="Y309" s="161"/>
    </row>
    <row r="310" ht="15.75" customHeight="1">
      <c r="A310" s="146" t="s">
        <v>566</v>
      </c>
      <c r="B310" s="146" t="str">
        <f>IFERROR(VLOOKUP(A310&amp;"", STUDENTS!A:B, 2, 0), "")</f>
        <v>PHAN QUỐC BÌNH</v>
      </c>
      <c r="C310" s="147" t="s">
        <v>77</v>
      </c>
      <c r="D310" s="147" t="str">
        <f>IFERROR(VLOOKUP(C310, PIC!A:B, 2, 0), "")</f>
        <v>Vinh Nguyen</v>
      </c>
      <c r="E310" s="148" t="s">
        <v>22</v>
      </c>
      <c r="F310" s="149" t="s">
        <v>815</v>
      </c>
      <c r="G310" s="150">
        <v>45897.58333333334</v>
      </c>
      <c r="H310" s="150" t="s">
        <v>815</v>
      </c>
      <c r="I310" s="149"/>
      <c r="J310" s="150" t="s">
        <v>815</v>
      </c>
      <c r="K310" s="149" t="s">
        <v>815</v>
      </c>
      <c r="L310" s="150" t="s">
        <v>815</v>
      </c>
      <c r="M310" s="150" t="s">
        <v>815</v>
      </c>
      <c r="N310" s="149" t="s">
        <v>815</v>
      </c>
      <c r="O310" s="149" t="s">
        <v>815</v>
      </c>
      <c r="P310" s="149" t="s">
        <v>815</v>
      </c>
      <c r="Q310" s="149" t="s">
        <v>815</v>
      </c>
      <c r="R310" s="149" t="s">
        <v>815</v>
      </c>
      <c r="S310" s="149" t="s">
        <v>815</v>
      </c>
      <c r="T310" s="149" t="s">
        <v>815</v>
      </c>
      <c r="U310" s="150" t="s">
        <v>815</v>
      </c>
      <c r="V310" s="151">
        <f t="shared" si="2"/>
        <v>45897.58333</v>
      </c>
      <c r="W310" s="152"/>
      <c r="X310" s="152"/>
      <c r="Y310" s="161"/>
    </row>
    <row r="311" ht="15.75" customHeight="1">
      <c r="A311" s="154" t="s">
        <v>566</v>
      </c>
      <c r="B311" s="154" t="str">
        <f>IFERROR(VLOOKUP(A311&amp;"", STUDENTS!A:B, 2, 0), "")</f>
        <v>PHAN QUỐC BÌNH</v>
      </c>
      <c r="C311" s="155" t="s">
        <v>77</v>
      </c>
      <c r="D311" s="155" t="str">
        <f>IFERROR(VLOOKUP(C311, PIC!A:B, 2, 0), "")</f>
        <v>Vinh Nguyen</v>
      </c>
      <c r="E311" s="156" t="s">
        <v>23</v>
      </c>
      <c r="F311" s="157"/>
      <c r="G311" s="158" t="s">
        <v>815</v>
      </c>
      <c r="H311" s="158" t="s">
        <v>815</v>
      </c>
      <c r="I311" s="157" t="s">
        <v>815</v>
      </c>
      <c r="J311" s="158" t="s">
        <v>815</v>
      </c>
      <c r="K311" s="154" t="s">
        <v>815</v>
      </c>
      <c r="L311" s="158"/>
      <c r="M311" s="158"/>
      <c r="N311" s="157"/>
      <c r="O311" s="157"/>
      <c r="P311" s="157"/>
      <c r="Q311" s="157"/>
      <c r="R311" s="157"/>
      <c r="S311" s="157"/>
      <c r="T311" s="157"/>
      <c r="U311" s="158"/>
      <c r="V311" s="159">
        <f t="shared" si="2"/>
        <v>0</v>
      </c>
      <c r="W311" s="160"/>
      <c r="X311" s="160"/>
      <c r="Y311" s="161"/>
    </row>
    <row r="312" ht="15.75" customHeight="1">
      <c r="A312" s="146" t="s">
        <v>182</v>
      </c>
      <c r="B312" s="146" t="str">
        <f>IFERROR(VLOOKUP(A312&amp;"", STUDENTS!A:B, 2, 0), "")</f>
        <v>ĐỖ THANH TÙNG</v>
      </c>
      <c r="C312" s="147" t="s">
        <v>78</v>
      </c>
      <c r="D312" s="147" t="str">
        <f>IFERROR(VLOOKUP(C312, PIC!A:B, 2, 0), "")</f>
        <v>Yen Tran 1</v>
      </c>
      <c r="E312" s="148" t="s">
        <v>21</v>
      </c>
      <c r="F312" s="149">
        <v>45638.45833333334</v>
      </c>
      <c r="G312" s="150">
        <v>45659.45833333334</v>
      </c>
      <c r="H312" s="150">
        <v>45677.45833333334</v>
      </c>
      <c r="I312" s="149">
        <v>45692.45833333334</v>
      </c>
      <c r="J312" s="150">
        <v>45768.54166666666</v>
      </c>
      <c r="K312" s="149">
        <v>45817.54166666666</v>
      </c>
      <c r="L312" s="150">
        <v>45831.58333333334</v>
      </c>
      <c r="M312" s="150">
        <v>45861.41666666666</v>
      </c>
      <c r="N312" s="149">
        <v>45861.45833333334</v>
      </c>
      <c r="O312" s="149">
        <v>45887.54166666666</v>
      </c>
      <c r="P312" s="149"/>
      <c r="Q312" s="149"/>
      <c r="R312" s="149"/>
      <c r="S312" s="149"/>
      <c r="T312" s="149"/>
      <c r="U312" s="150"/>
      <c r="V312" s="151">
        <f t="shared" si="2"/>
        <v>45887.54167</v>
      </c>
      <c r="W312" s="152"/>
      <c r="X312" s="152"/>
      <c r="Y312" s="161"/>
    </row>
    <row r="313" ht="15.75" customHeight="1">
      <c r="A313" s="154" t="s">
        <v>182</v>
      </c>
      <c r="B313" s="154" t="str">
        <f>IFERROR(VLOOKUP(A313&amp;"", STUDENTS!A:B, 2, 0), "")</f>
        <v>ĐỖ THANH TÙNG</v>
      </c>
      <c r="C313" s="155" t="s">
        <v>78</v>
      </c>
      <c r="D313" s="155" t="str">
        <f>IFERROR(VLOOKUP(C313, PIC!A:B, 2, 0), "")</f>
        <v>Yen Tran 1</v>
      </c>
      <c r="E313" s="156" t="s">
        <v>22</v>
      </c>
      <c r="F313" s="157"/>
      <c r="G313" s="158"/>
      <c r="H313" s="158"/>
      <c r="I313" s="157"/>
      <c r="J313" s="158"/>
      <c r="K313" s="157"/>
      <c r="L313" s="158"/>
      <c r="M313" s="158"/>
      <c r="N313" s="157"/>
      <c r="O313" s="157"/>
      <c r="P313" s="157"/>
      <c r="Q313" s="157"/>
      <c r="R313" s="157"/>
      <c r="S313" s="157"/>
      <c r="T313" s="157"/>
      <c r="U313" s="158"/>
      <c r="V313" s="159">
        <f t="shared" si="2"/>
        <v>0</v>
      </c>
      <c r="W313" s="160"/>
      <c r="X313" s="160"/>
      <c r="Y313" s="161"/>
    </row>
    <row r="314" ht="15.75" customHeight="1">
      <c r="A314" s="146" t="s">
        <v>259</v>
      </c>
      <c r="B314" s="146" t="str">
        <f>IFERROR(VLOOKUP(A314&amp;"", STUDENTS!A:B, 2, 0), "")</f>
        <v>LÊ CÔNG DUY</v>
      </c>
      <c r="C314" s="147" t="s">
        <v>78</v>
      </c>
      <c r="D314" s="147" t="str">
        <f>IFERROR(VLOOKUP(C314, PIC!A:B, 2, 0), "")</f>
        <v>Yen Tran 1</v>
      </c>
      <c r="E314" s="148" t="s">
        <v>21</v>
      </c>
      <c r="F314" s="149">
        <v>45638.45833333334</v>
      </c>
      <c r="G314" s="150">
        <v>45659.45833333334</v>
      </c>
      <c r="H314" s="150">
        <v>45677.45833333334</v>
      </c>
      <c r="I314" s="149">
        <v>45692.45833333334</v>
      </c>
      <c r="J314" s="150">
        <v>45768.54166666666</v>
      </c>
      <c r="K314" s="149">
        <v>45817.54166666666</v>
      </c>
      <c r="L314" s="150" t="s">
        <v>815</v>
      </c>
      <c r="M314" s="150" t="s">
        <v>815</v>
      </c>
      <c r="N314" s="149" t="s">
        <v>815</v>
      </c>
      <c r="O314" s="149">
        <v>45887.54166666666</v>
      </c>
      <c r="P314" s="149"/>
      <c r="Q314" s="149"/>
      <c r="R314" s="149"/>
      <c r="S314" s="149"/>
      <c r="T314" s="149"/>
      <c r="U314" s="150"/>
      <c r="V314" s="151">
        <f t="shared" si="2"/>
        <v>45887.54167</v>
      </c>
      <c r="W314" s="152"/>
      <c r="X314" s="152"/>
      <c r="Y314" s="161"/>
    </row>
    <row r="315" ht="15.75" customHeight="1">
      <c r="A315" s="154" t="s">
        <v>261</v>
      </c>
      <c r="B315" s="154" t="str">
        <f>IFERROR(VLOOKUP(A315&amp;"", STUDENTS!A:B, 2, 0), "")</f>
        <v>LÊ ĐẮC CƯỜNG</v>
      </c>
      <c r="C315" s="155" t="s">
        <v>78</v>
      </c>
      <c r="D315" s="155" t="str">
        <f>IFERROR(VLOOKUP(C315, PIC!A:B, 2, 0), "")</f>
        <v>Yen Tran 1</v>
      </c>
      <c r="E315" s="156" t="s">
        <v>21</v>
      </c>
      <c r="F315" s="157">
        <v>45638.45833333334</v>
      </c>
      <c r="G315" s="158">
        <v>45659.45833333334</v>
      </c>
      <c r="H315" s="158">
        <v>45677.45833333334</v>
      </c>
      <c r="I315" s="157">
        <v>45692.45833333334</v>
      </c>
      <c r="J315" s="158" t="s">
        <v>815</v>
      </c>
      <c r="K315" s="157">
        <v>45817.54166666666</v>
      </c>
      <c r="L315" s="158" t="s">
        <v>815</v>
      </c>
      <c r="M315" s="158" t="s">
        <v>815</v>
      </c>
      <c r="N315" s="157" t="s">
        <v>815</v>
      </c>
      <c r="O315" s="157" t="s">
        <v>815</v>
      </c>
      <c r="P315" s="157"/>
      <c r="Q315" s="157"/>
      <c r="R315" s="157"/>
      <c r="S315" s="157"/>
      <c r="T315" s="157"/>
      <c r="U315" s="158"/>
      <c r="V315" s="159">
        <f t="shared" si="2"/>
        <v>45817.54167</v>
      </c>
      <c r="W315" s="160"/>
      <c r="X315" s="160"/>
      <c r="Y315" s="161"/>
    </row>
    <row r="316" ht="15.75" customHeight="1">
      <c r="A316" s="146" t="s">
        <v>423</v>
      </c>
      <c r="B316" s="146" t="str">
        <f>IFERROR(VLOOKUP(A316&amp;"", STUDENTS!A:B, 2, 0), "")</f>
        <v>NGUYỄN PHI LONG</v>
      </c>
      <c r="C316" s="147" t="s">
        <v>78</v>
      </c>
      <c r="D316" s="147" t="str">
        <f>IFERROR(VLOOKUP(C316, PIC!A:B, 2, 0), "")</f>
        <v>Yen Tran 1</v>
      </c>
      <c r="E316" s="148" t="s">
        <v>21</v>
      </c>
      <c r="F316" s="149">
        <v>45638.45833333334</v>
      </c>
      <c r="G316" s="150">
        <v>45659.45833333334</v>
      </c>
      <c r="H316" s="150">
        <v>45677.45833333334</v>
      </c>
      <c r="I316" s="149">
        <v>45692.45833333334</v>
      </c>
      <c r="J316" s="150">
        <v>45768.54166666666</v>
      </c>
      <c r="K316" s="149">
        <v>45817.54166666666</v>
      </c>
      <c r="L316" s="150">
        <v>45831.58333333334</v>
      </c>
      <c r="M316" s="150">
        <v>45861.41666666666</v>
      </c>
      <c r="N316" s="149">
        <v>45861.45833333334</v>
      </c>
      <c r="O316" s="149">
        <v>45887.54166666666</v>
      </c>
      <c r="P316" s="149"/>
      <c r="Q316" s="149"/>
      <c r="R316" s="149"/>
      <c r="S316" s="149"/>
      <c r="T316" s="149"/>
      <c r="U316" s="150"/>
      <c r="V316" s="151">
        <f t="shared" si="2"/>
        <v>45887.54167</v>
      </c>
      <c r="W316" s="152"/>
      <c r="X316" s="152"/>
      <c r="Y316" s="161"/>
    </row>
    <row r="317" ht="15.75" customHeight="1">
      <c r="A317" s="154" t="s">
        <v>711</v>
      </c>
      <c r="B317" s="154" t="str">
        <f>IFERROR(VLOOKUP(A317&amp;"", STUDENTS!A:B, 2, 0), "")</f>
        <v>VŨ ANH THƯ</v>
      </c>
      <c r="C317" s="155" t="s">
        <v>78</v>
      </c>
      <c r="D317" s="155" t="str">
        <f>IFERROR(VLOOKUP(C317, PIC!A:B, 2, 0), "")</f>
        <v>Yen Tran 1</v>
      </c>
      <c r="E317" s="156" t="s">
        <v>21</v>
      </c>
      <c r="F317" s="157">
        <v>45638.45833333334</v>
      </c>
      <c r="G317" s="158">
        <v>45659.45833333334</v>
      </c>
      <c r="H317" s="158">
        <v>45677.45833333334</v>
      </c>
      <c r="I317" s="157">
        <v>45692.45833333334</v>
      </c>
      <c r="J317" s="158">
        <v>45768.54166666666</v>
      </c>
      <c r="K317" s="157">
        <v>45817.54166666666</v>
      </c>
      <c r="L317" s="158">
        <v>45831.58333333334</v>
      </c>
      <c r="M317" s="158">
        <v>45861.41666666666</v>
      </c>
      <c r="N317" s="157">
        <v>45861.45833333334</v>
      </c>
      <c r="O317" s="157">
        <v>45887.54166666666</v>
      </c>
      <c r="P317" s="157"/>
      <c r="Q317" s="157"/>
      <c r="R317" s="157"/>
      <c r="S317" s="157"/>
      <c r="T317" s="157"/>
      <c r="U317" s="158"/>
      <c r="V317" s="159">
        <f t="shared" si="2"/>
        <v>45887.54167</v>
      </c>
      <c r="W317" s="160"/>
      <c r="X317" s="160"/>
      <c r="Y317" s="161"/>
    </row>
    <row r="318" ht="15.75" customHeight="1">
      <c r="A318" s="146" t="s">
        <v>713</v>
      </c>
      <c r="B318" s="146" t="str">
        <f>IFERROR(VLOOKUP(A318&amp;"", STUDENTS!A:B, 2, 0), "")</f>
        <v>VŨ ANH TÚ</v>
      </c>
      <c r="C318" s="147" t="s">
        <v>78</v>
      </c>
      <c r="D318" s="147" t="str">
        <f>IFERROR(VLOOKUP(C318, PIC!A:B, 2, 0), "")</f>
        <v>Yen Tran 1</v>
      </c>
      <c r="E318" s="148" t="s">
        <v>21</v>
      </c>
      <c r="F318" s="149">
        <v>45638.45833333334</v>
      </c>
      <c r="G318" s="150">
        <v>45659.45833333334</v>
      </c>
      <c r="H318" s="150" t="s">
        <v>815</v>
      </c>
      <c r="I318" s="149">
        <v>45692.45833333334</v>
      </c>
      <c r="J318" s="150" t="s">
        <v>815</v>
      </c>
      <c r="K318" s="149">
        <v>45817.54166666666</v>
      </c>
      <c r="L318" s="150" t="s">
        <v>815</v>
      </c>
      <c r="M318" s="150" t="s">
        <v>815</v>
      </c>
      <c r="N318" s="149" t="s">
        <v>815</v>
      </c>
      <c r="O318" s="149" t="s">
        <v>815</v>
      </c>
      <c r="P318" s="149"/>
      <c r="Q318" s="149"/>
      <c r="R318" s="149"/>
      <c r="S318" s="149"/>
      <c r="T318" s="149"/>
      <c r="U318" s="150"/>
      <c r="V318" s="151">
        <f t="shared" si="2"/>
        <v>45817.54167</v>
      </c>
      <c r="W318" s="152"/>
      <c r="X318" s="152"/>
      <c r="Y318" s="161"/>
    </row>
    <row r="319" ht="15.75" customHeight="1">
      <c r="A319" s="154" t="s">
        <v>200</v>
      </c>
      <c r="B319" s="154" t="str">
        <f>IFERROR(VLOOKUP(A319&amp;"", STUDENTS!A:B, 2, 0), "")</f>
        <v>DƯƠNG LÊ XUÂN KHANG</v>
      </c>
      <c r="C319" s="155" t="s">
        <v>79</v>
      </c>
      <c r="D319" s="155" t="str">
        <f>IFERROR(VLOOKUP(C319, PIC!A:B, 2, 0), "")</f>
        <v>Yen Tran 2</v>
      </c>
      <c r="E319" s="156" t="s">
        <v>21</v>
      </c>
      <c r="F319" s="157">
        <v>45645.45833333334</v>
      </c>
      <c r="G319" s="158">
        <v>45652.45833333334</v>
      </c>
      <c r="H319" s="158">
        <v>45670.45833333334</v>
      </c>
      <c r="I319" s="157">
        <v>45698.41666666666</v>
      </c>
      <c r="J319" s="158">
        <v>45761.54166666666</v>
      </c>
      <c r="K319" s="157">
        <v>45789.54166666666</v>
      </c>
      <c r="L319" s="158">
        <v>45803.41666666666</v>
      </c>
      <c r="M319" s="158">
        <v>45817.41666666666</v>
      </c>
      <c r="N319" s="157">
        <v>45831.41666666666</v>
      </c>
      <c r="O319" s="157">
        <v>45859.54166666666</v>
      </c>
      <c r="P319" s="157"/>
      <c r="Q319" s="157"/>
      <c r="R319" s="157"/>
      <c r="S319" s="157"/>
      <c r="T319" s="157"/>
      <c r="U319" s="158"/>
      <c r="V319" s="159">
        <f t="shared" si="2"/>
        <v>45859.54167</v>
      </c>
      <c r="W319" s="160"/>
      <c r="X319" s="160"/>
      <c r="Y319" s="161"/>
    </row>
    <row r="320" ht="15.75" customHeight="1">
      <c r="A320" s="146" t="s">
        <v>214</v>
      </c>
      <c r="B320" s="146" t="str">
        <f>IFERROR(VLOOKUP(A320&amp;"", STUDENTS!A:B, 2, 0), "")</f>
        <v>HOÀNG ĐĂNG TRIỆU</v>
      </c>
      <c r="C320" s="147" t="s">
        <v>79</v>
      </c>
      <c r="D320" s="147" t="str">
        <f>IFERROR(VLOOKUP(C320, PIC!A:B, 2, 0), "")</f>
        <v>Yen Tran 2</v>
      </c>
      <c r="E320" s="148" t="s">
        <v>21</v>
      </c>
      <c r="F320" s="149">
        <v>45645.45833333334</v>
      </c>
      <c r="G320" s="150">
        <v>45652.45833333334</v>
      </c>
      <c r="H320" s="150">
        <v>45670.45833333334</v>
      </c>
      <c r="I320" s="149" t="s">
        <v>815</v>
      </c>
      <c r="J320" s="150">
        <v>45761.54166666666</v>
      </c>
      <c r="K320" s="149">
        <v>45789.54166666666</v>
      </c>
      <c r="L320" s="150">
        <v>45803.41666666666</v>
      </c>
      <c r="M320" s="150">
        <v>45817.41666666666</v>
      </c>
      <c r="N320" s="149">
        <v>45831.41666666666</v>
      </c>
      <c r="O320" s="149">
        <v>45859.54166666666</v>
      </c>
      <c r="P320" s="149"/>
      <c r="Q320" s="149"/>
      <c r="R320" s="149"/>
      <c r="S320" s="149"/>
      <c r="T320" s="149"/>
      <c r="U320" s="150"/>
      <c r="V320" s="151">
        <f t="shared" si="2"/>
        <v>45859.54167</v>
      </c>
      <c r="W320" s="152"/>
      <c r="X320" s="152"/>
      <c r="Y320" s="161"/>
    </row>
    <row r="321" ht="15.75" customHeight="1">
      <c r="A321" s="154" t="s">
        <v>436</v>
      </c>
      <c r="B321" s="154" t="str">
        <f>IFERROR(VLOOKUP(A321&amp;"", STUDENTS!A:B, 2, 0), "")</f>
        <v>NGUYỄN QUỐC DUY</v>
      </c>
      <c r="C321" s="155" t="s">
        <v>79</v>
      </c>
      <c r="D321" s="155" t="str">
        <f>IFERROR(VLOOKUP(C321, PIC!A:B, 2, 0), "")</f>
        <v>Yen Tran 2</v>
      </c>
      <c r="E321" s="156" t="s">
        <v>21</v>
      </c>
      <c r="F321" s="157">
        <v>45645.45833333334</v>
      </c>
      <c r="G321" s="158">
        <v>45652.45833333334</v>
      </c>
      <c r="H321" s="158">
        <v>45670.45833333334</v>
      </c>
      <c r="I321" s="157">
        <v>45698.41666666666</v>
      </c>
      <c r="J321" s="158">
        <v>45761.54166666666</v>
      </c>
      <c r="K321" s="157">
        <v>45789.54166666666</v>
      </c>
      <c r="L321" s="158">
        <v>45803.41666666666</v>
      </c>
      <c r="M321" s="158">
        <v>45817.41666666666</v>
      </c>
      <c r="N321" s="157">
        <v>45831.41666666666</v>
      </c>
      <c r="O321" s="157">
        <v>45859.54166666666</v>
      </c>
      <c r="P321" s="157"/>
      <c r="Q321" s="157"/>
      <c r="R321" s="157"/>
      <c r="S321" s="157"/>
      <c r="T321" s="157"/>
      <c r="U321" s="158"/>
      <c r="V321" s="159">
        <f t="shared" si="2"/>
        <v>45859.54167</v>
      </c>
      <c r="W321" s="160"/>
      <c r="X321" s="160"/>
      <c r="Y321" s="161"/>
    </row>
    <row r="322" ht="15.75" customHeight="1">
      <c r="A322" s="146" t="s">
        <v>476</v>
      </c>
      <c r="B322" s="146" t="str">
        <f>IFERROR(VLOOKUP(A322&amp;"", STUDENTS!A:B, 2, 0), "")</f>
        <v>NGUYỄN THỊ NGỌC LỮ</v>
      </c>
      <c r="C322" s="147" t="s">
        <v>79</v>
      </c>
      <c r="D322" s="147" t="str">
        <f>IFERROR(VLOOKUP(C322, PIC!A:B, 2, 0), "")</f>
        <v>Yen Tran 2</v>
      </c>
      <c r="E322" s="148" t="s">
        <v>21</v>
      </c>
      <c r="F322" s="149">
        <v>45645.45833333334</v>
      </c>
      <c r="G322" s="150">
        <v>45652.45833333334</v>
      </c>
      <c r="H322" s="150" t="s">
        <v>815</v>
      </c>
      <c r="I322" s="149">
        <v>45698.41666666666</v>
      </c>
      <c r="J322" s="150" t="s">
        <v>815</v>
      </c>
      <c r="K322" s="149" t="s">
        <v>815</v>
      </c>
      <c r="L322" s="150">
        <v>45803.41666666666</v>
      </c>
      <c r="M322" s="150">
        <v>45817.41666666666</v>
      </c>
      <c r="N322" s="149">
        <v>45831.41666666666</v>
      </c>
      <c r="O322" s="149">
        <v>45859.54166666666</v>
      </c>
      <c r="P322" s="149"/>
      <c r="Q322" s="149"/>
      <c r="R322" s="149"/>
      <c r="S322" s="149"/>
      <c r="T322" s="149"/>
      <c r="U322" s="150"/>
      <c r="V322" s="151">
        <f t="shared" si="2"/>
        <v>45859.54167</v>
      </c>
      <c r="W322" s="152"/>
      <c r="X322" s="152"/>
      <c r="Y322" s="161"/>
    </row>
    <row r="323" ht="15.75" customHeight="1">
      <c r="A323" s="154" t="s">
        <v>488</v>
      </c>
      <c r="B323" s="154" t="str">
        <f>IFERROR(VLOOKUP(A323&amp;"", STUDENTS!A:B, 2, 0), "")</f>
        <v>NGUYỄN TRẦN LỆ DUYÊN</v>
      </c>
      <c r="C323" s="155" t="s">
        <v>79</v>
      </c>
      <c r="D323" s="155" t="str">
        <f>IFERROR(VLOOKUP(C323, PIC!A:B, 2, 0), "")</f>
        <v>Yen Tran 2</v>
      </c>
      <c r="E323" s="156" t="s">
        <v>21</v>
      </c>
      <c r="F323" s="157">
        <v>45645.45833333334</v>
      </c>
      <c r="G323" s="158">
        <v>45652.45833333334</v>
      </c>
      <c r="H323" s="158">
        <v>45670.45833333334</v>
      </c>
      <c r="I323" s="157">
        <v>45698.41666666666</v>
      </c>
      <c r="J323" s="158" t="s">
        <v>815</v>
      </c>
      <c r="K323" s="157">
        <v>45789.54166666666</v>
      </c>
      <c r="L323" s="158" t="s">
        <v>815</v>
      </c>
      <c r="M323" s="158">
        <v>45817.58333333334</v>
      </c>
      <c r="N323" s="157">
        <v>45831.45833333334</v>
      </c>
      <c r="O323" s="157">
        <v>45859.54166666666</v>
      </c>
      <c r="P323" s="157"/>
      <c r="Q323" s="157"/>
      <c r="R323" s="157"/>
      <c r="S323" s="157"/>
      <c r="T323" s="157"/>
      <c r="U323" s="158"/>
      <c r="V323" s="159">
        <f t="shared" si="2"/>
        <v>45859.54167</v>
      </c>
      <c r="W323" s="160"/>
      <c r="X323" s="160"/>
      <c r="Y323" s="161"/>
    </row>
    <row r="324" ht="15.75" customHeight="1">
      <c r="A324" s="146" t="s">
        <v>549</v>
      </c>
      <c r="B324" s="146" t="str">
        <f>IFERROR(VLOOKUP(A324&amp;"", STUDENTS!A:B, 2, 0), "")</f>
        <v>PHẠM THỊ OANH THƠ</v>
      </c>
      <c r="C324" s="147" t="s">
        <v>79</v>
      </c>
      <c r="D324" s="147" t="str">
        <f>IFERROR(VLOOKUP(C324, PIC!A:B, 2, 0), "")</f>
        <v>Yen Tran 2</v>
      </c>
      <c r="E324" s="148" t="s">
        <v>21</v>
      </c>
      <c r="F324" s="149">
        <v>45645.45833333334</v>
      </c>
      <c r="G324" s="150">
        <v>45652.45833333334</v>
      </c>
      <c r="H324" s="150">
        <v>45670.45833333334</v>
      </c>
      <c r="I324" s="149">
        <v>45698.41666666666</v>
      </c>
      <c r="J324" s="150">
        <v>45761.54166666666</v>
      </c>
      <c r="K324" s="149">
        <v>45789.54166666666</v>
      </c>
      <c r="L324" s="150">
        <v>45803.41666666666</v>
      </c>
      <c r="M324" s="150">
        <v>45817.41666666666</v>
      </c>
      <c r="N324" s="149">
        <v>45831.41666666666</v>
      </c>
      <c r="O324" s="149">
        <v>45859.54166666666</v>
      </c>
      <c r="P324" s="149"/>
      <c r="Q324" s="149"/>
      <c r="R324" s="149"/>
      <c r="S324" s="149"/>
      <c r="T324" s="149"/>
      <c r="U324" s="150"/>
      <c r="V324" s="151">
        <f t="shared" si="2"/>
        <v>45859.54167</v>
      </c>
      <c r="W324" s="152"/>
      <c r="X324" s="152"/>
      <c r="Y324" s="161"/>
    </row>
    <row r="325" ht="15.75" customHeight="1">
      <c r="A325" s="154" t="s">
        <v>157</v>
      </c>
      <c r="B325" s="154" t="str">
        <f>IFERROR(VLOOKUP(A325&amp;"", STUDENTS!A:B, 2, 0), "")</f>
        <v>ĐẶNG QUỐC VIỆT</v>
      </c>
      <c r="C325" s="155" t="s">
        <v>80</v>
      </c>
      <c r="D325" s="155" t="str">
        <f>IFERROR(VLOOKUP(C325, PIC!A:B, 2, 0), "")</f>
        <v>Yen Tran 3</v>
      </c>
      <c r="E325" s="156" t="s">
        <v>21</v>
      </c>
      <c r="F325" s="157" t="s">
        <v>815</v>
      </c>
      <c r="G325" s="158">
        <v>45666.45833333334</v>
      </c>
      <c r="H325" s="158">
        <v>45680.45833333334</v>
      </c>
      <c r="I325" s="157">
        <v>45701.45833333334</v>
      </c>
      <c r="J325" s="158">
        <v>45762.41666666666</v>
      </c>
      <c r="K325" s="157">
        <v>45790.45833333334</v>
      </c>
      <c r="L325" s="158">
        <v>45817.58333333334</v>
      </c>
      <c r="M325" s="158">
        <v>45831.45833333334</v>
      </c>
      <c r="N325" s="157">
        <v>45846.45833333334</v>
      </c>
      <c r="O325" s="154"/>
      <c r="P325" s="157"/>
      <c r="Q325" s="157"/>
      <c r="R325" s="157"/>
      <c r="S325" s="157"/>
      <c r="T325" s="157"/>
      <c r="U325" s="158"/>
      <c r="V325" s="159">
        <f t="shared" si="2"/>
        <v>45846.45833</v>
      </c>
      <c r="W325" s="160"/>
      <c r="X325" s="160"/>
      <c r="Y325" s="161"/>
    </row>
    <row r="326" ht="15.75" customHeight="1">
      <c r="A326" s="146" t="s">
        <v>194</v>
      </c>
      <c r="B326" s="146" t="str">
        <f>IFERROR(VLOOKUP(A326&amp;"", STUDENTS!A:B, 2, 0), "")</f>
        <v>ĐOÀN QUỐC HẢI</v>
      </c>
      <c r="C326" s="147" t="s">
        <v>80</v>
      </c>
      <c r="D326" s="147" t="str">
        <f>IFERROR(VLOOKUP(C326, PIC!A:B, 2, 0), "")</f>
        <v>Yen Tran 3</v>
      </c>
      <c r="E326" s="148" t="s">
        <v>21</v>
      </c>
      <c r="F326" s="149">
        <v>45646.41666666666</v>
      </c>
      <c r="G326" s="150">
        <v>45663.45833333334</v>
      </c>
      <c r="H326" s="150">
        <v>45680.45833333334</v>
      </c>
      <c r="I326" s="149">
        <v>45701.45833333334</v>
      </c>
      <c r="J326" s="150">
        <v>45762.41666666666</v>
      </c>
      <c r="K326" s="149">
        <v>45790.45833333334</v>
      </c>
      <c r="L326" s="150">
        <v>45817.58333333334</v>
      </c>
      <c r="M326" s="150">
        <v>45831.45833333334</v>
      </c>
      <c r="N326" s="149">
        <v>45846.45833333334</v>
      </c>
      <c r="O326" s="146"/>
      <c r="P326" s="149"/>
      <c r="Q326" s="149"/>
      <c r="R326" s="149"/>
      <c r="S326" s="149"/>
      <c r="T326" s="149"/>
      <c r="U326" s="150"/>
      <c r="V326" s="151">
        <f t="shared" si="2"/>
        <v>45846.45833</v>
      </c>
      <c r="W326" s="152"/>
      <c r="X326" s="152"/>
      <c r="Y326" s="161"/>
    </row>
    <row r="327" ht="15.75" customHeight="1">
      <c r="A327" s="154" t="s">
        <v>457</v>
      </c>
      <c r="B327" s="154" t="str">
        <f>IFERROR(VLOOKUP(A327&amp;"", STUDENTS!A:B, 2, 0), "")</f>
        <v>NGUYỄN THẢO QUỲNH NHƯ</v>
      </c>
      <c r="C327" s="155" t="s">
        <v>80</v>
      </c>
      <c r="D327" s="155" t="str">
        <f>IFERROR(VLOOKUP(C327, PIC!A:B, 2, 0), "")</f>
        <v>Yen Tran 3</v>
      </c>
      <c r="E327" s="156" t="s">
        <v>21</v>
      </c>
      <c r="F327" s="157">
        <v>45646.41666666666</v>
      </c>
      <c r="G327" s="158">
        <v>45663.45833333334</v>
      </c>
      <c r="H327" s="158" t="s">
        <v>815</v>
      </c>
      <c r="I327" s="157" t="s">
        <v>815</v>
      </c>
      <c r="J327" s="158">
        <v>45761.54166666666</v>
      </c>
      <c r="K327" s="157" t="s">
        <v>815</v>
      </c>
      <c r="L327" s="158" t="s">
        <v>815</v>
      </c>
      <c r="M327" s="158">
        <v>45817.41666666666</v>
      </c>
      <c r="N327" s="157" t="s">
        <v>815</v>
      </c>
      <c r="O327" s="154"/>
      <c r="P327" s="157"/>
      <c r="Q327" s="157"/>
      <c r="R327" s="157"/>
      <c r="S327" s="157"/>
      <c r="T327" s="157"/>
      <c r="U327" s="158"/>
      <c r="V327" s="159">
        <f t="shared" si="2"/>
        <v>45817.41667</v>
      </c>
      <c r="W327" s="160"/>
      <c r="X327" s="160"/>
      <c r="Y327" s="161"/>
    </row>
    <row r="328" ht="15.75" customHeight="1">
      <c r="A328" s="146" t="s">
        <v>541</v>
      </c>
      <c r="B328" s="146" t="str">
        <f>IFERROR(VLOOKUP(A328&amp;"", STUDENTS!A:B, 2, 0), "")</f>
        <v>PHẠM NGỌC ANH DUYÊN</v>
      </c>
      <c r="C328" s="147" t="s">
        <v>80</v>
      </c>
      <c r="D328" s="147" t="str">
        <f>IFERROR(VLOOKUP(C328, PIC!A:B, 2, 0), "")</f>
        <v>Yen Tran 3</v>
      </c>
      <c r="E328" s="148" t="s">
        <v>21</v>
      </c>
      <c r="F328" s="149">
        <v>45646.41666666666</v>
      </c>
      <c r="G328" s="150">
        <v>45663.45833333334</v>
      </c>
      <c r="H328" s="150">
        <v>45680.45833333334</v>
      </c>
      <c r="I328" s="149">
        <v>45701.45833333334</v>
      </c>
      <c r="J328" s="150">
        <v>45762.41666666666</v>
      </c>
      <c r="K328" s="149">
        <v>45790.45833333334</v>
      </c>
      <c r="L328" s="150">
        <v>45817.58333333334</v>
      </c>
      <c r="M328" s="150" t="s">
        <v>815</v>
      </c>
      <c r="N328" s="149">
        <v>45846.45833333334</v>
      </c>
      <c r="O328" s="146"/>
      <c r="P328" s="149"/>
      <c r="Q328" s="149"/>
      <c r="R328" s="149"/>
      <c r="S328" s="149"/>
      <c r="T328" s="149"/>
      <c r="U328" s="150"/>
      <c r="V328" s="151">
        <f t="shared" si="2"/>
        <v>45846.45833</v>
      </c>
      <c r="W328" s="152"/>
      <c r="X328" s="152"/>
      <c r="Y328" s="161"/>
    </row>
    <row r="329" ht="15.75" customHeight="1">
      <c r="A329" s="154" t="s">
        <v>661</v>
      </c>
      <c r="B329" s="154" t="str">
        <f>IFERROR(VLOOKUP(A329&amp;"", STUDENTS!A:B, 2, 0), "")</f>
        <v>TRẦN THỊ YẾN</v>
      </c>
      <c r="C329" s="155" t="s">
        <v>80</v>
      </c>
      <c r="D329" s="155" t="str">
        <f>IFERROR(VLOOKUP(C329, PIC!A:B, 2, 0), "")</f>
        <v>Yen Tran 3</v>
      </c>
      <c r="E329" s="156" t="s">
        <v>21</v>
      </c>
      <c r="F329" s="157">
        <v>45646.41666666666</v>
      </c>
      <c r="G329" s="158">
        <v>45663.45833333334</v>
      </c>
      <c r="H329" s="158">
        <v>45680.45833333334</v>
      </c>
      <c r="I329" s="157">
        <v>45701.45833333334</v>
      </c>
      <c r="J329" s="158">
        <v>45762.41666666666</v>
      </c>
      <c r="K329" s="157">
        <v>45790.45833333334</v>
      </c>
      <c r="L329" s="158">
        <v>45817.58333333334</v>
      </c>
      <c r="M329" s="158">
        <v>45831.45833333334</v>
      </c>
      <c r="N329" s="157">
        <v>45846.45833333334</v>
      </c>
      <c r="O329" s="154"/>
      <c r="P329" s="157"/>
      <c r="Q329" s="157"/>
      <c r="R329" s="157"/>
      <c r="S329" s="157"/>
      <c r="T329" s="157"/>
      <c r="U329" s="158"/>
      <c r="V329" s="159">
        <f t="shared" si="2"/>
        <v>45846.45833</v>
      </c>
      <c r="W329" s="160"/>
      <c r="X329" s="160"/>
      <c r="Y329" s="161"/>
    </row>
    <row r="330" ht="15.75" customHeight="1">
      <c r="A330" s="146" t="s">
        <v>703</v>
      </c>
      <c r="B330" s="146" t="str">
        <f>IFERROR(VLOOKUP(A330&amp;"", STUDENTS!A:B, 2, 0), "")</f>
        <v>VÕ QUỐC THIÊN</v>
      </c>
      <c r="C330" s="147" t="s">
        <v>80</v>
      </c>
      <c r="D330" s="147" t="str">
        <f>IFERROR(VLOOKUP(C330, PIC!A:B, 2, 0), "")</f>
        <v>Yen Tran 3</v>
      </c>
      <c r="E330" s="148" t="s">
        <v>21</v>
      </c>
      <c r="F330" s="149">
        <v>45646.41666666666</v>
      </c>
      <c r="G330" s="150">
        <v>45666.45833333334</v>
      </c>
      <c r="H330" s="150">
        <v>45680.45833333334</v>
      </c>
      <c r="I330" s="149">
        <v>45701.45833333334</v>
      </c>
      <c r="J330" s="150">
        <v>45762.41666666666</v>
      </c>
      <c r="K330" s="149">
        <v>45790.45833333334</v>
      </c>
      <c r="L330" s="150">
        <v>45817.58333333334</v>
      </c>
      <c r="M330" s="150">
        <v>45831.45833333334</v>
      </c>
      <c r="N330" s="149" t="s">
        <v>815</v>
      </c>
      <c r="O330" s="146"/>
      <c r="P330" s="149"/>
      <c r="Q330" s="149"/>
      <c r="R330" s="149"/>
      <c r="S330" s="149"/>
      <c r="T330" s="149"/>
      <c r="U330" s="150"/>
      <c r="V330" s="151">
        <f t="shared" si="2"/>
        <v>45831.45833</v>
      </c>
      <c r="W330" s="152"/>
      <c r="X330" s="152"/>
      <c r="Y330" s="161"/>
    </row>
    <row r="331" ht="15.75" customHeight="1">
      <c r="A331" s="154" t="s">
        <v>707</v>
      </c>
      <c r="B331" s="154" t="str">
        <f>IFERROR(VLOOKUP(A331&amp;"", STUDENTS!A:B, 2, 0), "")</f>
        <v>VÕ THỊ THU HƯƠNG</v>
      </c>
      <c r="C331" s="155" t="s">
        <v>80</v>
      </c>
      <c r="D331" s="155" t="str">
        <f>IFERROR(VLOOKUP(C331, PIC!A:B, 2, 0), "")</f>
        <v>Yen Tran 3</v>
      </c>
      <c r="E331" s="156" t="s">
        <v>21</v>
      </c>
      <c r="F331" s="157">
        <v>45646.41666666666</v>
      </c>
      <c r="G331" s="158">
        <v>45663.45833333334</v>
      </c>
      <c r="H331" s="158" t="s">
        <v>815</v>
      </c>
      <c r="I331" s="157">
        <v>45701.45833333334</v>
      </c>
      <c r="J331" s="158">
        <v>45762.41666666666</v>
      </c>
      <c r="K331" s="157">
        <v>45790.45833333334</v>
      </c>
      <c r="L331" s="158">
        <v>45817.58333333334</v>
      </c>
      <c r="M331" s="158">
        <v>45831.45833333334</v>
      </c>
      <c r="N331" s="157">
        <v>45846.45833333334</v>
      </c>
      <c r="O331" s="154"/>
      <c r="P331" s="157"/>
      <c r="Q331" s="157"/>
      <c r="R331" s="157"/>
      <c r="S331" s="157"/>
      <c r="T331" s="157"/>
      <c r="U331" s="158"/>
      <c r="V331" s="159">
        <f t="shared" si="2"/>
        <v>45846.45833</v>
      </c>
      <c r="W331" s="160"/>
      <c r="X331" s="160"/>
      <c r="Y331" s="161"/>
    </row>
    <row r="332" ht="15.75" customHeight="1">
      <c r="A332" s="146" t="s">
        <v>512</v>
      </c>
      <c r="B332" s="146" t="str">
        <f>IFERROR(VLOOKUP(A332&amp;"", STUDENTS!A:B, 2, 0), "")</f>
        <v>NGUYỄN VĂN TÀI</v>
      </c>
      <c r="C332" s="147" t="s">
        <v>81</v>
      </c>
      <c r="D332" s="147" t="str">
        <f>IFERROR(VLOOKUP(C332, PIC!A:B, 2, 0), "")</f>
        <v>Tai Nguyen</v>
      </c>
      <c r="E332" s="148" t="s">
        <v>21</v>
      </c>
      <c r="F332" s="149">
        <v>45765.41666666666</v>
      </c>
      <c r="G332" s="150">
        <v>45768.375</v>
      </c>
      <c r="H332" s="150">
        <v>45811.45833333334</v>
      </c>
      <c r="I332" s="149">
        <v>45818.45833333334</v>
      </c>
      <c r="J332" s="150">
        <v>45833.45833333334</v>
      </c>
      <c r="K332" s="149">
        <v>45839.45833333334</v>
      </c>
      <c r="L332" s="150">
        <v>45846.54166666666</v>
      </c>
      <c r="M332" s="150">
        <v>45853.45833333334</v>
      </c>
      <c r="N332" s="149">
        <v>45862.45833333334</v>
      </c>
      <c r="O332" s="149">
        <v>45883.41666666666</v>
      </c>
      <c r="P332" s="149"/>
      <c r="Q332" s="149"/>
      <c r="R332" s="149"/>
      <c r="S332" s="149"/>
      <c r="T332" s="149"/>
      <c r="U332" s="150"/>
      <c r="V332" s="151">
        <f t="shared" si="2"/>
        <v>45883.41667</v>
      </c>
      <c r="W332" s="152"/>
      <c r="X332" s="152"/>
      <c r="Y332" s="161"/>
    </row>
    <row r="333" ht="15.75" customHeight="1">
      <c r="A333" s="154" t="s">
        <v>524</v>
      </c>
      <c r="B333" s="154" t="str">
        <f>IFERROR(VLOOKUP(A333&amp;"", STUDENTS!A:B, 2, 0), "")</f>
        <v>PHẠM HOÀNG THÁI SƠN</v>
      </c>
      <c r="C333" s="155" t="s">
        <v>81</v>
      </c>
      <c r="D333" s="155" t="str">
        <f>IFERROR(VLOOKUP(C333, PIC!A:B, 2, 0), "")</f>
        <v>Tai Nguyen</v>
      </c>
      <c r="E333" s="156" t="s">
        <v>21</v>
      </c>
      <c r="F333" s="157">
        <v>45765.41666666666</v>
      </c>
      <c r="G333" s="158">
        <v>45768.375</v>
      </c>
      <c r="H333" s="158">
        <v>45811.45833333334</v>
      </c>
      <c r="I333" s="157">
        <v>45818.45833333334</v>
      </c>
      <c r="J333" s="158">
        <v>45833.45833333334</v>
      </c>
      <c r="K333" s="157">
        <v>45839.45833333334</v>
      </c>
      <c r="L333" s="158">
        <v>45846.54166666666</v>
      </c>
      <c r="M333" s="158">
        <v>45853.45833333334</v>
      </c>
      <c r="N333" s="157">
        <v>45862.45833333334</v>
      </c>
      <c r="O333" s="157">
        <v>45883.41666666666</v>
      </c>
      <c r="P333" s="157"/>
      <c r="Q333" s="157"/>
      <c r="R333" s="157"/>
      <c r="S333" s="157"/>
      <c r="T333" s="157"/>
      <c r="U333" s="158"/>
      <c r="V333" s="159">
        <f t="shared" si="2"/>
        <v>45883.41667</v>
      </c>
      <c r="W333" s="160"/>
      <c r="X333" s="160"/>
      <c r="Y333" s="161"/>
    </row>
    <row r="334" ht="15.75" customHeight="1">
      <c r="A334" s="146" t="s">
        <v>530</v>
      </c>
      <c r="B334" s="146" t="str">
        <f>IFERROR(VLOOKUP(A334&amp;"", STUDENTS!A:B, 2, 0), "")</f>
        <v>PHẠM HUY HOÀNG</v>
      </c>
      <c r="C334" s="147" t="s">
        <v>81</v>
      </c>
      <c r="D334" s="147" t="str">
        <f>IFERROR(VLOOKUP(C334, PIC!A:B, 2, 0), "")</f>
        <v>Tai Nguyen</v>
      </c>
      <c r="E334" s="148" t="s">
        <v>21</v>
      </c>
      <c r="F334" s="149">
        <v>45765.41666666666</v>
      </c>
      <c r="G334" s="150">
        <v>45768.375</v>
      </c>
      <c r="H334" s="150">
        <v>45811.45833333334</v>
      </c>
      <c r="I334" s="149">
        <v>45818.45833333334</v>
      </c>
      <c r="J334" s="150">
        <v>45833.45833333334</v>
      </c>
      <c r="K334" s="149">
        <v>45839.45833333334</v>
      </c>
      <c r="L334" s="150">
        <v>45846.54166666666</v>
      </c>
      <c r="M334" s="150">
        <v>45853.45833333334</v>
      </c>
      <c r="N334" s="149">
        <v>45862.45833333334</v>
      </c>
      <c r="O334" s="149">
        <v>45883.41666666666</v>
      </c>
      <c r="P334" s="149"/>
      <c r="Q334" s="149"/>
      <c r="R334" s="149"/>
      <c r="S334" s="149"/>
      <c r="T334" s="149"/>
      <c r="U334" s="150"/>
      <c r="V334" s="151">
        <f t="shared" si="2"/>
        <v>45883.41667</v>
      </c>
      <c r="W334" s="152"/>
      <c r="X334" s="152"/>
      <c r="Y334" s="161"/>
    </row>
    <row r="335" ht="15.75" customHeight="1">
      <c r="A335" s="154" t="s">
        <v>621</v>
      </c>
      <c r="B335" s="154" t="str">
        <f>IFERROR(VLOOKUP(A335&amp;"", STUDENTS!A:B, 2, 0), "")</f>
        <v>TRẦN MINH TRIẾT</v>
      </c>
      <c r="C335" s="155" t="s">
        <v>81</v>
      </c>
      <c r="D335" s="155" t="str">
        <f>IFERROR(VLOOKUP(C335, PIC!A:B, 2, 0), "")</f>
        <v>Tai Nguyen</v>
      </c>
      <c r="E335" s="156" t="s">
        <v>21</v>
      </c>
      <c r="F335" s="157">
        <v>45765.41666666666</v>
      </c>
      <c r="G335" s="158">
        <v>45768.375</v>
      </c>
      <c r="H335" s="158">
        <v>45811.45833333334</v>
      </c>
      <c r="I335" s="157">
        <v>45818.45833333334</v>
      </c>
      <c r="J335" s="158">
        <v>45833.45833333334</v>
      </c>
      <c r="K335" s="157">
        <v>45839.45833333334</v>
      </c>
      <c r="L335" s="158">
        <v>45846.54166666666</v>
      </c>
      <c r="M335" s="158">
        <v>45853.45833333334</v>
      </c>
      <c r="N335" s="157">
        <v>45862.45833333334</v>
      </c>
      <c r="O335" s="157">
        <v>45883.41666666666</v>
      </c>
      <c r="P335" s="157"/>
      <c r="Q335" s="157"/>
      <c r="R335" s="157"/>
      <c r="S335" s="157"/>
      <c r="T335" s="157"/>
      <c r="U335" s="158"/>
      <c r="V335" s="159">
        <f t="shared" si="2"/>
        <v>45883.41667</v>
      </c>
      <c r="W335" s="160"/>
      <c r="X335" s="160"/>
      <c r="Y335" s="161"/>
    </row>
    <row r="336" ht="15.75" customHeight="1">
      <c r="A336" s="146" t="s">
        <v>271</v>
      </c>
      <c r="B336" s="146" t="str">
        <f>IFERROR(VLOOKUP(A336&amp;"", STUDENTS!A:B, 2, 0), "")</f>
        <v>LÊ MINH PHƯỚC</v>
      </c>
      <c r="C336" s="147" t="s">
        <v>82</v>
      </c>
      <c r="D336" s="147" t="str">
        <f>IFERROR(VLOOKUP(C336, PIC!A:B, 2, 0), "")</f>
        <v>Tai Pham</v>
      </c>
      <c r="E336" s="148" t="s">
        <v>21</v>
      </c>
      <c r="F336" s="149">
        <v>45765.58333333334</v>
      </c>
      <c r="G336" s="150">
        <v>45770.58333333334</v>
      </c>
      <c r="H336" s="150">
        <v>45783.54166666666</v>
      </c>
      <c r="I336" s="149">
        <v>45791.58333333334</v>
      </c>
      <c r="J336" s="150">
        <v>45792.54166666666</v>
      </c>
      <c r="K336" s="149">
        <v>45805.58333333334</v>
      </c>
      <c r="L336" s="150" t="s">
        <v>815</v>
      </c>
      <c r="M336" s="150">
        <v>45819.54166666666</v>
      </c>
      <c r="N336" s="149">
        <v>45825.54166666666</v>
      </c>
      <c r="O336" s="149">
        <v>45853.54166666666</v>
      </c>
      <c r="P336" s="149"/>
      <c r="Q336" s="149"/>
      <c r="R336" s="149"/>
      <c r="S336" s="149"/>
      <c r="T336" s="149"/>
      <c r="U336" s="150"/>
      <c r="V336" s="151">
        <f t="shared" si="2"/>
        <v>45853.54167</v>
      </c>
      <c r="W336" s="152"/>
      <c r="X336" s="152"/>
      <c r="Y336" s="161"/>
    </row>
    <row r="337" ht="15.75" customHeight="1">
      <c r="A337" s="154" t="s">
        <v>271</v>
      </c>
      <c r="B337" s="154" t="str">
        <f>IFERROR(VLOOKUP(A337&amp;"", STUDENTS!A:B, 2, 0), "")</f>
        <v>LÊ MINH PHƯỚC</v>
      </c>
      <c r="C337" s="155" t="s">
        <v>82</v>
      </c>
      <c r="D337" s="155" t="str">
        <f>IFERROR(VLOOKUP(C337, PIC!A:B, 2, 0), "")</f>
        <v>Tai Pham</v>
      </c>
      <c r="E337" s="156" t="s">
        <v>22</v>
      </c>
      <c r="F337" s="157">
        <v>45881.54166666666</v>
      </c>
      <c r="G337" s="158">
        <v>45896.54166666666</v>
      </c>
      <c r="H337" s="158">
        <v>45909.58333333334</v>
      </c>
      <c r="I337" s="157">
        <v>45923.58333333334</v>
      </c>
      <c r="J337" s="158">
        <v>45930.58333333334</v>
      </c>
      <c r="K337" s="157" t="s">
        <v>815</v>
      </c>
      <c r="L337" s="158"/>
      <c r="M337" s="158" t="s">
        <v>815</v>
      </c>
      <c r="N337" s="157" t="s">
        <v>815</v>
      </c>
      <c r="O337" s="157" t="s">
        <v>815</v>
      </c>
      <c r="P337" s="157" t="s">
        <v>815</v>
      </c>
      <c r="Q337" s="157" t="s">
        <v>815</v>
      </c>
      <c r="R337" s="157">
        <v>45994.41666666666</v>
      </c>
      <c r="S337" s="157" t="s">
        <v>815</v>
      </c>
      <c r="T337" s="157" t="s">
        <v>815</v>
      </c>
      <c r="U337" s="158" t="s">
        <v>815</v>
      </c>
      <c r="V337" s="159">
        <f t="shared" si="2"/>
        <v>45994.41667</v>
      </c>
      <c r="W337" s="160"/>
      <c r="X337" s="160"/>
      <c r="Y337" s="161"/>
    </row>
    <row r="338" ht="15.75" customHeight="1">
      <c r="A338" s="146" t="s">
        <v>279</v>
      </c>
      <c r="B338" s="146" t="str">
        <f>IFERROR(VLOOKUP(A338&amp;"", STUDENTS!A:B, 2, 0), "")</f>
        <v>LÊ NHẬT LINH</v>
      </c>
      <c r="C338" s="147" t="s">
        <v>82</v>
      </c>
      <c r="D338" s="147" t="str">
        <f>IFERROR(VLOOKUP(C338, PIC!A:B, 2, 0), "")</f>
        <v>Tai Pham</v>
      </c>
      <c r="E338" s="148" t="s">
        <v>21</v>
      </c>
      <c r="F338" s="149">
        <v>45765.58333333334</v>
      </c>
      <c r="G338" s="150">
        <v>45770.58333333334</v>
      </c>
      <c r="H338" s="150">
        <v>45783.54166666666</v>
      </c>
      <c r="I338" s="149">
        <v>45791.58333333334</v>
      </c>
      <c r="J338" s="150">
        <v>45792.54166666666</v>
      </c>
      <c r="K338" s="149">
        <v>45805.58333333334</v>
      </c>
      <c r="L338" s="150">
        <v>45811.54166666666</v>
      </c>
      <c r="M338" s="150">
        <v>45819.54166666666</v>
      </c>
      <c r="N338" s="149">
        <v>45825.54166666666</v>
      </c>
      <c r="O338" s="149">
        <v>45853.54166666666</v>
      </c>
      <c r="P338" s="149"/>
      <c r="Q338" s="149"/>
      <c r="R338" s="149"/>
      <c r="S338" s="149"/>
      <c r="T338" s="149"/>
      <c r="U338" s="150"/>
      <c r="V338" s="151">
        <f t="shared" si="2"/>
        <v>45853.54167</v>
      </c>
      <c r="W338" s="152"/>
      <c r="X338" s="152"/>
      <c r="Y338" s="161"/>
    </row>
    <row r="339" ht="15.75" customHeight="1">
      <c r="A339" s="154" t="s">
        <v>279</v>
      </c>
      <c r="B339" s="154" t="str">
        <f>IFERROR(VLOOKUP(A339&amp;"", STUDENTS!A:B, 2, 0), "")</f>
        <v>LÊ NHẬT LINH</v>
      </c>
      <c r="C339" s="155" t="s">
        <v>82</v>
      </c>
      <c r="D339" s="155" t="str">
        <f>IFERROR(VLOOKUP(C339, PIC!A:B, 2, 0), "")</f>
        <v>Tai Pham</v>
      </c>
      <c r="E339" s="156" t="s">
        <v>22</v>
      </c>
      <c r="F339" s="157">
        <v>45881.54166666666</v>
      </c>
      <c r="G339" s="158">
        <v>45896.54166666666</v>
      </c>
      <c r="H339" s="158">
        <v>45909.58333333334</v>
      </c>
      <c r="I339" s="157">
        <v>45923.58333333334</v>
      </c>
      <c r="J339" s="158">
        <v>45930.58333333334</v>
      </c>
      <c r="K339" s="157">
        <v>45937.58333333334</v>
      </c>
      <c r="L339" s="158"/>
      <c r="M339" s="158" t="s">
        <v>815</v>
      </c>
      <c r="N339" s="157">
        <v>45958.58333333334</v>
      </c>
      <c r="O339" s="157">
        <v>45966.45833333334</v>
      </c>
      <c r="P339" s="157"/>
      <c r="Q339" s="157"/>
      <c r="R339" s="157"/>
      <c r="S339" s="157"/>
      <c r="T339" s="157"/>
      <c r="U339" s="158"/>
      <c r="V339" s="159">
        <f t="shared" si="2"/>
        <v>45966.45833</v>
      </c>
      <c r="W339" s="160"/>
      <c r="X339" s="160"/>
      <c r="Y339" s="161"/>
    </row>
    <row r="340" ht="15.75" customHeight="1">
      <c r="A340" s="146" t="s">
        <v>300</v>
      </c>
      <c r="B340" s="146" t="str">
        <f>IFERROR(VLOOKUP(A340&amp;"", STUDENTS!A:B, 2, 0), "")</f>
        <v>LÊ TRIỆU HUẤN</v>
      </c>
      <c r="C340" s="147" t="s">
        <v>82</v>
      </c>
      <c r="D340" s="147" t="str">
        <f>IFERROR(VLOOKUP(C340, PIC!A:B, 2, 0), "")</f>
        <v>Tai Pham</v>
      </c>
      <c r="E340" s="148" t="s">
        <v>21</v>
      </c>
      <c r="F340" s="149">
        <v>45765.58333333334</v>
      </c>
      <c r="G340" s="150">
        <v>45770.58333333334</v>
      </c>
      <c r="H340" s="150">
        <v>45783.54166666666</v>
      </c>
      <c r="I340" s="149">
        <v>45791.58333333334</v>
      </c>
      <c r="J340" s="150">
        <v>45792.54166666666</v>
      </c>
      <c r="K340" s="149">
        <v>45805.58333333334</v>
      </c>
      <c r="L340" s="150">
        <v>45811.54166666666</v>
      </c>
      <c r="M340" s="150">
        <v>45819.54166666666</v>
      </c>
      <c r="N340" s="149">
        <v>45825.54166666666</v>
      </c>
      <c r="O340" s="149">
        <v>45853.54166666666</v>
      </c>
      <c r="P340" s="149"/>
      <c r="Q340" s="149"/>
      <c r="R340" s="149"/>
      <c r="S340" s="149"/>
      <c r="T340" s="149"/>
      <c r="U340" s="150"/>
      <c r="V340" s="151">
        <f t="shared" si="2"/>
        <v>45853.54167</v>
      </c>
      <c r="W340" s="152"/>
      <c r="X340" s="152"/>
      <c r="Y340" s="161"/>
    </row>
    <row r="341" ht="15.75" customHeight="1">
      <c r="A341" s="154" t="s">
        <v>300</v>
      </c>
      <c r="B341" s="154" t="str">
        <f>IFERROR(VLOOKUP(A341&amp;"", STUDENTS!A:B, 2, 0), "")</f>
        <v>LÊ TRIỆU HUẤN</v>
      </c>
      <c r="C341" s="155" t="s">
        <v>82</v>
      </c>
      <c r="D341" s="155" t="str">
        <f>IFERROR(VLOOKUP(C341, PIC!A:B, 2, 0), "")</f>
        <v>Tai Pham</v>
      </c>
      <c r="E341" s="156" t="s">
        <v>22</v>
      </c>
      <c r="F341" s="157">
        <v>45881.54166666666</v>
      </c>
      <c r="G341" s="158">
        <v>45896.54166666666</v>
      </c>
      <c r="H341" s="158">
        <v>45909.58333333334</v>
      </c>
      <c r="I341" s="157">
        <v>45923.58333333334</v>
      </c>
      <c r="J341" s="158">
        <v>45930.58333333334</v>
      </c>
      <c r="K341" s="157">
        <v>45937.58333333334</v>
      </c>
      <c r="L341" s="158"/>
      <c r="M341" s="158">
        <v>45951.58333333334</v>
      </c>
      <c r="N341" s="157">
        <v>45958.58333333334</v>
      </c>
      <c r="O341" s="157">
        <v>45966.45833333334</v>
      </c>
      <c r="P341" s="157" t="s">
        <v>815</v>
      </c>
      <c r="Q341" s="157">
        <v>45987.58333333334</v>
      </c>
      <c r="R341" s="157">
        <v>45994.41666666666</v>
      </c>
      <c r="S341" s="157" t="s">
        <v>815</v>
      </c>
      <c r="T341" s="157">
        <v>46013.625</v>
      </c>
      <c r="U341" s="158">
        <v>46035.41666666666</v>
      </c>
      <c r="V341" s="159">
        <f t="shared" si="2"/>
        <v>46035.41667</v>
      </c>
      <c r="W341" s="160"/>
      <c r="X341" s="160"/>
      <c r="Y341" s="161"/>
    </row>
    <row r="342" ht="15.75" customHeight="1">
      <c r="A342" s="146" t="s">
        <v>309</v>
      </c>
      <c r="B342" s="146" t="str">
        <f>IFERROR(VLOOKUP(A342&amp;"", STUDENTS!A:B, 2, 0), "")</f>
        <v>LƯƠNG CÔNG KỲ</v>
      </c>
      <c r="C342" s="147" t="s">
        <v>82</v>
      </c>
      <c r="D342" s="147" t="str">
        <f>IFERROR(VLOOKUP(C342, PIC!A:B, 2, 0), "")</f>
        <v>Tai Pham</v>
      </c>
      <c r="E342" s="148" t="s">
        <v>22</v>
      </c>
      <c r="F342" s="149">
        <v>45881.54166666666</v>
      </c>
      <c r="G342" s="150">
        <v>45896.54166666666</v>
      </c>
      <c r="H342" s="150">
        <v>45909.58333333334</v>
      </c>
      <c r="I342" s="149">
        <v>45923.58333333334</v>
      </c>
      <c r="J342" s="150">
        <v>45930.58333333334</v>
      </c>
      <c r="K342" s="149">
        <v>45937.58333333334</v>
      </c>
      <c r="L342" s="150"/>
      <c r="M342" s="150">
        <v>45951.58333333334</v>
      </c>
      <c r="N342" s="149">
        <v>45958.58333333334</v>
      </c>
      <c r="O342" s="149">
        <v>45966.45833333334</v>
      </c>
      <c r="P342" s="149">
        <v>45980.45833333334</v>
      </c>
      <c r="Q342" s="149" t="s">
        <v>815</v>
      </c>
      <c r="R342" s="149">
        <v>45994.41666666666</v>
      </c>
      <c r="S342" s="149">
        <v>46006.625</v>
      </c>
      <c r="T342" s="149">
        <v>46013.625</v>
      </c>
      <c r="U342" s="150">
        <v>46035.41666666666</v>
      </c>
      <c r="V342" s="151">
        <f t="shared" si="2"/>
        <v>46035.41667</v>
      </c>
      <c r="W342" s="152"/>
      <c r="X342" s="152"/>
      <c r="Y342" s="161"/>
    </row>
    <row r="343" ht="15.75" customHeight="1">
      <c r="A343" s="154" t="s">
        <v>332</v>
      </c>
      <c r="B343" s="154" t="str">
        <f>IFERROR(VLOOKUP(A343&amp;"", STUDENTS!A:B, 2, 0), "")</f>
        <v>NGUYỄN BÁ NGỌC</v>
      </c>
      <c r="C343" s="155" t="s">
        <v>82</v>
      </c>
      <c r="D343" s="155" t="str">
        <f>IFERROR(VLOOKUP(C343, PIC!A:B, 2, 0), "")</f>
        <v>Tai Pham</v>
      </c>
      <c r="E343" s="156" t="s">
        <v>22</v>
      </c>
      <c r="F343" s="157">
        <v>45881.54166666666</v>
      </c>
      <c r="G343" s="158">
        <v>45896.54166666666</v>
      </c>
      <c r="H343" s="158">
        <v>45909.58333333334</v>
      </c>
      <c r="I343" s="157">
        <v>45923.58333333334</v>
      </c>
      <c r="J343" s="158">
        <v>45930.58333333334</v>
      </c>
      <c r="K343" s="157">
        <v>45937.58333333334</v>
      </c>
      <c r="L343" s="158"/>
      <c r="M343" s="158">
        <v>45951.58333333334</v>
      </c>
      <c r="N343" s="157">
        <v>45958.58333333334</v>
      </c>
      <c r="O343" s="157">
        <v>45966.45833333334</v>
      </c>
      <c r="P343" s="157">
        <v>45980.45833333334</v>
      </c>
      <c r="Q343" s="157">
        <v>45987.58333333334</v>
      </c>
      <c r="R343" s="157">
        <v>45994.41666666666</v>
      </c>
      <c r="S343" s="157">
        <v>46006.625</v>
      </c>
      <c r="T343" s="157">
        <v>46013.625</v>
      </c>
      <c r="U343" s="158">
        <v>46035.41666666666</v>
      </c>
      <c r="V343" s="159">
        <f t="shared" si="2"/>
        <v>46035.41667</v>
      </c>
      <c r="W343" s="160"/>
      <c r="X343" s="160"/>
      <c r="Y343" s="161"/>
    </row>
    <row r="344" ht="15.75" customHeight="1">
      <c r="A344" s="146" t="s">
        <v>350</v>
      </c>
      <c r="B344" s="146" t="str">
        <f>IFERROR(VLOOKUP(A344&amp;"", STUDENTS!A:B, 2, 0), "")</f>
        <v>NGUYỄN DOÃN NAM</v>
      </c>
      <c r="C344" s="147" t="s">
        <v>82</v>
      </c>
      <c r="D344" s="147" t="str">
        <f>IFERROR(VLOOKUP(C344, PIC!A:B, 2, 0), "")</f>
        <v>Tai Pham</v>
      </c>
      <c r="E344" s="148" t="s">
        <v>21</v>
      </c>
      <c r="F344" s="149">
        <v>45765.58333333334</v>
      </c>
      <c r="G344" s="150">
        <v>45770.58333333334</v>
      </c>
      <c r="H344" s="150" t="s">
        <v>815</v>
      </c>
      <c r="I344" s="149">
        <v>45791.58333333334</v>
      </c>
      <c r="J344" s="150">
        <v>45792.54166666666</v>
      </c>
      <c r="K344" s="149">
        <v>45805.58333333334</v>
      </c>
      <c r="L344" s="150" t="s">
        <v>815</v>
      </c>
      <c r="M344" s="150">
        <v>45819.54166666666</v>
      </c>
      <c r="N344" s="149">
        <v>45825.54166666666</v>
      </c>
      <c r="O344" s="149">
        <v>45853.54166666666</v>
      </c>
      <c r="P344" s="149"/>
      <c r="Q344" s="149"/>
      <c r="R344" s="149"/>
      <c r="S344" s="149"/>
      <c r="T344" s="149"/>
      <c r="U344" s="150"/>
      <c r="V344" s="151">
        <f t="shared" si="2"/>
        <v>45853.54167</v>
      </c>
      <c r="W344" s="152"/>
      <c r="X344" s="152"/>
      <c r="Y344" s="161"/>
    </row>
    <row r="345" ht="15.75" customHeight="1">
      <c r="A345" s="154" t="s">
        <v>526</v>
      </c>
      <c r="B345" s="154" t="str">
        <f>IFERROR(VLOOKUP(A345&amp;"", STUDENTS!A:B, 2, 0), "")</f>
        <v>PHẠM HỒNG THIÊN TÀI</v>
      </c>
      <c r="C345" s="155" t="s">
        <v>82</v>
      </c>
      <c r="D345" s="155" t="str">
        <f>IFERROR(VLOOKUP(C345, PIC!A:B, 2, 0), "")</f>
        <v>Tai Pham</v>
      </c>
      <c r="E345" s="156" t="s">
        <v>21</v>
      </c>
      <c r="F345" s="157">
        <v>45765.58333333334</v>
      </c>
      <c r="G345" s="158">
        <v>45770.58333333334</v>
      </c>
      <c r="H345" s="158">
        <v>45783.54166666666</v>
      </c>
      <c r="I345" s="157">
        <v>45791.58333333334</v>
      </c>
      <c r="J345" s="158">
        <v>45792.54166666666</v>
      </c>
      <c r="K345" s="157">
        <v>45805.58333333334</v>
      </c>
      <c r="L345" s="158">
        <v>45811.54166666666</v>
      </c>
      <c r="M345" s="158">
        <v>45819.54166666666</v>
      </c>
      <c r="N345" s="157">
        <v>45825.54166666666</v>
      </c>
      <c r="O345" s="157">
        <v>45853.54166666666</v>
      </c>
      <c r="P345" s="157"/>
      <c r="Q345" s="157"/>
      <c r="R345" s="157"/>
      <c r="S345" s="157"/>
      <c r="T345" s="157"/>
      <c r="U345" s="158"/>
      <c r="V345" s="159">
        <f t="shared" si="2"/>
        <v>45853.54167</v>
      </c>
      <c r="W345" s="160"/>
      <c r="X345" s="160"/>
      <c r="Y345" s="161"/>
    </row>
    <row r="346" ht="15.75" customHeight="1">
      <c r="A346" s="146" t="s">
        <v>526</v>
      </c>
      <c r="B346" s="146" t="str">
        <f>IFERROR(VLOOKUP(A346&amp;"", STUDENTS!A:B, 2, 0), "")</f>
        <v>PHẠM HỒNG THIÊN TÀI</v>
      </c>
      <c r="C346" s="147" t="s">
        <v>82</v>
      </c>
      <c r="D346" s="147" t="str">
        <f>IFERROR(VLOOKUP(C346, PIC!A:B, 2, 0), "")</f>
        <v>Tai Pham</v>
      </c>
      <c r="E346" s="148" t="s">
        <v>22</v>
      </c>
      <c r="F346" s="149">
        <v>45881.54166666666</v>
      </c>
      <c r="G346" s="150">
        <v>45896.54166666666</v>
      </c>
      <c r="H346" s="150">
        <v>45909.58333333334</v>
      </c>
      <c r="I346" s="149">
        <v>45923.58333333334</v>
      </c>
      <c r="J346" s="150">
        <v>45930.58333333334</v>
      </c>
      <c r="K346" s="149">
        <v>45937.58333333334</v>
      </c>
      <c r="L346" s="150"/>
      <c r="M346" s="150">
        <v>45951.58333333334</v>
      </c>
      <c r="N346" s="149">
        <v>45958.58333333334</v>
      </c>
      <c r="O346" s="149" t="s">
        <v>815</v>
      </c>
      <c r="P346" s="149">
        <v>45980.45833333334</v>
      </c>
      <c r="Q346" s="149">
        <v>45987.58333333334</v>
      </c>
      <c r="R346" s="149">
        <v>45994.41666666666</v>
      </c>
      <c r="S346" s="149">
        <v>46006.625</v>
      </c>
      <c r="T346" s="149">
        <v>46013.625</v>
      </c>
      <c r="U346" s="150">
        <v>46035.41666666666</v>
      </c>
      <c r="V346" s="151">
        <f t="shared" si="2"/>
        <v>46035.41667</v>
      </c>
      <c r="W346" s="152"/>
      <c r="X346" s="152"/>
      <c r="Y346" s="161"/>
    </row>
    <row r="347" ht="15.75" customHeight="1">
      <c r="A347" s="154" t="s">
        <v>562</v>
      </c>
      <c r="B347" s="154" t="str">
        <f>IFERROR(VLOOKUP(A347&amp;"", STUDENTS!A:B, 2, 0), "")</f>
        <v>PHAN HUY NHÂN</v>
      </c>
      <c r="C347" s="155" t="s">
        <v>82</v>
      </c>
      <c r="D347" s="155" t="str">
        <f>IFERROR(VLOOKUP(C347, PIC!A:B, 2, 0), "")</f>
        <v>Tai Pham</v>
      </c>
      <c r="E347" s="156" t="s">
        <v>22</v>
      </c>
      <c r="F347" s="157">
        <v>45881.54166666666</v>
      </c>
      <c r="G347" s="158">
        <v>45896.54166666666</v>
      </c>
      <c r="H347" s="158">
        <v>45909.58333333334</v>
      </c>
      <c r="I347" s="157">
        <v>45923.58333333334</v>
      </c>
      <c r="J347" s="158">
        <v>45930.58333333334</v>
      </c>
      <c r="K347" s="157">
        <v>45937.58333333334</v>
      </c>
      <c r="L347" s="158"/>
      <c r="M347" s="158" t="s">
        <v>815</v>
      </c>
      <c r="N347" s="157">
        <v>45958.58333333334</v>
      </c>
      <c r="O347" s="157">
        <v>45966.45833333334</v>
      </c>
      <c r="P347" s="157" t="s">
        <v>815</v>
      </c>
      <c r="Q347" s="157">
        <v>45987.58333333334</v>
      </c>
      <c r="R347" s="157">
        <v>45994.41666666666</v>
      </c>
      <c r="S347" s="157">
        <v>46006.625</v>
      </c>
      <c r="T347" s="157">
        <v>46013.625</v>
      </c>
      <c r="U347" s="158">
        <v>46035.41666666666</v>
      </c>
      <c r="V347" s="159">
        <f t="shared" si="2"/>
        <v>46035.41667</v>
      </c>
      <c r="W347" s="160"/>
      <c r="X347" s="160"/>
      <c r="Y347" s="161"/>
    </row>
    <row r="348" ht="15.75" customHeight="1">
      <c r="A348" s="146" t="s">
        <v>693</v>
      </c>
      <c r="B348" s="146" t="str">
        <f>IFERROR(VLOOKUP(A348&amp;"", STUDENTS!A:B, 2, 0), "")</f>
        <v>VÕ CHÍ THIỆN</v>
      </c>
      <c r="C348" s="147" t="s">
        <v>82</v>
      </c>
      <c r="D348" s="147" t="str">
        <f>IFERROR(VLOOKUP(C348, PIC!A:B, 2, 0), "")</f>
        <v>Tai Pham</v>
      </c>
      <c r="E348" s="148" t="s">
        <v>22</v>
      </c>
      <c r="F348" s="149">
        <v>45881.54166666666</v>
      </c>
      <c r="G348" s="150">
        <v>45896.54166666666</v>
      </c>
      <c r="H348" s="150" t="s">
        <v>815</v>
      </c>
      <c r="I348" s="149">
        <v>45923.58333333334</v>
      </c>
      <c r="J348" s="150">
        <v>45930.58333333334</v>
      </c>
      <c r="K348" s="149">
        <v>45937.58333333334</v>
      </c>
      <c r="L348" s="150"/>
      <c r="M348" s="150" t="s">
        <v>815</v>
      </c>
      <c r="N348" s="149" t="s">
        <v>815</v>
      </c>
      <c r="O348" s="149">
        <v>45966.45833333334</v>
      </c>
      <c r="P348" s="149">
        <v>45980.45833333334</v>
      </c>
      <c r="Q348" s="149">
        <v>45987.58333333334</v>
      </c>
      <c r="R348" s="149">
        <v>45994.41666666666</v>
      </c>
      <c r="S348" s="149">
        <v>46006.625</v>
      </c>
      <c r="T348" s="149" t="s">
        <v>815</v>
      </c>
      <c r="U348" s="150">
        <v>46035.41666666666</v>
      </c>
      <c r="V348" s="151">
        <f t="shared" si="2"/>
        <v>46035.41667</v>
      </c>
      <c r="W348" s="152"/>
      <c r="X348" s="152"/>
      <c r="Y348" s="161"/>
    </row>
    <row r="349" ht="15.75" customHeight="1">
      <c r="A349" s="154" t="s">
        <v>208</v>
      </c>
      <c r="B349" s="154" t="str">
        <f>IFERROR(VLOOKUP(A349&amp;"", STUDENTS!A:B, 2, 0), "")</f>
        <v>HÀ TRẦN TUẤN ANH</v>
      </c>
      <c r="C349" s="155" t="s">
        <v>83</v>
      </c>
      <c r="D349" s="155" t="str">
        <f>IFERROR(VLOOKUP(C349, PIC!A:B, 2, 0), "")</f>
        <v>Anh Ha</v>
      </c>
      <c r="E349" s="156" t="s">
        <v>21</v>
      </c>
      <c r="F349" s="157">
        <v>45764.41666666666</v>
      </c>
      <c r="G349" s="158">
        <v>45784.58333333334</v>
      </c>
      <c r="H349" s="158">
        <v>45804.375</v>
      </c>
      <c r="I349" s="157">
        <v>45805.41666666666</v>
      </c>
      <c r="J349" s="158">
        <v>45812.45833333334</v>
      </c>
      <c r="K349" s="157">
        <v>45819.45833333334</v>
      </c>
      <c r="L349" s="158">
        <v>45827.41666666666</v>
      </c>
      <c r="M349" s="158">
        <v>45833.375</v>
      </c>
      <c r="N349" s="157">
        <v>45840.41666666666</v>
      </c>
      <c r="O349" s="157">
        <v>45861.54166666666</v>
      </c>
      <c r="P349" s="157"/>
      <c r="Q349" s="157"/>
      <c r="R349" s="157"/>
      <c r="S349" s="157"/>
      <c r="T349" s="157"/>
      <c r="U349" s="158"/>
      <c r="V349" s="159">
        <f t="shared" si="2"/>
        <v>45861.54167</v>
      </c>
      <c r="W349" s="160"/>
      <c r="X349" s="160"/>
      <c r="Y349" s="161"/>
    </row>
    <row r="350" ht="15.75" customHeight="1">
      <c r="A350" s="146" t="s">
        <v>208</v>
      </c>
      <c r="B350" s="146" t="str">
        <f>IFERROR(VLOOKUP(A350&amp;"", STUDENTS!A:B, 2, 0), "")</f>
        <v>HÀ TRẦN TUẤN ANH</v>
      </c>
      <c r="C350" s="147" t="s">
        <v>83</v>
      </c>
      <c r="D350" s="147" t="str">
        <f>IFERROR(VLOOKUP(C350, PIC!A:B, 2, 0), "")</f>
        <v>Anh Ha</v>
      </c>
      <c r="E350" s="148" t="s">
        <v>22</v>
      </c>
      <c r="F350" s="149">
        <v>45882.41666666666</v>
      </c>
      <c r="G350" s="150">
        <v>45889.41666666666</v>
      </c>
      <c r="H350" s="150">
        <v>45896.41666666666</v>
      </c>
      <c r="I350" s="149">
        <v>45903.41666666666</v>
      </c>
      <c r="J350" s="150">
        <v>45910.41666666666</v>
      </c>
      <c r="K350" s="149">
        <v>45924.45833333334</v>
      </c>
      <c r="L350" s="150">
        <v>45931.41666666666</v>
      </c>
      <c r="M350" s="150">
        <v>45938.45833333334</v>
      </c>
      <c r="N350" s="149">
        <v>45980.41666666666</v>
      </c>
      <c r="O350" s="149">
        <v>45987.41666666666</v>
      </c>
      <c r="P350" s="149">
        <v>45994.58333333334</v>
      </c>
      <c r="Q350" s="149">
        <v>46008.41666666666</v>
      </c>
      <c r="R350" s="149">
        <v>46036.41666666666</v>
      </c>
      <c r="S350" s="149">
        <v>46043.45833333334</v>
      </c>
      <c r="T350" s="149">
        <v>46050.41666666666</v>
      </c>
      <c r="U350" s="150">
        <v>46106.54166666666</v>
      </c>
      <c r="V350" s="151">
        <f t="shared" si="2"/>
        <v>46106.54167</v>
      </c>
      <c r="W350" s="152"/>
      <c r="X350" s="152"/>
      <c r="Y350" s="161"/>
    </row>
    <row r="351" ht="15.75" customHeight="1">
      <c r="A351" s="154" t="s">
        <v>241</v>
      </c>
      <c r="B351" s="154" t="str">
        <f>IFERROR(VLOOKUP(A351&amp;"", STUDENTS!A:B, 2, 0), "")</f>
        <v>HUỲNH THỊ BẢO YẾN</v>
      </c>
      <c r="C351" s="155" t="s">
        <v>83</v>
      </c>
      <c r="D351" s="155" t="str">
        <f>IFERROR(VLOOKUP(C351, PIC!A:B, 2, 0), "")</f>
        <v>Anh Ha</v>
      </c>
      <c r="E351" s="156" t="s">
        <v>22</v>
      </c>
      <c r="F351" s="157">
        <v>45882.58333333334</v>
      </c>
      <c r="G351" s="158">
        <v>45889.54166666666</v>
      </c>
      <c r="H351" s="158">
        <v>45895.54166666666</v>
      </c>
      <c r="I351" s="157">
        <v>45903.54166666666</v>
      </c>
      <c r="J351" s="158">
        <v>45910.58333333334</v>
      </c>
      <c r="K351" s="157" t="s">
        <v>815</v>
      </c>
      <c r="L351" s="158">
        <v>45931.41666666666</v>
      </c>
      <c r="M351" s="158">
        <v>45938.45833333334</v>
      </c>
      <c r="N351" s="157">
        <v>45980.41666666666</v>
      </c>
      <c r="O351" s="157">
        <v>45987.41666666666</v>
      </c>
      <c r="P351" s="157">
        <v>45994.58333333334</v>
      </c>
      <c r="Q351" s="157">
        <v>46008.41666666666</v>
      </c>
      <c r="R351" s="157">
        <v>46036.41666666666</v>
      </c>
      <c r="S351" s="157">
        <v>46043.45833333334</v>
      </c>
      <c r="T351" s="157">
        <v>46050.41666666666</v>
      </c>
      <c r="U351" s="158">
        <v>46106.54166666666</v>
      </c>
      <c r="V351" s="159">
        <f t="shared" si="2"/>
        <v>46106.54167</v>
      </c>
      <c r="W351" s="160"/>
      <c r="X351" s="160"/>
      <c r="Y351" s="161"/>
    </row>
    <row r="352" ht="15.75" customHeight="1">
      <c r="A352" s="146" t="s">
        <v>243</v>
      </c>
      <c r="B352" s="146" t="str">
        <f>IFERROR(VLOOKUP(A352&amp;"", STUDENTS!A:B, 2, 0), "")</f>
        <v>HUỲNH TRẦN HẢI LONG</v>
      </c>
      <c r="C352" s="147" t="s">
        <v>83</v>
      </c>
      <c r="D352" s="147" t="str">
        <f>IFERROR(VLOOKUP(C352, PIC!A:B, 2, 0), "")</f>
        <v>Anh Ha</v>
      </c>
      <c r="E352" s="148" t="s">
        <v>21</v>
      </c>
      <c r="F352" s="149">
        <v>45764.41666666666</v>
      </c>
      <c r="G352" s="150">
        <v>45784.58333333334</v>
      </c>
      <c r="H352" s="150">
        <v>45804.375</v>
      </c>
      <c r="I352" s="149">
        <v>45805.41666666666</v>
      </c>
      <c r="J352" s="150">
        <v>45812.45833333334</v>
      </c>
      <c r="K352" s="149">
        <v>45819.45833333334</v>
      </c>
      <c r="L352" s="150">
        <v>45827.41666666666</v>
      </c>
      <c r="M352" s="150">
        <v>45833.375</v>
      </c>
      <c r="N352" s="149">
        <v>45840.41666666666</v>
      </c>
      <c r="O352" s="149">
        <v>45861.54166666666</v>
      </c>
      <c r="P352" s="149"/>
      <c r="Q352" s="149"/>
      <c r="R352" s="149"/>
      <c r="S352" s="149"/>
      <c r="T352" s="149"/>
      <c r="U352" s="150"/>
      <c r="V352" s="151">
        <f t="shared" si="2"/>
        <v>45861.54167</v>
      </c>
      <c r="W352" s="152"/>
      <c r="X352" s="152"/>
      <c r="Y352" s="161"/>
    </row>
    <row r="353" ht="15.75" customHeight="1">
      <c r="A353" s="154" t="s">
        <v>243</v>
      </c>
      <c r="B353" s="154" t="str">
        <f>IFERROR(VLOOKUP(A353&amp;"", STUDENTS!A:B, 2, 0), "")</f>
        <v>HUỲNH TRẦN HẢI LONG</v>
      </c>
      <c r="C353" s="155" t="s">
        <v>83</v>
      </c>
      <c r="D353" s="155" t="str">
        <f>IFERROR(VLOOKUP(C353, PIC!A:B, 2, 0), "")</f>
        <v>Anh Ha</v>
      </c>
      <c r="E353" s="156" t="s">
        <v>22</v>
      </c>
      <c r="F353" s="157" t="s">
        <v>815</v>
      </c>
      <c r="G353" s="158">
        <v>45889.41666666666</v>
      </c>
      <c r="H353" s="158">
        <v>45896.41666666666</v>
      </c>
      <c r="I353" s="157">
        <v>45903.41666666666</v>
      </c>
      <c r="J353" s="158">
        <v>45910.41666666666</v>
      </c>
      <c r="K353" s="157">
        <v>45924.45833333334</v>
      </c>
      <c r="L353" s="158" t="s">
        <v>815</v>
      </c>
      <c r="M353" s="158">
        <v>45938.45833333334</v>
      </c>
      <c r="N353" s="157">
        <v>45980.41666666666</v>
      </c>
      <c r="O353" s="157">
        <v>45987.41666666666</v>
      </c>
      <c r="P353" s="157">
        <v>45994.58333333334</v>
      </c>
      <c r="Q353" s="157">
        <v>46008.41666666666</v>
      </c>
      <c r="R353" s="157" t="s">
        <v>815</v>
      </c>
      <c r="S353" s="157" t="s">
        <v>815</v>
      </c>
      <c r="T353" s="157">
        <v>46050.41666666666</v>
      </c>
      <c r="U353" s="158">
        <v>46106.54166666666</v>
      </c>
      <c r="V353" s="159">
        <f t="shared" si="2"/>
        <v>46106.54167</v>
      </c>
      <c r="W353" s="160"/>
      <c r="X353" s="160"/>
      <c r="Y353" s="161"/>
    </row>
    <row r="354" ht="15.75" customHeight="1">
      <c r="A354" s="146" t="s">
        <v>305</v>
      </c>
      <c r="B354" s="146" t="str">
        <f>IFERROR(VLOOKUP(A354&amp;"", STUDENTS!A:B, 2, 0), "")</f>
        <v>LÊ VĂN SƠN</v>
      </c>
      <c r="C354" s="147" t="s">
        <v>83</v>
      </c>
      <c r="D354" s="147" t="str">
        <f>IFERROR(VLOOKUP(C354, PIC!A:B, 2, 0), "")</f>
        <v>Anh Ha</v>
      </c>
      <c r="E354" s="148" t="s">
        <v>21</v>
      </c>
      <c r="F354" s="149">
        <v>45764.41666666666</v>
      </c>
      <c r="G354" s="150">
        <v>45784.58333333334</v>
      </c>
      <c r="H354" s="150">
        <v>45804.375</v>
      </c>
      <c r="I354" s="149">
        <v>45805.41666666666</v>
      </c>
      <c r="J354" s="150">
        <v>45812.45833333334</v>
      </c>
      <c r="K354" s="149">
        <v>45819.45833333334</v>
      </c>
      <c r="L354" s="150">
        <v>45827.41666666666</v>
      </c>
      <c r="M354" s="150">
        <v>45833.375</v>
      </c>
      <c r="N354" s="149">
        <v>45840.41666666666</v>
      </c>
      <c r="O354" s="149">
        <v>45861.54166666666</v>
      </c>
      <c r="P354" s="149"/>
      <c r="Q354" s="149"/>
      <c r="R354" s="149"/>
      <c r="S354" s="149"/>
      <c r="T354" s="149"/>
      <c r="U354" s="150"/>
      <c r="V354" s="151">
        <f t="shared" si="2"/>
        <v>45861.54167</v>
      </c>
      <c r="W354" s="152"/>
      <c r="X354" s="152"/>
      <c r="Y354" s="161"/>
    </row>
    <row r="355" ht="15.75" customHeight="1">
      <c r="A355" s="154" t="s">
        <v>305</v>
      </c>
      <c r="B355" s="154" t="str">
        <f>IFERROR(VLOOKUP(A355&amp;"", STUDENTS!A:B, 2, 0), "")</f>
        <v>LÊ VĂN SƠN</v>
      </c>
      <c r="C355" s="155" t="s">
        <v>83</v>
      </c>
      <c r="D355" s="155" t="str">
        <f>IFERROR(VLOOKUP(C355, PIC!A:B, 2, 0), "")</f>
        <v>Anh Ha</v>
      </c>
      <c r="E355" s="156" t="s">
        <v>22</v>
      </c>
      <c r="F355" s="157">
        <v>45882.41666666666</v>
      </c>
      <c r="G355" s="158">
        <v>45889.41666666666</v>
      </c>
      <c r="H355" s="158">
        <v>45896.41666666666</v>
      </c>
      <c r="I355" s="157">
        <v>45903.41666666666</v>
      </c>
      <c r="J355" s="158">
        <v>45910.41666666666</v>
      </c>
      <c r="K355" s="157">
        <v>45924.45833333334</v>
      </c>
      <c r="L355" s="158">
        <v>45931.41666666666</v>
      </c>
      <c r="M355" s="158">
        <v>45938.45833333334</v>
      </c>
      <c r="N355" s="157">
        <v>45980.41666666666</v>
      </c>
      <c r="O355" s="157" t="s">
        <v>815</v>
      </c>
      <c r="P355" s="157">
        <v>45994.58333333334</v>
      </c>
      <c r="Q355" s="157">
        <v>46008.41666666666</v>
      </c>
      <c r="R355" s="157">
        <v>46036.41666666666</v>
      </c>
      <c r="S355" s="157">
        <v>46043.45833333334</v>
      </c>
      <c r="T355" s="157">
        <v>46050.41666666666</v>
      </c>
      <c r="U355" s="158">
        <v>46106.54166666666</v>
      </c>
      <c r="V355" s="159">
        <f t="shared" si="2"/>
        <v>46106.54167</v>
      </c>
      <c r="W355" s="160"/>
      <c r="X355" s="160"/>
      <c r="Y355" s="161"/>
    </row>
    <row r="356" ht="15.75" customHeight="1">
      <c r="A356" s="146" t="s">
        <v>442</v>
      </c>
      <c r="B356" s="146" t="str">
        <f>IFERROR(VLOOKUP(A356&amp;"", STUDENTS!A:B, 2, 0), "")</f>
        <v>NGUYỄN TẤN PHÁT</v>
      </c>
      <c r="C356" s="147" t="s">
        <v>83</v>
      </c>
      <c r="D356" s="147" t="str">
        <f>IFERROR(VLOOKUP(C356, PIC!A:B, 2, 0), "")</f>
        <v>Anh Ha</v>
      </c>
      <c r="E356" s="148" t="s">
        <v>21</v>
      </c>
      <c r="F356" s="149">
        <v>45764.41666666666</v>
      </c>
      <c r="G356" s="150">
        <v>45784.58333333334</v>
      </c>
      <c r="H356" s="150">
        <v>45804.375</v>
      </c>
      <c r="I356" s="149">
        <v>45805.41666666666</v>
      </c>
      <c r="J356" s="150" t="s">
        <v>815</v>
      </c>
      <c r="K356" s="149">
        <v>45819.45833333334</v>
      </c>
      <c r="L356" s="150">
        <v>45827.41666666666</v>
      </c>
      <c r="M356" s="150">
        <v>45833.375</v>
      </c>
      <c r="N356" s="149">
        <v>45840.41666666666</v>
      </c>
      <c r="O356" s="149">
        <v>45861.54166666666</v>
      </c>
      <c r="P356" s="149"/>
      <c r="Q356" s="149"/>
      <c r="R356" s="149"/>
      <c r="S356" s="149"/>
      <c r="T356" s="149"/>
      <c r="U356" s="150"/>
      <c r="V356" s="151">
        <f t="shared" si="2"/>
        <v>45861.54167</v>
      </c>
      <c r="W356" s="152"/>
      <c r="X356" s="152"/>
      <c r="Y356" s="161"/>
    </row>
    <row r="357" ht="15.75" customHeight="1">
      <c r="A357" s="154" t="s">
        <v>442</v>
      </c>
      <c r="B357" s="154" t="str">
        <f>IFERROR(VLOOKUP(A357&amp;"", STUDENTS!A:B, 2, 0), "")</f>
        <v>NGUYỄN TẤN PHÁT</v>
      </c>
      <c r="C357" s="155" t="s">
        <v>83</v>
      </c>
      <c r="D357" s="155" t="str">
        <f>IFERROR(VLOOKUP(C357, PIC!A:B, 2, 0), "")</f>
        <v>Anh Ha</v>
      </c>
      <c r="E357" s="156" t="s">
        <v>22</v>
      </c>
      <c r="F357" s="157">
        <v>45882.41666666666</v>
      </c>
      <c r="G357" s="158">
        <v>45889.41666666666</v>
      </c>
      <c r="H357" s="158">
        <v>45896.41666666666</v>
      </c>
      <c r="I357" s="157">
        <v>45903.41666666666</v>
      </c>
      <c r="J357" s="158">
        <v>45910.41666666666</v>
      </c>
      <c r="K357" s="157">
        <v>45924.45833333334</v>
      </c>
      <c r="L357" s="158">
        <v>45931.41666666666</v>
      </c>
      <c r="M357" s="158">
        <v>45938.45833333334</v>
      </c>
      <c r="N357" s="157">
        <v>45980.41666666666</v>
      </c>
      <c r="O357" s="157">
        <v>45987.41666666666</v>
      </c>
      <c r="P357" s="157">
        <v>45994.58333333334</v>
      </c>
      <c r="Q357" s="157">
        <v>46008.41666666666</v>
      </c>
      <c r="R357" s="157">
        <v>46036.41666666666</v>
      </c>
      <c r="S357" s="157">
        <v>46043.45833333334</v>
      </c>
      <c r="T357" s="157">
        <v>46050.41666666666</v>
      </c>
      <c r="U357" s="158">
        <v>46106.54166666666</v>
      </c>
      <c r="V357" s="159">
        <f t="shared" si="2"/>
        <v>46106.54167</v>
      </c>
      <c r="W357" s="160"/>
      <c r="X357" s="160"/>
      <c r="Y357" s="161"/>
    </row>
    <row r="358" ht="15.75" customHeight="1">
      <c r="A358" s="146" t="s">
        <v>463</v>
      </c>
      <c r="B358" s="146" t="str">
        <f>IFERROR(VLOOKUP(A358&amp;"", STUDENTS!A:B, 2, 0), "")</f>
        <v>NGUYỄN THỊ HOÀNG OANH</v>
      </c>
      <c r="C358" s="147" t="s">
        <v>83</v>
      </c>
      <c r="D358" s="147" t="str">
        <f>IFERROR(VLOOKUP(C358, PIC!A:B, 2, 0), "")</f>
        <v>Anh Ha</v>
      </c>
      <c r="E358" s="148" t="s">
        <v>22</v>
      </c>
      <c r="F358" s="149">
        <v>45882.58333333334</v>
      </c>
      <c r="G358" s="150">
        <v>45889.54166666666</v>
      </c>
      <c r="H358" s="150">
        <v>45895.54166666666</v>
      </c>
      <c r="I358" s="149">
        <v>45903.54166666666</v>
      </c>
      <c r="J358" s="150">
        <v>45910.58333333334</v>
      </c>
      <c r="K358" s="149" t="s">
        <v>815</v>
      </c>
      <c r="L358" s="150">
        <v>45931.41666666666</v>
      </c>
      <c r="M358" s="150">
        <v>45938.45833333334</v>
      </c>
      <c r="N358" s="149">
        <v>45980.41666666666</v>
      </c>
      <c r="O358" s="149">
        <v>45987.41666666666</v>
      </c>
      <c r="P358" s="149">
        <v>45994.58333333334</v>
      </c>
      <c r="Q358" s="149">
        <v>46008.41666666666</v>
      </c>
      <c r="R358" s="149">
        <v>46036.41666666666</v>
      </c>
      <c r="S358" s="149">
        <v>46043.45833333334</v>
      </c>
      <c r="T358" s="149">
        <v>46050.41666666666</v>
      </c>
      <c r="U358" s="150" t="s">
        <v>815</v>
      </c>
      <c r="V358" s="151">
        <f t="shared" si="2"/>
        <v>46050.41667</v>
      </c>
      <c r="W358" s="152"/>
      <c r="X358" s="152"/>
      <c r="Y358" s="161"/>
    </row>
    <row r="359" ht="15.75" customHeight="1">
      <c r="A359" s="154" t="s">
        <v>633</v>
      </c>
      <c r="B359" s="154" t="str">
        <f>IFERROR(VLOOKUP(A359&amp;"", STUDENTS!A:B, 2, 0), "")</f>
        <v>TRẦN QUANG ĐẠO</v>
      </c>
      <c r="C359" s="155" t="s">
        <v>83</v>
      </c>
      <c r="D359" s="155" t="str">
        <f>IFERROR(VLOOKUP(C359, PIC!A:B, 2, 0), "")</f>
        <v>Anh Ha</v>
      </c>
      <c r="E359" s="156" t="s">
        <v>21</v>
      </c>
      <c r="F359" s="157">
        <v>45764.41666666666</v>
      </c>
      <c r="G359" s="158" t="s">
        <v>815</v>
      </c>
      <c r="H359" s="158">
        <v>45804.375</v>
      </c>
      <c r="I359" s="157">
        <v>45805.41666666666</v>
      </c>
      <c r="J359" s="158">
        <v>45812.45833333334</v>
      </c>
      <c r="K359" s="157">
        <v>45819.45833333334</v>
      </c>
      <c r="L359" s="158">
        <v>45827.41666666666</v>
      </c>
      <c r="M359" s="158">
        <v>45833.375</v>
      </c>
      <c r="N359" s="157">
        <v>45840.41666666666</v>
      </c>
      <c r="O359" s="157">
        <v>45861.54166666666</v>
      </c>
      <c r="P359" s="157"/>
      <c r="Q359" s="157"/>
      <c r="R359" s="157"/>
      <c r="S359" s="157"/>
      <c r="T359" s="157"/>
      <c r="U359" s="158"/>
      <c r="V359" s="159">
        <f t="shared" si="2"/>
        <v>45861.54167</v>
      </c>
      <c r="W359" s="160"/>
      <c r="X359" s="160"/>
      <c r="Y359" s="161"/>
    </row>
    <row r="360" ht="15.75" customHeight="1">
      <c r="A360" s="146" t="s">
        <v>633</v>
      </c>
      <c r="B360" s="146" t="str">
        <f>IFERROR(VLOOKUP(A360&amp;"", STUDENTS!A:B, 2, 0), "")</f>
        <v>TRẦN QUANG ĐẠO</v>
      </c>
      <c r="C360" s="147" t="s">
        <v>83</v>
      </c>
      <c r="D360" s="147" t="str">
        <f>IFERROR(VLOOKUP(C360, PIC!A:B, 2, 0), "")</f>
        <v>Anh Ha</v>
      </c>
      <c r="E360" s="148" t="s">
        <v>22</v>
      </c>
      <c r="F360" s="149">
        <v>45882.41666666666</v>
      </c>
      <c r="G360" s="150">
        <v>45889.41666666666</v>
      </c>
      <c r="H360" s="150" t="s">
        <v>815</v>
      </c>
      <c r="I360" s="149" t="s">
        <v>815</v>
      </c>
      <c r="J360" s="150">
        <v>45910.41666666666</v>
      </c>
      <c r="K360" s="149">
        <v>45924.45833333334</v>
      </c>
      <c r="L360" s="150">
        <v>45931.41666666666</v>
      </c>
      <c r="M360" s="150">
        <v>45938.45833333334</v>
      </c>
      <c r="N360" s="149">
        <v>45980.41666666666</v>
      </c>
      <c r="O360" s="149">
        <v>45987.41666666666</v>
      </c>
      <c r="P360" s="149">
        <v>45994.58333333334</v>
      </c>
      <c r="Q360" s="149">
        <v>46008.41666666666</v>
      </c>
      <c r="R360" s="149">
        <v>46036.41666666666</v>
      </c>
      <c r="S360" s="149" t="s">
        <v>815</v>
      </c>
      <c r="T360" s="149">
        <v>46050.41666666666</v>
      </c>
      <c r="U360" s="150">
        <v>46106.54166666666</v>
      </c>
      <c r="V360" s="151">
        <f t="shared" si="2"/>
        <v>46106.54167</v>
      </c>
      <c r="W360" s="152"/>
      <c r="X360" s="152"/>
      <c r="Y360" s="161"/>
    </row>
    <row r="361" ht="15.75" customHeight="1">
      <c r="A361" s="154" t="s">
        <v>641</v>
      </c>
      <c r="B361" s="154" t="str">
        <f>IFERROR(VLOOKUP(A361&amp;"", STUDENTS!A:B, 2, 0), "")</f>
        <v>TRẦN THANH ĐIỀN</v>
      </c>
      <c r="C361" s="155" t="s">
        <v>83</v>
      </c>
      <c r="D361" s="155" t="str">
        <f>IFERROR(VLOOKUP(C361, PIC!A:B, 2, 0), "")</f>
        <v>Anh Ha</v>
      </c>
      <c r="E361" s="156" t="s">
        <v>21</v>
      </c>
      <c r="F361" s="157">
        <v>45764.41666666666</v>
      </c>
      <c r="G361" s="158">
        <v>45784.58333333334</v>
      </c>
      <c r="H361" s="158">
        <v>45804.375</v>
      </c>
      <c r="I361" s="157">
        <v>45805.41666666666</v>
      </c>
      <c r="J361" s="158" t="s">
        <v>815</v>
      </c>
      <c r="K361" s="157">
        <v>45819.45833333334</v>
      </c>
      <c r="L361" s="158">
        <v>45827.41666666666</v>
      </c>
      <c r="M361" s="158">
        <v>45833.375</v>
      </c>
      <c r="N361" s="157">
        <v>45840.41666666666</v>
      </c>
      <c r="O361" s="157">
        <v>45861.54166666666</v>
      </c>
      <c r="P361" s="157"/>
      <c r="Q361" s="157"/>
      <c r="R361" s="157"/>
      <c r="S361" s="157"/>
      <c r="T361" s="157"/>
      <c r="U361" s="158"/>
      <c r="V361" s="159">
        <f t="shared" si="2"/>
        <v>45861.54167</v>
      </c>
      <c r="W361" s="160"/>
      <c r="X361" s="160"/>
      <c r="Y361" s="161"/>
    </row>
    <row r="362" ht="15.75" customHeight="1">
      <c r="A362" s="146" t="s">
        <v>641</v>
      </c>
      <c r="B362" s="146" t="str">
        <f>IFERROR(VLOOKUP(A362&amp;"", STUDENTS!A:B, 2, 0), "")</f>
        <v>TRẦN THANH ĐIỀN</v>
      </c>
      <c r="C362" s="147" t="s">
        <v>83</v>
      </c>
      <c r="D362" s="147" t="str">
        <f>IFERROR(VLOOKUP(C362, PIC!A:B, 2, 0), "")</f>
        <v>Anh Ha</v>
      </c>
      <c r="E362" s="148" t="s">
        <v>22</v>
      </c>
      <c r="F362" s="149">
        <v>45882.41666666666</v>
      </c>
      <c r="G362" s="150">
        <v>45889.41666666666</v>
      </c>
      <c r="H362" s="150">
        <v>45896.41666666666</v>
      </c>
      <c r="I362" s="149">
        <v>45903.41666666666</v>
      </c>
      <c r="J362" s="150">
        <v>45910.41666666666</v>
      </c>
      <c r="K362" s="149">
        <v>45924.45833333334</v>
      </c>
      <c r="L362" s="150">
        <v>45931.41666666666</v>
      </c>
      <c r="M362" s="150">
        <v>45938.45833333334</v>
      </c>
      <c r="N362" s="149">
        <v>45980.41666666666</v>
      </c>
      <c r="O362" s="149">
        <v>45987.41666666666</v>
      </c>
      <c r="P362" s="149">
        <v>45994.58333333334</v>
      </c>
      <c r="Q362" s="149">
        <v>46008.41666666666</v>
      </c>
      <c r="R362" s="149">
        <v>46036.41666666666</v>
      </c>
      <c r="S362" s="149">
        <v>46043.45833333334</v>
      </c>
      <c r="T362" s="149">
        <v>46050.41666666666</v>
      </c>
      <c r="U362" s="150">
        <v>46106.54166666666</v>
      </c>
      <c r="V362" s="151">
        <f t="shared" si="2"/>
        <v>46106.54167</v>
      </c>
      <c r="W362" s="152"/>
      <c r="X362" s="152"/>
      <c r="Y362" s="161"/>
    </row>
    <row r="363" ht="15.75" customHeight="1">
      <c r="A363" s="154" t="s">
        <v>671</v>
      </c>
      <c r="B363" s="154" t="str">
        <f>IFERROR(VLOOKUP(A363&amp;"", STUDENTS!A:B, 2, 0), "")</f>
        <v>TRẦN XUÂN KHOA</v>
      </c>
      <c r="C363" s="155" t="s">
        <v>83</v>
      </c>
      <c r="D363" s="155" t="str">
        <f>IFERROR(VLOOKUP(C363, PIC!A:B, 2, 0), "")</f>
        <v>Anh Ha</v>
      </c>
      <c r="E363" s="156" t="s">
        <v>21</v>
      </c>
      <c r="F363" s="157">
        <v>45764.41666666666</v>
      </c>
      <c r="G363" s="158" t="s">
        <v>815</v>
      </c>
      <c r="H363" s="158">
        <v>45804.375</v>
      </c>
      <c r="I363" s="157">
        <v>45805.41666666666</v>
      </c>
      <c r="J363" s="158">
        <v>45812.45833333334</v>
      </c>
      <c r="K363" s="157">
        <v>45819.45833333334</v>
      </c>
      <c r="L363" s="158">
        <v>45827.41666666666</v>
      </c>
      <c r="M363" s="158">
        <v>45833.375</v>
      </c>
      <c r="N363" s="157">
        <v>45840.41666666666</v>
      </c>
      <c r="O363" s="157">
        <v>45861.54166666666</v>
      </c>
      <c r="P363" s="157"/>
      <c r="Q363" s="157"/>
      <c r="R363" s="157"/>
      <c r="S363" s="157"/>
      <c r="T363" s="157"/>
      <c r="U363" s="158"/>
      <c r="V363" s="159">
        <f t="shared" si="2"/>
        <v>45861.54167</v>
      </c>
      <c r="W363" s="160"/>
      <c r="X363" s="160"/>
      <c r="Y363" s="161"/>
    </row>
    <row r="364" ht="15.75" customHeight="1">
      <c r="A364" s="146" t="s">
        <v>671</v>
      </c>
      <c r="B364" s="146" t="str">
        <f>IFERROR(VLOOKUP(A364&amp;"", STUDENTS!A:B, 2, 0), "")</f>
        <v>TRẦN XUÂN KHOA</v>
      </c>
      <c r="C364" s="147" t="s">
        <v>83</v>
      </c>
      <c r="D364" s="147" t="str">
        <f>IFERROR(VLOOKUP(C364, PIC!A:B, 2, 0), "")</f>
        <v>Anh Ha</v>
      </c>
      <c r="E364" s="148" t="s">
        <v>22</v>
      </c>
      <c r="F364" s="149">
        <v>45882.41666666666</v>
      </c>
      <c r="G364" s="150">
        <v>45889.41666666666</v>
      </c>
      <c r="H364" s="150">
        <v>45896.41666666666</v>
      </c>
      <c r="I364" s="149">
        <v>45903.41666666666</v>
      </c>
      <c r="J364" s="150">
        <v>45910.41666666666</v>
      </c>
      <c r="K364" s="149">
        <v>45924.45833333334</v>
      </c>
      <c r="L364" s="150">
        <v>45931.41666666666</v>
      </c>
      <c r="M364" s="150">
        <v>45938.45833333334</v>
      </c>
      <c r="N364" s="149">
        <v>45980.41666666666</v>
      </c>
      <c r="O364" s="149" t="s">
        <v>815</v>
      </c>
      <c r="P364" s="149">
        <v>45994.58333333334</v>
      </c>
      <c r="Q364" s="149">
        <v>46008.41666666666</v>
      </c>
      <c r="R364" s="149">
        <v>46036.41666666666</v>
      </c>
      <c r="S364" s="149">
        <v>46043.45833333334</v>
      </c>
      <c r="T364" s="149">
        <v>46050.41666666666</v>
      </c>
      <c r="U364" s="150">
        <v>46106.54166666666</v>
      </c>
      <c r="V364" s="151">
        <f t="shared" si="2"/>
        <v>46106.54167</v>
      </c>
      <c r="W364" s="152"/>
      <c r="X364" s="152"/>
      <c r="Y364" s="161"/>
    </row>
    <row r="365" ht="15.75" customHeight="1">
      <c r="A365" s="154" t="s">
        <v>241</v>
      </c>
      <c r="B365" s="154" t="str">
        <f>IFERROR(VLOOKUP(A365&amp;"", STUDENTS!A:B, 2, 0), "")</f>
        <v>HUỲNH THỊ BẢO YẾN</v>
      </c>
      <c r="C365" s="155" t="s">
        <v>84</v>
      </c>
      <c r="D365" s="155" t="str">
        <f>IFERROR(VLOOKUP(C365, PIC!A:B, 2, 0), "")</f>
        <v>Thuong Tran</v>
      </c>
      <c r="E365" s="156" t="s">
        <v>21</v>
      </c>
      <c r="F365" s="157" t="s">
        <v>815</v>
      </c>
      <c r="G365" s="158">
        <v>45784.54166666666</v>
      </c>
      <c r="H365" s="158">
        <v>45791.54166666666</v>
      </c>
      <c r="I365" s="157">
        <v>45804.58333333334</v>
      </c>
      <c r="J365" s="158">
        <v>45812.58333333334</v>
      </c>
      <c r="K365" s="157">
        <v>45813.54166666666</v>
      </c>
      <c r="L365" s="158">
        <v>45818.54166666666</v>
      </c>
      <c r="M365" s="158">
        <v>45827.54166666666</v>
      </c>
      <c r="N365" s="157">
        <v>45833.54166666666</v>
      </c>
      <c r="O365" s="157">
        <v>45860.41666666666</v>
      </c>
      <c r="P365" s="157"/>
      <c r="Q365" s="157"/>
      <c r="R365" s="157"/>
      <c r="S365" s="157"/>
      <c r="T365" s="157"/>
      <c r="U365" s="158"/>
      <c r="V365" s="159">
        <f t="shared" si="2"/>
        <v>45860.41667</v>
      </c>
      <c r="W365" s="160"/>
      <c r="X365" s="160"/>
      <c r="Y365" s="161"/>
    </row>
    <row r="366" ht="15.75" customHeight="1">
      <c r="A366" s="146" t="s">
        <v>253</v>
      </c>
      <c r="B366" s="146" t="str">
        <f>IFERROR(VLOOKUP(A366&amp;"", STUDENTS!A:B, 2, 0), "")</f>
        <v>LÂM THỊ YẾN NHI</v>
      </c>
      <c r="C366" s="147" t="s">
        <v>84</v>
      </c>
      <c r="D366" s="147" t="str">
        <f>IFERROR(VLOOKUP(C366, PIC!A:B, 2, 0), "")</f>
        <v>Thuong Tran</v>
      </c>
      <c r="E366" s="148" t="s">
        <v>24</v>
      </c>
      <c r="F366" s="149">
        <v>46091.54166666666</v>
      </c>
      <c r="G366" s="150">
        <v>46098.54166666666</v>
      </c>
      <c r="H366" s="150" t="s">
        <v>815</v>
      </c>
      <c r="I366" s="149">
        <v>46114.54166666666</v>
      </c>
      <c r="J366" s="150">
        <v>46119.54166666666</v>
      </c>
      <c r="K366" s="149">
        <v>46126.54166666666</v>
      </c>
      <c r="L366" s="150"/>
      <c r="M366" s="150"/>
      <c r="N366" s="149"/>
      <c r="O366" s="149"/>
      <c r="P366" s="149"/>
      <c r="Q366" s="149"/>
      <c r="R366" s="149"/>
      <c r="S366" s="149"/>
      <c r="T366" s="149"/>
      <c r="U366" s="150"/>
      <c r="V366" s="151">
        <f t="shared" si="2"/>
        <v>46126.54167</v>
      </c>
      <c r="W366" s="152"/>
      <c r="X366" s="152"/>
      <c r="Y366" s="161"/>
    </row>
    <row r="367" ht="15.75" customHeight="1">
      <c r="A367" s="154" t="s">
        <v>253</v>
      </c>
      <c r="B367" s="154" t="str">
        <f>IFERROR(VLOOKUP(A367&amp;"", STUDENTS!A:B, 2, 0), "")</f>
        <v>LÂM THỊ YẾN NHI</v>
      </c>
      <c r="C367" s="155" t="s">
        <v>84</v>
      </c>
      <c r="D367" s="155" t="str">
        <f>IFERROR(VLOOKUP(C367, PIC!A:B, 2, 0), "")</f>
        <v>Thuong Tran</v>
      </c>
      <c r="E367" s="156" t="s">
        <v>21</v>
      </c>
      <c r="F367" s="157">
        <v>45764.58333333334</v>
      </c>
      <c r="G367" s="158">
        <v>45784.54166666666</v>
      </c>
      <c r="H367" s="158">
        <v>45791.54166666666</v>
      </c>
      <c r="I367" s="157">
        <v>45804.58333333334</v>
      </c>
      <c r="J367" s="158">
        <v>45812.58333333334</v>
      </c>
      <c r="K367" s="157">
        <v>45813.54166666666</v>
      </c>
      <c r="L367" s="158">
        <v>45818.54166666666</v>
      </c>
      <c r="M367" s="158">
        <v>45827.54166666666</v>
      </c>
      <c r="N367" s="157">
        <v>45833.54166666666</v>
      </c>
      <c r="O367" s="157">
        <v>45860.41666666666</v>
      </c>
      <c r="P367" s="157"/>
      <c r="Q367" s="157"/>
      <c r="R367" s="157"/>
      <c r="S367" s="157"/>
      <c r="T367" s="157"/>
      <c r="U367" s="158"/>
      <c r="V367" s="159">
        <f t="shared" si="2"/>
        <v>45860.41667</v>
      </c>
      <c r="W367" s="160"/>
      <c r="X367" s="160"/>
      <c r="Y367" s="161"/>
    </row>
    <row r="368" ht="15.75" customHeight="1">
      <c r="A368" s="146" t="s">
        <v>253</v>
      </c>
      <c r="B368" s="146" t="str">
        <f>IFERROR(VLOOKUP(A368&amp;"", STUDENTS!A:B, 2, 0), "")</f>
        <v>LÂM THỊ YẾN NHI</v>
      </c>
      <c r="C368" s="147" t="s">
        <v>84</v>
      </c>
      <c r="D368" s="147" t="str">
        <f>IFERROR(VLOOKUP(C368, PIC!A:B, 2, 0), "")</f>
        <v>Thuong Tran</v>
      </c>
      <c r="E368" s="148" t="s">
        <v>22</v>
      </c>
      <c r="F368" s="149" t="s">
        <v>815</v>
      </c>
      <c r="G368" s="150">
        <v>45889.54166666666</v>
      </c>
      <c r="H368" s="150">
        <v>45895.54166666666</v>
      </c>
      <c r="I368" s="149">
        <v>45903.54166666666</v>
      </c>
      <c r="J368" s="150">
        <v>45910.58333333334</v>
      </c>
      <c r="K368" s="149">
        <v>45917.54166666666</v>
      </c>
      <c r="L368" s="150">
        <v>45924.58333333334</v>
      </c>
      <c r="M368" s="150">
        <v>45940.58333333334</v>
      </c>
      <c r="N368" s="149" t="s">
        <v>815</v>
      </c>
      <c r="O368" s="149">
        <v>45954.54166666666</v>
      </c>
      <c r="P368" s="149">
        <v>45961.54166666666</v>
      </c>
      <c r="Q368" s="149">
        <v>45965.54166666666</v>
      </c>
      <c r="R368" s="149">
        <v>45974.54166666666</v>
      </c>
      <c r="S368" s="149">
        <v>45980.54166666666</v>
      </c>
      <c r="T368" s="149">
        <v>45987.54166666666</v>
      </c>
      <c r="U368" s="150">
        <v>46045.54166666666</v>
      </c>
      <c r="V368" s="151">
        <f t="shared" si="2"/>
        <v>46045.54167</v>
      </c>
      <c r="W368" s="152"/>
      <c r="X368" s="152"/>
      <c r="Y368" s="161"/>
    </row>
    <row r="369" ht="15.75" customHeight="1">
      <c r="A369" s="154" t="s">
        <v>447</v>
      </c>
      <c r="B369" s="154" t="str">
        <f>IFERROR(VLOOKUP(A369&amp;"", STUDENTS!A:B, 2, 0), "")</f>
        <v>NGUYỄN THÁI SƠN</v>
      </c>
      <c r="C369" s="155" t="s">
        <v>84</v>
      </c>
      <c r="D369" s="155" t="str">
        <f>IFERROR(VLOOKUP(C369, PIC!A:B, 2, 0), "")</f>
        <v>Thuong Tran</v>
      </c>
      <c r="E369" s="156" t="s">
        <v>24</v>
      </c>
      <c r="F369" s="157">
        <v>46091.54166666666</v>
      </c>
      <c r="G369" s="158">
        <v>46098.54166666666</v>
      </c>
      <c r="H369" s="158" t="s">
        <v>815</v>
      </c>
      <c r="I369" s="157">
        <v>46114.54166666666</v>
      </c>
      <c r="J369" s="158" t="s">
        <v>815</v>
      </c>
      <c r="K369" s="157">
        <v>46126.54166666666</v>
      </c>
      <c r="L369" s="158"/>
      <c r="M369" s="158"/>
      <c r="N369" s="157"/>
      <c r="O369" s="157"/>
      <c r="P369" s="157"/>
      <c r="Q369" s="157"/>
      <c r="R369" s="157"/>
      <c r="S369" s="157"/>
      <c r="T369" s="157"/>
      <c r="U369" s="158"/>
      <c r="V369" s="159">
        <f t="shared" si="2"/>
        <v>46126.54167</v>
      </c>
      <c r="W369" s="160"/>
      <c r="X369" s="160"/>
      <c r="Y369" s="161"/>
    </row>
    <row r="370" ht="15.75" customHeight="1">
      <c r="A370" s="146" t="s">
        <v>447</v>
      </c>
      <c r="B370" s="146" t="str">
        <f>IFERROR(VLOOKUP(A370&amp;"", STUDENTS!A:B, 2, 0), "")</f>
        <v>NGUYỄN THÁI SƠN</v>
      </c>
      <c r="C370" s="147" t="s">
        <v>84</v>
      </c>
      <c r="D370" s="147" t="str">
        <f>IFERROR(VLOOKUP(C370, PIC!A:B, 2, 0), "")</f>
        <v>Thuong Tran</v>
      </c>
      <c r="E370" s="148" t="s">
        <v>21</v>
      </c>
      <c r="F370" s="149">
        <v>45764.58333333334</v>
      </c>
      <c r="G370" s="150" t="s">
        <v>815</v>
      </c>
      <c r="H370" s="150">
        <v>45791.54166666666</v>
      </c>
      <c r="I370" s="149">
        <v>45804.58333333334</v>
      </c>
      <c r="J370" s="150">
        <v>45812.58333333334</v>
      </c>
      <c r="K370" s="149">
        <v>45813.54166666666</v>
      </c>
      <c r="L370" s="150">
        <v>45818.54166666666</v>
      </c>
      <c r="M370" s="150">
        <v>45827.54166666666</v>
      </c>
      <c r="N370" s="149">
        <v>45833.54166666666</v>
      </c>
      <c r="O370" s="149">
        <v>45860.41666666666</v>
      </c>
      <c r="P370" s="149"/>
      <c r="Q370" s="149"/>
      <c r="R370" s="149"/>
      <c r="S370" s="149"/>
      <c r="T370" s="149"/>
      <c r="U370" s="150"/>
      <c r="V370" s="151">
        <f t="shared" si="2"/>
        <v>45860.41667</v>
      </c>
      <c r="W370" s="152"/>
      <c r="X370" s="152"/>
      <c r="Y370" s="161"/>
    </row>
    <row r="371" ht="15.75" customHeight="1">
      <c r="A371" s="154" t="s">
        <v>447</v>
      </c>
      <c r="B371" s="154" t="str">
        <f>IFERROR(VLOOKUP(A371&amp;"", STUDENTS!A:B, 2, 0), "")</f>
        <v>NGUYỄN THÁI SƠN</v>
      </c>
      <c r="C371" s="155" t="s">
        <v>84</v>
      </c>
      <c r="D371" s="155" t="str">
        <f>IFERROR(VLOOKUP(C371, PIC!A:B, 2, 0), "")</f>
        <v>Thuong Tran</v>
      </c>
      <c r="E371" s="156" t="s">
        <v>22</v>
      </c>
      <c r="F371" s="157">
        <v>45882.58333333334</v>
      </c>
      <c r="G371" s="158">
        <v>45889.54166666666</v>
      </c>
      <c r="H371" s="158">
        <v>45895.54166666666</v>
      </c>
      <c r="I371" s="157">
        <v>45903.54166666666</v>
      </c>
      <c r="J371" s="158" t="s">
        <v>815</v>
      </c>
      <c r="K371" s="157">
        <v>45917.54166666666</v>
      </c>
      <c r="L371" s="158">
        <v>45924.58333333334</v>
      </c>
      <c r="M371" s="158">
        <v>45940.58333333334</v>
      </c>
      <c r="N371" s="157">
        <v>45943.58333333334</v>
      </c>
      <c r="O371" s="157">
        <v>45954.54166666666</v>
      </c>
      <c r="P371" s="157">
        <v>45961.54166666666</v>
      </c>
      <c r="Q371" s="157">
        <v>45965.54166666666</v>
      </c>
      <c r="R371" s="157">
        <v>45974.54166666666</v>
      </c>
      <c r="S371" s="157" t="s">
        <v>815</v>
      </c>
      <c r="T371" s="157">
        <v>45987.54166666666</v>
      </c>
      <c r="U371" s="158">
        <v>46045.54166666666</v>
      </c>
      <c r="V371" s="159">
        <f t="shared" si="2"/>
        <v>46045.54167</v>
      </c>
      <c r="W371" s="160"/>
      <c r="X371" s="160"/>
      <c r="Y371" s="161"/>
    </row>
    <row r="372" ht="15.75" customHeight="1">
      <c r="A372" s="146" t="s">
        <v>463</v>
      </c>
      <c r="B372" s="146" t="str">
        <f>IFERROR(VLOOKUP(A372&amp;"", STUDENTS!A:B, 2, 0), "")</f>
        <v>NGUYỄN THỊ HOÀNG OANH</v>
      </c>
      <c r="C372" s="147" t="s">
        <v>84</v>
      </c>
      <c r="D372" s="147" t="str">
        <f>IFERROR(VLOOKUP(C372, PIC!A:B, 2, 0), "")</f>
        <v>Thuong Tran</v>
      </c>
      <c r="E372" s="148" t="s">
        <v>21</v>
      </c>
      <c r="F372" s="149">
        <v>45764.58333333334</v>
      </c>
      <c r="G372" s="150">
        <v>45784.54166666666</v>
      </c>
      <c r="H372" s="150">
        <v>45791.54166666666</v>
      </c>
      <c r="I372" s="149">
        <v>45804.58333333334</v>
      </c>
      <c r="J372" s="150">
        <v>45812.58333333334</v>
      </c>
      <c r="K372" s="149">
        <v>45813.54166666666</v>
      </c>
      <c r="L372" s="150">
        <v>45818.54166666666</v>
      </c>
      <c r="M372" s="150">
        <v>45827.54166666666</v>
      </c>
      <c r="N372" s="149">
        <v>45833.54166666666</v>
      </c>
      <c r="O372" s="149">
        <v>45860.41666666666</v>
      </c>
      <c r="P372" s="149"/>
      <c r="Q372" s="149"/>
      <c r="R372" s="149"/>
      <c r="S372" s="149"/>
      <c r="T372" s="149"/>
      <c r="U372" s="150"/>
      <c r="V372" s="151">
        <f t="shared" si="2"/>
        <v>45860.41667</v>
      </c>
      <c r="W372" s="152"/>
      <c r="X372" s="152"/>
      <c r="Y372" s="161"/>
    </row>
    <row r="373" ht="15.75" customHeight="1">
      <c r="A373" s="154" t="s">
        <v>472</v>
      </c>
      <c r="B373" s="154" t="str">
        <f>IFERROR(VLOOKUP(A373&amp;"", STUDENTS!A:B, 2, 0), "")</f>
        <v>NGUYỄN THỊ LOAN</v>
      </c>
      <c r="C373" s="155" t="s">
        <v>84</v>
      </c>
      <c r="D373" s="155" t="str">
        <f>IFERROR(VLOOKUP(C373, PIC!A:B, 2, 0), "")</f>
        <v>Thuong Tran</v>
      </c>
      <c r="E373" s="156" t="s">
        <v>21</v>
      </c>
      <c r="F373" s="157">
        <v>45764.58333333334</v>
      </c>
      <c r="G373" s="158">
        <v>45784.54166666666</v>
      </c>
      <c r="H373" s="158" t="s">
        <v>815</v>
      </c>
      <c r="I373" s="157">
        <v>45804.58333333334</v>
      </c>
      <c r="J373" s="158">
        <v>45812.58333333334</v>
      </c>
      <c r="K373" s="157">
        <v>45813.54166666666</v>
      </c>
      <c r="L373" s="158">
        <v>45818.54166666666</v>
      </c>
      <c r="M373" s="158">
        <v>45827.54166666666</v>
      </c>
      <c r="N373" s="157" t="s">
        <v>815</v>
      </c>
      <c r="O373" s="157" t="s">
        <v>815</v>
      </c>
      <c r="P373" s="157"/>
      <c r="Q373" s="157"/>
      <c r="R373" s="157"/>
      <c r="S373" s="157"/>
      <c r="T373" s="157"/>
      <c r="U373" s="158"/>
      <c r="V373" s="159">
        <f t="shared" si="2"/>
        <v>45827.54167</v>
      </c>
      <c r="W373" s="160"/>
      <c r="X373" s="160"/>
      <c r="Y373" s="161"/>
    </row>
    <row r="374" ht="15.75" customHeight="1">
      <c r="A374" s="146" t="s">
        <v>486</v>
      </c>
      <c r="B374" s="146" t="str">
        <f>IFERROR(VLOOKUP(A374&amp;"", STUDENTS!A:B, 2, 0), "")</f>
        <v>NGUYỄN TRẦN HOÀI MỸ</v>
      </c>
      <c r="C374" s="147" t="s">
        <v>84</v>
      </c>
      <c r="D374" s="147" t="str">
        <f>IFERROR(VLOOKUP(C374, PIC!A:B, 2, 0), "")</f>
        <v>Thuong Tran</v>
      </c>
      <c r="E374" s="148" t="s">
        <v>24</v>
      </c>
      <c r="F374" s="149">
        <v>46091.54166666666</v>
      </c>
      <c r="G374" s="150">
        <v>46098.54166666666</v>
      </c>
      <c r="H374" s="150">
        <v>46105.54166666666</v>
      </c>
      <c r="I374" s="149" t="s">
        <v>815</v>
      </c>
      <c r="J374" s="150">
        <v>46119.54166666666</v>
      </c>
      <c r="K374" s="149">
        <v>46126.54166666666</v>
      </c>
      <c r="L374" s="150"/>
      <c r="M374" s="150"/>
      <c r="N374" s="149"/>
      <c r="O374" s="149"/>
      <c r="P374" s="149"/>
      <c r="Q374" s="149"/>
      <c r="R374" s="149"/>
      <c r="S374" s="149"/>
      <c r="T374" s="149"/>
      <c r="U374" s="150"/>
      <c r="V374" s="151">
        <f t="shared" si="2"/>
        <v>46126.54167</v>
      </c>
      <c r="W374" s="152"/>
      <c r="X374" s="152"/>
      <c r="Y374" s="161"/>
    </row>
    <row r="375" ht="15.75" customHeight="1">
      <c r="A375" s="154" t="s">
        <v>486</v>
      </c>
      <c r="B375" s="154" t="str">
        <f>IFERROR(VLOOKUP(A375&amp;"", STUDENTS!A:B, 2, 0), "")</f>
        <v>NGUYỄN TRẦN HOÀI MỸ</v>
      </c>
      <c r="C375" s="155" t="s">
        <v>84</v>
      </c>
      <c r="D375" s="155" t="str">
        <f>IFERROR(VLOOKUP(C375, PIC!A:B, 2, 0), "")</f>
        <v>Thuong Tran</v>
      </c>
      <c r="E375" s="156" t="s">
        <v>21</v>
      </c>
      <c r="F375" s="157">
        <v>45764.58333333334</v>
      </c>
      <c r="G375" s="158">
        <v>45784.54166666666</v>
      </c>
      <c r="H375" s="158">
        <v>45791.54166666666</v>
      </c>
      <c r="I375" s="157">
        <v>45804.58333333334</v>
      </c>
      <c r="J375" s="158">
        <v>45812.58333333334</v>
      </c>
      <c r="K375" s="157">
        <v>45813.54166666666</v>
      </c>
      <c r="L375" s="158">
        <v>45818.54166666666</v>
      </c>
      <c r="M375" s="158">
        <v>45827.54166666666</v>
      </c>
      <c r="N375" s="157">
        <v>45833.54166666666</v>
      </c>
      <c r="O375" s="157">
        <v>45860.41666666666</v>
      </c>
      <c r="P375" s="157"/>
      <c r="Q375" s="157"/>
      <c r="R375" s="157"/>
      <c r="S375" s="157"/>
      <c r="T375" s="157"/>
      <c r="U375" s="158"/>
      <c r="V375" s="159">
        <f t="shared" si="2"/>
        <v>45860.41667</v>
      </c>
      <c r="W375" s="160"/>
      <c r="X375" s="160"/>
      <c r="Y375" s="161"/>
    </row>
    <row r="376" ht="15.75" customHeight="1">
      <c r="A376" s="146" t="s">
        <v>486</v>
      </c>
      <c r="B376" s="146" t="str">
        <f>IFERROR(VLOOKUP(A376&amp;"", STUDENTS!A:B, 2, 0), "")</f>
        <v>NGUYỄN TRẦN HOÀI MỸ</v>
      </c>
      <c r="C376" s="147" t="s">
        <v>84</v>
      </c>
      <c r="D376" s="147" t="str">
        <f>IFERROR(VLOOKUP(C376, PIC!A:B, 2, 0), "")</f>
        <v>Thuong Tran</v>
      </c>
      <c r="E376" s="148" t="s">
        <v>22</v>
      </c>
      <c r="F376" s="149">
        <v>45882.58333333334</v>
      </c>
      <c r="G376" s="150">
        <v>45889.54166666666</v>
      </c>
      <c r="H376" s="150">
        <v>45895.54166666666</v>
      </c>
      <c r="I376" s="149">
        <v>45903.54166666666</v>
      </c>
      <c r="J376" s="150">
        <v>45910.58333333334</v>
      </c>
      <c r="K376" s="149" t="s">
        <v>815</v>
      </c>
      <c r="L376" s="150">
        <v>45924.58333333334</v>
      </c>
      <c r="M376" s="150">
        <v>45940.58333333334</v>
      </c>
      <c r="N376" s="149" t="s">
        <v>815</v>
      </c>
      <c r="O376" s="149">
        <v>45954.54166666666</v>
      </c>
      <c r="P376" s="149">
        <v>45961.54166666666</v>
      </c>
      <c r="Q376" s="149">
        <v>45965.54166666666</v>
      </c>
      <c r="R376" s="149">
        <v>45974.54166666666</v>
      </c>
      <c r="S376" s="149">
        <v>45980.54166666666</v>
      </c>
      <c r="T376" s="149">
        <v>45987.54166666666</v>
      </c>
      <c r="U376" s="150">
        <v>46045.54166666666</v>
      </c>
      <c r="V376" s="151">
        <f t="shared" si="2"/>
        <v>46045.54167</v>
      </c>
      <c r="W376" s="152"/>
      <c r="X376" s="152"/>
      <c r="Y376" s="161"/>
    </row>
    <row r="377" ht="15.75" customHeight="1">
      <c r="A377" s="154" t="s">
        <v>508</v>
      </c>
      <c r="B377" s="154" t="str">
        <f>IFERROR(VLOOKUP(A377&amp;"", STUDENTS!A:B, 2, 0), "")</f>
        <v>NGUYỄN VĂN HÙNG</v>
      </c>
      <c r="C377" s="155" t="s">
        <v>84</v>
      </c>
      <c r="D377" s="155" t="str">
        <f>IFERROR(VLOOKUP(C377, PIC!A:B, 2, 0), "")</f>
        <v>Thuong Tran</v>
      </c>
      <c r="E377" s="156" t="s">
        <v>24</v>
      </c>
      <c r="F377" s="157">
        <v>46091.54166666666</v>
      </c>
      <c r="G377" s="158">
        <v>46098.54166666666</v>
      </c>
      <c r="H377" s="158">
        <v>46105.54166666666</v>
      </c>
      <c r="I377" s="157" t="s">
        <v>815</v>
      </c>
      <c r="J377" s="158">
        <v>46119.54166666666</v>
      </c>
      <c r="K377" s="157" t="s">
        <v>815</v>
      </c>
      <c r="L377" s="158"/>
      <c r="M377" s="158"/>
      <c r="N377" s="157"/>
      <c r="O377" s="157"/>
      <c r="P377" s="157"/>
      <c r="Q377" s="157"/>
      <c r="R377" s="157"/>
      <c r="S377" s="157"/>
      <c r="T377" s="157"/>
      <c r="U377" s="158"/>
      <c r="V377" s="159">
        <f t="shared" si="2"/>
        <v>46119.54167</v>
      </c>
      <c r="W377" s="160"/>
      <c r="X377" s="160"/>
      <c r="Y377" s="161"/>
    </row>
    <row r="378" ht="15.75" customHeight="1">
      <c r="A378" s="146" t="s">
        <v>508</v>
      </c>
      <c r="B378" s="146" t="str">
        <f>IFERROR(VLOOKUP(A378&amp;"", STUDENTS!A:B, 2, 0), "")</f>
        <v>NGUYỄN VĂN HÙNG</v>
      </c>
      <c r="C378" s="147" t="s">
        <v>84</v>
      </c>
      <c r="D378" s="147" t="str">
        <f>IFERROR(VLOOKUP(C378, PIC!A:B, 2, 0), "")</f>
        <v>Thuong Tran</v>
      </c>
      <c r="E378" s="148" t="s">
        <v>21</v>
      </c>
      <c r="F378" s="149">
        <v>45764.58333333334</v>
      </c>
      <c r="G378" s="150">
        <v>45784.54166666666</v>
      </c>
      <c r="H378" s="150">
        <v>45791.54166666666</v>
      </c>
      <c r="I378" s="149">
        <v>45804.58333333334</v>
      </c>
      <c r="J378" s="150"/>
      <c r="K378" s="149" t="s">
        <v>815</v>
      </c>
      <c r="L378" s="150">
        <v>45818.54166666666</v>
      </c>
      <c r="M378" s="150">
        <v>45827.54166666666</v>
      </c>
      <c r="N378" s="149">
        <v>45833.54166666666</v>
      </c>
      <c r="O378" s="149">
        <v>45860.41666666666</v>
      </c>
      <c r="P378" s="149"/>
      <c r="Q378" s="149"/>
      <c r="R378" s="149"/>
      <c r="S378" s="149"/>
      <c r="T378" s="149"/>
      <c r="U378" s="150"/>
      <c r="V378" s="151">
        <f t="shared" si="2"/>
        <v>45860.41667</v>
      </c>
      <c r="W378" s="152"/>
      <c r="X378" s="152"/>
      <c r="Y378" s="161"/>
    </row>
    <row r="379" ht="15.75" customHeight="1">
      <c r="A379" s="154" t="s">
        <v>508</v>
      </c>
      <c r="B379" s="154" t="str">
        <f>IFERROR(VLOOKUP(A379&amp;"", STUDENTS!A:B, 2, 0), "")</f>
        <v>NGUYỄN VĂN HÙNG</v>
      </c>
      <c r="C379" s="155" t="s">
        <v>84</v>
      </c>
      <c r="D379" s="155" t="str">
        <f>IFERROR(VLOOKUP(C379, PIC!A:B, 2, 0), "")</f>
        <v>Thuong Tran</v>
      </c>
      <c r="E379" s="156" t="s">
        <v>22</v>
      </c>
      <c r="F379" s="157">
        <v>45882.58333333334</v>
      </c>
      <c r="G379" s="158">
        <v>45889.54166666666</v>
      </c>
      <c r="H379" s="158">
        <v>45895.54166666666</v>
      </c>
      <c r="I379" s="157" t="s">
        <v>815</v>
      </c>
      <c r="J379" s="158">
        <v>45910.58333333334</v>
      </c>
      <c r="K379" s="157">
        <v>45917.54166666666</v>
      </c>
      <c r="L379" s="158">
        <v>45924.58333333334</v>
      </c>
      <c r="M379" s="158">
        <v>45940.58333333334</v>
      </c>
      <c r="N379" s="157">
        <v>45943.58333333334</v>
      </c>
      <c r="O379" s="157">
        <v>45954.54166666666</v>
      </c>
      <c r="P379" s="157">
        <v>45961.54166666666</v>
      </c>
      <c r="Q379" s="157">
        <v>45965.54166666666</v>
      </c>
      <c r="R379" s="157">
        <v>45974.54166666666</v>
      </c>
      <c r="S379" s="157">
        <v>45980.54166666666</v>
      </c>
      <c r="T379" s="157">
        <v>45987.54166666666</v>
      </c>
      <c r="U379" s="158">
        <v>46045.54166666666</v>
      </c>
      <c r="V379" s="159">
        <f t="shared" si="2"/>
        <v>46045.54167</v>
      </c>
      <c r="W379" s="160"/>
      <c r="X379" s="160"/>
      <c r="Y379" s="161"/>
    </row>
    <row r="380" ht="15.75" customHeight="1">
      <c r="A380" s="146" t="s">
        <v>597</v>
      </c>
      <c r="B380" s="146" t="str">
        <f>IFERROR(VLOOKUP(A380&amp;"", STUDENTS!A:B, 2, 0), "")</f>
        <v>TÔN THÀNH AN</v>
      </c>
      <c r="C380" s="147" t="s">
        <v>84</v>
      </c>
      <c r="D380" s="147" t="str">
        <f>IFERROR(VLOOKUP(C380, PIC!A:B, 2, 0), "")</f>
        <v>Thuong Tran</v>
      </c>
      <c r="E380" s="148" t="s">
        <v>24</v>
      </c>
      <c r="F380" s="149">
        <v>46091.54166666666</v>
      </c>
      <c r="G380" s="150">
        <v>46098.54166666666</v>
      </c>
      <c r="H380" s="150">
        <v>46105.54166666666</v>
      </c>
      <c r="I380" s="149">
        <v>46114.54166666666</v>
      </c>
      <c r="J380" s="150">
        <v>46119.54166666666</v>
      </c>
      <c r="K380" s="149">
        <v>46126.54166666666</v>
      </c>
      <c r="L380" s="150"/>
      <c r="M380" s="150"/>
      <c r="N380" s="149"/>
      <c r="O380" s="149"/>
      <c r="P380" s="149"/>
      <c r="Q380" s="149"/>
      <c r="R380" s="149"/>
      <c r="S380" s="149"/>
      <c r="T380" s="149"/>
      <c r="U380" s="150"/>
      <c r="V380" s="151">
        <f t="shared" si="2"/>
        <v>46126.54167</v>
      </c>
      <c r="W380" s="152"/>
      <c r="X380" s="152"/>
      <c r="Y380" s="161"/>
    </row>
    <row r="381" ht="15.75" customHeight="1">
      <c r="A381" s="154" t="s">
        <v>597</v>
      </c>
      <c r="B381" s="154" t="str">
        <f>IFERROR(VLOOKUP(A381&amp;"", STUDENTS!A:B, 2, 0), "")</f>
        <v>TÔN THÀNH AN</v>
      </c>
      <c r="C381" s="155" t="s">
        <v>84</v>
      </c>
      <c r="D381" s="155" t="str">
        <f>IFERROR(VLOOKUP(C381, PIC!A:B, 2, 0), "")</f>
        <v>Thuong Tran</v>
      </c>
      <c r="E381" s="156" t="s">
        <v>21</v>
      </c>
      <c r="F381" s="157">
        <v>45764.58333333334</v>
      </c>
      <c r="G381" s="158">
        <v>45784.54166666666</v>
      </c>
      <c r="H381" s="158">
        <v>45791.54166666666</v>
      </c>
      <c r="I381" s="157">
        <v>45804.58333333334</v>
      </c>
      <c r="J381" s="158">
        <v>45812.58333333334</v>
      </c>
      <c r="K381" s="157">
        <v>45813.54166666666</v>
      </c>
      <c r="L381" s="158">
        <v>45818.54166666666</v>
      </c>
      <c r="M381" s="158">
        <v>45827.54166666666</v>
      </c>
      <c r="N381" s="157">
        <v>45833.54166666666</v>
      </c>
      <c r="O381" s="157">
        <v>45860.41666666666</v>
      </c>
      <c r="P381" s="157"/>
      <c r="Q381" s="157"/>
      <c r="R381" s="157"/>
      <c r="S381" s="157"/>
      <c r="T381" s="157"/>
      <c r="U381" s="158"/>
      <c r="V381" s="159">
        <f t="shared" si="2"/>
        <v>45860.41667</v>
      </c>
      <c r="W381" s="160"/>
      <c r="X381" s="160"/>
      <c r="Y381" s="161"/>
    </row>
    <row r="382" ht="15.75" customHeight="1">
      <c r="A382" s="146" t="s">
        <v>597</v>
      </c>
      <c r="B382" s="146" t="str">
        <f>IFERROR(VLOOKUP(A382&amp;"", STUDENTS!A:B, 2, 0), "")</f>
        <v>TÔN THÀNH AN</v>
      </c>
      <c r="C382" s="147" t="s">
        <v>84</v>
      </c>
      <c r="D382" s="147" t="str">
        <f>IFERROR(VLOOKUP(C382, PIC!A:B, 2, 0), "")</f>
        <v>Thuong Tran</v>
      </c>
      <c r="E382" s="148" t="s">
        <v>22</v>
      </c>
      <c r="F382" s="149">
        <v>45882.58333333334</v>
      </c>
      <c r="G382" s="150">
        <v>45889.54166666666</v>
      </c>
      <c r="H382" s="150">
        <v>45895.54166666666</v>
      </c>
      <c r="I382" s="149">
        <v>45903.54166666666</v>
      </c>
      <c r="J382" s="150">
        <v>45910.58333333334</v>
      </c>
      <c r="K382" s="149">
        <v>45917.54166666666</v>
      </c>
      <c r="L382" s="150">
        <v>45924.58333333334</v>
      </c>
      <c r="M382" s="150">
        <v>45940.58333333334</v>
      </c>
      <c r="N382" s="149">
        <v>45943.58333333334</v>
      </c>
      <c r="O382" s="149">
        <v>45954.54166666666</v>
      </c>
      <c r="P382" s="149">
        <v>45961.54166666666</v>
      </c>
      <c r="Q382" s="149">
        <v>45965.54166666666</v>
      </c>
      <c r="R382" s="149">
        <v>45974.54166666666</v>
      </c>
      <c r="S382" s="149">
        <v>45980.54166666666</v>
      </c>
      <c r="T382" s="149">
        <v>45987.54166666666</v>
      </c>
      <c r="U382" s="150">
        <v>46045.54166666666</v>
      </c>
      <c r="V382" s="151">
        <f t="shared" si="2"/>
        <v>46045.54167</v>
      </c>
      <c r="W382" s="152"/>
      <c r="X382" s="152"/>
      <c r="Y382" s="161"/>
    </row>
    <row r="383" ht="15.75" customHeight="1">
      <c r="A383" s="154" t="s">
        <v>623</v>
      </c>
      <c r="B383" s="154" t="str">
        <f>IFERROR(VLOOKUP(A383&amp;"", STUDENTS!A:B, 2, 0), "")</f>
        <v>TRẦN MINH TRUNG</v>
      </c>
      <c r="C383" s="155" t="s">
        <v>84</v>
      </c>
      <c r="D383" s="155" t="str">
        <f>IFERROR(VLOOKUP(C383, PIC!A:B, 2, 0), "")</f>
        <v>Thuong Tran</v>
      </c>
      <c r="E383" s="156" t="s">
        <v>24</v>
      </c>
      <c r="F383" s="157">
        <v>46091.54166666666</v>
      </c>
      <c r="G383" s="158">
        <v>46098.54166666666</v>
      </c>
      <c r="H383" s="158" t="s">
        <v>815</v>
      </c>
      <c r="I383" s="157" t="s">
        <v>815</v>
      </c>
      <c r="J383" s="158" t="s">
        <v>815</v>
      </c>
      <c r="K383" s="157" t="s">
        <v>815</v>
      </c>
      <c r="L383" s="158"/>
      <c r="M383" s="158"/>
      <c r="N383" s="157"/>
      <c r="O383" s="157"/>
      <c r="P383" s="157"/>
      <c r="Q383" s="157"/>
      <c r="R383" s="157"/>
      <c r="S383" s="157"/>
      <c r="T383" s="157"/>
      <c r="U383" s="158"/>
      <c r="V383" s="159">
        <f t="shared" si="2"/>
        <v>46098.54167</v>
      </c>
      <c r="W383" s="160"/>
      <c r="X383" s="160"/>
      <c r="Y383" s="161"/>
    </row>
    <row r="384" ht="15.75" customHeight="1">
      <c r="A384" s="146" t="s">
        <v>623</v>
      </c>
      <c r="B384" s="146" t="str">
        <f>IFERROR(VLOOKUP(A384&amp;"", STUDENTS!A:B, 2, 0), "")</f>
        <v>TRẦN MINH TRUNG</v>
      </c>
      <c r="C384" s="147" t="s">
        <v>84</v>
      </c>
      <c r="D384" s="147" t="str">
        <f>IFERROR(VLOOKUP(C384, PIC!A:B, 2, 0), "")</f>
        <v>Thuong Tran</v>
      </c>
      <c r="E384" s="148" t="s">
        <v>21</v>
      </c>
      <c r="F384" s="149">
        <v>45764.58333333334</v>
      </c>
      <c r="G384" s="150">
        <v>45784.54166666666</v>
      </c>
      <c r="H384" s="150">
        <v>45791.54166666666</v>
      </c>
      <c r="I384" s="149">
        <v>45804.58333333334</v>
      </c>
      <c r="J384" s="150">
        <v>45812.58333333334</v>
      </c>
      <c r="K384" s="149">
        <v>45813.54166666666</v>
      </c>
      <c r="L384" s="150">
        <v>45818.54166666666</v>
      </c>
      <c r="M384" s="150">
        <v>45827.54166666666</v>
      </c>
      <c r="N384" s="149">
        <v>45833.54166666666</v>
      </c>
      <c r="O384" s="149">
        <v>45860.41666666666</v>
      </c>
      <c r="P384" s="149"/>
      <c r="Q384" s="149"/>
      <c r="R384" s="149"/>
      <c r="S384" s="149"/>
      <c r="T384" s="149"/>
      <c r="U384" s="150"/>
      <c r="V384" s="151">
        <f t="shared" si="2"/>
        <v>45860.41667</v>
      </c>
      <c r="W384" s="152"/>
      <c r="X384" s="152"/>
      <c r="Y384" s="161"/>
    </row>
    <row r="385" ht="15.75" customHeight="1">
      <c r="A385" s="154" t="s">
        <v>623</v>
      </c>
      <c r="B385" s="154" t="str">
        <f>IFERROR(VLOOKUP(A385&amp;"", STUDENTS!A:B, 2, 0), "")</f>
        <v>TRẦN MINH TRUNG</v>
      </c>
      <c r="C385" s="155" t="s">
        <v>84</v>
      </c>
      <c r="D385" s="155" t="str">
        <f>IFERROR(VLOOKUP(C385, PIC!A:B, 2, 0), "")</f>
        <v>Thuong Tran</v>
      </c>
      <c r="E385" s="156" t="s">
        <v>22</v>
      </c>
      <c r="F385" s="157" t="s">
        <v>815</v>
      </c>
      <c r="G385" s="158" t="s">
        <v>815</v>
      </c>
      <c r="H385" s="158" t="s">
        <v>815</v>
      </c>
      <c r="I385" s="157" t="s">
        <v>815</v>
      </c>
      <c r="J385" s="158" t="s">
        <v>815</v>
      </c>
      <c r="K385" s="157" t="s">
        <v>815</v>
      </c>
      <c r="L385" s="158" t="s">
        <v>815</v>
      </c>
      <c r="M385" s="158" t="s">
        <v>815</v>
      </c>
      <c r="N385" s="157" t="s">
        <v>815</v>
      </c>
      <c r="O385" s="157" t="s">
        <v>815</v>
      </c>
      <c r="P385" s="157" t="s">
        <v>815</v>
      </c>
      <c r="Q385" s="157" t="s">
        <v>815</v>
      </c>
      <c r="R385" s="157" t="s">
        <v>815</v>
      </c>
      <c r="S385" s="157" t="s">
        <v>815</v>
      </c>
      <c r="T385" s="157" t="s">
        <v>815</v>
      </c>
      <c r="U385" s="158" t="s">
        <v>815</v>
      </c>
      <c r="V385" s="159">
        <f t="shared" si="2"/>
        <v>0</v>
      </c>
      <c r="W385" s="160"/>
      <c r="X385" s="160"/>
      <c r="Y385" s="161"/>
    </row>
    <row r="386" ht="15.75" customHeight="1">
      <c r="A386" s="146" t="s">
        <v>649</v>
      </c>
      <c r="B386" s="146" t="str">
        <f>IFERROR(VLOOKUP(A386&amp;"", STUDENTS!A:B, 2, 0), "")</f>
        <v>TRẦN THỊ HOÀI THƯƠNG</v>
      </c>
      <c r="C386" s="147" t="s">
        <v>84</v>
      </c>
      <c r="D386" s="147" t="str">
        <f>IFERROR(VLOOKUP(C386, PIC!A:B, 2, 0), "")</f>
        <v>Thuong Tran</v>
      </c>
      <c r="E386" s="148" t="s">
        <v>24</v>
      </c>
      <c r="F386" s="149"/>
      <c r="G386" s="150">
        <v>46098.54166666666</v>
      </c>
      <c r="H386" s="150">
        <v>46105.54166666666</v>
      </c>
      <c r="I386" s="149">
        <v>46114.54166666666</v>
      </c>
      <c r="J386" s="150">
        <v>46119.54166666666</v>
      </c>
      <c r="K386" s="149" t="s">
        <v>815</v>
      </c>
      <c r="L386" s="150"/>
      <c r="M386" s="150"/>
      <c r="N386" s="149"/>
      <c r="O386" s="149"/>
      <c r="P386" s="149"/>
      <c r="Q386" s="149"/>
      <c r="R386" s="149"/>
      <c r="S386" s="149"/>
      <c r="T386" s="149"/>
      <c r="U386" s="150"/>
      <c r="V386" s="151">
        <f t="shared" si="2"/>
        <v>46119.54167</v>
      </c>
      <c r="W386" s="152"/>
      <c r="X386" s="152"/>
      <c r="Y386" s="161"/>
    </row>
    <row r="387" ht="15.75" customHeight="1">
      <c r="A387" s="154" t="s">
        <v>649</v>
      </c>
      <c r="B387" s="154" t="str">
        <f>IFERROR(VLOOKUP(A387&amp;"", STUDENTS!A:B, 2, 0), "")</f>
        <v>TRẦN THỊ HOÀI THƯƠNG</v>
      </c>
      <c r="C387" s="155" t="s">
        <v>84</v>
      </c>
      <c r="D387" s="155" t="str">
        <f>IFERROR(VLOOKUP(C387, PIC!A:B, 2, 0), "")</f>
        <v>Thuong Tran</v>
      </c>
      <c r="E387" s="156" t="s">
        <v>21</v>
      </c>
      <c r="F387" s="157">
        <v>45764.58333333334</v>
      </c>
      <c r="G387" s="158">
        <v>45784.54166666666</v>
      </c>
      <c r="H387" s="158" t="s">
        <v>815</v>
      </c>
      <c r="I387" s="157">
        <v>45804.58333333334</v>
      </c>
      <c r="J387" s="158">
        <v>45812.58333333334</v>
      </c>
      <c r="K387" s="157">
        <v>45813.54166666666</v>
      </c>
      <c r="L387" s="158">
        <v>45818.54166666666</v>
      </c>
      <c r="M387" s="158">
        <v>45827.54166666666</v>
      </c>
      <c r="N387" s="157">
        <v>45833.54166666666</v>
      </c>
      <c r="O387" s="157">
        <v>45860.41666666666</v>
      </c>
      <c r="P387" s="157"/>
      <c r="Q387" s="157"/>
      <c r="R387" s="157"/>
      <c r="S387" s="157"/>
      <c r="T387" s="157"/>
      <c r="U387" s="158"/>
      <c r="V387" s="159">
        <f t="shared" si="2"/>
        <v>45860.41667</v>
      </c>
      <c r="W387" s="160"/>
      <c r="X387" s="160"/>
      <c r="Y387" s="161"/>
    </row>
    <row r="388" ht="15.75" customHeight="1">
      <c r="A388" s="146" t="s">
        <v>649</v>
      </c>
      <c r="B388" s="146" t="str">
        <f>IFERROR(VLOOKUP(A388&amp;"", STUDENTS!A:B, 2, 0), "")</f>
        <v>TRẦN THỊ HOÀI THƯƠNG</v>
      </c>
      <c r="C388" s="147" t="s">
        <v>84</v>
      </c>
      <c r="D388" s="147" t="str">
        <f>IFERROR(VLOOKUP(C388, PIC!A:B, 2, 0), "")</f>
        <v>Thuong Tran</v>
      </c>
      <c r="E388" s="148" t="s">
        <v>22</v>
      </c>
      <c r="F388" s="149" t="s">
        <v>815</v>
      </c>
      <c r="G388" s="150">
        <v>45889.54166666666</v>
      </c>
      <c r="H388" s="150">
        <v>45895.54166666666</v>
      </c>
      <c r="I388" s="149">
        <v>45903.54166666666</v>
      </c>
      <c r="J388" s="150">
        <v>45910.58333333334</v>
      </c>
      <c r="K388" s="149">
        <v>45917.54166666666</v>
      </c>
      <c r="L388" s="150">
        <v>45924.58333333334</v>
      </c>
      <c r="M388" s="150">
        <v>45940.58333333334</v>
      </c>
      <c r="N388" s="149">
        <v>45943.58333333334</v>
      </c>
      <c r="O388" s="149">
        <v>45954.54166666666</v>
      </c>
      <c r="P388" s="149">
        <v>45961.54166666666</v>
      </c>
      <c r="Q388" s="149">
        <v>45965.54166666666</v>
      </c>
      <c r="R388" s="149">
        <v>45974.54166666666</v>
      </c>
      <c r="S388" s="149">
        <v>45980.54166666666</v>
      </c>
      <c r="T388" s="149">
        <v>45987.54166666666</v>
      </c>
      <c r="U388" s="150">
        <v>46045.54166666666</v>
      </c>
      <c r="V388" s="151">
        <f t="shared" si="2"/>
        <v>46045.54167</v>
      </c>
      <c r="W388" s="152"/>
      <c r="X388" s="152"/>
      <c r="Y388" s="161"/>
    </row>
    <row r="389" ht="15.75" customHeight="1">
      <c r="A389" s="154" t="s">
        <v>136</v>
      </c>
      <c r="B389" s="154" t="str">
        <f>IFERROR(VLOOKUP(A389&amp;"", STUDENTS!A:B, 2, 0), "")</f>
        <v>BẠCH NAM MINH TRÍ</v>
      </c>
      <c r="C389" s="155" t="s">
        <v>85</v>
      </c>
      <c r="D389" s="155" t="str">
        <f>IFERROR(VLOOKUP(C389, PIC!A:B, 2, 0), "")</f>
        <v>Van Nguyen</v>
      </c>
      <c r="E389" s="156" t="s">
        <v>24</v>
      </c>
      <c r="F389" s="157">
        <v>46086.45833333334</v>
      </c>
      <c r="G389" s="158" t="s">
        <v>815</v>
      </c>
      <c r="H389" s="158" t="s">
        <v>815</v>
      </c>
      <c r="I389" s="157" t="s">
        <v>815</v>
      </c>
      <c r="J389" s="158" t="s">
        <v>815</v>
      </c>
      <c r="K389" s="157" t="s">
        <v>815</v>
      </c>
      <c r="L389" s="158"/>
      <c r="M389" s="158"/>
      <c r="N389" s="157"/>
      <c r="O389" s="157"/>
      <c r="P389" s="157"/>
      <c r="Q389" s="157"/>
      <c r="R389" s="157"/>
      <c r="S389" s="157"/>
      <c r="T389" s="157"/>
      <c r="U389" s="158"/>
      <c r="V389" s="159">
        <f t="shared" si="2"/>
        <v>46086.45833</v>
      </c>
      <c r="W389" s="160"/>
      <c r="X389" s="160"/>
      <c r="Y389" s="161"/>
    </row>
    <row r="390" ht="15.75" customHeight="1">
      <c r="A390" s="146" t="s">
        <v>136</v>
      </c>
      <c r="B390" s="146" t="str">
        <f>IFERROR(VLOOKUP(A390&amp;"", STUDENTS!A:B, 2, 0), "")</f>
        <v>BẠCH NAM MINH TRÍ</v>
      </c>
      <c r="C390" s="147" t="s">
        <v>85</v>
      </c>
      <c r="D390" s="147" t="str">
        <f>IFERROR(VLOOKUP(C390, PIC!A:B, 2, 0), "")</f>
        <v>Van Nguyen</v>
      </c>
      <c r="E390" s="148" t="s">
        <v>21</v>
      </c>
      <c r="F390" s="149">
        <v>45772.58333333334</v>
      </c>
      <c r="G390" s="150">
        <v>45783.58333333334</v>
      </c>
      <c r="H390" s="150">
        <v>45790.375</v>
      </c>
      <c r="I390" s="149">
        <v>45804.45833333334</v>
      </c>
      <c r="J390" s="150" t="s">
        <v>815</v>
      </c>
      <c r="K390" s="149">
        <v>45820.54166666666</v>
      </c>
      <c r="L390" s="150">
        <v>45826.45833333334</v>
      </c>
      <c r="M390" s="150">
        <v>45833.58333333334</v>
      </c>
      <c r="N390" s="149">
        <v>45839.54166666666</v>
      </c>
      <c r="O390" s="149">
        <v>45868.54166666666</v>
      </c>
      <c r="P390" s="149"/>
      <c r="Q390" s="149"/>
      <c r="R390" s="149"/>
      <c r="S390" s="149"/>
      <c r="T390" s="149"/>
      <c r="U390" s="150"/>
      <c r="V390" s="151">
        <f t="shared" si="2"/>
        <v>45868.54167</v>
      </c>
      <c r="W390" s="152"/>
      <c r="X390" s="152"/>
      <c r="Y390" s="161"/>
    </row>
    <row r="391" ht="15.75" customHeight="1">
      <c r="A391" s="154" t="s">
        <v>136</v>
      </c>
      <c r="B391" s="154" t="str">
        <f>IFERROR(VLOOKUP(A391&amp;"", STUDENTS!A:B, 2, 0), "")</f>
        <v>BẠCH NAM MINH TRÍ</v>
      </c>
      <c r="C391" s="155" t="s">
        <v>85</v>
      </c>
      <c r="D391" s="155" t="str">
        <f>IFERROR(VLOOKUP(C391, PIC!A:B, 2, 0), "")</f>
        <v>Van Nguyen</v>
      </c>
      <c r="E391" s="156" t="s">
        <v>22</v>
      </c>
      <c r="F391" s="157">
        <v>45910.54166666666</v>
      </c>
      <c r="G391" s="158">
        <v>45916.54166666666</v>
      </c>
      <c r="H391" s="158">
        <v>45924.54166666666</v>
      </c>
      <c r="I391" s="157">
        <v>45931.54166666666</v>
      </c>
      <c r="J391" s="158">
        <v>45938.41666666666</v>
      </c>
      <c r="K391" s="157" t="s">
        <v>815</v>
      </c>
      <c r="L391" s="158">
        <v>45952.41666666666</v>
      </c>
      <c r="M391" s="158">
        <v>45959.45833333334</v>
      </c>
      <c r="N391" s="157">
        <v>45967.45833333334</v>
      </c>
      <c r="O391" s="157" t="s">
        <v>815</v>
      </c>
      <c r="P391" s="157">
        <v>45981.45833333334</v>
      </c>
      <c r="Q391" s="157">
        <v>45988.45833333334</v>
      </c>
      <c r="R391" s="157">
        <v>45995.45833333334</v>
      </c>
      <c r="S391" s="157">
        <v>46007.54166666666</v>
      </c>
      <c r="T391" s="157" t="s">
        <v>815</v>
      </c>
      <c r="U391" s="158">
        <v>46051.41666666666</v>
      </c>
      <c r="V391" s="159">
        <f t="shared" si="2"/>
        <v>46051.41667</v>
      </c>
      <c r="W391" s="160"/>
      <c r="X391" s="160"/>
      <c r="Y391" s="161"/>
    </row>
    <row r="392" ht="15.75" customHeight="1">
      <c r="A392" s="146" t="s">
        <v>165</v>
      </c>
      <c r="B392" s="146" t="str">
        <f>IFERROR(VLOOKUP(A392&amp;"", STUDENTS!A:B, 2, 0), "")</f>
        <v>ĐINH TIẾN ĐẠT</v>
      </c>
      <c r="C392" s="147" t="s">
        <v>85</v>
      </c>
      <c r="D392" s="147" t="str">
        <f>IFERROR(VLOOKUP(C392, PIC!A:B, 2, 0), "")</f>
        <v>Van Nguyen</v>
      </c>
      <c r="E392" s="148" t="s">
        <v>21</v>
      </c>
      <c r="F392" s="149">
        <v>45764.45833333334</v>
      </c>
      <c r="G392" s="150">
        <v>45783.58333333334</v>
      </c>
      <c r="H392" s="150">
        <v>45790.375</v>
      </c>
      <c r="I392" s="149">
        <v>45804.45833333334</v>
      </c>
      <c r="J392" s="150">
        <v>45812.54166666666</v>
      </c>
      <c r="K392" s="149">
        <v>45820.54166666666</v>
      </c>
      <c r="L392" s="150">
        <v>45826.45833333334</v>
      </c>
      <c r="M392" s="150">
        <v>45833.58333333334</v>
      </c>
      <c r="N392" s="149">
        <v>45839.54166666666</v>
      </c>
      <c r="O392" s="149">
        <v>45868.54166666666</v>
      </c>
      <c r="P392" s="149"/>
      <c r="Q392" s="149"/>
      <c r="R392" s="149"/>
      <c r="S392" s="149"/>
      <c r="T392" s="149"/>
      <c r="U392" s="150"/>
      <c r="V392" s="151">
        <f t="shared" si="2"/>
        <v>45868.54167</v>
      </c>
      <c r="W392" s="152"/>
      <c r="X392" s="152"/>
      <c r="Y392" s="161"/>
    </row>
    <row r="393" ht="15.75" customHeight="1">
      <c r="A393" s="154" t="s">
        <v>165</v>
      </c>
      <c r="B393" s="154" t="str">
        <f>IFERROR(VLOOKUP(A393&amp;"", STUDENTS!A:B, 2, 0), "")</f>
        <v>ĐINH TIẾN ĐẠT</v>
      </c>
      <c r="C393" s="155" t="s">
        <v>85</v>
      </c>
      <c r="D393" s="155" t="str">
        <f>IFERROR(VLOOKUP(C393, PIC!A:B, 2, 0), "")</f>
        <v>Van Nguyen</v>
      </c>
      <c r="E393" s="156" t="s">
        <v>22</v>
      </c>
      <c r="F393" s="157">
        <v>45910.54166666666</v>
      </c>
      <c r="G393" s="158">
        <v>45916.54166666666</v>
      </c>
      <c r="H393" s="158">
        <v>45924.54166666666</v>
      </c>
      <c r="I393" s="157">
        <v>45931.54166666666</v>
      </c>
      <c r="J393" s="158">
        <v>45938.41666666666</v>
      </c>
      <c r="K393" s="157">
        <v>45951.41666666666</v>
      </c>
      <c r="L393" s="158">
        <v>45952.41666666666</v>
      </c>
      <c r="M393" s="158">
        <v>45959.45833333334</v>
      </c>
      <c r="N393" s="157">
        <v>45967.45833333334</v>
      </c>
      <c r="O393" s="157" t="s">
        <v>815</v>
      </c>
      <c r="P393" s="157"/>
      <c r="Q393" s="157"/>
      <c r="R393" s="157" t="s">
        <v>815</v>
      </c>
      <c r="S393" s="157" t="s">
        <v>815</v>
      </c>
      <c r="T393" s="157" t="s">
        <v>815</v>
      </c>
      <c r="U393" s="158" t="s">
        <v>815</v>
      </c>
      <c r="V393" s="159">
        <f t="shared" si="2"/>
        <v>45967.45833</v>
      </c>
      <c r="W393" s="160"/>
      <c r="X393" s="160"/>
      <c r="Y393" s="161"/>
    </row>
    <row r="394" ht="15.75" customHeight="1">
      <c r="A394" s="146" t="s">
        <v>208</v>
      </c>
      <c r="B394" s="146" t="str">
        <f>IFERROR(VLOOKUP(A394&amp;"", STUDENTS!A:B, 2, 0), "")</f>
        <v>HÀ TRẦN TUẤN ANH</v>
      </c>
      <c r="C394" s="147" t="s">
        <v>85</v>
      </c>
      <c r="D394" s="147" t="str">
        <f>IFERROR(VLOOKUP(C394, PIC!A:B, 2, 0), "")</f>
        <v>Van Nguyen</v>
      </c>
      <c r="E394" s="148" t="s">
        <v>24</v>
      </c>
      <c r="F394" s="149"/>
      <c r="G394" s="150"/>
      <c r="H394" s="150" t="s">
        <v>815</v>
      </c>
      <c r="I394" s="149">
        <v>46113.625</v>
      </c>
      <c r="J394" s="150">
        <v>46120.625</v>
      </c>
      <c r="K394" s="149">
        <v>46127.625</v>
      </c>
      <c r="L394" s="150"/>
      <c r="M394" s="150"/>
      <c r="N394" s="149"/>
      <c r="O394" s="149"/>
      <c r="P394" s="149"/>
      <c r="Q394" s="149"/>
      <c r="R394" s="149"/>
      <c r="S394" s="149"/>
      <c r="T394" s="149"/>
      <c r="U394" s="150"/>
      <c r="V394" s="151">
        <f t="shared" si="2"/>
        <v>46127.625</v>
      </c>
      <c r="W394" s="152"/>
      <c r="X394" s="152"/>
      <c r="Y394" s="161"/>
    </row>
    <row r="395" ht="15.75" customHeight="1">
      <c r="A395" s="154" t="s">
        <v>275</v>
      </c>
      <c r="B395" s="154" t="str">
        <f>IFERROR(VLOOKUP(A395&amp;"", STUDENTS!A:B, 2, 0), "")</f>
        <v>LÊ NGỌC TRUNG HIẾU</v>
      </c>
      <c r="C395" s="155" t="s">
        <v>85</v>
      </c>
      <c r="D395" s="155" t="str">
        <f>IFERROR(VLOOKUP(C395, PIC!A:B, 2, 0), "")</f>
        <v>Van Nguyen</v>
      </c>
      <c r="E395" s="156" t="s">
        <v>21</v>
      </c>
      <c r="F395" s="157">
        <v>45764.45833333334</v>
      </c>
      <c r="G395" s="158">
        <v>45783.58333333334</v>
      </c>
      <c r="H395" s="158">
        <v>45790.375</v>
      </c>
      <c r="I395" s="157">
        <v>45804.45833333334</v>
      </c>
      <c r="J395" s="158">
        <v>45812.54166666666</v>
      </c>
      <c r="K395" s="157">
        <v>45820.54166666666</v>
      </c>
      <c r="L395" s="158">
        <v>45826.45833333334</v>
      </c>
      <c r="M395" s="158">
        <v>45833.58333333334</v>
      </c>
      <c r="N395" s="157">
        <v>45839.54166666666</v>
      </c>
      <c r="O395" s="157">
        <v>45868.54166666666</v>
      </c>
      <c r="P395" s="157"/>
      <c r="Q395" s="157"/>
      <c r="R395" s="157"/>
      <c r="S395" s="157"/>
      <c r="T395" s="157"/>
      <c r="U395" s="158"/>
      <c r="V395" s="159">
        <f t="shared" si="2"/>
        <v>45868.54167</v>
      </c>
      <c r="W395" s="160"/>
      <c r="X395" s="160"/>
      <c r="Y395" s="161"/>
    </row>
    <row r="396" ht="15.75" customHeight="1">
      <c r="A396" s="146" t="s">
        <v>275</v>
      </c>
      <c r="B396" s="146" t="str">
        <f>IFERROR(VLOOKUP(A396&amp;"", STUDENTS!A:B, 2, 0), "")</f>
        <v>LÊ NGỌC TRUNG HIẾU</v>
      </c>
      <c r="C396" s="147" t="s">
        <v>85</v>
      </c>
      <c r="D396" s="147" t="str">
        <f>IFERROR(VLOOKUP(C396, PIC!A:B, 2, 0), "")</f>
        <v>Van Nguyen</v>
      </c>
      <c r="E396" s="148" t="s">
        <v>22</v>
      </c>
      <c r="F396" s="149" t="s">
        <v>815</v>
      </c>
      <c r="G396" s="150" t="s">
        <v>815</v>
      </c>
      <c r="H396" s="150" t="s">
        <v>815</v>
      </c>
      <c r="I396" s="149" t="s">
        <v>815</v>
      </c>
      <c r="J396" s="150" t="s">
        <v>815</v>
      </c>
      <c r="K396" s="149" t="s">
        <v>815</v>
      </c>
      <c r="L396" s="150" t="s">
        <v>815</v>
      </c>
      <c r="M396" s="150" t="s">
        <v>815</v>
      </c>
      <c r="N396" s="149" t="s">
        <v>815</v>
      </c>
      <c r="O396" s="149" t="s">
        <v>815</v>
      </c>
      <c r="P396" s="149" t="s">
        <v>815</v>
      </c>
      <c r="Q396" s="149" t="s">
        <v>815</v>
      </c>
      <c r="R396" s="149" t="s">
        <v>815</v>
      </c>
      <c r="S396" s="149" t="s">
        <v>815</v>
      </c>
      <c r="T396" s="149" t="s">
        <v>815</v>
      </c>
      <c r="U396" s="150" t="s">
        <v>815</v>
      </c>
      <c r="V396" s="151">
        <f t="shared" si="2"/>
        <v>0</v>
      </c>
      <c r="W396" s="152"/>
      <c r="X396" s="152"/>
      <c r="Y396" s="161"/>
    </row>
    <row r="397" ht="15.75" customHeight="1">
      <c r="A397" s="154" t="s">
        <v>300</v>
      </c>
      <c r="B397" s="154" t="str">
        <f>IFERROR(VLOOKUP(A397&amp;"", STUDENTS!A:B, 2, 0), "")</f>
        <v>LÊ TRIỆU HUẤN</v>
      </c>
      <c r="C397" s="155" t="s">
        <v>85</v>
      </c>
      <c r="D397" s="155" t="str">
        <f>IFERROR(VLOOKUP(C397, PIC!A:B, 2, 0), "")</f>
        <v>Van Nguyen</v>
      </c>
      <c r="E397" s="156" t="s">
        <v>24</v>
      </c>
      <c r="F397" s="157">
        <v>46086.45833333334</v>
      </c>
      <c r="G397" s="158">
        <v>46098.45833333334</v>
      </c>
      <c r="H397" s="158" t="s">
        <v>815</v>
      </c>
      <c r="I397" s="157" t="s">
        <v>815</v>
      </c>
      <c r="J397" s="158">
        <v>46120.625</v>
      </c>
      <c r="K397" s="157">
        <v>46127.625</v>
      </c>
      <c r="L397" s="158"/>
      <c r="M397" s="158"/>
      <c r="N397" s="157"/>
      <c r="O397" s="157"/>
      <c r="P397" s="157"/>
      <c r="Q397" s="157"/>
      <c r="R397" s="157"/>
      <c r="S397" s="157"/>
      <c r="T397" s="157"/>
      <c r="U397" s="158"/>
      <c r="V397" s="159">
        <f t="shared" si="2"/>
        <v>46127.625</v>
      </c>
      <c r="W397" s="160"/>
      <c r="X397" s="160"/>
      <c r="Y397" s="161"/>
    </row>
    <row r="398" ht="15.75" customHeight="1">
      <c r="A398" s="146" t="s">
        <v>309</v>
      </c>
      <c r="B398" s="146" t="str">
        <f>IFERROR(VLOOKUP(A398&amp;"", STUDENTS!A:B, 2, 0), "")</f>
        <v>LƯƠNG CÔNG KỲ</v>
      </c>
      <c r="C398" s="147" t="s">
        <v>85</v>
      </c>
      <c r="D398" s="147" t="str">
        <f>IFERROR(VLOOKUP(C398, PIC!A:B, 2, 0), "")</f>
        <v>Van Nguyen</v>
      </c>
      <c r="E398" s="148" t="s">
        <v>24</v>
      </c>
      <c r="F398" s="149">
        <v>46086.45833333334</v>
      </c>
      <c r="G398" s="150">
        <v>46098.45833333334</v>
      </c>
      <c r="H398" s="150">
        <v>46105.45833333334</v>
      </c>
      <c r="I398" s="149">
        <v>46113.625</v>
      </c>
      <c r="J398" s="150">
        <v>46120.625</v>
      </c>
      <c r="K398" s="149">
        <v>46127.625</v>
      </c>
      <c r="L398" s="150"/>
      <c r="M398" s="150"/>
      <c r="N398" s="149"/>
      <c r="O398" s="149"/>
      <c r="P398" s="149"/>
      <c r="Q398" s="149"/>
      <c r="R398" s="149"/>
      <c r="S398" s="149"/>
      <c r="T398" s="149"/>
      <c r="U398" s="150"/>
      <c r="V398" s="151">
        <f t="shared" si="2"/>
        <v>46127.625</v>
      </c>
      <c r="W398" s="152"/>
      <c r="X398" s="152"/>
      <c r="Y398" s="161"/>
    </row>
    <row r="399" ht="15.75" customHeight="1">
      <c r="A399" s="154" t="s">
        <v>397</v>
      </c>
      <c r="B399" s="154" t="str">
        <f>IFERROR(VLOOKUP(A399&amp;"", STUDENTS!A:B, 2, 0), "")</f>
        <v>NGUYỄN LÊ HOÀNG VĂN</v>
      </c>
      <c r="C399" s="155" t="s">
        <v>85</v>
      </c>
      <c r="D399" s="155" t="str">
        <f>IFERROR(VLOOKUP(C399, PIC!A:B, 2, 0), "")</f>
        <v>Van Nguyen</v>
      </c>
      <c r="E399" s="156" t="s">
        <v>24</v>
      </c>
      <c r="F399" s="157">
        <v>46086.45833333334</v>
      </c>
      <c r="G399" s="158">
        <v>46098.45833333334</v>
      </c>
      <c r="H399" s="158" t="s">
        <v>815</v>
      </c>
      <c r="I399" s="157">
        <v>46113.625</v>
      </c>
      <c r="J399" s="158">
        <v>46120.625</v>
      </c>
      <c r="K399" s="157">
        <v>46127.625</v>
      </c>
      <c r="L399" s="158"/>
      <c r="M399" s="158"/>
      <c r="N399" s="157"/>
      <c r="O399" s="157"/>
      <c r="P399" s="157"/>
      <c r="Q399" s="157"/>
      <c r="R399" s="157"/>
      <c r="S399" s="157"/>
      <c r="T399" s="157"/>
      <c r="U399" s="158"/>
      <c r="V399" s="159">
        <f t="shared" si="2"/>
        <v>46127.625</v>
      </c>
      <c r="W399" s="160"/>
      <c r="X399" s="160"/>
      <c r="Y399" s="161"/>
    </row>
    <row r="400" ht="15.75" customHeight="1">
      <c r="A400" s="146" t="s">
        <v>397</v>
      </c>
      <c r="B400" s="146" t="str">
        <f>IFERROR(VLOOKUP(A400&amp;"", STUDENTS!A:B, 2, 0), "")</f>
        <v>NGUYỄN LÊ HOÀNG VĂN</v>
      </c>
      <c r="C400" s="147" t="s">
        <v>85</v>
      </c>
      <c r="D400" s="147" t="str">
        <f>IFERROR(VLOOKUP(C400, PIC!A:B, 2, 0), "")</f>
        <v>Van Nguyen</v>
      </c>
      <c r="E400" s="148" t="s">
        <v>21</v>
      </c>
      <c r="F400" s="149">
        <v>45765.41666666666</v>
      </c>
      <c r="G400" s="150">
        <v>45783.58333333334</v>
      </c>
      <c r="H400" s="150">
        <v>45790.375</v>
      </c>
      <c r="I400" s="149">
        <v>45804.45833333334</v>
      </c>
      <c r="J400" s="150">
        <v>45812.54166666666</v>
      </c>
      <c r="K400" s="149" t="s">
        <v>815</v>
      </c>
      <c r="L400" s="150">
        <v>45826.45833333334</v>
      </c>
      <c r="M400" s="150">
        <v>45833.58333333334</v>
      </c>
      <c r="N400" s="149">
        <v>45839.54166666666</v>
      </c>
      <c r="O400" s="149">
        <v>45868.54166666666</v>
      </c>
      <c r="P400" s="149"/>
      <c r="Q400" s="149"/>
      <c r="R400" s="149"/>
      <c r="S400" s="149"/>
      <c r="T400" s="149"/>
      <c r="U400" s="150"/>
      <c r="V400" s="151">
        <f t="shared" si="2"/>
        <v>45868.54167</v>
      </c>
      <c r="W400" s="152"/>
      <c r="X400" s="152"/>
      <c r="Y400" s="161"/>
    </row>
    <row r="401" ht="15.75" customHeight="1">
      <c r="A401" s="154" t="s">
        <v>397</v>
      </c>
      <c r="B401" s="154" t="str">
        <f>IFERROR(VLOOKUP(A401&amp;"", STUDENTS!A:B, 2, 0), "")</f>
        <v>NGUYỄN LÊ HOÀNG VĂN</v>
      </c>
      <c r="C401" s="155" t="s">
        <v>85</v>
      </c>
      <c r="D401" s="155" t="str">
        <f>IFERROR(VLOOKUP(C401, PIC!A:B, 2, 0), "")</f>
        <v>Van Nguyen</v>
      </c>
      <c r="E401" s="156" t="s">
        <v>22</v>
      </c>
      <c r="F401" s="157">
        <v>45910.54166666666</v>
      </c>
      <c r="G401" s="158">
        <v>45916.54166666666</v>
      </c>
      <c r="H401" s="158">
        <v>45924.54166666666</v>
      </c>
      <c r="I401" s="157">
        <v>45931.54166666666</v>
      </c>
      <c r="J401" s="158">
        <v>45938.41666666666</v>
      </c>
      <c r="K401" s="157">
        <v>45951.41666666666</v>
      </c>
      <c r="L401" s="158">
        <v>45952.41666666666</v>
      </c>
      <c r="M401" s="158">
        <v>45959.45833333334</v>
      </c>
      <c r="N401" s="157">
        <v>45967.45833333334</v>
      </c>
      <c r="O401" s="157">
        <v>45974.45833333334</v>
      </c>
      <c r="P401" s="157">
        <v>45981.45833333334</v>
      </c>
      <c r="Q401" s="157">
        <v>45988.45833333334</v>
      </c>
      <c r="R401" s="157">
        <v>45995.45833333334</v>
      </c>
      <c r="S401" s="157">
        <v>46007.54166666666</v>
      </c>
      <c r="T401" s="157">
        <v>46021.45833333334</v>
      </c>
      <c r="U401" s="158">
        <v>46051.41666666666</v>
      </c>
      <c r="V401" s="159">
        <f t="shared" si="2"/>
        <v>46051.41667</v>
      </c>
      <c r="W401" s="160"/>
      <c r="X401" s="160"/>
      <c r="Y401" s="161"/>
    </row>
    <row r="402" ht="15.75" customHeight="1">
      <c r="A402" s="146" t="s">
        <v>512</v>
      </c>
      <c r="B402" s="146" t="str">
        <f>IFERROR(VLOOKUP(A402&amp;"", STUDENTS!A:B, 2, 0), "")</f>
        <v>NGUYỄN VĂN TÀI</v>
      </c>
      <c r="C402" s="147" t="s">
        <v>85</v>
      </c>
      <c r="D402" s="147" t="str">
        <f>IFERROR(VLOOKUP(C402, PIC!A:B, 2, 0), "")</f>
        <v>Van Nguyen</v>
      </c>
      <c r="E402" s="148" t="s">
        <v>22</v>
      </c>
      <c r="F402" s="149">
        <v>45910.54166666666</v>
      </c>
      <c r="G402" s="150">
        <v>45916.54166666666</v>
      </c>
      <c r="H402" s="150">
        <v>45924.54166666666</v>
      </c>
      <c r="I402" s="149">
        <v>45931.54166666666</v>
      </c>
      <c r="J402" s="150">
        <v>45938.41666666666</v>
      </c>
      <c r="K402" s="149" t="s">
        <v>815</v>
      </c>
      <c r="L402" s="150" t="s">
        <v>815</v>
      </c>
      <c r="M402" s="150">
        <v>45959.45833333334</v>
      </c>
      <c r="N402" s="149">
        <v>45967.45833333334</v>
      </c>
      <c r="O402" s="149">
        <v>45974.45833333334</v>
      </c>
      <c r="P402" s="149"/>
      <c r="Q402" s="149"/>
      <c r="R402" s="149"/>
      <c r="S402" s="149"/>
      <c r="T402" s="149"/>
      <c r="U402" s="150"/>
      <c r="V402" s="151">
        <f t="shared" si="2"/>
        <v>45974.45833</v>
      </c>
      <c r="W402" s="152"/>
      <c r="X402" s="152"/>
      <c r="Y402" s="161"/>
    </row>
    <row r="403" ht="15.75" customHeight="1">
      <c r="A403" s="154" t="s">
        <v>524</v>
      </c>
      <c r="B403" s="154" t="str">
        <f>IFERROR(VLOOKUP(A403&amp;"", STUDENTS!A:B, 2, 0), "")</f>
        <v>PHẠM HOÀNG THÁI SƠN</v>
      </c>
      <c r="C403" s="155" t="s">
        <v>85</v>
      </c>
      <c r="D403" s="155" t="str">
        <f>IFERROR(VLOOKUP(C403, PIC!A:B, 2, 0), "")</f>
        <v>Van Nguyen</v>
      </c>
      <c r="E403" s="156" t="s">
        <v>22</v>
      </c>
      <c r="F403" s="157">
        <v>45910.54166666666</v>
      </c>
      <c r="G403" s="158">
        <v>45916.54166666666</v>
      </c>
      <c r="H403" s="158">
        <v>45924.54166666666</v>
      </c>
      <c r="I403" s="157">
        <v>45931.54166666666</v>
      </c>
      <c r="J403" s="158">
        <v>45938.41666666666</v>
      </c>
      <c r="K403" s="157" t="s">
        <v>815</v>
      </c>
      <c r="L403" s="158" t="s">
        <v>815</v>
      </c>
      <c r="M403" s="158">
        <v>45959.45833333334</v>
      </c>
      <c r="N403" s="157">
        <v>45967.45833333334</v>
      </c>
      <c r="O403" s="157">
        <v>45974.45833333334</v>
      </c>
      <c r="P403" s="157">
        <v>45981.45833333334</v>
      </c>
      <c r="Q403" s="157">
        <v>45988.45833333334</v>
      </c>
      <c r="R403" s="157">
        <v>45995.45833333334</v>
      </c>
      <c r="S403" s="157">
        <v>46007.54166666666</v>
      </c>
      <c r="T403" s="157">
        <v>46021.45833333334</v>
      </c>
      <c r="U403" s="158">
        <v>46051.41666666666</v>
      </c>
      <c r="V403" s="159">
        <f t="shared" si="2"/>
        <v>46051.41667</v>
      </c>
      <c r="W403" s="160"/>
      <c r="X403" s="160"/>
      <c r="Y403" s="161"/>
    </row>
    <row r="404" ht="15.75" customHeight="1">
      <c r="A404" s="146" t="s">
        <v>530</v>
      </c>
      <c r="B404" s="146" t="str">
        <f>IFERROR(VLOOKUP(A404&amp;"", STUDENTS!A:B, 2, 0), "")</f>
        <v>PHẠM HUY HOÀNG</v>
      </c>
      <c r="C404" s="147" t="s">
        <v>85</v>
      </c>
      <c r="D404" s="147" t="str">
        <f>IFERROR(VLOOKUP(C404, PIC!A:B, 2, 0), "")</f>
        <v>Van Nguyen</v>
      </c>
      <c r="E404" s="148" t="s">
        <v>24</v>
      </c>
      <c r="F404" s="149">
        <v>46086.45833333334</v>
      </c>
      <c r="G404" s="150">
        <v>46098.45833333334</v>
      </c>
      <c r="H404" s="150">
        <v>46105.45833333334</v>
      </c>
      <c r="I404" s="149">
        <v>46113.625</v>
      </c>
      <c r="J404" s="150">
        <v>46120.625</v>
      </c>
      <c r="K404" s="149">
        <v>46127.625</v>
      </c>
      <c r="L404" s="150"/>
      <c r="M404" s="150"/>
      <c r="N404" s="149"/>
      <c r="O404" s="149"/>
      <c r="P404" s="149"/>
      <c r="Q404" s="149"/>
      <c r="R404" s="149"/>
      <c r="S404" s="149"/>
      <c r="T404" s="149"/>
      <c r="U404" s="150"/>
      <c r="V404" s="151">
        <f t="shared" si="2"/>
        <v>46127.625</v>
      </c>
      <c r="W404" s="152"/>
      <c r="X404" s="152"/>
      <c r="Y404" s="161"/>
    </row>
    <row r="405" ht="15.75" customHeight="1">
      <c r="A405" s="154" t="s">
        <v>530</v>
      </c>
      <c r="B405" s="154" t="str">
        <f>IFERROR(VLOOKUP(A405&amp;"", STUDENTS!A:B, 2, 0), "")</f>
        <v>PHẠM HUY HOÀNG</v>
      </c>
      <c r="C405" s="155" t="s">
        <v>85</v>
      </c>
      <c r="D405" s="155" t="str">
        <f>IFERROR(VLOOKUP(C405, PIC!A:B, 2, 0), "")</f>
        <v>Van Nguyen</v>
      </c>
      <c r="E405" s="156" t="s">
        <v>22</v>
      </c>
      <c r="F405" s="157">
        <v>45910.54166666666</v>
      </c>
      <c r="G405" s="158">
        <v>45916.54166666666</v>
      </c>
      <c r="H405" s="158">
        <v>45924.54166666666</v>
      </c>
      <c r="I405" s="157">
        <v>45931.54166666666</v>
      </c>
      <c r="J405" s="158">
        <v>45938.41666666666</v>
      </c>
      <c r="K405" s="157">
        <v>45951.41666666666</v>
      </c>
      <c r="L405" s="158">
        <v>45952.41666666666</v>
      </c>
      <c r="M405" s="158">
        <v>45959.45833333334</v>
      </c>
      <c r="N405" s="157">
        <v>45967.45833333334</v>
      </c>
      <c r="O405" s="157">
        <v>45974.45833333334</v>
      </c>
      <c r="P405" s="157">
        <v>45981.45833333334</v>
      </c>
      <c r="Q405" s="157">
        <v>45988.45833333334</v>
      </c>
      <c r="R405" s="157">
        <v>45995.45833333334</v>
      </c>
      <c r="S405" s="157">
        <v>46007.54166666666</v>
      </c>
      <c r="T405" s="157">
        <v>46021.45833333334</v>
      </c>
      <c r="U405" s="158">
        <v>46051.41666666666</v>
      </c>
      <c r="V405" s="159">
        <f t="shared" si="2"/>
        <v>46051.41667</v>
      </c>
      <c r="W405" s="160"/>
      <c r="X405" s="160"/>
      <c r="Y405" s="161"/>
    </row>
    <row r="406" ht="15.75" customHeight="1">
      <c r="A406" s="146" t="s">
        <v>621</v>
      </c>
      <c r="B406" s="146" t="str">
        <f>IFERROR(VLOOKUP(A406&amp;"", STUDENTS!A:B, 2, 0), "")</f>
        <v>TRẦN MINH TRIẾT</v>
      </c>
      <c r="C406" s="147" t="s">
        <v>85</v>
      </c>
      <c r="D406" s="147" t="str">
        <f>IFERROR(VLOOKUP(C406, PIC!A:B, 2, 0), "")</f>
        <v>Van Nguyen</v>
      </c>
      <c r="E406" s="148" t="s">
        <v>24</v>
      </c>
      <c r="F406" s="149">
        <v>46086.45833333334</v>
      </c>
      <c r="G406" s="150">
        <v>46098.45833333334</v>
      </c>
      <c r="H406" s="150">
        <v>46105.45833333334</v>
      </c>
      <c r="I406" s="149">
        <v>46113.625</v>
      </c>
      <c r="J406" s="150">
        <v>46120.625</v>
      </c>
      <c r="K406" s="149">
        <v>46127.625</v>
      </c>
      <c r="L406" s="150"/>
      <c r="M406" s="150"/>
      <c r="N406" s="149"/>
      <c r="O406" s="149"/>
      <c r="P406" s="149"/>
      <c r="Q406" s="149"/>
      <c r="R406" s="149"/>
      <c r="S406" s="149"/>
      <c r="T406" s="149"/>
      <c r="U406" s="150"/>
      <c r="V406" s="151">
        <f t="shared" si="2"/>
        <v>46127.625</v>
      </c>
      <c r="W406" s="152"/>
      <c r="X406" s="152"/>
      <c r="Y406" s="161"/>
    </row>
    <row r="407" ht="15.75" customHeight="1">
      <c r="A407" s="154" t="s">
        <v>621</v>
      </c>
      <c r="B407" s="154" t="str">
        <f>IFERROR(VLOOKUP(A407&amp;"", STUDENTS!A:B, 2, 0), "")</f>
        <v>TRẦN MINH TRIẾT</v>
      </c>
      <c r="C407" s="155" t="s">
        <v>85</v>
      </c>
      <c r="D407" s="155" t="str">
        <f>IFERROR(VLOOKUP(C407, PIC!A:B, 2, 0), "")</f>
        <v>Van Nguyen</v>
      </c>
      <c r="E407" s="156" t="s">
        <v>22</v>
      </c>
      <c r="F407" s="157">
        <v>45910.54166666666</v>
      </c>
      <c r="G407" s="158">
        <v>45916.54166666666</v>
      </c>
      <c r="H407" s="158">
        <v>45924.54166666666</v>
      </c>
      <c r="I407" s="157">
        <v>45931.54166666666</v>
      </c>
      <c r="J407" s="158">
        <v>45938.41666666666</v>
      </c>
      <c r="K407" s="157">
        <v>45951.41666666666</v>
      </c>
      <c r="L407" s="158">
        <v>45952.41666666666</v>
      </c>
      <c r="M407" s="158">
        <v>45959.45833333334</v>
      </c>
      <c r="N407" s="157">
        <v>45967.45833333334</v>
      </c>
      <c r="O407" s="157" t="s">
        <v>815</v>
      </c>
      <c r="P407" s="157">
        <v>45981.45833333334</v>
      </c>
      <c r="Q407" s="157">
        <v>45988.45833333334</v>
      </c>
      <c r="R407" s="157">
        <v>45995.45833333334</v>
      </c>
      <c r="S407" s="157">
        <v>46007.54166666666</v>
      </c>
      <c r="T407" s="157">
        <v>46021.45833333334</v>
      </c>
      <c r="U407" s="158">
        <v>46051.41666666666</v>
      </c>
      <c r="V407" s="159">
        <f t="shared" si="2"/>
        <v>46051.41667</v>
      </c>
      <c r="W407" s="160"/>
      <c r="X407" s="160"/>
      <c r="Y407" s="161"/>
    </row>
    <row r="408" ht="15.75" customHeight="1">
      <c r="A408" s="146" t="s">
        <v>681</v>
      </c>
      <c r="B408" s="146" t="str">
        <f>IFERROR(VLOOKUP(A408&amp;"", STUDENTS!A:B, 2, 0), "")</f>
        <v>TRƯƠNG NHỰT MINH THƯ</v>
      </c>
      <c r="C408" s="147" t="s">
        <v>85</v>
      </c>
      <c r="D408" s="147" t="str">
        <f>IFERROR(VLOOKUP(C408, PIC!A:B, 2, 0), "")</f>
        <v>Van Nguyen</v>
      </c>
      <c r="E408" s="148" t="s">
        <v>21</v>
      </c>
      <c r="F408" s="149">
        <v>45764.45833333334</v>
      </c>
      <c r="G408" s="150">
        <v>45783.58333333334</v>
      </c>
      <c r="H408" s="150">
        <v>45790.375</v>
      </c>
      <c r="I408" s="149">
        <v>45804.45833333334</v>
      </c>
      <c r="J408" s="150">
        <v>45812.54166666666</v>
      </c>
      <c r="K408" s="149">
        <v>45820.54166666666</v>
      </c>
      <c r="L408" s="150">
        <v>45826.45833333334</v>
      </c>
      <c r="M408" s="150">
        <v>45833.58333333334</v>
      </c>
      <c r="N408" s="149">
        <v>45839.54166666666</v>
      </c>
      <c r="O408" s="149">
        <v>45868.54166666666</v>
      </c>
      <c r="P408" s="149"/>
      <c r="Q408" s="149"/>
      <c r="R408" s="149"/>
      <c r="S408" s="149"/>
      <c r="T408" s="149"/>
      <c r="U408" s="150"/>
      <c r="V408" s="151">
        <f t="shared" si="2"/>
        <v>45868.54167</v>
      </c>
      <c r="W408" s="152"/>
      <c r="X408" s="152"/>
      <c r="Y408" s="161"/>
    </row>
    <row r="409" ht="15.75" customHeight="1">
      <c r="A409" s="154" t="s">
        <v>719</v>
      </c>
      <c r="B409" s="154" t="str">
        <f>IFERROR(VLOOKUP(A409&amp;"", STUDENTS!A:B, 2, 0), "")</f>
        <v>VŨ THỊ HỒNG LIÊN</v>
      </c>
      <c r="C409" s="155" t="s">
        <v>85</v>
      </c>
      <c r="D409" s="155" t="str">
        <f>IFERROR(VLOOKUP(C409, PIC!A:B, 2, 0), "")</f>
        <v>Van Nguyen</v>
      </c>
      <c r="E409" s="156" t="s">
        <v>21</v>
      </c>
      <c r="F409" s="157" t="s">
        <v>815</v>
      </c>
      <c r="G409" s="158">
        <v>45783.58333333334</v>
      </c>
      <c r="H409" s="158">
        <v>45790.375</v>
      </c>
      <c r="I409" s="157">
        <v>45804.45833333334</v>
      </c>
      <c r="J409" s="158">
        <v>45812.54166666666</v>
      </c>
      <c r="K409" s="157">
        <v>45820.54166666666</v>
      </c>
      <c r="L409" s="158">
        <v>45826.45833333334</v>
      </c>
      <c r="M409" s="158">
        <v>45833.58333333334</v>
      </c>
      <c r="N409" s="157">
        <v>45839.54166666666</v>
      </c>
      <c r="O409" s="157">
        <v>45868.54166666666</v>
      </c>
      <c r="P409" s="157"/>
      <c r="Q409" s="157"/>
      <c r="R409" s="157"/>
      <c r="S409" s="157"/>
      <c r="T409" s="157"/>
      <c r="U409" s="158"/>
      <c r="V409" s="159">
        <f t="shared" si="2"/>
        <v>45868.54167</v>
      </c>
      <c r="W409" s="160"/>
      <c r="X409" s="160"/>
      <c r="Y409" s="161"/>
    </row>
    <row r="410" ht="15.75" customHeight="1">
      <c r="A410" s="146" t="s">
        <v>719</v>
      </c>
      <c r="B410" s="146" t="str">
        <f>IFERROR(VLOOKUP(A410&amp;"", STUDENTS!A:B, 2, 0), "")</f>
        <v>VŨ THỊ HỒNG LIÊN</v>
      </c>
      <c r="C410" s="147" t="s">
        <v>85</v>
      </c>
      <c r="D410" s="147" t="str">
        <f>IFERROR(VLOOKUP(C410, PIC!A:B, 2, 0), "")</f>
        <v>Van Nguyen</v>
      </c>
      <c r="E410" s="148" t="s">
        <v>22</v>
      </c>
      <c r="F410" s="149">
        <v>45910.54166666666</v>
      </c>
      <c r="G410" s="150"/>
      <c r="H410" s="150">
        <v>45924.54166666666</v>
      </c>
      <c r="I410" s="149">
        <v>45931.54166666666</v>
      </c>
      <c r="J410" s="150">
        <v>45938.41666666666</v>
      </c>
      <c r="K410" s="149">
        <v>45951.41666666666</v>
      </c>
      <c r="L410" s="150">
        <v>45952.41666666666</v>
      </c>
      <c r="M410" s="150">
        <v>45959.45833333334</v>
      </c>
      <c r="N410" s="149">
        <v>45967.45833333334</v>
      </c>
      <c r="O410" s="149">
        <v>45974.45833333334</v>
      </c>
      <c r="P410" s="149">
        <v>45981.45833333334</v>
      </c>
      <c r="Q410" s="149">
        <v>45988.45833333334</v>
      </c>
      <c r="R410" s="149">
        <v>45995.45833333334</v>
      </c>
      <c r="S410" s="149">
        <v>46007.54166666666</v>
      </c>
      <c r="T410" s="149">
        <v>46021.45833333334</v>
      </c>
      <c r="U410" s="150">
        <v>46051.41666666666</v>
      </c>
      <c r="V410" s="151">
        <f t="shared" si="2"/>
        <v>46051.41667</v>
      </c>
      <c r="W410" s="152"/>
      <c r="X410" s="152"/>
      <c r="Y410" s="161"/>
    </row>
    <row r="411" ht="15.75" customHeight="1">
      <c r="A411" s="154" t="s">
        <v>153</v>
      </c>
      <c r="B411" s="154" t="str">
        <f>IFERROR(VLOOKUP(A411&amp;"", STUDENTS!A:B, 2, 0), "")</f>
        <v>ĐẶNG GIA LỘC</v>
      </c>
      <c r="C411" s="155" t="s">
        <v>86</v>
      </c>
      <c r="D411" s="155" t="str">
        <f>IFERROR(VLOOKUP(C411, PIC!A:B, 2, 0), "")</f>
        <v>Quan Nguyen</v>
      </c>
      <c r="E411" s="156" t="s">
        <v>25</v>
      </c>
      <c r="F411" s="157">
        <v>45805.375</v>
      </c>
      <c r="G411" s="158">
        <v>45811.41666666666</v>
      </c>
      <c r="H411" s="158">
        <v>45818.41666666666</v>
      </c>
      <c r="I411" s="157">
        <v>45825.41666666666</v>
      </c>
      <c r="J411" s="158">
        <v>45839.41666666666</v>
      </c>
      <c r="K411" s="157">
        <v>45846.41666666666</v>
      </c>
      <c r="L411" s="158">
        <v>45855.41666666666</v>
      </c>
      <c r="M411" s="158">
        <v>45860.625</v>
      </c>
      <c r="N411" s="157">
        <v>45869.45833333334</v>
      </c>
      <c r="O411" s="157">
        <v>45881.5</v>
      </c>
      <c r="P411" s="157">
        <v>45888.54166666666</v>
      </c>
      <c r="Q411" s="157">
        <v>45897.45833333334</v>
      </c>
      <c r="R411" s="157">
        <v>45909.41666666666</v>
      </c>
      <c r="S411" s="157">
        <v>45923.41666666666</v>
      </c>
      <c r="T411" s="157">
        <v>45925.625</v>
      </c>
      <c r="U411" s="158"/>
      <c r="V411" s="159">
        <f t="shared" si="2"/>
        <v>45925.625</v>
      </c>
      <c r="W411" s="160"/>
      <c r="X411" s="160"/>
      <c r="Y411" s="161"/>
    </row>
    <row r="412" ht="15.75" customHeight="1">
      <c r="A412" s="146" t="s">
        <v>277</v>
      </c>
      <c r="B412" s="146" t="str">
        <f>IFERROR(VLOOKUP(A412&amp;"", STUDENTS!A:B, 2, 0), "")</f>
        <v>LÊ NHẬT</v>
      </c>
      <c r="C412" s="147" t="s">
        <v>86</v>
      </c>
      <c r="D412" s="147" t="str">
        <f>IFERROR(VLOOKUP(C412, PIC!A:B, 2, 0), "")</f>
        <v>Quan Nguyen</v>
      </c>
      <c r="E412" s="148" t="s">
        <v>21</v>
      </c>
      <c r="F412" s="149"/>
      <c r="G412" s="150">
        <v>45930.41666666666</v>
      </c>
      <c r="H412" s="150">
        <v>45932.58333333334</v>
      </c>
      <c r="I412" s="149">
        <v>45937.41666666666</v>
      </c>
      <c r="J412" s="150">
        <v>45939.625</v>
      </c>
      <c r="K412" s="149">
        <v>45951.41666666666</v>
      </c>
      <c r="L412" s="150">
        <v>45953.625</v>
      </c>
      <c r="M412" s="150">
        <v>45958.41666666666</v>
      </c>
      <c r="N412" s="149">
        <v>45958.45833333334</v>
      </c>
      <c r="O412" s="149">
        <v>45965.625</v>
      </c>
      <c r="P412" s="149" t="s">
        <v>815</v>
      </c>
      <c r="Q412" s="149" t="s">
        <v>815</v>
      </c>
      <c r="R412" s="149">
        <v>45979.41666666666</v>
      </c>
      <c r="S412" s="149">
        <v>45987.625</v>
      </c>
      <c r="T412" s="149">
        <v>45993.41666666666</v>
      </c>
      <c r="U412" s="150">
        <v>46000.625</v>
      </c>
      <c r="V412" s="151">
        <f t="shared" si="2"/>
        <v>46000.625</v>
      </c>
      <c r="W412" s="152"/>
      <c r="X412" s="152"/>
      <c r="Y412" s="161"/>
    </row>
    <row r="413" ht="15.75" customHeight="1">
      <c r="A413" s="154" t="s">
        <v>277</v>
      </c>
      <c r="B413" s="154" t="str">
        <f>IFERROR(VLOOKUP(A413&amp;"", STUDENTS!A:B, 2, 0), "")</f>
        <v>LÊ NHẬT</v>
      </c>
      <c r="C413" s="155" t="s">
        <v>86</v>
      </c>
      <c r="D413" s="155" t="str">
        <f>IFERROR(VLOOKUP(C413, PIC!A:B, 2, 0), "")</f>
        <v>Quan Nguyen</v>
      </c>
      <c r="E413" s="156" t="s">
        <v>25</v>
      </c>
      <c r="F413" s="157">
        <v>45805.375</v>
      </c>
      <c r="G413" s="158">
        <v>45811.41666666666</v>
      </c>
      <c r="H413" s="158">
        <v>45818.41666666666</v>
      </c>
      <c r="I413" s="157">
        <v>45825.41666666666</v>
      </c>
      <c r="J413" s="158">
        <v>45839.41666666666</v>
      </c>
      <c r="K413" s="157">
        <v>45846.41666666666</v>
      </c>
      <c r="L413" s="158">
        <v>45855.41666666666</v>
      </c>
      <c r="M413" s="158">
        <v>45860.625</v>
      </c>
      <c r="N413" s="157" t="s">
        <v>815</v>
      </c>
      <c r="O413" s="157">
        <v>45881.5</v>
      </c>
      <c r="P413" s="157">
        <v>45888.54166666666</v>
      </c>
      <c r="Q413" s="157">
        <v>45897.45833333334</v>
      </c>
      <c r="R413" s="157">
        <v>45909.41666666666</v>
      </c>
      <c r="S413" s="157">
        <v>45923.41666666666</v>
      </c>
      <c r="T413" s="157">
        <v>45925.625</v>
      </c>
      <c r="U413" s="158"/>
      <c r="V413" s="159">
        <f t="shared" si="2"/>
        <v>45925.625</v>
      </c>
      <c r="W413" s="160"/>
      <c r="X413" s="160"/>
      <c r="Y413" s="161"/>
    </row>
    <row r="414" ht="15.75" customHeight="1">
      <c r="A414" s="146" t="s">
        <v>355</v>
      </c>
      <c r="B414" s="146" t="str">
        <f>IFERROR(VLOOKUP(A414&amp;"", STUDENTS!A:B, 2, 0), "")</f>
        <v>NGUYỄN ĐỨC ANH</v>
      </c>
      <c r="C414" s="147" t="s">
        <v>86</v>
      </c>
      <c r="D414" s="147" t="str">
        <f>IFERROR(VLOOKUP(C414, PIC!A:B, 2, 0), "")</f>
        <v>Quan Nguyen</v>
      </c>
      <c r="E414" s="148" t="s">
        <v>21</v>
      </c>
      <c r="F414" s="149"/>
      <c r="G414" s="150">
        <v>45930.41666666666</v>
      </c>
      <c r="H414" s="150">
        <v>45932.58333333334</v>
      </c>
      <c r="I414" s="149">
        <v>45937.41666666666</v>
      </c>
      <c r="J414" s="150" t="s">
        <v>815</v>
      </c>
      <c r="K414" s="149">
        <v>45951.41666666666</v>
      </c>
      <c r="L414" s="150">
        <v>45953.625</v>
      </c>
      <c r="M414" s="150" t="s">
        <v>815</v>
      </c>
      <c r="N414" s="149" t="s">
        <v>815</v>
      </c>
      <c r="O414" s="149">
        <v>45965.625</v>
      </c>
      <c r="P414" s="149" t="s">
        <v>815</v>
      </c>
      <c r="Q414" s="149" t="s">
        <v>815</v>
      </c>
      <c r="R414" s="149" t="s">
        <v>815</v>
      </c>
      <c r="S414" s="149" t="s">
        <v>815</v>
      </c>
      <c r="T414" s="149" t="s">
        <v>815</v>
      </c>
      <c r="U414" s="150" t="s">
        <v>815</v>
      </c>
      <c r="V414" s="151">
        <f t="shared" si="2"/>
        <v>45965.625</v>
      </c>
      <c r="W414" s="152"/>
      <c r="X414" s="152"/>
      <c r="Y414" s="161"/>
    </row>
    <row r="415" ht="15.75" customHeight="1">
      <c r="A415" s="154" t="s">
        <v>355</v>
      </c>
      <c r="B415" s="154" t="str">
        <f>IFERROR(VLOOKUP(A415&amp;"", STUDENTS!A:B, 2, 0), "")</f>
        <v>NGUYỄN ĐỨC ANH</v>
      </c>
      <c r="C415" s="155" t="s">
        <v>86</v>
      </c>
      <c r="D415" s="155" t="str">
        <f>IFERROR(VLOOKUP(C415, PIC!A:B, 2, 0), "")</f>
        <v>Quan Nguyen</v>
      </c>
      <c r="E415" s="156" t="s">
        <v>25</v>
      </c>
      <c r="F415" s="157">
        <v>45805.375</v>
      </c>
      <c r="G415" s="158">
        <v>45811.41666666666</v>
      </c>
      <c r="H415" s="158">
        <v>45818.41666666666</v>
      </c>
      <c r="I415" s="157">
        <v>45825.41666666666</v>
      </c>
      <c r="J415" s="158">
        <v>45839.41666666666</v>
      </c>
      <c r="K415" s="157">
        <v>45846.41666666666</v>
      </c>
      <c r="L415" s="158">
        <v>45855.41666666666</v>
      </c>
      <c r="M415" s="158">
        <v>45860.625</v>
      </c>
      <c r="N415" s="157">
        <v>45869.45833333334</v>
      </c>
      <c r="O415" s="157">
        <v>45881.5</v>
      </c>
      <c r="P415" s="157">
        <v>45888.54166666666</v>
      </c>
      <c r="Q415" s="157">
        <v>45897.45833333334</v>
      </c>
      <c r="R415" s="157" t="s">
        <v>815</v>
      </c>
      <c r="S415" s="157">
        <v>45923.41666666666</v>
      </c>
      <c r="T415" s="157">
        <v>45925.625</v>
      </c>
      <c r="U415" s="158"/>
      <c r="V415" s="159">
        <f t="shared" si="2"/>
        <v>45925.625</v>
      </c>
      <c r="W415" s="160"/>
      <c r="X415" s="160"/>
      <c r="Y415" s="161"/>
    </row>
    <row r="416" ht="15.75" customHeight="1">
      <c r="A416" s="146" t="s">
        <v>407</v>
      </c>
      <c r="B416" s="146" t="str">
        <f>IFERROR(VLOOKUP(A416&amp;"", STUDENTS!A:B, 2, 0), "")</f>
        <v>NGUYỄN MINH QUÂN</v>
      </c>
      <c r="C416" s="147" t="s">
        <v>86</v>
      </c>
      <c r="D416" s="147" t="str">
        <f>IFERROR(VLOOKUP(C416, PIC!A:B, 2, 0), "")</f>
        <v>Quan Nguyen</v>
      </c>
      <c r="E416" s="148" t="s">
        <v>21</v>
      </c>
      <c r="F416" s="149"/>
      <c r="G416" s="150">
        <v>45930.41666666666</v>
      </c>
      <c r="H416" s="150">
        <v>45932.58333333334</v>
      </c>
      <c r="I416" s="149">
        <v>45937.41666666666</v>
      </c>
      <c r="J416" s="150">
        <v>45939.54166666666</v>
      </c>
      <c r="K416" s="149">
        <v>45951.41666666666</v>
      </c>
      <c r="L416" s="150">
        <v>45953.625</v>
      </c>
      <c r="M416" s="150">
        <v>45958.41666666666</v>
      </c>
      <c r="N416" s="149">
        <v>45958.45833333334</v>
      </c>
      <c r="O416" s="149" t="s">
        <v>815</v>
      </c>
      <c r="P416" s="149">
        <v>45972.625</v>
      </c>
      <c r="Q416" s="149">
        <v>45979.41666666666</v>
      </c>
      <c r="R416" s="149">
        <v>45979.41666666666</v>
      </c>
      <c r="S416" s="149">
        <v>45987.625</v>
      </c>
      <c r="T416" s="149">
        <v>45993.41666666666</v>
      </c>
      <c r="U416" s="150">
        <v>46000.625</v>
      </c>
      <c r="V416" s="151">
        <f t="shared" si="2"/>
        <v>46000.625</v>
      </c>
      <c r="W416" s="152"/>
      <c r="X416" s="152"/>
      <c r="Y416" s="161"/>
    </row>
    <row r="417" ht="15.75" customHeight="1">
      <c r="A417" s="154" t="s">
        <v>407</v>
      </c>
      <c r="B417" s="154" t="str">
        <f>IFERROR(VLOOKUP(A417&amp;"", STUDENTS!A:B, 2, 0), "")</f>
        <v>NGUYỄN MINH QUÂN</v>
      </c>
      <c r="C417" s="155" t="s">
        <v>86</v>
      </c>
      <c r="D417" s="155" t="str">
        <f>IFERROR(VLOOKUP(C417, PIC!A:B, 2, 0), "")</f>
        <v>Quan Nguyen</v>
      </c>
      <c r="E417" s="156" t="s">
        <v>22</v>
      </c>
      <c r="F417" s="157">
        <v>46098.625</v>
      </c>
      <c r="G417" s="158">
        <v>46105.625</v>
      </c>
      <c r="H417" s="158">
        <v>46112.625</v>
      </c>
      <c r="I417" s="157">
        <v>46119.625</v>
      </c>
      <c r="J417" s="158"/>
      <c r="K417" s="157"/>
      <c r="L417" s="158"/>
      <c r="M417" s="158"/>
      <c r="N417" s="157"/>
      <c r="O417" s="157"/>
      <c r="P417" s="157"/>
      <c r="Q417" s="157"/>
      <c r="R417" s="157"/>
      <c r="S417" s="157"/>
      <c r="T417" s="157"/>
      <c r="U417" s="158"/>
      <c r="V417" s="159">
        <f t="shared" si="2"/>
        <v>46119.625</v>
      </c>
      <c r="W417" s="160"/>
      <c r="X417" s="160"/>
      <c r="Y417" s="161"/>
    </row>
    <row r="418" ht="15.75" customHeight="1">
      <c r="A418" s="146" t="s">
        <v>407</v>
      </c>
      <c r="B418" s="146" t="str">
        <f>IFERROR(VLOOKUP(A418&amp;"", STUDENTS!A:B, 2, 0), "")</f>
        <v>NGUYỄN MINH QUÂN</v>
      </c>
      <c r="C418" s="147" t="s">
        <v>86</v>
      </c>
      <c r="D418" s="147" t="str">
        <f>IFERROR(VLOOKUP(C418, PIC!A:B, 2, 0), "")</f>
        <v>Quan Nguyen</v>
      </c>
      <c r="E418" s="148" t="s">
        <v>25</v>
      </c>
      <c r="F418" s="149" t="s">
        <v>815</v>
      </c>
      <c r="G418" s="150">
        <v>45811.41666666666</v>
      </c>
      <c r="H418" s="150">
        <v>45818.41666666666</v>
      </c>
      <c r="I418" s="149">
        <v>45825.41666666666</v>
      </c>
      <c r="J418" s="150">
        <v>45839.41666666666</v>
      </c>
      <c r="K418" s="149">
        <v>45846.41666666666</v>
      </c>
      <c r="L418" s="150">
        <v>45855.41666666666</v>
      </c>
      <c r="M418" s="150">
        <v>45860.625</v>
      </c>
      <c r="N418" s="149">
        <v>45869.45833333334</v>
      </c>
      <c r="O418" s="149">
        <v>45881.5</v>
      </c>
      <c r="P418" s="149">
        <v>45888.54166666666</v>
      </c>
      <c r="Q418" s="149">
        <v>45897.45833333334</v>
      </c>
      <c r="R418" s="149">
        <v>45909.41666666666</v>
      </c>
      <c r="S418" s="149">
        <v>45923.41666666666</v>
      </c>
      <c r="T418" s="149">
        <v>45925.625</v>
      </c>
      <c r="U418" s="150"/>
      <c r="V418" s="151">
        <f t="shared" si="2"/>
        <v>45925.625</v>
      </c>
      <c r="W418" s="152"/>
      <c r="X418" s="152"/>
      <c r="Y418" s="161"/>
    </row>
    <row r="419" ht="15.75" customHeight="1">
      <c r="A419" s="154" t="s">
        <v>429</v>
      </c>
      <c r="B419" s="154" t="str">
        <f>IFERROR(VLOOKUP(A419&amp;"", STUDENTS!A:B, 2, 0), "")</f>
        <v>NGUYỄN QUANG ĐỨC</v>
      </c>
      <c r="C419" s="155" t="s">
        <v>86</v>
      </c>
      <c r="D419" s="155" t="str">
        <f>IFERROR(VLOOKUP(C419, PIC!A:B, 2, 0), "")</f>
        <v>Quan Nguyen</v>
      </c>
      <c r="E419" s="156" t="s">
        <v>21</v>
      </c>
      <c r="F419" s="157"/>
      <c r="G419" s="158">
        <v>45930.41666666666</v>
      </c>
      <c r="H419" s="158">
        <v>45932.58333333334</v>
      </c>
      <c r="I419" s="157">
        <v>45937.41666666666</v>
      </c>
      <c r="J419" s="158">
        <v>45939.625</v>
      </c>
      <c r="K419" s="157">
        <v>45951.41666666666</v>
      </c>
      <c r="L419" s="158">
        <v>45953.625</v>
      </c>
      <c r="M419" s="158">
        <v>45958.41666666666</v>
      </c>
      <c r="N419" s="157">
        <v>45958.45833333334</v>
      </c>
      <c r="O419" s="157">
        <v>45965.625</v>
      </c>
      <c r="P419" s="157" t="s">
        <v>815</v>
      </c>
      <c r="Q419" s="157">
        <v>45979.41666666666</v>
      </c>
      <c r="R419" s="157">
        <v>45979.41666666666</v>
      </c>
      <c r="S419" s="157">
        <v>45987.625</v>
      </c>
      <c r="T419" s="157" t="s">
        <v>815</v>
      </c>
      <c r="U419" s="158">
        <v>46000.625</v>
      </c>
      <c r="V419" s="159">
        <f t="shared" si="2"/>
        <v>46000.625</v>
      </c>
      <c r="W419" s="160"/>
      <c r="X419" s="160"/>
      <c r="Y419" s="161"/>
    </row>
    <row r="420" ht="15.75" customHeight="1">
      <c r="A420" s="146" t="s">
        <v>429</v>
      </c>
      <c r="B420" s="146" t="str">
        <f>IFERROR(VLOOKUP(A420&amp;"", STUDENTS!A:B, 2, 0), "")</f>
        <v>NGUYỄN QUANG ĐỨC</v>
      </c>
      <c r="C420" s="147" t="s">
        <v>86</v>
      </c>
      <c r="D420" s="147" t="str">
        <f>IFERROR(VLOOKUP(C420, PIC!A:B, 2, 0), "")</f>
        <v>Quan Nguyen</v>
      </c>
      <c r="E420" s="148" t="s">
        <v>22</v>
      </c>
      <c r="F420" s="149">
        <v>46098.625</v>
      </c>
      <c r="G420" s="150">
        <v>46105.625</v>
      </c>
      <c r="H420" s="150">
        <v>46112.625</v>
      </c>
      <c r="I420" s="149">
        <v>46119.625</v>
      </c>
      <c r="J420" s="150"/>
      <c r="K420" s="149"/>
      <c r="L420" s="150"/>
      <c r="M420" s="150"/>
      <c r="N420" s="149"/>
      <c r="O420" s="149"/>
      <c r="P420" s="149"/>
      <c r="Q420" s="149"/>
      <c r="R420" s="149"/>
      <c r="S420" s="149"/>
      <c r="T420" s="149"/>
      <c r="U420" s="150"/>
      <c r="V420" s="151">
        <f t="shared" si="2"/>
        <v>46119.625</v>
      </c>
      <c r="W420" s="152"/>
      <c r="X420" s="152"/>
      <c r="Y420" s="161"/>
    </row>
    <row r="421" ht="15.75" customHeight="1">
      <c r="A421" s="154" t="s">
        <v>429</v>
      </c>
      <c r="B421" s="154" t="str">
        <f>IFERROR(VLOOKUP(A421&amp;"", STUDENTS!A:B, 2, 0), "")</f>
        <v>NGUYỄN QUANG ĐỨC</v>
      </c>
      <c r="C421" s="155" t="s">
        <v>86</v>
      </c>
      <c r="D421" s="155" t="str">
        <f>IFERROR(VLOOKUP(C421, PIC!A:B, 2, 0), "")</f>
        <v>Quan Nguyen</v>
      </c>
      <c r="E421" s="156" t="s">
        <v>25</v>
      </c>
      <c r="F421" s="157">
        <v>45805.375</v>
      </c>
      <c r="G421" s="158">
        <v>45811.41666666666</v>
      </c>
      <c r="H421" s="158">
        <v>45818.41666666666</v>
      </c>
      <c r="I421" s="157">
        <v>45825.41666666666</v>
      </c>
      <c r="J421" s="158">
        <v>45839.41666666666</v>
      </c>
      <c r="K421" s="157">
        <v>45846.41666666666</v>
      </c>
      <c r="L421" s="158">
        <v>45855.41666666666</v>
      </c>
      <c r="M421" s="158" t="s">
        <v>815</v>
      </c>
      <c r="N421" s="157">
        <v>45869.45833333334</v>
      </c>
      <c r="O421" s="157">
        <v>45881.5</v>
      </c>
      <c r="P421" s="157">
        <v>45888.54166666666</v>
      </c>
      <c r="Q421" s="157" t="s">
        <v>815</v>
      </c>
      <c r="R421" s="157">
        <v>45909.41666666666</v>
      </c>
      <c r="S421" s="157" t="s">
        <v>815</v>
      </c>
      <c r="T421" s="157">
        <v>45925.625</v>
      </c>
      <c r="U421" s="158"/>
      <c r="V421" s="159">
        <f t="shared" si="2"/>
        <v>45925.625</v>
      </c>
      <c r="W421" s="160"/>
      <c r="X421" s="160"/>
      <c r="Y421" s="161"/>
    </row>
    <row r="422" ht="15.75" customHeight="1">
      <c r="A422" s="146" t="s">
        <v>538</v>
      </c>
      <c r="B422" s="146" t="str">
        <f>IFERROR(VLOOKUP(A422&amp;"", STUDENTS!A:B, 2, 0), "")</f>
        <v>PHẠM MAI NHẬT</v>
      </c>
      <c r="C422" s="147" t="s">
        <v>86</v>
      </c>
      <c r="D422" s="147" t="str">
        <f>IFERROR(VLOOKUP(C422, PIC!A:B, 2, 0), "")</f>
        <v>Quan Nguyen</v>
      </c>
      <c r="E422" s="148" t="s">
        <v>21</v>
      </c>
      <c r="F422" s="149"/>
      <c r="G422" s="150">
        <v>45930.41666666666</v>
      </c>
      <c r="H422" s="150">
        <v>45932.58333333334</v>
      </c>
      <c r="I422" s="149">
        <v>45937.41666666666</v>
      </c>
      <c r="J422" s="150">
        <v>45939.625</v>
      </c>
      <c r="K422" s="149" t="s">
        <v>815</v>
      </c>
      <c r="L422" s="150">
        <v>45953.625</v>
      </c>
      <c r="M422" s="150">
        <v>45958.41666666666</v>
      </c>
      <c r="N422" s="149">
        <v>45958.45833333334</v>
      </c>
      <c r="O422" s="149">
        <v>45965.625</v>
      </c>
      <c r="P422" s="149">
        <v>45972.625</v>
      </c>
      <c r="Q422" s="149">
        <v>45979.41666666666</v>
      </c>
      <c r="R422" s="149">
        <v>45979.41666666666</v>
      </c>
      <c r="S422" s="149">
        <v>45987.625</v>
      </c>
      <c r="T422" s="149">
        <v>45993.41666666666</v>
      </c>
      <c r="U422" s="150">
        <v>46000.625</v>
      </c>
      <c r="V422" s="151">
        <f t="shared" si="2"/>
        <v>46000.625</v>
      </c>
      <c r="W422" s="152"/>
      <c r="X422" s="152"/>
      <c r="Y422" s="161"/>
    </row>
    <row r="423" ht="15.75" customHeight="1">
      <c r="A423" s="154" t="s">
        <v>538</v>
      </c>
      <c r="B423" s="154" t="str">
        <f>IFERROR(VLOOKUP(A423&amp;"", STUDENTS!A:B, 2, 0), "")</f>
        <v>PHẠM MAI NHẬT</v>
      </c>
      <c r="C423" s="155" t="s">
        <v>86</v>
      </c>
      <c r="D423" s="155" t="str">
        <f>IFERROR(VLOOKUP(C423, PIC!A:B, 2, 0), "")</f>
        <v>Quan Nguyen</v>
      </c>
      <c r="E423" s="156" t="s">
        <v>22</v>
      </c>
      <c r="F423" s="157">
        <v>46098.625</v>
      </c>
      <c r="G423" s="158">
        <v>46105.625</v>
      </c>
      <c r="H423" s="158">
        <v>46112.625</v>
      </c>
      <c r="I423" s="157">
        <v>46119.625</v>
      </c>
      <c r="J423" s="158"/>
      <c r="K423" s="157"/>
      <c r="L423" s="158"/>
      <c r="M423" s="158"/>
      <c r="N423" s="157"/>
      <c r="O423" s="157"/>
      <c r="P423" s="157"/>
      <c r="Q423" s="157"/>
      <c r="R423" s="157"/>
      <c r="S423" s="157"/>
      <c r="T423" s="157"/>
      <c r="U423" s="158"/>
      <c r="V423" s="159">
        <f t="shared" si="2"/>
        <v>46119.625</v>
      </c>
      <c r="W423" s="160"/>
      <c r="X423" s="160"/>
      <c r="Y423" s="161"/>
    </row>
    <row r="424" ht="15.75" customHeight="1">
      <c r="A424" s="146" t="s">
        <v>538</v>
      </c>
      <c r="B424" s="146" t="str">
        <f>IFERROR(VLOOKUP(A424&amp;"", STUDENTS!A:B, 2, 0), "")</f>
        <v>PHẠM MAI NHẬT</v>
      </c>
      <c r="C424" s="147" t="s">
        <v>86</v>
      </c>
      <c r="D424" s="147" t="str">
        <f>IFERROR(VLOOKUP(C424, PIC!A:B, 2, 0), "")</f>
        <v>Quan Nguyen</v>
      </c>
      <c r="E424" s="148" t="s">
        <v>25</v>
      </c>
      <c r="F424" s="149">
        <v>45805.375</v>
      </c>
      <c r="G424" s="150">
        <v>45811.41666666666</v>
      </c>
      <c r="H424" s="150">
        <v>45818.41666666666</v>
      </c>
      <c r="I424" s="149">
        <v>45825.41666666666</v>
      </c>
      <c r="J424" s="150">
        <v>45839.41666666666</v>
      </c>
      <c r="K424" s="149">
        <v>45846.41666666666</v>
      </c>
      <c r="L424" s="150">
        <v>45855.41666666666</v>
      </c>
      <c r="M424" s="150">
        <v>45860.625</v>
      </c>
      <c r="N424" s="149">
        <v>45869.45833333334</v>
      </c>
      <c r="O424" s="149">
        <v>45881.5</v>
      </c>
      <c r="P424" s="149">
        <v>45888.54166666666</v>
      </c>
      <c r="Q424" s="149" t="s">
        <v>815</v>
      </c>
      <c r="R424" s="149">
        <v>45909.41666666666</v>
      </c>
      <c r="S424" s="149">
        <v>45923.41666666666</v>
      </c>
      <c r="T424" s="149">
        <v>45925.625</v>
      </c>
      <c r="U424" s="150"/>
      <c r="V424" s="151">
        <f t="shared" si="2"/>
        <v>45925.625</v>
      </c>
      <c r="W424" s="152"/>
      <c r="X424" s="152"/>
      <c r="Y424" s="161"/>
    </row>
    <row r="425" ht="15.75" customHeight="1">
      <c r="A425" s="154" t="s">
        <v>629</v>
      </c>
      <c r="B425" s="154" t="str">
        <f>IFERROR(VLOOKUP(A425&amp;"", STUDENTS!A:B, 2, 0), "")</f>
        <v>TRẦN NHỰT DUY</v>
      </c>
      <c r="C425" s="155" t="s">
        <v>86</v>
      </c>
      <c r="D425" s="155" t="str">
        <f>IFERROR(VLOOKUP(C425, PIC!A:B, 2, 0), "")</f>
        <v>Quan Nguyen</v>
      </c>
      <c r="E425" s="156" t="s">
        <v>21</v>
      </c>
      <c r="F425" s="157"/>
      <c r="G425" s="158">
        <v>45930.41666666666</v>
      </c>
      <c r="H425" s="158">
        <v>45932.58333333334</v>
      </c>
      <c r="I425" s="157">
        <v>45937.41666666666</v>
      </c>
      <c r="J425" s="158">
        <v>45939.625</v>
      </c>
      <c r="K425" s="157">
        <v>45951.41666666666</v>
      </c>
      <c r="L425" s="158">
        <v>45953.625</v>
      </c>
      <c r="M425" s="158">
        <v>45958.41666666666</v>
      </c>
      <c r="N425" s="157">
        <v>45958.45833333334</v>
      </c>
      <c r="O425" s="157">
        <v>45965.625</v>
      </c>
      <c r="P425" s="157">
        <v>45972.625</v>
      </c>
      <c r="Q425" s="157" t="s">
        <v>815</v>
      </c>
      <c r="R425" s="157" t="s">
        <v>815</v>
      </c>
      <c r="S425" s="157" t="s">
        <v>815</v>
      </c>
      <c r="T425" s="157" t="s">
        <v>815</v>
      </c>
      <c r="U425" s="158" t="s">
        <v>815</v>
      </c>
      <c r="V425" s="159">
        <f t="shared" si="2"/>
        <v>45972.625</v>
      </c>
      <c r="W425" s="160"/>
      <c r="X425" s="160"/>
      <c r="Y425" s="161"/>
    </row>
    <row r="426" ht="15.75" customHeight="1">
      <c r="A426" s="146" t="s">
        <v>629</v>
      </c>
      <c r="B426" s="146" t="str">
        <f>IFERROR(VLOOKUP(A426&amp;"", STUDENTS!A:B, 2, 0), "")</f>
        <v>TRẦN NHỰT DUY</v>
      </c>
      <c r="C426" s="147" t="s">
        <v>86</v>
      </c>
      <c r="D426" s="147" t="str">
        <f>IFERROR(VLOOKUP(C426, PIC!A:B, 2, 0), "")</f>
        <v>Quan Nguyen</v>
      </c>
      <c r="E426" s="148" t="s">
        <v>25</v>
      </c>
      <c r="F426" s="149">
        <v>45805.375</v>
      </c>
      <c r="G426" s="150">
        <v>45811.41666666666</v>
      </c>
      <c r="H426" s="150">
        <v>45818.41666666666</v>
      </c>
      <c r="I426" s="149">
        <v>45825.41666666666</v>
      </c>
      <c r="J426" s="150">
        <v>45839.41666666666</v>
      </c>
      <c r="K426" s="149">
        <v>45846.41666666666</v>
      </c>
      <c r="L426" s="150">
        <v>45855.41666666666</v>
      </c>
      <c r="M426" s="150">
        <v>45860.625</v>
      </c>
      <c r="N426" s="149">
        <v>45869.45833333334</v>
      </c>
      <c r="O426" s="149">
        <v>45881.5</v>
      </c>
      <c r="P426" s="149">
        <v>45888.54166666666</v>
      </c>
      <c r="Q426" s="149">
        <v>45897.45833333334</v>
      </c>
      <c r="R426" s="149">
        <v>45909.41666666666</v>
      </c>
      <c r="S426" s="149">
        <v>45923.41666666666</v>
      </c>
      <c r="T426" s="149">
        <v>45925.625</v>
      </c>
      <c r="U426" s="150"/>
      <c r="V426" s="151">
        <f t="shared" si="2"/>
        <v>45925.625</v>
      </c>
      <c r="W426" s="152"/>
      <c r="X426" s="152"/>
      <c r="Y426" s="161"/>
    </row>
    <row r="427" ht="15.75" customHeight="1">
      <c r="A427" s="154" t="s">
        <v>679</v>
      </c>
      <c r="B427" s="154" t="str">
        <f>IFERROR(VLOOKUP(A427&amp;"", STUDENTS!A:B, 2, 0), "")</f>
        <v>TRƯƠNG ĐÌNH ÁNH</v>
      </c>
      <c r="C427" s="155" t="s">
        <v>86</v>
      </c>
      <c r="D427" s="155" t="str">
        <f>IFERROR(VLOOKUP(C427, PIC!A:B, 2, 0), "")</f>
        <v>Quan Nguyen</v>
      </c>
      <c r="E427" s="156" t="s">
        <v>21</v>
      </c>
      <c r="F427" s="157"/>
      <c r="G427" s="158">
        <v>45930.41666666666</v>
      </c>
      <c r="H427" s="158">
        <v>45932.58333333334</v>
      </c>
      <c r="I427" s="157" t="s">
        <v>815</v>
      </c>
      <c r="J427" s="158">
        <v>45939.625</v>
      </c>
      <c r="K427" s="157" t="s">
        <v>815</v>
      </c>
      <c r="L427" s="158">
        <v>45953.625</v>
      </c>
      <c r="M427" s="158" t="s">
        <v>815</v>
      </c>
      <c r="N427" s="157">
        <v>45958.45833333334</v>
      </c>
      <c r="O427" s="157">
        <v>45965.625</v>
      </c>
      <c r="P427" s="157" t="s">
        <v>815</v>
      </c>
      <c r="Q427" s="157">
        <v>45979.41666666666</v>
      </c>
      <c r="R427" s="157">
        <v>45979.41666666666</v>
      </c>
      <c r="S427" s="157">
        <v>45987.625</v>
      </c>
      <c r="T427" s="157">
        <v>45993.41666666666</v>
      </c>
      <c r="U427" s="158">
        <v>46000.625</v>
      </c>
      <c r="V427" s="159">
        <f t="shared" si="2"/>
        <v>46000.625</v>
      </c>
      <c r="W427" s="160"/>
      <c r="X427" s="160"/>
      <c r="Y427" s="161"/>
    </row>
    <row r="428" ht="15.75" customHeight="1">
      <c r="A428" s="146" t="s">
        <v>679</v>
      </c>
      <c r="B428" s="146" t="str">
        <f>IFERROR(VLOOKUP(A428&amp;"", STUDENTS!A:B, 2, 0), "")</f>
        <v>TRƯƠNG ĐÌNH ÁNH</v>
      </c>
      <c r="C428" s="147" t="s">
        <v>86</v>
      </c>
      <c r="D428" s="147" t="str">
        <f>IFERROR(VLOOKUP(C428, PIC!A:B, 2, 0), "")</f>
        <v>Quan Nguyen</v>
      </c>
      <c r="E428" s="148" t="s">
        <v>25</v>
      </c>
      <c r="F428" s="149">
        <v>45805.375</v>
      </c>
      <c r="G428" s="150">
        <v>45811.41666666666</v>
      </c>
      <c r="H428" s="150">
        <v>45818.41666666666</v>
      </c>
      <c r="I428" s="149">
        <v>45825.41666666666</v>
      </c>
      <c r="J428" s="150">
        <v>45839.41666666666</v>
      </c>
      <c r="K428" s="149">
        <v>45846.41666666666</v>
      </c>
      <c r="L428" s="150">
        <v>45855.41666666666</v>
      </c>
      <c r="M428" s="150" t="s">
        <v>815</v>
      </c>
      <c r="N428" s="149">
        <v>45869.45833333334</v>
      </c>
      <c r="O428" s="149">
        <v>45881.5</v>
      </c>
      <c r="P428" s="149">
        <v>45888.54166666666</v>
      </c>
      <c r="Q428" s="149">
        <v>45897.45833333334</v>
      </c>
      <c r="R428" s="149">
        <v>45909.41666666666</v>
      </c>
      <c r="S428" s="149">
        <v>45923.41666666666</v>
      </c>
      <c r="T428" s="149" t="s">
        <v>815</v>
      </c>
      <c r="U428" s="150"/>
      <c r="V428" s="151">
        <f t="shared" si="2"/>
        <v>45923.41667</v>
      </c>
      <c r="W428" s="152"/>
      <c r="X428" s="152"/>
      <c r="Y428" s="161"/>
    </row>
    <row r="429" ht="15.75" customHeight="1">
      <c r="A429" s="154" t="s">
        <v>691</v>
      </c>
      <c r="B429" s="154" t="str">
        <f>IFERROR(VLOOKUP(A429&amp;"", STUDENTS!A:B, 2, 0), "")</f>
        <v>VÕ CHÍ ĐẠI</v>
      </c>
      <c r="C429" s="155" t="s">
        <v>86</v>
      </c>
      <c r="D429" s="155" t="str">
        <f>IFERROR(VLOOKUP(C429, PIC!A:B, 2, 0), "")</f>
        <v>Quan Nguyen</v>
      </c>
      <c r="E429" s="156" t="s">
        <v>21</v>
      </c>
      <c r="F429" s="157"/>
      <c r="G429" s="158">
        <v>45930.41666666666</v>
      </c>
      <c r="H429" s="158">
        <v>45932.58333333334</v>
      </c>
      <c r="I429" s="157">
        <v>45937.41666666666</v>
      </c>
      <c r="J429" s="158">
        <v>45939.625</v>
      </c>
      <c r="K429" s="157">
        <v>45951.41666666666</v>
      </c>
      <c r="L429" s="158">
        <v>45953.625</v>
      </c>
      <c r="M429" s="158" t="s">
        <v>815</v>
      </c>
      <c r="N429" s="157" t="s">
        <v>815</v>
      </c>
      <c r="O429" s="157">
        <v>45965.625</v>
      </c>
      <c r="P429" s="157">
        <v>45972.625</v>
      </c>
      <c r="Q429" s="157" t="s">
        <v>815</v>
      </c>
      <c r="R429" s="157">
        <v>45979.41666666666</v>
      </c>
      <c r="S429" s="157">
        <v>45987.625</v>
      </c>
      <c r="T429" s="157">
        <v>45993.41666666666</v>
      </c>
      <c r="U429" s="158">
        <v>46000.625</v>
      </c>
      <c r="V429" s="159">
        <f t="shared" si="2"/>
        <v>46000.625</v>
      </c>
      <c r="W429" s="160"/>
      <c r="X429" s="160"/>
      <c r="Y429" s="161"/>
    </row>
    <row r="430" ht="15.75" customHeight="1">
      <c r="A430" s="146" t="s">
        <v>691</v>
      </c>
      <c r="B430" s="146" t="str">
        <f>IFERROR(VLOOKUP(A430&amp;"", STUDENTS!A:B, 2, 0), "")</f>
        <v>VÕ CHÍ ĐẠI</v>
      </c>
      <c r="C430" s="147" t="s">
        <v>86</v>
      </c>
      <c r="D430" s="147" t="str">
        <f>IFERROR(VLOOKUP(C430, PIC!A:B, 2, 0), "")</f>
        <v>Quan Nguyen</v>
      </c>
      <c r="E430" s="148" t="s">
        <v>22</v>
      </c>
      <c r="F430" s="149">
        <v>46098.625</v>
      </c>
      <c r="G430" s="150">
        <v>46105.625</v>
      </c>
      <c r="H430" s="150">
        <v>46112.625</v>
      </c>
      <c r="I430" s="149">
        <v>46119.625</v>
      </c>
      <c r="J430" s="150"/>
      <c r="K430" s="149"/>
      <c r="L430" s="150"/>
      <c r="M430" s="150"/>
      <c r="N430" s="149"/>
      <c r="O430" s="149"/>
      <c r="P430" s="149"/>
      <c r="Q430" s="149"/>
      <c r="R430" s="149"/>
      <c r="S430" s="149"/>
      <c r="T430" s="149"/>
      <c r="U430" s="150"/>
      <c r="V430" s="151">
        <f t="shared" si="2"/>
        <v>46119.625</v>
      </c>
      <c r="W430" s="152"/>
      <c r="X430" s="152"/>
      <c r="Y430" s="161"/>
    </row>
    <row r="431" ht="15.75" customHeight="1">
      <c r="A431" s="154" t="s">
        <v>691</v>
      </c>
      <c r="B431" s="154" t="str">
        <f>IFERROR(VLOOKUP(A431&amp;"", STUDENTS!A:B, 2, 0), "")</f>
        <v>VÕ CHÍ ĐẠI</v>
      </c>
      <c r="C431" s="155" t="s">
        <v>86</v>
      </c>
      <c r="D431" s="155" t="str">
        <f>IFERROR(VLOOKUP(C431, PIC!A:B, 2, 0), "")</f>
        <v>Quan Nguyen</v>
      </c>
      <c r="E431" s="156" t="s">
        <v>25</v>
      </c>
      <c r="F431" s="157">
        <v>45805.375</v>
      </c>
      <c r="G431" s="158">
        <v>45811.41666666666</v>
      </c>
      <c r="H431" s="158">
        <v>45818.41666666666</v>
      </c>
      <c r="I431" s="157">
        <v>45825.41666666666</v>
      </c>
      <c r="J431" s="158">
        <v>45839.41666666666</v>
      </c>
      <c r="K431" s="157">
        <v>45846.41666666666</v>
      </c>
      <c r="L431" s="158">
        <v>45855.41666666666</v>
      </c>
      <c r="M431" s="158">
        <v>45860.625</v>
      </c>
      <c r="N431" s="157">
        <v>45869.45833333334</v>
      </c>
      <c r="O431" s="157" t="s">
        <v>815</v>
      </c>
      <c r="P431" s="157">
        <v>45888.54166666666</v>
      </c>
      <c r="Q431" s="157">
        <v>45897.45833333334</v>
      </c>
      <c r="R431" s="157">
        <v>45909.41666666666</v>
      </c>
      <c r="S431" s="157">
        <v>45923.41666666666</v>
      </c>
      <c r="T431" s="157" t="s">
        <v>815</v>
      </c>
      <c r="U431" s="158"/>
      <c r="V431" s="159">
        <f t="shared" si="2"/>
        <v>45923.41667</v>
      </c>
      <c r="W431" s="160"/>
      <c r="X431" s="160"/>
      <c r="Y431" s="161"/>
    </row>
    <row r="432" ht="15.75" customHeight="1">
      <c r="A432" s="146" t="s">
        <v>383</v>
      </c>
      <c r="B432" s="146" t="str">
        <f>IFERROR(VLOOKUP(A432&amp;"", STUDENTS!A:B, 2, 0), "")</f>
        <v>Nguyễn Hồng Mỹ</v>
      </c>
      <c r="C432" s="147" t="s">
        <v>87</v>
      </c>
      <c r="D432" s="147" t="str">
        <f>IFERROR(VLOOKUP(C432, PIC!A:B, 2, 0), "")</f>
        <v>My Nguyen</v>
      </c>
      <c r="E432" s="148" t="s">
        <v>21</v>
      </c>
      <c r="F432" s="149">
        <v>45813.45833333334</v>
      </c>
      <c r="G432" s="150">
        <v>45820.45833333334</v>
      </c>
      <c r="H432" s="150">
        <v>45841.625</v>
      </c>
      <c r="I432" s="149">
        <v>45849.41666666666</v>
      </c>
      <c r="J432" s="150">
        <v>45855.625</v>
      </c>
      <c r="K432" s="149">
        <v>45890.45833333334</v>
      </c>
      <c r="L432" s="150">
        <v>45911.625</v>
      </c>
      <c r="M432" s="150">
        <v>45912.54166666666</v>
      </c>
      <c r="N432" s="149">
        <v>45918.625</v>
      </c>
      <c r="O432" s="149">
        <v>45996.45833333334</v>
      </c>
      <c r="P432" s="149"/>
      <c r="Q432" s="149"/>
      <c r="R432" s="149"/>
      <c r="S432" s="149"/>
      <c r="T432" s="149"/>
      <c r="U432" s="150"/>
      <c r="V432" s="151">
        <f t="shared" si="2"/>
        <v>45996.45833</v>
      </c>
      <c r="W432" s="152"/>
      <c r="X432" s="152"/>
      <c r="Y432" s="161"/>
    </row>
    <row r="433" ht="15.75" customHeight="1">
      <c r="A433" s="154" t="s">
        <v>383</v>
      </c>
      <c r="B433" s="154" t="str">
        <f>IFERROR(VLOOKUP(A433&amp;"", STUDENTS!A:B, 2, 0), "")</f>
        <v>Nguyễn Hồng Mỹ</v>
      </c>
      <c r="C433" s="155" t="s">
        <v>87</v>
      </c>
      <c r="D433" s="155" t="str">
        <f>IFERROR(VLOOKUP(C433, PIC!A:B, 2, 0), "")</f>
        <v>My Nguyen</v>
      </c>
      <c r="E433" s="156" t="s">
        <v>22</v>
      </c>
      <c r="F433" s="157">
        <v>46038.41666666666</v>
      </c>
      <c r="G433" s="158">
        <v>46044.45833333334</v>
      </c>
      <c r="H433" s="158">
        <v>46051.58333333334</v>
      </c>
      <c r="I433" s="157">
        <v>46052.45833333334</v>
      </c>
      <c r="J433" s="158">
        <v>46086.54166666666</v>
      </c>
      <c r="K433" s="157"/>
      <c r="L433" s="158"/>
      <c r="M433" s="158"/>
      <c r="N433" s="157"/>
      <c r="O433" s="157"/>
      <c r="P433" s="157"/>
      <c r="Q433" s="157"/>
      <c r="R433" s="157"/>
      <c r="S433" s="157"/>
      <c r="T433" s="157"/>
      <c r="U433" s="158"/>
      <c r="V433" s="159">
        <f t="shared" si="2"/>
        <v>46086.54167</v>
      </c>
      <c r="W433" s="160"/>
      <c r="X433" s="160"/>
      <c r="Y433" s="161"/>
    </row>
    <row r="434" ht="15.75" customHeight="1">
      <c r="A434" s="146" t="s">
        <v>389</v>
      </c>
      <c r="B434" s="146" t="str">
        <f>IFERROR(VLOOKUP(A434&amp;"", STUDENTS!A:B, 2, 0), "")</f>
        <v>Nguyễn Hữu Phước</v>
      </c>
      <c r="C434" s="147" t="s">
        <v>87</v>
      </c>
      <c r="D434" s="147" t="str">
        <f>IFERROR(VLOOKUP(C434, PIC!A:B, 2, 0), "")</f>
        <v>My Nguyen</v>
      </c>
      <c r="E434" s="148" t="s">
        <v>21</v>
      </c>
      <c r="F434" s="149">
        <v>45813.45833333334</v>
      </c>
      <c r="G434" s="150">
        <v>45820.45833333334</v>
      </c>
      <c r="H434" s="150">
        <v>45841.625</v>
      </c>
      <c r="I434" s="149">
        <v>45849.41666666666</v>
      </c>
      <c r="J434" s="150">
        <v>45855.625</v>
      </c>
      <c r="K434" s="149">
        <v>45890.45833333334</v>
      </c>
      <c r="L434" s="150">
        <v>45911.625</v>
      </c>
      <c r="M434" s="150">
        <v>45912.54166666666</v>
      </c>
      <c r="N434" s="149">
        <v>45918.625</v>
      </c>
      <c r="O434" s="149">
        <v>45996.45833333334</v>
      </c>
      <c r="P434" s="149"/>
      <c r="Q434" s="149"/>
      <c r="R434" s="149"/>
      <c r="S434" s="149"/>
      <c r="T434" s="149"/>
      <c r="U434" s="150"/>
      <c r="V434" s="151">
        <f t="shared" si="2"/>
        <v>45996.45833</v>
      </c>
      <c r="W434" s="152"/>
      <c r="X434" s="152"/>
      <c r="Y434" s="161"/>
    </row>
    <row r="435" ht="15.75" customHeight="1">
      <c r="A435" s="154" t="s">
        <v>389</v>
      </c>
      <c r="B435" s="154" t="str">
        <f>IFERROR(VLOOKUP(A435&amp;"", STUDENTS!A:B, 2, 0), "")</f>
        <v>Nguyễn Hữu Phước</v>
      </c>
      <c r="C435" s="155" t="s">
        <v>87</v>
      </c>
      <c r="D435" s="155" t="str">
        <f>IFERROR(VLOOKUP(C435, PIC!A:B, 2, 0), "")</f>
        <v>My Nguyen</v>
      </c>
      <c r="E435" s="156" t="s">
        <v>22</v>
      </c>
      <c r="F435" s="157">
        <v>46038.41666666666</v>
      </c>
      <c r="G435" s="158">
        <v>46044.45833333334</v>
      </c>
      <c r="H435" s="158">
        <v>46051.58333333334</v>
      </c>
      <c r="I435" s="157">
        <v>46052.45833333334</v>
      </c>
      <c r="J435" s="158">
        <v>46086.54166666666</v>
      </c>
      <c r="K435" s="157"/>
      <c r="L435" s="158"/>
      <c r="M435" s="158"/>
      <c r="N435" s="157"/>
      <c r="O435" s="157"/>
      <c r="P435" s="157"/>
      <c r="Q435" s="157"/>
      <c r="R435" s="157"/>
      <c r="S435" s="157"/>
      <c r="T435" s="157"/>
      <c r="U435" s="158"/>
      <c r="V435" s="159">
        <f t="shared" si="2"/>
        <v>46086.54167</v>
      </c>
      <c r="W435" s="160"/>
      <c r="X435" s="160"/>
      <c r="Y435" s="161"/>
    </row>
    <row r="436" ht="15.75" customHeight="1">
      <c r="A436" s="146" t="s">
        <v>637</v>
      </c>
      <c r="B436" s="146" t="str">
        <f>IFERROR(VLOOKUP(A436&amp;"", STUDENTS!A:B, 2, 0), "")</f>
        <v>Trần Quốc Hiệp</v>
      </c>
      <c r="C436" s="147" t="s">
        <v>87</v>
      </c>
      <c r="D436" s="147" t="str">
        <f>IFERROR(VLOOKUP(C436, PIC!A:B, 2, 0), "")</f>
        <v>My Nguyen</v>
      </c>
      <c r="E436" s="148" t="s">
        <v>21</v>
      </c>
      <c r="F436" s="149">
        <v>45813.45833333334</v>
      </c>
      <c r="G436" s="150">
        <v>45820.45833333334</v>
      </c>
      <c r="H436" s="150" t="s">
        <v>815</v>
      </c>
      <c r="I436" s="149">
        <v>45849.41666666666</v>
      </c>
      <c r="J436" s="150" t="s">
        <v>815</v>
      </c>
      <c r="K436" s="149">
        <v>45890.45833333334</v>
      </c>
      <c r="L436" s="150">
        <v>45911.625</v>
      </c>
      <c r="M436" s="150">
        <v>45912.54166666666</v>
      </c>
      <c r="N436" s="149">
        <v>45918.625</v>
      </c>
      <c r="O436" s="149">
        <v>45996.45833333334</v>
      </c>
      <c r="P436" s="149"/>
      <c r="Q436" s="149"/>
      <c r="R436" s="149"/>
      <c r="S436" s="149"/>
      <c r="T436" s="149"/>
      <c r="U436" s="150"/>
      <c r="V436" s="151">
        <f t="shared" si="2"/>
        <v>45996.45833</v>
      </c>
      <c r="W436" s="152"/>
      <c r="X436" s="152"/>
      <c r="Y436" s="161"/>
    </row>
    <row r="437" ht="15.75" customHeight="1">
      <c r="A437" s="154" t="s">
        <v>637</v>
      </c>
      <c r="B437" s="154" t="str">
        <f>IFERROR(VLOOKUP(A437&amp;"", STUDENTS!A:B, 2, 0), "")</f>
        <v>Trần Quốc Hiệp</v>
      </c>
      <c r="C437" s="155" t="s">
        <v>87</v>
      </c>
      <c r="D437" s="155" t="str">
        <f>IFERROR(VLOOKUP(C437, PIC!A:B, 2, 0), "")</f>
        <v>My Nguyen</v>
      </c>
      <c r="E437" s="156" t="s">
        <v>22</v>
      </c>
      <c r="F437" s="157">
        <v>46038.41666666666</v>
      </c>
      <c r="G437" s="158">
        <v>46044.45833333334</v>
      </c>
      <c r="H437" s="158">
        <v>46051.58333333334</v>
      </c>
      <c r="I437" s="157">
        <v>46052.45833333334</v>
      </c>
      <c r="J437" s="158" t="s">
        <v>815</v>
      </c>
      <c r="K437" s="157"/>
      <c r="L437" s="158"/>
      <c r="M437" s="158"/>
      <c r="N437" s="157"/>
      <c r="O437" s="157"/>
      <c r="P437" s="157"/>
      <c r="Q437" s="157"/>
      <c r="R437" s="157"/>
      <c r="S437" s="157"/>
      <c r="T437" s="157"/>
      <c r="U437" s="158"/>
      <c r="V437" s="159">
        <f t="shared" si="2"/>
        <v>46052.45833</v>
      </c>
      <c r="W437" s="160"/>
      <c r="X437" s="160"/>
      <c r="Y437" s="161"/>
    </row>
    <row r="438" ht="15.75" customHeight="1">
      <c r="A438" s="146" t="s">
        <v>663</v>
      </c>
      <c r="B438" s="146" t="str">
        <f>IFERROR(VLOOKUP(A438&amp;"", STUDENTS!A:B, 2, 0), "")</f>
        <v>Trần Tuấn Kiệt</v>
      </c>
      <c r="C438" s="147" t="s">
        <v>87</v>
      </c>
      <c r="D438" s="147" t="str">
        <f>IFERROR(VLOOKUP(C438, PIC!A:B, 2, 0), "")</f>
        <v>My Nguyen</v>
      </c>
      <c r="E438" s="148" t="s">
        <v>21</v>
      </c>
      <c r="F438" s="149">
        <v>45813.45833333334</v>
      </c>
      <c r="G438" s="150">
        <v>45820.45833333334</v>
      </c>
      <c r="H438" s="150">
        <v>45841.625</v>
      </c>
      <c r="I438" s="149">
        <v>45849.41666666666</v>
      </c>
      <c r="J438" s="150">
        <v>45855.625</v>
      </c>
      <c r="K438" s="149">
        <v>45890.45833333334</v>
      </c>
      <c r="L438" s="150" t="s">
        <v>815</v>
      </c>
      <c r="M438" s="150">
        <v>45912.54166666666</v>
      </c>
      <c r="N438" s="149">
        <v>45918.625</v>
      </c>
      <c r="O438" s="149">
        <v>45996.45833333334</v>
      </c>
      <c r="P438" s="149"/>
      <c r="Q438" s="149"/>
      <c r="R438" s="149"/>
      <c r="S438" s="149"/>
      <c r="T438" s="149"/>
      <c r="U438" s="150"/>
      <c r="V438" s="151">
        <f t="shared" si="2"/>
        <v>45996.45833</v>
      </c>
      <c r="W438" s="152"/>
      <c r="X438" s="152"/>
      <c r="Y438" s="161"/>
    </row>
    <row r="439" ht="15.75" customHeight="1">
      <c r="A439" s="154" t="s">
        <v>663</v>
      </c>
      <c r="B439" s="154" t="str">
        <f>IFERROR(VLOOKUP(A439&amp;"", STUDENTS!A:B, 2, 0), "")</f>
        <v>Trần Tuấn Kiệt</v>
      </c>
      <c r="C439" s="155" t="s">
        <v>87</v>
      </c>
      <c r="D439" s="155" t="str">
        <f>IFERROR(VLOOKUP(C439, PIC!A:B, 2, 0), "")</f>
        <v>My Nguyen</v>
      </c>
      <c r="E439" s="156" t="s">
        <v>22</v>
      </c>
      <c r="F439" s="157">
        <v>46038.41666666666</v>
      </c>
      <c r="G439" s="158" t="s">
        <v>815</v>
      </c>
      <c r="H439" s="158">
        <v>46051.58333333334</v>
      </c>
      <c r="I439" s="157">
        <v>46052.45833333334</v>
      </c>
      <c r="J439" s="158">
        <v>46086.54166666666</v>
      </c>
      <c r="K439" s="157"/>
      <c r="L439" s="158"/>
      <c r="M439" s="158"/>
      <c r="N439" s="157"/>
      <c r="O439" s="157"/>
      <c r="P439" s="157"/>
      <c r="Q439" s="157"/>
      <c r="R439" s="157"/>
      <c r="S439" s="157"/>
      <c r="T439" s="157"/>
      <c r="U439" s="158"/>
      <c r="V439" s="159">
        <f t="shared" si="2"/>
        <v>46086.54167</v>
      </c>
      <c r="W439" s="160"/>
      <c r="X439" s="160"/>
      <c r="Y439" s="161"/>
    </row>
    <row r="440" ht="15.75" customHeight="1">
      <c r="A440" s="146" t="s">
        <v>325</v>
      </c>
      <c r="B440" s="146" t="str">
        <f>IFERROR(VLOOKUP(A440&amp;"", STUDENTS!A:B, 2, 0), "")</f>
        <v>NGÔ THỤY THANH NHƯ</v>
      </c>
      <c r="C440" s="147" t="s">
        <v>88</v>
      </c>
      <c r="D440" s="147" t="str">
        <f>IFERROR(VLOOKUP(C440, PIC!A:B, 2, 0), "")</f>
        <v>Huy Nguyen</v>
      </c>
      <c r="E440" s="148" t="s">
        <v>21</v>
      </c>
      <c r="F440" s="149"/>
      <c r="G440" s="150"/>
      <c r="H440" s="150"/>
      <c r="I440" s="149"/>
      <c r="J440" s="150"/>
      <c r="K440" s="149">
        <v>45889.58333333334</v>
      </c>
      <c r="L440" s="150" t="s">
        <v>815</v>
      </c>
      <c r="M440" s="150">
        <v>45910.625</v>
      </c>
      <c r="N440" s="149">
        <v>45916.375</v>
      </c>
      <c r="O440" s="149">
        <v>45959.41666666666</v>
      </c>
      <c r="P440" s="149"/>
      <c r="Q440" s="149"/>
      <c r="R440" s="149"/>
      <c r="S440" s="149"/>
      <c r="T440" s="149"/>
      <c r="U440" s="150"/>
      <c r="V440" s="151">
        <f t="shared" si="2"/>
        <v>45959.41667</v>
      </c>
      <c r="W440" s="152"/>
      <c r="X440" s="152"/>
      <c r="Y440" s="161"/>
    </row>
    <row r="441" ht="15.75" customHeight="1">
      <c r="A441" s="154" t="s">
        <v>419</v>
      </c>
      <c r="B441" s="154" t="str">
        <f>IFERROR(VLOOKUP(A441&amp;"", STUDENTS!A:B, 2, 0), "")</f>
        <v>NGUYỄN NHẬT HÀO</v>
      </c>
      <c r="C441" s="155" t="s">
        <v>88</v>
      </c>
      <c r="D441" s="155" t="str">
        <f>IFERROR(VLOOKUP(C441, PIC!A:B, 2, 0), "")</f>
        <v>Huy Nguyen</v>
      </c>
      <c r="E441" s="156" t="s">
        <v>21</v>
      </c>
      <c r="F441" s="157"/>
      <c r="G441" s="158"/>
      <c r="H441" s="158"/>
      <c r="I441" s="157"/>
      <c r="J441" s="158">
        <v>45882.54166666666</v>
      </c>
      <c r="K441" s="157">
        <v>45889.58333333334</v>
      </c>
      <c r="L441" s="158">
        <v>45896.58333333334</v>
      </c>
      <c r="M441" s="158" t="s">
        <v>815</v>
      </c>
      <c r="N441" s="157" t="s">
        <v>815</v>
      </c>
      <c r="O441" s="157" t="s">
        <v>815</v>
      </c>
      <c r="P441" s="157"/>
      <c r="Q441" s="157"/>
      <c r="R441" s="157"/>
      <c r="S441" s="157"/>
      <c r="T441" s="157"/>
      <c r="U441" s="158"/>
      <c r="V441" s="159">
        <f t="shared" si="2"/>
        <v>45896.58333</v>
      </c>
      <c r="W441" s="160"/>
      <c r="X441" s="160"/>
      <c r="Y441" s="161"/>
    </row>
    <row r="442" ht="15.75" customHeight="1">
      <c r="A442" s="146" t="s">
        <v>440</v>
      </c>
      <c r="B442" s="146" t="str">
        <f>IFERROR(VLOOKUP(A442&amp;"", STUDENTS!A:B, 2, 0), "")</f>
        <v>NGUYỄN TẤN HUY</v>
      </c>
      <c r="C442" s="147" t="s">
        <v>88</v>
      </c>
      <c r="D442" s="147" t="str">
        <f>IFERROR(VLOOKUP(C442, PIC!A:B, 2, 0), "")</f>
        <v>Huy Nguyen</v>
      </c>
      <c r="E442" s="148" t="s">
        <v>21</v>
      </c>
      <c r="F442" s="149"/>
      <c r="G442" s="150"/>
      <c r="H442" s="150"/>
      <c r="I442" s="149"/>
      <c r="J442" s="150">
        <v>45882.54166666666</v>
      </c>
      <c r="K442" s="149" t="s">
        <v>815</v>
      </c>
      <c r="L442" s="150">
        <v>45896.58333333334</v>
      </c>
      <c r="M442" s="150">
        <v>45910.625</v>
      </c>
      <c r="N442" s="149">
        <v>45916.375</v>
      </c>
      <c r="O442" s="149">
        <v>45959.41666666666</v>
      </c>
      <c r="P442" s="149"/>
      <c r="Q442" s="149"/>
      <c r="R442" s="149"/>
      <c r="S442" s="149"/>
      <c r="T442" s="149"/>
      <c r="U442" s="150"/>
      <c r="V442" s="151">
        <f t="shared" si="2"/>
        <v>45959.41667</v>
      </c>
      <c r="W442" s="152"/>
      <c r="X442" s="152"/>
      <c r="Y442" s="161"/>
    </row>
    <row r="443" ht="15.75" customHeight="1">
      <c r="A443" s="154" t="s">
        <v>461</v>
      </c>
      <c r="B443" s="154" t="str">
        <f>IFERROR(VLOOKUP(A443&amp;"", STUDENTS!A:B, 2, 0), "")</f>
        <v>NGUYỄN THỊ HIỀN NI</v>
      </c>
      <c r="C443" s="155" t="s">
        <v>88</v>
      </c>
      <c r="D443" s="155" t="str">
        <f>IFERROR(VLOOKUP(C443, PIC!A:B, 2, 0), "")</f>
        <v>Huy Nguyen</v>
      </c>
      <c r="E443" s="156" t="s">
        <v>21</v>
      </c>
      <c r="F443" s="157"/>
      <c r="G443" s="158"/>
      <c r="H443" s="158"/>
      <c r="I443" s="157"/>
      <c r="J443" s="158"/>
      <c r="K443" s="157" t="s">
        <v>815</v>
      </c>
      <c r="L443" s="158">
        <v>45896.58333333334</v>
      </c>
      <c r="M443" s="158">
        <v>45910.625</v>
      </c>
      <c r="N443" s="157">
        <v>45916.375</v>
      </c>
      <c r="O443" s="157">
        <v>45959.41666666666</v>
      </c>
      <c r="P443" s="157"/>
      <c r="Q443" s="157"/>
      <c r="R443" s="157"/>
      <c r="S443" s="157"/>
      <c r="T443" s="157"/>
      <c r="U443" s="158"/>
      <c r="V443" s="159">
        <f t="shared" si="2"/>
        <v>45959.41667</v>
      </c>
      <c r="W443" s="160"/>
      <c r="X443" s="160"/>
      <c r="Y443" s="161"/>
    </row>
    <row r="444" ht="15.75" customHeight="1">
      <c r="A444" s="146" t="s">
        <v>669</v>
      </c>
      <c r="B444" s="146" t="str">
        <f>IFERROR(VLOOKUP(A444&amp;"", STUDENTS!A:B, 2, 0), "")</f>
        <v>TRẦN VĨNH THUẬN</v>
      </c>
      <c r="C444" s="147" t="s">
        <v>88</v>
      </c>
      <c r="D444" s="147" t="str">
        <f>IFERROR(VLOOKUP(C444, PIC!A:B, 2, 0), "")</f>
        <v>Huy Nguyen</v>
      </c>
      <c r="E444" s="148" t="s">
        <v>21</v>
      </c>
      <c r="F444" s="149"/>
      <c r="G444" s="150"/>
      <c r="H444" s="150"/>
      <c r="I444" s="149"/>
      <c r="J444" s="150">
        <v>45882.54166666666</v>
      </c>
      <c r="K444" s="149">
        <v>45889.58333333334</v>
      </c>
      <c r="L444" s="150">
        <v>45896.58333333334</v>
      </c>
      <c r="M444" s="150" t="s">
        <v>815</v>
      </c>
      <c r="N444" s="149" t="s">
        <v>815</v>
      </c>
      <c r="O444" s="149" t="s">
        <v>815</v>
      </c>
      <c r="P444" s="149"/>
      <c r="Q444" s="149"/>
      <c r="R444" s="149"/>
      <c r="S444" s="149"/>
      <c r="T444" s="149"/>
      <c r="U444" s="150"/>
      <c r="V444" s="151">
        <f t="shared" si="2"/>
        <v>45896.58333</v>
      </c>
      <c r="W444" s="152"/>
      <c r="X444" s="152"/>
      <c r="Y444" s="161"/>
    </row>
    <row r="445" ht="15.75" customHeight="1">
      <c r="A445" s="154" t="s">
        <v>681</v>
      </c>
      <c r="B445" s="154" t="str">
        <f>IFERROR(VLOOKUP(A445&amp;"", STUDENTS!A:B, 2, 0), "")</f>
        <v>TRƯƠNG NHỰT MINH THƯ</v>
      </c>
      <c r="C445" s="155" t="s">
        <v>88</v>
      </c>
      <c r="D445" s="155" t="str">
        <f>IFERROR(VLOOKUP(C445, PIC!A:B, 2, 0), "")</f>
        <v>Huy Nguyen</v>
      </c>
      <c r="E445" s="156" t="s">
        <v>21</v>
      </c>
      <c r="F445" s="157"/>
      <c r="G445" s="158"/>
      <c r="H445" s="158"/>
      <c r="I445" s="157"/>
      <c r="J445" s="158">
        <v>45882.54166666666</v>
      </c>
      <c r="K445" s="157">
        <v>45889.58333333334</v>
      </c>
      <c r="L445" s="158">
        <v>45896.58333333334</v>
      </c>
      <c r="M445" s="158">
        <v>45910.58333333334</v>
      </c>
      <c r="N445" s="157">
        <v>45916.375</v>
      </c>
      <c r="O445" s="157">
        <v>45959.41666666666</v>
      </c>
      <c r="P445" s="157"/>
      <c r="Q445" s="157"/>
      <c r="R445" s="157"/>
      <c r="S445" s="157"/>
      <c r="T445" s="157"/>
      <c r="U445" s="158"/>
      <c r="V445" s="159">
        <f t="shared" si="2"/>
        <v>45959.41667</v>
      </c>
      <c r="W445" s="160"/>
      <c r="X445" s="160"/>
      <c r="Y445" s="161"/>
    </row>
    <row r="446" ht="15.75" customHeight="1">
      <c r="A446" s="146" t="s">
        <v>685</v>
      </c>
      <c r="B446" s="146" t="str">
        <f>IFERROR(VLOOKUP(A446&amp;"", STUDENTS!A:B, 2, 0), "")</f>
        <v>TỪ NGUYỄN MINH NHẬT</v>
      </c>
      <c r="C446" s="147" t="s">
        <v>88</v>
      </c>
      <c r="D446" s="147" t="str">
        <f>IFERROR(VLOOKUP(C446, PIC!A:B, 2, 0), "")</f>
        <v>Huy Nguyen</v>
      </c>
      <c r="E446" s="148" t="s">
        <v>21</v>
      </c>
      <c r="F446" s="149"/>
      <c r="G446" s="150"/>
      <c r="H446" s="150"/>
      <c r="I446" s="149"/>
      <c r="J446" s="150">
        <v>45882.54166666666</v>
      </c>
      <c r="K446" s="149">
        <v>45889.58333333334</v>
      </c>
      <c r="L446" s="150">
        <v>45896.58333333334</v>
      </c>
      <c r="M446" s="150">
        <v>45910.625</v>
      </c>
      <c r="N446" s="149">
        <v>45916.375</v>
      </c>
      <c r="O446" s="149">
        <v>45959.41666666666</v>
      </c>
      <c r="P446" s="149"/>
      <c r="Q446" s="149"/>
      <c r="R446" s="149"/>
      <c r="S446" s="149"/>
      <c r="T446" s="149"/>
      <c r="U446" s="150"/>
      <c r="V446" s="151">
        <f t="shared" si="2"/>
        <v>45959.41667</v>
      </c>
      <c r="W446" s="152"/>
      <c r="X446" s="152"/>
      <c r="Y446" s="161"/>
    </row>
    <row r="447" ht="15.75" customHeight="1">
      <c r="A447" s="154" t="s">
        <v>709</v>
      </c>
      <c r="B447" s="154" t="str">
        <f>IFERROR(VLOOKUP(A447&amp;"", STUDENTS!A:B, 2, 0), "")</f>
        <v>VÕ THỊ TUYẾT HỒNG</v>
      </c>
      <c r="C447" s="155" t="s">
        <v>88</v>
      </c>
      <c r="D447" s="155" t="str">
        <f>IFERROR(VLOOKUP(C447, PIC!A:B, 2, 0), "")</f>
        <v>Huy Nguyen</v>
      </c>
      <c r="E447" s="156" t="s">
        <v>21</v>
      </c>
      <c r="F447" s="157"/>
      <c r="G447" s="158"/>
      <c r="H447" s="158"/>
      <c r="I447" s="157"/>
      <c r="J447" s="158">
        <v>45882.54166666666</v>
      </c>
      <c r="K447" s="157">
        <v>45889.58333333334</v>
      </c>
      <c r="L447" s="158">
        <v>45896.58333333334</v>
      </c>
      <c r="M447" s="158">
        <v>45910.625</v>
      </c>
      <c r="N447" s="157">
        <v>45916.375</v>
      </c>
      <c r="O447" s="157">
        <v>45959.41666666666</v>
      </c>
      <c r="P447" s="157"/>
      <c r="Q447" s="157"/>
      <c r="R447" s="157"/>
      <c r="S447" s="157"/>
      <c r="T447" s="157"/>
      <c r="U447" s="158"/>
      <c r="V447" s="159">
        <f t="shared" si="2"/>
        <v>45959.41667</v>
      </c>
      <c r="W447" s="160"/>
      <c r="X447" s="160"/>
      <c r="Y447" s="161"/>
    </row>
    <row r="448" ht="15.75" customHeight="1">
      <c r="A448" s="146" t="s">
        <v>161</v>
      </c>
      <c r="B448" s="146" t="str">
        <f>IFERROR(VLOOKUP(A448&amp;"", STUDENTS!A:B, 2, 0), "")</f>
        <v>ĐÀO TRUNG HIẾU</v>
      </c>
      <c r="C448" s="147" t="s">
        <v>89</v>
      </c>
      <c r="D448" s="147" t="str">
        <f>IFERROR(VLOOKUP(C448, PIC!A:B, 2, 0), "")</f>
        <v>Thanh Phung</v>
      </c>
      <c r="E448" s="148" t="s">
        <v>25</v>
      </c>
      <c r="F448" s="149" t="s">
        <v>815</v>
      </c>
      <c r="G448" s="150" t="s">
        <v>815</v>
      </c>
      <c r="H448" s="150" t="s">
        <v>815</v>
      </c>
      <c r="I448" s="149" t="s">
        <v>815</v>
      </c>
      <c r="J448" s="150">
        <v>45953.54166666666</v>
      </c>
      <c r="K448" s="149">
        <v>45960.54166666666</v>
      </c>
      <c r="L448" s="150">
        <v>45967.54166666666</v>
      </c>
      <c r="M448" s="150">
        <v>45982.54166666666</v>
      </c>
      <c r="N448" s="149">
        <v>45989.54166666666</v>
      </c>
      <c r="O448" s="149">
        <v>45996.54166666666</v>
      </c>
      <c r="P448" s="149">
        <v>46010.54166666666</v>
      </c>
      <c r="Q448" s="149">
        <v>46038.54166666666</v>
      </c>
      <c r="R448" s="149">
        <v>46049.58333333334</v>
      </c>
      <c r="S448" s="149">
        <v>46049.58333333334</v>
      </c>
      <c r="T448" s="149">
        <v>46052.54166666666</v>
      </c>
      <c r="U448" s="150">
        <v>46108.54166666666</v>
      </c>
      <c r="V448" s="151">
        <f t="shared" si="2"/>
        <v>46108.54167</v>
      </c>
      <c r="W448" s="152"/>
      <c r="X448" s="152"/>
      <c r="Y448" s="161"/>
    </row>
    <row r="449" ht="15.75" customHeight="1">
      <c r="A449" s="154" t="s">
        <v>290</v>
      </c>
      <c r="B449" s="154" t="str">
        <f>IFERROR(VLOOKUP(A449&amp;"", STUDENTS!A:B, 2, 0), "")</f>
        <v>LÊ THỊ HOÀNG KIM</v>
      </c>
      <c r="C449" s="155" t="s">
        <v>89</v>
      </c>
      <c r="D449" s="155" t="str">
        <f>IFERROR(VLOOKUP(C449, PIC!A:B, 2, 0), "")</f>
        <v>Thanh Phung</v>
      </c>
      <c r="E449" s="156" t="s">
        <v>25</v>
      </c>
      <c r="F449" s="157">
        <v>45916.45833333334</v>
      </c>
      <c r="G449" s="158">
        <v>45925.54166666666</v>
      </c>
      <c r="H449" s="158">
        <v>45931.58333333334</v>
      </c>
      <c r="I449" s="157">
        <v>45938.54166666666</v>
      </c>
      <c r="J449" s="158">
        <v>45953.54166666666</v>
      </c>
      <c r="K449" s="157">
        <v>45960.54166666666</v>
      </c>
      <c r="L449" s="158">
        <v>45967.54166666666</v>
      </c>
      <c r="M449" s="158">
        <v>45982.54166666666</v>
      </c>
      <c r="N449" s="157">
        <v>45989.54166666666</v>
      </c>
      <c r="O449" s="157">
        <v>45996.54166666666</v>
      </c>
      <c r="P449" s="157">
        <v>46010.54166666666</v>
      </c>
      <c r="Q449" s="157">
        <v>46038.54166666666</v>
      </c>
      <c r="R449" s="157">
        <v>46049.58333333334</v>
      </c>
      <c r="S449" s="157">
        <v>46049.58333333334</v>
      </c>
      <c r="T449" s="157">
        <v>46052.54166666666</v>
      </c>
      <c r="U449" s="158">
        <v>46108.54166666666</v>
      </c>
      <c r="V449" s="159">
        <f t="shared" si="2"/>
        <v>46108.54167</v>
      </c>
      <c r="W449" s="160"/>
      <c r="X449" s="160"/>
      <c r="Y449" s="161"/>
    </row>
    <row r="450" ht="15.75" customHeight="1">
      <c r="A450" s="146" t="s">
        <v>391</v>
      </c>
      <c r="B450" s="146" t="str">
        <f>IFERROR(VLOOKUP(A450&amp;"", STUDENTS!A:B, 2, 0), "")</f>
        <v>NGUYỄN HỮU TRƯỜNG</v>
      </c>
      <c r="C450" s="147" t="s">
        <v>89</v>
      </c>
      <c r="D450" s="147" t="str">
        <f>IFERROR(VLOOKUP(C450, PIC!A:B, 2, 0), "")</f>
        <v>Thanh Phung</v>
      </c>
      <c r="E450" s="148" t="s">
        <v>25</v>
      </c>
      <c r="F450" s="149">
        <v>45916.45833333334</v>
      </c>
      <c r="G450" s="150">
        <v>45925.54166666666</v>
      </c>
      <c r="H450" s="150">
        <v>45931.58333333334</v>
      </c>
      <c r="I450" s="149">
        <v>45938.54166666666</v>
      </c>
      <c r="J450" s="150">
        <v>45953.54166666666</v>
      </c>
      <c r="K450" s="149">
        <v>45960.54166666666</v>
      </c>
      <c r="L450" s="150">
        <v>45967.54166666666</v>
      </c>
      <c r="M450" s="150">
        <v>45982.54166666666</v>
      </c>
      <c r="N450" s="149">
        <v>45989.54166666666</v>
      </c>
      <c r="O450" s="149">
        <v>45996.54166666666</v>
      </c>
      <c r="P450" s="149">
        <v>46010.54166666666</v>
      </c>
      <c r="Q450" s="149" t="s">
        <v>815</v>
      </c>
      <c r="R450" s="149" t="s">
        <v>815</v>
      </c>
      <c r="S450" s="149" t="s">
        <v>815</v>
      </c>
      <c r="T450" s="149" t="s">
        <v>815</v>
      </c>
      <c r="U450" s="150" t="s">
        <v>815</v>
      </c>
      <c r="V450" s="151">
        <f t="shared" si="2"/>
        <v>46010.54167</v>
      </c>
      <c r="W450" s="152"/>
      <c r="X450" s="152"/>
      <c r="Y450" s="161"/>
    </row>
    <row r="451" ht="15.75" customHeight="1">
      <c r="A451" s="154" t="s">
        <v>468</v>
      </c>
      <c r="B451" s="154" t="str">
        <f>IFERROR(VLOOKUP(A451&amp;"", STUDENTS!A:B, 2, 0), "")</f>
        <v>NGUYỄN THỊ KIM OANH</v>
      </c>
      <c r="C451" s="155" t="s">
        <v>89</v>
      </c>
      <c r="D451" s="155" t="str">
        <f>IFERROR(VLOOKUP(C451, PIC!A:B, 2, 0), "")</f>
        <v>Thanh Phung</v>
      </c>
      <c r="E451" s="156" t="s">
        <v>25</v>
      </c>
      <c r="F451" s="157">
        <v>45916.45833333334</v>
      </c>
      <c r="G451" s="158">
        <v>45925.54166666666</v>
      </c>
      <c r="H451" s="158">
        <v>45931.58333333334</v>
      </c>
      <c r="I451" s="157" t="s">
        <v>815</v>
      </c>
      <c r="J451" s="158">
        <v>45953.54166666666</v>
      </c>
      <c r="K451" s="157">
        <v>45960.54166666666</v>
      </c>
      <c r="L451" s="158">
        <v>45967.54166666666</v>
      </c>
      <c r="M451" s="158">
        <v>45982.54166666666</v>
      </c>
      <c r="N451" s="157">
        <v>45989.54166666666</v>
      </c>
      <c r="O451" s="157">
        <v>45996.54166666666</v>
      </c>
      <c r="P451" s="157">
        <v>46010.54166666666</v>
      </c>
      <c r="Q451" s="157">
        <v>46038.54166666666</v>
      </c>
      <c r="R451" s="157">
        <v>46049.58333333334</v>
      </c>
      <c r="S451" s="157">
        <v>46049.58333333334</v>
      </c>
      <c r="T451" s="157">
        <v>46052.54166666666</v>
      </c>
      <c r="U451" s="158">
        <v>46108.54166666666</v>
      </c>
      <c r="V451" s="159">
        <f t="shared" si="2"/>
        <v>46108.54167</v>
      </c>
      <c r="W451" s="160"/>
      <c r="X451" s="160"/>
      <c r="Y451" s="161"/>
    </row>
    <row r="452" ht="15.75" customHeight="1">
      <c r="A452" s="146" t="s">
        <v>516</v>
      </c>
      <c r="B452" s="146" t="str">
        <f>IFERROR(VLOOKUP(A452&amp;"", STUDENTS!A:B, 2, 0), "")</f>
        <v>NGUYỄN VŨ LUÂN</v>
      </c>
      <c r="C452" s="147" t="s">
        <v>89</v>
      </c>
      <c r="D452" s="147" t="str">
        <f>IFERROR(VLOOKUP(C452, PIC!A:B, 2, 0), "")</f>
        <v>Thanh Phung</v>
      </c>
      <c r="E452" s="148" t="s">
        <v>25</v>
      </c>
      <c r="F452" s="149">
        <v>45916.45833333334</v>
      </c>
      <c r="G452" s="150" t="s">
        <v>815</v>
      </c>
      <c r="H452" s="150">
        <v>45931.58333333334</v>
      </c>
      <c r="I452" s="149">
        <v>45938.54166666666</v>
      </c>
      <c r="J452" s="150">
        <v>45953.54166666666</v>
      </c>
      <c r="K452" s="149" t="s">
        <v>815</v>
      </c>
      <c r="L452" s="150">
        <v>45967.54166666666</v>
      </c>
      <c r="M452" s="150">
        <v>45982.54166666666</v>
      </c>
      <c r="N452" s="149">
        <v>45989.54166666666</v>
      </c>
      <c r="O452" s="149">
        <v>45996.54166666666</v>
      </c>
      <c r="P452" s="149">
        <v>46010.54166666666</v>
      </c>
      <c r="Q452" s="149">
        <v>46038.54166666666</v>
      </c>
      <c r="R452" s="149" t="s">
        <v>815</v>
      </c>
      <c r="S452" s="149" t="s">
        <v>815</v>
      </c>
      <c r="T452" s="149">
        <v>46052.54166666666</v>
      </c>
      <c r="U452" s="150">
        <v>46108.54166666666</v>
      </c>
      <c r="V452" s="151">
        <f t="shared" si="2"/>
        <v>46108.54167</v>
      </c>
      <c r="W452" s="152"/>
      <c r="X452" s="152"/>
      <c r="Y452" s="161"/>
    </row>
    <row r="453" ht="15.75" customHeight="1">
      <c r="A453" s="154" t="s">
        <v>545</v>
      </c>
      <c r="B453" s="154" t="str">
        <f>IFERROR(VLOOKUP(A453&amp;"", STUDENTS!A:B, 2, 0), "")</f>
        <v>PHẠM NGUYỄN TRƯỜNG BẢO</v>
      </c>
      <c r="C453" s="155" t="s">
        <v>89</v>
      </c>
      <c r="D453" s="155" t="str">
        <f>IFERROR(VLOOKUP(C453, PIC!A:B, 2, 0), "")</f>
        <v>Thanh Phung</v>
      </c>
      <c r="E453" s="156" t="s">
        <v>26</v>
      </c>
      <c r="F453" s="157">
        <v>46126.58333333334</v>
      </c>
      <c r="G453" s="158">
        <v>46129.58333333334</v>
      </c>
      <c r="H453" s="158"/>
      <c r="I453" s="157"/>
      <c r="J453" s="158"/>
      <c r="K453" s="157"/>
      <c r="L453" s="158"/>
      <c r="M453" s="158"/>
      <c r="N453" s="157"/>
      <c r="O453" s="157"/>
      <c r="P453" s="157"/>
      <c r="Q453" s="157"/>
      <c r="R453" s="157"/>
      <c r="S453" s="157"/>
      <c r="T453" s="157"/>
      <c r="U453" s="158"/>
      <c r="V453" s="159">
        <f t="shared" si="2"/>
        <v>46129.58333</v>
      </c>
      <c r="W453" s="160"/>
      <c r="X453" s="160"/>
      <c r="Y453" s="161"/>
    </row>
    <row r="454" ht="15.75" customHeight="1">
      <c r="A454" s="146" t="s">
        <v>545</v>
      </c>
      <c r="B454" s="146" t="str">
        <f>IFERROR(VLOOKUP(A454&amp;"", STUDENTS!A:B, 2, 0), "")</f>
        <v>PHẠM NGUYỄN TRƯỜNG BẢO</v>
      </c>
      <c r="C454" s="147" t="s">
        <v>89</v>
      </c>
      <c r="D454" s="147" t="str">
        <f>IFERROR(VLOOKUP(C454, PIC!A:B, 2, 0), "")</f>
        <v>Thanh Phung</v>
      </c>
      <c r="E454" s="148" t="s">
        <v>25</v>
      </c>
      <c r="F454" s="149">
        <v>45916.45833333334</v>
      </c>
      <c r="G454" s="150">
        <v>45925.54166666666</v>
      </c>
      <c r="H454" s="150" t="s">
        <v>815</v>
      </c>
      <c r="I454" s="149">
        <v>45938.54166666666</v>
      </c>
      <c r="J454" s="150">
        <v>45953.54166666666</v>
      </c>
      <c r="K454" s="149">
        <v>45960.54166666666</v>
      </c>
      <c r="L454" s="150">
        <v>45967.54166666666</v>
      </c>
      <c r="M454" s="150">
        <v>45982.54166666666</v>
      </c>
      <c r="N454" s="149">
        <v>45989.54166666666</v>
      </c>
      <c r="O454" s="149">
        <v>45996.54166666666</v>
      </c>
      <c r="P454" s="149">
        <v>46010.54166666666</v>
      </c>
      <c r="Q454" s="149">
        <v>46038.54166666666</v>
      </c>
      <c r="R454" s="149">
        <v>46049.58333333334</v>
      </c>
      <c r="S454" s="149">
        <v>46049.58333333334</v>
      </c>
      <c r="T454" s="149">
        <v>46052.54166666666</v>
      </c>
      <c r="U454" s="150">
        <v>46108.54166666666</v>
      </c>
      <c r="V454" s="151">
        <f t="shared" si="2"/>
        <v>46108.54167</v>
      </c>
      <c r="W454" s="152"/>
      <c r="X454" s="152"/>
      <c r="Y454" s="161"/>
    </row>
    <row r="455" ht="15.75" customHeight="1">
      <c r="A455" s="154" t="s">
        <v>558</v>
      </c>
      <c r="B455" s="154" t="str">
        <f>IFERROR(VLOOKUP(A455&amp;"", STUDENTS!A:B, 2, 0), "")</f>
        <v>PHAN GIA LỘC</v>
      </c>
      <c r="C455" s="155" t="s">
        <v>89</v>
      </c>
      <c r="D455" s="155" t="str">
        <f>IFERROR(VLOOKUP(C455, PIC!A:B, 2, 0), "")</f>
        <v>Thanh Phung</v>
      </c>
      <c r="E455" s="156" t="s">
        <v>26</v>
      </c>
      <c r="F455" s="157">
        <v>46126.58333333334</v>
      </c>
      <c r="G455" s="158">
        <v>46129.58333333334</v>
      </c>
      <c r="H455" s="158"/>
      <c r="I455" s="157"/>
      <c r="J455" s="158"/>
      <c r="K455" s="157"/>
      <c r="L455" s="158"/>
      <c r="M455" s="158"/>
      <c r="N455" s="157"/>
      <c r="O455" s="157"/>
      <c r="P455" s="157"/>
      <c r="Q455" s="157"/>
      <c r="R455" s="157"/>
      <c r="S455" s="157"/>
      <c r="T455" s="157"/>
      <c r="U455" s="158"/>
      <c r="V455" s="159">
        <f t="shared" si="2"/>
        <v>46129.58333</v>
      </c>
      <c r="W455" s="160"/>
      <c r="X455" s="160"/>
      <c r="Y455" s="161"/>
    </row>
    <row r="456" ht="15.75" customHeight="1">
      <c r="A456" s="146" t="s">
        <v>558</v>
      </c>
      <c r="B456" s="146" t="str">
        <f>IFERROR(VLOOKUP(A456&amp;"", STUDENTS!A:B, 2, 0), "")</f>
        <v>PHAN GIA LỘC</v>
      </c>
      <c r="C456" s="147" t="s">
        <v>89</v>
      </c>
      <c r="D456" s="147" t="str">
        <f>IFERROR(VLOOKUP(C456, PIC!A:B, 2, 0), "")</f>
        <v>Thanh Phung</v>
      </c>
      <c r="E456" s="148" t="s">
        <v>25</v>
      </c>
      <c r="F456" s="149">
        <v>45916.45833333334</v>
      </c>
      <c r="G456" s="150">
        <v>45925.54166666666</v>
      </c>
      <c r="H456" s="150">
        <v>45931.58333333334</v>
      </c>
      <c r="I456" s="149">
        <v>45938.54166666666</v>
      </c>
      <c r="J456" s="150">
        <v>45953.54166666666</v>
      </c>
      <c r="K456" s="149">
        <v>45960.54166666666</v>
      </c>
      <c r="L456" s="150">
        <v>45967.54166666666</v>
      </c>
      <c r="M456" s="150">
        <v>45982.54166666666</v>
      </c>
      <c r="N456" s="149">
        <v>45989.54166666666</v>
      </c>
      <c r="O456" s="149">
        <v>45996.54166666666</v>
      </c>
      <c r="P456" s="149">
        <v>46010.54166666666</v>
      </c>
      <c r="Q456" s="149">
        <v>46038.54166666666</v>
      </c>
      <c r="R456" s="149">
        <v>46049.58333333334</v>
      </c>
      <c r="S456" s="149">
        <v>46049.58333333334</v>
      </c>
      <c r="T456" s="149" t="s">
        <v>815</v>
      </c>
      <c r="U456" s="150">
        <v>46108.54166666666</v>
      </c>
      <c r="V456" s="151">
        <f t="shared" si="2"/>
        <v>46108.54167</v>
      </c>
      <c r="W456" s="152"/>
      <c r="X456" s="152"/>
      <c r="Y456" s="161"/>
    </row>
    <row r="457" ht="15.75" customHeight="1">
      <c r="A457" s="154" t="s">
        <v>574</v>
      </c>
      <c r="B457" s="154" t="str">
        <f>IFERROR(VLOOKUP(A457&amp;"", STUDENTS!A:B, 2, 0), "")</f>
        <v>PHÙNG QUANG THÀNH</v>
      </c>
      <c r="C457" s="155" t="s">
        <v>89</v>
      </c>
      <c r="D457" s="155" t="str">
        <f>IFERROR(VLOOKUP(C457, PIC!A:B, 2, 0), "")</f>
        <v>Thanh Phung</v>
      </c>
      <c r="E457" s="156" t="s">
        <v>26</v>
      </c>
      <c r="F457" s="157">
        <v>46126.58333333334</v>
      </c>
      <c r="G457" s="158">
        <v>46129.58333333334</v>
      </c>
      <c r="H457" s="158"/>
      <c r="I457" s="157"/>
      <c r="J457" s="158"/>
      <c r="K457" s="157"/>
      <c r="L457" s="158"/>
      <c r="M457" s="158"/>
      <c r="N457" s="157"/>
      <c r="O457" s="157"/>
      <c r="P457" s="157"/>
      <c r="Q457" s="157"/>
      <c r="R457" s="157"/>
      <c r="S457" s="157"/>
      <c r="T457" s="157"/>
      <c r="U457" s="158"/>
      <c r="V457" s="159">
        <f t="shared" si="2"/>
        <v>46129.58333</v>
      </c>
      <c r="W457" s="160"/>
      <c r="X457" s="160"/>
      <c r="Y457" s="161"/>
    </row>
    <row r="458" ht="15.75" customHeight="1">
      <c r="A458" s="146" t="s">
        <v>574</v>
      </c>
      <c r="B458" s="146" t="str">
        <f>IFERROR(VLOOKUP(A458&amp;"", STUDENTS!A:B, 2, 0), "")</f>
        <v>PHÙNG QUANG THÀNH</v>
      </c>
      <c r="C458" s="147" t="s">
        <v>89</v>
      </c>
      <c r="D458" s="147" t="str">
        <f>IFERROR(VLOOKUP(C458, PIC!A:B, 2, 0), "")</f>
        <v>Thanh Phung</v>
      </c>
      <c r="E458" s="148" t="s">
        <v>25</v>
      </c>
      <c r="F458" s="149">
        <v>45916.45833333334</v>
      </c>
      <c r="G458" s="150">
        <v>45925.54166666666</v>
      </c>
      <c r="H458" s="150" t="s">
        <v>815</v>
      </c>
      <c r="I458" s="149">
        <v>45938.54166666666</v>
      </c>
      <c r="J458" s="150">
        <v>45953.54166666666</v>
      </c>
      <c r="K458" s="149">
        <v>45960.54166666666</v>
      </c>
      <c r="L458" s="150">
        <v>45967.54166666666</v>
      </c>
      <c r="M458" s="150">
        <v>45982.54166666666</v>
      </c>
      <c r="N458" s="149">
        <v>45989.54166666666</v>
      </c>
      <c r="O458" s="149">
        <v>45996.54166666666</v>
      </c>
      <c r="P458" s="149">
        <v>46010.54166666666</v>
      </c>
      <c r="Q458" s="149">
        <v>46038.54166666666</v>
      </c>
      <c r="R458" s="149">
        <v>46049.58333333334</v>
      </c>
      <c r="S458" s="149">
        <v>46049.58333333334</v>
      </c>
      <c r="T458" s="149">
        <v>46052.54166666666</v>
      </c>
      <c r="U458" s="150">
        <v>46108.54166666666</v>
      </c>
      <c r="V458" s="151">
        <f t="shared" si="2"/>
        <v>46108.54167</v>
      </c>
      <c r="W458" s="152"/>
      <c r="X458" s="152"/>
      <c r="Y458" s="161"/>
    </row>
    <row r="459" ht="15.75" customHeight="1">
      <c r="A459" s="154" t="s">
        <v>251</v>
      </c>
      <c r="B459" s="154" t="str">
        <f>IFERROR(VLOOKUP(A459&amp;"", STUDENTS!A:B, 2, 0), "")</f>
        <v>LÂM MINH HOÀNG</v>
      </c>
      <c r="C459" s="155" t="s">
        <v>90</v>
      </c>
      <c r="D459" s="155" t="str">
        <f>IFERROR(VLOOKUP(C459, PIC!A:B, 2, 0), "")</f>
        <v>Phu Nguyen</v>
      </c>
      <c r="E459" s="156" t="s">
        <v>21</v>
      </c>
      <c r="F459" s="157">
        <v>45917.58333333334</v>
      </c>
      <c r="G459" s="158">
        <v>45923.54166666666</v>
      </c>
      <c r="H459" s="158">
        <v>45930.54166666666</v>
      </c>
      <c r="I459" s="157">
        <v>45937.54166666666</v>
      </c>
      <c r="J459" s="158" t="s">
        <v>815</v>
      </c>
      <c r="K459" s="157" t="s">
        <v>815</v>
      </c>
      <c r="L459" s="158" t="s">
        <v>815</v>
      </c>
      <c r="M459" s="158" t="s">
        <v>815</v>
      </c>
      <c r="N459" s="157"/>
      <c r="O459" s="157"/>
      <c r="P459" s="157"/>
      <c r="Q459" s="157"/>
      <c r="R459" s="157"/>
      <c r="S459" s="157"/>
      <c r="T459" s="157"/>
      <c r="U459" s="158"/>
      <c r="V459" s="159">
        <f t="shared" si="2"/>
        <v>45937.54167</v>
      </c>
      <c r="W459" s="160"/>
      <c r="X459" s="160"/>
      <c r="Y459" s="161"/>
    </row>
    <row r="460" ht="15.75" customHeight="1">
      <c r="A460" s="146" t="s">
        <v>338</v>
      </c>
      <c r="B460" s="146" t="str">
        <f>IFERROR(VLOOKUP(A460&amp;"", STUDENTS!A:B, 2, 0), "")</f>
        <v>NGUYỄN BẢO DUY</v>
      </c>
      <c r="C460" s="147" t="s">
        <v>90</v>
      </c>
      <c r="D460" s="147" t="str">
        <f>IFERROR(VLOOKUP(C460, PIC!A:B, 2, 0), "")</f>
        <v>Phu Nguyen</v>
      </c>
      <c r="E460" s="148" t="s">
        <v>21</v>
      </c>
      <c r="F460" s="149">
        <v>45917.58333333334</v>
      </c>
      <c r="G460" s="150">
        <v>45923.54166666666</v>
      </c>
      <c r="H460" s="150">
        <v>45930.54166666666</v>
      </c>
      <c r="I460" s="149">
        <v>45937.54166666666</v>
      </c>
      <c r="J460" s="150" t="s">
        <v>815</v>
      </c>
      <c r="K460" s="149">
        <v>45958.54166666666</v>
      </c>
      <c r="L460" s="150">
        <v>45965.58333333334</v>
      </c>
      <c r="M460" s="150">
        <v>45979.58333333334</v>
      </c>
      <c r="N460" s="149"/>
      <c r="O460" s="149"/>
      <c r="P460" s="149"/>
      <c r="Q460" s="149"/>
      <c r="R460" s="149"/>
      <c r="S460" s="149"/>
      <c r="T460" s="149"/>
      <c r="U460" s="150"/>
      <c r="V460" s="151">
        <f t="shared" si="2"/>
        <v>45979.58333</v>
      </c>
      <c r="W460" s="152"/>
      <c r="X460" s="152"/>
      <c r="Y460" s="161"/>
    </row>
    <row r="461" ht="15.75" customHeight="1">
      <c r="A461" s="154" t="s">
        <v>363</v>
      </c>
      <c r="B461" s="154" t="str">
        <f>IFERROR(VLOOKUP(A461&amp;"", STUDENTS!A:B, 2, 0), "")</f>
        <v>NGUYEN DUY PHU</v>
      </c>
      <c r="C461" s="155" t="s">
        <v>90</v>
      </c>
      <c r="D461" s="155" t="str">
        <f>IFERROR(VLOOKUP(C461, PIC!A:B, 2, 0), "")</f>
        <v>Phu Nguyen</v>
      </c>
      <c r="E461" s="156" t="s">
        <v>21</v>
      </c>
      <c r="F461" s="157" t="s">
        <v>815</v>
      </c>
      <c r="G461" s="158" t="s">
        <v>815</v>
      </c>
      <c r="H461" s="158">
        <v>45930.54166666666</v>
      </c>
      <c r="I461" s="157" t="s">
        <v>815</v>
      </c>
      <c r="J461" s="158" t="s">
        <v>815</v>
      </c>
      <c r="K461" s="157" t="s">
        <v>815</v>
      </c>
      <c r="L461" s="158" t="s">
        <v>815</v>
      </c>
      <c r="M461" s="158" t="s">
        <v>815</v>
      </c>
      <c r="N461" s="157"/>
      <c r="O461" s="157"/>
      <c r="P461" s="157"/>
      <c r="Q461" s="157"/>
      <c r="R461" s="157"/>
      <c r="S461" s="157"/>
      <c r="T461" s="157"/>
      <c r="U461" s="158"/>
      <c r="V461" s="159">
        <f t="shared" si="2"/>
        <v>45930.54167</v>
      </c>
      <c r="W461" s="160"/>
      <c r="X461" s="160"/>
      <c r="Y461" s="161"/>
    </row>
    <row r="462" ht="15.75" customHeight="1">
      <c r="A462" s="146" t="s">
        <v>379</v>
      </c>
      <c r="B462" s="146" t="str">
        <f>IFERROR(VLOOKUP(A462&amp;"", STUDENTS!A:B, 2, 0), "")</f>
        <v>NGUYỄN HOÀNG PHÚC</v>
      </c>
      <c r="C462" s="147" t="s">
        <v>90</v>
      </c>
      <c r="D462" s="147" t="str">
        <f>IFERROR(VLOOKUP(C462, PIC!A:B, 2, 0), "")</f>
        <v>Phu Nguyen</v>
      </c>
      <c r="E462" s="148" t="s">
        <v>21</v>
      </c>
      <c r="F462" s="149">
        <v>45917.58333333334</v>
      </c>
      <c r="G462" s="150">
        <v>45923.54166666666</v>
      </c>
      <c r="H462" s="150">
        <v>45930.54166666666</v>
      </c>
      <c r="I462" s="149">
        <v>45937.54166666666</v>
      </c>
      <c r="J462" s="150">
        <v>45944.54166666666</v>
      </c>
      <c r="K462" s="149">
        <v>45958.54166666666</v>
      </c>
      <c r="L462" s="150">
        <v>45965.58333333334</v>
      </c>
      <c r="M462" s="150">
        <v>45979.58333333334</v>
      </c>
      <c r="N462" s="149"/>
      <c r="O462" s="149"/>
      <c r="P462" s="149"/>
      <c r="Q462" s="149"/>
      <c r="R462" s="149"/>
      <c r="S462" s="149"/>
      <c r="T462" s="149"/>
      <c r="U462" s="169"/>
      <c r="V462" s="151">
        <f t="shared" si="2"/>
        <v>45979.58333</v>
      </c>
      <c r="W462" s="152"/>
      <c r="X462" s="152"/>
      <c r="Y462" s="161"/>
    </row>
    <row r="463" ht="15.75" customHeight="1">
      <c r="A463" s="154" t="s">
        <v>449</v>
      </c>
      <c r="B463" s="154" t="str">
        <f>IFERROR(VLOOKUP(A463&amp;"", STUDENTS!A:B, 2, 0), "")</f>
        <v>NGUYỄN THÀNH NHÂN</v>
      </c>
      <c r="C463" s="155" t="s">
        <v>90</v>
      </c>
      <c r="D463" s="155" t="str">
        <f>IFERROR(VLOOKUP(C463, PIC!A:B, 2, 0), "")</f>
        <v>Phu Nguyen</v>
      </c>
      <c r="E463" s="156" t="s">
        <v>21</v>
      </c>
      <c r="F463" s="157" t="s">
        <v>815</v>
      </c>
      <c r="G463" s="158">
        <v>45923.54166666666</v>
      </c>
      <c r="H463" s="158">
        <v>45930.54166666666</v>
      </c>
      <c r="I463" s="157" t="s">
        <v>815</v>
      </c>
      <c r="J463" s="158">
        <v>45944.54166666666</v>
      </c>
      <c r="K463" s="157">
        <v>45958.54166666666</v>
      </c>
      <c r="L463" s="158" t="s">
        <v>815</v>
      </c>
      <c r="M463" s="158" t="s">
        <v>815</v>
      </c>
      <c r="N463" s="157"/>
      <c r="O463" s="157"/>
      <c r="P463" s="157"/>
      <c r="Q463" s="157"/>
      <c r="R463" s="157"/>
      <c r="S463" s="157"/>
      <c r="T463" s="157"/>
      <c r="U463" s="158"/>
      <c r="V463" s="159">
        <f t="shared" si="2"/>
        <v>45958.54167</v>
      </c>
      <c r="W463" s="160"/>
      <c r="X463" s="160"/>
      <c r="Y463" s="161"/>
    </row>
    <row r="464" ht="15.75" customHeight="1">
      <c r="A464" s="146" t="s">
        <v>455</v>
      </c>
      <c r="B464" s="146" t="str">
        <f>IFERROR(VLOOKUP(A464&amp;"", STUDENTS!A:B, 2, 0), "")</f>
        <v>NGUYỄN THANH TÙNG</v>
      </c>
      <c r="C464" s="147" t="s">
        <v>90</v>
      </c>
      <c r="D464" s="147" t="str">
        <f>IFERROR(VLOOKUP(C464, PIC!A:B, 2, 0), "")</f>
        <v>Phu Nguyen</v>
      </c>
      <c r="E464" s="148" t="s">
        <v>21</v>
      </c>
      <c r="F464" s="149" t="s">
        <v>815</v>
      </c>
      <c r="G464" s="150">
        <v>45923.54166666666</v>
      </c>
      <c r="H464" s="150" t="s">
        <v>815</v>
      </c>
      <c r="I464" s="149">
        <v>45937.54166666666</v>
      </c>
      <c r="J464" s="150">
        <v>45944.54166666666</v>
      </c>
      <c r="K464" s="149" t="s">
        <v>815</v>
      </c>
      <c r="L464" s="150" t="s">
        <v>815</v>
      </c>
      <c r="M464" s="150" t="s">
        <v>815</v>
      </c>
      <c r="N464" s="149"/>
      <c r="O464" s="149"/>
      <c r="P464" s="149"/>
      <c r="Q464" s="149"/>
      <c r="R464" s="149"/>
      <c r="S464" s="149"/>
      <c r="T464" s="149"/>
      <c r="U464" s="150"/>
      <c r="V464" s="151">
        <f t="shared" si="2"/>
        <v>45944.54167</v>
      </c>
      <c r="W464" s="152"/>
      <c r="X464" s="152"/>
      <c r="Y464" s="161"/>
    </row>
    <row r="465" ht="15.75" customHeight="1">
      <c r="A465" s="154" t="s">
        <v>490</v>
      </c>
      <c r="B465" s="154" t="str">
        <f>IFERROR(VLOOKUP(A465&amp;"", STUDENTS!A:B, 2, 0), "")</f>
        <v>NGUYỄN TRẦN MINH NGHĨA</v>
      </c>
      <c r="C465" s="155" t="s">
        <v>90</v>
      </c>
      <c r="D465" s="155" t="str">
        <f>IFERROR(VLOOKUP(C465, PIC!A:B, 2, 0), "")</f>
        <v>Phu Nguyen</v>
      </c>
      <c r="E465" s="156" t="s">
        <v>21</v>
      </c>
      <c r="F465" s="157">
        <v>45917.58333333334</v>
      </c>
      <c r="G465" s="158">
        <v>45923.54166666666</v>
      </c>
      <c r="H465" s="158">
        <v>45930.54166666666</v>
      </c>
      <c r="I465" s="157">
        <v>45937.54166666666</v>
      </c>
      <c r="J465" s="158">
        <v>45944.54166666666</v>
      </c>
      <c r="K465" s="157">
        <v>45958.54166666666</v>
      </c>
      <c r="L465" s="158">
        <v>45965.58333333334</v>
      </c>
      <c r="M465" s="158">
        <v>45979.58333333334</v>
      </c>
      <c r="N465" s="154"/>
      <c r="O465" s="154"/>
      <c r="P465" s="154"/>
      <c r="Q465" s="154"/>
      <c r="R465" s="154"/>
      <c r="S465" s="154"/>
      <c r="T465" s="154"/>
      <c r="U465" s="170"/>
      <c r="V465" s="159">
        <f t="shared" si="2"/>
        <v>45979.58333</v>
      </c>
      <c r="W465" s="160"/>
      <c r="X465" s="160"/>
      <c r="Y465" s="161"/>
    </row>
    <row r="466" ht="15.75" customHeight="1">
      <c r="A466" s="146" t="s">
        <v>500</v>
      </c>
      <c r="B466" s="146" t="str">
        <f>IFERROR(VLOOKUP(A466&amp;"", STUDENTS!A:B, 2, 0), "")</f>
        <v>NGUYEN TRUNG NGHIA</v>
      </c>
      <c r="C466" s="147" t="s">
        <v>90</v>
      </c>
      <c r="D466" s="147" t="str">
        <f>IFERROR(VLOOKUP(C466, PIC!A:B, 2, 0), "")</f>
        <v>Phu Nguyen</v>
      </c>
      <c r="E466" s="148" t="s">
        <v>21</v>
      </c>
      <c r="F466" s="149" t="s">
        <v>815</v>
      </c>
      <c r="G466" s="150" t="s">
        <v>815</v>
      </c>
      <c r="H466" s="150" t="s">
        <v>815</v>
      </c>
      <c r="I466" s="149" t="s">
        <v>815</v>
      </c>
      <c r="J466" s="150" t="s">
        <v>815</v>
      </c>
      <c r="K466" s="149" t="s">
        <v>815</v>
      </c>
      <c r="L466" s="150" t="s">
        <v>815</v>
      </c>
      <c r="M466" s="150" t="s">
        <v>815</v>
      </c>
      <c r="N466" s="149"/>
      <c r="O466" s="149"/>
      <c r="P466" s="149"/>
      <c r="Q466" s="149"/>
      <c r="R466" s="149"/>
      <c r="S466" s="149"/>
      <c r="T466" s="149"/>
      <c r="U466" s="150"/>
      <c r="V466" s="151">
        <f t="shared" si="2"/>
        <v>0</v>
      </c>
      <c r="W466" s="152"/>
      <c r="X466" s="152"/>
      <c r="Y466" s="161"/>
    </row>
    <row r="467" ht="15.75" customHeight="1">
      <c r="A467" s="154" t="s">
        <v>551</v>
      </c>
      <c r="B467" s="154" t="str">
        <f>IFERROR(VLOOKUP(A467&amp;"", STUDENTS!A:B, 2, 0), "")</f>
        <v>PHẠM TƯỜNG NHÂN</v>
      </c>
      <c r="C467" s="155" t="s">
        <v>90</v>
      </c>
      <c r="D467" s="155" t="str">
        <f>IFERROR(VLOOKUP(C467, PIC!A:B, 2, 0), "")</f>
        <v>Phu Nguyen</v>
      </c>
      <c r="E467" s="156" t="s">
        <v>21</v>
      </c>
      <c r="F467" s="157">
        <v>45917.58333333334</v>
      </c>
      <c r="G467" s="158">
        <v>45923.54166666666</v>
      </c>
      <c r="H467" s="158">
        <v>45930.54166666666</v>
      </c>
      <c r="I467" s="157">
        <v>45937.54166666666</v>
      </c>
      <c r="J467" s="158" t="s">
        <v>815</v>
      </c>
      <c r="K467" s="157">
        <v>45958.54166666666</v>
      </c>
      <c r="L467" s="158">
        <v>45965.58333333334</v>
      </c>
      <c r="M467" s="158">
        <v>45979.58333333334</v>
      </c>
      <c r="N467" s="157"/>
      <c r="O467" s="157"/>
      <c r="P467" s="157"/>
      <c r="Q467" s="157"/>
      <c r="R467" s="157"/>
      <c r="S467" s="157"/>
      <c r="T467" s="157"/>
      <c r="U467" s="158"/>
      <c r="V467" s="159">
        <f t="shared" si="2"/>
        <v>45979.58333</v>
      </c>
      <c r="W467" s="160"/>
      <c r="X467" s="160"/>
      <c r="Y467" s="161"/>
    </row>
    <row r="468" ht="15.75" customHeight="1">
      <c r="A468" s="146" t="s">
        <v>206</v>
      </c>
      <c r="B468" s="146" t="str">
        <f>IFERROR(VLOOKUP(A468&amp;"", STUDENTS!A:B, 2, 0), "")</f>
        <v>GIANG KHIẾT ĐÌNH</v>
      </c>
      <c r="C468" s="147" t="s">
        <v>91</v>
      </c>
      <c r="D468" s="147" t="str">
        <f>IFERROR(VLOOKUP(C468, PIC!A:B, 2, 0), "")</f>
        <v>Vinh Tran</v>
      </c>
      <c r="E468" s="148" t="s">
        <v>21</v>
      </c>
      <c r="F468" s="149">
        <v>45909.54166666666</v>
      </c>
      <c r="G468" s="150"/>
      <c r="H468" s="150">
        <v>45912.625</v>
      </c>
      <c r="I468" s="149">
        <v>45916.58333333334</v>
      </c>
      <c r="J468" s="150">
        <v>45925.375</v>
      </c>
      <c r="K468" s="149">
        <v>45932.54166666666</v>
      </c>
      <c r="L468" s="150">
        <v>45939.54166666666</v>
      </c>
      <c r="M468" s="150">
        <v>45946.54166666666</v>
      </c>
      <c r="N468" s="149">
        <v>45952.54166666666</v>
      </c>
      <c r="O468" s="149">
        <v>45959.54166666666</v>
      </c>
      <c r="P468" s="149">
        <v>45964.54166666666</v>
      </c>
      <c r="Q468" s="149">
        <v>45979.54166666666</v>
      </c>
      <c r="R468" s="149">
        <v>45988.54166666666</v>
      </c>
      <c r="S468" s="149" t="s">
        <v>815</v>
      </c>
      <c r="T468" s="149">
        <v>46000.54166666666</v>
      </c>
      <c r="U468" s="150">
        <v>46036.54166666666</v>
      </c>
      <c r="V468" s="151">
        <f t="shared" si="2"/>
        <v>46036.54167</v>
      </c>
      <c r="W468" s="152"/>
      <c r="X468" s="152"/>
      <c r="Y468" s="161"/>
    </row>
    <row r="469" ht="15.75" customHeight="1">
      <c r="A469" s="154" t="s">
        <v>206</v>
      </c>
      <c r="B469" s="154" t="str">
        <f>IFERROR(VLOOKUP(A469&amp;"", STUDENTS!A:B, 2, 0), "")</f>
        <v>GIANG KHIẾT ĐÌNH</v>
      </c>
      <c r="C469" s="155" t="s">
        <v>91</v>
      </c>
      <c r="D469" s="155" t="str">
        <f>IFERROR(VLOOKUP(C469, PIC!A:B, 2, 0), "")</f>
        <v>Vinh Tran</v>
      </c>
      <c r="E469" s="156" t="s">
        <v>22</v>
      </c>
      <c r="F469" s="157">
        <v>46093.54166666666</v>
      </c>
      <c r="G469" s="158">
        <v>46107.54166666666</v>
      </c>
      <c r="H469" s="158">
        <v>46128.54166666666</v>
      </c>
      <c r="I469" s="157">
        <v>46134.54166666666</v>
      </c>
      <c r="J469" s="158"/>
      <c r="K469" s="157"/>
      <c r="L469" s="158"/>
      <c r="M469" s="158"/>
      <c r="N469" s="157"/>
      <c r="O469" s="157"/>
      <c r="P469" s="157"/>
      <c r="Q469" s="157"/>
      <c r="R469" s="157"/>
      <c r="S469" s="157"/>
      <c r="T469" s="157"/>
      <c r="U469" s="158"/>
      <c r="V469" s="159">
        <f t="shared" si="2"/>
        <v>46134.54167</v>
      </c>
      <c r="W469" s="160"/>
      <c r="X469" s="160"/>
      <c r="Y469" s="161"/>
    </row>
    <row r="470" ht="15.75" customHeight="1">
      <c r="A470" s="146" t="s">
        <v>372</v>
      </c>
      <c r="B470" s="146" t="str">
        <f>IFERROR(VLOOKUP(A470&amp;"", STUDENTS!A:B, 2, 0), "")</f>
        <v>NGUYỄN HOÀNG BẢO TRÂN</v>
      </c>
      <c r="C470" s="147" t="s">
        <v>91</v>
      </c>
      <c r="D470" s="147" t="str">
        <f>IFERROR(VLOOKUP(C470, PIC!A:B, 2, 0), "")</f>
        <v>Vinh Tran</v>
      </c>
      <c r="E470" s="148" t="s">
        <v>21</v>
      </c>
      <c r="F470" s="149">
        <v>45909.54166666666</v>
      </c>
      <c r="G470" s="150"/>
      <c r="H470" s="150">
        <v>45912.625</v>
      </c>
      <c r="I470" s="149">
        <v>45916.58333333334</v>
      </c>
      <c r="J470" s="150">
        <v>45925.375</v>
      </c>
      <c r="K470" s="149">
        <v>45932.54166666666</v>
      </c>
      <c r="L470" s="150">
        <v>45939.54166666666</v>
      </c>
      <c r="M470" s="150">
        <v>45946.54166666666</v>
      </c>
      <c r="N470" s="149">
        <v>45952.54166666666</v>
      </c>
      <c r="O470" s="149">
        <v>45959.54166666666</v>
      </c>
      <c r="P470" s="149">
        <v>45964.54166666666</v>
      </c>
      <c r="Q470" s="149">
        <v>45979.54166666666</v>
      </c>
      <c r="R470" s="149" t="s">
        <v>815</v>
      </c>
      <c r="S470" s="149">
        <v>45995.54166666666</v>
      </c>
      <c r="T470" s="149">
        <v>46000.54166666666</v>
      </c>
      <c r="U470" s="150">
        <v>46036.54166666666</v>
      </c>
      <c r="V470" s="151">
        <f t="shared" si="2"/>
        <v>46036.54167</v>
      </c>
      <c r="W470" s="152"/>
      <c r="X470" s="152"/>
      <c r="Y470" s="161"/>
    </row>
    <row r="471" ht="15.75" customHeight="1">
      <c r="A471" s="154" t="s">
        <v>372</v>
      </c>
      <c r="B471" s="154" t="str">
        <f>IFERROR(VLOOKUP(A471&amp;"", STUDENTS!A:B, 2, 0), "")</f>
        <v>NGUYỄN HOÀNG BẢO TRÂN</v>
      </c>
      <c r="C471" s="155" t="s">
        <v>91</v>
      </c>
      <c r="D471" s="155" t="str">
        <f>IFERROR(VLOOKUP(C471, PIC!A:B, 2, 0), "")</f>
        <v>Vinh Tran</v>
      </c>
      <c r="E471" s="156" t="s">
        <v>22</v>
      </c>
      <c r="F471" s="157">
        <v>46093.54166666666</v>
      </c>
      <c r="G471" s="158">
        <v>46107.54166666666</v>
      </c>
      <c r="H471" s="158">
        <v>46128.54166666666</v>
      </c>
      <c r="I471" s="157">
        <v>46134.54166666666</v>
      </c>
      <c r="J471" s="158"/>
      <c r="K471" s="157"/>
      <c r="L471" s="158"/>
      <c r="M471" s="158"/>
      <c r="N471" s="157"/>
      <c r="O471" s="157"/>
      <c r="P471" s="157"/>
      <c r="Q471" s="157"/>
      <c r="R471" s="157"/>
      <c r="S471" s="157"/>
      <c r="T471" s="157"/>
      <c r="U471" s="158"/>
      <c r="V471" s="159">
        <f t="shared" si="2"/>
        <v>46134.54167</v>
      </c>
      <c r="W471" s="160"/>
      <c r="X471" s="160"/>
      <c r="Y471" s="161"/>
    </row>
    <row r="472" ht="15.75" customHeight="1">
      <c r="A472" s="146" t="s">
        <v>419</v>
      </c>
      <c r="B472" s="146" t="str">
        <f>IFERROR(VLOOKUP(A472&amp;"", STUDENTS!A:B, 2, 0), "")</f>
        <v>NGUYỄN NHẬT HÀO</v>
      </c>
      <c r="C472" s="147" t="s">
        <v>91</v>
      </c>
      <c r="D472" s="147" t="str">
        <f>IFERROR(VLOOKUP(C472, PIC!A:B, 2, 0), "")</f>
        <v>Vinh Tran</v>
      </c>
      <c r="E472" s="148" t="s">
        <v>21</v>
      </c>
      <c r="F472" s="149">
        <v>45909.54166666666</v>
      </c>
      <c r="G472" s="150"/>
      <c r="H472" s="150" t="s">
        <v>815</v>
      </c>
      <c r="I472" s="149" t="s">
        <v>815</v>
      </c>
      <c r="J472" s="150">
        <v>45925.375</v>
      </c>
      <c r="K472" s="149" t="s">
        <v>815</v>
      </c>
      <c r="L472" s="150" t="s">
        <v>815</v>
      </c>
      <c r="M472" s="150">
        <v>45946.54166666666</v>
      </c>
      <c r="N472" s="149">
        <v>45952.54166666666</v>
      </c>
      <c r="O472" s="149">
        <v>45959.54166666666</v>
      </c>
      <c r="P472" s="149">
        <v>45964.54166666666</v>
      </c>
      <c r="Q472" s="149">
        <v>45979.54166666666</v>
      </c>
      <c r="R472" s="149" t="s">
        <v>815</v>
      </c>
      <c r="S472" s="149">
        <v>45995.54166666666</v>
      </c>
      <c r="T472" s="149">
        <v>46000.54166666666</v>
      </c>
      <c r="U472" s="150">
        <v>46036.54166666666</v>
      </c>
      <c r="V472" s="151">
        <f t="shared" si="2"/>
        <v>46036.54167</v>
      </c>
      <c r="W472" s="152"/>
      <c r="X472" s="152"/>
      <c r="Y472" s="161"/>
    </row>
    <row r="473" ht="15.75" customHeight="1">
      <c r="A473" s="154" t="s">
        <v>419</v>
      </c>
      <c r="B473" s="154" t="str">
        <f>IFERROR(VLOOKUP(A473&amp;"", STUDENTS!A:B, 2, 0), "")</f>
        <v>NGUYỄN NHẬT HÀO</v>
      </c>
      <c r="C473" s="155" t="s">
        <v>91</v>
      </c>
      <c r="D473" s="155" t="str">
        <f>IFERROR(VLOOKUP(C473, PIC!A:B, 2, 0), "")</f>
        <v>Vinh Tran</v>
      </c>
      <c r="E473" s="156" t="s">
        <v>22</v>
      </c>
      <c r="F473" s="157">
        <v>46093.54166666666</v>
      </c>
      <c r="G473" s="158">
        <v>46107.54166666666</v>
      </c>
      <c r="H473" s="158" t="s">
        <v>815</v>
      </c>
      <c r="I473" s="154" t="s">
        <v>815</v>
      </c>
      <c r="J473" s="158"/>
      <c r="K473" s="157"/>
      <c r="L473" s="158"/>
      <c r="M473" s="158"/>
      <c r="N473" s="157"/>
      <c r="O473" s="157"/>
      <c r="P473" s="157"/>
      <c r="Q473" s="157"/>
      <c r="R473" s="157"/>
      <c r="S473" s="157"/>
      <c r="T473" s="157"/>
      <c r="U473" s="158"/>
      <c r="V473" s="159">
        <f t="shared" si="2"/>
        <v>46107.54167</v>
      </c>
      <c r="W473" s="160"/>
      <c r="X473" s="160"/>
      <c r="Y473" s="161"/>
    </row>
    <row r="474" ht="15.75" customHeight="1">
      <c r="A474" s="146" t="s">
        <v>459</v>
      </c>
      <c r="B474" s="146" t="str">
        <f>IFERROR(VLOOKUP(A474&amp;"", STUDENTS!A:B, 2, 0), "")</f>
        <v>NGUYỄN THẾ ANH</v>
      </c>
      <c r="C474" s="147" t="s">
        <v>91</v>
      </c>
      <c r="D474" s="147" t="str">
        <f>IFERROR(VLOOKUP(C474, PIC!A:B, 2, 0), "")</f>
        <v>Vinh Tran</v>
      </c>
      <c r="E474" s="148" t="s">
        <v>21</v>
      </c>
      <c r="F474" s="149">
        <v>45909.54166666666</v>
      </c>
      <c r="G474" s="150"/>
      <c r="H474" s="150">
        <v>45912.625</v>
      </c>
      <c r="I474" s="149">
        <v>45916.58333333334</v>
      </c>
      <c r="J474" s="150">
        <v>45925.375</v>
      </c>
      <c r="K474" s="149">
        <v>45932.54166666666</v>
      </c>
      <c r="L474" s="150">
        <v>45939.54166666666</v>
      </c>
      <c r="M474" s="150">
        <v>45946.54166666666</v>
      </c>
      <c r="N474" s="149">
        <v>45952.54166666666</v>
      </c>
      <c r="O474" s="149">
        <v>45959.54166666666</v>
      </c>
      <c r="P474" s="149">
        <v>45964.54166666666</v>
      </c>
      <c r="Q474" s="149">
        <v>45979.54166666666</v>
      </c>
      <c r="R474" s="149">
        <v>45988.54166666666</v>
      </c>
      <c r="S474" s="149" t="s">
        <v>815</v>
      </c>
      <c r="T474" s="149">
        <v>46000.54166666666</v>
      </c>
      <c r="U474" s="150">
        <v>46036.54166666666</v>
      </c>
      <c r="V474" s="151">
        <f t="shared" si="2"/>
        <v>46036.54167</v>
      </c>
      <c r="W474" s="152"/>
      <c r="X474" s="152"/>
      <c r="Y474" s="161"/>
    </row>
    <row r="475" ht="15.75" customHeight="1">
      <c r="A475" s="154" t="s">
        <v>459</v>
      </c>
      <c r="B475" s="154" t="str">
        <f>IFERROR(VLOOKUP(A475&amp;"", STUDENTS!A:B, 2, 0), "")</f>
        <v>NGUYỄN THẾ ANH</v>
      </c>
      <c r="C475" s="155" t="s">
        <v>91</v>
      </c>
      <c r="D475" s="155" t="str">
        <f>IFERROR(VLOOKUP(C475, PIC!A:B, 2, 0), "")</f>
        <v>Vinh Tran</v>
      </c>
      <c r="E475" s="156" t="s">
        <v>22</v>
      </c>
      <c r="F475" s="157">
        <v>46093.54166666666</v>
      </c>
      <c r="G475" s="158">
        <v>46107.54166666666</v>
      </c>
      <c r="H475" s="158">
        <v>46128.54166666666</v>
      </c>
      <c r="I475" s="157">
        <v>46134.54166666666</v>
      </c>
      <c r="J475" s="158"/>
      <c r="K475" s="157"/>
      <c r="L475" s="158"/>
      <c r="M475" s="158"/>
      <c r="N475" s="157"/>
      <c r="O475" s="157"/>
      <c r="P475" s="157"/>
      <c r="Q475" s="157"/>
      <c r="R475" s="157"/>
      <c r="S475" s="157"/>
      <c r="T475" s="157"/>
      <c r="U475" s="158"/>
      <c r="V475" s="159">
        <f t="shared" si="2"/>
        <v>46134.54167</v>
      </c>
      <c r="W475" s="160"/>
      <c r="X475" s="160"/>
      <c r="Y475" s="161"/>
    </row>
    <row r="476" ht="15.75" customHeight="1">
      <c r="A476" s="146" t="s">
        <v>536</v>
      </c>
      <c r="B476" s="146" t="str">
        <f>IFERROR(VLOOKUP(A476&amp;"", STUDENTS!A:B, 2, 0), "")</f>
        <v>PHẠM LÊ QUỲNH HƯƠNG</v>
      </c>
      <c r="C476" s="147" t="s">
        <v>91</v>
      </c>
      <c r="D476" s="147" t="str">
        <f>IFERROR(VLOOKUP(C476, PIC!A:B, 2, 0), "")</f>
        <v>Vinh Tran</v>
      </c>
      <c r="E476" s="148" t="s">
        <v>21</v>
      </c>
      <c r="F476" s="149">
        <v>45909.54166666666</v>
      </c>
      <c r="G476" s="150"/>
      <c r="H476" s="150">
        <v>45912.625</v>
      </c>
      <c r="I476" s="149">
        <v>45916.58333333334</v>
      </c>
      <c r="J476" s="150">
        <v>45925.375</v>
      </c>
      <c r="K476" s="149">
        <v>45932.54166666666</v>
      </c>
      <c r="L476" s="150">
        <v>45939.54166666666</v>
      </c>
      <c r="M476" s="150">
        <v>45946.54166666666</v>
      </c>
      <c r="N476" s="149">
        <v>45952.54166666666</v>
      </c>
      <c r="O476" s="149">
        <v>45959.54166666666</v>
      </c>
      <c r="P476" s="149">
        <v>45964.54166666666</v>
      </c>
      <c r="Q476" s="149">
        <v>45979.54166666666</v>
      </c>
      <c r="R476" s="149">
        <v>45988.54166666666</v>
      </c>
      <c r="S476" s="149">
        <v>45995.54166666666</v>
      </c>
      <c r="T476" s="149">
        <v>46000.54166666666</v>
      </c>
      <c r="U476" s="150">
        <v>46036.54166666666</v>
      </c>
      <c r="V476" s="151">
        <f t="shared" si="2"/>
        <v>46036.54167</v>
      </c>
      <c r="W476" s="152"/>
      <c r="X476" s="152"/>
      <c r="Y476" s="161"/>
    </row>
    <row r="477" ht="15.75" customHeight="1">
      <c r="A477" s="154" t="s">
        <v>536</v>
      </c>
      <c r="B477" s="154" t="str">
        <f>IFERROR(VLOOKUP(A477&amp;"", STUDENTS!A:B, 2, 0), "")</f>
        <v>PHẠM LÊ QUỲNH HƯƠNG</v>
      </c>
      <c r="C477" s="155" t="s">
        <v>91</v>
      </c>
      <c r="D477" s="155" t="str">
        <f>IFERROR(VLOOKUP(C477, PIC!A:B, 2, 0), "")</f>
        <v>Vinh Tran</v>
      </c>
      <c r="E477" s="156" t="s">
        <v>22</v>
      </c>
      <c r="F477" s="157" t="s">
        <v>815</v>
      </c>
      <c r="G477" s="158">
        <v>46107.54166666666</v>
      </c>
      <c r="H477" s="158">
        <v>46128.54166666666</v>
      </c>
      <c r="I477" s="154" t="s">
        <v>815</v>
      </c>
      <c r="J477" s="158"/>
      <c r="K477" s="157"/>
      <c r="L477" s="158"/>
      <c r="M477" s="158"/>
      <c r="N477" s="157"/>
      <c r="O477" s="157"/>
      <c r="P477" s="157"/>
      <c r="Q477" s="157"/>
      <c r="R477" s="157"/>
      <c r="S477" s="157"/>
      <c r="T477" s="157"/>
      <c r="U477" s="158"/>
      <c r="V477" s="159">
        <f t="shared" si="2"/>
        <v>46128.54167</v>
      </c>
      <c r="W477" s="160"/>
      <c r="X477" s="160"/>
      <c r="Y477" s="161"/>
    </row>
    <row r="478" ht="15.75" customHeight="1">
      <c r="A478" s="146" t="s">
        <v>609</v>
      </c>
      <c r="B478" s="146" t="str">
        <f>IFERROR(VLOOKUP(A478&amp;"", STUDENTS!A:B, 2, 0), "")</f>
        <v>TRẦN ĐỨC VINH</v>
      </c>
      <c r="C478" s="147" t="s">
        <v>91</v>
      </c>
      <c r="D478" s="147" t="str">
        <f>IFERROR(VLOOKUP(C478, PIC!A:B, 2, 0), "")</f>
        <v>Vinh Tran</v>
      </c>
      <c r="E478" s="148" t="s">
        <v>21</v>
      </c>
      <c r="F478" s="149">
        <v>45909.54166666666</v>
      </c>
      <c r="G478" s="150"/>
      <c r="H478" s="150">
        <v>45912.625</v>
      </c>
      <c r="I478" s="149">
        <v>45916.58333333334</v>
      </c>
      <c r="J478" s="150">
        <v>45925.375</v>
      </c>
      <c r="K478" s="149">
        <v>45932.54166666666</v>
      </c>
      <c r="L478" s="150">
        <v>45939.54166666666</v>
      </c>
      <c r="M478" s="150">
        <v>45946.54166666666</v>
      </c>
      <c r="N478" s="149">
        <v>45952.54166666666</v>
      </c>
      <c r="O478" s="149">
        <v>45959.54166666666</v>
      </c>
      <c r="P478" s="149">
        <v>45964.54166666666</v>
      </c>
      <c r="Q478" s="149">
        <v>45979.54166666666</v>
      </c>
      <c r="R478" s="149">
        <v>45988.54166666666</v>
      </c>
      <c r="S478" s="149">
        <v>45995.54166666666</v>
      </c>
      <c r="T478" s="149">
        <v>46000.54166666666</v>
      </c>
      <c r="U478" s="150">
        <v>46036.54166666666</v>
      </c>
      <c r="V478" s="151">
        <f t="shared" si="2"/>
        <v>46036.54167</v>
      </c>
      <c r="W478" s="152"/>
      <c r="X478" s="152"/>
      <c r="Y478" s="161"/>
    </row>
    <row r="479" ht="15.75" customHeight="1">
      <c r="A479" s="154" t="s">
        <v>609</v>
      </c>
      <c r="B479" s="154" t="str">
        <f>IFERROR(VLOOKUP(A479&amp;"", STUDENTS!A:B, 2, 0), "")</f>
        <v>TRẦN ĐỨC VINH</v>
      </c>
      <c r="C479" s="155" t="s">
        <v>91</v>
      </c>
      <c r="D479" s="155" t="str">
        <f>IFERROR(VLOOKUP(C479, PIC!A:B, 2, 0), "")</f>
        <v>Vinh Tran</v>
      </c>
      <c r="E479" s="156" t="s">
        <v>22</v>
      </c>
      <c r="F479" s="157">
        <v>46093.54166666666</v>
      </c>
      <c r="G479" s="158">
        <v>46107.54166666666</v>
      </c>
      <c r="H479" s="158">
        <v>46128.54166666666</v>
      </c>
      <c r="I479" s="157">
        <v>46134.54166666666</v>
      </c>
      <c r="J479" s="158"/>
      <c r="K479" s="157"/>
      <c r="L479" s="158"/>
      <c r="M479" s="158"/>
      <c r="N479" s="157"/>
      <c r="O479" s="157"/>
      <c r="P479" s="157"/>
      <c r="Q479" s="157"/>
      <c r="R479" s="157"/>
      <c r="S479" s="157"/>
      <c r="T479" s="157"/>
      <c r="U479" s="158"/>
      <c r="V479" s="159">
        <f t="shared" si="2"/>
        <v>46134.54167</v>
      </c>
      <c r="W479" s="160"/>
      <c r="X479" s="160"/>
      <c r="Y479" s="161"/>
    </row>
    <row r="480" ht="15.75" customHeight="1">
      <c r="A480" s="146" t="s">
        <v>153</v>
      </c>
      <c r="B480" s="146" t="str">
        <f>IFERROR(VLOOKUP(A480&amp;"", STUDENTS!A:B, 2, 0), "")</f>
        <v>ĐẶNG GIA LỘC</v>
      </c>
      <c r="C480" s="147" t="s">
        <v>92</v>
      </c>
      <c r="D480" s="147" t="str">
        <f>IFERROR(VLOOKUP(C480, PIC!A:B, 2, 0), "")</f>
        <v>Liên Nguyễn</v>
      </c>
      <c r="E480" s="148" t="s">
        <v>25</v>
      </c>
      <c r="F480" s="149"/>
      <c r="G480" s="150"/>
      <c r="H480" s="150"/>
      <c r="I480" s="149">
        <v>45938.58333333334</v>
      </c>
      <c r="J480" s="150" t="s">
        <v>815</v>
      </c>
      <c r="K480" s="149">
        <v>45952.625</v>
      </c>
      <c r="L480" s="150">
        <v>45961.58333333334</v>
      </c>
      <c r="M480" s="150">
        <v>45966.625</v>
      </c>
      <c r="N480" s="149">
        <v>45974.58333333334</v>
      </c>
      <c r="O480" s="149" t="s">
        <v>815</v>
      </c>
      <c r="P480" s="149">
        <v>45989.58333333334</v>
      </c>
      <c r="Q480" s="149">
        <v>45994.54166666666</v>
      </c>
      <c r="R480" s="149" t="s">
        <v>815</v>
      </c>
      <c r="S480" s="149">
        <v>46049.54166666666</v>
      </c>
      <c r="T480" s="149" t="s">
        <v>815</v>
      </c>
      <c r="U480" s="150">
        <v>46083.58333333334</v>
      </c>
      <c r="V480" s="151">
        <f t="shared" si="2"/>
        <v>46083.58333</v>
      </c>
      <c r="W480" s="152"/>
      <c r="X480" s="152"/>
      <c r="Y480" s="161"/>
    </row>
    <row r="481" ht="15.75" customHeight="1">
      <c r="A481" s="154" t="s">
        <v>269</v>
      </c>
      <c r="B481" s="154" t="str">
        <f>IFERROR(VLOOKUP(A481&amp;"", STUDENTS!A:B, 2, 0), "")</f>
        <v>LÊ MINH HY</v>
      </c>
      <c r="C481" s="155" t="s">
        <v>92</v>
      </c>
      <c r="D481" s="155" t="str">
        <f>IFERROR(VLOOKUP(C481, PIC!A:B, 2, 0), "")</f>
        <v>Liên Nguyễn</v>
      </c>
      <c r="E481" s="156" t="s">
        <v>25</v>
      </c>
      <c r="F481" s="157"/>
      <c r="G481" s="158"/>
      <c r="H481" s="158"/>
      <c r="I481" s="157" t="s">
        <v>815</v>
      </c>
      <c r="J481" s="158">
        <v>45947.54166666666</v>
      </c>
      <c r="K481" s="157">
        <v>45952.625</v>
      </c>
      <c r="L481" s="158">
        <v>45961.58333333334</v>
      </c>
      <c r="M481" s="158" t="s">
        <v>815</v>
      </c>
      <c r="N481" s="157">
        <v>45974.58333333334</v>
      </c>
      <c r="O481" s="157">
        <v>45982.625</v>
      </c>
      <c r="P481" s="157">
        <v>45989.58333333334</v>
      </c>
      <c r="Q481" s="157">
        <v>45994.54166666666</v>
      </c>
      <c r="R481" s="157">
        <v>46010.58333333334</v>
      </c>
      <c r="S481" s="157">
        <v>46049.54166666666</v>
      </c>
      <c r="T481" s="157">
        <v>46052.58333333334</v>
      </c>
      <c r="U481" s="158">
        <v>46083.58333333334</v>
      </c>
      <c r="V481" s="159">
        <f t="shared" si="2"/>
        <v>46083.58333</v>
      </c>
      <c r="W481" s="160"/>
      <c r="X481" s="160"/>
      <c r="Y481" s="161"/>
    </row>
    <row r="482" ht="15.75" customHeight="1">
      <c r="A482" s="146" t="s">
        <v>273</v>
      </c>
      <c r="B482" s="146" t="str">
        <f>IFERROR(VLOOKUP(A482&amp;"", STUDENTS!A:B, 2, 0), "")</f>
        <v>LE MINH TRUONG</v>
      </c>
      <c r="C482" s="147" t="s">
        <v>92</v>
      </c>
      <c r="D482" s="147" t="str">
        <f>IFERROR(VLOOKUP(C482, PIC!A:B, 2, 0), "")</f>
        <v>Liên Nguyễn</v>
      </c>
      <c r="E482" s="148" t="s">
        <v>25</v>
      </c>
      <c r="F482" s="149"/>
      <c r="G482" s="150"/>
      <c r="H482" s="150"/>
      <c r="I482" s="149">
        <v>45938.58333333334</v>
      </c>
      <c r="J482" s="150">
        <v>45947.54166666666</v>
      </c>
      <c r="K482" s="149">
        <v>45952.625</v>
      </c>
      <c r="L482" s="150">
        <v>45961.58333333334</v>
      </c>
      <c r="M482" s="150" t="s">
        <v>815</v>
      </c>
      <c r="N482" s="149">
        <v>45974.58333333334</v>
      </c>
      <c r="O482" s="149" t="s">
        <v>815</v>
      </c>
      <c r="P482" s="149">
        <v>45989.58333333334</v>
      </c>
      <c r="Q482" s="149">
        <v>45994.54166666666</v>
      </c>
      <c r="R482" s="149">
        <v>46010.58333333334</v>
      </c>
      <c r="S482" s="149">
        <v>46049.54166666666</v>
      </c>
      <c r="T482" s="149">
        <v>46052.58333333334</v>
      </c>
      <c r="U482" s="150" t="s">
        <v>815</v>
      </c>
      <c r="V482" s="151">
        <f t="shared" si="2"/>
        <v>46052.58333</v>
      </c>
      <c r="W482" s="152"/>
      <c r="X482" s="152"/>
      <c r="Y482" s="161"/>
    </row>
    <row r="483" ht="15.75" customHeight="1">
      <c r="A483" s="154" t="s">
        <v>302</v>
      </c>
      <c r="B483" s="154" t="str">
        <f>IFERROR(VLOOKUP(A483&amp;"", STUDENTS!A:B, 2, 0), "")</f>
        <v>LE VAN DONG TAM</v>
      </c>
      <c r="C483" s="155" t="s">
        <v>92</v>
      </c>
      <c r="D483" s="155" t="str">
        <f>IFERROR(VLOOKUP(C483, PIC!A:B, 2, 0), "")</f>
        <v>Liên Nguyễn</v>
      </c>
      <c r="E483" s="156" t="s">
        <v>25</v>
      </c>
      <c r="F483" s="157"/>
      <c r="G483" s="158"/>
      <c r="H483" s="158"/>
      <c r="I483" s="157" t="s">
        <v>815</v>
      </c>
      <c r="J483" s="158" t="s">
        <v>815</v>
      </c>
      <c r="K483" s="157">
        <v>45952.625</v>
      </c>
      <c r="L483" s="158">
        <v>45961.58333333334</v>
      </c>
      <c r="M483" s="158" t="s">
        <v>815</v>
      </c>
      <c r="N483" s="157" t="s">
        <v>815</v>
      </c>
      <c r="O483" s="157">
        <v>45982.625</v>
      </c>
      <c r="P483" s="157">
        <v>45989.58333333334</v>
      </c>
      <c r="Q483" s="157" t="s">
        <v>815</v>
      </c>
      <c r="R483" s="157">
        <v>46010.58333333334</v>
      </c>
      <c r="S483" s="157">
        <v>46049.54166666666</v>
      </c>
      <c r="T483" s="157">
        <v>46052.58333333334</v>
      </c>
      <c r="U483" s="158">
        <v>46083.58333333334</v>
      </c>
      <c r="V483" s="159">
        <f t="shared" si="2"/>
        <v>46083.58333</v>
      </c>
      <c r="W483" s="160"/>
      <c r="X483" s="160"/>
      <c r="Y483" s="161"/>
    </row>
    <row r="484" ht="15.75" customHeight="1">
      <c r="A484" s="146" t="s">
        <v>361</v>
      </c>
      <c r="B484" s="146" t="str">
        <f>IFERROR(VLOOKUP(A484&amp;"", STUDENTS!A:B, 2, 0), "")</f>
        <v>NGUYEN DUY PHONG</v>
      </c>
      <c r="C484" s="147" t="s">
        <v>92</v>
      </c>
      <c r="D484" s="147" t="str">
        <f>IFERROR(VLOOKUP(C484, PIC!A:B, 2, 0), "")</f>
        <v>Liên Nguyễn</v>
      </c>
      <c r="E484" s="148" t="s">
        <v>25</v>
      </c>
      <c r="F484" s="149"/>
      <c r="G484" s="150"/>
      <c r="H484" s="150"/>
      <c r="I484" s="149" t="s">
        <v>815</v>
      </c>
      <c r="J484" s="150" t="s">
        <v>815</v>
      </c>
      <c r="K484" s="149" t="s">
        <v>815</v>
      </c>
      <c r="L484" s="150" t="s">
        <v>815</v>
      </c>
      <c r="M484" s="150" t="s">
        <v>815</v>
      </c>
      <c r="N484" s="149" t="s">
        <v>815</v>
      </c>
      <c r="O484" s="149" t="s">
        <v>815</v>
      </c>
      <c r="P484" s="149"/>
      <c r="Q484" s="149"/>
      <c r="R484" s="149"/>
      <c r="S484" s="149"/>
      <c r="T484" s="149"/>
      <c r="U484" s="150"/>
      <c r="V484" s="151">
        <f t="shared" si="2"/>
        <v>0</v>
      </c>
      <c r="W484" s="152"/>
      <c r="X484" s="152"/>
      <c r="Y484" s="161"/>
    </row>
    <row r="485" ht="15.75" customHeight="1">
      <c r="A485" s="154" t="s">
        <v>385</v>
      </c>
      <c r="B485" s="154" t="str">
        <f>IFERROR(VLOOKUP(A485&amp;"", STUDENTS!A:B, 2, 0), "")</f>
        <v>NGUYEN HUU DUY</v>
      </c>
      <c r="C485" s="155" t="s">
        <v>92</v>
      </c>
      <c r="D485" s="155" t="str">
        <f>IFERROR(VLOOKUP(C485, PIC!A:B, 2, 0), "")</f>
        <v>Liên Nguyễn</v>
      </c>
      <c r="E485" s="156" t="s">
        <v>25</v>
      </c>
      <c r="F485" s="157"/>
      <c r="G485" s="158"/>
      <c r="H485" s="158"/>
      <c r="I485" s="157">
        <v>45938.58333333334</v>
      </c>
      <c r="J485" s="158">
        <v>45947.54166666666</v>
      </c>
      <c r="K485" s="157">
        <v>45952.625</v>
      </c>
      <c r="L485" s="158">
        <v>45961.58333333334</v>
      </c>
      <c r="M485" s="158" t="s">
        <v>815</v>
      </c>
      <c r="N485" s="157">
        <v>45974.58333333334</v>
      </c>
      <c r="O485" s="157" t="s">
        <v>815</v>
      </c>
      <c r="P485" s="157">
        <v>45989.58333333334</v>
      </c>
      <c r="Q485" s="157" t="s">
        <v>815</v>
      </c>
      <c r="R485" s="157">
        <v>46010.58333333334</v>
      </c>
      <c r="S485" s="157" t="s">
        <v>815</v>
      </c>
      <c r="T485" s="157">
        <v>46052.58333333334</v>
      </c>
      <c r="U485" s="158">
        <v>46083.58333333334</v>
      </c>
      <c r="V485" s="159">
        <f t="shared" si="2"/>
        <v>46083.58333</v>
      </c>
      <c r="W485" s="160"/>
      <c r="X485" s="160"/>
      <c r="Y485" s="161"/>
    </row>
    <row r="486" ht="15.75" customHeight="1">
      <c r="A486" s="146" t="s">
        <v>405</v>
      </c>
      <c r="B486" s="146" t="str">
        <f>IFERROR(VLOOKUP(A486&amp;"", STUDENTS!A:B, 2, 0), "")</f>
        <v>NGUYỄN MINH LIÊN</v>
      </c>
      <c r="C486" s="147" t="s">
        <v>92</v>
      </c>
      <c r="D486" s="147" t="str">
        <f>IFERROR(VLOOKUP(C486, PIC!A:B, 2, 0), "")</f>
        <v>Liên Nguyễn</v>
      </c>
      <c r="E486" s="148" t="s">
        <v>25</v>
      </c>
      <c r="F486" s="149">
        <v>45917.58333333334</v>
      </c>
      <c r="G486" s="150">
        <v>45925.54166666666</v>
      </c>
      <c r="H486" s="150"/>
      <c r="I486" s="149">
        <v>45938.58333333334</v>
      </c>
      <c r="J486" s="150" t="s">
        <v>815</v>
      </c>
      <c r="K486" s="149">
        <v>45952.625</v>
      </c>
      <c r="L486" s="150">
        <v>45961.58333333334</v>
      </c>
      <c r="M486" s="150">
        <v>45966.625</v>
      </c>
      <c r="N486" s="149">
        <v>45974.58333333334</v>
      </c>
      <c r="O486" s="149" t="s">
        <v>815</v>
      </c>
      <c r="P486" s="149" t="s">
        <v>815</v>
      </c>
      <c r="Q486" s="149"/>
      <c r="R486" s="149">
        <v>46010.58333333334</v>
      </c>
      <c r="S486" s="149" t="s">
        <v>815</v>
      </c>
      <c r="T486" s="149">
        <v>46052.58333333334</v>
      </c>
      <c r="U486" s="150">
        <v>46083.58333333334</v>
      </c>
      <c r="V486" s="151">
        <f t="shared" si="2"/>
        <v>46083.58333</v>
      </c>
      <c r="W486" s="152"/>
      <c r="X486" s="152"/>
      <c r="Y486" s="161"/>
    </row>
    <row r="487" ht="15.75" customHeight="1">
      <c r="A487" s="154" t="s">
        <v>470</v>
      </c>
      <c r="B487" s="154" t="str">
        <f>IFERROR(VLOOKUP(A487&amp;"", STUDENTS!A:B, 2, 0), "")</f>
        <v>NGUYỄN THỊ KIM TRANG</v>
      </c>
      <c r="C487" s="155" t="s">
        <v>92</v>
      </c>
      <c r="D487" s="155" t="str">
        <f>IFERROR(VLOOKUP(C487, PIC!A:B, 2, 0), "")</f>
        <v>Liên Nguyễn</v>
      </c>
      <c r="E487" s="156" t="s">
        <v>25</v>
      </c>
      <c r="F487" s="157">
        <v>45917.58333333334</v>
      </c>
      <c r="G487" s="158">
        <v>45925.54166666666</v>
      </c>
      <c r="H487" s="158"/>
      <c r="I487" s="157">
        <v>45938.58333333334</v>
      </c>
      <c r="J487" s="158">
        <v>45947.54166666666</v>
      </c>
      <c r="K487" s="157">
        <v>45952.625</v>
      </c>
      <c r="L487" s="158" t="s">
        <v>815</v>
      </c>
      <c r="M487" s="158">
        <v>45966.625</v>
      </c>
      <c r="N487" s="157">
        <v>45974.58333333334</v>
      </c>
      <c r="O487" s="157">
        <v>45982.625</v>
      </c>
      <c r="P487" s="157">
        <v>45989.58333333334</v>
      </c>
      <c r="Q487" s="157" t="s">
        <v>815</v>
      </c>
      <c r="R487" s="157">
        <v>46010.58333333334</v>
      </c>
      <c r="S487" s="157">
        <v>46049.54166666666</v>
      </c>
      <c r="T487" s="157">
        <v>46052.58333333334</v>
      </c>
      <c r="U487" s="158">
        <v>46083.58333333334</v>
      </c>
      <c r="V487" s="159">
        <f t="shared" si="2"/>
        <v>46083.58333</v>
      </c>
      <c r="W487" s="160"/>
      <c r="X487" s="160"/>
      <c r="Y487" s="161"/>
    </row>
    <row r="488" ht="15.75" customHeight="1">
      <c r="A488" s="146" t="s">
        <v>532</v>
      </c>
      <c r="B488" s="146" t="str">
        <f>IFERROR(VLOOKUP(A488&amp;"", STUDENTS!A:B, 2, 0), "")</f>
        <v>PHẠM HUỲNH TÂN</v>
      </c>
      <c r="C488" s="147" t="s">
        <v>92</v>
      </c>
      <c r="D488" s="147" t="str">
        <f>IFERROR(VLOOKUP(C488, PIC!A:B, 2, 0), "")</f>
        <v>Liên Nguyễn</v>
      </c>
      <c r="E488" s="148" t="s">
        <v>25</v>
      </c>
      <c r="F488" s="149">
        <v>45917.58333333334</v>
      </c>
      <c r="G488" s="150">
        <v>45925.54166666666</v>
      </c>
      <c r="H488" s="150"/>
      <c r="I488" s="149">
        <v>45938.58333333334</v>
      </c>
      <c r="J488" s="150">
        <v>45947.54166666666</v>
      </c>
      <c r="K488" s="149" t="s">
        <v>815</v>
      </c>
      <c r="L488" s="150">
        <v>45961.58333333334</v>
      </c>
      <c r="M488" s="150">
        <v>45966.625</v>
      </c>
      <c r="N488" s="149">
        <v>45974.58333333334</v>
      </c>
      <c r="O488" s="149">
        <v>45982.625</v>
      </c>
      <c r="P488" s="149" t="s">
        <v>815</v>
      </c>
      <c r="Q488" s="149" t="s">
        <v>815</v>
      </c>
      <c r="R488" s="149">
        <v>46010.58333333334</v>
      </c>
      <c r="S488" s="149">
        <v>46049.54166666666</v>
      </c>
      <c r="T488" s="149">
        <v>46052.58333333334</v>
      </c>
      <c r="U488" s="150">
        <v>46083.58333333334</v>
      </c>
      <c r="V488" s="151">
        <f t="shared" si="2"/>
        <v>46083.58333</v>
      </c>
      <c r="W488" s="152"/>
      <c r="X488" s="152"/>
      <c r="Y488" s="161"/>
    </row>
    <row r="489" ht="15.75" customHeight="1">
      <c r="A489" s="154" t="s">
        <v>273</v>
      </c>
      <c r="B489" s="154" t="str">
        <f>IFERROR(VLOOKUP(A489&amp;"", STUDENTS!A:B, 2, 0), "")</f>
        <v>LE MINH TRUONG</v>
      </c>
      <c r="C489" s="155" t="s">
        <v>93</v>
      </c>
      <c r="D489" s="155" t="str">
        <f>IFERROR(VLOOKUP(C489, PIC!A:B, 2, 0), "")</f>
        <v>Quyen Nguyen</v>
      </c>
      <c r="E489" s="156" t="s">
        <v>21</v>
      </c>
      <c r="F489" s="157">
        <v>45929.58333333334</v>
      </c>
      <c r="G489" s="158" t="s">
        <v>815</v>
      </c>
      <c r="H489" s="158" t="s">
        <v>815</v>
      </c>
      <c r="I489" s="157" t="s">
        <v>815</v>
      </c>
      <c r="J489" s="158" t="s">
        <v>815</v>
      </c>
      <c r="K489" s="157" t="s">
        <v>815</v>
      </c>
      <c r="L489" s="158" t="s">
        <v>815</v>
      </c>
      <c r="M489" s="158"/>
      <c r="N489" s="157"/>
      <c r="O489" s="157"/>
      <c r="P489" s="157"/>
      <c r="Q489" s="157"/>
      <c r="R489" s="157"/>
      <c r="S489" s="157"/>
      <c r="T489" s="157"/>
      <c r="U489" s="158"/>
      <c r="V489" s="159">
        <f t="shared" si="2"/>
        <v>45929.58333</v>
      </c>
      <c r="W489" s="160"/>
      <c r="X489" s="160"/>
      <c r="Y489" s="161"/>
    </row>
    <row r="490" ht="15.75" customHeight="1">
      <c r="A490" s="146" t="s">
        <v>385</v>
      </c>
      <c r="B490" s="146" t="str">
        <f>IFERROR(VLOOKUP(A490&amp;"", STUDENTS!A:B, 2, 0), "")</f>
        <v>NGUYEN HUU DUY</v>
      </c>
      <c r="C490" s="147" t="s">
        <v>93</v>
      </c>
      <c r="D490" s="147" t="str">
        <f>IFERROR(VLOOKUP(C490, PIC!A:B, 2, 0), "")</f>
        <v>Quyen Nguyen</v>
      </c>
      <c r="E490" s="148" t="s">
        <v>21</v>
      </c>
      <c r="F490" s="149">
        <v>45929.58333333334</v>
      </c>
      <c r="G490" s="150" t="s">
        <v>815</v>
      </c>
      <c r="H490" s="150" t="s">
        <v>815</v>
      </c>
      <c r="I490" s="149" t="s">
        <v>815</v>
      </c>
      <c r="J490" s="150" t="s">
        <v>815</v>
      </c>
      <c r="K490" s="149" t="s">
        <v>815</v>
      </c>
      <c r="L490" s="150" t="s">
        <v>815</v>
      </c>
      <c r="M490" s="150"/>
      <c r="N490" s="149"/>
      <c r="O490" s="149"/>
      <c r="P490" s="149"/>
      <c r="Q490" s="149"/>
      <c r="R490" s="149"/>
      <c r="S490" s="149"/>
      <c r="T490" s="149"/>
      <c r="U490" s="150"/>
      <c r="V490" s="151">
        <f t="shared" si="2"/>
        <v>45929.58333</v>
      </c>
      <c r="W490" s="152"/>
      <c r="X490" s="152"/>
      <c r="Y490" s="161"/>
    </row>
    <row r="491" ht="15.75" customHeight="1">
      <c r="A491" s="154" t="s">
        <v>427</v>
      </c>
      <c r="B491" s="154" t="str">
        <f>IFERROR(VLOOKUP(A491&amp;"", STUDENTS!A:B, 2, 0), "")</f>
        <v>NGUYỄN PHÚC VINH</v>
      </c>
      <c r="C491" s="155" t="s">
        <v>93</v>
      </c>
      <c r="D491" s="155" t="str">
        <f>IFERROR(VLOOKUP(C491, PIC!A:B, 2, 0), "")</f>
        <v>Quyen Nguyen</v>
      </c>
      <c r="E491" s="156" t="s">
        <v>21</v>
      </c>
      <c r="F491" s="157">
        <v>45929.58333333334</v>
      </c>
      <c r="G491" s="158">
        <v>45938.58333333334</v>
      </c>
      <c r="H491" s="158">
        <v>45950.54166666666</v>
      </c>
      <c r="I491" s="157">
        <v>45952.58333333334</v>
      </c>
      <c r="J491" s="158">
        <v>45959.58333333334</v>
      </c>
      <c r="K491" s="157">
        <v>45966.54166666666</v>
      </c>
      <c r="L491" s="158">
        <v>45985.54166666666</v>
      </c>
      <c r="M491" s="158">
        <v>45999.54166666666</v>
      </c>
      <c r="N491" s="157">
        <v>46006.54166666666</v>
      </c>
      <c r="O491" s="157">
        <v>46008.54166666666</v>
      </c>
      <c r="P491" s="157">
        <v>46013.54166666666</v>
      </c>
      <c r="Q491" s="157">
        <v>46041.58333333334</v>
      </c>
      <c r="R491" s="157">
        <v>46048.58333333334</v>
      </c>
      <c r="S491" s="157">
        <v>46087.54166666666</v>
      </c>
      <c r="T491" s="157">
        <v>46094.54166666666</v>
      </c>
      <c r="U491" s="158"/>
      <c r="V491" s="159">
        <f t="shared" si="2"/>
        <v>46094.54167</v>
      </c>
      <c r="W491" s="160"/>
      <c r="X491" s="160"/>
      <c r="Y491" s="161"/>
    </row>
    <row r="492" ht="15.75" customHeight="1">
      <c r="A492" s="146" t="s">
        <v>502</v>
      </c>
      <c r="B492" s="146" t="str">
        <f>IFERROR(VLOOKUP(A492&amp;"", STUDENTS!A:B, 2, 0), "")</f>
        <v>NGUYỄN TRƯƠNG BẢO QUYÊN</v>
      </c>
      <c r="C492" s="147" t="s">
        <v>93</v>
      </c>
      <c r="D492" s="147" t="str">
        <f>IFERROR(VLOOKUP(C492, PIC!A:B, 2, 0), "")</f>
        <v>Quyen Nguyen</v>
      </c>
      <c r="E492" s="148" t="s">
        <v>21</v>
      </c>
      <c r="F492" s="149">
        <v>45929.58333333334</v>
      </c>
      <c r="G492" s="150">
        <v>45938.58333333334</v>
      </c>
      <c r="H492" s="150">
        <v>45950.54166666666</v>
      </c>
      <c r="I492" s="149">
        <v>45952.58333333334</v>
      </c>
      <c r="J492" s="150">
        <v>45959.58333333334</v>
      </c>
      <c r="K492" s="149">
        <v>45966.54166666666</v>
      </c>
      <c r="L492" s="150">
        <v>45985.54166666666</v>
      </c>
      <c r="M492" s="150">
        <v>45999.54166666666</v>
      </c>
      <c r="N492" s="149">
        <v>46006.54166666666</v>
      </c>
      <c r="O492" s="149">
        <v>46008.54166666666</v>
      </c>
      <c r="P492" s="149">
        <v>46013.54166666666</v>
      </c>
      <c r="Q492" s="149">
        <v>46041.58333333334</v>
      </c>
      <c r="R492" s="149">
        <v>46048.58333333334</v>
      </c>
      <c r="S492" s="149">
        <v>46087.54166666666</v>
      </c>
      <c r="T492" s="149">
        <v>46094.54166666666</v>
      </c>
      <c r="U492" s="150"/>
      <c r="V492" s="151">
        <f t="shared" si="2"/>
        <v>46094.54167</v>
      </c>
      <c r="W492" s="152"/>
      <c r="X492" s="152"/>
      <c r="Y492" s="161"/>
    </row>
    <row r="493" ht="15.75" customHeight="1">
      <c r="A493" s="154" t="s">
        <v>655</v>
      </c>
      <c r="B493" s="154" t="str">
        <f>IFERROR(VLOOKUP(A493&amp;"", STUDENTS!A:B, 2, 0), "")</f>
        <v>TRẦN THỊ HUỲNH NHƯ</v>
      </c>
      <c r="C493" s="155" t="s">
        <v>93</v>
      </c>
      <c r="D493" s="155" t="str">
        <f>IFERROR(VLOOKUP(C493, PIC!A:B, 2, 0), "")</f>
        <v>Quyen Nguyen</v>
      </c>
      <c r="E493" s="156" t="s">
        <v>21</v>
      </c>
      <c r="F493" s="157">
        <v>45929.58333333334</v>
      </c>
      <c r="G493" s="158">
        <v>45938.58333333334</v>
      </c>
      <c r="H493" s="158">
        <v>45950.54166666666</v>
      </c>
      <c r="I493" s="157">
        <v>45952.58333333334</v>
      </c>
      <c r="J493" s="158" t="s">
        <v>815</v>
      </c>
      <c r="K493" s="157">
        <v>45966.54166666666</v>
      </c>
      <c r="L493" s="158">
        <v>45985.54166666666</v>
      </c>
      <c r="M493" s="158">
        <v>45999.54166666666</v>
      </c>
      <c r="N493" s="157">
        <v>46006.54166666666</v>
      </c>
      <c r="O493" s="157">
        <v>46008.54166666666</v>
      </c>
      <c r="P493" s="157">
        <v>46013.54166666666</v>
      </c>
      <c r="Q493" s="157">
        <v>46041.58333333334</v>
      </c>
      <c r="R493" s="157">
        <v>46048.58333333334</v>
      </c>
      <c r="S493" s="157">
        <v>46087.54166666666</v>
      </c>
      <c r="T493" s="157">
        <v>46094.54166666666</v>
      </c>
      <c r="U493" s="158"/>
      <c r="V493" s="159">
        <f t="shared" si="2"/>
        <v>46094.54167</v>
      </c>
      <c r="W493" s="160"/>
      <c r="X493" s="160"/>
      <c r="Y493" s="161"/>
    </row>
    <row r="494" ht="15.75" customHeight="1">
      <c r="A494" s="146" t="s">
        <v>705</v>
      </c>
      <c r="B494" s="146" t="str">
        <f>IFERROR(VLOOKUP(A494&amp;"", STUDENTS!A:B, 2, 0), "")</f>
        <v>VÕ THỊ HƯƠNG GIANG</v>
      </c>
      <c r="C494" s="147" t="s">
        <v>93</v>
      </c>
      <c r="D494" s="147" t="str">
        <f>IFERROR(VLOOKUP(C494, PIC!A:B, 2, 0), "")</f>
        <v>Quyen Nguyen</v>
      </c>
      <c r="E494" s="148" t="s">
        <v>21</v>
      </c>
      <c r="F494" s="149">
        <v>45929.58333333334</v>
      </c>
      <c r="G494" s="150">
        <v>45938.58333333334</v>
      </c>
      <c r="H494" s="150">
        <v>45950.54166666666</v>
      </c>
      <c r="I494" s="149">
        <v>45952.58333333334</v>
      </c>
      <c r="J494" s="150">
        <v>45959.58333333334</v>
      </c>
      <c r="K494" s="149">
        <v>45966.54166666666</v>
      </c>
      <c r="L494" s="150">
        <v>45985.54166666666</v>
      </c>
      <c r="M494" s="150">
        <v>45999.54166666666</v>
      </c>
      <c r="N494" s="149">
        <v>46006.54166666666</v>
      </c>
      <c r="O494" s="149" t="s">
        <v>815</v>
      </c>
      <c r="P494" s="149" t="s">
        <v>815</v>
      </c>
      <c r="Q494" s="149" t="s">
        <v>815</v>
      </c>
      <c r="R494" s="149" t="s">
        <v>815</v>
      </c>
      <c r="S494" s="149" t="s">
        <v>815</v>
      </c>
      <c r="T494" s="149"/>
      <c r="U494" s="150"/>
      <c r="V494" s="151">
        <f t="shared" si="2"/>
        <v>46006.54167</v>
      </c>
      <c r="W494" s="152"/>
      <c r="X494" s="152"/>
      <c r="Y494" s="161"/>
    </row>
    <row r="495" ht="15.75" customHeight="1">
      <c r="A495" s="154" t="s">
        <v>149</v>
      </c>
      <c r="B495" s="154" t="str">
        <f>IFERROR(VLOOKUP(A495&amp;"", STUDENTS!A:B, 2, 0), "")</f>
        <v>Chu Thị Lệ Quỳnh</v>
      </c>
      <c r="C495" s="155" t="s">
        <v>94</v>
      </c>
      <c r="D495" s="155" t="str">
        <f>IFERROR(VLOOKUP(C495, PIC!A:B, 2, 0), "")</f>
        <v>Phuoc Ta</v>
      </c>
      <c r="E495" s="156" t="s">
        <v>21</v>
      </c>
      <c r="F495" s="157"/>
      <c r="G495" s="158"/>
      <c r="H495" s="158">
        <v>46098.41666666666</v>
      </c>
      <c r="I495" s="157">
        <v>46104.54166666666</v>
      </c>
      <c r="J495" s="158">
        <v>46112.45833333334</v>
      </c>
      <c r="K495" s="157">
        <v>46119.41666666666</v>
      </c>
      <c r="L495" s="158">
        <v>46126.45833333334</v>
      </c>
      <c r="M495" s="158"/>
      <c r="N495" s="157"/>
      <c r="O495" s="157"/>
      <c r="P495" s="157"/>
      <c r="Q495" s="157"/>
      <c r="R495" s="157"/>
      <c r="S495" s="157"/>
      <c r="T495" s="157"/>
      <c r="U495" s="158"/>
      <c r="V495" s="159">
        <f t="shared" si="2"/>
        <v>46126.45833</v>
      </c>
      <c r="W495" s="160"/>
      <c r="X495" s="160"/>
      <c r="Y495" s="161"/>
    </row>
    <row r="496" ht="15.75" customHeight="1">
      <c r="A496" s="146" t="s">
        <v>344</v>
      </c>
      <c r="B496" s="146" t="str">
        <f>IFERROR(VLOOKUP(A496&amp;"", STUDENTS!A:B, 2, 0), "")</f>
        <v>Nguyễn Đặng Khương Duy (Dustin)</v>
      </c>
      <c r="C496" s="147" t="s">
        <v>94</v>
      </c>
      <c r="D496" s="147" t="str">
        <f>IFERROR(VLOOKUP(C496, PIC!A:B, 2, 0), "")</f>
        <v>Phuoc Ta</v>
      </c>
      <c r="E496" s="148" t="s">
        <v>21</v>
      </c>
      <c r="F496" s="149">
        <v>46083.625</v>
      </c>
      <c r="G496" s="150">
        <v>46091.41666666666</v>
      </c>
      <c r="H496" s="150">
        <v>46098.41666666666</v>
      </c>
      <c r="I496" s="149">
        <v>46104.54166666666</v>
      </c>
      <c r="J496" s="150">
        <v>46112.45833333334</v>
      </c>
      <c r="K496" s="149">
        <v>46119.41666666666</v>
      </c>
      <c r="L496" s="150">
        <v>46126.45833333334</v>
      </c>
      <c r="M496" s="150"/>
      <c r="N496" s="149"/>
      <c r="O496" s="149"/>
      <c r="P496" s="149"/>
      <c r="Q496" s="149"/>
      <c r="R496" s="149"/>
      <c r="S496" s="149"/>
      <c r="T496" s="149"/>
      <c r="U496" s="150"/>
      <c r="V496" s="151">
        <f t="shared" si="2"/>
        <v>46126.45833</v>
      </c>
      <c r="W496" s="152"/>
      <c r="X496" s="152"/>
      <c r="Y496" s="161"/>
    </row>
    <row r="497" ht="15.75" customHeight="1">
      <c r="A497" s="154" t="s">
        <v>368</v>
      </c>
      <c r="B497" s="154" t="str">
        <f>IFERROR(VLOOKUP(A497&amp;"", STUDENTS!A:B, 2, 0), "")</f>
        <v>Nguyễn Hà Vi (V)</v>
      </c>
      <c r="C497" s="155" t="s">
        <v>94</v>
      </c>
      <c r="D497" s="155" t="str">
        <f>IFERROR(VLOOKUP(C497, PIC!A:B, 2, 0), "")</f>
        <v>Phuoc Ta</v>
      </c>
      <c r="E497" s="156" t="s">
        <v>21</v>
      </c>
      <c r="F497" s="157">
        <v>46083.625</v>
      </c>
      <c r="G497" s="158">
        <v>46091.41666666666</v>
      </c>
      <c r="H497" s="158">
        <v>46098.41666666666</v>
      </c>
      <c r="I497" s="157">
        <v>46104.54166666666</v>
      </c>
      <c r="J497" s="158">
        <v>46112.45833333334</v>
      </c>
      <c r="K497" s="157">
        <v>46119.41666666666</v>
      </c>
      <c r="L497" s="158" t="s">
        <v>815</v>
      </c>
      <c r="M497" s="158"/>
      <c r="N497" s="157"/>
      <c r="O497" s="157"/>
      <c r="P497" s="157"/>
      <c r="Q497" s="157"/>
      <c r="R497" s="157"/>
      <c r="S497" s="157"/>
      <c r="T497" s="157"/>
      <c r="U497" s="158"/>
      <c r="V497" s="159">
        <f t="shared" si="2"/>
        <v>46119.41667</v>
      </c>
      <c r="W497" s="160"/>
      <c r="X497" s="160"/>
      <c r="Y497" s="161"/>
    </row>
    <row r="498" ht="15.75" customHeight="1">
      <c r="A498" s="146" t="s">
        <v>543</v>
      </c>
      <c r="B498" s="146" t="str">
        <f>IFERROR(VLOOKUP(A498&amp;"", STUDENTS!A:B, 2, 0), "")</f>
        <v>Phạm Ngọc Hưng (Zero)</v>
      </c>
      <c r="C498" s="147" t="s">
        <v>94</v>
      </c>
      <c r="D498" s="147" t="str">
        <f>IFERROR(VLOOKUP(C498, PIC!A:B, 2, 0), "")</f>
        <v>Phuoc Ta</v>
      </c>
      <c r="E498" s="148" t="s">
        <v>21</v>
      </c>
      <c r="F498" s="149">
        <v>46083.625</v>
      </c>
      <c r="G498" s="150" t="s">
        <v>815</v>
      </c>
      <c r="H498" s="150">
        <v>46098.41666666666</v>
      </c>
      <c r="I498" s="149">
        <v>46104.54166666666</v>
      </c>
      <c r="J498" s="150">
        <v>46112.45833333334</v>
      </c>
      <c r="K498" s="149">
        <v>46119.41666666666</v>
      </c>
      <c r="L498" s="150">
        <v>46126.45833333334</v>
      </c>
      <c r="M498" s="150"/>
      <c r="N498" s="149"/>
      <c r="O498" s="149"/>
      <c r="P498" s="149"/>
      <c r="Q498" s="149"/>
      <c r="R498" s="149"/>
      <c r="S498" s="149"/>
      <c r="T498" s="149"/>
      <c r="U498" s="150"/>
      <c r="V498" s="151">
        <f t="shared" si="2"/>
        <v>46126.45833</v>
      </c>
      <c r="W498" s="152"/>
      <c r="X498" s="152"/>
      <c r="Y498" s="161"/>
    </row>
    <row r="499" ht="15.75" customHeight="1">
      <c r="A499" s="154" t="s">
        <v>579</v>
      </c>
      <c r="B499" s="154" t="str">
        <f>IFERROR(VLOOKUP(A499&amp;"", STUDENTS!A:B, 2, 0), "")</f>
        <v>Tạ Phạm Minh Chương (Chivas)</v>
      </c>
      <c r="C499" s="155" t="s">
        <v>94</v>
      </c>
      <c r="D499" s="155" t="str">
        <f>IFERROR(VLOOKUP(C499, PIC!A:B, 2, 0), "")</f>
        <v>Phuoc Ta</v>
      </c>
      <c r="E499" s="156" t="s">
        <v>21</v>
      </c>
      <c r="F499" s="157">
        <v>46083.625</v>
      </c>
      <c r="G499" s="158">
        <v>46091.41666666666</v>
      </c>
      <c r="H499" s="158">
        <v>46098.41666666666</v>
      </c>
      <c r="I499" s="157" t="s">
        <v>815</v>
      </c>
      <c r="J499" s="158">
        <v>46112.45833333334</v>
      </c>
      <c r="K499" s="157" t="s">
        <v>815</v>
      </c>
      <c r="L499" s="158" t="s">
        <v>815</v>
      </c>
      <c r="M499" s="158"/>
      <c r="N499" s="157"/>
      <c r="O499" s="157"/>
      <c r="P499" s="157"/>
      <c r="Q499" s="157"/>
      <c r="R499" s="157"/>
      <c r="S499" s="157"/>
      <c r="T499" s="157"/>
      <c r="U499" s="158"/>
      <c r="V499" s="159">
        <f t="shared" si="2"/>
        <v>46112.45833</v>
      </c>
      <c r="W499" s="160"/>
      <c r="X499" s="160"/>
      <c r="Y499" s="161"/>
    </row>
    <row r="500" ht="15.75" customHeight="1">
      <c r="A500" s="146" t="s">
        <v>581</v>
      </c>
      <c r="B500" s="146" t="str">
        <f>IFERROR(VLOOKUP(A500&amp;"", STUDENTS!A:B, 2, 0), "")</f>
        <v>Tạ Thiên Phước (Noah)</v>
      </c>
      <c r="C500" s="147" t="s">
        <v>94</v>
      </c>
      <c r="D500" s="147" t="str">
        <f>IFERROR(VLOOKUP(C500, PIC!A:B, 2, 0), "")</f>
        <v>Phuoc Ta</v>
      </c>
      <c r="E500" s="148" t="s">
        <v>21</v>
      </c>
      <c r="F500" s="149">
        <v>46083.625</v>
      </c>
      <c r="G500" s="150">
        <v>46091.41666666666</v>
      </c>
      <c r="H500" s="150">
        <v>46098.41666666666</v>
      </c>
      <c r="I500" s="149">
        <v>46104.54166666666</v>
      </c>
      <c r="J500" s="150">
        <v>46112.45833333334</v>
      </c>
      <c r="K500" s="149">
        <v>46119.41666666666</v>
      </c>
      <c r="L500" s="150">
        <v>46126.45833333334</v>
      </c>
      <c r="M500" s="150"/>
      <c r="N500" s="149"/>
      <c r="O500" s="149"/>
      <c r="P500" s="149"/>
      <c r="Q500" s="149"/>
      <c r="R500" s="149"/>
      <c r="S500" s="149"/>
      <c r="T500" s="149"/>
      <c r="U500" s="150"/>
      <c r="V500" s="151">
        <f t="shared" si="2"/>
        <v>46126.45833</v>
      </c>
      <c r="W500" s="152"/>
      <c r="X500" s="152"/>
      <c r="Y500" s="161"/>
    </row>
    <row r="501" ht="15.75" customHeight="1">
      <c r="A501" s="154" t="s">
        <v>613</v>
      </c>
      <c r="B501" s="154" t="str">
        <f>IFERROR(VLOOKUP(A501&amp;"", STUDENTS!A:B, 2, 0), "")</f>
        <v>Trần Hùng Cường (Ethan)</v>
      </c>
      <c r="C501" s="155" t="s">
        <v>94</v>
      </c>
      <c r="D501" s="155" t="str">
        <f>IFERROR(VLOOKUP(C501, PIC!A:B, 2, 0), "")</f>
        <v>Phuoc Ta</v>
      </c>
      <c r="E501" s="156" t="s">
        <v>21</v>
      </c>
      <c r="F501" s="157">
        <v>46083.625</v>
      </c>
      <c r="G501" s="158">
        <v>46091.41666666666</v>
      </c>
      <c r="H501" s="158">
        <v>46098.41666666666</v>
      </c>
      <c r="I501" s="157" t="s">
        <v>815</v>
      </c>
      <c r="J501" s="158">
        <v>46112.45833333334</v>
      </c>
      <c r="K501" s="157">
        <v>46119.41666666666</v>
      </c>
      <c r="L501" s="158">
        <v>46126.45833333334</v>
      </c>
      <c r="M501" s="158"/>
      <c r="N501" s="157"/>
      <c r="O501" s="157"/>
      <c r="P501" s="157"/>
      <c r="Q501" s="157"/>
      <c r="R501" s="157"/>
      <c r="S501" s="157"/>
      <c r="T501" s="157"/>
      <c r="U501" s="158"/>
      <c r="V501" s="159">
        <f t="shared" si="2"/>
        <v>46126.45833</v>
      </c>
      <c r="W501" s="160"/>
      <c r="X501" s="160"/>
      <c r="Y501" s="161"/>
    </row>
    <row r="502" ht="15.75" customHeight="1">
      <c r="A502" s="146" t="s">
        <v>151</v>
      </c>
      <c r="B502" s="146" t="str">
        <f>IFERROR(VLOOKUP(A502&amp;"", STUDENTS!A:B, 2, 0), "")</f>
        <v>CHUNG QUANG PHƯƠNG</v>
      </c>
      <c r="C502" s="147" t="s">
        <v>95</v>
      </c>
      <c r="D502" s="147" t="str">
        <f>IFERROR(VLOOKUP(C502, PIC!A:B, 2, 0), "")</f>
        <v>Phung Nguyen</v>
      </c>
      <c r="E502" s="148" t="s">
        <v>25</v>
      </c>
      <c r="F502" s="149">
        <v>46086.58333333334</v>
      </c>
      <c r="G502" s="150">
        <v>46107.625</v>
      </c>
      <c r="H502" s="150" t="s">
        <v>815</v>
      </c>
      <c r="I502" s="149">
        <v>46128.41666666666</v>
      </c>
      <c r="J502" s="150">
        <v>46129.54166666666</v>
      </c>
      <c r="K502" s="149">
        <v>46135.45833333334</v>
      </c>
      <c r="L502" s="150"/>
      <c r="M502" s="150"/>
      <c r="N502" s="149"/>
      <c r="O502" s="149"/>
      <c r="P502" s="149"/>
      <c r="Q502" s="149"/>
      <c r="R502" s="149"/>
      <c r="S502" s="149"/>
      <c r="T502" s="149"/>
      <c r="U502" s="150"/>
      <c r="V502" s="151">
        <f t="shared" si="2"/>
        <v>46135.45833</v>
      </c>
      <c r="W502" s="152"/>
      <c r="X502" s="152"/>
      <c r="Y502" s="161"/>
    </row>
    <row r="503" ht="15.75" customHeight="1">
      <c r="A503" s="154" t="s">
        <v>163</v>
      </c>
      <c r="B503" s="154" t="str">
        <f>IFERROR(VLOOKUP(A503&amp;"", STUDENTS!A:B, 2, 0), "")</f>
        <v>ĐINH QUỐC HUẤN</v>
      </c>
      <c r="C503" s="155" t="s">
        <v>95</v>
      </c>
      <c r="D503" s="155" t="str">
        <f>IFERROR(VLOOKUP(C503, PIC!A:B, 2, 0), "")</f>
        <v>Phung Nguyen</v>
      </c>
      <c r="E503" s="156" t="s">
        <v>25</v>
      </c>
      <c r="F503" s="157">
        <v>46086.58333333334</v>
      </c>
      <c r="G503" s="158">
        <v>46107.625</v>
      </c>
      <c r="H503" s="158">
        <v>46115.45833333334</v>
      </c>
      <c r="I503" s="157">
        <v>46128.41666666666</v>
      </c>
      <c r="J503" s="158">
        <v>46129.54166666666</v>
      </c>
      <c r="K503" s="157">
        <v>46135.45833333334</v>
      </c>
      <c r="L503" s="158"/>
      <c r="M503" s="158"/>
      <c r="N503" s="157"/>
      <c r="O503" s="157"/>
      <c r="P503" s="157"/>
      <c r="Q503" s="157"/>
      <c r="R503" s="157"/>
      <c r="S503" s="157"/>
      <c r="T503" s="157"/>
      <c r="U503" s="158"/>
      <c r="V503" s="159">
        <f t="shared" si="2"/>
        <v>46135.45833</v>
      </c>
      <c r="W503" s="160"/>
      <c r="X503" s="160"/>
      <c r="Y503" s="161"/>
    </row>
    <row r="504" ht="15.75" customHeight="1">
      <c r="A504" s="146" t="s">
        <v>180</v>
      </c>
      <c r="B504" s="146" t="str">
        <f>IFERROR(VLOOKUP(A504&amp;"", STUDENTS!A:B, 2, 0), "")</f>
        <v>ĐỖ NGỌC THÀNH</v>
      </c>
      <c r="C504" s="147" t="s">
        <v>95</v>
      </c>
      <c r="D504" s="147" t="str">
        <f>IFERROR(VLOOKUP(C504, PIC!A:B, 2, 0), "")</f>
        <v>Phung Nguyen</v>
      </c>
      <c r="E504" s="148" t="s">
        <v>25</v>
      </c>
      <c r="F504" s="149">
        <v>46087.45833333334</v>
      </c>
      <c r="G504" s="150">
        <v>46107.625</v>
      </c>
      <c r="H504" s="150">
        <v>46115.45833333334</v>
      </c>
      <c r="I504" s="149">
        <v>46128.41666666666</v>
      </c>
      <c r="J504" s="150">
        <v>46129.54166666666</v>
      </c>
      <c r="K504" s="149">
        <v>46135.45833333334</v>
      </c>
      <c r="L504" s="150"/>
      <c r="M504" s="150"/>
      <c r="N504" s="149"/>
      <c r="O504" s="149"/>
      <c r="P504" s="149"/>
      <c r="Q504" s="149"/>
      <c r="R504" s="149"/>
      <c r="S504" s="149"/>
      <c r="T504" s="149"/>
      <c r="U504" s="150"/>
      <c r="V504" s="151">
        <f t="shared" si="2"/>
        <v>46135.45833</v>
      </c>
      <c r="W504" s="152"/>
      <c r="X504" s="152"/>
      <c r="Y504" s="161"/>
    </row>
    <row r="505" ht="15.75" customHeight="1">
      <c r="A505" s="154" t="s">
        <v>284</v>
      </c>
      <c r="B505" s="154" t="str">
        <f>IFERROR(VLOOKUP(A505&amp;"", STUDENTS!A:B, 2, 0), "")</f>
        <v>LÊ THẾ PHƯƠNG</v>
      </c>
      <c r="C505" s="155" t="s">
        <v>95</v>
      </c>
      <c r="D505" s="155" t="str">
        <f>IFERROR(VLOOKUP(C505, PIC!A:B, 2, 0), "")</f>
        <v>Phung Nguyen</v>
      </c>
      <c r="E505" s="156" t="s">
        <v>25</v>
      </c>
      <c r="F505" s="157">
        <v>46087.45833333334</v>
      </c>
      <c r="G505" s="158">
        <v>46107.625</v>
      </c>
      <c r="H505" s="158">
        <v>46115.45833333334</v>
      </c>
      <c r="I505" s="157">
        <v>46128.41666666666</v>
      </c>
      <c r="J505" s="158">
        <v>46129.54166666666</v>
      </c>
      <c r="K505" s="157">
        <v>46135.45833333334</v>
      </c>
      <c r="L505" s="158"/>
      <c r="M505" s="158"/>
      <c r="N505" s="157"/>
      <c r="O505" s="157"/>
      <c r="P505" s="157"/>
      <c r="Q505" s="157"/>
      <c r="R505" s="157"/>
      <c r="S505" s="157"/>
      <c r="T505" s="157"/>
      <c r="U505" s="158"/>
      <c r="V505" s="159">
        <f t="shared" si="2"/>
        <v>46135.45833</v>
      </c>
      <c r="W505" s="160"/>
      <c r="X505" s="160"/>
      <c r="Y505" s="161"/>
    </row>
    <row r="506" ht="15.75" customHeight="1">
      <c r="A506" s="146" t="s">
        <v>359</v>
      </c>
      <c r="B506" s="146" t="str">
        <f>IFERROR(VLOOKUP(A506&amp;"", STUDENTS!A:B, 2, 0), "")</f>
        <v>NGUYỄN ĐỨC TIẾN</v>
      </c>
      <c r="C506" s="147" t="s">
        <v>95</v>
      </c>
      <c r="D506" s="147" t="str">
        <f>IFERROR(VLOOKUP(C506, PIC!A:B, 2, 0), "")</f>
        <v>Phung Nguyen</v>
      </c>
      <c r="E506" s="148" t="s">
        <v>25</v>
      </c>
      <c r="F506" s="149">
        <v>46087.45833333334</v>
      </c>
      <c r="G506" s="150">
        <v>46107.625</v>
      </c>
      <c r="H506" s="150">
        <v>46115.45833333334</v>
      </c>
      <c r="I506" s="149">
        <v>46128.41666666666</v>
      </c>
      <c r="J506" s="150">
        <v>46129.54166666666</v>
      </c>
      <c r="K506" s="149">
        <v>46135.45833333334</v>
      </c>
      <c r="L506" s="150"/>
      <c r="M506" s="150"/>
      <c r="N506" s="149"/>
      <c r="O506" s="149"/>
      <c r="P506" s="149"/>
      <c r="Q506" s="149"/>
      <c r="R506" s="149"/>
      <c r="S506" s="149"/>
      <c r="T506" s="149"/>
      <c r="U506" s="150"/>
      <c r="V506" s="151">
        <f t="shared" si="2"/>
        <v>46135.45833</v>
      </c>
      <c r="W506" s="152"/>
      <c r="X506" s="152"/>
      <c r="Y506" s="161"/>
    </row>
    <row r="507" ht="15.75" customHeight="1">
      <c r="A507" s="154" t="s">
        <v>365</v>
      </c>
      <c r="B507" s="154" t="str">
        <f>IFERROR(VLOOKUP(A507&amp;"", STUDENTS!A:B, 2, 0), "")</f>
        <v>NGUYỄN DUY PHÚ</v>
      </c>
      <c r="C507" s="155" t="s">
        <v>95</v>
      </c>
      <c r="D507" s="155" t="str">
        <f>IFERROR(VLOOKUP(C507, PIC!A:B, 2, 0), "")</f>
        <v>Phung Nguyen</v>
      </c>
      <c r="E507" s="156" t="s">
        <v>25</v>
      </c>
      <c r="F507" s="157">
        <v>46087.45833333334</v>
      </c>
      <c r="G507" s="158">
        <v>46107.625</v>
      </c>
      <c r="H507" s="158">
        <v>46115.45833333334</v>
      </c>
      <c r="I507" s="157">
        <v>46128.41666666666</v>
      </c>
      <c r="J507" s="158">
        <v>46129.54166666666</v>
      </c>
      <c r="K507" s="157">
        <v>46135.45833333334</v>
      </c>
      <c r="L507" s="158"/>
      <c r="M507" s="158"/>
      <c r="N507" s="157"/>
      <c r="O507" s="157"/>
      <c r="P507" s="157"/>
      <c r="Q507" s="157"/>
      <c r="R507" s="157"/>
      <c r="S507" s="157"/>
      <c r="T507" s="157"/>
      <c r="U507" s="158"/>
      <c r="V507" s="159">
        <f t="shared" si="2"/>
        <v>46135.45833</v>
      </c>
      <c r="W507" s="160"/>
      <c r="X507" s="160"/>
      <c r="Y507" s="161"/>
    </row>
    <row r="508" ht="15.75" customHeight="1">
      <c r="A508" s="146" t="s">
        <v>393</v>
      </c>
      <c r="B508" s="146" t="str">
        <f>IFERROR(VLOOKUP(A508&amp;"", STUDENTS!A:B, 2, 0), "")</f>
        <v>NGUYỄN HUỲNH SƠN</v>
      </c>
      <c r="C508" s="147" t="s">
        <v>95</v>
      </c>
      <c r="D508" s="147" t="str">
        <f>IFERROR(VLOOKUP(C508, PIC!A:B, 2, 0), "")</f>
        <v>Phung Nguyen</v>
      </c>
      <c r="E508" s="148" t="s">
        <v>25</v>
      </c>
      <c r="F508" s="149">
        <v>46087.45833333334</v>
      </c>
      <c r="G508" s="150">
        <v>46107.625</v>
      </c>
      <c r="H508" s="150">
        <v>46115.45833333334</v>
      </c>
      <c r="I508" s="149">
        <v>46128.41666666666</v>
      </c>
      <c r="J508" s="150">
        <v>46129.54166666666</v>
      </c>
      <c r="K508" s="149">
        <v>46135.45833333334</v>
      </c>
      <c r="L508" s="150"/>
      <c r="M508" s="150"/>
      <c r="N508" s="149"/>
      <c r="O508" s="149"/>
      <c r="P508" s="149"/>
      <c r="Q508" s="149"/>
      <c r="R508" s="149"/>
      <c r="S508" s="149"/>
      <c r="T508" s="149"/>
      <c r="U508" s="150"/>
      <c r="V508" s="151">
        <f t="shared" si="2"/>
        <v>46135.45833</v>
      </c>
      <c r="W508" s="152"/>
      <c r="X508" s="152"/>
      <c r="Y508" s="161"/>
    </row>
    <row r="509" ht="15.75" customHeight="1">
      <c r="A509" s="154" t="s">
        <v>409</v>
      </c>
      <c r="B509" s="154" t="str">
        <f>IFERROR(VLOOKUP(A509&amp;"", STUDENTS!A:B, 2, 0), "")</f>
        <v>NGUYỄN MINH QUANG</v>
      </c>
      <c r="C509" s="155" t="s">
        <v>95</v>
      </c>
      <c r="D509" s="155" t="str">
        <f>IFERROR(VLOOKUP(C509, PIC!A:B, 2, 0), "")</f>
        <v>Phung Nguyen</v>
      </c>
      <c r="E509" s="156" t="s">
        <v>25</v>
      </c>
      <c r="F509" s="157">
        <v>46086.58333333334</v>
      </c>
      <c r="G509" s="158">
        <v>46107.625</v>
      </c>
      <c r="H509" s="158">
        <v>46115.45833333334</v>
      </c>
      <c r="I509" s="157">
        <v>46128.41666666666</v>
      </c>
      <c r="J509" s="158">
        <v>46129.54166666666</v>
      </c>
      <c r="K509" s="157">
        <v>46135.45833333334</v>
      </c>
      <c r="L509" s="158"/>
      <c r="M509" s="158"/>
      <c r="N509" s="157"/>
      <c r="O509" s="157"/>
      <c r="P509" s="157"/>
      <c r="Q509" s="157"/>
      <c r="R509" s="157"/>
      <c r="S509" s="157"/>
      <c r="T509" s="157"/>
      <c r="U509" s="158"/>
      <c r="V509" s="159">
        <f t="shared" si="2"/>
        <v>46135.45833</v>
      </c>
      <c r="W509" s="160"/>
      <c r="X509" s="160"/>
      <c r="Y509" s="161"/>
    </row>
    <row r="510" ht="15.75" customHeight="1">
      <c r="A510" s="146" t="s">
        <v>478</v>
      </c>
      <c r="B510" s="146" t="str">
        <f>IFERROR(VLOOKUP(A510&amp;"", STUDENTS!A:B, 2, 0), "")</f>
        <v>NGUYỄN THỊ THÙY LINH</v>
      </c>
      <c r="C510" s="147" t="s">
        <v>95</v>
      </c>
      <c r="D510" s="147" t="str">
        <f>IFERROR(VLOOKUP(C510, PIC!A:B, 2, 0), "")</f>
        <v>Phung Nguyen</v>
      </c>
      <c r="E510" s="148" t="s">
        <v>25</v>
      </c>
      <c r="F510" s="149">
        <v>46087.45833333334</v>
      </c>
      <c r="G510" s="150" t="s">
        <v>815</v>
      </c>
      <c r="H510" s="150" t="s">
        <v>815</v>
      </c>
      <c r="I510" s="149" t="s">
        <v>815</v>
      </c>
      <c r="J510" s="148" t="s">
        <v>815</v>
      </c>
      <c r="K510" s="146" t="s">
        <v>815</v>
      </c>
      <c r="L510" s="150"/>
      <c r="M510" s="150"/>
      <c r="N510" s="149"/>
      <c r="O510" s="149"/>
      <c r="P510" s="149"/>
      <c r="Q510" s="149"/>
      <c r="R510" s="149"/>
      <c r="S510" s="149"/>
      <c r="T510" s="149"/>
      <c r="U510" s="150"/>
      <c r="V510" s="151">
        <f t="shared" si="2"/>
        <v>46087.45833</v>
      </c>
      <c r="W510" s="152"/>
      <c r="X510" s="152"/>
      <c r="Y510" s="161"/>
    </row>
    <row r="511" ht="15.75" customHeight="1">
      <c r="A511" s="154" t="s">
        <v>585</v>
      </c>
      <c r="B511" s="154" t="str">
        <f>IFERROR(VLOOKUP(A511&amp;"", STUDENTS!A:B, 2, 0), "")</f>
        <v>THẠCH THÁI HUY</v>
      </c>
      <c r="C511" s="155" t="s">
        <v>95</v>
      </c>
      <c r="D511" s="155" t="str">
        <f>IFERROR(VLOOKUP(C511, PIC!A:B, 2, 0), "")</f>
        <v>Phung Nguyen</v>
      </c>
      <c r="E511" s="156" t="s">
        <v>25</v>
      </c>
      <c r="F511" s="157">
        <v>46087.45833333334</v>
      </c>
      <c r="G511" s="158">
        <v>46107.625</v>
      </c>
      <c r="H511" s="158">
        <v>46115.45833333334</v>
      </c>
      <c r="I511" s="157">
        <v>46128.41666666666</v>
      </c>
      <c r="J511" s="158"/>
      <c r="K511" s="157">
        <v>46135.45833333334</v>
      </c>
      <c r="L511" s="158"/>
      <c r="M511" s="158"/>
      <c r="N511" s="157"/>
      <c r="O511" s="157"/>
      <c r="P511" s="157"/>
      <c r="Q511" s="157"/>
      <c r="R511" s="157"/>
      <c r="S511" s="157"/>
      <c r="T511" s="157"/>
      <c r="U511" s="158"/>
      <c r="V511" s="159">
        <f t="shared" si="2"/>
        <v>46135.45833</v>
      </c>
      <c r="W511" s="160"/>
      <c r="X511" s="160"/>
      <c r="Y511" s="161"/>
    </row>
    <row r="512" ht="15.75" customHeight="1">
      <c r="A512" s="146" t="s">
        <v>138</v>
      </c>
      <c r="B512" s="146" t="str">
        <f>IFERROR(VLOOKUP(A512&amp;"", STUDENTS!A:B, 2, 0), "")</f>
        <v>Bui Duy Tan</v>
      </c>
      <c r="C512" s="147" t="s">
        <v>96</v>
      </c>
      <c r="D512" s="147" t="str">
        <f>IFERROR(VLOOKUP(C512, PIC!A:B, 2, 0), "")</f>
        <v>Nam Nguyen</v>
      </c>
      <c r="E512" s="148" t="s">
        <v>21</v>
      </c>
      <c r="F512" s="149"/>
      <c r="G512" s="150" t="s">
        <v>815</v>
      </c>
      <c r="H512" s="150">
        <v>46127.45833333334</v>
      </c>
      <c r="I512" s="149">
        <v>46134.45833333334</v>
      </c>
      <c r="J512" s="150"/>
      <c r="K512" s="149"/>
      <c r="L512" s="150"/>
      <c r="M512" s="150"/>
      <c r="N512" s="149"/>
      <c r="O512" s="149"/>
      <c r="P512" s="149"/>
      <c r="Q512" s="149"/>
      <c r="R512" s="149"/>
      <c r="S512" s="149"/>
      <c r="T512" s="149"/>
      <c r="U512" s="150"/>
      <c r="V512" s="151">
        <f t="shared" si="2"/>
        <v>46134.45833</v>
      </c>
      <c r="W512" s="152"/>
      <c r="X512" s="152"/>
      <c r="Y512" s="161"/>
    </row>
    <row r="513" ht="15.75" customHeight="1">
      <c r="A513" s="154" t="s">
        <v>267</v>
      </c>
      <c r="B513" s="154" t="str">
        <f>IFERROR(VLOOKUP(A513&amp;"", STUDENTS!A:B, 2, 0), "")</f>
        <v>LÊ MINH DUY</v>
      </c>
      <c r="C513" s="155" t="s">
        <v>96</v>
      </c>
      <c r="D513" s="155" t="str">
        <f>IFERROR(VLOOKUP(C513, PIC!A:B, 2, 0), "")</f>
        <v>Nam Nguyen</v>
      </c>
      <c r="E513" s="156" t="s">
        <v>21</v>
      </c>
      <c r="F513" s="157"/>
      <c r="G513" s="158">
        <v>46120.45833333334</v>
      </c>
      <c r="H513" s="158">
        <v>46127.45833333334</v>
      </c>
      <c r="I513" s="157">
        <v>46134.45833333334</v>
      </c>
      <c r="J513" s="158"/>
      <c r="K513" s="157"/>
      <c r="L513" s="158"/>
      <c r="M513" s="158"/>
      <c r="N513" s="157"/>
      <c r="O513" s="157"/>
      <c r="P513" s="157"/>
      <c r="Q513" s="157"/>
      <c r="R513" s="157"/>
      <c r="S513" s="157"/>
      <c r="T513" s="157"/>
      <c r="U513" s="158"/>
      <c r="V513" s="159">
        <f t="shared" si="2"/>
        <v>46134.45833</v>
      </c>
      <c r="W513" s="160"/>
      <c r="X513" s="160"/>
      <c r="Y513" s="161"/>
    </row>
    <row r="514" ht="15.75" customHeight="1">
      <c r="A514" s="146" t="s">
        <v>286</v>
      </c>
      <c r="B514" s="146" t="str">
        <f>IFERROR(VLOOKUP(A514&amp;"", STUDENTS!A:B, 2, 0), "")</f>
        <v>Le Thi Diem Phuong</v>
      </c>
      <c r="C514" s="147" t="s">
        <v>96</v>
      </c>
      <c r="D514" s="147" t="str">
        <f>IFERROR(VLOOKUP(C514, PIC!A:B, 2, 0), "")</f>
        <v>Nam Nguyen</v>
      </c>
      <c r="E514" s="148" t="s">
        <v>21</v>
      </c>
      <c r="F514" s="149"/>
      <c r="G514" s="150">
        <v>46120.45833333334</v>
      </c>
      <c r="H514" s="150">
        <v>46127.45833333334</v>
      </c>
      <c r="I514" s="149">
        <v>46134.45833333334</v>
      </c>
      <c r="J514" s="150"/>
      <c r="K514" s="149"/>
      <c r="L514" s="150"/>
      <c r="M514" s="150"/>
      <c r="N514" s="149"/>
      <c r="O514" s="149"/>
      <c r="P514" s="149"/>
      <c r="Q514" s="149"/>
      <c r="R514" s="149"/>
      <c r="S514" s="149"/>
      <c r="T514" s="149"/>
      <c r="U514" s="150"/>
      <c r="V514" s="151">
        <f t="shared" si="2"/>
        <v>46134.45833</v>
      </c>
      <c r="W514" s="152"/>
      <c r="X514" s="152"/>
      <c r="Y514" s="161"/>
    </row>
    <row r="515" ht="15.75" customHeight="1">
      <c r="A515" s="154" t="s">
        <v>370</v>
      </c>
      <c r="B515" s="154" t="str">
        <f>IFERROR(VLOOKUP(A515&amp;"", STUDENTS!A:B, 2, 0), "")</f>
        <v>Nguyen Hoai Nam</v>
      </c>
      <c r="C515" s="155" t="s">
        <v>96</v>
      </c>
      <c r="D515" s="155" t="str">
        <f>IFERROR(VLOOKUP(C515, PIC!A:B, 2, 0), "")</f>
        <v>Nam Nguyen</v>
      </c>
      <c r="E515" s="156" t="s">
        <v>21</v>
      </c>
      <c r="F515" s="157"/>
      <c r="G515" s="158">
        <v>46120.45833333334</v>
      </c>
      <c r="H515" s="158">
        <v>46127.45833333334</v>
      </c>
      <c r="I515" s="157">
        <v>46134.45833333334</v>
      </c>
      <c r="J515" s="158"/>
      <c r="K515" s="157"/>
      <c r="L515" s="158"/>
      <c r="M515" s="158"/>
      <c r="N515" s="157"/>
      <c r="O515" s="157"/>
      <c r="P515" s="157"/>
      <c r="Q515" s="157"/>
      <c r="R515" s="157"/>
      <c r="S515" s="157"/>
      <c r="T515" s="157"/>
      <c r="U515" s="158"/>
      <c r="V515" s="159">
        <f t="shared" si="2"/>
        <v>46134.45833</v>
      </c>
      <c r="W515" s="160"/>
      <c r="X515" s="160"/>
      <c r="Y515" s="161"/>
    </row>
    <row r="516" ht="15.75" customHeight="1">
      <c r="A516" s="146" t="s">
        <v>413</v>
      </c>
      <c r="B516" s="146" t="str">
        <f>IFERROR(VLOOKUP(A516&amp;"", STUDENTS!A:B, 2, 0), "")</f>
        <v>NGUYỄN NGỌC HOÀNG BẢO TRÂN</v>
      </c>
      <c r="C516" s="147" t="s">
        <v>96</v>
      </c>
      <c r="D516" s="147" t="str">
        <f>IFERROR(VLOOKUP(C516, PIC!A:B, 2, 0), "")</f>
        <v>Nam Nguyen</v>
      </c>
      <c r="E516" s="148" t="s">
        <v>21</v>
      </c>
      <c r="F516" s="149"/>
      <c r="G516" s="150">
        <v>46120.45833333334</v>
      </c>
      <c r="H516" s="150">
        <v>46127.45833333334</v>
      </c>
      <c r="I516" s="149">
        <v>46134.45833333334</v>
      </c>
      <c r="J516" s="150"/>
      <c r="K516" s="149"/>
      <c r="L516" s="150"/>
      <c r="M516" s="150"/>
      <c r="N516" s="149"/>
      <c r="O516" s="149"/>
      <c r="P516" s="149"/>
      <c r="Q516" s="149"/>
      <c r="R516" s="149"/>
      <c r="S516" s="149"/>
      <c r="T516" s="149"/>
      <c r="U516" s="150"/>
      <c r="V516" s="151">
        <f t="shared" si="2"/>
        <v>46134.45833</v>
      </c>
      <c r="W516" s="152"/>
      <c r="X516" s="152"/>
      <c r="Y516" s="161"/>
    </row>
    <row r="517" ht="15.75" customHeight="1">
      <c r="A517" s="154" t="s">
        <v>653</v>
      </c>
      <c r="B517" s="154" t="str">
        <f>IFERROR(VLOOKUP(A517&amp;"", STUDENTS!A:B, 2, 0), "")</f>
        <v>Tran Thi Huyen Tran</v>
      </c>
      <c r="C517" s="155" t="s">
        <v>96</v>
      </c>
      <c r="D517" s="155" t="str">
        <f>IFERROR(VLOOKUP(C517, PIC!A:B, 2, 0), "")</f>
        <v>Nam Nguyen</v>
      </c>
      <c r="E517" s="156" t="s">
        <v>21</v>
      </c>
      <c r="F517" s="157"/>
      <c r="G517" s="158">
        <v>46120.45833333334</v>
      </c>
      <c r="H517" s="158">
        <v>46127.45833333334</v>
      </c>
      <c r="I517" s="157">
        <v>46134.45833333334</v>
      </c>
      <c r="J517" s="158"/>
      <c r="K517" s="157"/>
      <c r="L517" s="158"/>
      <c r="M517" s="158"/>
      <c r="N517" s="157"/>
      <c r="O517" s="157"/>
      <c r="P517" s="157"/>
      <c r="Q517" s="157"/>
      <c r="R517" s="157"/>
      <c r="S517" s="157"/>
      <c r="T517" s="157"/>
      <c r="U517" s="158"/>
      <c r="V517" s="159">
        <f t="shared" si="2"/>
        <v>46134.45833</v>
      </c>
      <c r="W517" s="160"/>
      <c r="X517" s="160"/>
      <c r="Y517" s="161"/>
    </row>
    <row r="518" ht="15.75" customHeight="1">
      <c r="A518" s="146" t="s">
        <v>673</v>
      </c>
      <c r="B518" s="146" t="str">
        <f>IFERROR(VLOOKUP(A518&amp;"", STUDENTS!A:B, 2, 0), "")</f>
        <v>Trang Duy Thông</v>
      </c>
      <c r="C518" s="147" t="s">
        <v>96</v>
      </c>
      <c r="D518" s="147" t="str">
        <f>IFERROR(VLOOKUP(C518, PIC!A:B, 2, 0), "")</f>
        <v>Nam Nguyen</v>
      </c>
      <c r="E518" s="148" t="s">
        <v>21</v>
      </c>
      <c r="F518" s="149"/>
      <c r="G518" s="150">
        <v>46120.45833333334</v>
      </c>
      <c r="H518" s="150">
        <v>46127.45833333334</v>
      </c>
      <c r="I518" s="149">
        <v>46134.45833333334</v>
      </c>
      <c r="J518" s="150"/>
      <c r="K518" s="149"/>
      <c r="L518" s="150"/>
      <c r="M518" s="150"/>
      <c r="N518" s="149"/>
      <c r="O518" s="149"/>
      <c r="P518" s="149"/>
      <c r="Q518" s="149"/>
      <c r="R518" s="149"/>
      <c r="S518" s="149"/>
      <c r="T518" s="149"/>
      <c r="U518" s="150"/>
      <c r="V518" s="151">
        <f t="shared" si="2"/>
        <v>46134.45833</v>
      </c>
      <c r="W518" s="152"/>
      <c r="X518" s="152"/>
      <c r="Y518" s="161"/>
    </row>
    <row r="519" ht="15.75" customHeight="1">
      <c r="A519" s="154" t="s">
        <v>161</v>
      </c>
      <c r="B519" s="154" t="str">
        <f>IFERROR(VLOOKUP(A519&amp;"", STUDENTS!A:B, 2, 0), "")</f>
        <v>ĐÀO TRUNG HIẾU</v>
      </c>
      <c r="C519" s="155" t="s">
        <v>97</v>
      </c>
      <c r="D519" s="155" t="str">
        <f>IFERROR(VLOOKUP(C519, PIC!A:B, 2, 0), "")</f>
        <v>Trang Nguyen</v>
      </c>
      <c r="E519" s="156" t="s">
        <v>21</v>
      </c>
      <c r="F519" s="157">
        <v>46126.625</v>
      </c>
      <c r="G519" s="158">
        <v>46129.625</v>
      </c>
      <c r="H519" s="158"/>
      <c r="I519" s="157"/>
      <c r="J519" s="158"/>
      <c r="K519" s="157"/>
      <c r="L519" s="158"/>
      <c r="M519" s="158"/>
      <c r="N519" s="157"/>
      <c r="O519" s="157"/>
      <c r="P519" s="157"/>
      <c r="Q519" s="157"/>
      <c r="R519" s="157"/>
      <c r="S519" s="157"/>
      <c r="T519" s="157"/>
      <c r="U519" s="158"/>
      <c r="V519" s="159">
        <f t="shared" si="2"/>
        <v>46129.625</v>
      </c>
      <c r="W519" s="160"/>
      <c r="X519" s="160"/>
      <c r="Y519" s="161"/>
    </row>
    <row r="520" ht="15.75" customHeight="1">
      <c r="A520" s="146" t="s">
        <v>269</v>
      </c>
      <c r="B520" s="146" t="str">
        <f>IFERROR(VLOOKUP(A520&amp;"", STUDENTS!A:B, 2, 0), "")</f>
        <v>LÊ MINH HY</v>
      </c>
      <c r="C520" s="147" t="s">
        <v>97</v>
      </c>
      <c r="D520" s="147" t="str">
        <f>IFERROR(VLOOKUP(C520, PIC!A:B, 2, 0), "")</f>
        <v>Trang Nguyen</v>
      </c>
      <c r="E520" s="148" t="s">
        <v>21</v>
      </c>
      <c r="F520" s="149">
        <v>46126.625</v>
      </c>
      <c r="G520" s="150">
        <v>46129.625</v>
      </c>
      <c r="H520" s="150"/>
      <c r="I520" s="149"/>
      <c r="J520" s="150"/>
      <c r="K520" s="149"/>
      <c r="L520" s="150"/>
      <c r="M520" s="150"/>
      <c r="N520" s="149"/>
      <c r="O520" s="149"/>
      <c r="P520" s="149"/>
      <c r="Q520" s="149"/>
      <c r="R520" s="149"/>
      <c r="S520" s="149"/>
      <c r="T520" s="149"/>
      <c r="U520" s="150"/>
      <c r="V520" s="151">
        <f t="shared" si="2"/>
        <v>46129.625</v>
      </c>
      <c r="W520" s="152"/>
      <c r="X520" s="152"/>
      <c r="Y520" s="161"/>
    </row>
    <row r="521" ht="15.75" customHeight="1">
      <c r="A521" s="154" t="s">
        <v>290</v>
      </c>
      <c r="B521" s="154" t="str">
        <f>IFERROR(VLOOKUP(A521&amp;"", STUDENTS!A:B, 2, 0), "")</f>
        <v>LÊ THỊ HOÀNG KIM</v>
      </c>
      <c r="C521" s="155" t="s">
        <v>97</v>
      </c>
      <c r="D521" s="155" t="str">
        <f>IFERROR(VLOOKUP(C521, PIC!A:B, 2, 0), "")</f>
        <v>Trang Nguyen</v>
      </c>
      <c r="E521" s="156" t="s">
        <v>21</v>
      </c>
      <c r="F521" s="157">
        <v>46126.625</v>
      </c>
      <c r="G521" s="158">
        <v>46129.625</v>
      </c>
      <c r="H521" s="158"/>
      <c r="I521" s="157"/>
      <c r="J521" s="158"/>
      <c r="K521" s="157"/>
      <c r="L521" s="158"/>
      <c r="M521" s="158"/>
      <c r="N521" s="157"/>
      <c r="O521" s="157"/>
      <c r="P521" s="157"/>
      <c r="Q521" s="157"/>
      <c r="R521" s="157"/>
      <c r="S521" s="157"/>
      <c r="T521" s="157"/>
      <c r="U521" s="158"/>
      <c r="V521" s="159">
        <f t="shared" si="2"/>
        <v>46129.625</v>
      </c>
      <c r="W521" s="160"/>
      <c r="X521" s="160"/>
      <c r="Y521" s="161"/>
    </row>
    <row r="522" ht="15.75" customHeight="1">
      <c r="A522" s="146" t="s">
        <v>468</v>
      </c>
      <c r="B522" s="146" t="str">
        <f>IFERROR(VLOOKUP(A522&amp;"", STUDENTS!A:B, 2, 0), "")</f>
        <v>NGUYỄN THỊ KIM OANH</v>
      </c>
      <c r="C522" s="147" t="s">
        <v>97</v>
      </c>
      <c r="D522" s="147" t="str">
        <f>IFERROR(VLOOKUP(C522, PIC!A:B, 2, 0), "")</f>
        <v>Trang Nguyen</v>
      </c>
      <c r="E522" s="148" t="s">
        <v>21</v>
      </c>
      <c r="F522" s="149">
        <v>46126.625</v>
      </c>
      <c r="G522" s="148" t="s">
        <v>815</v>
      </c>
      <c r="H522" s="150"/>
      <c r="I522" s="149"/>
      <c r="J522" s="150"/>
      <c r="K522" s="149"/>
      <c r="L522" s="150"/>
      <c r="M522" s="150"/>
      <c r="N522" s="149"/>
      <c r="O522" s="149"/>
      <c r="P522" s="149"/>
      <c r="Q522" s="149"/>
      <c r="R522" s="149"/>
      <c r="S522" s="149"/>
      <c r="T522" s="149"/>
      <c r="U522" s="150"/>
      <c r="V522" s="151">
        <f t="shared" si="2"/>
        <v>46126.625</v>
      </c>
      <c r="W522" s="152"/>
      <c r="X522" s="152"/>
      <c r="Y522" s="161"/>
    </row>
    <row r="523" ht="15.75" customHeight="1">
      <c r="A523" s="154" t="s">
        <v>470</v>
      </c>
      <c r="B523" s="154" t="str">
        <f>IFERROR(VLOOKUP(A523&amp;"", STUDENTS!A:B, 2, 0), "")</f>
        <v>NGUYỄN THỊ KIM TRANG</v>
      </c>
      <c r="C523" s="155" t="s">
        <v>97</v>
      </c>
      <c r="D523" s="155" t="str">
        <f>IFERROR(VLOOKUP(C523, PIC!A:B, 2, 0), "")</f>
        <v>Trang Nguyen</v>
      </c>
      <c r="E523" s="156" t="s">
        <v>21</v>
      </c>
      <c r="F523" s="157">
        <v>46126.625</v>
      </c>
      <c r="G523" s="158">
        <v>46129.625</v>
      </c>
      <c r="H523" s="158"/>
      <c r="I523" s="157"/>
      <c r="J523" s="158"/>
      <c r="K523" s="157"/>
      <c r="L523" s="158"/>
      <c r="M523" s="158"/>
      <c r="N523" s="157"/>
      <c r="O523" s="157"/>
      <c r="P523" s="157"/>
      <c r="Q523" s="157"/>
      <c r="R523" s="157"/>
      <c r="S523" s="157"/>
      <c r="T523" s="157"/>
      <c r="U523" s="158"/>
      <c r="V523" s="159">
        <f t="shared" si="2"/>
        <v>46129.625</v>
      </c>
      <c r="W523" s="160"/>
      <c r="X523" s="160"/>
      <c r="Y523" s="161"/>
    </row>
    <row r="524" ht="15.75" customHeight="1">
      <c r="A524" s="146" t="s">
        <v>516</v>
      </c>
      <c r="B524" s="146" t="str">
        <f>IFERROR(VLOOKUP(A524&amp;"", STUDENTS!A:B, 2, 0), "")</f>
        <v>NGUYỄN VŨ LUÂN</v>
      </c>
      <c r="C524" s="147" t="s">
        <v>97</v>
      </c>
      <c r="D524" s="147" t="str">
        <f>IFERROR(VLOOKUP(C524, PIC!A:B, 2, 0), "")</f>
        <v>Trang Nguyen</v>
      </c>
      <c r="E524" s="148" t="s">
        <v>21</v>
      </c>
      <c r="F524" s="149">
        <v>46126.625</v>
      </c>
      <c r="G524" s="150">
        <v>46129.625</v>
      </c>
      <c r="H524" s="150"/>
      <c r="I524" s="149"/>
      <c r="J524" s="150"/>
      <c r="K524" s="149"/>
      <c r="L524" s="150"/>
      <c r="M524" s="150"/>
      <c r="N524" s="149"/>
      <c r="O524" s="149"/>
      <c r="P524" s="149"/>
      <c r="Q524" s="149"/>
      <c r="R524" s="149"/>
      <c r="S524" s="149"/>
      <c r="T524" s="149"/>
      <c r="U524" s="150"/>
      <c r="V524" s="151">
        <f t="shared" si="2"/>
        <v>46129.625</v>
      </c>
      <c r="W524" s="152"/>
      <c r="X524" s="152"/>
      <c r="Y524" s="161"/>
    </row>
    <row r="525" ht="15.75" customHeight="1">
      <c r="A525" s="171" t="s">
        <v>725</v>
      </c>
      <c r="B525" s="172" t="s">
        <v>726</v>
      </c>
      <c r="C525" s="173" t="s">
        <v>783</v>
      </c>
      <c r="D525" s="155" t="str">
        <f>IFERROR(VLOOKUP(C525, PIC!A:B, 2, 0), "")</f>
        <v>Thai Nguyen 1</v>
      </c>
      <c r="E525" s="174" t="s">
        <v>21</v>
      </c>
      <c r="F525" s="175">
        <v>46085.58333333334</v>
      </c>
      <c r="G525" s="175">
        <v>46093.58333333334</v>
      </c>
      <c r="H525" s="175">
        <v>46099.58333333334</v>
      </c>
      <c r="I525" s="175">
        <v>46108.41666666666</v>
      </c>
      <c r="J525" s="175">
        <v>46114.625</v>
      </c>
      <c r="K525" s="175">
        <v>46121.625</v>
      </c>
      <c r="L525" s="175">
        <v>46129.41666666666</v>
      </c>
      <c r="M525" s="175">
        <v>46135.54166666666</v>
      </c>
      <c r="N525" s="176"/>
      <c r="O525" s="176"/>
      <c r="P525" s="176"/>
      <c r="Q525" s="176"/>
      <c r="R525" s="176"/>
      <c r="S525" s="176"/>
      <c r="T525" s="176"/>
      <c r="U525" s="176"/>
      <c r="V525" s="160"/>
      <c r="W525" s="160"/>
      <c r="X525" s="160"/>
      <c r="Y525" s="161"/>
    </row>
    <row r="526" ht="15.75" customHeight="1">
      <c r="A526" s="177" t="s">
        <v>727</v>
      </c>
      <c r="B526" s="178" t="s">
        <v>728</v>
      </c>
      <c r="C526" s="179" t="s">
        <v>783</v>
      </c>
      <c r="D526" s="147" t="str">
        <f>IFERROR(VLOOKUP(C526, PIC!A:B, 2, 0), "")</f>
        <v>Thai Nguyen 1</v>
      </c>
      <c r="E526" s="180" t="s">
        <v>21</v>
      </c>
      <c r="F526" s="181">
        <v>46085.58333333334</v>
      </c>
      <c r="G526" s="181">
        <v>46093.58333333334</v>
      </c>
      <c r="H526" s="181">
        <v>46099.58333333334</v>
      </c>
      <c r="I526" s="181">
        <v>46108.41666666666</v>
      </c>
      <c r="J526" s="181">
        <v>46114.625</v>
      </c>
      <c r="K526" s="181">
        <v>46121.625</v>
      </c>
      <c r="L526" s="181">
        <v>46129.41666666666</v>
      </c>
      <c r="M526" s="181" t="s">
        <v>815</v>
      </c>
      <c r="N526" s="169"/>
      <c r="O526" s="169"/>
      <c r="P526" s="169"/>
      <c r="Q526" s="169"/>
      <c r="R526" s="169"/>
      <c r="S526" s="169"/>
      <c r="T526" s="169"/>
      <c r="U526" s="169"/>
      <c r="V526" s="152"/>
      <c r="W526" s="152"/>
      <c r="X526" s="152"/>
      <c r="Y526" s="161"/>
    </row>
    <row r="527" ht="15.75" customHeight="1">
      <c r="A527" s="171" t="s">
        <v>729</v>
      </c>
      <c r="B527" s="172" t="s">
        <v>730</v>
      </c>
      <c r="C527" s="173" t="s">
        <v>783</v>
      </c>
      <c r="D527" s="155" t="str">
        <f>IFERROR(VLOOKUP(C527, PIC!A:B, 2, 0), "")</f>
        <v>Thai Nguyen 1</v>
      </c>
      <c r="E527" s="174" t="s">
        <v>21</v>
      </c>
      <c r="F527" s="175">
        <v>46085.58333333334</v>
      </c>
      <c r="G527" s="175">
        <v>46093.58333333334</v>
      </c>
      <c r="H527" s="175">
        <v>46099.58333333334</v>
      </c>
      <c r="I527" s="175">
        <v>46108.41666666666</v>
      </c>
      <c r="J527" s="175">
        <v>46114.625</v>
      </c>
      <c r="K527" s="175">
        <v>46121.625</v>
      </c>
      <c r="L527" s="175">
        <v>46129.41666666666</v>
      </c>
      <c r="M527" s="175">
        <v>46135.54166666666</v>
      </c>
      <c r="N527" s="176"/>
      <c r="O527" s="176"/>
      <c r="P527" s="176"/>
      <c r="Q527" s="176"/>
      <c r="R527" s="176"/>
      <c r="S527" s="176"/>
      <c r="T527" s="176"/>
      <c r="U527" s="176"/>
      <c r="V527" s="160"/>
      <c r="W527" s="160"/>
      <c r="X527" s="160"/>
      <c r="Y527" s="161"/>
    </row>
    <row r="528" ht="15.75" customHeight="1">
      <c r="A528" s="177" t="s">
        <v>731</v>
      </c>
      <c r="B528" s="178" t="s">
        <v>732</v>
      </c>
      <c r="C528" s="179" t="s">
        <v>783</v>
      </c>
      <c r="D528" s="147" t="str">
        <f>IFERROR(VLOOKUP(C528, PIC!A:B, 2, 0), "")</f>
        <v>Thai Nguyen 1</v>
      </c>
      <c r="E528" s="180" t="s">
        <v>21</v>
      </c>
      <c r="F528" s="181">
        <v>46085.58333333334</v>
      </c>
      <c r="G528" s="181">
        <v>46093.58333333334</v>
      </c>
      <c r="H528" s="181">
        <v>46099.58333333334</v>
      </c>
      <c r="I528" s="181">
        <v>46108.41666666666</v>
      </c>
      <c r="J528" s="181">
        <v>46114.625</v>
      </c>
      <c r="K528" s="181">
        <v>46121.625</v>
      </c>
      <c r="L528" s="181">
        <v>46129.41666666666</v>
      </c>
      <c r="M528" s="181">
        <v>46135.54166666666</v>
      </c>
      <c r="N528" s="169"/>
      <c r="O528" s="169"/>
      <c r="P528" s="169"/>
      <c r="Q528" s="169"/>
      <c r="R528" s="169"/>
      <c r="S528" s="169"/>
      <c r="T528" s="169"/>
      <c r="U528" s="169"/>
      <c r="V528" s="152"/>
      <c r="W528" s="152"/>
      <c r="X528" s="152"/>
      <c r="Y528" s="161"/>
    </row>
    <row r="529" ht="15.75" customHeight="1">
      <c r="A529" s="171" t="s">
        <v>733</v>
      </c>
      <c r="B529" s="172" t="s">
        <v>734</v>
      </c>
      <c r="C529" s="173" t="s">
        <v>783</v>
      </c>
      <c r="D529" s="155" t="str">
        <f>IFERROR(VLOOKUP(C529, PIC!A:B, 2, 0), "")</f>
        <v>Thai Nguyen 1</v>
      </c>
      <c r="E529" s="174" t="s">
        <v>21</v>
      </c>
      <c r="F529" s="175">
        <v>46085.58333333334</v>
      </c>
      <c r="G529" s="175">
        <v>46093.58333333334</v>
      </c>
      <c r="H529" s="175" t="s">
        <v>815</v>
      </c>
      <c r="I529" s="175">
        <v>46108.41666666666</v>
      </c>
      <c r="J529" s="175">
        <v>46114.625</v>
      </c>
      <c r="K529" s="175">
        <v>46121.625</v>
      </c>
      <c r="L529" s="175" t="s">
        <v>815</v>
      </c>
      <c r="M529" s="175">
        <v>46135.54166666666</v>
      </c>
      <c r="N529" s="176"/>
      <c r="O529" s="176"/>
      <c r="P529" s="176"/>
      <c r="Q529" s="176"/>
      <c r="R529" s="176"/>
      <c r="S529" s="176"/>
      <c r="T529" s="176"/>
      <c r="U529" s="176"/>
      <c r="V529" s="160"/>
      <c r="W529" s="160"/>
      <c r="X529" s="160"/>
      <c r="Y529" s="161"/>
    </row>
    <row r="530" ht="15.75" customHeight="1">
      <c r="A530" s="182">
        <v>193470.0</v>
      </c>
      <c r="B530" s="178" t="s">
        <v>724</v>
      </c>
      <c r="C530" s="167" t="s">
        <v>783</v>
      </c>
      <c r="D530" s="147" t="str">
        <f>IFERROR(VLOOKUP(C530, PIC!A:B, 2, 0), "")</f>
        <v>Thai Nguyen 1</v>
      </c>
      <c r="E530" s="168" t="s">
        <v>21</v>
      </c>
      <c r="F530" s="183">
        <v>46085.58333333334</v>
      </c>
      <c r="G530" s="183">
        <v>46093.58333333334</v>
      </c>
      <c r="H530" s="183" t="s">
        <v>815</v>
      </c>
      <c r="I530" s="183">
        <v>46108.41666666666</v>
      </c>
      <c r="J530" s="183">
        <v>46114.625</v>
      </c>
      <c r="K530" s="183">
        <v>46121.625</v>
      </c>
      <c r="L530" s="183">
        <v>46129.41666666666</v>
      </c>
      <c r="M530" s="183">
        <v>46135.54166666666</v>
      </c>
      <c r="N530" s="150"/>
      <c r="O530" s="150"/>
      <c r="P530" s="150"/>
      <c r="Q530" s="150"/>
      <c r="R530" s="150"/>
      <c r="S530" s="150"/>
      <c r="T530" s="150"/>
      <c r="U530" s="150"/>
      <c r="V530" s="152"/>
      <c r="W530" s="152"/>
      <c r="X530" s="152"/>
      <c r="Y530" s="161"/>
    </row>
    <row r="531" ht="15.75" customHeight="1">
      <c r="A531" s="177" t="s">
        <v>735</v>
      </c>
      <c r="B531" s="178" t="s">
        <v>736</v>
      </c>
      <c r="C531" s="173" t="s">
        <v>794</v>
      </c>
      <c r="D531" s="155" t="str">
        <f>IFERROR(VLOOKUP(C531, PIC!A:B, 2, 0), "")</f>
        <v>Thai Nguyen 2</v>
      </c>
      <c r="E531" s="174" t="s">
        <v>21</v>
      </c>
      <c r="F531" s="175">
        <v>46085.625</v>
      </c>
      <c r="G531" s="175">
        <v>46093.41666666666</v>
      </c>
      <c r="H531" s="175">
        <v>46099.58333333334</v>
      </c>
      <c r="I531" s="175">
        <v>46107.41666666666</v>
      </c>
      <c r="J531" s="175">
        <v>46115.625</v>
      </c>
      <c r="K531" s="175">
        <v>46128.625</v>
      </c>
      <c r="L531" s="175">
        <v>46129.41666666666</v>
      </c>
      <c r="M531" s="175">
        <v>46135.625</v>
      </c>
      <c r="N531" s="176"/>
      <c r="O531" s="176"/>
      <c r="P531" s="176"/>
      <c r="Q531" s="176"/>
      <c r="R531" s="176"/>
      <c r="S531" s="176"/>
      <c r="T531" s="176"/>
      <c r="U531" s="176"/>
      <c r="V531" s="160"/>
      <c r="W531" s="160"/>
      <c r="X531" s="160"/>
      <c r="Y531" s="161"/>
    </row>
    <row r="532" ht="15.75" customHeight="1">
      <c r="A532" s="171" t="s">
        <v>737</v>
      </c>
      <c r="B532" s="172" t="s">
        <v>738</v>
      </c>
      <c r="C532" s="179" t="s">
        <v>794</v>
      </c>
      <c r="D532" s="147" t="str">
        <f>IFERROR(VLOOKUP(C532, PIC!A:B, 2, 0), "")</f>
        <v>Thai Nguyen 2</v>
      </c>
      <c r="E532" s="180" t="s">
        <v>21</v>
      </c>
      <c r="F532" s="181">
        <v>46085.625</v>
      </c>
      <c r="G532" s="181">
        <v>46093.41666666666</v>
      </c>
      <c r="H532" s="181">
        <v>46099.58333333334</v>
      </c>
      <c r="I532" s="181">
        <v>46107.41666666666</v>
      </c>
      <c r="J532" s="181" t="s">
        <v>815</v>
      </c>
      <c r="K532" s="181">
        <v>46128.625</v>
      </c>
      <c r="L532" s="181">
        <v>46129.41666666666</v>
      </c>
      <c r="M532" s="181">
        <v>46135.625</v>
      </c>
      <c r="N532" s="169"/>
      <c r="O532" s="169"/>
      <c r="P532" s="169"/>
      <c r="Q532" s="169"/>
      <c r="R532" s="169"/>
      <c r="S532" s="169"/>
      <c r="T532" s="169"/>
      <c r="U532" s="169"/>
      <c r="V532" s="152"/>
      <c r="W532" s="152"/>
      <c r="X532" s="152"/>
      <c r="Y532" s="161"/>
    </row>
    <row r="533" ht="15.75" customHeight="1">
      <c r="A533" s="177" t="s">
        <v>739</v>
      </c>
      <c r="B533" s="178" t="s">
        <v>740</v>
      </c>
      <c r="C533" s="173" t="s">
        <v>794</v>
      </c>
      <c r="D533" s="155" t="str">
        <f>IFERROR(VLOOKUP(C533, PIC!A:B, 2, 0), "")</f>
        <v>Thai Nguyen 2</v>
      </c>
      <c r="E533" s="174" t="s">
        <v>21</v>
      </c>
      <c r="F533" s="175">
        <v>46085.625</v>
      </c>
      <c r="G533" s="175">
        <v>46093.41666666666</v>
      </c>
      <c r="H533" s="175" t="s">
        <v>815</v>
      </c>
      <c r="I533" s="175">
        <v>46107.41666666666</v>
      </c>
      <c r="J533" s="175">
        <v>46115.625</v>
      </c>
      <c r="K533" s="175">
        <v>46128.625</v>
      </c>
      <c r="L533" s="175">
        <v>46129.41666666666</v>
      </c>
      <c r="M533" s="175">
        <v>46135.625</v>
      </c>
      <c r="N533" s="176"/>
      <c r="O533" s="176"/>
      <c r="P533" s="176"/>
      <c r="Q533" s="176"/>
      <c r="R533" s="176"/>
      <c r="S533" s="176"/>
      <c r="T533" s="176"/>
      <c r="U533" s="176"/>
      <c r="V533" s="160"/>
      <c r="W533" s="160"/>
      <c r="X533" s="160"/>
      <c r="Y533" s="161"/>
    </row>
    <row r="534" ht="15.75" customHeight="1">
      <c r="A534" s="171" t="s">
        <v>741</v>
      </c>
      <c r="B534" s="172" t="s">
        <v>742</v>
      </c>
      <c r="C534" s="179" t="s">
        <v>794</v>
      </c>
      <c r="D534" s="147" t="str">
        <f>IFERROR(VLOOKUP(C534, PIC!A:B, 2, 0), "")</f>
        <v>Thai Nguyen 2</v>
      </c>
      <c r="E534" s="180" t="s">
        <v>21</v>
      </c>
      <c r="F534" s="181">
        <v>46085.625</v>
      </c>
      <c r="G534" s="181">
        <v>46093.41666666666</v>
      </c>
      <c r="H534" s="181" t="s">
        <v>815</v>
      </c>
      <c r="I534" s="181">
        <v>46107.41666666666</v>
      </c>
      <c r="J534" s="181">
        <v>46115.625</v>
      </c>
      <c r="K534" s="181">
        <v>46128.625</v>
      </c>
      <c r="L534" s="181">
        <v>46129.41666666666</v>
      </c>
      <c r="M534" s="181">
        <v>46135.625</v>
      </c>
      <c r="N534" s="169"/>
      <c r="O534" s="169"/>
      <c r="P534" s="169"/>
      <c r="Q534" s="169"/>
      <c r="R534" s="169"/>
      <c r="S534" s="169"/>
      <c r="T534" s="169"/>
      <c r="U534" s="169"/>
      <c r="V534" s="152"/>
      <c r="W534" s="152"/>
      <c r="X534" s="152"/>
      <c r="Y534" s="161"/>
    </row>
    <row r="535" ht="15.75" customHeight="1">
      <c r="A535" s="177" t="s">
        <v>743</v>
      </c>
      <c r="B535" s="178" t="s">
        <v>744</v>
      </c>
      <c r="C535" s="173" t="s">
        <v>794</v>
      </c>
      <c r="D535" s="155" t="str">
        <f>IFERROR(VLOOKUP(C535, PIC!A:B, 2, 0), "")</f>
        <v>Thai Nguyen 2</v>
      </c>
      <c r="E535" s="174" t="s">
        <v>21</v>
      </c>
      <c r="F535" s="175">
        <v>46085.625</v>
      </c>
      <c r="G535" s="175">
        <v>46093.41666666666</v>
      </c>
      <c r="H535" s="175">
        <v>46099.58333333334</v>
      </c>
      <c r="I535" s="175">
        <v>46107.41666666666</v>
      </c>
      <c r="J535" s="175">
        <v>46115.625</v>
      </c>
      <c r="K535" s="175">
        <v>46128.625</v>
      </c>
      <c r="L535" s="175">
        <v>46129.41666666666</v>
      </c>
      <c r="M535" s="175">
        <v>46135.625</v>
      </c>
      <c r="N535" s="176"/>
      <c r="O535" s="176"/>
      <c r="P535" s="176"/>
      <c r="Q535" s="176"/>
      <c r="R535" s="176"/>
      <c r="S535" s="176"/>
      <c r="T535" s="176"/>
      <c r="U535" s="176"/>
      <c r="V535" s="160"/>
      <c r="W535" s="160"/>
      <c r="X535" s="160"/>
      <c r="Y535" s="161"/>
    </row>
    <row r="536" ht="15.75" customHeight="1">
      <c r="A536" s="171" t="s">
        <v>490</v>
      </c>
      <c r="B536" s="178" t="s">
        <v>819</v>
      </c>
      <c r="C536" s="179" t="s">
        <v>794</v>
      </c>
      <c r="D536" s="147" t="str">
        <f>IFERROR(VLOOKUP(C536, PIC!A:B, 2, 0), "")</f>
        <v>Thai Nguyen 2</v>
      </c>
      <c r="E536" s="180" t="s">
        <v>21</v>
      </c>
      <c r="F536" s="181"/>
      <c r="G536" s="181"/>
      <c r="H536" s="181"/>
      <c r="I536" s="181">
        <v>46107.41666666666</v>
      </c>
      <c r="J536" s="181" t="s">
        <v>815</v>
      </c>
      <c r="K536" s="181">
        <v>46128.625</v>
      </c>
      <c r="L536" s="181">
        <v>46129.41666666666</v>
      </c>
      <c r="M536" s="181">
        <v>46135.625</v>
      </c>
      <c r="N536" s="169"/>
      <c r="O536" s="169"/>
      <c r="P536" s="169"/>
      <c r="Q536" s="169"/>
      <c r="R536" s="169"/>
      <c r="S536" s="169"/>
      <c r="T536" s="169"/>
      <c r="U536" s="169"/>
      <c r="V536" s="152"/>
      <c r="W536" s="152"/>
      <c r="X536" s="152"/>
      <c r="Y536" s="161"/>
    </row>
    <row r="537" ht="15.75" customHeight="1">
      <c r="A537" s="177" t="s">
        <v>747</v>
      </c>
      <c r="B537" s="178" t="s">
        <v>748</v>
      </c>
      <c r="C537" s="173" t="s">
        <v>800</v>
      </c>
      <c r="D537" s="155" t="str">
        <f>IFERROR(VLOOKUP(C537, PIC!A:B, 2, 0), "")</f>
        <v>Trang Ngo</v>
      </c>
      <c r="E537" s="174" t="s">
        <v>21</v>
      </c>
      <c r="F537" s="175"/>
      <c r="G537" s="175"/>
      <c r="H537" s="175">
        <v>46113.58333333334</v>
      </c>
      <c r="I537" s="175">
        <v>46120.41666666666</v>
      </c>
      <c r="J537" s="175" t="s">
        <v>815</v>
      </c>
      <c r="K537" s="175">
        <v>46134.41666666666</v>
      </c>
      <c r="L537" s="175"/>
      <c r="M537" s="175"/>
      <c r="N537" s="175"/>
      <c r="O537" s="175"/>
      <c r="P537" s="175"/>
      <c r="Q537" s="175"/>
      <c r="R537" s="175"/>
      <c r="S537" s="175"/>
      <c r="T537" s="175"/>
      <c r="U537" s="175"/>
      <c r="V537" s="184"/>
      <c r="W537" s="160"/>
      <c r="X537" s="160"/>
      <c r="Y537" s="161"/>
    </row>
    <row r="538" ht="15.75" customHeight="1">
      <c r="A538" s="171" t="s">
        <v>749</v>
      </c>
      <c r="B538" s="172" t="s">
        <v>750</v>
      </c>
      <c r="C538" s="179" t="s">
        <v>800</v>
      </c>
      <c r="D538" s="147" t="str">
        <f>IFERROR(VLOOKUP(C538, PIC!A:B, 2, 0), "")</f>
        <v>Trang Ngo</v>
      </c>
      <c r="E538" s="180" t="s">
        <v>21</v>
      </c>
      <c r="F538" s="181"/>
      <c r="G538" s="181"/>
      <c r="H538" s="181">
        <v>46113.58333333334</v>
      </c>
      <c r="I538" s="181">
        <v>46120.41666666666</v>
      </c>
      <c r="J538" s="181">
        <v>46127.41666666666</v>
      </c>
      <c r="K538" s="181">
        <v>46134.41666666666</v>
      </c>
      <c r="L538" s="181"/>
      <c r="M538" s="181"/>
      <c r="N538" s="181"/>
      <c r="O538" s="181"/>
      <c r="P538" s="181"/>
      <c r="Q538" s="181"/>
      <c r="R538" s="181"/>
      <c r="S538" s="181"/>
      <c r="T538" s="181"/>
      <c r="U538" s="181"/>
      <c r="V538" s="185"/>
      <c r="W538" s="152"/>
      <c r="X538" s="152"/>
      <c r="Y538" s="161"/>
    </row>
    <row r="539" ht="15.75" customHeight="1">
      <c r="A539" s="171" t="s">
        <v>745</v>
      </c>
      <c r="B539" s="172" t="s">
        <v>746</v>
      </c>
      <c r="C539" s="173" t="s">
        <v>800</v>
      </c>
      <c r="D539" s="155" t="str">
        <f>IFERROR(VLOOKUP(C539, PIC!A:B, 2, 0), "")</f>
        <v>Trang Ngo</v>
      </c>
      <c r="E539" s="174" t="s">
        <v>21</v>
      </c>
      <c r="F539" s="175"/>
      <c r="G539" s="175"/>
      <c r="H539" s="175">
        <v>46113.58333333334</v>
      </c>
      <c r="I539" s="175">
        <v>46120.41666666666</v>
      </c>
      <c r="J539" s="175">
        <v>46127.41666666666</v>
      </c>
      <c r="K539" s="175">
        <v>46134.41666666666</v>
      </c>
      <c r="L539" s="175"/>
      <c r="M539" s="175"/>
      <c r="N539" s="175"/>
      <c r="O539" s="175"/>
      <c r="P539" s="175"/>
      <c r="Q539" s="175"/>
      <c r="R539" s="175"/>
      <c r="S539" s="175"/>
      <c r="T539" s="175"/>
      <c r="U539" s="175"/>
      <c r="V539" s="184"/>
      <c r="W539" s="160"/>
      <c r="X539" s="160"/>
      <c r="Y539" s="161"/>
    </row>
    <row r="540" ht="15.75" customHeight="1">
      <c r="A540" s="177" t="s">
        <v>751</v>
      </c>
      <c r="B540" s="178" t="s">
        <v>752</v>
      </c>
      <c r="C540" s="179" t="s">
        <v>800</v>
      </c>
      <c r="D540" s="147" t="str">
        <f>IFERROR(VLOOKUP(C540, PIC!A:B, 2, 0), "")</f>
        <v>Trang Ngo</v>
      </c>
      <c r="E540" s="180" t="s">
        <v>21</v>
      </c>
      <c r="F540" s="181"/>
      <c r="G540" s="181"/>
      <c r="H540" s="181" t="s">
        <v>815</v>
      </c>
      <c r="I540" s="181">
        <v>46120.41666666666</v>
      </c>
      <c r="J540" s="181">
        <v>46127.41666666666</v>
      </c>
      <c r="K540" s="181">
        <v>46134.41666666666</v>
      </c>
      <c r="L540" s="181"/>
      <c r="M540" s="181"/>
      <c r="N540" s="181"/>
      <c r="O540" s="181"/>
      <c r="P540" s="181"/>
      <c r="Q540" s="181"/>
      <c r="R540" s="181"/>
      <c r="S540" s="181"/>
      <c r="T540" s="181"/>
      <c r="U540" s="181"/>
      <c r="V540" s="185"/>
      <c r="W540" s="152"/>
      <c r="X540" s="152"/>
      <c r="Y540" s="161"/>
    </row>
    <row r="541" ht="15.75" customHeight="1">
      <c r="A541" s="171" t="s">
        <v>753</v>
      </c>
      <c r="B541" s="172" t="s">
        <v>754</v>
      </c>
      <c r="C541" s="173" t="s">
        <v>800</v>
      </c>
      <c r="D541" s="155" t="str">
        <f>IFERROR(VLOOKUP(C541, PIC!A:B, 2, 0), "")</f>
        <v>Trang Ngo</v>
      </c>
      <c r="E541" s="174" t="s">
        <v>21</v>
      </c>
      <c r="F541" s="175"/>
      <c r="G541" s="175"/>
      <c r="H541" s="175">
        <v>46113.58333333334</v>
      </c>
      <c r="I541" s="175">
        <v>46120.41666666666</v>
      </c>
      <c r="J541" s="175">
        <v>46127.41666666666</v>
      </c>
      <c r="K541" s="175">
        <v>46134.41666666666</v>
      </c>
      <c r="L541" s="175"/>
      <c r="M541" s="175"/>
      <c r="N541" s="175"/>
      <c r="O541" s="175"/>
      <c r="P541" s="175"/>
      <c r="Q541" s="175"/>
      <c r="R541" s="175"/>
      <c r="S541" s="175"/>
      <c r="T541" s="175"/>
      <c r="U541" s="175"/>
      <c r="V541" s="184"/>
      <c r="W541" s="160"/>
      <c r="X541" s="160"/>
      <c r="Y541" s="161"/>
    </row>
    <row r="542" ht="15.75" customHeight="1">
      <c r="A542" s="177" t="s">
        <v>755</v>
      </c>
      <c r="B542" s="178" t="s">
        <v>756</v>
      </c>
      <c r="C542" s="179" t="s">
        <v>800</v>
      </c>
      <c r="D542" s="147" t="str">
        <f>IFERROR(VLOOKUP(C542, PIC!A:B, 2, 0), "")</f>
        <v>Trang Ngo</v>
      </c>
      <c r="E542" s="180" t="s">
        <v>21</v>
      </c>
      <c r="F542" s="181"/>
      <c r="G542" s="181"/>
      <c r="H542" s="181">
        <v>46113.58333333334</v>
      </c>
      <c r="I542" s="181">
        <v>46120.41666666666</v>
      </c>
      <c r="J542" s="181">
        <v>46127.41666666666</v>
      </c>
      <c r="K542" s="181">
        <v>46134.41666666666</v>
      </c>
      <c r="L542" s="181"/>
      <c r="M542" s="181"/>
      <c r="N542" s="181"/>
      <c r="O542" s="181"/>
      <c r="P542" s="181"/>
      <c r="Q542" s="181"/>
      <c r="R542" s="181"/>
      <c r="S542" s="181"/>
      <c r="T542" s="181"/>
      <c r="U542" s="181"/>
      <c r="V542" s="185"/>
      <c r="W542" s="152"/>
      <c r="X542" s="152"/>
      <c r="Y542" s="161"/>
    </row>
    <row r="543" ht="15.75" customHeight="1">
      <c r="A543" s="186" t="s">
        <v>478</v>
      </c>
      <c r="B543" s="174" t="s">
        <v>816</v>
      </c>
      <c r="C543" s="173" t="s">
        <v>800</v>
      </c>
      <c r="D543" s="155" t="str">
        <f>IFERROR(VLOOKUP(C543, PIC!A:B, 2, 0), "")</f>
        <v>Trang Ngo</v>
      </c>
      <c r="E543" s="174" t="s">
        <v>21</v>
      </c>
      <c r="F543" s="175"/>
      <c r="G543" s="175"/>
      <c r="H543" s="175">
        <v>46113.58333333334</v>
      </c>
      <c r="I543" s="175">
        <v>46120.41666666666</v>
      </c>
      <c r="J543" s="175" t="s">
        <v>815</v>
      </c>
      <c r="K543" s="175">
        <v>46134.41666666666</v>
      </c>
      <c r="L543" s="175"/>
      <c r="M543" s="175"/>
      <c r="N543" s="175"/>
      <c r="O543" s="175"/>
      <c r="P543" s="175"/>
      <c r="Q543" s="175"/>
      <c r="R543" s="175"/>
      <c r="S543" s="175"/>
      <c r="T543" s="175"/>
      <c r="U543" s="175"/>
      <c r="V543" s="184"/>
      <c r="W543" s="160"/>
      <c r="X543" s="160"/>
      <c r="Y543" s="161"/>
    </row>
    <row r="544" ht="15.75" customHeight="1">
      <c r="A544" s="187"/>
      <c r="B544" s="187"/>
      <c r="C544" s="188"/>
      <c r="D544" s="188"/>
      <c r="E544" s="187"/>
      <c r="F544" s="169"/>
      <c r="G544" s="169"/>
      <c r="H544" s="169"/>
      <c r="I544" s="169"/>
      <c r="J544" s="169"/>
      <c r="K544" s="169"/>
      <c r="L544" s="169"/>
      <c r="M544" s="169"/>
      <c r="N544" s="169"/>
      <c r="O544" s="169"/>
      <c r="P544" s="169"/>
      <c r="Q544" s="169"/>
      <c r="R544" s="169"/>
      <c r="S544" s="169"/>
      <c r="T544" s="169"/>
      <c r="U544" s="169"/>
      <c r="V544" s="152"/>
      <c r="W544" s="152"/>
      <c r="X544" s="152"/>
      <c r="Y544" s="161"/>
    </row>
    <row r="545" ht="15.75" customHeight="1">
      <c r="A545" s="186"/>
      <c r="B545" s="186"/>
      <c r="C545" s="189"/>
      <c r="D545" s="189"/>
      <c r="E545" s="186"/>
      <c r="F545" s="176"/>
      <c r="G545" s="176"/>
      <c r="H545" s="176"/>
      <c r="I545" s="176"/>
      <c r="J545" s="176"/>
      <c r="K545" s="176"/>
      <c r="L545" s="176"/>
      <c r="M545" s="176"/>
      <c r="N545" s="176"/>
      <c r="O545" s="176"/>
      <c r="P545" s="176"/>
      <c r="Q545" s="176"/>
      <c r="R545" s="176"/>
      <c r="S545" s="176"/>
      <c r="T545" s="176"/>
      <c r="U545" s="176"/>
      <c r="V545" s="160"/>
      <c r="W545" s="160"/>
      <c r="X545" s="160"/>
      <c r="Y545" s="161"/>
    </row>
    <row r="546" ht="15.75" customHeight="1">
      <c r="A546" s="187"/>
      <c r="B546" s="187"/>
      <c r="C546" s="188"/>
      <c r="D546" s="188"/>
      <c r="E546" s="187"/>
      <c r="F546" s="169"/>
      <c r="G546" s="169"/>
      <c r="H546" s="169"/>
      <c r="I546" s="169"/>
      <c r="J546" s="169"/>
      <c r="K546" s="169"/>
      <c r="L546" s="169"/>
      <c r="M546" s="169"/>
      <c r="N546" s="169"/>
      <c r="O546" s="169"/>
      <c r="P546" s="169"/>
      <c r="Q546" s="169"/>
      <c r="R546" s="169"/>
      <c r="S546" s="169"/>
      <c r="T546" s="169"/>
      <c r="U546" s="169"/>
      <c r="V546" s="152"/>
      <c r="W546" s="152"/>
      <c r="X546" s="152"/>
      <c r="Y546" s="161"/>
    </row>
    <row r="547" ht="15.75" customHeight="1">
      <c r="A547" s="186"/>
      <c r="B547" s="186"/>
      <c r="C547" s="189"/>
      <c r="D547" s="189"/>
      <c r="E547" s="186"/>
      <c r="F547" s="176"/>
      <c r="G547" s="176"/>
      <c r="H547" s="176"/>
      <c r="I547" s="176"/>
      <c r="J547" s="176"/>
      <c r="K547" s="176"/>
      <c r="L547" s="176"/>
      <c r="M547" s="176"/>
      <c r="N547" s="176"/>
      <c r="O547" s="176"/>
      <c r="P547" s="176"/>
      <c r="Q547" s="176"/>
      <c r="R547" s="176"/>
      <c r="S547" s="176"/>
      <c r="T547" s="176"/>
      <c r="U547" s="176"/>
      <c r="V547" s="160"/>
      <c r="W547" s="160"/>
      <c r="X547" s="160"/>
      <c r="Y547" s="161"/>
    </row>
    <row r="548" ht="15.75" customHeight="1">
      <c r="A548" s="187"/>
      <c r="B548" s="187"/>
      <c r="C548" s="188"/>
      <c r="D548" s="188"/>
      <c r="E548" s="187"/>
      <c r="F548" s="169"/>
      <c r="G548" s="169"/>
      <c r="H548" s="169"/>
      <c r="I548" s="169"/>
      <c r="J548" s="169"/>
      <c r="K548" s="169"/>
      <c r="L548" s="169"/>
      <c r="M548" s="169"/>
      <c r="N548" s="169"/>
      <c r="O548" s="169"/>
      <c r="P548" s="169"/>
      <c r="Q548" s="169"/>
      <c r="R548" s="169"/>
      <c r="S548" s="169"/>
      <c r="T548" s="169"/>
      <c r="U548" s="169"/>
      <c r="V548" s="152"/>
      <c r="W548" s="152"/>
      <c r="X548" s="152"/>
      <c r="Y548" s="161"/>
    </row>
    <row r="549" ht="15.75" customHeight="1">
      <c r="A549" s="186"/>
      <c r="B549" s="186"/>
      <c r="C549" s="189"/>
      <c r="D549" s="189"/>
      <c r="E549" s="186"/>
      <c r="F549" s="176"/>
      <c r="G549" s="176"/>
      <c r="H549" s="176"/>
      <c r="I549" s="176"/>
      <c r="J549" s="176"/>
      <c r="K549" s="176"/>
      <c r="L549" s="176"/>
      <c r="M549" s="176"/>
      <c r="N549" s="176"/>
      <c r="O549" s="176"/>
      <c r="P549" s="176"/>
      <c r="Q549" s="176"/>
      <c r="R549" s="176"/>
      <c r="S549" s="176"/>
      <c r="T549" s="176"/>
      <c r="U549" s="176"/>
      <c r="V549" s="160"/>
      <c r="W549" s="160"/>
      <c r="X549" s="160"/>
      <c r="Y549" s="161"/>
    </row>
    <row r="550" ht="15.75" customHeight="1">
      <c r="A550" s="187"/>
      <c r="B550" s="187"/>
      <c r="C550" s="188"/>
      <c r="D550" s="188"/>
      <c r="E550" s="187"/>
      <c r="F550" s="169"/>
      <c r="G550" s="169"/>
      <c r="H550" s="169"/>
      <c r="I550" s="169"/>
      <c r="J550" s="169"/>
      <c r="K550" s="169"/>
      <c r="L550" s="169"/>
      <c r="M550" s="169"/>
      <c r="N550" s="169"/>
      <c r="O550" s="169"/>
      <c r="P550" s="169"/>
      <c r="Q550" s="169"/>
      <c r="R550" s="169"/>
      <c r="S550" s="169"/>
      <c r="T550" s="169"/>
      <c r="U550" s="169"/>
      <c r="V550" s="152"/>
      <c r="W550" s="152"/>
      <c r="X550" s="152"/>
      <c r="Y550" s="161"/>
    </row>
    <row r="551" ht="15.75" customHeight="1">
      <c r="A551" s="186"/>
      <c r="B551" s="186"/>
      <c r="C551" s="189"/>
      <c r="D551" s="189"/>
      <c r="E551" s="186"/>
      <c r="F551" s="176"/>
      <c r="G551" s="176"/>
      <c r="H551" s="176"/>
      <c r="I551" s="176"/>
      <c r="J551" s="176"/>
      <c r="K551" s="176"/>
      <c r="L551" s="176"/>
      <c r="M551" s="176"/>
      <c r="N551" s="176"/>
      <c r="O551" s="176"/>
      <c r="P551" s="176"/>
      <c r="Q551" s="176"/>
      <c r="R551" s="176"/>
      <c r="S551" s="176"/>
      <c r="T551" s="176"/>
      <c r="U551" s="176"/>
      <c r="V551" s="160"/>
      <c r="W551" s="160"/>
      <c r="X551" s="160"/>
      <c r="Y551" s="161"/>
    </row>
    <row r="552" ht="15.75" customHeight="1">
      <c r="A552" s="187"/>
      <c r="B552" s="187"/>
      <c r="C552" s="188"/>
      <c r="D552" s="188"/>
      <c r="E552" s="187"/>
      <c r="F552" s="169"/>
      <c r="G552" s="169"/>
      <c r="H552" s="169"/>
      <c r="I552" s="169"/>
      <c r="J552" s="169"/>
      <c r="K552" s="169"/>
      <c r="L552" s="169"/>
      <c r="M552" s="169"/>
      <c r="N552" s="169"/>
      <c r="O552" s="169"/>
      <c r="P552" s="169"/>
      <c r="Q552" s="169"/>
      <c r="R552" s="169"/>
      <c r="S552" s="169"/>
      <c r="T552" s="169"/>
      <c r="U552" s="169"/>
      <c r="V552" s="152"/>
      <c r="W552" s="152"/>
      <c r="X552" s="152"/>
      <c r="Y552" s="161"/>
    </row>
    <row r="553" ht="15.75" customHeight="1">
      <c r="A553" s="186"/>
      <c r="B553" s="186"/>
      <c r="C553" s="189"/>
      <c r="D553" s="189"/>
      <c r="E553" s="186"/>
      <c r="F553" s="176"/>
      <c r="G553" s="176"/>
      <c r="H553" s="176"/>
      <c r="I553" s="176"/>
      <c r="J553" s="176"/>
      <c r="K553" s="176"/>
      <c r="L553" s="176"/>
      <c r="M553" s="176"/>
      <c r="N553" s="176"/>
      <c r="O553" s="176"/>
      <c r="P553" s="176"/>
      <c r="Q553" s="176"/>
      <c r="R553" s="176"/>
      <c r="S553" s="176"/>
      <c r="T553" s="176"/>
      <c r="U553" s="176"/>
      <c r="V553" s="160"/>
      <c r="W553" s="160"/>
      <c r="X553" s="160"/>
      <c r="Y553" s="161"/>
    </row>
    <row r="554" ht="15.75" customHeight="1">
      <c r="A554" s="187"/>
      <c r="B554" s="187"/>
      <c r="C554" s="188"/>
      <c r="D554" s="188"/>
      <c r="E554" s="187"/>
      <c r="F554" s="169"/>
      <c r="G554" s="169"/>
      <c r="H554" s="169"/>
      <c r="I554" s="169"/>
      <c r="J554" s="169"/>
      <c r="K554" s="169"/>
      <c r="L554" s="169"/>
      <c r="M554" s="169"/>
      <c r="N554" s="169"/>
      <c r="O554" s="169"/>
      <c r="P554" s="169"/>
      <c r="Q554" s="169"/>
      <c r="R554" s="169"/>
      <c r="S554" s="169"/>
      <c r="T554" s="169"/>
      <c r="U554" s="169"/>
      <c r="V554" s="152"/>
      <c r="W554" s="152"/>
      <c r="X554" s="152"/>
      <c r="Y554" s="161"/>
    </row>
    <row r="555" ht="15.75" customHeight="1">
      <c r="A555" s="186"/>
      <c r="B555" s="186"/>
      <c r="C555" s="189"/>
      <c r="D555" s="189"/>
      <c r="E555" s="186"/>
      <c r="F555" s="176"/>
      <c r="G555" s="176"/>
      <c r="H555" s="176"/>
      <c r="I555" s="176"/>
      <c r="J555" s="176"/>
      <c r="K555" s="176"/>
      <c r="L555" s="176"/>
      <c r="M555" s="176"/>
      <c r="N555" s="176"/>
      <c r="O555" s="176"/>
      <c r="P555" s="176"/>
      <c r="Q555" s="176"/>
      <c r="R555" s="176"/>
      <c r="S555" s="176"/>
      <c r="T555" s="176"/>
      <c r="U555" s="176"/>
      <c r="V555" s="160"/>
      <c r="W555" s="160"/>
      <c r="X555" s="160"/>
      <c r="Y555" s="161"/>
    </row>
    <row r="556" ht="15.75" customHeight="1">
      <c r="A556" s="187"/>
      <c r="B556" s="187"/>
      <c r="C556" s="188"/>
      <c r="D556" s="188"/>
      <c r="E556" s="187"/>
      <c r="F556" s="169"/>
      <c r="G556" s="169"/>
      <c r="H556" s="169"/>
      <c r="I556" s="169"/>
      <c r="J556" s="169"/>
      <c r="K556" s="169"/>
      <c r="L556" s="169"/>
      <c r="M556" s="169"/>
      <c r="N556" s="169"/>
      <c r="O556" s="169"/>
      <c r="P556" s="169"/>
      <c r="Q556" s="169"/>
      <c r="R556" s="169"/>
      <c r="S556" s="169"/>
      <c r="T556" s="169"/>
      <c r="U556" s="169"/>
      <c r="V556" s="152"/>
      <c r="W556" s="152"/>
      <c r="X556" s="152"/>
      <c r="Y556" s="161"/>
    </row>
    <row r="557" ht="15.75" customHeight="1">
      <c r="A557" s="186"/>
      <c r="B557" s="186"/>
      <c r="C557" s="189"/>
      <c r="D557" s="189"/>
      <c r="E557" s="186"/>
      <c r="F557" s="176"/>
      <c r="G557" s="176"/>
      <c r="H557" s="176"/>
      <c r="I557" s="176"/>
      <c r="J557" s="176"/>
      <c r="K557" s="176"/>
      <c r="L557" s="176"/>
      <c r="M557" s="176"/>
      <c r="N557" s="176"/>
      <c r="O557" s="176"/>
      <c r="P557" s="176"/>
      <c r="Q557" s="176"/>
      <c r="R557" s="176"/>
      <c r="S557" s="176"/>
      <c r="T557" s="176"/>
      <c r="U557" s="176"/>
      <c r="V557" s="160"/>
      <c r="W557" s="160"/>
      <c r="X557" s="160"/>
      <c r="Y557" s="161"/>
    </row>
    <row r="558" ht="15.75" customHeight="1">
      <c r="A558" s="187"/>
      <c r="B558" s="187"/>
      <c r="C558" s="188"/>
      <c r="D558" s="188"/>
      <c r="E558" s="187"/>
      <c r="F558" s="169"/>
      <c r="G558" s="169"/>
      <c r="H558" s="169"/>
      <c r="I558" s="169"/>
      <c r="J558" s="169"/>
      <c r="K558" s="169"/>
      <c r="L558" s="169"/>
      <c r="M558" s="169"/>
      <c r="N558" s="169"/>
      <c r="O558" s="169"/>
      <c r="P558" s="169"/>
      <c r="Q558" s="169"/>
      <c r="R558" s="169"/>
      <c r="S558" s="169"/>
      <c r="T558" s="169"/>
      <c r="U558" s="169"/>
      <c r="V558" s="152"/>
      <c r="W558" s="152"/>
      <c r="X558" s="152"/>
      <c r="Y558" s="161"/>
    </row>
    <row r="559" ht="15.75" customHeight="1">
      <c r="A559" s="186"/>
      <c r="B559" s="186"/>
      <c r="C559" s="189"/>
      <c r="D559" s="189"/>
      <c r="E559" s="186"/>
      <c r="F559" s="176"/>
      <c r="G559" s="176"/>
      <c r="H559" s="176"/>
      <c r="I559" s="176"/>
      <c r="J559" s="176"/>
      <c r="K559" s="176"/>
      <c r="L559" s="176"/>
      <c r="M559" s="176"/>
      <c r="N559" s="176"/>
      <c r="O559" s="176"/>
      <c r="P559" s="176"/>
      <c r="Q559" s="176"/>
      <c r="R559" s="176"/>
      <c r="S559" s="176"/>
      <c r="T559" s="176"/>
      <c r="U559" s="176"/>
      <c r="V559" s="160"/>
      <c r="W559" s="160"/>
      <c r="X559" s="160"/>
      <c r="Y559" s="161"/>
    </row>
    <row r="560" ht="15.75" customHeight="1">
      <c r="A560" s="187"/>
      <c r="B560" s="187"/>
      <c r="C560" s="188"/>
      <c r="D560" s="188"/>
      <c r="E560" s="187"/>
      <c r="F560" s="169"/>
      <c r="G560" s="169"/>
      <c r="H560" s="169"/>
      <c r="I560" s="169"/>
      <c r="J560" s="169"/>
      <c r="K560" s="169"/>
      <c r="L560" s="169"/>
      <c r="M560" s="169"/>
      <c r="N560" s="169"/>
      <c r="O560" s="169"/>
      <c r="P560" s="169"/>
      <c r="Q560" s="169"/>
      <c r="R560" s="169"/>
      <c r="S560" s="169"/>
      <c r="T560" s="169"/>
      <c r="U560" s="169"/>
      <c r="V560" s="152"/>
      <c r="W560" s="152"/>
      <c r="X560" s="152"/>
      <c r="Y560" s="161"/>
    </row>
    <row r="561" ht="15.75" customHeight="1">
      <c r="A561" s="186"/>
      <c r="B561" s="186"/>
      <c r="C561" s="189"/>
      <c r="D561" s="189"/>
      <c r="E561" s="186"/>
      <c r="F561" s="176"/>
      <c r="G561" s="176"/>
      <c r="H561" s="176"/>
      <c r="I561" s="176"/>
      <c r="J561" s="176"/>
      <c r="K561" s="176"/>
      <c r="L561" s="176"/>
      <c r="M561" s="176"/>
      <c r="N561" s="176"/>
      <c r="O561" s="176"/>
      <c r="P561" s="176"/>
      <c r="Q561" s="176"/>
      <c r="R561" s="176"/>
      <c r="S561" s="176"/>
      <c r="T561" s="176"/>
      <c r="U561" s="176"/>
      <c r="V561" s="160"/>
      <c r="W561" s="160"/>
      <c r="X561" s="160"/>
      <c r="Y561" s="161"/>
    </row>
    <row r="562" ht="15.75" customHeight="1">
      <c r="A562" s="187"/>
      <c r="B562" s="187"/>
      <c r="C562" s="188"/>
      <c r="D562" s="188"/>
      <c r="E562" s="187"/>
      <c r="F562" s="169"/>
      <c r="G562" s="169"/>
      <c r="H562" s="169"/>
      <c r="I562" s="169"/>
      <c r="J562" s="169"/>
      <c r="K562" s="169"/>
      <c r="L562" s="169"/>
      <c r="M562" s="169"/>
      <c r="N562" s="169"/>
      <c r="O562" s="169"/>
      <c r="P562" s="169"/>
      <c r="Q562" s="169"/>
      <c r="R562" s="169"/>
      <c r="S562" s="169"/>
      <c r="T562" s="169"/>
      <c r="U562" s="169"/>
      <c r="V562" s="152"/>
      <c r="W562" s="152"/>
      <c r="X562" s="152"/>
      <c r="Y562" s="161"/>
    </row>
    <row r="563" ht="15.75" customHeight="1">
      <c r="A563" s="186"/>
      <c r="B563" s="186"/>
      <c r="C563" s="189"/>
      <c r="D563" s="189"/>
      <c r="E563" s="186"/>
      <c r="F563" s="176"/>
      <c r="G563" s="176"/>
      <c r="H563" s="176"/>
      <c r="I563" s="176"/>
      <c r="J563" s="176"/>
      <c r="K563" s="176"/>
      <c r="L563" s="176"/>
      <c r="M563" s="176"/>
      <c r="N563" s="176"/>
      <c r="O563" s="176"/>
      <c r="P563" s="176"/>
      <c r="Q563" s="176"/>
      <c r="R563" s="176"/>
      <c r="S563" s="176"/>
      <c r="T563" s="176"/>
      <c r="U563" s="176"/>
      <c r="V563" s="160"/>
      <c r="W563" s="160"/>
      <c r="X563" s="160"/>
      <c r="Y563" s="161"/>
    </row>
    <row r="564" ht="15.75" customHeight="1">
      <c r="A564" s="187"/>
      <c r="B564" s="187"/>
      <c r="C564" s="188"/>
      <c r="D564" s="188"/>
      <c r="E564" s="187"/>
      <c r="F564" s="169"/>
      <c r="G564" s="169"/>
      <c r="H564" s="169"/>
      <c r="I564" s="169"/>
      <c r="J564" s="169"/>
      <c r="K564" s="169"/>
      <c r="L564" s="169"/>
      <c r="M564" s="169"/>
      <c r="N564" s="169"/>
      <c r="O564" s="169"/>
      <c r="P564" s="169"/>
      <c r="Q564" s="169"/>
      <c r="R564" s="169"/>
      <c r="S564" s="169"/>
      <c r="T564" s="169"/>
      <c r="U564" s="169"/>
      <c r="V564" s="152"/>
      <c r="W564" s="152"/>
      <c r="X564" s="152"/>
      <c r="Y564" s="161"/>
    </row>
    <row r="565" ht="15.75" customHeight="1">
      <c r="A565" s="186"/>
      <c r="B565" s="186"/>
      <c r="C565" s="189"/>
      <c r="D565" s="189"/>
      <c r="E565" s="186"/>
      <c r="F565" s="176"/>
      <c r="G565" s="176"/>
      <c r="H565" s="176"/>
      <c r="I565" s="176"/>
      <c r="J565" s="176"/>
      <c r="K565" s="176"/>
      <c r="L565" s="176"/>
      <c r="M565" s="176"/>
      <c r="N565" s="176"/>
      <c r="O565" s="176"/>
      <c r="P565" s="176"/>
      <c r="Q565" s="176"/>
      <c r="R565" s="176"/>
      <c r="S565" s="176"/>
      <c r="T565" s="176"/>
      <c r="U565" s="176"/>
      <c r="V565" s="160"/>
      <c r="W565" s="160"/>
      <c r="X565" s="160"/>
      <c r="Y565" s="161"/>
    </row>
    <row r="566" ht="15.75" customHeight="1">
      <c r="A566" s="187"/>
      <c r="B566" s="187"/>
      <c r="C566" s="188"/>
      <c r="D566" s="188"/>
      <c r="E566" s="187"/>
      <c r="F566" s="169"/>
      <c r="G566" s="169"/>
      <c r="H566" s="169"/>
      <c r="I566" s="169"/>
      <c r="J566" s="169"/>
      <c r="K566" s="169"/>
      <c r="L566" s="169"/>
      <c r="M566" s="169"/>
      <c r="N566" s="169"/>
      <c r="O566" s="169"/>
      <c r="P566" s="169"/>
      <c r="Q566" s="169"/>
      <c r="R566" s="169"/>
      <c r="S566" s="169"/>
      <c r="T566" s="169"/>
      <c r="U566" s="169"/>
      <c r="V566" s="152"/>
      <c r="W566" s="152"/>
      <c r="X566" s="152"/>
      <c r="Y566" s="161"/>
    </row>
    <row r="567" ht="15.75" customHeight="1">
      <c r="A567" s="186"/>
      <c r="B567" s="186"/>
      <c r="C567" s="189"/>
      <c r="D567" s="189"/>
      <c r="E567" s="186"/>
      <c r="F567" s="176"/>
      <c r="G567" s="176"/>
      <c r="H567" s="176"/>
      <c r="I567" s="176"/>
      <c r="J567" s="176"/>
      <c r="K567" s="176"/>
      <c r="L567" s="176"/>
      <c r="M567" s="176"/>
      <c r="N567" s="176"/>
      <c r="O567" s="176"/>
      <c r="P567" s="176"/>
      <c r="Q567" s="176"/>
      <c r="R567" s="176"/>
      <c r="S567" s="176"/>
      <c r="T567" s="176"/>
      <c r="U567" s="176"/>
      <c r="V567" s="160"/>
      <c r="W567" s="160"/>
      <c r="X567" s="160"/>
      <c r="Y567" s="161"/>
    </row>
    <row r="568" ht="15.75" customHeight="1">
      <c r="A568" s="187"/>
      <c r="B568" s="187"/>
      <c r="C568" s="188"/>
      <c r="D568" s="188"/>
      <c r="E568" s="187"/>
      <c r="F568" s="169"/>
      <c r="G568" s="169"/>
      <c r="H568" s="169"/>
      <c r="I568" s="169"/>
      <c r="J568" s="169"/>
      <c r="K568" s="169"/>
      <c r="L568" s="169"/>
      <c r="M568" s="169"/>
      <c r="N568" s="169"/>
      <c r="O568" s="169"/>
      <c r="P568" s="169"/>
      <c r="Q568" s="169"/>
      <c r="R568" s="169"/>
      <c r="S568" s="169"/>
      <c r="T568" s="169"/>
      <c r="U568" s="169"/>
      <c r="V568" s="152"/>
      <c r="W568" s="152"/>
      <c r="X568" s="152"/>
      <c r="Y568" s="161"/>
    </row>
    <row r="569" ht="15.75" customHeight="1">
      <c r="A569" s="186"/>
      <c r="B569" s="186"/>
      <c r="C569" s="189"/>
      <c r="D569" s="189"/>
      <c r="E569" s="186"/>
      <c r="F569" s="176"/>
      <c r="G569" s="176"/>
      <c r="H569" s="176"/>
      <c r="I569" s="176"/>
      <c r="J569" s="176"/>
      <c r="K569" s="176"/>
      <c r="L569" s="176"/>
      <c r="M569" s="176"/>
      <c r="N569" s="176"/>
      <c r="O569" s="176"/>
      <c r="P569" s="176"/>
      <c r="Q569" s="176"/>
      <c r="R569" s="176"/>
      <c r="S569" s="176"/>
      <c r="T569" s="176"/>
      <c r="U569" s="176"/>
      <c r="V569" s="160"/>
      <c r="W569" s="160"/>
      <c r="X569" s="160"/>
      <c r="Y569" s="161"/>
    </row>
    <row r="570" ht="15.75" customHeight="1">
      <c r="A570" s="187"/>
      <c r="B570" s="187"/>
      <c r="C570" s="188"/>
      <c r="D570" s="188"/>
      <c r="E570" s="187"/>
      <c r="F570" s="169"/>
      <c r="G570" s="169"/>
      <c r="H570" s="169"/>
      <c r="I570" s="169"/>
      <c r="J570" s="169"/>
      <c r="K570" s="169"/>
      <c r="L570" s="169"/>
      <c r="M570" s="169"/>
      <c r="N570" s="169"/>
      <c r="O570" s="169"/>
      <c r="P570" s="169"/>
      <c r="Q570" s="169"/>
      <c r="R570" s="169"/>
      <c r="S570" s="169"/>
      <c r="T570" s="169"/>
      <c r="U570" s="169"/>
      <c r="V570" s="152"/>
      <c r="W570" s="152"/>
      <c r="X570" s="152"/>
      <c r="Y570" s="161"/>
    </row>
    <row r="571" ht="15.75" customHeight="1">
      <c r="A571" s="186"/>
      <c r="B571" s="186"/>
      <c r="C571" s="189"/>
      <c r="D571" s="189"/>
      <c r="E571" s="186"/>
      <c r="F571" s="176"/>
      <c r="G571" s="176"/>
      <c r="H571" s="176"/>
      <c r="I571" s="176"/>
      <c r="J571" s="176"/>
      <c r="K571" s="176"/>
      <c r="L571" s="176"/>
      <c r="M571" s="176"/>
      <c r="N571" s="176"/>
      <c r="O571" s="176"/>
      <c r="P571" s="176"/>
      <c r="Q571" s="176"/>
      <c r="R571" s="176"/>
      <c r="S571" s="176"/>
      <c r="T571" s="176"/>
      <c r="U571" s="176"/>
      <c r="V571" s="160"/>
      <c r="W571" s="160"/>
      <c r="X571" s="160"/>
      <c r="Y571" s="161"/>
    </row>
    <row r="572" ht="15.75" customHeight="1">
      <c r="A572" s="187"/>
      <c r="B572" s="187"/>
      <c r="C572" s="188"/>
      <c r="D572" s="188"/>
      <c r="E572" s="187"/>
      <c r="F572" s="169"/>
      <c r="G572" s="169"/>
      <c r="H572" s="169"/>
      <c r="I572" s="169"/>
      <c r="J572" s="169"/>
      <c r="K572" s="169"/>
      <c r="L572" s="169"/>
      <c r="M572" s="169"/>
      <c r="N572" s="169"/>
      <c r="O572" s="169"/>
      <c r="P572" s="169"/>
      <c r="Q572" s="169"/>
      <c r="R572" s="169"/>
      <c r="S572" s="169"/>
      <c r="T572" s="169"/>
      <c r="U572" s="169"/>
      <c r="V572" s="152"/>
      <c r="W572" s="152"/>
      <c r="X572" s="152"/>
      <c r="Y572" s="161"/>
    </row>
    <row r="573" ht="15.75" customHeight="1">
      <c r="A573" s="186"/>
      <c r="B573" s="186"/>
      <c r="C573" s="189"/>
      <c r="D573" s="189"/>
      <c r="E573" s="186"/>
      <c r="F573" s="176"/>
      <c r="G573" s="176"/>
      <c r="H573" s="176"/>
      <c r="I573" s="176"/>
      <c r="J573" s="176"/>
      <c r="K573" s="176"/>
      <c r="L573" s="176"/>
      <c r="M573" s="176"/>
      <c r="N573" s="176"/>
      <c r="O573" s="176"/>
      <c r="P573" s="176"/>
      <c r="Q573" s="176"/>
      <c r="R573" s="176"/>
      <c r="S573" s="176"/>
      <c r="T573" s="176"/>
      <c r="U573" s="176"/>
      <c r="V573" s="160"/>
      <c r="W573" s="160"/>
      <c r="X573" s="160"/>
      <c r="Y573" s="161"/>
    </row>
    <row r="574" ht="15.75" customHeight="1">
      <c r="A574" s="187"/>
      <c r="B574" s="187"/>
      <c r="C574" s="188"/>
      <c r="D574" s="188"/>
      <c r="E574" s="187"/>
      <c r="F574" s="169"/>
      <c r="G574" s="169"/>
      <c r="H574" s="169"/>
      <c r="I574" s="169"/>
      <c r="J574" s="169"/>
      <c r="K574" s="169"/>
      <c r="L574" s="169"/>
      <c r="M574" s="169"/>
      <c r="N574" s="169"/>
      <c r="O574" s="169"/>
      <c r="P574" s="169"/>
      <c r="Q574" s="169"/>
      <c r="R574" s="169"/>
      <c r="S574" s="169"/>
      <c r="T574" s="169"/>
      <c r="U574" s="169"/>
      <c r="V574" s="152"/>
      <c r="W574" s="152"/>
      <c r="X574" s="152"/>
      <c r="Y574" s="161"/>
    </row>
    <row r="575" ht="15.75" customHeight="1">
      <c r="A575" s="186"/>
      <c r="B575" s="186"/>
      <c r="C575" s="189"/>
      <c r="D575" s="189"/>
      <c r="E575" s="186"/>
      <c r="F575" s="176"/>
      <c r="G575" s="176"/>
      <c r="H575" s="176"/>
      <c r="I575" s="176"/>
      <c r="J575" s="176"/>
      <c r="K575" s="176"/>
      <c r="L575" s="176"/>
      <c r="M575" s="176"/>
      <c r="N575" s="176"/>
      <c r="O575" s="176"/>
      <c r="P575" s="176"/>
      <c r="Q575" s="176"/>
      <c r="R575" s="176"/>
      <c r="S575" s="176"/>
      <c r="T575" s="176"/>
      <c r="U575" s="176"/>
      <c r="V575" s="160"/>
      <c r="W575" s="160"/>
      <c r="X575" s="160"/>
      <c r="Y575" s="161"/>
    </row>
    <row r="576" ht="15.75" customHeight="1">
      <c r="A576" s="187"/>
      <c r="B576" s="187"/>
      <c r="C576" s="188"/>
      <c r="D576" s="188"/>
      <c r="E576" s="187"/>
      <c r="F576" s="169"/>
      <c r="G576" s="169"/>
      <c r="H576" s="169"/>
      <c r="I576" s="169"/>
      <c r="J576" s="169"/>
      <c r="K576" s="169"/>
      <c r="L576" s="169"/>
      <c r="M576" s="169"/>
      <c r="N576" s="169"/>
      <c r="O576" s="169"/>
      <c r="P576" s="169"/>
      <c r="Q576" s="169"/>
      <c r="R576" s="169"/>
      <c r="S576" s="169"/>
      <c r="T576" s="169"/>
      <c r="U576" s="169"/>
      <c r="V576" s="152"/>
      <c r="W576" s="152"/>
      <c r="X576" s="152"/>
      <c r="Y576" s="161"/>
    </row>
    <row r="577" ht="15.75" customHeight="1">
      <c r="A577" s="186"/>
      <c r="B577" s="186"/>
      <c r="C577" s="189"/>
      <c r="D577" s="189"/>
      <c r="E577" s="186"/>
      <c r="F577" s="176"/>
      <c r="G577" s="176"/>
      <c r="H577" s="176"/>
      <c r="I577" s="176"/>
      <c r="J577" s="176"/>
      <c r="K577" s="176"/>
      <c r="L577" s="176"/>
      <c r="M577" s="176"/>
      <c r="N577" s="176"/>
      <c r="O577" s="176"/>
      <c r="P577" s="176"/>
      <c r="Q577" s="176"/>
      <c r="R577" s="176"/>
      <c r="S577" s="176"/>
      <c r="T577" s="176"/>
      <c r="U577" s="176"/>
      <c r="V577" s="160"/>
      <c r="W577" s="160"/>
      <c r="X577" s="160"/>
      <c r="Y577" s="161"/>
    </row>
    <row r="578" ht="15.75" customHeight="1">
      <c r="A578" s="187"/>
      <c r="B578" s="187"/>
      <c r="C578" s="188"/>
      <c r="D578" s="188"/>
      <c r="E578" s="187"/>
      <c r="F578" s="169"/>
      <c r="G578" s="169"/>
      <c r="H578" s="169"/>
      <c r="I578" s="169"/>
      <c r="J578" s="169"/>
      <c r="K578" s="169"/>
      <c r="L578" s="169"/>
      <c r="M578" s="169"/>
      <c r="N578" s="169"/>
      <c r="O578" s="169"/>
      <c r="P578" s="169"/>
      <c r="Q578" s="169"/>
      <c r="R578" s="169"/>
      <c r="S578" s="169"/>
      <c r="T578" s="169"/>
      <c r="U578" s="169"/>
      <c r="V578" s="152"/>
      <c r="W578" s="152"/>
      <c r="X578" s="152"/>
      <c r="Y578" s="161"/>
    </row>
    <row r="579" ht="15.75" customHeight="1">
      <c r="A579" s="186"/>
      <c r="B579" s="186"/>
      <c r="C579" s="189"/>
      <c r="D579" s="189"/>
      <c r="E579" s="186"/>
      <c r="F579" s="176"/>
      <c r="G579" s="176"/>
      <c r="H579" s="176"/>
      <c r="I579" s="176"/>
      <c r="J579" s="176"/>
      <c r="K579" s="176"/>
      <c r="L579" s="176"/>
      <c r="M579" s="176"/>
      <c r="N579" s="176"/>
      <c r="O579" s="176"/>
      <c r="P579" s="176"/>
      <c r="Q579" s="176"/>
      <c r="R579" s="176"/>
      <c r="S579" s="176"/>
      <c r="T579" s="176"/>
      <c r="U579" s="176"/>
      <c r="V579" s="160"/>
      <c r="W579" s="160"/>
      <c r="X579" s="160"/>
      <c r="Y579" s="161"/>
    </row>
    <row r="580" ht="15.75" customHeight="1">
      <c r="A580" s="187"/>
      <c r="B580" s="187"/>
      <c r="C580" s="188"/>
      <c r="D580" s="188"/>
      <c r="E580" s="187"/>
      <c r="F580" s="169"/>
      <c r="G580" s="169"/>
      <c r="H580" s="169"/>
      <c r="I580" s="169"/>
      <c r="J580" s="169"/>
      <c r="K580" s="169"/>
      <c r="L580" s="169"/>
      <c r="M580" s="169"/>
      <c r="N580" s="169"/>
      <c r="O580" s="169"/>
      <c r="P580" s="169"/>
      <c r="Q580" s="169"/>
      <c r="R580" s="169"/>
      <c r="S580" s="169"/>
      <c r="T580" s="169"/>
      <c r="U580" s="169"/>
      <c r="V580" s="152"/>
      <c r="W580" s="152"/>
      <c r="X580" s="152"/>
      <c r="Y580" s="161"/>
    </row>
    <row r="581" ht="15.75" customHeight="1">
      <c r="A581" s="186"/>
      <c r="B581" s="186"/>
      <c r="C581" s="189"/>
      <c r="D581" s="189"/>
      <c r="E581" s="186"/>
      <c r="F581" s="176"/>
      <c r="G581" s="176"/>
      <c r="H581" s="176"/>
      <c r="I581" s="176"/>
      <c r="J581" s="176"/>
      <c r="K581" s="176"/>
      <c r="L581" s="176"/>
      <c r="M581" s="176"/>
      <c r="N581" s="176"/>
      <c r="O581" s="176"/>
      <c r="P581" s="176"/>
      <c r="Q581" s="176"/>
      <c r="R581" s="176"/>
      <c r="S581" s="176"/>
      <c r="T581" s="176"/>
      <c r="U581" s="176"/>
      <c r="V581" s="160"/>
      <c r="W581" s="160"/>
      <c r="X581" s="160"/>
      <c r="Y581" s="161"/>
    </row>
    <row r="582" ht="15.75" customHeight="1">
      <c r="A582" s="187"/>
      <c r="B582" s="187"/>
      <c r="C582" s="188"/>
      <c r="D582" s="188"/>
      <c r="E582" s="187"/>
      <c r="F582" s="169"/>
      <c r="G582" s="169"/>
      <c r="H582" s="169"/>
      <c r="I582" s="169"/>
      <c r="J582" s="169"/>
      <c r="K582" s="169"/>
      <c r="L582" s="169"/>
      <c r="M582" s="169"/>
      <c r="N582" s="169"/>
      <c r="O582" s="169"/>
      <c r="P582" s="169"/>
      <c r="Q582" s="169"/>
      <c r="R582" s="169"/>
      <c r="S582" s="169"/>
      <c r="T582" s="169"/>
      <c r="U582" s="169"/>
      <c r="V582" s="152"/>
      <c r="W582" s="152"/>
      <c r="X582" s="152"/>
      <c r="Y582" s="161"/>
    </row>
    <row r="583" ht="15.75" customHeight="1">
      <c r="A583" s="186"/>
      <c r="B583" s="186"/>
      <c r="C583" s="189"/>
      <c r="D583" s="189"/>
      <c r="E583" s="186"/>
      <c r="F583" s="176"/>
      <c r="G583" s="176"/>
      <c r="H583" s="176"/>
      <c r="I583" s="176"/>
      <c r="J583" s="176"/>
      <c r="K583" s="176"/>
      <c r="L583" s="176"/>
      <c r="M583" s="176"/>
      <c r="N583" s="176"/>
      <c r="O583" s="176"/>
      <c r="P583" s="176"/>
      <c r="Q583" s="176"/>
      <c r="R583" s="176"/>
      <c r="S583" s="176"/>
      <c r="T583" s="176"/>
      <c r="U583" s="176"/>
      <c r="V583" s="160"/>
      <c r="W583" s="160"/>
      <c r="X583" s="160"/>
      <c r="Y583" s="161"/>
    </row>
    <row r="584" ht="15.75" customHeight="1">
      <c r="A584" s="187"/>
      <c r="B584" s="187"/>
      <c r="C584" s="188"/>
      <c r="D584" s="188"/>
      <c r="E584" s="187"/>
      <c r="F584" s="169"/>
      <c r="G584" s="169"/>
      <c r="H584" s="169"/>
      <c r="I584" s="169"/>
      <c r="J584" s="169"/>
      <c r="K584" s="169"/>
      <c r="L584" s="169"/>
      <c r="M584" s="169"/>
      <c r="N584" s="169"/>
      <c r="O584" s="169"/>
      <c r="P584" s="169"/>
      <c r="Q584" s="169"/>
      <c r="R584" s="169"/>
      <c r="S584" s="169"/>
      <c r="T584" s="169"/>
      <c r="U584" s="169"/>
      <c r="V584" s="152"/>
      <c r="W584" s="152"/>
      <c r="X584" s="152"/>
      <c r="Y584" s="161"/>
    </row>
    <row r="585" ht="15.75" customHeight="1">
      <c r="A585" s="186"/>
      <c r="B585" s="186"/>
      <c r="C585" s="189"/>
      <c r="D585" s="189"/>
      <c r="E585" s="186"/>
      <c r="F585" s="176"/>
      <c r="G585" s="176"/>
      <c r="H585" s="176"/>
      <c r="I585" s="176"/>
      <c r="J585" s="176"/>
      <c r="K585" s="176"/>
      <c r="L585" s="176"/>
      <c r="M585" s="176"/>
      <c r="N585" s="176"/>
      <c r="O585" s="176"/>
      <c r="P585" s="176"/>
      <c r="Q585" s="176"/>
      <c r="R585" s="176"/>
      <c r="S585" s="176"/>
      <c r="T585" s="176"/>
      <c r="U585" s="176"/>
      <c r="V585" s="160"/>
      <c r="W585" s="160"/>
      <c r="X585" s="160"/>
      <c r="Y585" s="161"/>
    </row>
    <row r="586" ht="15.75" customHeight="1">
      <c r="A586" s="187"/>
      <c r="B586" s="187"/>
      <c r="C586" s="188"/>
      <c r="D586" s="188"/>
      <c r="E586" s="187"/>
      <c r="F586" s="169"/>
      <c r="G586" s="169"/>
      <c r="H586" s="169"/>
      <c r="I586" s="169"/>
      <c r="J586" s="169"/>
      <c r="K586" s="169"/>
      <c r="L586" s="169"/>
      <c r="M586" s="169"/>
      <c r="N586" s="169"/>
      <c r="O586" s="169"/>
      <c r="P586" s="169"/>
      <c r="Q586" s="169"/>
      <c r="R586" s="169"/>
      <c r="S586" s="169"/>
      <c r="T586" s="169"/>
      <c r="U586" s="169"/>
      <c r="V586" s="152"/>
      <c r="W586" s="152"/>
      <c r="X586" s="152"/>
      <c r="Y586" s="161"/>
    </row>
    <row r="587" ht="15.75" customHeight="1">
      <c r="A587" s="186"/>
      <c r="B587" s="186"/>
      <c r="C587" s="189"/>
      <c r="D587" s="189"/>
      <c r="E587" s="186"/>
      <c r="F587" s="176"/>
      <c r="G587" s="176"/>
      <c r="H587" s="176"/>
      <c r="I587" s="176"/>
      <c r="J587" s="176"/>
      <c r="K587" s="176"/>
      <c r="L587" s="176"/>
      <c r="M587" s="176"/>
      <c r="N587" s="176"/>
      <c r="O587" s="176"/>
      <c r="P587" s="176"/>
      <c r="Q587" s="176"/>
      <c r="R587" s="176"/>
      <c r="S587" s="176"/>
      <c r="T587" s="176"/>
      <c r="U587" s="176"/>
      <c r="V587" s="160"/>
      <c r="W587" s="160"/>
      <c r="X587" s="160"/>
      <c r="Y587" s="161"/>
    </row>
    <row r="588" ht="15.75" customHeight="1">
      <c r="A588" s="187"/>
      <c r="B588" s="187"/>
      <c r="C588" s="188"/>
      <c r="D588" s="188"/>
      <c r="E588" s="187"/>
      <c r="F588" s="169"/>
      <c r="G588" s="169"/>
      <c r="H588" s="169"/>
      <c r="I588" s="169"/>
      <c r="J588" s="169"/>
      <c r="K588" s="169"/>
      <c r="L588" s="169"/>
      <c r="M588" s="169"/>
      <c r="N588" s="169"/>
      <c r="O588" s="169"/>
      <c r="P588" s="169"/>
      <c r="Q588" s="169"/>
      <c r="R588" s="169"/>
      <c r="S588" s="169"/>
      <c r="T588" s="169"/>
      <c r="U588" s="169"/>
      <c r="V588" s="152"/>
      <c r="W588" s="152"/>
      <c r="X588" s="152"/>
      <c r="Y588" s="161"/>
    </row>
    <row r="589" ht="15.75" customHeight="1">
      <c r="A589" s="186"/>
      <c r="B589" s="186"/>
      <c r="C589" s="189"/>
      <c r="D589" s="189"/>
      <c r="E589" s="186"/>
      <c r="F589" s="176"/>
      <c r="G589" s="176"/>
      <c r="H589" s="176"/>
      <c r="I589" s="176"/>
      <c r="J589" s="176"/>
      <c r="K589" s="176"/>
      <c r="L589" s="176"/>
      <c r="M589" s="176"/>
      <c r="N589" s="176"/>
      <c r="O589" s="176"/>
      <c r="P589" s="176"/>
      <c r="Q589" s="176"/>
      <c r="R589" s="176"/>
      <c r="S589" s="176"/>
      <c r="T589" s="176"/>
      <c r="U589" s="176"/>
      <c r="V589" s="160"/>
      <c r="W589" s="160"/>
      <c r="X589" s="160"/>
      <c r="Y589" s="161"/>
    </row>
    <row r="590" ht="15.75" customHeight="1">
      <c r="A590" s="187"/>
      <c r="B590" s="187"/>
      <c r="C590" s="188"/>
      <c r="D590" s="188"/>
      <c r="E590" s="187"/>
      <c r="F590" s="169"/>
      <c r="G590" s="169"/>
      <c r="H590" s="169"/>
      <c r="I590" s="169"/>
      <c r="J590" s="169"/>
      <c r="K590" s="169"/>
      <c r="L590" s="169"/>
      <c r="M590" s="169"/>
      <c r="N590" s="169"/>
      <c r="O590" s="169"/>
      <c r="P590" s="169"/>
      <c r="Q590" s="169"/>
      <c r="R590" s="169"/>
      <c r="S590" s="169"/>
      <c r="T590" s="169"/>
      <c r="U590" s="169"/>
      <c r="V590" s="152"/>
      <c r="W590" s="152"/>
      <c r="X590" s="152"/>
      <c r="Y590" s="161"/>
    </row>
    <row r="591" ht="15.75" customHeight="1">
      <c r="A591" s="186"/>
      <c r="B591" s="186"/>
      <c r="C591" s="189"/>
      <c r="D591" s="189"/>
      <c r="E591" s="186"/>
      <c r="F591" s="176"/>
      <c r="G591" s="176"/>
      <c r="H591" s="176"/>
      <c r="I591" s="176"/>
      <c r="J591" s="176"/>
      <c r="K591" s="176"/>
      <c r="L591" s="176"/>
      <c r="M591" s="176"/>
      <c r="N591" s="176"/>
      <c r="O591" s="176"/>
      <c r="P591" s="176"/>
      <c r="Q591" s="176"/>
      <c r="R591" s="176"/>
      <c r="S591" s="176"/>
      <c r="T591" s="176"/>
      <c r="U591" s="176"/>
      <c r="V591" s="160"/>
      <c r="W591" s="160"/>
      <c r="X591" s="160"/>
      <c r="Y591" s="161"/>
    </row>
    <row r="592" ht="15.75" customHeight="1">
      <c r="A592" s="187"/>
      <c r="B592" s="187"/>
      <c r="C592" s="188"/>
      <c r="D592" s="188"/>
      <c r="E592" s="187"/>
      <c r="F592" s="169"/>
      <c r="G592" s="169"/>
      <c r="H592" s="169"/>
      <c r="I592" s="169"/>
      <c r="J592" s="169"/>
      <c r="K592" s="169"/>
      <c r="L592" s="169"/>
      <c r="M592" s="169"/>
      <c r="N592" s="169"/>
      <c r="O592" s="169"/>
      <c r="P592" s="169"/>
      <c r="Q592" s="169"/>
      <c r="R592" s="169"/>
      <c r="S592" s="169"/>
      <c r="T592" s="169"/>
      <c r="U592" s="169"/>
      <c r="V592" s="152"/>
      <c r="W592" s="152"/>
      <c r="X592" s="152"/>
      <c r="Y592" s="161"/>
    </row>
    <row r="593" ht="15.75" customHeight="1">
      <c r="A593" s="186"/>
      <c r="B593" s="186"/>
      <c r="C593" s="189"/>
      <c r="D593" s="189"/>
      <c r="E593" s="186"/>
      <c r="F593" s="176"/>
      <c r="G593" s="176"/>
      <c r="H593" s="176"/>
      <c r="I593" s="176"/>
      <c r="J593" s="176"/>
      <c r="K593" s="176"/>
      <c r="L593" s="176"/>
      <c r="M593" s="176"/>
      <c r="N593" s="176"/>
      <c r="O593" s="176"/>
      <c r="P593" s="176"/>
      <c r="Q593" s="176"/>
      <c r="R593" s="176"/>
      <c r="S593" s="176"/>
      <c r="T593" s="176"/>
      <c r="U593" s="176"/>
      <c r="V593" s="160"/>
      <c r="W593" s="160"/>
      <c r="X593" s="160"/>
      <c r="Y593" s="161"/>
    </row>
    <row r="594" ht="15.75" customHeight="1">
      <c r="A594" s="187"/>
      <c r="B594" s="187"/>
      <c r="C594" s="188"/>
      <c r="D594" s="188"/>
      <c r="E594" s="187"/>
      <c r="F594" s="169"/>
      <c r="G594" s="169"/>
      <c r="H594" s="169"/>
      <c r="I594" s="169"/>
      <c r="J594" s="169"/>
      <c r="K594" s="169"/>
      <c r="L594" s="169"/>
      <c r="M594" s="169"/>
      <c r="N594" s="169"/>
      <c r="O594" s="169"/>
      <c r="P594" s="169"/>
      <c r="Q594" s="169"/>
      <c r="R594" s="169"/>
      <c r="S594" s="169"/>
      <c r="T594" s="169"/>
      <c r="U594" s="169"/>
      <c r="V594" s="152"/>
      <c r="W594" s="152"/>
      <c r="X594" s="152"/>
      <c r="Y594" s="161"/>
    </row>
    <row r="595" ht="15.75" customHeight="1">
      <c r="A595" s="186"/>
      <c r="B595" s="186"/>
      <c r="C595" s="189"/>
      <c r="D595" s="189"/>
      <c r="E595" s="186"/>
      <c r="F595" s="176"/>
      <c r="G595" s="176"/>
      <c r="H595" s="176"/>
      <c r="I595" s="176"/>
      <c r="J595" s="176"/>
      <c r="K595" s="176"/>
      <c r="L595" s="176"/>
      <c r="M595" s="176"/>
      <c r="N595" s="176"/>
      <c r="O595" s="176"/>
      <c r="P595" s="176"/>
      <c r="Q595" s="176"/>
      <c r="R595" s="176"/>
      <c r="S595" s="176"/>
      <c r="T595" s="176"/>
      <c r="U595" s="176"/>
      <c r="V595" s="160"/>
      <c r="W595" s="160"/>
      <c r="X595" s="160"/>
      <c r="Y595" s="161"/>
    </row>
    <row r="596" ht="15.75" customHeight="1">
      <c r="A596" s="187"/>
      <c r="B596" s="187"/>
      <c r="C596" s="188"/>
      <c r="D596" s="188"/>
      <c r="E596" s="187"/>
      <c r="F596" s="169"/>
      <c r="G596" s="169"/>
      <c r="H596" s="169"/>
      <c r="I596" s="169"/>
      <c r="J596" s="169"/>
      <c r="K596" s="169"/>
      <c r="L596" s="169"/>
      <c r="M596" s="169"/>
      <c r="N596" s="169"/>
      <c r="O596" s="169"/>
      <c r="P596" s="169"/>
      <c r="Q596" s="169"/>
      <c r="R596" s="169"/>
      <c r="S596" s="169"/>
      <c r="T596" s="169"/>
      <c r="U596" s="169"/>
      <c r="V596" s="152"/>
      <c r="W596" s="152"/>
      <c r="X596" s="152"/>
      <c r="Y596" s="161"/>
    </row>
    <row r="597" ht="15.75" customHeight="1">
      <c r="A597" s="186"/>
      <c r="B597" s="186"/>
      <c r="C597" s="189"/>
      <c r="D597" s="189"/>
      <c r="E597" s="186"/>
      <c r="F597" s="176"/>
      <c r="G597" s="176"/>
      <c r="H597" s="176"/>
      <c r="I597" s="176"/>
      <c r="J597" s="176"/>
      <c r="K597" s="176"/>
      <c r="L597" s="176"/>
      <c r="M597" s="176"/>
      <c r="N597" s="176"/>
      <c r="O597" s="176"/>
      <c r="P597" s="176"/>
      <c r="Q597" s="176"/>
      <c r="R597" s="176"/>
      <c r="S597" s="176"/>
      <c r="T597" s="176"/>
      <c r="U597" s="176"/>
      <c r="V597" s="160"/>
      <c r="W597" s="160"/>
      <c r="X597" s="160"/>
      <c r="Y597" s="161"/>
    </row>
    <row r="598" ht="15.75" customHeight="1">
      <c r="A598" s="187"/>
      <c r="B598" s="187"/>
      <c r="C598" s="188"/>
      <c r="D598" s="188"/>
      <c r="E598" s="187"/>
      <c r="F598" s="169"/>
      <c r="G598" s="169"/>
      <c r="H598" s="169"/>
      <c r="I598" s="169"/>
      <c r="J598" s="169"/>
      <c r="K598" s="169"/>
      <c r="L598" s="169"/>
      <c r="M598" s="169"/>
      <c r="N598" s="169"/>
      <c r="O598" s="169"/>
      <c r="P598" s="169"/>
      <c r="Q598" s="169"/>
      <c r="R598" s="169"/>
      <c r="S598" s="169"/>
      <c r="T598" s="169"/>
      <c r="U598" s="169"/>
      <c r="V598" s="152"/>
      <c r="W598" s="152"/>
      <c r="X598" s="152"/>
      <c r="Y598" s="161"/>
    </row>
    <row r="599" ht="15.75" customHeight="1">
      <c r="A599" s="186"/>
      <c r="B599" s="186"/>
      <c r="C599" s="189"/>
      <c r="D599" s="189"/>
      <c r="E599" s="186"/>
      <c r="F599" s="176"/>
      <c r="G599" s="176"/>
      <c r="H599" s="176"/>
      <c r="I599" s="176"/>
      <c r="J599" s="176"/>
      <c r="K599" s="176"/>
      <c r="L599" s="176"/>
      <c r="M599" s="176"/>
      <c r="N599" s="176"/>
      <c r="O599" s="176"/>
      <c r="P599" s="176"/>
      <c r="Q599" s="176"/>
      <c r="R599" s="176"/>
      <c r="S599" s="176"/>
      <c r="T599" s="176"/>
      <c r="U599" s="176"/>
      <c r="V599" s="160"/>
      <c r="W599" s="160"/>
      <c r="X599" s="160"/>
      <c r="Y599" s="161"/>
    </row>
    <row r="600" ht="15.75" customHeight="1">
      <c r="A600" s="187"/>
      <c r="B600" s="187"/>
      <c r="C600" s="188"/>
      <c r="D600" s="188"/>
      <c r="E600" s="187"/>
      <c r="F600" s="169"/>
      <c r="G600" s="169"/>
      <c r="H600" s="169"/>
      <c r="I600" s="169"/>
      <c r="J600" s="169"/>
      <c r="K600" s="169"/>
      <c r="L600" s="169"/>
      <c r="M600" s="169"/>
      <c r="N600" s="169"/>
      <c r="O600" s="169"/>
      <c r="P600" s="169"/>
      <c r="Q600" s="169"/>
      <c r="R600" s="169"/>
      <c r="S600" s="169"/>
      <c r="T600" s="169"/>
      <c r="U600" s="169"/>
      <c r="V600" s="152"/>
      <c r="W600" s="152"/>
      <c r="X600" s="152"/>
      <c r="Y600" s="161"/>
    </row>
    <row r="601" ht="15.75" customHeight="1">
      <c r="A601" s="186"/>
      <c r="B601" s="186"/>
      <c r="C601" s="189"/>
      <c r="D601" s="189"/>
      <c r="E601" s="186"/>
      <c r="F601" s="176"/>
      <c r="G601" s="176"/>
      <c r="H601" s="176"/>
      <c r="I601" s="176"/>
      <c r="J601" s="176"/>
      <c r="K601" s="176"/>
      <c r="L601" s="176"/>
      <c r="M601" s="176"/>
      <c r="N601" s="176"/>
      <c r="O601" s="176"/>
      <c r="P601" s="176"/>
      <c r="Q601" s="176"/>
      <c r="R601" s="176"/>
      <c r="S601" s="176"/>
      <c r="T601" s="176"/>
      <c r="U601" s="176"/>
      <c r="V601" s="160"/>
      <c r="W601" s="160"/>
      <c r="X601" s="160"/>
      <c r="Y601" s="161"/>
    </row>
    <row r="602" ht="15.75" customHeight="1">
      <c r="A602" s="187"/>
      <c r="B602" s="187"/>
      <c r="C602" s="188"/>
      <c r="D602" s="188"/>
      <c r="E602" s="187"/>
      <c r="F602" s="169"/>
      <c r="G602" s="169"/>
      <c r="H602" s="169"/>
      <c r="I602" s="169"/>
      <c r="J602" s="169"/>
      <c r="K602" s="169"/>
      <c r="L602" s="169"/>
      <c r="M602" s="169"/>
      <c r="N602" s="169"/>
      <c r="O602" s="169"/>
      <c r="P602" s="169"/>
      <c r="Q602" s="169"/>
      <c r="R602" s="169"/>
      <c r="S602" s="169"/>
      <c r="T602" s="169"/>
      <c r="U602" s="169"/>
      <c r="V602" s="152"/>
      <c r="W602" s="152"/>
      <c r="X602" s="152"/>
      <c r="Y602" s="161"/>
    </row>
    <row r="603" ht="15.75" customHeight="1">
      <c r="A603" s="186"/>
      <c r="B603" s="186"/>
      <c r="C603" s="189"/>
      <c r="D603" s="189"/>
      <c r="E603" s="186"/>
      <c r="F603" s="176"/>
      <c r="G603" s="176"/>
      <c r="H603" s="176"/>
      <c r="I603" s="176"/>
      <c r="J603" s="176"/>
      <c r="K603" s="176"/>
      <c r="L603" s="176"/>
      <c r="M603" s="176"/>
      <c r="N603" s="176"/>
      <c r="O603" s="176"/>
      <c r="P603" s="176"/>
      <c r="Q603" s="176"/>
      <c r="R603" s="176"/>
      <c r="S603" s="176"/>
      <c r="T603" s="176"/>
      <c r="U603" s="176"/>
      <c r="V603" s="160"/>
      <c r="W603" s="160"/>
      <c r="X603" s="160"/>
      <c r="Y603" s="161"/>
    </row>
    <row r="604" ht="15.75" customHeight="1">
      <c r="A604" s="187"/>
      <c r="B604" s="187"/>
      <c r="C604" s="188"/>
      <c r="D604" s="188"/>
      <c r="E604" s="187"/>
      <c r="F604" s="169"/>
      <c r="G604" s="169"/>
      <c r="H604" s="169"/>
      <c r="I604" s="169"/>
      <c r="J604" s="169"/>
      <c r="K604" s="169"/>
      <c r="L604" s="169"/>
      <c r="M604" s="169"/>
      <c r="N604" s="169"/>
      <c r="O604" s="169"/>
      <c r="P604" s="169"/>
      <c r="Q604" s="169"/>
      <c r="R604" s="169"/>
      <c r="S604" s="169"/>
      <c r="T604" s="169"/>
      <c r="U604" s="169"/>
      <c r="V604" s="152"/>
      <c r="W604" s="152"/>
      <c r="X604" s="152"/>
      <c r="Y604" s="161"/>
    </row>
    <row r="605" ht="15.75" customHeight="1">
      <c r="A605" s="186"/>
      <c r="B605" s="186"/>
      <c r="C605" s="189"/>
      <c r="D605" s="189"/>
      <c r="E605" s="186"/>
      <c r="F605" s="176"/>
      <c r="G605" s="176"/>
      <c r="H605" s="176"/>
      <c r="I605" s="176"/>
      <c r="J605" s="176"/>
      <c r="K605" s="176"/>
      <c r="L605" s="176"/>
      <c r="M605" s="176"/>
      <c r="N605" s="176"/>
      <c r="O605" s="176"/>
      <c r="P605" s="176"/>
      <c r="Q605" s="176"/>
      <c r="R605" s="176"/>
      <c r="S605" s="176"/>
      <c r="T605" s="176"/>
      <c r="U605" s="176"/>
      <c r="V605" s="160"/>
      <c r="W605" s="160"/>
      <c r="X605" s="160"/>
      <c r="Y605" s="161"/>
    </row>
    <row r="606" ht="15.75" customHeight="1">
      <c r="A606" s="187"/>
      <c r="B606" s="187"/>
      <c r="C606" s="188"/>
      <c r="D606" s="188"/>
      <c r="E606" s="187"/>
      <c r="F606" s="169"/>
      <c r="G606" s="169"/>
      <c r="H606" s="169"/>
      <c r="I606" s="169"/>
      <c r="J606" s="169"/>
      <c r="K606" s="169"/>
      <c r="L606" s="169"/>
      <c r="M606" s="169"/>
      <c r="N606" s="169"/>
      <c r="O606" s="169"/>
      <c r="P606" s="169"/>
      <c r="Q606" s="169"/>
      <c r="R606" s="169"/>
      <c r="S606" s="169"/>
      <c r="T606" s="169"/>
      <c r="U606" s="169"/>
      <c r="V606" s="152"/>
      <c r="W606" s="152"/>
      <c r="X606" s="152"/>
      <c r="Y606" s="161"/>
    </row>
    <row r="607" ht="15.75" customHeight="1">
      <c r="A607" s="186"/>
      <c r="B607" s="186"/>
      <c r="C607" s="189"/>
      <c r="D607" s="189"/>
      <c r="E607" s="186"/>
      <c r="F607" s="176"/>
      <c r="G607" s="176"/>
      <c r="H607" s="176"/>
      <c r="I607" s="176"/>
      <c r="J607" s="176"/>
      <c r="K607" s="176"/>
      <c r="L607" s="176"/>
      <c r="M607" s="176"/>
      <c r="N607" s="176"/>
      <c r="O607" s="176"/>
      <c r="P607" s="176"/>
      <c r="Q607" s="176"/>
      <c r="R607" s="176"/>
      <c r="S607" s="176"/>
      <c r="T607" s="176"/>
      <c r="U607" s="176"/>
      <c r="V607" s="160"/>
      <c r="W607" s="160"/>
      <c r="X607" s="160"/>
      <c r="Y607" s="161"/>
    </row>
    <row r="608" ht="15.75" customHeight="1">
      <c r="A608" s="187"/>
      <c r="B608" s="187"/>
      <c r="C608" s="188"/>
      <c r="D608" s="188"/>
      <c r="E608" s="187"/>
      <c r="F608" s="169"/>
      <c r="G608" s="169"/>
      <c r="H608" s="169"/>
      <c r="I608" s="169"/>
      <c r="J608" s="169"/>
      <c r="K608" s="169"/>
      <c r="L608" s="169"/>
      <c r="M608" s="169"/>
      <c r="N608" s="169"/>
      <c r="O608" s="169"/>
      <c r="P608" s="169"/>
      <c r="Q608" s="169"/>
      <c r="R608" s="169"/>
      <c r="S608" s="169"/>
      <c r="T608" s="169"/>
      <c r="U608" s="169"/>
      <c r="V608" s="152"/>
      <c r="W608" s="152"/>
      <c r="X608" s="152"/>
      <c r="Y608" s="161"/>
    </row>
    <row r="609" ht="15.75" customHeight="1">
      <c r="A609" s="186"/>
      <c r="B609" s="186"/>
      <c r="C609" s="189"/>
      <c r="D609" s="189"/>
      <c r="E609" s="186"/>
      <c r="F609" s="176"/>
      <c r="G609" s="176"/>
      <c r="H609" s="176"/>
      <c r="I609" s="176"/>
      <c r="J609" s="176"/>
      <c r="K609" s="176"/>
      <c r="L609" s="176"/>
      <c r="M609" s="176"/>
      <c r="N609" s="176"/>
      <c r="O609" s="176"/>
      <c r="P609" s="176"/>
      <c r="Q609" s="176"/>
      <c r="R609" s="176"/>
      <c r="S609" s="176"/>
      <c r="T609" s="176"/>
      <c r="U609" s="176"/>
      <c r="V609" s="160"/>
      <c r="W609" s="160"/>
      <c r="X609" s="160"/>
      <c r="Y609" s="161"/>
    </row>
    <row r="610" ht="15.75" customHeight="1">
      <c r="A610" s="187"/>
      <c r="B610" s="187"/>
      <c r="C610" s="188"/>
      <c r="D610" s="188"/>
      <c r="E610" s="187"/>
      <c r="F610" s="169"/>
      <c r="G610" s="169"/>
      <c r="H610" s="169"/>
      <c r="I610" s="169"/>
      <c r="J610" s="169"/>
      <c r="K610" s="169"/>
      <c r="L610" s="169"/>
      <c r="M610" s="169"/>
      <c r="N610" s="169"/>
      <c r="O610" s="169"/>
      <c r="P610" s="169"/>
      <c r="Q610" s="169"/>
      <c r="R610" s="169"/>
      <c r="S610" s="169"/>
      <c r="T610" s="169"/>
      <c r="U610" s="169"/>
      <c r="V610" s="152"/>
      <c r="W610" s="152"/>
      <c r="X610" s="152"/>
      <c r="Y610" s="161"/>
    </row>
    <row r="611" ht="15.75" customHeight="1">
      <c r="A611" s="186"/>
      <c r="B611" s="186"/>
      <c r="C611" s="189"/>
      <c r="D611" s="189"/>
      <c r="E611" s="186"/>
      <c r="F611" s="176"/>
      <c r="G611" s="176"/>
      <c r="H611" s="176"/>
      <c r="I611" s="176"/>
      <c r="J611" s="176"/>
      <c r="K611" s="176"/>
      <c r="L611" s="176"/>
      <c r="M611" s="176"/>
      <c r="N611" s="176"/>
      <c r="O611" s="176"/>
      <c r="P611" s="176"/>
      <c r="Q611" s="176"/>
      <c r="R611" s="176"/>
      <c r="S611" s="176"/>
      <c r="T611" s="176"/>
      <c r="U611" s="176"/>
      <c r="V611" s="160"/>
      <c r="W611" s="160"/>
      <c r="X611" s="160"/>
      <c r="Y611" s="161"/>
    </row>
    <row r="612" ht="15.75" customHeight="1">
      <c r="A612" s="187"/>
      <c r="B612" s="187"/>
      <c r="C612" s="188"/>
      <c r="D612" s="188"/>
      <c r="E612" s="187"/>
      <c r="F612" s="169"/>
      <c r="G612" s="169"/>
      <c r="H612" s="169"/>
      <c r="I612" s="169"/>
      <c r="J612" s="169"/>
      <c r="K612" s="169"/>
      <c r="L612" s="169"/>
      <c r="M612" s="169"/>
      <c r="N612" s="169"/>
      <c r="O612" s="169"/>
      <c r="P612" s="169"/>
      <c r="Q612" s="169"/>
      <c r="R612" s="169"/>
      <c r="S612" s="169"/>
      <c r="T612" s="169"/>
      <c r="U612" s="169"/>
      <c r="V612" s="152"/>
      <c r="W612" s="152"/>
      <c r="X612" s="152"/>
      <c r="Y612" s="161"/>
    </row>
    <row r="613" ht="15.75" customHeight="1">
      <c r="A613" s="186"/>
      <c r="B613" s="186"/>
      <c r="C613" s="189"/>
      <c r="D613" s="189"/>
      <c r="E613" s="186"/>
      <c r="F613" s="176"/>
      <c r="G613" s="176"/>
      <c r="H613" s="176"/>
      <c r="I613" s="176"/>
      <c r="J613" s="176"/>
      <c r="K613" s="176"/>
      <c r="L613" s="176"/>
      <c r="M613" s="176"/>
      <c r="N613" s="176"/>
      <c r="O613" s="176"/>
      <c r="P613" s="176"/>
      <c r="Q613" s="176"/>
      <c r="R613" s="176"/>
      <c r="S613" s="176"/>
      <c r="T613" s="176"/>
      <c r="U613" s="176"/>
      <c r="V613" s="160"/>
      <c r="W613" s="160"/>
      <c r="X613" s="160"/>
      <c r="Y613" s="161"/>
    </row>
    <row r="614" ht="15.75" customHeight="1">
      <c r="A614" s="187"/>
      <c r="B614" s="187"/>
      <c r="C614" s="188"/>
      <c r="D614" s="188"/>
      <c r="E614" s="187"/>
      <c r="F614" s="169"/>
      <c r="G614" s="169"/>
      <c r="H614" s="169"/>
      <c r="I614" s="169"/>
      <c r="J614" s="169"/>
      <c r="K614" s="169"/>
      <c r="L614" s="169"/>
      <c r="M614" s="169"/>
      <c r="N614" s="169"/>
      <c r="O614" s="169"/>
      <c r="P614" s="169"/>
      <c r="Q614" s="169"/>
      <c r="R614" s="169"/>
      <c r="S614" s="169"/>
      <c r="T614" s="169"/>
      <c r="U614" s="169"/>
      <c r="V614" s="152"/>
      <c r="W614" s="152"/>
      <c r="X614" s="152"/>
      <c r="Y614" s="161"/>
    </row>
    <row r="615" ht="15.75" customHeight="1">
      <c r="A615" s="186"/>
      <c r="B615" s="186"/>
      <c r="C615" s="189"/>
      <c r="D615" s="189"/>
      <c r="E615" s="186"/>
      <c r="F615" s="176"/>
      <c r="G615" s="176"/>
      <c r="H615" s="176"/>
      <c r="I615" s="176"/>
      <c r="J615" s="176"/>
      <c r="K615" s="176"/>
      <c r="L615" s="176"/>
      <c r="M615" s="176"/>
      <c r="N615" s="176"/>
      <c r="O615" s="176"/>
      <c r="P615" s="176"/>
      <c r="Q615" s="176"/>
      <c r="R615" s="176"/>
      <c r="S615" s="176"/>
      <c r="T615" s="176"/>
      <c r="U615" s="176"/>
      <c r="V615" s="160"/>
      <c r="W615" s="160"/>
      <c r="X615" s="160"/>
      <c r="Y615" s="161"/>
    </row>
    <row r="616" ht="15.75" customHeight="1">
      <c r="A616" s="187"/>
      <c r="B616" s="187"/>
      <c r="C616" s="188"/>
      <c r="D616" s="188"/>
      <c r="E616" s="187"/>
      <c r="F616" s="169"/>
      <c r="G616" s="169"/>
      <c r="H616" s="169"/>
      <c r="I616" s="169"/>
      <c r="J616" s="169"/>
      <c r="K616" s="169"/>
      <c r="L616" s="169"/>
      <c r="M616" s="169"/>
      <c r="N616" s="169"/>
      <c r="O616" s="169"/>
      <c r="P616" s="169"/>
      <c r="Q616" s="169"/>
      <c r="R616" s="169"/>
      <c r="S616" s="169"/>
      <c r="T616" s="169"/>
      <c r="U616" s="169"/>
      <c r="V616" s="152"/>
      <c r="W616" s="152"/>
      <c r="X616" s="152"/>
      <c r="Y616" s="161"/>
    </row>
    <row r="617" ht="15.75" customHeight="1">
      <c r="A617" s="186"/>
      <c r="B617" s="186"/>
      <c r="C617" s="189"/>
      <c r="D617" s="189"/>
      <c r="E617" s="186"/>
      <c r="F617" s="176"/>
      <c r="G617" s="176"/>
      <c r="H617" s="176"/>
      <c r="I617" s="176"/>
      <c r="J617" s="176"/>
      <c r="K617" s="176"/>
      <c r="L617" s="176"/>
      <c r="M617" s="176"/>
      <c r="N617" s="176"/>
      <c r="O617" s="176"/>
      <c r="P617" s="176"/>
      <c r="Q617" s="176"/>
      <c r="R617" s="176"/>
      <c r="S617" s="176"/>
      <c r="T617" s="176"/>
      <c r="U617" s="176"/>
      <c r="V617" s="160"/>
      <c r="W617" s="160"/>
      <c r="X617" s="160"/>
      <c r="Y617" s="161"/>
    </row>
    <row r="618" ht="15.75" customHeight="1">
      <c r="A618" s="187"/>
      <c r="B618" s="187"/>
      <c r="C618" s="188"/>
      <c r="D618" s="188"/>
      <c r="E618" s="187"/>
      <c r="F618" s="169"/>
      <c r="G618" s="169"/>
      <c r="H618" s="169"/>
      <c r="I618" s="169"/>
      <c r="J618" s="169"/>
      <c r="K618" s="169"/>
      <c r="L618" s="169"/>
      <c r="M618" s="169"/>
      <c r="N618" s="169"/>
      <c r="O618" s="169"/>
      <c r="P618" s="169"/>
      <c r="Q618" s="169"/>
      <c r="R618" s="169"/>
      <c r="S618" s="169"/>
      <c r="T618" s="169"/>
      <c r="U618" s="169"/>
      <c r="V618" s="152"/>
      <c r="W618" s="152"/>
      <c r="X618" s="152"/>
      <c r="Y618" s="161"/>
    </row>
    <row r="619" ht="15.75" customHeight="1">
      <c r="A619" s="186"/>
      <c r="B619" s="186"/>
      <c r="C619" s="189"/>
      <c r="D619" s="189"/>
      <c r="E619" s="186"/>
      <c r="F619" s="176"/>
      <c r="G619" s="176"/>
      <c r="H619" s="176"/>
      <c r="I619" s="176"/>
      <c r="J619" s="176"/>
      <c r="K619" s="176"/>
      <c r="L619" s="176"/>
      <c r="M619" s="176"/>
      <c r="N619" s="176"/>
      <c r="O619" s="176"/>
      <c r="P619" s="176"/>
      <c r="Q619" s="176"/>
      <c r="R619" s="176"/>
      <c r="S619" s="176"/>
      <c r="T619" s="176"/>
      <c r="U619" s="176"/>
      <c r="V619" s="160"/>
      <c r="W619" s="160"/>
      <c r="X619" s="160"/>
      <c r="Y619" s="161"/>
    </row>
    <row r="620" ht="15.75" customHeight="1">
      <c r="A620" s="187"/>
      <c r="B620" s="187"/>
      <c r="C620" s="188"/>
      <c r="D620" s="188"/>
      <c r="E620" s="187"/>
      <c r="F620" s="169"/>
      <c r="G620" s="169"/>
      <c r="H620" s="169"/>
      <c r="I620" s="169"/>
      <c r="J620" s="169"/>
      <c r="K620" s="169"/>
      <c r="L620" s="169"/>
      <c r="M620" s="169"/>
      <c r="N620" s="169"/>
      <c r="O620" s="169"/>
      <c r="P620" s="169"/>
      <c r="Q620" s="169"/>
      <c r="R620" s="169"/>
      <c r="S620" s="169"/>
      <c r="T620" s="169"/>
      <c r="U620" s="169"/>
      <c r="V620" s="152"/>
      <c r="W620" s="152"/>
      <c r="X620" s="152"/>
      <c r="Y620" s="161"/>
    </row>
    <row r="621" ht="15.75" customHeight="1">
      <c r="A621" s="186"/>
      <c r="B621" s="186"/>
      <c r="C621" s="189"/>
      <c r="D621" s="189"/>
      <c r="E621" s="186"/>
      <c r="F621" s="176"/>
      <c r="G621" s="176"/>
      <c r="H621" s="176"/>
      <c r="I621" s="176"/>
      <c r="J621" s="176"/>
      <c r="K621" s="176"/>
      <c r="L621" s="176"/>
      <c r="M621" s="176"/>
      <c r="N621" s="176"/>
      <c r="O621" s="176"/>
      <c r="P621" s="176"/>
      <c r="Q621" s="176"/>
      <c r="R621" s="176"/>
      <c r="S621" s="176"/>
      <c r="T621" s="176"/>
      <c r="U621" s="176"/>
      <c r="V621" s="160"/>
      <c r="W621" s="160"/>
      <c r="X621" s="160"/>
      <c r="Y621" s="161"/>
    </row>
    <row r="622" ht="15.75" customHeight="1">
      <c r="A622" s="187"/>
      <c r="B622" s="187"/>
      <c r="C622" s="188"/>
      <c r="D622" s="188"/>
      <c r="E622" s="187"/>
      <c r="F622" s="169"/>
      <c r="G622" s="169"/>
      <c r="H622" s="169"/>
      <c r="I622" s="169"/>
      <c r="J622" s="169"/>
      <c r="K622" s="169"/>
      <c r="L622" s="169"/>
      <c r="M622" s="169"/>
      <c r="N622" s="169"/>
      <c r="O622" s="169"/>
      <c r="P622" s="169"/>
      <c r="Q622" s="169"/>
      <c r="R622" s="169"/>
      <c r="S622" s="169"/>
      <c r="T622" s="169"/>
      <c r="U622" s="169"/>
      <c r="V622" s="152"/>
      <c r="W622" s="152"/>
      <c r="X622" s="152"/>
      <c r="Y622" s="161"/>
    </row>
    <row r="623" ht="15.75" customHeight="1">
      <c r="A623" s="186"/>
      <c r="B623" s="186"/>
      <c r="C623" s="189"/>
      <c r="D623" s="189"/>
      <c r="E623" s="186"/>
      <c r="F623" s="176"/>
      <c r="G623" s="176"/>
      <c r="H623" s="176"/>
      <c r="I623" s="176"/>
      <c r="J623" s="176"/>
      <c r="K623" s="176"/>
      <c r="L623" s="176"/>
      <c r="M623" s="176"/>
      <c r="N623" s="176"/>
      <c r="O623" s="176"/>
      <c r="P623" s="176"/>
      <c r="Q623" s="176"/>
      <c r="R623" s="176"/>
      <c r="S623" s="176"/>
      <c r="T623" s="176"/>
      <c r="U623" s="176"/>
      <c r="V623" s="160"/>
      <c r="W623" s="160"/>
      <c r="X623" s="160"/>
      <c r="Y623" s="161"/>
    </row>
    <row r="624" ht="15.75" customHeight="1">
      <c r="A624" s="187"/>
      <c r="B624" s="187"/>
      <c r="C624" s="188"/>
      <c r="D624" s="188"/>
      <c r="E624" s="187"/>
      <c r="F624" s="169"/>
      <c r="G624" s="169"/>
      <c r="H624" s="169"/>
      <c r="I624" s="169"/>
      <c r="J624" s="169"/>
      <c r="K624" s="169"/>
      <c r="L624" s="169"/>
      <c r="M624" s="169"/>
      <c r="N624" s="169"/>
      <c r="O624" s="169"/>
      <c r="P624" s="169"/>
      <c r="Q624" s="169"/>
      <c r="R624" s="169"/>
      <c r="S624" s="169"/>
      <c r="T624" s="169"/>
      <c r="U624" s="169"/>
      <c r="V624" s="152"/>
      <c r="W624" s="152"/>
      <c r="X624" s="152"/>
      <c r="Y624" s="161"/>
    </row>
    <row r="625" ht="15.75" customHeight="1">
      <c r="A625" s="186"/>
      <c r="B625" s="186"/>
      <c r="C625" s="189"/>
      <c r="D625" s="189"/>
      <c r="E625" s="186"/>
      <c r="F625" s="176"/>
      <c r="G625" s="176"/>
      <c r="H625" s="176"/>
      <c r="I625" s="176"/>
      <c r="J625" s="176"/>
      <c r="K625" s="176"/>
      <c r="L625" s="176"/>
      <c r="M625" s="176"/>
      <c r="N625" s="176"/>
      <c r="O625" s="176"/>
      <c r="P625" s="176"/>
      <c r="Q625" s="176"/>
      <c r="R625" s="176"/>
      <c r="S625" s="176"/>
      <c r="T625" s="176"/>
      <c r="U625" s="176"/>
      <c r="V625" s="160"/>
      <c r="W625" s="160"/>
      <c r="X625" s="160"/>
      <c r="Y625" s="161"/>
    </row>
    <row r="626" ht="15.75" customHeight="1">
      <c r="A626" s="187"/>
      <c r="B626" s="187"/>
      <c r="C626" s="188"/>
      <c r="D626" s="188"/>
      <c r="E626" s="187"/>
      <c r="F626" s="169"/>
      <c r="G626" s="169"/>
      <c r="H626" s="169"/>
      <c r="I626" s="169"/>
      <c r="J626" s="169"/>
      <c r="K626" s="169"/>
      <c r="L626" s="169"/>
      <c r="M626" s="169"/>
      <c r="N626" s="169"/>
      <c r="O626" s="169"/>
      <c r="P626" s="169"/>
      <c r="Q626" s="169"/>
      <c r="R626" s="169"/>
      <c r="S626" s="169"/>
      <c r="T626" s="169"/>
      <c r="U626" s="169"/>
      <c r="V626" s="152"/>
      <c r="W626" s="152"/>
      <c r="X626" s="152"/>
      <c r="Y626" s="161"/>
    </row>
    <row r="627" ht="15.75" customHeight="1">
      <c r="A627" s="186"/>
      <c r="B627" s="186"/>
      <c r="C627" s="189"/>
      <c r="D627" s="189"/>
      <c r="E627" s="186"/>
      <c r="F627" s="176"/>
      <c r="G627" s="176"/>
      <c r="H627" s="176"/>
      <c r="I627" s="176"/>
      <c r="J627" s="176"/>
      <c r="K627" s="176"/>
      <c r="L627" s="176"/>
      <c r="M627" s="176"/>
      <c r="N627" s="176"/>
      <c r="O627" s="176"/>
      <c r="P627" s="176"/>
      <c r="Q627" s="176"/>
      <c r="R627" s="176"/>
      <c r="S627" s="176"/>
      <c r="T627" s="176"/>
      <c r="U627" s="176"/>
      <c r="V627" s="160"/>
      <c r="W627" s="160"/>
      <c r="X627" s="160"/>
      <c r="Y627" s="161"/>
    </row>
    <row r="628" ht="15.75" customHeight="1">
      <c r="A628" s="187"/>
      <c r="B628" s="187"/>
      <c r="C628" s="188"/>
      <c r="D628" s="188"/>
      <c r="E628" s="187"/>
      <c r="F628" s="169"/>
      <c r="G628" s="169"/>
      <c r="H628" s="169"/>
      <c r="I628" s="169"/>
      <c r="J628" s="169"/>
      <c r="K628" s="169"/>
      <c r="L628" s="169"/>
      <c r="M628" s="169"/>
      <c r="N628" s="169"/>
      <c r="O628" s="169"/>
      <c r="P628" s="169"/>
      <c r="Q628" s="169"/>
      <c r="R628" s="169"/>
      <c r="S628" s="169"/>
      <c r="T628" s="169"/>
      <c r="U628" s="169"/>
      <c r="V628" s="152"/>
      <c r="W628" s="152"/>
      <c r="X628" s="152"/>
      <c r="Y628" s="161"/>
    </row>
    <row r="629" ht="15.75" customHeight="1">
      <c r="A629" s="186"/>
      <c r="B629" s="186"/>
      <c r="C629" s="189"/>
      <c r="D629" s="189"/>
      <c r="E629" s="186"/>
      <c r="F629" s="176"/>
      <c r="G629" s="176"/>
      <c r="H629" s="176"/>
      <c r="I629" s="176"/>
      <c r="J629" s="176"/>
      <c r="K629" s="176"/>
      <c r="L629" s="176"/>
      <c r="M629" s="176"/>
      <c r="N629" s="176"/>
      <c r="O629" s="176"/>
      <c r="P629" s="176"/>
      <c r="Q629" s="176"/>
      <c r="R629" s="176"/>
      <c r="S629" s="176"/>
      <c r="T629" s="176"/>
      <c r="U629" s="176"/>
      <c r="V629" s="160"/>
      <c r="W629" s="160"/>
      <c r="X629" s="160"/>
      <c r="Y629" s="161"/>
    </row>
    <row r="630" ht="15.75" customHeight="1">
      <c r="A630" s="187"/>
      <c r="B630" s="187"/>
      <c r="C630" s="188"/>
      <c r="D630" s="188"/>
      <c r="E630" s="187"/>
      <c r="F630" s="169"/>
      <c r="G630" s="169"/>
      <c r="H630" s="169"/>
      <c r="I630" s="169"/>
      <c r="J630" s="169"/>
      <c r="K630" s="169"/>
      <c r="L630" s="169"/>
      <c r="M630" s="169"/>
      <c r="N630" s="169"/>
      <c r="O630" s="169"/>
      <c r="P630" s="169"/>
      <c r="Q630" s="169"/>
      <c r="R630" s="169"/>
      <c r="S630" s="169"/>
      <c r="T630" s="169"/>
      <c r="U630" s="169"/>
      <c r="V630" s="152"/>
      <c r="W630" s="152"/>
      <c r="X630" s="152"/>
      <c r="Y630" s="161"/>
    </row>
    <row r="631" ht="15.75" customHeight="1">
      <c r="A631" s="186"/>
      <c r="B631" s="186"/>
      <c r="C631" s="189"/>
      <c r="D631" s="189"/>
      <c r="E631" s="186"/>
      <c r="F631" s="176"/>
      <c r="G631" s="176"/>
      <c r="H631" s="176"/>
      <c r="I631" s="176"/>
      <c r="J631" s="176"/>
      <c r="K631" s="176"/>
      <c r="L631" s="176"/>
      <c r="M631" s="176"/>
      <c r="N631" s="176"/>
      <c r="O631" s="176"/>
      <c r="P631" s="176"/>
      <c r="Q631" s="176"/>
      <c r="R631" s="176"/>
      <c r="S631" s="176"/>
      <c r="T631" s="176"/>
      <c r="U631" s="176"/>
      <c r="V631" s="160"/>
      <c r="W631" s="160"/>
      <c r="X631" s="160"/>
      <c r="Y631" s="161"/>
    </row>
    <row r="632" ht="15.75" customHeight="1">
      <c r="A632" s="187"/>
      <c r="B632" s="187"/>
      <c r="C632" s="188"/>
      <c r="D632" s="188"/>
      <c r="E632" s="187"/>
      <c r="F632" s="169"/>
      <c r="G632" s="169"/>
      <c r="H632" s="169"/>
      <c r="I632" s="169"/>
      <c r="J632" s="169"/>
      <c r="K632" s="169"/>
      <c r="L632" s="169"/>
      <c r="M632" s="169"/>
      <c r="N632" s="169"/>
      <c r="O632" s="169"/>
      <c r="P632" s="169"/>
      <c r="Q632" s="169"/>
      <c r="R632" s="169"/>
      <c r="S632" s="169"/>
      <c r="T632" s="169"/>
      <c r="U632" s="169"/>
      <c r="V632" s="152"/>
      <c r="W632" s="152"/>
      <c r="X632" s="152"/>
      <c r="Y632" s="161"/>
    </row>
    <row r="633" ht="15.75" customHeight="1">
      <c r="A633" s="186"/>
      <c r="B633" s="186"/>
      <c r="C633" s="189"/>
      <c r="D633" s="189"/>
      <c r="E633" s="186"/>
      <c r="F633" s="176"/>
      <c r="G633" s="176"/>
      <c r="H633" s="176"/>
      <c r="I633" s="176"/>
      <c r="J633" s="176"/>
      <c r="K633" s="176"/>
      <c r="L633" s="176"/>
      <c r="M633" s="176"/>
      <c r="N633" s="176"/>
      <c r="O633" s="176"/>
      <c r="P633" s="176"/>
      <c r="Q633" s="176"/>
      <c r="R633" s="176"/>
      <c r="S633" s="176"/>
      <c r="T633" s="176"/>
      <c r="U633" s="176"/>
      <c r="V633" s="160"/>
      <c r="W633" s="160"/>
      <c r="X633" s="160"/>
      <c r="Y633" s="161"/>
    </row>
    <row r="634" ht="15.75" customHeight="1">
      <c r="A634" s="187"/>
      <c r="B634" s="187"/>
      <c r="C634" s="188"/>
      <c r="D634" s="188"/>
      <c r="E634" s="187"/>
      <c r="F634" s="169"/>
      <c r="G634" s="169"/>
      <c r="H634" s="169"/>
      <c r="I634" s="169"/>
      <c r="J634" s="169"/>
      <c r="K634" s="169"/>
      <c r="L634" s="169"/>
      <c r="M634" s="169"/>
      <c r="N634" s="169"/>
      <c r="O634" s="169"/>
      <c r="P634" s="169"/>
      <c r="Q634" s="169"/>
      <c r="R634" s="169"/>
      <c r="S634" s="169"/>
      <c r="T634" s="169"/>
      <c r="U634" s="169"/>
      <c r="V634" s="152"/>
      <c r="W634" s="152"/>
      <c r="X634" s="152"/>
      <c r="Y634" s="161"/>
    </row>
    <row r="635" ht="15.75" customHeight="1">
      <c r="A635" s="186"/>
      <c r="B635" s="186"/>
      <c r="C635" s="189"/>
      <c r="D635" s="189"/>
      <c r="E635" s="186"/>
      <c r="F635" s="176"/>
      <c r="G635" s="176"/>
      <c r="H635" s="176"/>
      <c r="I635" s="176"/>
      <c r="J635" s="176"/>
      <c r="K635" s="176"/>
      <c r="L635" s="176"/>
      <c r="M635" s="176"/>
      <c r="N635" s="176"/>
      <c r="O635" s="176"/>
      <c r="P635" s="176"/>
      <c r="Q635" s="176"/>
      <c r="R635" s="176"/>
      <c r="S635" s="176"/>
      <c r="T635" s="176"/>
      <c r="U635" s="176"/>
      <c r="V635" s="160"/>
      <c r="W635" s="160"/>
      <c r="X635" s="160"/>
      <c r="Y635" s="161"/>
    </row>
    <row r="636" ht="15.75" customHeight="1">
      <c r="A636" s="187"/>
      <c r="B636" s="187"/>
      <c r="C636" s="188"/>
      <c r="D636" s="188"/>
      <c r="E636" s="187"/>
      <c r="F636" s="169"/>
      <c r="G636" s="169"/>
      <c r="H636" s="169"/>
      <c r="I636" s="169"/>
      <c r="J636" s="169"/>
      <c r="K636" s="169"/>
      <c r="L636" s="169"/>
      <c r="M636" s="169"/>
      <c r="N636" s="169"/>
      <c r="O636" s="169"/>
      <c r="P636" s="169"/>
      <c r="Q636" s="169"/>
      <c r="R636" s="169"/>
      <c r="S636" s="169"/>
      <c r="T636" s="169"/>
      <c r="U636" s="169"/>
      <c r="V636" s="152"/>
      <c r="W636" s="152"/>
      <c r="X636" s="152"/>
      <c r="Y636" s="161"/>
    </row>
    <row r="637" ht="15.75" customHeight="1">
      <c r="A637" s="186"/>
      <c r="B637" s="186"/>
      <c r="C637" s="189"/>
      <c r="D637" s="189"/>
      <c r="E637" s="186"/>
      <c r="F637" s="176"/>
      <c r="G637" s="176"/>
      <c r="H637" s="176"/>
      <c r="I637" s="176"/>
      <c r="J637" s="176"/>
      <c r="K637" s="176"/>
      <c r="L637" s="176"/>
      <c r="M637" s="176"/>
      <c r="N637" s="176"/>
      <c r="O637" s="176"/>
      <c r="P637" s="176"/>
      <c r="Q637" s="176"/>
      <c r="R637" s="176"/>
      <c r="S637" s="176"/>
      <c r="T637" s="176"/>
      <c r="U637" s="176"/>
      <c r="V637" s="160"/>
      <c r="W637" s="160"/>
      <c r="X637" s="160"/>
      <c r="Y637" s="161"/>
    </row>
    <row r="638" ht="15.75" customHeight="1">
      <c r="A638" s="187"/>
      <c r="B638" s="187"/>
      <c r="C638" s="188"/>
      <c r="D638" s="188"/>
      <c r="E638" s="187"/>
      <c r="F638" s="169"/>
      <c r="G638" s="169"/>
      <c r="H638" s="169"/>
      <c r="I638" s="169"/>
      <c r="J638" s="169"/>
      <c r="K638" s="169"/>
      <c r="L638" s="169"/>
      <c r="M638" s="169"/>
      <c r="N638" s="169"/>
      <c r="O638" s="169"/>
      <c r="P638" s="169"/>
      <c r="Q638" s="169"/>
      <c r="R638" s="169"/>
      <c r="S638" s="169"/>
      <c r="T638" s="169"/>
      <c r="U638" s="169"/>
      <c r="V638" s="152"/>
      <c r="W638" s="152"/>
      <c r="X638" s="152"/>
      <c r="Y638" s="161"/>
    </row>
    <row r="639" ht="15.75" customHeight="1">
      <c r="A639" s="186"/>
      <c r="B639" s="186"/>
      <c r="C639" s="189"/>
      <c r="D639" s="189"/>
      <c r="E639" s="186"/>
      <c r="F639" s="176"/>
      <c r="G639" s="176"/>
      <c r="H639" s="176"/>
      <c r="I639" s="176"/>
      <c r="J639" s="176"/>
      <c r="K639" s="176"/>
      <c r="L639" s="176"/>
      <c r="M639" s="176"/>
      <c r="N639" s="176"/>
      <c r="O639" s="176"/>
      <c r="P639" s="176"/>
      <c r="Q639" s="176"/>
      <c r="R639" s="176"/>
      <c r="S639" s="176"/>
      <c r="T639" s="176"/>
      <c r="U639" s="176"/>
      <c r="V639" s="160"/>
      <c r="W639" s="160"/>
      <c r="X639" s="160"/>
      <c r="Y639" s="161"/>
    </row>
    <row r="640" ht="15.75" customHeight="1">
      <c r="A640" s="187"/>
      <c r="B640" s="187"/>
      <c r="C640" s="188"/>
      <c r="D640" s="188"/>
      <c r="E640" s="187"/>
      <c r="F640" s="169"/>
      <c r="G640" s="169"/>
      <c r="H640" s="169"/>
      <c r="I640" s="169"/>
      <c r="J640" s="169"/>
      <c r="K640" s="169"/>
      <c r="L640" s="169"/>
      <c r="M640" s="169"/>
      <c r="N640" s="169"/>
      <c r="O640" s="169"/>
      <c r="P640" s="169"/>
      <c r="Q640" s="169"/>
      <c r="R640" s="169"/>
      <c r="S640" s="169"/>
      <c r="T640" s="169"/>
      <c r="U640" s="169"/>
      <c r="V640" s="152"/>
      <c r="W640" s="152"/>
      <c r="X640" s="152"/>
      <c r="Y640" s="161"/>
    </row>
    <row r="641" ht="15.75" customHeight="1">
      <c r="A641" s="186"/>
      <c r="B641" s="186"/>
      <c r="C641" s="189"/>
      <c r="D641" s="189"/>
      <c r="E641" s="186"/>
      <c r="F641" s="176"/>
      <c r="G641" s="176"/>
      <c r="H641" s="176"/>
      <c r="I641" s="176"/>
      <c r="J641" s="176"/>
      <c r="K641" s="176"/>
      <c r="L641" s="176"/>
      <c r="M641" s="176"/>
      <c r="N641" s="176"/>
      <c r="O641" s="176"/>
      <c r="P641" s="176"/>
      <c r="Q641" s="176"/>
      <c r="R641" s="176"/>
      <c r="S641" s="176"/>
      <c r="T641" s="176"/>
      <c r="U641" s="176"/>
      <c r="V641" s="160"/>
      <c r="W641" s="160"/>
      <c r="X641" s="160"/>
      <c r="Y641" s="161"/>
    </row>
    <row r="642" ht="15.75" customHeight="1">
      <c r="A642" s="187"/>
      <c r="B642" s="187"/>
      <c r="C642" s="188"/>
      <c r="D642" s="188"/>
      <c r="E642" s="187"/>
      <c r="F642" s="169"/>
      <c r="G642" s="169"/>
      <c r="H642" s="169"/>
      <c r="I642" s="169"/>
      <c r="J642" s="169"/>
      <c r="K642" s="169"/>
      <c r="L642" s="169"/>
      <c r="M642" s="169"/>
      <c r="N642" s="169"/>
      <c r="O642" s="169"/>
      <c r="P642" s="169"/>
      <c r="Q642" s="169"/>
      <c r="R642" s="169"/>
      <c r="S642" s="169"/>
      <c r="T642" s="169"/>
      <c r="U642" s="169"/>
      <c r="V642" s="152"/>
      <c r="W642" s="152"/>
      <c r="X642" s="152"/>
      <c r="Y642" s="161"/>
    </row>
    <row r="643" ht="15.75" customHeight="1">
      <c r="A643" s="186"/>
      <c r="B643" s="186"/>
      <c r="C643" s="189"/>
      <c r="D643" s="189"/>
      <c r="E643" s="186"/>
      <c r="F643" s="176"/>
      <c r="G643" s="176"/>
      <c r="H643" s="176"/>
      <c r="I643" s="176"/>
      <c r="J643" s="176"/>
      <c r="K643" s="176"/>
      <c r="L643" s="176"/>
      <c r="M643" s="176"/>
      <c r="N643" s="176"/>
      <c r="O643" s="176"/>
      <c r="P643" s="176"/>
      <c r="Q643" s="176"/>
      <c r="R643" s="176"/>
      <c r="S643" s="176"/>
      <c r="T643" s="176"/>
      <c r="U643" s="176"/>
      <c r="V643" s="160"/>
      <c r="W643" s="160"/>
      <c r="X643" s="160"/>
      <c r="Y643" s="161"/>
    </row>
    <row r="644" ht="15.75" customHeight="1">
      <c r="A644" s="187"/>
      <c r="B644" s="187"/>
      <c r="C644" s="188"/>
      <c r="D644" s="188"/>
      <c r="E644" s="187"/>
      <c r="F644" s="169"/>
      <c r="G644" s="169"/>
      <c r="H644" s="169"/>
      <c r="I644" s="169"/>
      <c r="J644" s="169"/>
      <c r="K644" s="169"/>
      <c r="L644" s="169"/>
      <c r="M644" s="169"/>
      <c r="N644" s="169"/>
      <c r="O644" s="169"/>
      <c r="P644" s="169"/>
      <c r="Q644" s="169"/>
      <c r="R644" s="169"/>
      <c r="S644" s="169"/>
      <c r="T644" s="169"/>
      <c r="U644" s="169"/>
      <c r="V644" s="152"/>
      <c r="W644" s="152"/>
      <c r="X644" s="152"/>
      <c r="Y644" s="161"/>
    </row>
    <row r="645" ht="15.75" customHeight="1">
      <c r="A645" s="186"/>
      <c r="B645" s="186"/>
      <c r="C645" s="189"/>
      <c r="D645" s="189"/>
      <c r="E645" s="186"/>
      <c r="F645" s="176"/>
      <c r="G645" s="176"/>
      <c r="H645" s="176"/>
      <c r="I645" s="176"/>
      <c r="J645" s="176"/>
      <c r="K645" s="176"/>
      <c r="L645" s="176"/>
      <c r="M645" s="176"/>
      <c r="N645" s="176"/>
      <c r="O645" s="176"/>
      <c r="P645" s="176"/>
      <c r="Q645" s="176"/>
      <c r="R645" s="176"/>
      <c r="S645" s="176"/>
      <c r="T645" s="176"/>
      <c r="U645" s="176"/>
      <c r="V645" s="160"/>
      <c r="W645" s="160"/>
      <c r="X645" s="160"/>
      <c r="Y645" s="161"/>
    </row>
    <row r="646" ht="15.75" customHeight="1">
      <c r="A646" s="187"/>
      <c r="B646" s="187"/>
      <c r="C646" s="188"/>
      <c r="D646" s="188"/>
      <c r="E646" s="187"/>
      <c r="F646" s="169"/>
      <c r="G646" s="169"/>
      <c r="H646" s="169"/>
      <c r="I646" s="169"/>
      <c r="J646" s="169"/>
      <c r="K646" s="169"/>
      <c r="L646" s="169"/>
      <c r="M646" s="169"/>
      <c r="N646" s="169"/>
      <c r="O646" s="169"/>
      <c r="P646" s="169"/>
      <c r="Q646" s="169"/>
      <c r="R646" s="169"/>
      <c r="S646" s="169"/>
      <c r="T646" s="169"/>
      <c r="U646" s="169"/>
      <c r="V646" s="152"/>
      <c r="W646" s="152"/>
      <c r="X646" s="152"/>
      <c r="Y646" s="161"/>
    </row>
    <row r="647" ht="15.75" customHeight="1">
      <c r="A647" s="186"/>
      <c r="B647" s="186"/>
      <c r="C647" s="189"/>
      <c r="D647" s="189"/>
      <c r="E647" s="186"/>
      <c r="F647" s="176"/>
      <c r="G647" s="176"/>
      <c r="H647" s="176"/>
      <c r="I647" s="176"/>
      <c r="J647" s="176"/>
      <c r="K647" s="176"/>
      <c r="L647" s="176"/>
      <c r="M647" s="176"/>
      <c r="N647" s="176"/>
      <c r="O647" s="176"/>
      <c r="P647" s="176"/>
      <c r="Q647" s="176"/>
      <c r="R647" s="176"/>
      <c r="S647" s="176"/>
      <c r="T647" s="176"/>
      <c r="U647" s="176"/>
      <c r="V647" s="160"/>
      <c r="W647" s="160"/>
      <c r="X647" s="160"/>
      <c r="Y647" s="161"/>
    </row>
    <row r="648" ht="15.75" customHeight="1">
      <c r="A648" s="187"/>
      <c r="B648" s="187"/>
      <c r="C648" s="188"/>
      <c r="D648" s="188"/>
      <c r="E648" s="187"/>
      <c r="F648" s="169"/>
      <c r="G648" s="169"/>
      <c r="H648" s="169"/>
      <c r="I648" s="169"/>
      <c r="J648" s="169"/>
      <c r="K648" s="169"/>
      <c r="L648" s="169"/>
      <c r="M648" s="169"/>
      <c r="N648" s="169"/>
      <c r="O648" s="169"/>
      <c r="P648" s="169"/>
      <c r="Q648" s="169"/>
      <c r="R648" s="169"/>
      <c r="S648" s="169"/>
      <c r="T648" s="169"/>
      <c r="U648" s="169"/>
      <c r="V648" s="152"/>
      <c r="W648" s="152"/>
      <c r="X648" s="152"/>
      <c r="Y648" s="161"/>
    </row>
    <row r="649" ht="15.75" customHeight="1">
      <c r="A649" s="186"/>
      <c r="B649" s="186"/>
      <c r="C649" s="189"/>
      <c r="D649" s="189"/>
      <c r="E649" s="186"/>
      <c r="F649" s="176"/>
      <c r="G649" s="176"/>
      <c r="H649" s="176"/>
      <c r="I649" s="176"/>
      <c r="J649" s="176"/>
      <c r="K649" s="176"/>
      <c r="L649" s="176"/>
      <c r="M649" s="176"/>
      <c r="N649" s="176"/>
      <c r="O649" s="176"/>
      <c r="P649" s="176"/>
      <c r="Q649" s="176"/>
      <c r="R649" s="176"/>
      <c r="S649" s="176"/>
      <c r="T649" s="176"/>
      <c r="U649" s="176"/>
      <c r="V649" s="160"/>
      <c r="W649" s="160"/>
      <c r="X649" s="160"/>
      <c r="Y649" s="161"/>
    </row>
    <row r="650" ht="15.75" customHeight="1">
      <c r="A650" s="187"/>
      <c r="B650" s="187"/>
      <c r="C650" s="188"/>
      <c r="D650" s="188"/>
      <c r="E650" s="187"/>
      <c r="F650" s="169"/>
      <c r="G650" s="169"/>
      <c r="H650" s="169"/>
      <c r="I650" s="169"/>
      <c r="J650" s="169"/>
      <c r="K650" s="169"/>
      <c r="L650" s="169"/>
      <c r="M650" s="169"/>
      <c r="N650" s="169"/>
      <c r="O650" s="169"/>
      <c r="P650" s="169"/>
      <c r="Q650" s="169"/>
      <c r="R650" s="169"/>
      <c r="S650" s="169"/>
      <c r="T650" s="169"/>
      <c r="U650" s="169"/>
      <c r="V650" s="152"/>
      <c r="W650" s="152"/>
      <c r="X650" s="152"/>
      <c r="Y650" s="161"/>
    </row>
    <row r="651" ht="15.75" customHeight="1">
      <c r="A651" s="186"/>
      <c r="B651" s="186"/>
      <c r="C651" s="189"/>
      <c r="D651" s="189"/>
      <c r="E651" s="186"/>
      <c r="F651" s="176"/>
      <c r="G651" s="176"/>
      <c r="H651" s="176"/>
      <c r="I651" s="176"/>
      <c r="J651" s="176"/>
      <c r="K651" s="176"/>
      <c r="L651" s="176"/>
      <c r="M651" s="176"/>
      <c r="N651" s="176"/>
      <c r="O651" s="176"/>
      <c r="P651" s="176"/>
      <c r="Q651" s="176"/>
      <c r="R651" s="176"/>
      <c r="S651" s="176"/>
      <c r="T651" s="176"/>
      <c r="U651" s="176"/>
      <c r="V651" s="160"/>
      <c r="W651" s="160"/>
      <c r="X651" s="160"/>
      <c r="Y651" s="161"/>
    </row>
    <row r="652" ht="15.75" customHeight="1">
      <c r="A652" s="187"/>
      <c r="B652" s="187"/>
      <c r="C652" s="188"/>
      <c r="D652" s="188"/>
      <c r="E652" s="187"/>
      <c r="F652" s="169"/>
      <c r="G652" s="169"/>
      <c r="H652" s="169"/>
      <c r="I652" s="169"/>
      <c r="J652" s="169"/>
      <c r="K652" s="169"/>
      <c r="L652" s="169"/>
      <c r="M652" s="169"/>
      <c r="N652" s="169"/>
      <c r="O652" s="169"/>
      <c r="P652" s="169"/>
      <c r="Q652" s="169"/>
      <c r="R652" s="169"/>
      <c r="S652" s="169"/>
      <c r="T652" s="169"/>
      <c r="U652" s="169"/>
      <c r="V652" s="152"/>
      <c r="W652" s="152"/>
      <c r="X652" s="152"/>
      <c r="Y652" s="161"/>
    </row>
    <row r="653" ht="15.75" customHeight="1">
      <c r="A653" s="186"/>
      <c r="B653" s="186"/>
      <c r="C653" s="189"/>
      <c r="D653" s="189"/>
      <c r="E653" s="186"/>
      <c r="F653" s="176"/>
      <c r="G653" s="176"/>
      <c r="H653" s="176"/>
      <c r="I653" s="176"/>
      <c r="J653" s="176"/>
      <c r="K653" s="176"/>
      <c r="L653" s="176"/>
      <c r="M653" s="176"/>
      <c r="N653" s="176"/>
      <c r="O653" s="176"/>
      <c r="P653" s="176"/>
      <c r="Q653" s="176"/>
      <c r="R653" s="176"/>
      <c r="S653" s="176"/>
      <c r="T653" s="176"/>
      <c r="U653" s="176"/>
      <c r="V653" s="160"/>
      <c r="W653" s="160"/>
      <c r="X653" s="160"/>
      <c r="Y653" s="161"/>
    </row>
    <row r="654" ht="15.75" customHeight="1">
      <c r="A654" s="187"/>
      <c r="B654" s="187"/>
      <c r="C654" s="188"/>
      <c r="D654" s="188"/>
      <c r="E654" s="187"/>
      <c r="F654" s="169"/>
      <c r="G654" s="169"/>
      <c r="H654" s="169"/>
      <c r="I654" s="169"/>
      <c r="J654" s="169"/>
      <c r="K654" s="169"/>
      <c r="L654" s="169"/>
      <c r="M654" s="169"/>
      <c r="N654" s="169"/>
      <c r="O654" s="169"/>
      <c r="P654" s="169"/>
      <c r="Q654" s="169"/>
      <c r="R654" s="169"/>
      <c r="S654" s="169"/>
      <c r="T654" s="169"/>
      <c r="U654" s="169"/>
      <c r="V654" s="152"/>
      <c r="W654" s="152"/>
      <c r="X654" s="152"/>
      <c r="Y654" s="161"/>
    </row>
    <row r="655" ht="15.75" customHeight="1">
      <c r="A655" s="186"/>
      <c r="B655" s="186"/>
      <c r="C655" s="189"/>
      <c r="D655" s="189"/>
      <c r="E655" s="186"/>
      <c r="F655" s="176"/>
      <c r="G655" s="176"/>
      <c r="H655" s="176"/>
      <c r="I655" s="176"/>
      <c r="J655" s="176"/>
      <c r="K655" s="176"/>
      <c r="L655" s="176"/>
      <c r="M655" s="176"/>
      <c r="N655" s="176"/>
      <c r="O655" s="176"/>
      <c r="P655" s="176"/>
      <c r="Q655" s="176"/>
      <c r="R655" s="176"/>
      <c r="S655" s="176"/>
      <c r="T655" s="176"/>
      <c r="U655" s="176"/>
      <c r="V655" s="160"/>
      <c r="W655" s="160"/>
      <c r="X655" s="160"/>
      <c r="Y655" s="161"/>
    </row>
    <row r="656" ht="15.75" customHeight="1">
      <c r="A656" s="187"/>
      <c r="B656" s="187"/>
      <c r="C656" s="188"/>
      <c r="D656" s="188"/>
      <c r="E656" s="187"/>
      <c r="F656" s="169"/>
      <c r="G656" s="169"/>
      <c r="H656" s="169"/>
      <c r="I656" s="169"/>
      <c r="J656" s="169"/>
      <c r="K656" s="169"/>
      <c r="L656" s="169"/>
      <c r="M656" s="169"/>
      <c r="N656" s="169"/>
      <c r="O656" s="169"/>
      <c r="P656" s="169"/>
      <c r="Q656" s="169"/>
      <c r="R656" s="169"/>
      <c r="S656" s="169"/>
      <c r="T656" s="169"/>
      <c r="U656" s="169"/>
      <c r="V656" s="152"/>
      <c r="W656" s="152"/>
      <c r="X656" s="152"/>
      <c r="Y656" s="161"/>
    </row>
    <row r="657" ht="15.75" customHeight="1">
      <c r="A657" s="186"/>
      <c r="B657" s="186"/>
      <c r="C657" s="189"/>
      <c r="D657" s="189"/>
      <c r="E657" s="186"/>
      <c r="F657" s="176"/>
      <c r="G657" s="176"/>
      <c r="H657" s="176"/>
      <c r="I657" s="176"/>
      <c r="J657" s="176"/>
      <c r="K657" s="176"/>
      <c r="L657" s="176"/>
      <c r="M657" s="176"/>
      <c r="N657" s="176"/>
      <c r="O657" s="176"/>
      <c r="P657" s="176"/>
      <c r="Q657" s="176"/>
      <c r="R657" s="176"/>
      <c r="S657" s="176"/>
      <c r="T657" s="176"/>
      <c r="U657" s="176"/>
      <c r="V657" s="160"/>
      <c r="W657" s="160"/>
      <c r="X657" s="160"/>
      <c r="Y657" s="161"/>
    </row>
    <row r="658" ht="15.75" customHeight="1">
      <c r="A658" s="187"/>
      <c r="B658" s="187"/>
      <c r="C658" s="188"/>
      <c r="D658" s="188"/>
      <c r="E658" s="187"/>
      <c r="F658" s="169"/>
      <c r="G658" s="169"/>
      <c r="H658" s="169"/>
      <c r="I658" s="169"/>
      <c r="J658" s="169"/>
      <c r="K658" s="169"/>
      <c r="L658" s="169"/>
      <c r="M658" s="169"/>
      <c r="N658" s="169"/>
      <c r="O658" s="169"/>
      <c r="P658" s="169"/>
      <c r="Q658" s="169"/>
      <c r="R658" s="169"/>
      <c r="S658" s="169"/>
      <c r="T658" s="169"/>
      <c r="U658" s="169"/>
      <c r="V658" s="152"/>
      <c r="W658" s="152"/>
      <c r="X658" s="152"/>
      <c r="Y658" s="161"/>
    </row>
    <row r="659" ht="15.75" customHeight="1">
      <c r="A659" s="186"/>
      <c r="B659" s="186"/>
      <c r="C659" s="189"/>
      <c r="D659" s="189"/>
      <c r="E659" s="186"/>
      <c r="F659" s="176"/>
      <c r="G659" s="176"/>
      <c r="H659" s="176"/>
      <c r="I659" s="176"/>
      <c r="J659" s="176"/>
      <c r="K659" s="176"/>
      <c r="L659" s="176"/>
      <c r="M659" s="176"/>
      <c r="N659" s="176"/>
      <c r="O659" s="176"/>
      <c r="P659" s="176"/>
      <c r="Q659" s="176"/>
      <c r="R659" s="176"/>
      <c r="S659" s="176"/>
      <c r="T659" s="176"/>
      <c r="U659" s="176"/>
      <c r="V659" s="160"/>
      <c r="W659" s="160"/>
      <c r="X659" s="160"/>
      <c r="Y659" s="161"/>
    </row>
    <row r="660" ht="15.75" customHeight="1">
      <c r="A660" s="187"/>
      <c r="B660" s="187"/>
      <c r="C660" s="188"/>
      <c r="D660" s="188"/>
      <c r="E660" s="187"/>
      <c r="F660" s="169"/>
      <c r="G660" s="169"/>
      <c r="H660" s="169"/>
      <c r="I660" s="169"/>
      <c r="J660" s="169"/>
      <c r="K660" s="169"/>
      <c r="L660" s="169"/>
      <c r="M660" s="169"/>
      <c r="N660" s="169"/>
      <c r="O660" s="169"/>
      <c r="P660" s="169"/>
      <c r="Q660" s="169"/>
      <c r="R660" s="169"/>
      <c r="S660" s="169"/>
      <c r="T660" s="169"/>
      <c r="U660" s="169"/>
      <c r="V660" s="152"/>
      <c r="W660" s="152"/>
      <c r="X660" s="152"/>
      <c r="Y660" s="161"/>
    </row>
    <row r="661" ht="15.75" customHeight="1">
      <c r="A661" s="186"/>
      <c r="B661" s="186"/>
      <c r="C661" s="189"/>
      <c r="D661" s="189"/>
      <c r="E661" s="186"/>
      <c r="F661" s="176"/>
      <c r="G661" s="176"/>
      <c r="H661" s="176"/>
      <c r="I661" s="176"/>
      <c r="J661" s="176"/>
      <c r="K661" s="176"/>
      <c r="L661" s="176"/>
      <c r="M661" s="176"/>
      <c r="N661" s="176"/>
      <c r="O661" s="176"/>
      <c r="P661" s="176"/>
      <c r="Q661" s="176"/>
      <c r="R661" s="176"/>
      <c r="S661" s="176"/>
      <c r="T661" s="176"/>
      <c r="U661" s="176"/>
      <c r="V661" s="160"/>
      <c r="W661" s="160"/>
      <c r="X661" s="160"/>
      <c r="Y661" s="161"/>
    </row>
    <row r="662" ht="15.75" customHeight="1">
      <c r="A662" s="187"/>
      <c r="B662" s="187"/>
      <c r="C662" s="188"/>
      <c r="D662" s="188"/>
      <c r="E662" s="187"/>
      <c r="F662" s="169"/>
      <c r="G662" s="169"/>
      <c r="H662" s="169"/>
      <c r="I662" s="169"/>
      <c r="J662" s="169"/>
      <c r="K662" s="169"/>
      <c r="L662" s="169"/>
      <c r="M662" s="169"/>
      <c r="N662" s="169"/>
      <c r="O662" s="169"/>
      <c r="P662" s="169"/>
      <c r="Q662" s="169"/>
      <c r="R662" s="169"/>
      <c r="S662" s="169"/>
      <c r="T662" s="169"/>
      <c r="U662" s="169"/>
      <c r="V662" s="152"/>
      <c r="W662" s="152"/>
      <c r="X662" s="152"/>
      <c r="Y662" s="161"/>
    </row>
    <row r="663" ht="15.75" customHeight="1">
      <c r="A663" s="186"/>
      <c r="B663" s="186"/>
      <c r="C663" s="189"/>
      <c r="D663" s="189"/>
      <c r="E663" s="186"/>
      <c r="F663" s="176"/>
      <c r="G663" s="176"/>
      <c r="H663" s="176"/>
      <c r="I663" s="176"/>
      <c r="J663" s="176"/>
      <c r="K663" s="176"/>
      <c r="L663" s="176"/>
      <c r="M663" s="176"/>
      <c r="N663" s="176"/>
      <c r="O663" s="176"/>
      <c r="P663" s="176"/>
      <c r="Q663" s="176"/>
      <c r="R663" s="176"/>
      <c r="S663" s="176"/>
      <c r="T663" s="176"/>
      <c r="U663" s="176"/>
      <c r="V663" s="160"/>
      <c r="W663" s="160"/>
      <c r="X663" s="160"/>
      <c r="Y663" s="161"/>
    </row>
    <row r="664" ht="15.75" customHeight="1">
      <c r="A664" s="187"/>
      <c r="B664" s="187"/>
      <c r="C664" s="188"/>
      <c r="D664" s="188"/>
      <c r="E664" s="187"/>
      <c r="F664" s="169"/>
      <c r="G664" s="169"/>
      <c r="H664" s="169"/>
      <c r="I664" s="169"/>
      <c r="J664" s="169"/>
      <c r="K664" s="169"/>
      <c r="L664" s="169"/>
      <c r="M664" s="169"/>
      <c r="N664" s="169"/>
      <c r="O664" s="169"/>
      <c r="P664" s="169"/>
      <c r="Q664" s="169"/>
      <c r="R664" s="169"/>
      <c r="S664" s="169"/>
      <c r="T664" s="169"/>
      <c r="U664" s="169"/>
      <c r="V664" s="152"/>
      <c r="W664" s="152"/>
      <c r="X664" s="152"/>
      <c r="Y664" s="161"/>
    </row>
    <row r="665" ht="15.75" customHeight="1">
      <c r="A665" s="186"/>
      <c r="B665" s="186"/>
      <c r="C665" s="189"/>
      <c r="D665" s="189"/>
      <c r="E665" s="186"/>
      <c r="F665" s="176"/>
      <c r="G665" s="176"/>
      <c r="H665" s="176"/>
      <c r="I665" s="176"/>
      <c r="J665" s="176"/>
      <c r="K665" s="176"/>
      <c r="L665" s="176"/>
      <c r="M665" s="176"/>
      <c r="N665" s="176"/>
      <c r="O665" s="176"/>
      <c r="P665" s="176"/>
      <c r="Q665" s="176"/>
      <c r="R665" s="176"/>
      <c r="S665" s="176"/>
      <c r="T665" s="176"/>
      <c r="U665" s="176"/>
      <c r="V665" s="160"/>
      <c r="W665" s="160"/>
      <c r="X665" s="160"/>
      <c r="Y665" s="161"/>
    </row>
    <row r="666" ht="15.75" customHeight="1">
      <c r="A666" s="187"/>
      <c r="B666" s="187"/>
      <c r="C666" s="188"/>
      <c r="D666" s="188"/>
      <c r="E666" s="187"/>
      <c r="F666" s="169"/>
      <c r="G666" s="169"/>
      <c r="H666" s="169"/>
      <c r="I666" s="169"/>
      <c r="J666" s="169"/>
      <c r="K666" s="169"/>
      <c r="L666" s="169"/>
      <c r="M666" s="169"/>
      <c r="N666" s="169"/>
      <c r="O666" s="169"/>
      <c r="P666" s="169"/>
      <c r="Q666" s="169"/>
      <c r="R666" s="169"/>
      <c r="S666" s="169"/>
      <c r="T666" s="169"/>
      <c r="U666" s="169"/>
      <c r="V666" s="152"/>
      <c r="W666" s="152"/>
      <c r="X666" s="152"/>
      <c r="Y666" s="161"/>
    </row>
    <row r="667" ht="15.75" customHeight="1">
      <c r="A667" s="186"/>
      <c r="B667" s="186"/>
      <c r="C667" s="189"/>
      <c r="D667" s="189"/>
      <c r="E667" s="186"/>
      <c r="F667" s="176"/>
      <c r="G667" s="176"/>
      <c r="H667" s="176"/>
      <c r="I667" s="176"/>
      <c r="J667" s="176"/>
      <c r="K667" s="176"/>
      <c r="L667" s="176"/>
      <c r="M667" s="176"/>
      <c r="N667" s="176"/>
      <c r="O667" s="176"/>
      <c r="P667" s="176"/>
      <c r="Q667" s="176"/>
      <c r="R667" s="176"/>
      <c r="S667" s="176"/>
      <c r="T667" s="176"/>
      <c r="U667" s="176"/>
      <c r="V667" s="160"/>
      <c r="W667" s="160"/>
      <c r="X667" s="160"/>
      <c r="Y667" s="161"/>
    </row>
    <row r="668" ht="15.75" customHeight="1">
      <c r="A668" s="187"/>
      <c r="B668" s="187"/>
      <c r="C668" s="188"/>
      <c r="D668" s="188"/>
      <c r="E668" s="187"/>
      <c r="F668" s="169"/>
      <c r="G668" s="169"/>
      <c r="H668" s="169"/>
      <c r="I668" s="169"/>
      <c r="J668" s="169"/>
      <c r="K668" s="169"/>
      <c r="L668" s="169"/>
      <c r="M668" s="169"/>
      <c r="N668" s="169"/>
      <c r="O668" s="169"/>
      <c r="P668" s="169"/>
      <c r="Q668" s="169"/>
      <c r="R668" s="169"/>
      <c r="S668" s="169"/>
      <c r="T668" s="169"/>
      <c r="U668" s="169"/>
      <c r="V668" s="152"/>
      <c r="W668" s="152"/>
      <c r="X668" s="152"/>
      <c r="Y668" s="161"/>
    </row>
    <row r="669" ht="15.75" customHeight="1">
      <c r="A669" s="186"/>
      <c r="B669" s="186"/>
      <c r="C669" s="189"/>
      <c r="D669" s="189"/>
      <c r="E669" s="186"/>
      <c r="F669" s="176"/>
      <c r="G669" s="176"/>
      <c r="H669" s="176"/>
      <c r="I669" s="176"/>
      <c r="J669" s="176"/>
      <c r="K669" s="176"/>
      <c r="L669" s="176"/>
      <c r="M669" s="176"/>
      <c r="N669" s="176"/>
      <c r="O669" s="176"/>
      <c r="P669" s="176"/>
      <c r="Q669" s="176"/>
      <c r="R669" s="176"/>
      <c r="S669" s="176"/>
      <c r="T669" s="176"/>
      <c r="U669" s="176"/>
      <c r="V669" s="160"/>
      <c r="W669" s="160"/>
      <c r="X669" s="160"/>
      <c r="Y669" s="161"/>
    </row>
    <row r="670" ht="15.75" customHeight="1">
      <c r="A670" s="187"/>
      <c r="B670" s="187"/>
      <c r="C670" s="188"/>
      <c r="D670" s="188"/>
      <c r="E670" s="187"/>
      <c r="F670" s="169"/>
      <c r="G670" s="169"/>
      <c r="H670" s="169"/>
      <c r="I670" s="169"/>
      <c r="J670" s="169"/>
      <c r="K670" s="169"/>
      <c r="L670" s="169"/>
      <c r="M670" s="169"/>
      <c r="N670" s="169"/>
      <c r="O670" s="169"/>
      <c r="P670" s="169"/>
      <c r="Q670" s="169"/>
      <c r="R670" s="169"/>
      <c r="S670" s="169"/>
      <c r="T670" s="169"/>
      <c r="U670" s="169"/>
      <c r="V670" s="152"/>
      <c r="W670" s="152"/>
      <c r="X670" s="152"/>
      <c r="Y670" s="161"/>
    </row>
    <row r="671" ht="15.75" customHeight="1">
      <c r="A671" s="186"/>
      <c r="B671" s="186"/>
      <c r="C671" s="189"/>
      <c r="D671" s="189"/>
      <c r="E671" s="186"/>
      <c r="F671" s="176"/>
      <c r="G671" s="176"/>
      <c r="H671" s="176"/>
      <c r="I671" s="176"/>
      <c r="J671" s="176"/>
      <c r="K671" s="176"/>
      <c r="L671" s="176"/>
      <c r="M671" s="176"/>
      <c r="N671" s="176"/>
      <c r="O671" s="176"/>
      <c r="P671" s="176"/>
      <c r="Q671" s="176"/>
      <c r="R671" s="176"/>
      <c r="S671" s="176"/>
      <c r="T671" s="176"/>
      <c r="U671" s="176"/>
      <c r="V671" s="160"/>
      <c r="W671" s="160"/>
      <c r="X671" s="160"/>
      <c r="Y671" s="161"/>
    </row>
    <row r="672" ht="15.75" customHeight="1">
      <c r="A672" s="187"/>
      <c r="B672" s="187"/>
      <c r="C672" s="188"/>
      <c r="D672" s="188"/>
      <c r="E672" s="187"/>
      <c r="F672" s="169"/>
      <c r="G672" s="169"/>
      <c r="H672" s="169"/>
      <c r="I672" s="169"/>
      <c r="J672" s="169"/>
      <c r="K672" s="169"/>
      <c r="L672" s="169"/>
      <c r="M672" s="169"/>
      <c r="N672" s="169"/>
      <c r="O672" s="169"/>
      <c r="P672" s="169"/>
      <c r="Q672" s="169"/>
      <c r="R672" s="169"/>
      <c r="S672" s="169"/>
      <c r="T672" s="169"/>
      <c r="U672" s="169"/>
      <c r="V672" s="152"/>
      <c r="W672" s="152"/>
      <c r="X672" s="152"/>
      <c r="Y672" s="161"/>
    </row>
    <row r="673" ht="15.75" customHeight="1">
      <c r="A673" s="186"/>
      <c r="B673" s="186"/>
      <c r="C673" s="189"/>
      <c r="D673" s="189"/>
      <c r="E673" s="186"/>
      <c r="F673" s="176"/>
      <c r="G673" s="176"/>
      <c r="H673" s="176"/>
      <c r="I673" s="176"/>
      <c r="J673" s="176"/>
      <c r="K673" s="176"/>
      <c r="L673" s="176"/>
      <c r="M673" s="176"/>
      <c r="N673" s="176"/>
      <c r="O673" s="176"/>
      <c r="P673" s="176"/>
      <c r="Q673" s="176"/>
      <c r="R673" s="176"/>
      <c r="S673" s="176"/>
      <c r="T673" s="176"/>
      <c r="U673" s="176"/>
      <c r="V673" s="160"/>
      <c r="W673" s="160"/>
      <c r="X673" s="160"/>
      <c r="Y673" s="161"/>
    </row>
    <row r="674" ht="15.75" customHeight="1">
      <c r="A674" s="187"/>
      <c r="B674" s="187"/>
      <c r="C674" s="188"/>
      <c r="D674" s="188"/>
      <c r="E674" s="187"/>
      <c r="F674" s="169"/>
      <c r="G674" s="169"/>
      <c r="H674" s="169"/>
      <c r="I674" s="169"/>
      <c r="J674" s="169"/>
      <c r="K674" s="169"/>
      <c r="L674" s="169"/>
      <c r="M674" s="169"/>
      <c r="N674" s="169"/>
      <c r="O674" s="169"/>
      <c r="P674" s="169"/>
      <c r="Q674" s="169"/>
      <c r="R674" s="169"/>
      <c r="S674" s="169"/>
      <c r="T674" s="169"/>
      <c r="U674" s="169"/>
      <c r="V674" s="152"/>
      <c r="W674" s="152"/>
      <c r="X674" s="152"/>
      <c r="Y674" s="161"/>
    </row>
    <row r="675" ht="15.75" customHeight="1">
      <c r="A675" s="186"/>
      <c r="B675" s="186"/>
      <c r="C675" s="189"/>
      <c r="D675" s="189"/>
      <c r="E675" s="186"/>
      <c r="F675" s="176"/>
      <c r="G675" s="176"/>
      <c r="H675" s="176"/>
      <c r="I675" s="176"/>
      <c r="J675" s="176"/>
      <c r="K675" s="176"/>
      <c r="L675" s="176"/>
      <c r="M675" s="176"/>
      <c r="N675" s="176"/>
      <c r="O675" s="176"/>
      <c r="P675" s="176"/>
      <c r="Q675" s="176"/>
      <c r="R675" s="176"/>
      <c r="S675" s="176"/>
      <c r="T675" s="176"/>
      <c r="U675" s="176"/>
      <c r="V675" s="160"/>
      <c r="W675" s="160"/>
      <c r="X675" s="160"/>
      <c r="Y675" s="161"/>
    </row>
    <row r="676" ht="15.75" customHeight="1">
      <c r="A676" s="187"/>
      <c r="B676" s="187"/>
      <c r="C676" s="188"/>
      <c r="D676" s="188"/>
      <c r="E676" s="187"/>
      <c r="F676" s="169"/>
      <c r="G676" s="169"/>
      <c r="H676" s="169"/>
      <c r="I676" s="169"/>
      <c r="J676" s="169"/>
      <c r="K676" s="169"/>
      <c r="L676" s="169"/>
      <c r="M676" s="169"/>
      <c r="N676" s="169"/>
      <c r="O676" s="169"/>
      <c r="P676" s="169"/>
      <c r="Q676" s="169"/>
      <c r="R676" s="169"/>
      <c r="S676" s="169"/>
      <c r="T676" s="169"/>
      <c r="U676" s="169"/>
      <c r="V676" s="152"/>
      <c r="W676" s="152"/>
      <c r="X676" s="152"/>
      <c r="Y676" s="161"/>
    </row>
    <row r="677" ht="15.75" customHeight="1">
      <c r="A677" s="186"/>
      <c r="B677" s="186"/>
      <c r="C677" s="189"/>
      <c r="D677" s="189"/>
      <c r="E677" s="186"/>
      <c r="F677" s="176"/>
      <c r="G677" s="176"/>
      <c r="H677" s="176"/>
      <c r="I677" s="176"/>
      <c r="J677" s="176"/>
      <c r="K677" s="176"/>
      <c r="L677" s="176"/>
      <c r="M677" s="176"/>
      <c r="N677" s="176"/>
      <c r="O677" s="176"/>
      <c r="P677" s="176"/>
      <c r="Q677" s="176"/>
      <c r="R677" s="176"/>
      <c r="S677" s="176"/>
      <c r="T677" s="176"/>
      <c r="U677" s="176"/>
      <c r="V677" s="160"/>
      <c r="W677" s="160"/>
      <c r="X677" s="160"/>
      <c r="Y677" s="161"/>
    </row>
    <row r="678" ht="15.75" customHeight="1">
      <c r="A678" s="187"/>
      <c r="B678" s="187"/>
      <c r="C678" s="188"/>
      <c r="D678" s="188"/>
      <c r="E678" s="187"/>
      <c r="F678" s="169"/>
      <c r="G678" s="169"/>
      <c r="H678" s="169"/>
      <c r="I678" s="169"/>
      <c r="J678" s="169"/>
      <c r="K678" s="169"/>
      <c r="L678" s="169"/>
      <c r="M678" s="169"/>
      <c r="N678" s="169"/>
      <c r="O678" s="169"/>
      <c r="P678" s="169"/>
      <c r="Q678" s="169"/>
      <c r="R678" s="169"/>
      <c r="S678" s="169"/>
      <c r="T678" s="169"/>
      <c r="U678" s="169"/>
      <c r="V678" s="152"/>
      <c r="W678" s="152"/>
      <c r="X678" s="152"/>
      <c r="Y678" s="161"/>
    </row>
    <row r="679" ht="15.75" customHeight="1">
      <c r="A679" s="186"/>
      <c r="B679" s="186"/>
      <c r="C679" s="189"/>
      <c r="D679" s="189"/>
      <c r="E679" s="186"/>
      <c r="F679" s="176"/>
      <c r="G679" s="176"/>
      <c r="H679" s="176"/>
      <c r="I679" s="176"/>
      <c r="J679" s="176"/>
      <c r="K679" s="176"/>
      <c r="L679" s="176"/>
      <c r="M679" s="176"/>
      <c r="N679" s="176"/>
      <c r="O679" s="176"/>
      <c r="P679" s="176"/>
      <c r="Q679" s="176"/>
      <c r="R679" s="176"/>
      <c r="S679" s="176"/>
      <c r="T679" s="176"/>
      <c r="U679" s="176"/>
      <c r="V679" s="160"/>
      <c r="W679" s="160"/>
      <c r="X679" s="160"/>
      <c r="Y679" s="161"/>
    </row>
    <row r="680" ht="15.75" customHeight="1">
      <c r="A680" s="187"/>
      <c r="B680" s="187"/>
      <c r="C680" s="188"/>
      <c r="D680" s="188"/>
      <c r="E680" s="187"/>
      <c r="F680" s="169"/>
      <c r="G680" s="169"/>
      <c r="H680" s="169"/>
      <c r="I680" s="169"/>
      <c r="J680" s="169"/>
      <c r="K680" s="169"/>
      <c r="L680" s="169"/>
      <c r="M680" s="169"/>
      <c r="N680" s="169"/>
      <c r="O680" s="169"/>
      <c r="P680" s="169"/>
      <c r="Q680" s="169"/>
      <c r="R680" s="169"/>
      <c r="S680" s="169"/>
      <c r="T680" s="169"/>
      <c r="U680" s="169"/>
      <c r="V680" s="152"/>
      <c r="W680" s="152"/>
      <c r="X680" s="152"/>
      <c r="Y680" s="161"/>
    </row>
    <row r="681" ht="15.75" customHeight="1">
      <c r="A681" s="186"/>
      <c r="B681" s="186"/>
      <c r="C681" s="189"/>
      <c r="D681" s="189"/>
      <c r="E681" s="186"/>
      <c r="F681" s="176"/>
      <c r="G681" s="176"/>
      <c r="H681" s="176"/>
      <c r="I681" s="176"/>
      <c r="J681" s="176"/>
      <c r="K681" s="176"/>
      <c r="L681" s="176"/>
      <c r="M681" s="176"/>
      <c r="N681" s="176"/>
      <c r="O681" s="176"/>
      <c r="P681" s="176"/>
      <c r="Q681" s="176"/>
      <c r="R681" s="176"/>
      <c r="S681" s="176"/>
      <c r="T681" s="176"/>
      <c r="U681" s="176"/>
      <c r="V681" s="160"/>
      <c r="W681" s="160"/>
      <c r="X681" s="160"/>
      <c r="Y681" s="161"/>
    </row>
    <row r="682" ht="15.75" customHeight="1">
      <c r="A682" s="187"/>
      <c r="B682" s="187"/>
      <c r="C682" s="188"/>
      <c r="D682" s="188"/>
      <c r="E682" s="187"/>
      <c r="F682" s="169"/>
      <c r="G682" s="169"/>
      <c r="H682" s="169"/>
      <c r="I682" s="169"/>
      <c r="J682" s="169"/>
      <c r="K682" s="169"/>
      <c r="L682" s="169"/>
      <c r="M682" s="169"/>
      <c r="N682" s="169"/>
      <c r="O682" s="169"/>
      <c r="P682" s="169"/>
      <c r="Q682" s="169"/>
      <c r="R682" s="169"/>
      <c r="S682" s="169"/>
      <c r="T682" s="169"/>
      <c r="U682" s="169"/>
      <c r="V682" s="152"/>
      <c r="W682" s="152"/>
      <c r="X682" s="152"/>
      <c r="Y682" s="161"/>
    </row>
    <row r="683" ht="15.75" customHeight="1">
      <c r="A683" s="186"/>
      <c r="B683" s="186"/>
      <c r="C683" s="189"/>
      <c r="D683" s="189"/>
      <c r="E683" s="186"/>
      <c r="F683" s="176"/>
      <c r="G683" s="176"/>
      <c r="H683" s="176"/>
      <c r="I683" s="176"/>
      <c r="J683" s="176"/>
      <c r="K683" s="176"/>
      <c r="L683" s="176"/>
      <c r="M683" s="176"/>
      <c r="N683" s="176"/>
      <c r="O683" s="176"/>
      <c r="P683" s="176"/>
      <c r="Q683" s="176"/>
      <c r="R683" s="176"/>
      <c r="S683" s="176"/>
      <c r="T683" s="176"/>
      <c r="U683" s="176"/>
      <c r="V683" s="160"/>
      <c r="W683" s="160"/>
      <c r="X683" s="160"/>
      <c r="Y683" s="161"/>
    </row>
    <row r="684" ht="15.75" customHeight="1">
      <c r="A684" s="187"/>
      <c r="B684" s="187"/>
      <c r="C684" s="188"/>
      <c r="D684" s="188"/>
      <c r="E684" s="187"/>
      <c r="F684" s="169"/>
      <c r="G684" s="169"/>
      <c r="H684" s="169"/>
      <c r="I684" s="169"/>
      <c r="J684" s="169"/>
      <c r="K684" s="169"/>
      <c r="L684" s="169"/>
      <c r="M684" s="169"/>
      <c r="N684" s="169"/>
      <c r="O684" s="169"/>
      <c r="P684" s="169"/>
      <c r="Q684" s="169"/>
      <c r="R684" s="169"/>
      <c r="S684" s="169"/>
      <c r="T684" s="169"/>
      <c r="U684" s="169"/>
      <c r="V684" s="152"/>
      <c r="W684" s="152"/>
      <c r="X684" s="152"/>
      <c r="Y684" s="161"/>
    </row>
    <row r="685" ht="15.75" customHeight="1">
      <c r="A685" s="186"/>
      <c r="B685" s="186"/>
      <c r="C685" s="189"/>
      <c r="D685" s="189"/>
      <c r="E685" s="186"/>
      <c r="F685" s="176"/>
      <c r="G685" s="176"/>
      <c r="H685" s="176"/>
      <c r="I685" s="176"/>
      <c r="J685" s="176"/>
      <c r="K685" s="176"/>
      <c r="L685" s="176"/>
      <c r="M685" s="176"/>
      <c r="N685" s="176"/>
      <c r="O685" s="176"/>
      <c r="P685" s="176"/>
      <c r="Q685" s="176"/>
      <c r="R685" s="176"/>
      <c r="S685" s="176"/>
      <c r="T685" s="176"/>
      <c r="U685" s="176"/>
      <c r="V685" s="160"/>
      <c r="W685" s="160"/>
      <c r="X685" s="160"/>
      <c r="Y685" s="161"/>
    </row>
    <row r="686" ht="15.75" customHeight="1">
      <c r="A686" s="187"/>
      <c r="B686" s="187"/>
      <c r="C686" s="188"/>
      <c r="D686" s="188"/>
      <c r="E686" s="187"/>
      <c r="F686" s="169"/>
      <c r="G686" s="169"/>
      <c r="H686" s="169"/>
      <c r="I686" s="169"/>
      <c r="J686" s="169"/>
      <c r="K686" s="169"/>
      <c r="L686" s="169"/>
      <c r="M686" s="169"/>
      <c r="N686" s="169"/>
      <c r="O686" s="169"/>
      <c r="P686" s="169"/>
      <c r="Q686" s="169"/>
      <c r="R686" s="169"/>
      <c r="S686" s="169"/>
      <c r="T686" s="169"/>
      <c r="U686" s="169"/>
      <c r="V686" s="152"/>
      <c r="W686" s="152"/>
      <c r="X686" s="152"/>
      <c r="Y686" s="161"/>
    </row>
    <row r="687" ht="15.75" customHeight="1">
      <c r="A687" s="186"/>
      <c r="B687" s="186"/>
      <c r="C687" s="189"/>
      <c r="D687" s="189"/>
      <c r="E687" s="186"/>
      <c r="F687" s="176"/>
      <c r="G687" s="176"/>
      <c r="H687" s="176"/>
      <c r="I687" s="176"/>
      <c r="J687" s="176"/>
      <c r="K687" s="176"/>
      <c r="L687" s="176"/>
      <c r="M687" s="176"/>
      <c r="N687" s="176"/>
      <c r="O687" s="176"/>
      <c r="P687" s="176"/>
      <c r="Q687" s="176"/>
      <c r="R687" s="176"/>
      <c r="S687" s="176"/>
      <c r="T687" s="176"/>
      <c r="U687" s="176"/>
      <c r="V687" s="160"/>
      <c r="W687" s="160"/>
      <c r="X687" s="160"/>
      <c r="Y687" s="161"/>
    </row>
    <row r="688" ht="15.75" customHeight="1">
      <c r="A688" s="187"/>
      <c r="B688" s="187"/>
      <c r="C688" s="188"/>
      <c r="D688" s="188"/>
      <c r="E688" s="187"/>
      <c r="F688" s="169"/>
      <c r="G688" s="169"/>
      <c r="H688" s="169"/>
      <c r="I688" s="169"/>
      <c r="J688" s="169"/>
      <c r="K688" s="169"/>
      <c r="L688" s="169"/>
      <c r="M688" s="169"/>
      <c r="N688" s="169"/>
      <c r="O688" s="169"/>
      <c r="P688" s="169"/>
      <c r="Q688" s="169"/>
      <c r="R688" s="169"/>
      <c r="S688" s="169"/>
      <c r="T688" s="169"/>
      <c r="U688" s="169"/>
      <c r="V688" s="152"/>
      <c r="W688" s="152"/>
      <c r="X688" s="152"/>
      <c r="Y688" s="161"/>
    </row>
    <row r="689" ht="15.75" customHeight="1">
      <c r="A689" s="186"/>
      <c r="B689" s="186"/>
      <c r="C689" s="189"/>
      <c r="D689" s="189"/>
      <c r="E689" s="186"/>
      <c r="F689" s="176"/>
      <c r="G689" s="176"/>
      <c r="H689" s="176"/>
      <c r="I689" s="176"/>
      <c r="J689" s="176"/>
      <c r="K689" s="176"/>
      <c r="L689" s="176"/>
      <c r="M689" s="176"/>
      <c r="N689" s="176"/>
      <c r="O689" s="176"/>
      <c r="P689" s="176"/>
      <c r="Q689" s="176"/>
      <c r="R689" s="176"/>
      <c r="S689" s="176"/>
      <c r="T689" s="176"/>
      <c r="U689" s="176"/>
      <c r="V689" s="160"/>
      <c r="W689" s="160"/>
      <c r="X689" s="160"/>
      <c r="Y689" s="161"/>
    </row>
    <row r="690" ht="15.75" customHeight="1">
      <c r="A690" s="187"/>
      <c r="B690" s="187"/>
      <c r="C690" s="188"/>
      <c r="D690" s="188"/>
      <c r="E690" s="187"/>
      <c r="F690" s="169"/>
      <c r="G690" s="169"/>
      <c r="H690" s="169"/>
      <c r="I690" s="169"/>
      <c r="J690" s="169"/>
      <c r="K690" s="169"/>
      <c r="L690" s="169"/>
      <c r="M690" s="169"/>
      <c r="N690" s="169"/>
      <c r="O690" s="169"/>
      <c r="P690" s="169"/>
      <c r="Q690" s="169"/>
      <c r="R690" s="169"/>
      <c r="S690" s="169"/>
      <c r="T690" s="169"/>
      <c r="U690" s="169"/>
      <c r="V690" s="152"/>
      <c r="W690" s="152"/>
      <c r="X690" s="152"/>
      <c r="Y690" s="161"/>
    </row>
    <row r="691" ht="15.75" customHeight="1">
      <c r="A691" s="186"/>
      <c r="B691" s="186"/>
      <c r="C691" s="189"/>
      <c r="D691" s="189"/>
      <c r="E691" s="186"/>
      <c r="F691" s="176"/>
      <c r="G691" s="176"/>
      <c r="H691" s="176"/>
      <c r="I691" s="176"/>
      <c r="J691" s="176"/>
      <c r="K691" s="176"/>
      <c r="L691" s="176"/>
      <c r="M691" s="176"/>
      <c r="N691" s="176"/>
      <c r="O691" s="176"/>
      <c r="P691" s="176"/>
      <c r="Q691" s="176"/>
      <c r="R691" s="176"/>
      <c r="S691" s="176"/>
      <c r="T691" s="176"/>
      <c r="U691" s="176"/>
      <c r="V691" s="160"/>
      <c r="W691" s="160"/>
      <c r="X691" s="160"/>
      <c r="Y691" s="161"/>
    </row>
    <row r="692" ht="15.75" customHeight="1">
      <c r="A692" s="187"/>
      <c r="B692" s="187"/>
      <c r="C692" s="188"/>
      <c r="D692" s="188"/>
      <c r="E692" s="187"/>
      <c r="F692" s="169"/>
      <c r="G692" s="169"/>
      <c r="H692" s="169"/>
      <c r="I692" s="169"/>
      <c r="J692" s="169"/>
      <c r="K692" s="169"/>
      <c r="L692" s="169"/>
      <c r="M692" s="169"/>
      <c r="N692" s="169"/>
      <c r="O692" s="169"/>
      <c r="P692" s="169"/>
      <c r="Q692" s="169"/>
      <c r="R692" s="169"/>
      <c r="S692" s="169"/>
      <c r="T692" s="169"/>
      <c r="U692" s="169"/>
      <c r="V692" s="152"/>
      <c r="W692" s="152"/>
      <c r="X692" s="152"/>
      <c r="Y692" s="161"/>
    </row>
    <row r="693" ht="15.75" customHeight="1">
      <c r="A693" s="186"/>
      <c r="B693" s="186"/>
      <c r="C693" s="189"/>
      <c r="D693" s="189"/>
      <c r="E693" s="186"/>
      <c r="F693" s="176"/>
      <c r="G693" s="176"/>
      <c r="H693" s="176"/>
      <c r="I693" s="176"/>
      <c r="J693" s="176"/>
      <c r="K693" s="176"/>
      <c r="L693" s="176"/>
      <c r="M693" s="176"/>
      <c r="N693" s="176"/>
      <c r="O693" s="176"/>
      <c r="P693" s="176"/>
      <c r="Q693" s="176"/>
      <c r="R693" s="176"/>
      <c r="S693" s="176"/>
      <c r="T693" s="176"/>
      <c r="U693" s="176"/>
      <c r="V693" s="160"/>
      <c r="W693" s="160"/>
      <c r="X693" s="160"/>
      <c r="Y693" s="161"/>
    </row>
    <row r="694" ht="15.75" customHeight="1">
      <c r="A694" s="187"/>
      <c r="B694" s="187"/>
      <c r="C694" s="188"/>
      <c r="D694" s="188"/>
      <c r="E694" s="187"/>
      <c r="F694" s="169"/>
      <c r="G694" s="169"/>
      <c r="H694" s="169"/>
      <c r="I694" s="169"/>
      <c r="J694" s="169"/>
      <c r="K694" s="169"/>
      <c r="L694" s="169"/>
      <c r="M694" s="169"/>
      <c r="N694" s="169"/>
      <c r="O694" s="169"/>
      <c r="P694" s="169"/>
      <c r="Q694" s="169"/>
      <c r="R694" s="169"/>
      <c r="S694" s="169"/>
      <c r="T694" s="169"/>
      <c r="U694" s="169"/>
      <c r="V694" s="152"/>
      <c r="W694" s="152"/>
      <c r="X694" s="152"/>
      <c r="Y694" s="161"/>
    </row>
    <row r="695" ht="15.75" customHeight="1">
      <c r="A695" s="186"/>
      <c r="B695" s="186"/>
      <c r="C695" s="189"/>
      <c r="D695" s="189"/>
      <c r="E695" s="186"/>
      <c r="F695" s="176"/>
      <c r="G695" s="176"/>
      <c r="H695" s="176"/>
      <c r="I695" s="176"/>
      <c r="J695" s="176"/>
      <c r="K695" s="176"/>
      <c r="L695" s="176"/>
      <c r="M695" s="176"/>
      <c r="N695" s="176"/>
      <c r="O695" s="176"/>
      <c r="P695" s="176"/>
      <c r="Q695" s="176"/>
      <c r="R695" s="176"/>
      <c r="S695" s="176"/>
      <c r="T695" s="176"/>
      <c r="U695" s="176"/>
      <c r="V695" s="160"/>
      <c r="W695" s="160"/>
      <c r="X695" s="160"/>
      <c r="Y695" s="161"/>
    </row>
    <row r="696" ht="15.75" customHeight="1">
      <c r="A696" s="187"/>
      <c r="B696" s="187"/>
      <c r="C696" s="188"/>
      <c r="D696" s="188"/>
      <c r="E696" s="187"/>
      <c r="F696" s="169"/>
      <c r="G696" s="169"/>
      <c r="H696" s="169"/>
      <c r="I696" s="169"/>
      <c r="J696" s="169"/>
      <c r="K696" s="169"/>
      <c r="L696" s="169"/>
      <c r="M696" s="169"/>
      <c r="N696" s="169"/>
      <c r="O696" s="169"/>
      <c r="P696" s="169"/>
      <c r="Q696" s="169"/>
      <c r="R696" s="169"/>
      <c r="S696" s="169"/>
      <c r="T696" s="169"/>
      <c r="U696" s="169"/>
      <c r="V696" s="152"/>
      <c r="W696" s="152"/>
      <c r="X696" s="152"/>
      <c r="Y696" s="161"/>
    </row>
    <row r="697" ht="15.75" customHeight="1">
      <c r="A697" s="186"/>
      <c r="B697" s="186"/>
      <c r="C697" s="189"/>
      <c r="D697" s="189"/>
      <c r="E697" s="186"/>
      <c r="F697" s="176"/>
      <c r="G697" s="176"/>
      <c r="H697" s="176"/>
      <c r="I697" s="176"/>
      <c r="J697" s="176"/>
      <c r="K697" s="176"/>
      <c r="L697" s="176"/>
      <c r="M697" s="176"/>
      <c r="N697" s="176"/>
      <c r="O697" s="176"/>
      <c r="P697" s="176"/>
      <c r="Q697" s="176"/>
      <c r="R697" s="176"/>
      <c r="S697" s="176"/>
      <c r="T697" s="176"/>
      <c r="U697" s="176"/>
      <c r="V697" s="160"/>
      <c r="W697" s="160"/>
      <c r="X697" s="160"/>
      <c r="Y697" s="161"/>
    </row>
    <row r="698" ht="15.75" customHeight="1">
      <c r="A698" s="187"/>
      <c r="B698" s="187"/>
      <c r="C698" s="188"/>
      <c r="D698" s="188"/>
      <c r="E698" s="187"/>
      <c r="F698" s="169"/>
      <c r="G698" s="169"/>
      <c r="H698" s="169"/>
      <c r="I698" s="169"/>
      <c r="J698" s="169"/>
      <c r="K698" s="169"/>
      <c r="L698" s="169"/>
      <c r="M698" s="169"/>
      <c r="N698" s="169"/>
      <c r="O698" s="169"/>
      <c r="P698" s="169"/>
      <c r="Q698" s="169"/>
      <c r="R698" s="169"/>
      <c r="S698" s="169"/>
      <c r="T698" s="169"/>
      <c r="U698" s="169"/>
      <c r="V698" s="152"/>
      <c r="W698" s="152"/>
      <c r="X698" s="152"/>
      <c r="Y698" s="161"/>
    </row>
    <row r="699" ht="15.75" customHeight="1">
      <c r="A699" s="186"/>
      <c r="B699" s="186"/>
      <c r="C699" s="189"/>
      <c r="D699" s="189"/>
      <c r="E699" s="186"/>
      <c r="F699" s="176"/>
      <c r="G699" s="176"/>
      <c r="H699" s="176"/>
      <c r="I699" s="176"/>
      <c r="J699" s="176"/>
      <c r="K699" s="176"/>
      <c r="L699" s="176"/>
      <c r="M699" s="176"/>
      <c r="N699" s="176"/>
      <c r="O699" s="176"/>
      <c r="P699" s="176"/>
      <c r="Q699" s="176"/>
      <c r="R699" s="176"/>
      <c r="S699" s="176"/>
      <c r="T699" s="176"/>
      <c r="U699" s="176"/>
      <c r="V699" s="160"/>
      <c r="W699" s="160"/>
      <c r="X699" s="160"/>
      <c r="Y699" s="161"/>
    </row>
    <row r="700" ht="15.75" customHeight="1">
      <c r="A700" s="187"/>
      <c r="B700" s="187"/>
      <c r="C700" s="188"/>
      <c r="D700" s="188"/>
      <c r="E700" s="187"/>
      <c r="F700" s="169"/>
      <c r="G700" s="169"/>
      <c r="H700" s="169"/>
      <c r="I700" s="169"/>
      <c r="J700" s="169"/>
      <c r="K700" s="169"/>
      <c r="L700" s="169"/>
      <c r="M700" s="169"/>
      <c r="N700" s="169"/>
      <c r="O700" s="169"/>
      <c r="P700" s="169"/>
      <c r="Q700" s="169"/>
      <c r="R700" s="169"/>
      <c r="S700" s="169"/>
      <c r="T700" s="169"/>
      <c r="U700" s="169"/>
      <c r="V700" s="152"/>
      <c r="W700" s="152"/>
      <c r="X700" s="152"/>
      <c r="Y700" s="161"/>
    </row>
    <row r="701" ht="15.75" customHeight="1">
      <c r="A701" s="186"/>
      <c r="B701" s="186"/>
      <c r="C701" s="189"/>
      <c r="D701" s="189"/>
      <c r="E701" s="186"/>
      <c r="F701" s="176"/>
      <c r="G701" s="176"/>
      <c r="H701" s="176"/>
      <c r="I701" s="176"/>
      <c r="J701" s="176"/>
      <c r="K701" s="176"/>
      <c r="L701" s="176"/>
      <c r="M701" s="176"/>
      <c r="N701" s="176"/>
      <c r="O701" s="176"/>
      <c r="P701" s="176"/>
      <c r="Q701" s="176"/>
      <c r="R701" s="176"/>
      <c r="S701" s="176"/>
      <c r="T701" s="176"/>
      <c r="U701" s="176"/>
      <c r="V701" s="160"/>
      <c r="W701" s="160"/>
      <c r="X701" s="160"/>
      <c r="Y701" s="161"/>
    </row>
    <row r="702" ht="15.75" customHeight="1">
      <c r="A702" s="187"/>
      <c r="B702" s="187"/>
      <c r="C702" s="188"/>
      <c r="D702" s="188"/>
      <c r="E702" s="187"/>
      <c r="F702" s="169"/>
      <c r="G702" s="169"/>
      <c r="H702" s="169"/>
      <c r="I702" s="169"/>
      <c r="J702" s="169"/>
      <c r="K702" s="169"/>
      <c r="L702" s="169"/>
      <c r="M702" s="169"/>
      <c r="N702" s="169"/>
      <c r="O702" s="169"/>
      <c r="P702" s="169"/>
      <c r="Q702" s="169"/>
      <c r="R702" s="169"/>
      <c r="S702" s="169"/>
      <c r="T702" s="169"/>
      <c r="U702" s="169"/>
      <c r="V702" s="152"/>
      <c r="W702" s="152"/>
      <c r="X702" s="152"/>
      <c r="Y702" s="161"/>
    </row>
    <row r="703" ht="15.75" customHeight="1">
      <c r="A703" s="186"/>
      <c r="B703" s="186"/>
      <c r="C703" s="189"/>
      <c r="D703" s="189"/>
      <c r="E703" s="186"/>
      <c r="F703" s="176"/>
      <c r="G703" s="176"/>
      <c r="H703" s="176"/>
      <c r="I703" s="176"/>
      <c r="J703" s="176"/>
      <c r="K703" s="176"/>
      <c r="L703" s="176"/>
      <c r="M703" s="176"/>
      <c r="N703" s="176"/>
      <c r="O703" s="176"/>
      <c r="P703" s="176"/>
      <c r="Q703" s="176"/>
      <c r="R703" s="176"/>
      <c r="S703" s="176"/>
      <c r="T703" s="176"/>
      <c r="U703" s="176"/>
      <c r="V703" s="160"/>
      <c r="W703" s="160"/>
      <c r="X703" s="160"/>
      <c r="Y703" s="161"/>
    </row>
    <row r="704" ht="15.75" customHeight="1">
      <c r="A704" s="187"/>
      <c r="B704" s="187"/>
      <c r="C704" s="188"/>
      <c r="D704" s="188"/>
      <c r="E704" s="187"/>
      <c r="F704" s="169"/>
      <c r="G704" s="169"/>
      <c r="H704" s="169"/>
      <c r="I704" s="169"/>
      <c r="J704" s="169"/>
      <c r="K704" s="169"/>
      <c r="L704" s="169"/>
      <c r="M704" s="169"/>
      <c r="N704" s="169"/>
      <c r="O704" s="169"/>
      <c r="P704" s="169"/>
      <c r="Q704" s="169"/>
      <c r="R704" s="169"/>
      <c r="S704" s="169"/>
      <c r="T704" s="169"/>
      <c r="U704" s="169"/>
      <c r="V704" s="152"/>
      <c r="W704" s="152"/>
      <c r="X704" s="152"/>
      <c r="Y704" s="161"/>
    </row>
    <row r="705" ht="15.75" customHeight="1">
      <c r="A705" s="186"/>
      <c r="B705" s="186"/>
      <c r="C705" s="189"/>
      <c r="D705" s="189"/>
      <c r="E705" s="186"/>
      <c r="F705" s="176"/>
      <c r="G705" s="176"/>
      <c r="H705" s="176"/>
      <c r="I705" s="176"/>
      <c r="J705" s="176"/>
      <c r="K705" s="176"/>
      <c r="L705" s="176"/>
      <c r="M705" s="176"/>
      <c r="N705" s="176"/>
      <c r="O705" s="176"/>
      <c r="P705" s="176"/>
      <c r="Q705" s="176"/>
      <c r="R705" s="176"/>
      <c r="S705" s="176"/>
      <c r="T705" s="176"/>
      <c r="U705" s="176"/>
      <c r="V705" s="160"/>
      <c r="W705" s="160"/>
      <c r="X705" s="160"/>
      <c r="Y705" s="161"/>
    </row>
    <row r="706" ht="15.75" customHeight="1">
      <c r="A706" s="187"/>
      <c r="B706" s="187"/>
      <c r="C706" s="188"/>
      <c r="D706" s="188"/>
      <c r="E706" s="187"/>
      <c r="F706" s="169"/>
      <c r="G706" s="169"/>
      <c r="H706" s="169"/>
      <c r="I706" s="169"/>
      <c r="J706" s="169"/>
      <c r="K706" s="169"/>
      <c r="L706" s="169"/>
      <c r="M706" s="169"/>
      <c r="N706" s="169"/>
      <c r="O706" s="169"/>
      <c r="P706" s="169"/>
      <c r="Q706" s="169"/>
      <c r="R706" s="169"/>
      <c r="S706" s="169"/>
      <c r="T706" s="169"/>
      <c r="U706" s="169"/>
      <c r="V706" s="152"/>
      <c r="W706" s="152"/>
      <c r="X706" s="152"/>
      <c r="Y706" s="161"/>
    </row>
    <row r="707" ht="15.75" customHeight="1">
      <c r="A707" s="186"/>
      <c r="B707" s="186"/>
      <c r="C707" s="189"/>
      <c r="D707" s="189"/>
      <c r="E707" s="186"/>
      <c r="F707" s="176"/>
      <c r="G707" s="176"/>
      <c r="H707" s="176"/>
      <c r="I707" s="176"/>
      <c r="J707" s="176"/>
      <c r="K707" s="176"/>
      <c r="L707" s="176"/>
      <c r="M707" s="176"/>
      <c r="N707" s="176"/>
      <c r="O707" s="176"/>
      <c r="P707" s="176"/>
      <c r="Q707" s="176"/>
      <c r="R707" s="176"/>
      <c r="S707" s="176"/>
      <c r="T707" s="176"/>
      <c r="U707" s="176"/>
      <c r="V707" s="160"/>
      <c r="W707" s="160"/>
      <c r="X707" s="160"/>
      <c r="Y707" s="161"/>
    </row>
    <row r="708" ht="15.75" customHeight="1">
      <c r="A708" s="187"/>
      <c r="B708" s="187"/>
      <c r="C708" s="188"/>
      <c r="D708" s="188"/>
      <c r="E708" s="187"/>
      <c r="F708" s="169"/>
      <c r="G708" s="169"/>
      <c r="H708" s="169"/>
      <c r="I708" s="169"/>
      <c r="J708" s="169"/>
      <c r="K708" s="169"/>
      <c r="L708" s="169"/>
      <c r="M708" s="169"/>
      <c r="N708" s="169"/>
      <c r="O708" s="169"/>
      <c r="P708" s="169"/>
      <c r="Q708" s="169"/>
      <c r="R708" s="169"/>
      <c r="S708" s="169"/>
      <c r="T708" s="169"/>
      <c r="U708" s="169"/>
      <c r="V708" s="152"/>
      <c r="W708" s="152"/>
      <c r="X708" s="152"/>
      <c r="Y708" s="161"/>
    </row>
    <row r="709" ht="15.75" customHeight="1">
      <c r="A709" s="186"/>
      <c r="B709" s="186"/>
      <c r="C709" s="189"/>
      <c r="D709" s="189"/>
      <c r="E709" s="186"/>
      <c r="F709" s="176"/>
      <c r="G709" s="176"/>
      <c r="H709" s="176"/>
      <c r="I709" s="176"/>
      <c r="J709" s="176"/>
      <c r="K709" s="176"/>
      <c r="L709" s="176"/>
      <c r="M709" s="176"/>
      <c r="N709" s="176"/>
      <c r="O709" s="176"/>
      <c r="P709" s="176"/>
      <c r="Q709" s="176"/>
      <c r="R709" s="176"/>
      <c r="S709" s="176"/>
      <c r="T709" s="176"/>
      <c r="U709" s="176"/>
      <c r="V709" s="160"/>
      <c r="W709" s="160"/>
      <c r="X709" s="160"/>
      <c r="Y709" s="161"/>
    </row>
    <row r="710" ht="15.75" customHeight="1">
      <c r="A710" s="187"/>
      <c r="B710" s="187"/>
      <c r="C710" s="188"/>
      <c r="D710" s="188"/>
      <c r="E710" s="187"/>
      <c r="F710" s="169"/>
      <c r="G710" s="169"/>
      <c r="H710" s="169"/>
      <c r="I710" s="169"/>
      <c r="J710" s="169"/>
      <c r="K710" s="169"/>
      <c r="L710" s="169"/>
      <c r="M710" s="169"/>
      <c r="N710" s="169"/>
      <c r="O710" s="169"/>
      <c r="P710" s="169"/>
      <c r="Q710" s="169"/>
      <c r="R710" s="169"/>
      <c r="S710" s="169"/>
      <c r="T710" s="169"/>
      <c r="U710" s="169"/>
      <c r="V710" s="152"/>
      <c r="W710" s="152"/>
      <c r="X710" s="152"/>
      <c r="Y710" s="161"/>
    </row>
    <row r="711" ht="15.75" customHeight="1">
      <c r="A711" s="186"/>
      <c r="B711" s="186"/>
      <c r="C711" s="189"/>
      <c r="D711" s="189"/>
      <c r="E711" s="186"/>
      <c r="F711" s="176"/>
      <c r="G711" s="176"/>
      <c r="H711" s="176"/>
      <c r="I711" s="176"/>
      <c r="J711" s="176"/>
      <c r="K711" s="176"/>
      <c r="L711" s="176"/>
      <c r="M711" s="176"/>
      <c r="N711" s="176"/>
      <c r="O711" s="176"/>
      <c r="P711" s="176"/>
      <c r="Q711" s="176"/>
      <c r="R711" s="176"/>
      <c r="S711" s="176"/>
      <c r="T711" s="176"/>
      <c r="U711" s="176"/>
      <c r="V711" s="160"/>
      <c r="W711" s="160"/>
      <c r="X711" s="160"/>
      <c r="Y711" s="161"/>
    </row>
    <row r="712" ht="15.75" customHeight="1">
      <c r="A712" s="187"/>
      <c r="B712" s="187"/>
      <c r="C712" s="188"/>
      <c r="D712" s="188"/>
      <c r="E712" s="187"/>
      <c r="F712" s="169"/>
      <c r="G712" s="169"/>
      <c r="H712" s="169"/>
      <c r="I712" s="169"/>
      <c r="J712" s="169"/>
      <c r="K712" s="169"/>
      <c r="L712" s="169"/>
      <c r="M712" s="169"/>
      <c r="N712" s="169"/>
      <c r="O712" s="169"/>
      <c r="P712" s="169"/>
      <c r="Q712" s="169"/>
      <c r="R712" s="169"/>
      <c r="S712" s="169"/>
      <c r="T712" s="169"/>
      <c r="U712" s="169"/>
      <c r="V712" s="152"/>
      <c r="W712" s="152"/>
      <c r="X712" s="152"/>
      <c r="Y712" s="161"/>
    </row>
    <row r="713" ht="15.75" customHeight="1">
      <c r="A713" s="186"/>
      <c r="B713" s="186"/>
      <c r="C713" s="189"/>
      <c r="D713" s="189"/>
      <c r="E713" s="186"/>
      <c r="F713" s="176"/>
      <c r="G713" s="176"/>
      <c r="H713" s="176"/>
      <c r="I713" s="176"/>
      <c r="J713" s="176"/>
      <c r="K713" s="176"/>
      <c r="L713" s="176"/>
      <c r="M713" s="176"/>
      <c r="N713" s="176"/>
      <c r="O713" s="176"/>
      <c r="P713" s="176"/>
      <c r="Q713" s="176"/>
      <c r="R713" s="176"/>
      <c r="S713" s="176"/>
      <c r="T713" s="176"/>
      <c r="U713" s="176"/>
      <c r="V713" s="160"/>
      <c r="W713" s="160"/>
      <c r="X713" s="160"/>
      <c r="Y713" s="161"/>
    </row>
    <row r="714" ht="15.75" customHeight="1">
      <c r="A714" s="187"/>
      <c r="B714" s="187"/>
      <c r="C714" s="188"/>
      <c r="D714" s="188"/>
      <c r="E714" s="187"/>
      <c r="F714" s="169"/>
      <c r="G714" s="169"/>
      <c r="H714" s="169"/>
      <c r="I714" s="169"/>
      <c r="J714" s="169"/>
      <c r="K714" s="169"/>
      <c r="L714" s="169"/>
      <c r="M714" s="169"/>
      <c r="N714" s="169"/>
      <c r="O714" s="169"/>
      <c r="P714" s="169"/>
      <c r="Q714" s="169"/>
      <c r="R714" s="169"/>
      <c r="S714" s="169"/>
      <c r="T714" s="169"/>
      <c r="U714" s="169"/>
      <c r="V714" s="152"/>
      <c r="W714" s="152"/>
      <c r="X714" s="152"/>
      <c r="Y714" s="161"/>
    </row>
    <row r="715" ht="15.75" customHeight="1">
      <c r="A715" s="186"/>
      <c r="B715" s="186"/>
      <c r="C715" s="189"/>
      <c r="D715" s="189"/>
      <c r="E715" s="186"/>
      <c r="F715" s="176"/>
      <c r="G715" s="176"/>
      <c r="H715" s="176"/>
      <c r="I715" s="176"/>
      <c r="J715" s="176"/>
      <c r="K715" s="176"/>
      <c r="L715" s="176"/>
      <c r="M715" s="176"/>
      <c r="N715" s="176"/>
      <c r="O715" s="176"/>
      <c r="P715" s="176"/>
      <c r="Q715" s="176"/>
      <c r="R715" s="176"/>
      <c r="S715" s="176"/>
      <c r="T715" s="176"/>
      <c r="U715" s="176"/>
      <c r="V715" s="160"/>
      <c r="W715" s="160"/>
      <c r="X715" s="160"/>
      <c r="Y715" s="161"/>
    </row>
    <row r="716" ht="15.75" customHeight="1">
      <c r="A716" s="187"/>
      <c r="B716" s="187"/>
      <c r="C716" s="188"/>
      <c r="D716" s="188"/>
      <c r="E716" s="187"/>
      <c r="F716" s="169"/>
      <c r="G716" s="169"/>
      <c r="H716" s="169"/>
      <c r="I716" s="169"/>
      <c r="J716" s="169"/>
      <c r="K716" s="169"/>
      <c r="L716" s="169"/>
      <c r="M716" s="169"/>
      <c r="N716" s="169"/>
      <c r="O716" s="169"/>
      <c r="P716" s="169"/>
      <c r="Q716" s="169"/>
      <c r="R716" s="169"/>
      <c r="S716" s="169"/>
      <c r="T716" s="169"/>
      <c r="U716" s="169"/>
      <c r="V716" s="152"/>
      <c r="W716" s="152"/>
      <c r="X716" s="152"/>
      <c r="Y716" s="161"/>
    </row>
    <row r="717" ht="15.75" customHeight="1">
      <c r="A717" s="186"/>
      <c r="B717" s="186"/>
      <c r="C717" s="189"/>
      <c r="D717" s="189"/>
      <c r="E717" s="186"/>
      <c r="F717" s="176"/>
      <c r="G717" s="176"/>
      <c r="H717" s="176"/>
      <c r="I717" s="176"/>
      <c r="J717" s="176"/>
      <c r="K717" s="176"/>
      <c r="L717" s="176"/>
      <c r="M717" s="176"/>
      <c r="N717" s="176"/>
      <c r="O717" s="176"/>
      <c r="P717" s="176"/>
      <c r="Q717" s="176"/>
      <c r="R717" s="176"/>
      <c r="S717" s="176"/>
      <c r="T717" s="176"/>
      <c r="U717" s="176"/>
      <c r="V717" s="160"/>
      <c r="W717" s="160"/>
      <c r="X717" s="160"/>
      <c r="Y717" s="161"/>
    </row>
    <row r="718" ht="15.75" customHeight="1">
      <c r="A718" s="187"/>
      <c r="B718" s="187"/>
      <c r="C718" s="188"/>
      <c r="D718" s="188"/>
      <c r="E718" s="187"/>
      <c r="F718" s="169"/>
      <c r="G718" s="169"/>
      <c r="H718" s="169"/>
      <c r="I718" s="169"/>
      <c r="J718" s="169"/>
      <c r="K718" s="169"/>
      <c r="L718" s="169"/>
      <c r="M718" s="169"/>
      <c r="N718" s="169"/>
      <c r="O718" s="169"/>
      <c r="P718" s="169"/>
      <c r="Q718" s="169"/>
      <c r="R718" s="169"/>
      <c r="S718" s="169"/>
      <c r="T718" s="169"/>
      <c r="U718" s="169"/>
      <c r="V718" s="152"/>
      <c r="W718" s="152"/>
      <c r="X718" s="152"/>
      <c r="Y718" s="161"/>
    </row>
    <row r="719" ht="15.75" customHeight="1">
      <c r="A719" s="186"/>
      <c r="B719" s="186"/>
      <c r="C719" s="189"/>
      <c r="D719" s="189"/>
      <c r="E719" s="186"/>
      <c r="F719" s="176"/>
      <c r="G719" s="176"/>
      <c r="H719" s="176"/>
      <c r="I719" s="176"/>
      <c r="J719" s="176"/>
      <c r="K719" s="176"/>
      <c r="L719" s="176"/>
      <c r="M719" s="176"/>
      <c r="N719" s="176"/>
      <c r="O719" s="176"/>
      <c r="P719" s="176"/>
      <c r="Q719" s="176"/>
      <c r="R719" s="176"/>
      <c r="S719" s="176"/>
      <c r="T719" s="176"/>
      <c r="U719" s="176"/>
      <c r="V719" s="160"/>
      <c r="W719" s="160"/>
      <c r="X719" s="160"/>
      <c r="Y719" s="161"/>
    </row>
    <row r="720" ht="15.75" customHeight="1">
      <c r="A720" s="187"/>
      <c r="B720" s="187"/>
      <c r="C720" s="188"/>
      <c r="D720" s="188"/>
      <c r="E720" s="187"/>
      <c r="F720" s="169"/>
      <c r="G720" s="169"/>
      <c r="H720" s="169"/>
      <c r="I720" s="169"/>
      <c r="J720" s="169"/>
      <c r="K720" s="169"/>
      <c r="L720" s="169"/>
      <c r="M720" s="169"/>
      <c r="N720" s="169"/>
      <c r="O720" s="169"/>
      <c r="P720" s="169"/>
      <c r="Q720" s="169"/>
      <c r="R720" s="169"/>
      <c r="S720" s="169"/>
      <c r="T720" s="169"/>
      <c r="U720" s="169"/>
      <c r="V720" s="152"/>
      <c r="W720" s="152"/>
      <c r="X720" s="152"/>
      <c r="Y720" s="161"/>
    </row>
    <row r="721" ht="15.75" customHeight="1">
      <c r="A721" s="186"/>
      <c r="B721" s="186"/>
      <c r="C721" s="189"/>
      <c r="D721" s="189"/>
      <c r="E721" s="186"/>
      <c r="F721" s="176"/>
      <c r="G721" s="176"/>
      <c r="H721" s="176"/>
      <c r="I721" s="176"/>
      <c r="J721" s="176"/>
      <c r="K721" s="176"/>
      <c r="L721" s="176"/>
      <c r="M721" s="176"/>
      <c r="N721" s="176"/>
      <c r="O721" s="176"/>
      <c r="P721" s="176"/>
      <c r="Q721" s="176"/>
      <c r="R721" s="176"/>
      <c r="S721" s="176"/>
      <c r="T721" s="176"/>
      <c r="U721" s="176"/>
      <c r="V721" s="160"/>
      <c r="W721" s="160"/>
      <c r="X721" s="160"/>
      <c r="Y721" s="161"/>
    </row>
    <row r="722" ht="15.75" customHeight="1">
      <c r="A722" s="187"/>
      <c r="B722" s="187"/>
      <c r="C722" s="188"/>
      <c r="D722" s="188"/>
      <c r="E722" s="187"/>
      <c r="F722" s="169"/>
      <c r="G722" s="169"/>
      <c r="H722" s="169"/>
      <c r="I722" s="169"/>
      <c r="J722" s="169"/>
      <c r="K722" s="169"/>
      <c r="L722" s="169"/>
      <c r="M722" s="169"/>
      <c r="N722" s="169"/>
      <c r="O722" s="169"/>
      <c r="P722" s="169"/>
      <c r="Q722" s="169"/>
      <c r="R722" s="169"/>
      <c r="S722" s="169"/>
      <c r="T722" s="169"/>
      <c r="U722" s="169"/>
      <c r="V722" s="152"/>
      <c r="W722" s="152"/>
      <c r="X722" s="152"/>
      <c r="Y722" s="161"/>
    </row>
    <row r="723" ht="15.75" customHeight="1">
      <c r="A723" s="186"/>
      <c r="B723" s="186"/>
      <c r="C723" s="189"/>
      <c r="D723" s="189"/>
      <c r="E723" s="186"/>
      <c r="F723" s="176"/>
      <c r="G723" s="176"/>
      <c r="H723" s="176"/>
      <c r="I723" s="176"/>
      <c r="J723" s="176"/>
      <c r="K723" s="176"/>
      <c r="L723" s="176"/>
      <c r="M723" s="176"/>
      <c r="N723" s="176"/>
      <c r="O723" s="176"/>
      <c r="P723" s="176"/>
      <c r="Q723" s="176"/>
      <c r="R723" s="176"/>
      <c r="S723" s="176"/>
      <c r="T723" s="176"/>
      <c r="U723" s="176"/>
      <c r="V723" s="160"/>
      <c r="W723" s="160"/>
      <c r="X723" s="160"/>
      <c r="Y723" s="161"/>
    </row>
    <row r="724" ht="15.75" customHeight="1">
      <c r="A724" s="187"/>
      <c r="B724" s="187"/>
      <c r="C724" s="188"/>
      <c r="D724" s="188"/>
      <c r="E724" s="187"/>
      <c r="F724" s="169"/>
      <c r="G724" s="169"/>
      <c r="H724" s="169"/>
      <c r="I724" s="169"/>
      <c r="J724" s="169"/>
      <c r="K724" s="169"/>
      <c r="L724" s="169"/>
      <c r="M724" s="169"/>
      <c r="N724" s="169"/>
      <c r="O724" s="169"/>
      <c r="P724" s="169"/>
      <c r="Q724" s="169"/>
      <c r="R724" s="169"/>
      <c r="S724" s="169"/>
      <c r="T724" s="169"/>
      <c r="U724" s="169"/>
      <c r="V724" s="152"/>
      <c r="W724" s="152"/>
      <c r="X724" s="152"/>
      <c r="Y724" s="161"/>
    </row>
    <row r="725" ht="15.75" customHeight="1">
      <c r="A725" s="186"/>
      <c r="B725" s="186"/>
      <c r="C725" s="189"/>
      <c r="D725" s="189"/>
      <c r="E725" s="186"/>
      <c r="F725" s="176"/>
      <c r="G725" s="176"/>
      <c r="H725" s="176"/>
      <c r="I725" s="176"/>
      <c r="J725" s="176"/>
      <c r="K725" s="176"/>
      <c r="L725" s="176"/>
      <c r="M725" s="176"/>
      <c r="N725" s="176"/>
      <c r="O725" s="176"/>
      <c r="P725" s="176"/>
      <c r="Q725" s="176"/>
      <c r="R725" s="176"/>
      <c r="S725" s="176"/>
      <c r="T725" s="176"/>
      <c r="U725" s="176"/>
      <c r="V725" s="160"/>
      <c r="W725" s="160"/>
      <c r="X725" s="160"/>
      <c r="Y725" s="161"/>
    </row>
    <row r="726" ht="15.75" customHeight="1">
      <c r="E726" s="190"/>
    </row>
    <row r="727" ht="15.75" customHeight="1">
      <c r="E727" s="190"/>
    </row>
    <row r="728" ht="15.75" customHeight="1">
      <c r="E728" s="190"/>
    </row>
    <row r="729" ht="15.75" customHeight="1">
      <c r="E729" s="190"/>
    </row>
    <row r="730" ht="15.75" customHeight="1">
      <c r="E730" s="190"/>
    </row>
    <row r="731" ht="15.75" customHeight="1">
      <c r="E731" s="190"/>
    </row>
    <row r="732" ht="15.75" customHeight="1">
      <c r="E732" s="190"/>
    </row>
    <row r="733" ht="15.75" customHeight="1">
      <c r="E733" s="190"/>
    </row>
    <row r="734" ht="15.75" customHeight="1">
      <c r="E734" s="190"/>
    </row>
    <row r="735" ht="15.75" customHeight="1">
      <c r="E735" s="190"/>
    </row>
    <row r="736" ht="15.75" customHeight="1">
      <c r="E736" s="190"/>
    </row>
    <row r="737" ht="15.75" customHeight="1">
      <c r="E737" s="190"/>
    </row>
    <row r="738" ht="15.75" customHeight="1">
      <c r="E738" s="190"/>
    </row>
    <row r="739" ht="15.75" customHeight="1">
      <c r="E739" s="190"/>
    </row>
    <row r="740" ht="15.75" customHeight="1">
      <c r="E740" s="190"/>
    </row>
    <row r="741" ht="15.75" customHeight="1">
      <c r="E741" s="190"/>
    </row>
    <row r="742" ht="15.75" customHeight="1">
      <c r="E742" s="190"/>
    </row>
    <row r="743" ht="15.75" customHeight="1">
      <c r="E743" s="190"/>
    </row>
    <row r="744" ht="15.75" customHeight="1">
      <c r="E744" s="190"/>
    </row>
    <row r="745" ht="15.75" customHeight="1">
      <c r="E745" s="190"/>
    </row>
    <row r="746" ht="15.75" customHeight="1">
      <c r="E746" s="190"/>
    </row>
    <row r="747" ht="15.75" customHeight="1">
      <c r="E747" s="190"/>
    </row>
    <row r="748" ht="15.75" customHeight="1">
      <c r="E748" s="190"/>
    </row>
    <row r="749" ht="15.75" customHeight="1">
      <c r="E749" s="190"/>
    </row>
    <row r="750" ht="15.75" customHeight="1">
      <c r="E750" s="190"/>
    </row>
    <row r="751" ht="15.75" customHeight="1">
      <c r="E751" s="190"/>
    </row>
    <row r="752" ht="15.75" customHeight="1">
      <c r="E752" s="190"/>
    </row>
    <row r="753" ht="15.75" customHeight="1">
      <c r="E753" s="190"/>
    </row>
    <row r="754" ht="15.75" customHeight="1">
      <c r="E754" s="190"/>
    </row>
    <row r="755" ht="15.75" customHeight="1">
      <c r="E755" s="190"/>
    </row>
    <row r="756" ht="15.75" customHeight="1">
      <c r="E756" s="190"/>
    </row>
    <row r="757" ht="15.75" customHeight="1">
      <c r="E757" s="190"/>
    </row>
    <row r="758" ht="15.75" customHeight="1">
      <c r="E758" s="190"/>
    </row>
    <row r="759" ht="15.75" customHeight="1">
      <c r="E759" s="190"/>
    </row>
    <row r="760" ht="15.75" customHeight="1">
      <c r="E760" s="190"/>
    </row>
    <row r="761" ht="15.75" customHeight="1">
      <c r="E761" s="190"/>
    </row>
    <row r="762" ht="15.75" customHeight="1">
      <c r="E762" s="190"/>
    </row>
    <row r="763" ht="15.75" customHeight="1">
      <c r="E763" s="190"/>
    </row>
    <row r="764" ht="15.75" customHeight="1">
      <c r="E764" s="190"/>
    </row>
    <row r="765" ht="15.75" customHeight="1">
      <c r="E765" s="190"/>
    </row>
    <row r="766" ht="15.75" customHeight="1">
      <c r="E766" s="190"/>
    </row>
    <row r="767" ht="15.75" customHeight="1">
      <c r="E767" s="190"/>
    </row>
    <row r="768" ht="15.75" customHeight="1">
      <c r="E768" s="190"/>
    </row>
    <row r="769" ht="15.75" customHeight="1">
      <c r="E769" s="190"/>
    </row>
    <row r="770" ht="15.75" customHeight="1">
      <c r="E770" s="190"/>
    </row>
    <row r="771" ht="15.75" customHeight="1">
      <c r="E771" s="190"/>
    </row>
    <row r="772" ht="15.75" customHeight="1">
      <c r="E772" s="190"/>
    </row>
    <row r="773" ht="15.75" customHeight="1">
      <c r="E773" s="190"/>
    </row>
    <row r="774" ht="15.75" customHeight="1">
      <c r="E774" s="190"/>
    </row>
    <row r="775" ht="15.75" customHeight="1">
      <c r="E775" s="190"/>
    </row>
    <row r="776" ht="15.75" customHeight="1">
      <c r="E776" s="190"/>
    </row>
    <row r="777" ht="15.75" customHeight="1">
      <c r="E777" s="190"/>
    </row>
    <row r="778" ht="15.75" customHeight="1">
      <c r="E778" s="190"/>
    </row>
    <row r="779" ht="15.75" customHeight="1">
      <c r="E779" s="190"/>
    </row>
    <row r="780" ht="15.75" customHeight="1">
      <c r="E780" s="190"/>
    </row>
    <row r="781" ht="15.75" customHeight="1">
      <c r="E781" s="190"/>
    </row>
    <row r="782" ht="15.75" customHeight="1">
      <c r="E782" s="190"/>
    </row>
    <row r="783" ht="15.75" customHeight="1">
      <c r="E783" s="190"/>
    </row>
    <row r="784" ht="15.75" customHeight="1">
      <c r="E784" s="190"/>
    </row>
    <row r="785" ht="15.75" customHeight="1">
      <c r="E785" s="190"/>
    </row>
    <row r="786" ht="15.75" customHeight="1">
      <c r="E786" s="190"/>
    </row>
    <row r="787" ht="15.75" customHeight="1">
      <c r="E787" s="190"/>
    </row>
    <row r="788" ht="15.75" customHeight="1">
      <c r="E788" s="190"/>
    </row>
    <row r="789" ht="15.75" customHeight="1">
      <c r="E789" s="190"/>
    </row>
    <row r="790" ht="15.75" customHeight="1">
      <c r="E790" s="190"/>
    </row>
    <row r="791" ht="15.75" customHeight="1">
      <c r="E791" s="190"/>
    </row>
    <row r="792" ht="15.75" customHeight="1">
      <c r="E792" s="190"/>
    </row>
    <row r="793" ht="15.75" customHeight="1">
      <c r="E793" s="190"/>
    </row>
    <row r="794" ht="15.75" customHeight="1">
      <c r="E794" s="190"/>
    </row>
    <row r="795" ht="15.75" customHeight="1">
      <c r="E795" s="190"/>
    </row>
    <row r="796" ht="15.75" customHeight="1">
      <c r="E796" s="190"/>
    </row>
    <row r="797" ht="15.75" customHeight="1">
      <c r="E797" s="190"/>
    </row>
    <row r="798" ht="15.75" customHeight="1">
      <c r="E798" s="190"/>
    </row>
    <row r="799" ht="15.75" customHeight="1">
      <c r="E799" s="190"/>
    </row>
    <row r="800" ht="15.75" customHeight="1">
      <c r="E800" s="190"/>
    </row>
    <row r="801" ht="15.75" customHeight="1">
      <c r="E801" s="190"/>
    </row>
    <row r="802" ht="15.75" customHeight="1">
      <c r="E802" s="190"/>
    </row>
    <row r="803" ht="15.75" customHeight="1">
      <c r="E803" s="190"/>
    </row>
    <row r="804" ht="15.75" customHeight="1">
      <c r="E804" s="190"/>
    </row>
    <row r="805" ht="15.75" customHeight="1">
      <c r="E805" s="190"/>
    </row>
    <row r="806" ht="15.75" customHeight="1">
      <c r="E806" s="190"/>
    </row>
    <row r="807" ht="15.75" customHeight="1">
      <c r="E807" s="190"/>
    </row>
    <row r="808" ht="15.75" customHeight="1">
      <c r="E808" s="190"/>
    </row>
    <row r="809" ht="15.75" customHeight="1">
      <c r="E809" s="190"/>
    </row>
    <row r="810" ht="15.75" customHeight="1">
      <c r="E810" s="190"/>
    </row>
    <row r="811" ht="15.75" customHeight="1">
      <c r="E811" s="190"/>
    </row>
    <row r="812" ht="15.75" customHeight="1">
      <c r="E812" s="190"/>
    </row>
    <row r="813" ht="15.75" customHeight="1">
      <c r="E813" s="190"/>
    </row>
    <row r="814" ht="15.75" customHeight="1">
      <c r="E814" s="190"/>
    </row>
    <row r="815" ht="15.75" customHeight="1">
      <c r="E815" s="190"/>
    </row>
    <row r="816" ht="15.75" customHeight="1">
      <c r="E816" s="190"/>
    </row>
    <row r="817" ht="15.75" customHeight="1">
      <c r="E817" s="190"/>
    </row>
    <row r="818" ht="15.75" customHeight="1">
      <c r="E818" s="190"/>
    </row>
    <row r="819" ht="15.75" customHeight="1">
      <c r="E819" s="190"/>
    </row>
    <row r="820" ht="15.75" customHeight="1">
      <c r="E820" s="190"/>
    </row>
    <row r="821" ht="15.75" customHeight="1">
      <c r="E821" s="190"/>
    </row>
    <row r="822" ht="15.75" customHeight="1">
      <c r="E822" s="190"/>
    </row>
    <row r="823" ht="15.75" customHeight="1">
      <c r="E823" s="190"/>
    </row>
    <row r="824" ht="15.75" customHeight="1">
      <c r="E824" s="190"/>
    </row>
    <row r="825" ht="15.75" customHeight="1">
      <c r="E825" s="190"/>
    </row>
    <row r="826" ht="15.75" customHeight="1">
      <c r="E826" s="190"/>
    </row>
    <row r="827" ht="15.75" customHeight="1">
      <c r="E827" s="190"/>
    </row>
    <row r="828" ht="15.75" customHeight="1">
      <c r="E828" s="190"/>
    </row>
    <row r="829" ht="15.75" customHeight="1">
      <c r="E829" s="190"/>
    </row>
    <row r="830" ht="15.75" customHeight="1">
      <c r="E830" s="190"/>
    </row>
    <row r="831" ht="15.75" customHeight="1">
      <c r="E831" s="190"/>
    </row>
    <row r="832" ht="15.75" customHeight="1">
      <c r="E832" s="190"/>
    </row>
    <row r="833" ht="15.75" customHeight="1">
      <c r="E833" s="190"/>
    </row>
    <row r="834" ht="15.75" customHeight="1">
      <c r="E834" s="190"/>
    </row>
    <row r="835" ht="15.75" customHeight="1">
      <c r="E835" s="190"/>
    </row>
    <row r="836" ht="15.75" customHeight="1">
      <c r="E836" s="190"/>
    </row>
    <row r="837" ht="15.75" customHeight="1">
      <c r="E837" s="190"/>
    </row>
    <row r="838" ht="15.75" customHeight="1">
      <c r="E838" s="190"/>
    </row>
    <row r="839" ht="15.75" customHeight="1">
      <c r="E839" s="190"/>
    </row>
    <row r="840" ht="15.75" customHeight="1">
      <c r="E840" s="190"/>
    </row>
    <row r="841" ht="15.75" customHeight="1">
      <c r="E841" s="190"/>
    </row>
    <row r="842" ht="15.75" customHeight="1">
      <c r="E842" s="190"/>
    </row>
    <row r="843" ht="15.75" customHeight="1">
      <c r="E843" s="190"/>
    </row>
    <row r="844" ht="15.75" customHeight="1">
      <c r="E844" s="190"/>
    </row>
    <row r="845" ht="15.75" customHeight="1">
      <c r="E845" s="190"/>
    </row>
    <row r="846" ht="15.75" customHeight="1">
      <c r="E846" s="190"/>
    </row>
    <row r="847" ht="15.75" customHeight="1">
      <c r="E847" s="190"/>
    </row>
    <row r="848" ht="15.75" customHeight="1">
      <c r="E848" s="190"/>
    </row>
    <row r="849" ht="15.75" customHeight="1">
      <c r="E849" s="190"/>
    </row>
    <row r="850" ht="15.75" customHeight="1">
      <c r="E850" s="190"/>
    </row>
    <row r="851" ht="15.75" customHeight="1">
      <c r="E851" s="190"/>
    </row>
    <row r="852" ht="15.75" customHeight="1">
      <c r="E852" s="190"/>
    </row>
    <row r="853" ht="15.75" customHeight="1">
      <c r="E853" s="190"/>
    </row>
    <row r="854" ht="15.75" customHeight="1">
      <c r="E854" s="190"/>
    </row>
    <row r="855" ht="15.75" customHeight="1">
      <c r="E855" s="190"/>
    </row>
    <row r="856" ht="15.75" customHeight="1">
      <c r="E856" s="190"/>
    </row>
    <row r="857" ht="15.75" customHeight="1">
      <c r="E857" s="190"/>
    </row>
    <row r="858" ht="15.75" customHeight="1">
      <c r="E858" s="190"/>
    </row>
    <row r="859" ht="15.75" customHeight="1">
      <c r="E859" s="190"/>
    </row>
    <row r="860" ht="15.75" customHeight="1">
      <c r="E860" s="190"/>
    </row>
    <row r="861" ht="15.75" customHeight="1">
      <c r="E861" s="190"/>
    </row>
    <row r="862" ht="15.75" customHeight="1">
      <c r="E862" s="190"/>
    </row>
    <row r="863" ht="15.75" customHeight="1">
      <c r="E863" s="190"/>
    </row>
    <row r="864" ht="15.75" customHeight="1">
      <c r="E864" s="190"/>
    </row>
    <row r="865" ht="15.75" customHeight="1">
      <c r="E865" s="190"/>
    </row>
    <row r="866" ht="15.75" customHeight="1">
      <c r="E866" s="190"/>
    </row>
    <row r="867" ht="15.75" customHeight="1">
      <c r="E867" s="190"/>
    </row>
    <row r="868" ht="15.75" customHeight="1">
      <c r="E868" s="190"/>
    </row>
    <row r="869" ht="15.75" customHeight="1">
      <c r="E869" s="190"/>
    </row>
    <row r="870" ht="15.75" customHeight="1">
      <c r="E870" s="190"/>
    </row>
    <row r="871" ht="15.75" customHeight="1">
      <c r="E871" s="190"/>
    </row>
    <row r="872" ht="15.75" customHeight="1">
      <c r="E872" s="190"/>
    </row>
    <row r="873" ht="15.75" customHeight="1">
      <c r="E873" s="190"/>
    </row>
    <row r="874" ht="15.75" customHeight="1">
      <c r="E874" s="190"/>
    </row>
    <row r="875" ht="15.75" customHeight="1">
      <c r="E875" s="190"/>
    </row>
    <row r="876" ht="15.75" customHeight="1">
      <c r="E876" s="190"/>
    </row>
    <row r="877" ht="15.75" customHeight="1">
      <c r="E877" s="190"/>
    </row>
    <row r="878" ht="15.75" customHeight="1">
      <c r="E878" s="190"/>
    </row>
    <row r="879" ht="15.75" customHeight="1">
      <c r="E879" s="190"/>
    </row>
    <row r="880" ht="15.75" customHeight="1">
      <c r="E880" s="190"/>
    </row>
    <row r="881" ht="15.75" customHeight="1">
      <c r="E881" s="190"/>
    </row>
    <row r="882" ht="15.75" customHeight="1">
      <c r="E882" s="190"/>
    </row>
    <row r="883" ht="15.75" customHeight="1">
      <c r="E883" s="190"/>
    </row>
    <row r="884" ht="15.75" customHeight="1">
      <c r="E884" s="190"/>
    </row>
    <row r="885" ht="15.75" customHeight="1">
      <c r="E885" s="190"/>
    </row>
    <row r="886" ht="15.75" customHeight="1">
      <c r="E886" s="190"/>
    </row>
    <row r="887" ht="15.75" customHeight="1">
      <c r="E887" s="190"/>
    </row>
    <row r="888" ht="15.75" customHeight="1">
      <c r="E888" s="190"/>
    </row>
    <row r="889" ht="15.75" customHeight="1">
      <c r="E889" s="190"/>
    </row>
    <row r="890" ht="15.75" customHeight="1">
      <c r="E890" s="190"/>
    </row>
    <row r="891" ht="15.75" customHeight="1">
      <c r="E891" s="190"/>
    </row>
    <row r="892" ht="15.75" customHeight="1">
      <c r="E892" s="190"/>
    </row>
    <row r="893" ht="15.75" customHeight="1">
      <c r="E893" s="190"/>
    </row>
    <row r="894" ht="15.75" customHeight="1">
      <c r="E894" s="190"/>
    </row>
    <row r="895" ht="15.75" customHeight="1">
      <c r="E895" s="190"/>
    </row>
    <row r="896" ht="15.75" customHeight="1">
      <c r="E896" s="190"/>
    </row>
    <row r="897" ht="15.75" customHeight="1">
      <c r="E897" s="190"/>
    </row>
    <row r="898" ht="15.75" customHeight="1">
      <c r="E898" s="190"/>
    </row>
    <row r="899" ht="15.75" customHeight="1">
      <c r="E899" s="190"/>
    </row>
    <row r="900" ht="15.75" customHeight="1">
      <c r="E900" s="190"/>
    </row>
    <row r="901" ht="15.75" customHeight="1">
      <c r="E901" s="190"/>
    </row>
    <row r="902" ht="15.75" customHeight="1">
      <c r="E902" s="190"/>
    </row>
    <row r="903" ht="15.75" customHeight="1">
      <c r="E903" s="190"/>
    </row>
    <row r="904" ht="15.75" customHeight="1">
      <c r="E904" s="190"/>
    </row>
    <row r="905" ht="15.75" customHeight="1">
      <c r="E905" s="190"/>
    </row>
    <row r="906" ht="15.75" customHeight="1">
      <c r="E906" s="190"/>
    </row>
    <row r="907" ht="15.75" customHeight="1">
      <c r="E907" s="190"/>
    </row>
    <row r="908" ht="15.75" customHeight="1">
      <c r="E908" s="190"/>
    </row>
    <row r="909" ht="15.75" customHeight="1">
      <c r="E909" s="190"/>
    </row>
    <row r="910" ht="15.75" customHeight="1">
      <c r="E910" s="190"/>
    </row>
    <row r="911" ht="15.75" customHeight="1">
      <c r="E911" s="190"/>
    </row>
    <row r="912" ht="15.75" customHeight="1">
      <c r="E912" s="190"/>
    </row>
    <row r="913" ht="15.75" customHeight="1">
      <c r="E913" s="190"/>
    </row>
    <row r="914" ht="15.75" customHeight="1">
      <c r="E914" s="190"/>
    </row>
    <row r="915" ht="15.75" customHeight="1">
      <c r="E915" s="190"/>
    </row>
    <row r="916" ht="15.75" customHeight="1">
      <c r="E916" s="190"/>
    </row>
    <row r="917" ht="15.75" customHeight="1">
      <c r="E917" s="190"/>
    </row>
    <row r="918" ht="15.75" customHeight="1">
      <c r="E918" s="190"/>
    </row>
    <row r="919" ht="15.75" customHeight="1">
      <c r="E919" s="190"/>
    </row>
    <row r="920" ht="15.75" customHeight="1">
      <c r="E920" s="190"/>
    </row>
    <row r="921" ht="15.75" customHeight="1">
      <c r="E921" s="190"/>
    </row>
    <row r="922" ht="15.75" customHeight="1">
      <c r="E922" s="190"/>
    </row>
    <row r="923" ht="15.75" customHeight="1">
      <c r="E923" s="190"/>
    </row>
    <row r="924" ht="15.75" customHeight="1">
      <c r="E924" s="190"/>
    </row>
    <row r="925" ht="15.75" customHeight="1">
      <c r="E925" s="190"/>
    </row>
    <row r="926" ht="15.75" customHeight="1">
      <c r="E926" s="190"/>
    </row>
    <row r="927" ht="15.75" customHeight="1">
      <c r="E927" s="190"/>
    </row>
    <row r="928" ht="15.75" customHeight="1">
      <c r="E928" s="190"/>
    </row>
    <row r="929" ht="15.75" customHeight="1">
      <c r="E929" s="190"/>
    </row>
    <row r="930" ht="15.75" customHeight="1">
      <c r="E930" s="190"/>
    </row>
    <row r="931" ht="15.75" customHeight="1">
      <c r="E931" s="190"/>
    </row>
    <row r="932" ht="15.75" customHeight="1">
      <c r="E932" s="190"/>
    </row>
    <row r="933" ht="15.75" customHeight="1">
      <c r="E933" s="190"/>
    </row>
    <row r="934" ht="15.75" customHeight="1">
      <c r="E934" s="190"/>
    </row>
    <row r="935" ht="15.75" customHeight="1">
      <c r="E935" s="190"/>
    </row>
    <row r="936" ht="15.75" customHeight="1">
      <c r="E936" s="190"/>
    </row>
    <row r="937" ht="15.75" customHeight="1">
      <c r="E937" s="190"/>
    </row>
    <row r="938" ht="15.75" customHeight="1">
      <c r="E938" s="190"/>
    </row>
    <row r="939" ht="15.75" customHeight="1">
      <c r="E939" s="190"/>
    </row>
    <row r="940" ht="15.75" customHeight="1">
      <c r="E940" s="190"/>
    </row>
    <row r="941" ht="15.75" customHeight="1">
      <c r="E941" s="190"/>
    </row>
    <row r="942" ht="15.75" customHeight="1">
      <c r="E942" s="190"/>
    </row>
    <row r="943" ht="15.75" customHeight="1">
      <c r="E943" s="190"/>
    </row>
    <row r="944" ht="15.75" customHeight="1">
      <c r="E944" s="190"/>
    </row>
    <row r="945" ht="15.75" customHeight="1">
      <c r="E945" s="190"/>
    </row>
    <row r="946" ht="15.75" customHeight="1">
      <c r="E946" s="190"/>
    </row>
    <row r="947" ht="15.75" customHeight="1">
      <c r="E947" s="190"/>
    </row>
    <row r="948" ht="15.75" customHeight="1">
      <c r="E948" s="190"/>
    </row>
    <row r="949" ht="15.75" customHeight="1">
      <c r="E949" s="190"/>
    </row>
    <row r="950" ht="15.75" customHeight="1">
      <c r="E950" s="190"/>
    </row>
    <row r="951" ht="15.75" customHeight="1">
      <c r="E951" s="190"/>
    </row>
    <row r="952" ht="15.75" customHeight="1">
      <c r="E952" s="190"/>
    </row>
    <row r="953" ht="15.75" customHeight="1">
      <c r="E953" s="190"/>
    </row>
    <row r="954" ht="15.75" customHeight="1">
      <c r="E954" s="190"/>
    </row>
    <row r="955" ht="15.75" customHeight="1">
      <c r="E955" s="190"/>
    </row>
    <row r="956" ht="15.75" customHeight="1">
      <c r="E956" s="190"/>
    </row>
    <row r="957" ht="15.75" customHeight="1">
      <c r="E957" s="190"/>
    </row>
    <row r="958" ht="15.75" customHeight="1">
      <c r="E958" s="190"/>
    </row>
    <row r="959" ht="15.75" customHeight="1">
      <c r="E959" s="190"/>
    </row>
    <row r="960" ht="15.75" customHeight="1">
      <c r="E960" s="190"/>
    </row>
    <row r="961" ht="15.75" customHeight="1">
      <c r="E961" s="190"/>
    </row>
    <row r="962" ht="15.75" customHeight="1">
      <c r="E962" s="190"/>
    </row>
    <row r="963" ht="15.75" customHeight="1">
      <c r="E963" s="190"/>
    </row>
    <row r="964" ht="15.75" customHeight="1">
      <c r="E964" s="190"/>
    </row>
    <row r="965" ht="15.75" customHeight="1">
      <c r="E965" s="190"/>
    </row>
    <row r="966" ht="15.75" customHeight="1">
      <c r="E966" s="190"/>
    </row>
    <row r="967" ht="15.75" customHeight="1">
      <c r="E967" s="190"/>
    </row>
    <row r="968" ht="15.75" customHeight="1">
      <c r="E968" s="190"/>
    </row>
    <row r="969" ht="15.75" customHeight="1">
      <c r="E969" s="190"/>
    </row>
    <row r="970" ht="15.75" customHeight="1">
      <c r="E970" s="190"/>
    </row>
    <row r="971" ht="15.75" customHeight="1">
      <c r="E971" s="190"/>
    </row>
    <row r="972" ht="15.75" customHeight="1">
      <c r="E972" s="190"/>
    </row>
    <row r="973" ht="15.75" customHeight="1">
      <c r="E973" s="190"/>
    </row>
    <row r="974" ht="15.75" customHeight="1">
      <c r="E974" s="190"/>
    </row>
    <row r="975" ht="15.75" customHeight="1">
      <c r="E975" s="190"/>
    </row>
    <row r="976" ht="15.75" customHeight="1">
      <c r="E976" s="190"/>
    </row>
    <row r="977" ht="15.75" customHeight="1">
      <c r="E977" s="190"/>
    </row>
    <row r="978" ht="15.75" customHeight="1">
      <c r="E978" s="190"/>
    </row>
    <row r="979" ht="15.75" customHeight="1">
      <c r="E979" s="190"/>
    </row>
    <row r="980" ht="15.75" customHeight="1">
      <c r="E980" s="190"/>
    </row>
    <row r="981" ht="15.75" customHeight="1">
      <c r="E981" s="190"/>
    </row>
    <row r="982" ht="15.75" customHeight="1">
      <c r="E982" s="190"/>
    </row>
    <row r="983" ht="15.75" customHeight="1">
      <c r="E983" s="190"/>
    </row>
    <row r="984" ht="15.75" customHeight="1">
      <c r="E984" s="190"/>
    </row>
    <row r="985" ht="15.75" customHeight="1">
      <c r="E985" s="190"/>
    </row>
    <row r="986" ht="15.75" customHeight="1">
      <c r="E986" s="190"/>
    </row>
    <row r="987" ht="15.75" customHeight="1">
      <c r="E987" s="190"/>
    </row>
    <row r="988" ht="15.75" customHeight="1">
      <c r="E988" s="190"/>
    </row>
    <row r="989" ht="15.75" customHeight="1">
      <c r="E989" s="190"/>
    </row>
    <row r="990" ht="15.75" customHeight="1">
      <c r="E990" s="190"/>
    </row>
    <row r="991" ht="15.75" customHeight="1">
      <c r="E991" s="190"/>
    </row>
    <row r="992" ht="15.75" customHeight="1">
      <c r="E992" s="190"/>
    </row>
    <row r="993" ht="15.75" customHeight="1">
      <c r="E993" s="190"/>
    </row>
    <row r="994" ht="15.75" customHeight="1">
      <c r="E994" s="190"/>
    </row>
    <row r="995" ht="15.75" customHeight="1">
      <c r="E995" s="190"/>
    </row>
    <row r="996" ht="15.75" customHeight="1">
      <c r="E996" s="190"/>
    </row>
    <row r="997" ht="15.75" customHeight="1">
      <c r="E997" s="190"/>
    </row>
    <row r="998" ht="15.75" customHeight="1">
      <c r="E998" s="190"/>
    </row>
    <row r="999" ht="15.75" customHeight="1">
      <c r="E999" s="190"/>
    </row>
  </sheetData>
  <autoFilter ref="$A$1:$V$543">
    <sortState ref="A1:V543">
      <sortCondition ref="C1:C543"/>
      <sortCondition ref="B1:B543"/>
      <sortCondition ref="E1:E543"/>
    </sortState>
  </autoFilter>
  <conditionalFormatting sqref="A525:B542">
    <cfRule type="expression" dxfId="1" priority="1" stopIfTrue="1">
      <formula>$E525="Inactive"</formula>
    </cfRule>
  </conditionalFormatting>
  <conditionalFormatting sqref="A525:A542">
    <cfRule type="expression" dxfId="3" priority="2">
      <formula>COUNTIF(A:A, A525)&gt;1</formula>
    </cfRule>
  </conditionalFormatting>
  <dataValidations>
    <dataValidation type="list" allowBlank="1" sqref="E2:E14 E16:E999">
      <formula1>"Communication 1,Communication 2,Communication 3,Business English,Foundation,Extension of Foundation"</formula1>
    </dataValidation>
  </dataValidations>
  <printOptions/>
  <pageMargins bottom="1.0" footer="0.0" header="0.0" left="0.75" right="0.75" top="1.0"/>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57"/>
    <col customWidth="1" min="2" max="2" width="11.57"/>
    <col customWidth="1" min="3" max="3" width="28.71"/>
    <col customWidth="1" min="4" max="4" width="50.14"/>
  </cols>
  <sheetData>
    <row r="1">
      <c r="A1" s="191" t="s">
        <v>830</v>
      </c>
      <c r="B1" s="191" t="s">
        <v>831</v>
      </c>
      <c r="C1" s="191" t="s">
        <v>832</v>
      </c>
      <c r="D1" s="191" t="s">
        <v>833</v>
      </c>
    </row>
    <row r="2">
      <c r="A2" s="13" t="s">
        <v>834</v>
      </c>
      <c r="B2" s="13" t="s">
        <v>835</v>
      </c>
      <c r="C2" s="13" t="s">
        <v>836</v>
      </c>
      <c r="D2" s="13" t="s">
        <v>837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23.0"/>
    <col customWidth="1" min="2" max="3" width="14.43"/>
  </cols>
  <sheetData>
    <row r="1">
      <c r="A1" s="192" t="s">
        <v>14</v>
      </c>
      <c r="B1" s="192" t="s">
        <v>838</v>
      </c>
      <c r="C1" s="192" t="s">
        <v>839</v>
      </c>
      <c r="D1" s="193"/>
      <c r="E1" s="192"/>
      <c r="F1" s="192"/>
      <c r="G1" s="192"/>
      <c r="H1" s="192"/>
      <c r="I1" s="192"/>
      <c r="J1" s="192"/>
      <c r="K1" s="192"/>
      <c r="L1" s="192"/>
      <c r="M1" s="192"/>
      <c r="N1" s="192"/>
      <c r="O1" s="192"/>
      <c r="P1" s="192"/>
      <c r="Q1" s="192"/>
      <c r="R1" s="192"/>
      <c r="S1" s="192"/>
      <c r="T1" s="192"/>
      <c r="U1" s="192"/>
      <c r="V1" s="192"/>
      <c r="W1" s="192"/>
      <c r="X1" s="192"/>
      <c r="Y1" s="192"/>
      <c r="Z1" s="192"/>
    </row>
    <row r="2">
      <c r="A2" s="190" t="s">
        <v>24</v>
      </c>
      <c r="B2" s="190">
        <v>5.0</v>
      </c>
      <c r="C2" s="190">
        <v>30.0</v>
      </c>
      <c r="D2" s="194">
        <f t="shared" ref="D2:D8" si="1">C2/B2</f>
        <v>6</v>
      </c>
    </row>
    <row r="3">
      <c r="A3" s="190" t="s">
        <v>21</v>
      </c>
      <c r="B3" s="190">
        <v>43.0</v>
      </c>
      <c r="C3" s="190">
        <v>261.0</v>
      </c>
      <c r="D3" s="194">
        <f t="shared" si="1"/>
        <v>6.069767442</v>
      </c>
    </row>
    <row r="4">
      <c r="A4" s="190" t="s">
        <v>22</v>
      </c>
      <c r="B4" s="190">
        <v>23.0</v>
      </c>
      <c r="C4" s="190">
        <v>147.0</v>
      </c>
      <c r="D4" s="194">
        <f t="shared" si="1"/>
        <v>6.391304348</v>
      </c>
    </row>
    <row r="5">
      <c r="A5" s="190" t="s">
        <v>23</v>
      </c>
      <c r="B5" s="190">
        <v>3.0</v>
      </c>
      <c r="C5" s="190">
        <v>22.0</v>
      </c>
      <c r="D5" s="194">
        <f t="shared" si="1"/>
        <v>7.333333333</v>
      </c>
    </row>
    <row r="6">
      <c r="A6" s="190" t="s">
        <v>26</v>
      </c>
      <c r="B6" s="190">
        <v>1.0</v>
      </c>
      <c r="C6" s="190">
        <v>3.0</v>
      </c>
      <c r="D6" s="194">
        <f t="shared" si="1"/>
        <v>3</v>
      </c>
    </row>
    <row r="7">
      <c r="A7" s="190" t="s">
        <v>25</v>
      </c>
      <c r="B7" s="190">
        <v>5.0</v>
      </c>
      <c r="C7" s="190">
        <v>41.0</v>
      </c>
      <c r="D7" s="194">
        <f t="shared" si="1"/>
        <v>8.2</v>
      </c>
    </row>
    <row r="8">
      <c r="A8" s="190" t="s">
        <v>840</v>
      </c>
      <c r="B8" s="190">
        <v>47.0</v>
      </c>
      <c r="C8" s="190">
        <v>287.0</v>
      </c>
      <c r="D8" s="194">
        <f t="shared" si="1"/>
        <v>6.106382979</v>
      </c>
    </row>
    <row r="9">
      <c r="D9" s="194"/>
    </row>
    <row r="10">
      <c r="D10" s="194"/>
    </row>
    <row r="11">
      <c r="D11" s="194"/>
    </row>
    <row r="12">
      <c r="D12" s="194"/>
    </row>
    <row r="13">
      <c r="B13" s="190">
        <f>sum(B2:B7)*15</f>
        <v>1200</v>
      </c>
      <c r="D13" s="194"/>
    </row>
    <row r="14">
      <c r="D14" s="194"/>
    </row>
    <row r="15">
      <c r="D15" s="194"/>
    </row>
    <row r="16">
      <c r="D16" s="194"/>
    </row>
    <row r="17">
      <c r="D17" s="194"/>
    </row>
    <row r="18">
      <c r="D18" s="194"/>
    </row>
    <row r="19">
      <c r="D19" s="194"/>
    </row>
    <row r="20">
      <c r="D20" s="194"/>
    </row>
    <row r="21">
      <c r="D21" s="194"/>
    </row>
    <row r="22">
      <c r="D22" s="194"/>
    </row>
    <row r="23">
      <c r="D23" s="194"/>
    </row>
    <row r="24">
      <c r="D24" s="194"/>
    </row>
    <row r="25">
      <c r="D25" s="194"/>
    </row>
    <row r="26">
      <c r="D26" s="194"/>
    </row>
    <row r="27">
      <c r="D27" s="194"/>
    </row>
    <row r="28">
      <c r="D28" s="194"/>
    </row>
    <row r="29">
      <c r="D29" s="194"/>
    </row>
    <row r="30">
      <c r="D30" s="194"/>
    </row>
    <row r="31">
      <c r="D31" s="194"/>
    </row>
    <row r="32">
      <c r="D32" s="194"/>
    </row>
    <row r="33">
      <c r="D33" s="194"/>
    </row>
    <row r="34">
      <c r="D34" s="194"/>
    </row>
    <row r="35">
      <c r="D35" s="194"/>
    </row>
    <row r="36">
      <c r="D36" s="194"/>
    </row>
    <row r="37">
      <c r="D37" s="194"/>
    </row>
    <row r="38">
      <c r="D38" s="194"/>
    </row>
    <row r="39">
      <c r="D39" s="194"/>
    </row>
    <row r="40">
      <c r="D40" s="194"/>
    </row>
    <row r="41">
      <c r="D41" s="194"/>
    </row>
    <row r="42">
      <c r="D42" s="194"/>
    </row>
    <row r="43">
      <c r="D43" s="194"/>
    </row>
    <row r="44">
      <c r="D44" s="194"/>
    </row>
    <row r="45">
      <c r="D45" s="194"/>
    </row>
    <row r="46">
      <c r="D46" s="194"/>
    </row>
    <row r="47">
      <c r="D47" s="194"/>
    </row>
    <row r="48">
      <c r="D48" s="194"/>
    </row>
    <row r="49">
      <c r="D49" s="194"/>
    </row>
    <row r="50">
      <c r="D50" s="194"/>
    </row>
    <row r="51">
      <c r="D51" s="194"/>
    </row>
    <row r="52">
      <c r="D52" s="194"/>
    </row>
    <row r="53">
      <c r="D53" s="194"/>
    </row>
    <row r="54">
      <c r="D54" s="194"/>
    </row>
    <row r="55">
      <c r="D55" s="194"/>
    </row>
    <row r="56">
      <c r="D56" s="194"/>
    </row>
    <row r="57">
      <c r="D57" s="194"/>
    </row>
    <row r="58">
      <c r="D58" s="194"/>
    </row>
    <row r="59">
      <c r="D59" s="194"/>
    </row>
    <row r="60">
      <c r="D60" s="194"/>
    </row>
    <row r="61">
      <c r="D61" s="194"/>
    </row>
    <row r="62">
      <c r="D62" s="194"/>
    </row>
    <row r="63">
      <c r="D63" s="194"/>
    </row>
    <row r="64">
      <c r="D64" s="194"/>
    </row>
    <row r="65">
      <c r="D65" s="194"/>
    </row>
    <row r="66">
      <c r="D66" s="194"/>
    </row>
    <row r="67">
      <c r="D67" s="194"/>
    </row>
    <row r="68">
      <c r="D68" s="194"/>
    </row>
    <row r="69">
      <c r="D69" s="194"/>
    </row>
    <row r="70">
      <c r="D70" s="194"/>
    </row>
    <row r="71">
      <c r="D71" s="194"/>
    </row>
    <row r="72">
      <c r="D72" s="194"/>
    </row>
    <row r="73">
      <c r="D73" s="194"/>
    </row>
    <row r="74">
      <c r="D74" s="194"/>
    </row>
    <row r="75">
      <c r="D75" s="194"/>
    </row>
    <row r="76">
      <c r="D76" s="194"/>
    </row>
    <row r="77">
      <c r="D77" s="194"/>
    </row>
    <row r="78">
      <c r="D78" s="194"/>
    </row>
    <row r="79">
      <c r="D79" s="194"/>
    </row>
    <row r="80">
      <c r="D80" s="194"/>
    </row>
    <row r="81">
      <c r="D81" s="194"/>
    </row>
    <row r="82">
      <c r="D82" s="194"/>
    </row>
    <row r="83">
      <c r="D83" s="194"/>
    </row>
    <row r="84">
      <c r="D84" s="194"/>
    </row>
    <row r="85">
      <c r="D85" s="194"/>
    </row>
    <row r="86">
      <c r="D86" s="194"/>
    </row>
    <row r="87">
      <c r="D87" s="194"/>
    </row>
    <row r="88">
      <c r="D88" s="194"/>
    </row>
    <row r="89">
      <c r="D89" s="194"/>
    </row>
    <row r="90">
      <c r="D90" s="194"/>
    </row>
    <row r="91">
      <c r="D91" s="194"/>
    </row>
    <row r="92">
      <c r="D92" s="194"/>
    </row>
    <row r="93">
      <c r="D93" s="194"/>
    </row>
    <row r="94">
      <c r="D94" s="194"/>
    </row>
    <row r="95">
      <c r="D95" s="194"/>
    </row>
    <row r="96">
      <c r="D96" s="194"/>
    </row>
    <row r="97">
      <c r="D97" s="194"/>
    </row>
    <row r="98">
      <c r="D98" s="194"/>
    </row>
    <row r="99">
      <c r="D99" s="194"/>
    </row>
    <row r="100">
      <c r="D100" s="194"/>
    </row>
    <row r="101">
      <c r="D101" s="194"/>
    </row>
    <row r="102">
      <c r="D102" s="194"/>
    </row>
    <row r="103">
      <c r="D103" s="194"/>
    </row>
    <row r="104">
      <c r="D104" s="194"/>
    </row>
    <row r="105">
      <c r="D105" s="194"/>
    </row>
    <row r="106">
      <c r="D106" s="194"/>
    </row>
    <row r="107">
      <c r="D107" s="194"/>
    </row>
    <row r="108">
      <c r="D108" s="194"/>
    </row>
    <row r="109">
      <c r="D109" s="194"/>
    </row>
    <row r="110">
      <c r="D110" s="194"/>
    </row>
    <row r="111">
      <c r="D111" s="194"/>
    </row>
    <row r="112">
      <c r="D112" s="194"/>
    </row>
    <row r="113">
      <c r="D113" s="194"/>
    </row>
    <row r="114">
      <c r="D114" s="194"/>
    </row>
    <row r="115">
      <c r="D115" s="194"/>
    </row>
    <row r="116">
      <c r="D116" s="194"/>
    </row>
    <row r="117">
      <c r="D117" s="194"/>
    </row>
    <row r="118">
      <c r="D118" s="194"/>
    </row>
    <row r="119">
      <c r="D119" s="194"/>
    </row>
    <row r="120">
      <c r="D120" s="194"/>
    </row>
    <row r="121">
      <c r="D121" s="194"/>
    </row>
    <row r="122">
      <c r="D122" s="194"/>
    </row>
    <row r="123">
      <c r="D123" s="194"/>
    </row>
    <row r="124">
      <c r="D124" s="194"/>
    </row>
    <row r="125">
      <c r="D125" s="194"/>
    </row>
    <row r="126">
      <c r="D126" s="194"/>
    </row>
    <row r="127">
      <c r="D127" s="194"/>
    </row>
    <row r="128">
      <c r="D128" s="194"/>
    </row>
    <row r="129">
      <c r="D129" s="194"/>
    </row>
    <row r="130">
      <c r="D130" s="194"/>
    </row>
    <row r="131">
      <c r="D131" s="194"/>
    </row>
    <row r="132">
      <c r="D132" s="194"/>
    </row>
    <row r="133">
      <c r="D133" s="194"/>
    </row>
    <row r="134">
      <c r="D134" s="194"/>
    </row>
    <row r="135">
      <c r="D135" s="194"/>
    </row>
    <row r="136">
      <c r="D136" s="194"/>
    </row>
    <row r="137">
      <c r="D137" s="194"/>
    </row>
    <row r="138">
      <c r="D138" s="194"/>
    </row>
    <row r="139">
      <c r="D139" s="194"/>
    </row>
    <row r="140">
      <c r="D140" s="194"/>
    </row>
    <row r="141">
      <c r="D141" s="194"/>
    </row>
    <row r="142">
      <c r="D142" s="194"/>
    </row>
    <row r="143">
      <c r="D143" s="194"/>
    </row>
    <row r="144">
      <c r="D144" s="194"/>
    </row>
    <row r="145">
      <c r="D145" s="194"/>
    </row>
    <row r="146">
      <c r="D146" s="194"/>
    </row>
    <row r="147">
      <c r="D147" s="194"/>
    </row>
    <row r="148">
      <c r="D148" s="194"/>
    </row>
    <row r="149">
      <c r="D149" s="194"/>
    </row>
    <row r="150">
      <c r="D150" s="194"/>
    </row>
    <row r="151">
      <c r="D151" s="194"/>
    </row>
    <row r="152">
      <c r="D152" s="194"/>
    </row>
    <row r="153">
      <c r="D153" s="194"/>
    </row>
    <row r="154">
      <c r="D154" s="194"/>
    </row>
    <row r="155">
      <c r="D155" s="194"/>
    </row>
    <row r="156">
      <c r="D156" s="194"/>
    </row>
    <row r="157">
      <c r="D157" s="194"/>
    </row>
    <row r="158">
      <c r="D158" s="194"/>
    </row>
    <row r="159">
      <c r="D159" s="194"/>
    </row>
    <row r="160">
      <c r="D160" s="194"/>
    </row>
    <row r="161">
      <c r="D161" s="194"/>
    </row>
    <row r="162">
      <c r="D162" s="194"/>
    </row>
    <row r="163">
      <c r="D163" s="194"/>
    </row>
    <row r="164">
      <c r="D164" s="194"/>
    </row>
    <row r="165">
      <c r="D165" s="194"/>
    </row>
    <row r="166">
      <c r="D166" s="194"/>
    </row>
    <row r="167">
      <c r="D167" s="194"/>
    </row>
    <row r="168">
      <c r="D168" s="194"/>
    </row>
    <row r="169">
      <c r="D169" s="194"/>
    </row>
    <row r="170">
      <c r="D170" s="194"/>
    </row>
    <row r="171">
      <c r="D171" s="194"/>
    </row>
    <row r="172">
      <c r="D172" s="194"/>
    </row>
    <row r="173">
      <c r="D173" s="194"/>
    </row>
    <row r="174">
      <c r="D174" s="194"/>
    </row>
    <row r="175">
      <c r="D175" s="194"/>
    </row>
    <row r="176">
      <c r="D176" s="194"/>
    </row>
    <row r="177">
      <c r="D177" s="194"/>
    </row>
    <row r="178">
      <c r="D178" s="194"/>
    </row>
    <row r="179">
      <c r="D179" s="194"/>
    </row>
    <row r="180">
      <c r="D180" s="194"/>
    </row>
    <row r="181">
      <c r="D181" s="194"/>
    </row>
    <row r="182">
      <c r="D182" s="194"/>
    </row>
    <row r="183">
      <c r="D183" s="194"/>
    </row>
    <row r="184">
      <c r="D184" s="194"/>
    </row>
    <row r="185">
      <c r="D185" s="194"/>
    </row>
    <row r="186">
      <c r="D186" s="194"/>
    </row>
    <row r="187">
      <c r="D187" s="194"/>
    </row>
    <row r="188">
      <c r="D188" s="194"/>
    </row>
    <row r="189">
      <c r="D189" s="194"/>
    </row>
    <row r="190">
      <c r="D190" s="194"/>
    </row>
    <row r="191">
      <c r="D191" s="194"/>
    </row>
    <row r="192">
      <c r="D192" s="194"/>
    </row>
    <row r="193">
      <c r="D193" s="194"/>
    </row>
    <row r="194">
      <c r="D194" s="194"/>
    </row>
    <row r="195">
      <c r="D195" s="194"/>
    </row>
    <row r="196">
      <c r="D196" s="194"/>
    </row>
    <row r="197">
      <c r="D197" s="194"/>
    </row>
    <row r="198">
      <c r="D198" s="194"/>
    </row>
    <row r="199">
      <c r="D199" s="194"/>
    </row>
    <row r="200">
      <c r="D200" s="194"/>
    </row>
    <row r="201">
      <c r="D201" s="194"/>
    </row>
    <row r="202">
      <c r="D202" s="194"/>
    </row>
    <row r="203">
      <c r="D203" s="194"/>
    </row>
    <row r="204">
      <c r="D204" s="194"/>
    </row>
    <row r="205">
      <c r="D205" s="194"/>
    </row>
    <row r="206">
      <c r="D206" s="194"/>
    </row>
    <row r="207">
      <c r="D207" s="194"/>
    </row>
    <row r="208">
      <c r="D208" s="194"/>
    </row>
    <row r="209">
      <c r="D209" s="194"/>
    </row>
    <row r="210">
      <c r="D210" s="194"/>
    </row>
    <row r="211">
      <c r="D211" s="194"/>
    </row>
    <row r="212">
      <c r="D212" s="194"/>
    </row>
    <row r="213">
      <c r="D213" s="194"/>
    </row>
    <row r="214">
      <c r="D214" s="194"/>
    </row>
    <row r="215">
      <c r="D215" s="194"/>
    </row>
    <row r="216">
      <c r="D216" s="194"/>
    </row>
    <row r="217">
      <c r="D217" s="194"/>
    </row>
    <row r="218">
      <c r="D218" s="194"/>
    </row>
    <row r="219">
      <c r="D219" s="194"/>
    </row>
    <row r="220">
      <c r="D220" s="194"/>
    </row>
    <row r="221">
      <c r="D221" s="194"/>
    </row>
    <row r="222">
      <c r="D222" s="194"/>
    </row>
    <row r="223">
      <c r="D223" s="194"/>
    </row>
    <row r="224">
      <c r="D224" s="194"/>
    </row>
    <row r="225">
      <c r="D225" s="194"/>
    </row>
    <row r="226">
      <c r="D226" s="194"/>
    </row>
    <row r="227">
      <c r="D227" s="194"/>
    </row>
    <row r="228">
      <c r="D228" s="194"/>
    </row>
    <row r="229">
      <c r="D229" s="194"/>
    </row>
    <row r="230">
      <c r="D230" s="194"/>
    </row>
    <row r="231">
      <c r="D231" s="194"/>
    </row>
    <row r="232">
      <c r="D232" s="194"/>
    </row>
    <row r="233">
      <c r="D233" s="194"/>
    </row>
    <row r="234">
      <c r="D234" s="194"/>
    </row>
    <row r="235">
      <c r="D235" s="194"/>
    </row>
    <row r="236">
      <c r="D236" s="194"/>
    </row>
    <row r="237">
      <c r="D237" s="194"/>
    </row>
    <row r="238">
      <c r="D238" s="194"/>
    </row>
    <row r="239">
      <c r="D239" s="194"/>
    </row>
    <row r="240">
      <c r="D240" s="194"/>
    </row>
    <row r="241">
      <c r="D241" s="194"/>
    </row>
    <row r="242">
      <c r="D242" s="194"/>
    </row>
    <row r="243">
      <c r="D243" s="194"/>
    </row>
    <row r="244">
      <c r="D244" s="194"/>
    </row>
    <row r="245">
      <c r="D245" s="194"/>
    </row>
    <row r="246">
      <c r="D246" s="194"/>
    </row>
    <row r="247">
      <c r="D247" s="194"/>
    </row>
    <row r="248">
      <c r="D248" s="194"/>
    </row>
    <row r="249">
      <c r="D249" s="194"/>
    </row>
    <row r="250">
      <c r="D250" s="194"/>
    </row>
    <row r="251">
      <c r="D251" s="194"/>
    </row>
    <row r="252">
      <c r="D252" s="194"/>
    </row>
    <row r="253">
      <c r="D253" s="194"/>
    </row>
    <row r="254">
      <c r="D254" s="194"/>
    </row>
    <row r="255">
      <c r="D255" s="194"/>
    </row>
    <row r="256">
      <c r="D256" s="194"/>
    </row>
    <row r="257">
      <c r="D257" s="194"/>
    </row>
    <row r="258">
      <c r="D258" s="194"/>
    </row>
    <row r="259">
      <c r="D259" s="194"/>
    </row>
    <row r="260">
      <c r="D260" s="194"/>
    </row>
    <row r="261">
      <c r="D261" s="194"/>
    </row>
    <row r="262">
      <c r="D262" s="194"/>
    </row>
    <row r="263">
      <c r="D263" s="194"/>
    </row>
    <row r="264">
      <c r="D264" s="194"/>
    </row>
    <row r="265">
      <c r="D265" s="194"/>
    </row>
    <row r="266">
      <c r="D266" s="194"/>
    </row>
    <row r="267">
      <c r="D267" s="194"/>
    </row>
    <row r="268">
      <c r="D268" s="194"/>
    </row>
    <row r="269">
      <c r="D269" s="194"/>
    </row>
    <row r="270">
      <c r="D270" s="194"/>
    </row>
    <row r="271">
      <c r="D271" s="194"/>
    </row>
    <row r="272">
      <c r="D272" s="194"/>
    </row>
    <row r="273">
      <c r="D273" s="194"/>
    </row>
    <row r="274">
      <c r="D274" s="194"/>
    </row>
    <row r="275">
      <c r="D275" s="194"/>
    </row>
    <row r="276">
      <c r="D276" s="194"/>
    </row>
    <row r="277">
      <c r="D277" s="194"/>
    </row>
    <row r="278">
      <c r="D278" s="194"/>
    </row>
    <row r="279">
      <c r="D279" s="194"/>
    </row>
    <row r="280">
      <c r="D280" s="194"/>
    </row>
    <row r="281">
      <c r="D281" s="194"/>
    </row>
    <row r="282">
      <c r="D282" s="194"/>
    </row>
    <row r="283">
      <c r="D283" s="194"/>
    </row>
    <row r="284">
      <c r="D284" s="194"/>
    </row>
    <row r="285">
      <c r="D285" s="194"/>
    </row>
    <row r="286">
      <c r="D286" s="194"/>
    </row>
    <row r="287">
      <c r="D287" s="194"/>
    </row>
    <row r="288">
      <c r="D288" s="194"/>
    </row>
    <row r="289">
      <c r="D289" s="194"/>
    </row>
    <row r="290">
      <c r="D290" s="194"/>
    </row>
    <row r="291">
      <c r="D291" s="194"/>
    </row>
    <row r="292">
      <c r="D292" s="194"/>
    </row>
    <row r="293">
      <c r="D293" s="194"/>
    </row>
    <row r="294">
      <c r="D294" s="194"/>
    </row>
    <row r="295">
      <c r="D295" s="194"/>
    </row>
    <row r="296">
      <c r="D296" s="194"/>
    </row>
    <row r="297">
      <c r="D297" s="194"/>
    </row>
    <row r="298">
      <c r="D298" s="194"/>
    </row>
    <row r="299">
      <c r="D299" s="194"/>
    </row>
    <row r="300">
      <c r="D300" s="194"/>
    </row>
    <row r="301">
      <c r="D301" s="194"/>
    </row>
    <row r="302">
      <c r="D302" s="194"/>
    </row>
    <row r="303">
      <c r="D303" s="194"/>
    </row>
    <row r="304">
      <c r="D304" s="194"/>
    </row>
    <row r="305">
      <c r="D305" s="194"/>
    </row>
    <row r="306">
      <c r="D306" s="194"/>
    </row>
    <row r="307">
      <c r="D307" s="194"/>
    </row>
    <row r="308">
      <c r="D308" s="194"/>
    </row>
    <row r="309">
      <c r="D309" s="194"/>
    </row>
    <row r="310">
      <c r="D310" s="194"/>
    </row>
    <row r="311">
      <c r="D311" s="194"/>
    </row>
    <row r="312">
      <c r="D312" s="194"/>
    </row>
    <row r="313">
      <c r="D313" s="194"/>
    </row>
    <row r="314">
      <c r="D314" s="194"/>
    </row>
    <row r="315">
      <c r="D315" s="194"/>
    </row>
    <row r="316">
      <c r="D316" s="194"/>
    </row>
    <row r="317">
      <c r="D317" s="194"/>
    </row>
    <row r="318">
      <c r="D318" s="194"/>
    </row>
    <row r="319">
      <c r="D319" s="194"/>
    </row>
    <row r="320">
      <c r="D320" s="194"/>
    </row>
    <row r="321">
      <c r="D321" s="194"/>
    </row>
    <row r="322">
      <c r="D322" s="194"/>
    </row>
    <row r="323">
      <c r="D323" s="194"/>
    </row>
    <row r="324">
      <c r="D324" s="194"/>
    </row>
    <row r="325">
      <c r="D325" s="194"/>
    </row>
    <row r="326">
      <c r="D326" s="194"/>
    </row>
    <row r="327">
      <c r="D327" s="194"/>
    </row>
    <row r="328">
      <c r="D328" s="194"/>
    </row>
    <row r="329">
      <c r="D329" s="194"/>
    </row>
    <row r="330">
      <c r="D330" s="194"/>
    </row>
    <row r="331">
      <c r="D331" s="194"/>
    </row>
    <row r="332">
      <c r="D332" s="194"/>
    </row>
    <row r="333">
      <c r="D333" s="194"/>
    </row>
    <row r="334">
      <c r="D334" s="194"/>
    </row>
    <row r="335">
      <c r="D335" s="194"/>
    </row>
    <row r="336">
      <c r="D336" s="194"/>
    </row>
    <row r="337">
      <c r="D337" s="194"/>
    </row>
    <row r="338">
      <c r="D338" s="194"/>
    </row>
    <row r="339">
      <c r="D339" s="194"/>
    </row>
    <row r="340">
      <c r="D340" s="194"/>
    </row>
    <row r="341">
      <c r="D341" s="194"/>
    </row>
    <row r="342">
      <c r="D342" s="194"/>
    </row>
    <row r="343">
      <c r="D343" s="194"/>
    </row>
    <row r="344">
      <c r="D344" s="194"/>
    </row>
    <row r="345">
      <c r="D345" s="194"/>
    </row>
    <row r="346">
      <c r="D346" s="194"/>
    </row>
    <row r="347">
      <c r="D347" s="194"/>
    </row>
    <row r="348">
      <c r="D348" s="194"/>
    </row>
    <row r="349">
      <c r="D349" s="194"/>
    </row>
    <row r="350">
      <c r="D350" s="194"/>
    </row>
    <row r="351">
      <c r="D351" s="194"/>
    </row>
    <row r="352">
      <c r="D352" s="194"/>
    </row>
    <row r="353">
      <c r="D353" s="194"/>
    </row>
    <row r="354">
      <c r="D354" s="194"/>
    </row>
    <row r="355">
      <c r="D355" s="194"/>
    </row>
    <row r="356">
      <c r="D356" s="194"/>
    </row>
    <row r="357">
      <c r="D357" s="194"/>
    </row>
    <row r="358">
      <c r="D358" s="194"/>
    </row>
    <row r="359">
      <c r="D359" s="194"/>
    </row>
    <row r="360">
      <c r="D360" s="194"/>
    </row>
    <row r="361">
      <c r="D361" s="194"/>
    </row>
    <row r="362">
      <c r="D362" s="194"/>
    </row>
    <row r="363">
      <c r="D363" s="194"/>
    </row>
    <row r="364">
      <c r="D364" s="194"/>
    </row>
    <row r="365">
      <c r="D365" s="194"/>
    </row>
    <row r="366">
      <c r="D366" s="194"/>
    </row>
    <row r="367">
      <c r="D367" s="194"/>
    </row>
    <row r="368">
      <c r="D368" s="194"/>
    </row>
    <row r="369">
      <c r="D369" s="194"/>
    </row>
    <row r="370">
      <c r="D370" s="194"/>
    </row>
    <row r="371">
      <c r="D371" s="194"/>
    </row>
    <row r="372">
      <c r="D372" s="194"/>
    </row>
    <row r="373">
      <c r="D373" s="194"/>
    </row>
    <row r="374">
      <c r="D374" s="194"/>
    </row>
    <row r="375">
      <c r="D375" s="194"/>
    </row>
    <row r="376">
      <c r="D376" s="194"/>
    </row>
    <row r="377">
      <c r="D377" s="194"/>
    </row>
    <row r="378">
      <c r="D378" s="194"/>
    </row>
    <row r="379">
      <c r="D379" s="194"/>
    </row>
    <row r="380">
      <c r="D380" s="194"/>
    </row>
    <row r="381">
      <c r="D381" s="194"/>
    </row>
    <row r="382">
      <c r="D382" s="194"/>
    </row>
    <row r="383">
      <c r="D383" s="194"/>
    </row>
    <row r="384">
      <c r="D384" s="194"/>
    </row>
    <row r="385">
      <c r="D385" s="194"/>
    </row>
    <row r="386">
      <c r="D386" s="194"/>
    </row>
    <row r="387">
      <c r="D387" s="194"/>
    </row>
    <row r="388">
      <c r="D388" s="194"/>
    </row>
    <row r="389">
      <c r="D389" s="194"/>
    </row>
    <row r="390">
      <c r="D390" s="194"/>
    </row>
    <row r="391">
      <c r="D391" s="194"/>
    </row>
    <row r="392">
      <c r="D392" s="194"/>
    </row>
    <row r="393">
      <c r="D393" s="194"/>
    </row>
    <row r="394">
      <c r="D394" s="194"/>
    </row>
    <row r="395">
      <c r="D395" s="194"/>
    </row>
    <row r="396">
      <c r="D396" s="194"/>
    </row>
    <row r="397">
      <c r="D397" s="194"/>
    </row>
    <row r="398">
      <c r="D398" s="194"/>
    </row>
    <row r="399">
      <c r="D399" s="194"/>
    </row>
    <row r="400">
      <c r="D400" s="194"/>
    </row>
    <row r="401">
      <c r="D401" s="194"/>
    </row>
    <row r="402">
      <c r="D402" s="194"/>
    </row>
    <row r="403">
      <c r="D403" s="194"/>
    </row>
    <row r="404">
      <c r="D404" s="194"/>
    </row>
    <row r="405">
      <c r="D405" s="194"/>
    </row>
    <row r="406">
      <c r="D406" s="194"/>
    </row>
    <row r="407">
      <c r="D407" s="194"/>
    </row>
    <row r="408">
      <c r="D408" s="194"/>
    </row>
    <row r="409">
      <c r="D409" s="194"/>
    </row>
    <row r="410">
      <c r="D410" s="194"/>
    </row>
    <row r="411">
      <c r="D411" s="194"/>
    </row>
    <row r="412">
      <c r="D412" s="194"/>
    </row>
    <row r="413">
      <c r="D413" s="194"/>
    </row>
    <row r="414">
      <c r="D414" s="194"/>
    </row>
    <row r="415">
      <c r="D415" s="194"/>
    </row>
    <row r="416">
      <c r="D416" s="194"/>
    </row>
    <row r="417">
      <c r="D417" s="194"/>
    </row>
    <row r="418">
      <c r="D418" s="194"/>
    </row>
    <row r="419">
      <c r="D419" s="194"/>
    </row>
    <row r="420">
      <c r="D420" s="194"/>
    </row>
    <row r="421">
      <c r="D421" s="194"/>
    </row>
    <row r="422">
      <c r="D422" s="194"/>
    </row>
    <row r="423">
      <c r="D423" s="194"/>
    </row>
    <row r="424">
      <c r="D424" s="194"/>
    </row>
    <row r="425">
      <c r="D425" s="194"/>
    </row>
    <row r="426">
      <c r="D426" s="194"/>
    </row>
    <row r="427">
      <c r="D427" s="194"/>
    </row>
    <row r="428">
      <c r="D428" s="194"/>
    </row>
    <row r="429">
      <c r="D429" s="194"/>
    </row>
    <row r="430">
      <c r="D430" s="194"/>
    </row>
    <row r="431">
      <c r="D431" s="194"/>
    </row>
    <row r="432">
      <c r="D432" s="194"/>
    </row>
    <row r="433">
      <c r="D433" s="194"/>
    </row>
    <row r="434">
      <c r="D434" s="194"/>
    </row>
    <row r="435">
      <c r="D435" s="194"/>
    </row>
    <row r="436">
      <c r="D436" s="194"/>
    </row>
    <row r="437">
      <c r="D437" s="194"/>
    </row>
    <row r="438">
      <c r="D438" s="194"/>
    </row>
    <row r="439">
      <c r="D439" s="194"/>
    </row>
    <row r="440">
      <c r="D440" s="194"/>
    </row>
    <row r="441">
      <c r="D441" s="194"/>
    </row>
    <row r="442">
      <c r="D442" s="194"/>
    </row>
    <row r="443">
      <c r="D443" s="194"/>
    </row>
    <row r="444">
      <c r="D444" s="194"/>
    </row>
    <row r="445">
      <c r="D445" s="194"/>
    </row>
    <row r="446">
      <c r="D446" s="194"/>
    </row>
    <row r="447">
      <c r="D447" s="194"/>
    </row>
    <row r="448">
      <c r="D448" s="194"/>
    </row>
    <row r="449">
      <c r="D449" s="194"/>
    </row>
    <row r="450">
      <c r="D450" s="194"/>
    </row>
    <row r="451">
      <c r="D451" s="194"/>
    </row>
    <row r="452">
      <c r="D452" s="194"/>
    </row>
    <row r="453">
      <c r="D453" s="194"/>
    </row>
    <row r="454">
      <c r="D454" s="194"/>
    </row>
    <row r="455">
      <c r="D455" s="194"/>
    </row>
    <row r="456">
      <c r="D456" s="194"/>
    </row>
    <row r="457">
      <c r="D457" s="194"/>
    </row>
    <row r="458">
      <c r="D458" s="194"/>
    </row>
    <row r="459">
      <c r="D459" s="194"/>
    </row>
    <row r="460">
      <c r="D460" s="194"/>
    </row>
    <row r="461">
      <c r="D461" s="194"/>
    </row>
    <row r="462">
      <c r="D462" s="194"/>
    </row>
    <row r="463">
      <c r="D463" s="194"/>
    </row>
    <row r="464">
      <c r="D464" s="194"/>
    </row>
    <row r="465">
      <c r="D465" s="194"/>
    </row>
    <row r="466">
      <c r="D466" s="194"/>
    </row>
    <row r="467">
      <c r="D467" s="194"/>
    </row>
    <row r="468">
      <c r="D468" s="194"/>
    </row>
    <row r="469">
      <c r="D469" s="194"/>
    </row>
    <row r="470">
      <c r="D470" s="194"/>
    </row>
    <row r="471">
      <c r="D471" s="194"/>
    </row>
    <row r="472">
      <c r="D472" s="194"/>
    </row>
    <row r="473">
      <c r="D473" s="194"/>
    </row>
    <row r="474">
      <c r="D474" s="194"/>
    </row>
    <row r="475">
      <c r="D475" s="194"/>
    </row>
    <row r="476">
      <c r="D476" s="194"/>
    </row>
    <row r="477">
      <c r="D477" s="194"/>
    </row>
    <row r="478">
      <c r="D478" s="194"/>
    </row>
    <row r="479">
      <c r="D479" s="194"/>
    </row>
    <row r="480">
      <c r="D480" s="194"/>
    </row>
    <row r="481">
      <c r="D481" s="194"/>
    </row>
    <row r="482">
      <c r="D482" s="194"/>
    </row>
    <row r="483">
      <c r="D483" s="194"/>
    </row>
    <row r="484">
      <c r="D484" s="194"/>
    </row>
    <row r="485">
      <c r="D485" s="194"/>
    </row>
    <row r="486">
      <c r="D486" s="194"/>
    </row>
    <row r="487">
      <c r="D487" s="194"/>
    </row>
    <row r="488">
      <c r="D488" s="194"/>
    </row>
    <row r="489">
      <c r="D489" s="194"/>
    </row>
    <row r="490">
      <c r="D490" s="194"/>
    </row>
    <row r="491">
      <c r="D491" s="194"/>
    </row>
    <row r="492">
      <c r="D492" s="194"/>
    </row>
    <row r="493">
      <c r="D493" s="194"/>
    </row>
    <row r="494">
      <c r="D494" s="194"/>
    </row>
    <row r="495">
      <c r="D495" s="194"/>
    </row>
    <row r="496">
      <c r="D496" s="194"/>
    </row>
    <row r="497">
      <c r="D497" s="194"/>
    </row>
    <row r="498">
      <c r="D498" s="194"/>
    </row>
    <row r="499">
      <c r="D499" s="194"/>
    </row>
    <row r="500">
      <c r="D500" s="194"/>
    </row>
    <row r="501">
      <c r="D501" s="194"/>
    </row>
    <row r="502">
      <c r="D502" s="194"/>
    </row>
    <row r="503">
      <c r="D503" s="194"/>
    </row>
    <row r="504">
      <c r="D504" s="194"/>
    </row>
    <row r="505">
      <c r="D505" s="194"/>
    </row>
    <row r="506">
      <c r="D506" s="194"/>
    </row>
    <row r="507">
      <c r="D507" s="194"/>
    </row>
    <row r="508">
      <c r="D508" s="194"/>
    </row>
    <row r="509">
      <c r="D509" s="194"/>
    </row>
    <row r="510">
      <c r="D510" s="194"/>
    </row>
    <row r="511">
      <c r="D511" s="194"/>
    </row>
    <row r="512">
      <c r="D512" s="194"/>
    </row>
    <row r="513">
      <c r="D513" s="194"/>
    </row>
    <row r="514">
      <c r="D514" s="194"/>
    </row>
    <row r="515">
      <c r="D515" s="194"/>
    </row>
    <row r="516">
      <c r="D516" s="194"/>
    </row>
    <row r="517">
      <c r="D517" s="194"/>
    </row>
    <row r="518">
      <c r="D518" s="194"/>
    </row>
    <row r="519">
      <c r="D519" s="194"/>
    </row>
    <row r="520">
      <c r="D520" s="194"/>
    </row>
    <row r="521">
      <c r="D521" s="194"/>
    </row>
    <row r="522">
      <c r="D522" s="194"/>
    </row>
    <row r="523">
      <c r="D523" s="194"/>
    </row>
    <row r="524">
      <c r="D524" s="194"/>
    </row>
    <row r="525">
      <c r="D525" s="194"/>
    </row>
    <row r="526">
      <c r="D526" s="194"/>
    </row>
    <row r="527">
      <c r="D527" s="194"/>
    </row>
    <row r="528">
      <c r="D528" s="194"/>
    </row>
    <row r="529">
      <c r="D529" s="194"/>
    </row>
    <row r="530">
      <c r="D530" s="194"/>
    </row>
    <row r="531">
      <c r="D531" s="194"/>
    </row>
    <row r="532">
      <c r="D532" s="194"/>
    </row>
    <row r="533">
      <c r="D533" s="194"/>
    </row>
    <row r="534">
      <c r="D534" s="194"/>
    </row>
    <row r="535">
      <c r="D535" s="194"/>
    </row>
    <row r="536">
      <c r="D536" s="194"/>
    </row>
    <row r="537">
      <c r="D537" s="194"/>
    </row>
    <row r="538">
      <c r="D538" s="194"/>
    </row>
    <row r="539">
      <c r="D539" s="194"/>
    </row>
    <row r="540">
      <c r="D540" s="194"/>
    </row>
    <row r="541">
      <c r="D541" s="194"/>
    </row>
    <row r="542">
      <c r="D542" s="194"/>
    </row>
    <row r="543">
      <c r="D543" s="194"/>
    </row>
    <row r="544">
      <c r="D544" s="194"/>
    </row>
    <row r="545">
      <c r="D545" s="194"/>
    </row>
    <row r="546">
      <c r="D546" s="194"/>
    </row>
    <row r="547">
      <c r="D547" s="194"/>
    </row>
    <row r="548">
      <c r="D548" s="194"/>
    </row>
    <row r="549">
      <c r="D549" s="194"/>
    </row>
    <row r="550">
      <c r="D550" s="194"/>
    </row>
    <row r="551">
      <c r="D551" s="194"/>
    </row>
    <row r="552">
      <c r="D552" s="194"/>
    </row>
    <row r="553">
      <c r="D553" s="194"/>
    </row>
    <row r="554">
      <c r="D554" s="194"/>
    </row>
    <row r="555">
      <c r="D555" s="194"/>
    </row>
    <row r="556">
      <c r="D556" s="194"/>
    </row>
    <row r="557">
      <c r="D557" s="194"/>
    </row>
    <row r="558">
      <c r="D558" s="194"/>
    </row>
    <row r="559">
      <c r="D559" s="194"/>
    </row>
    <row r="560">
      <c r="D560" s="194"/>
    </row>
    <row r="561">
      <c r="D561" s="194"/>
    </row>
    <row r="562">
      <c r="D562" s="194"/>
    </row>
    <row r="563">
      <c r="D563" s="194"/>
    </row>
    <row r="564">
      <c r="D564" s="194"/>
    </row>
    <row r="565">
      <c r="D565" s="194"/>
    </row>
    <row r="566">
      <c r="D566" s="194"/>
    </row>
    <row r="567">
      <c r="D567" s="194"/>
    </row>
    <row r="568">
      <c r="D568" s="194"/>
    </row>
    <row r="569">
      <c r="D569" s="194"/>
    </row>
    <row r="570">
      <c r="D570" s="194"/>
    </row>
    <row r="571">
      <c r="D571" s="194"/>
    </row>
    <row r="572">
      <c r="D572" s="194"/>
    </row>
    <row r="573">
      <c r="D573" s="194"/>
    </row>
    <row r="574">
      <c r="D574" s="194"/>
    </row>
    <row r="575">
      <c r="D575" s="194"/>
    </row>
    <row r="576">
      <c r="D576" s="194"/>
    </row>
    <row r="577">
      <c r="D577" s="194"/>
    </row>
    <row r="578">
      <c r="D578" s="194"/>
    </row>
    <row r="579">
      <c r="D579" s="194"/>
    </row>
    <row r="580">
      <c r="D580" s="194"/>
    </row>
    <row r="581">
      <c r="D581" s="194"/>
    </row>
    <row r="582">
      <c r="D582" s="194"/>
    </row>
    <row r="583">
      <c r="D583" s="194"/>
    </row>
    <row r="584">
      <c r="D584" s="194"/>
    </row>
    <row r="585">
      <c r="D585" s="194"/>
    </row>
    <row r="586">
      <c r="D586" s="194"/>
    </row>
    <row r="587">
      <c r="D587" s="194"/>
    </row>
    <row r="588">
      <c r="D588" s="194"/>
    </row>
    <row r="589">
      <c r="D589" s="194"/>
    </row>
    <row r="590">
      <c r="D590" s="194"/>
    </row>
    <row r="591">
      <c r="D591" s="194"/>
    </row>
    <row r="592">
      <c r="D592" s="194"/>
    </row>
    <row r="593">
      <c r="D593" s="194"/>
    </row>
    <row r="594">
      <c r="D594" s="194"/>
    </row>
    <row r="595">
      <c r="D595" s="194"/>
    </row>
    <row r="596">
      <c r="D596" s="194"/>
    </row>
    <row r="597">
      <c r="D597" s="194"/>
    </row>
    <row r="598">
      <c r="D598" s="194"/>
    </row>
    <row r="599">
      <c r="D599" s="194"/>
    </row>
    <row r="600">
      <c r="D600" s="194"/>
    </row>
    <row r="601">
      <c r="D601" s="194"/>
    </row>
    <row r="602">
      <c r="D602" s="194"/>
    </row>
    <row r="603">
      <c r="D603" s="194"/>
    </row>
    <row r="604">
      <c r="D604" s="194"/>
    </row>
    <row r="605">
      <c r="D605" s="194"/>
    </row>
    <row r="606">
      <c r="D606" s="194"/>
    </row>
    <row r="607">
      <c r="D607" s="194"/>
    </row>
    <row r="608">
      <c r="D608" s="194"/>
    </row>
    <row r="609">
      <c r="D609" s="194"/>
    </row>
    <row r="610">
      <c r="D610" s="194"/>
    </row>
    <row r="611">
      <c r="D611" s="194"/>
    </row>
    <row r="612">
      <c r="D612" s="194"/>
    </row>
    <row r="613">
      <c r="D613" s="194"/>
    </row>
    <row r="614">
      <c r="D614" s="194"/>
    </row>
    <row r="615">
      <c r="D615" s="194"/>
    </row>
    <row r="616">
      <c r="D616" s="194"/>
    </row>
    <row r="617">
      <c r="D617" s="194"/>
    </row>
    <row r="618">
      <c r="D618" s="194"/>
    </row>
    <row r="619">
      <c r="D619" s="194"/>
    </row>
    <row r="620">
      <c r="D620" s="194"/>
    </row>
    <row r="621">
      <c r="D621" s="194"/>
    </row>
    <row r="622">
      <c r="D622" s="194"/>
    </row>
    <row r="623">
      <c r="D623" s="194"/>
    </row>
    <row r="624">
      <c r="D624" s="194"/>
    </row>
    <row r="625">
      <c r="D625" s="194"/>
    </row>
    <row r="626">
      <c r="D626" s="194"/>
    </row>
    <row r="627">
      <c r="D627" s="194"/>
    </row>
    <row r="628">
      <c r="D628" s="194"/>
    </row>
    <row r="629">
      <c r="D629" s="194"/>
    </row>
    <row r="630">
      <c r="D630" s="194"/>
    </row>
    <row r="631">
      <c r="D631" s="194"/>
    </row>
    <row r="632">
      <c r="D632" s="194"/>
    </row>
    <row r="633">
      <c r="D633" s="194"/>
    </row>
    <row r="634">
      <c r="D634" s="194"/>
    </row>
    <row r="635">
      <c r="D635" s="194"/>
    </row>
    <row r="636">
      <c r="D636" s="194"/>
    </row>
    <row r="637">
      <c r="D637" s="194"/>
    </row>
    <row r="638">
      <c r="D638" s="194"/>
    </row>
    <row r="639">
      <c r="D639" s="194"/>
    </row>
    <row r="640">
      <c r="D640" s="194"/>
    </row>
    <row r="641">
      <c r="D641" s="194"/>
    </row>
    <row r="642">
      <c r="D642" s="194"/>
    </row>
    <row r="643">
      <c r="D643" s="194"/>
    </row>
    <row r="644">
      <c r="D644" s="194"/>
    </row>
    <row r="645">
      <c r="D645" s="194"/>
    </row>
    <row r="646">
      <c r="D646" s="194"/>
    </row>
    <row r="647">
      <c r="D647" s="194"/>
    </row>
    <row r="648">
      <c r="D648" s="194"/>
    </row>
    <row r="649">
      <c r="D649" s="194"/>
    </row>
    <row r="650">
      <c r="D650" s="194"/>
    </row>
    <row r="651">
      <c r="D651" s="194"/>
    </row>
    <row r="652">
      <c r="D652" s="194"/>
    </row>
    <row r="653">
      <c r="D653" s="194"/>
    </row>
    <row r="654">
      <c r="D654" s="194"/>
    </row>
    <row r="655">
      <c r="D655" s="194"/>
    </row>
    <row r="656">
      <c r="D656" s="194"/>
    </row>
    <row r="657">
      <c r="D657" s="194"/>
    </row>
    <row r="658">
      <c r="D658" s="194"/>
    </row>
    <row r="659">
      <c r="D659" s="194"/>
    </row>
    <row r="660">
      <c r="D660" s="194"/>
    </row>
    <row r="661">
      <c r="D661" s="194"/>
    </row>
    <row r="662">
      <c r="D662" s="194"/>
    </row>
    <row r="663">
      <c r="D663" s="194"/>
    </row>
    <row r="664">
      <c r="D664" s="194"/>
    </row>
    <row r="665">
      <c r="D665" s="194"/>
    </row>
    <row r="666">
      <c r="D666" s="194"/>
    </row>
    <row r="667">
      <c r="D667" s="194"/>
    </row>
    <row r="668">
      <c r="D668" s="194"/>
    </row>
    <row r="669">
      <c r="D669" s="194"/>
    </row>
    <row r="670">
      <c r="D670" s="194"/>
    </row>
    <row r="671">
      <c r="D671" s="194"/>
    </row>
    <row r="672">
      <c r="D672" s="194"/>
    </row>
    <row r="673">
      <c r="D673" s="194"/>
    </row>
    <row r="674">
      <c r="D674" s="194"/>
    </row>
    <row r="675">
      <c r="D675" s="194"/>
    </row>
    <row r="676">
      <c r="D676" s="194"/>
    </row>
    <row r="677">
      <c r="D677" s="194"/>
    </row>
    <row r="678">
      <c r="D678" s="194"/>
    </row>
    <row r="679">
      <c r="D679" s="194"/>
    </row>
    <row r="680">
      <c r="D680" s="194"/>
    </row>
    <row r="681">
      <c r="D681" s="194"/>
    </row>
    <row r="682">
      <c r="D682" s="194"/>
    </row>
    <row r="683">
      <c r="D683" s="194"/>
    </row>
    <row r="684">
      <c r="D684" s="194"/>
    </row>
    <row r="685">
      <c r="D685" s="194"/>
    </row>
    <row r="686">
      <c r="D686" s="194"/>
    </row>
    <row r="687">
      <c r="D687" s="194"/>
    </row>
    <row r="688">
      <c r="D688" s="194"/>
    </row>
    <row r="689">
      <c r="D689" s="194"/>
    </row>
    <row r="690">
      <c r="D690" s="194"/>
    </row>
    <row r="691">
      <c r="D691" s="194"/>
    </row>
    <row r="692">
      <c r="D692" s="194"/>
    </row>
    <row r="693">
      <c r="D693" s="194"/>
    </row>
    <row r="694">
      <c r="D694" s="194"/>
    </row>
    <row r="695">
      <c r="D695" s="194"/>
    </row>
    <row r="696">
      <c r="D696" s="194"/>
    </row>
    <row r="697">
      <c r="D697" s="194"/>
    </row>
    <row r="698">
      <c r="D698" s="194"/>
    </row>
    <row r="699">
      <c r="D699" s="194"/>
    </row>
    <row r="700">
      <c r="D700" s="194"/>
    </row>
    <row r="701">
      <c r="D701" s="194"/>
    </row>
    <row r="702">
      <c r="D702" s="194"/>
    </row>
    <row r="703">
      <c r="D703" s="194"/>
    </row>
    <row r="704">
      <c r="D704" s="194"/>
    </row>
    <row r="705">
      <c r="D705" s="194"/>
    </row>
    <row r="706">
      <c r="D706" s="194"/>
    </row>
    <row r="707">
      <c r="D707" s="194"/>
    </row>
    <row r="708">
      <c r="D708" s="194"/>
    </row>
    <row r="709">
      <c r="D709" s="194"/>
    </row>
    <row r="710">
      <c r="D710" s="194"/>
    </row>
    <row r="711">
      <c r="D711" s="194"/>
    </row>
    <row r="712">
      <c r="D712" s="194"/>
    </row>
    <row r="713">
      <c r="D713" s="194"/>
    </row>
    <row r="714">
      <c r="D714" s="194"/>
    </row>
    <row r="715">
      <c r="D715" s="194"/>
    </row>
    <row r="716">
      <c r="D716" s="194"/>
    </row>
    <row r="717">
      <c r="D717" s="194"/>
    </row>
    <row r="718">
      <c r="D718" s="194"/>
    </row>
    <row r="719">
      <c r="D719" s="194"/>
    </row>
    <row r="720">
      <c r="D720" s="194"/>
    </row>
    <row r="721">
      <c r="D721" s="194"/>
    </row>
    <row r="722">
      <c r="D722" s="194"/>
    </row>
    <row r="723">
      <c r="D723" s="194"/>
    </row>
    <row r="724">
      <c r="D724" s="194"/>
    </row>
    <row r="725">
      <c r="D725" s="194"/>
    </row>
    <row r="726">
      <c r="D726" s="194"/>
    </row>
    <row r="727">
      <c r="D727" s="194"/>
    </row>
    <row r="728">
      <c r="D728" s="194"/>
    </row>
    <row r="729">
      <c r="D729" s="194"/>
    </row>
    <row r="730">
      <c r="D730" s="194"/>
    </row>
    <row r="731">
      <c r="D731" s="194"/>
    </row>
    <row r="732">
      <c r="D732" s="194"/>
    </row>
    <row r="733">
      <c r="D733" s="194"/>
    </row>
    <row r="734">
      <c r="D734" s="194"/>
    </row>
    <row r="735">
      <c r="D735" s="194"/>
    </row>
    <row r="736">
      <c r="D736" s="194"/>
    </row>
    <row r="737">
      <c r="D737" s="194"/>
    </row>
    <row r="738">
      <c r="D738" s="194"/>
    </row>
    <row r="739">
      <c r="D739" s="194"/>
    </row>
    <row r="740">
      <c r="D740" s="194"/>
    </row>
    <row r="741">
      <c r="D741" s="194"/>
    </row>
    <row r="742">
      <c r="D742" s="194"/>
    </row>
    <row r="743">
      <c r="D743" s="194"/>
    </row>
    <row r="744">
      <c r="D744" s="194"/>
    </row>
    <row r="745">
      <c r="D745" s="194"/>
    </row>
    <row r="746">
      <c r="D746" s="194"/>
    </row>
    <row r="747">
      <c r="D747" s="194"/>
    </row>
    <row r="748">
      <c r="D748" s="194"/>
    </row>
    <row r="749">
      <c r="D749" s="194"/>
    </row>
    <row r="750">
      <c r="D750" s="194"/>
    </row>
    <row r="751">
      <c r="D751" s="194"/>
    </row>
    <row r="752">
      <c r="D752" s="194"/>
    </row>
    <row r="753">
      <c r="D753" s="194"/>
    </row>
    <row r="754">
      <c r="D754" s="194"/>
    </row>
    <row r="755">
      <c r="D755" s="194"/>
    </row>
    <row r="756">
      <c r="D756" s="194"/>
    </row>
    <row r="757">
      <c r="D757" s="194"/>
    </row>
    <row r="758">
      <c r="D758" s="194"/>
    </row>
    <row r="759">
      <c r="D759" s="194"/>
    </row>
    <row r="760">
      <c r="D760" s="194"/>
    </row>
    <row r="761">
      <c r="D761" s="194"/>
    </row>
    <row r="762">
      <c r="D762" s="194"/>
    </row>
    <row r="763">
      <c r="D763" s="194"/>
    </row>
    <row r="764">
      <c r="D764" s="194"/>
    </row>
    <row r="765">
      <c r="D765" s="194"/>
    </row>
    <row r="766">
      <c r="D766" s="194"/>
    </row>
    <row r="767">
      <c r="D767" s="194"/>
    </row>
    <row r="768">
      <c r="D768" s="194"/>
    </row>
    <row r="769">
      <c r="D769" s="194"/>
    </row>
    <row r="770">
      <c r="D770" s="194"/>
    </row>
    <row r="771">
      <c r="D771" s="194"/>
    </row>
    <row r="772">
      <c r="D772" s="194"/>
    </row>
    <row r="773">
      <c r="D773" s="194"/>
    </row>
    <row r="774">
      <c r="D774" s="194"/>
    </row>
    <row r="775">
      <c r="D775" s="194"/>
    </row>
    <row r="776">
      <c r="D776" s="194"/>
    </row>
    <row r="777">
      <c r="D777" s="194"/>
    </row>
    <row r="778">
      <c r="D778" s="194"/>
    </row>
    <row r="779">
      <c r="D779" s="194"/>
    </row>
    <row r="780">
      <c r="D780" s="194"/>
    </row>
    <row r="781">
      <c r="D781" s="194"/>
    </row>
    <row r="782">
      <c r="D782" s="194"/>
    </row>
    <row r="783">
      <c r="D783" s="194"/>
    </row>
    <row r="784">
      <c r="D784" s="194"/>
    </row>
    <row r="785">
      <c r="D785" s="194"/>
    </row>
    <row r="786">
      <c r="D786" s="194"/>
    </row>
    <row r="787">
      <c r="D787" s="194"/>
    </row>
    <row r="788">
      <c r="D788" s="194"/>
    </row>
    <row r="789">
      <c r="D789" s="194"/>
    </row>
    <row r="790">
      <c r="D790" s="194"/>
    </row>
    <row r="791">
      <c r="D791" s="194"/>
    </row>
    <row r="792">
      <c r="D792" s="194"/>
    </row>
    <row r="793">
      <c r="D793" s="194"/>
    </row>
    <row r="794">
      <c r="D794" s="194"/>
    </row>
    <row r="795">
      <c r="D795" s="194"/>
    </row>
    <row r="796">
      <c r="D796" s="194"/>
    </row>
    <row r="797">
      <c r="D797" s="194"/>
    </row>
    <row r="798">
      <c r="D798" s="194"/>
    </row>
    <row r="799">
      <c r="D799" s="194"/>
    </row>
    <row r="800">
      <c r="D800" s="194"/>
    </row>
    <row r="801">
      <c r="D801" s="194"/>
    </row>
    <row r="802">
      <c r="D802" s="194"/>
    </row>
    <row r="803">
      <c r="D803" s="194"/>
    </row>
    <row r="804">
      <c r="D804" s="194"/>
    </row>
    <row r="805">
      <c r="D805" s="194"/>
    </row>
    <row r="806">
      <c r="D806" s="194"/>
    </row>
    <row r="807">
      <c r="D807" s="194"/>
    </row>
    <row r="808">
      <c r="D808" s="194"/>
    </row>
    <row r="809">
      <c r="D809" s="194"/>
    </row>
    <row r="810">
      <c r="D810" s="194"/>
    </row>
    <row r="811">
      <c r="D811" s="194"/>
    </row>
    <row r="812">
      <c r="D812" s="194"/>
    </row>
    <row r="813">
      <c r="D813" s="194"/>
    </row>
    <row r="814">
      <c r="D814" s="194"/>
    </row>
    <row r="815">
      <c r="D815" s="194"/>
    </row>
    <row r="816">
      <c r="D816" s="194"/>
    </row>
    <row r="817">
      <c r="D817" s="194"/>
    </row>
    <row r="818">
      <c r="D818" s="194"/>
    </row>
    <row r="819">
      <c r="D819" s="194"/>
    </row>
    <row r="820">
      <c r="D820" s="194"/>
    </row>
    <row r="821">
      <c r="D821" s="194"/>
    </row>
    <row r="822">
      <c r="D822" s="194"/>
    </row>
    <row r="823">
      <c r="D823" s="194"/>
    </row>
    <row r="824">
      <c r="D824" s="194"/>
    </row>
    <row r="825">
      <c r="D825" s="194"/>
    </row>
    <row r="826">
      <c r="D826" s="194"/>
    </row>
    <row r="827">
      <c r="D827" s="194"/>
    </row>
    <row r="828">
      <c r="D828" s="194"/>
    </row>
    <row r="829">
      <c r="D829" s="194"/>
    </row>
    <row r="830">
      <c r="D830" s="194"/>
    </row>
    <row r="831">
      <c r="D831" s="194"/>
    </row>
    <row r="832">
      <c r="D832" s="194"/>
    </row>
    <row r="833">
      <c r="D833" s="194"/>
    </row>
    <row r="834">
      <c r="D834" s="194"/>
    </row>
    <row r="835">
      <c r="D835" s="194"/>
    </row>
    <row r="836">
      <c r="D836" s="194"/>
    </row>
    <row r="837">
      <c r="D837" s="194"/>
    </row>
    <row r="838">
      <c r="D838" s="194"/>
    </row>
    <row r="839">
      <c r="D839" s="194"/>
    </row>
    <row r="840">
      <c r="D840" s="194"/>
    </row>
    <row r="841">
      <c r="D841" s="194"/>
    </row>
    <row r="842">
      <c r="D842" s="194"/>
    </row>
    <row r="843">
      <c r="D843" s="194"/>
    </row>
    <row r="844">
      <c r="D844" s="194"/>
    </row>
    <row r="845">
      <c r="D845" s="194"/>
    </row>
    <row r="846">
      <c r="D846" s="194"/>
    </row>
    <row r="847">
      <c r="D847" s="194"/>
    </row>
    <row r="848">
      <c r="D848" s="194"/>
    </row>
    <row r="849">
      <c r="D849" s="194"/>
    </row>
    <row r="850">
      <c r="D850" s="194"/>
    </row>
    <row r="851">
      <c r="D851" s="194"/>
    </row>
    <row r="852">
      <c r="D852" s="194"/>
    </row>
    <row r="853">
      <c r="D853" s="194"/>
    </row>
    <row r="854">
      <c r="D854" s="194"/>
    </row>
    <row r="855">
      <c r="D855" s="194"/>
    </row>
    <row r="856">
      <c r="D856" s="194"/>
    </row>
    <row r="857">
      <c r="D857" s="194"/>
    </row>
    <row r="858">
      <c r="D858" s="194"/>
    </row>
    <row r="859">
      <c r="D859" s="194"/>
    </row>
    <row r="860">
      <c r="D860" s="194"/>
    </row>
    <row r="861">
      <c r="D861" s="194"/>
    </row>
    <row r="862">
      <c r="D862" s="194"/>
    </row>
    <row r="863">
      <c r="D863" s="194"/>
    </row>
    <row r="864">
      <c r="D864" s="194"/>
    </row>
    <row r="865">
      <c r="D865" s="194"/>
    </row>
    <row r="866">
      <c r="D866" s="194"/>
    </row>
    <row r="867">
      <c r="D867" s="194"/>
    </row>
    <row r="868">
      <c r="D868" s="194"/>
    </row>
    <row r="869">
      <c r="D869" s="194"/>
    </row>
    <row r="870">
      <c r="D870" s="194"/>
    </row>
    <row r="871">
      <c r="D871" s="194"/>
    </row>
    <row r="872">
      <c r="D872" s="194"/>
    </row>
    <row r="873">
      <c r="D873" s="194"/>
    </row>
    <row r="874">
      <c r="D874" s="194"/>
    </row>
    <row r="875">
      <c r="D875" s="194"/>
    </row>
    <row r="876">
      <c r="D876" s="194"/>
    </row>
    <row r="877">
      <c r="D877" s="194"/>
    </row>
    <row r="878">
      <c r="D878" s="194"/>
    </row>
    <row r="879">
      <c r="D879" s="194"/>
    </row>
    <row r="880">
      <c r="D880" s="194"/>
    </row>
    <row r="881">
      <c r="D881" s="194"/>
    </row>
    <row r="882">
      <c r="D882" s="194"/>
    </row>
    <row r="883">
      <c r="D883" s="194"/>
    </row>
    <row r="884">
      <c r="D884" s="194"/>
    </row>
    <row r="885">
      <c r="D885" s="194"/>
    </row>
    <row r="886">
      <c r="D886" s="194"/>
    </row>
    <row r="887">
      <c r="D887" s="194"/>
    </row>
    <row r="888">
      <c r="D888" s="194"/>
    </row>
    <row r="889">
      <c r="D889" s="194"/>
    </row>
    <row r="890">
      <c r="D890" s="194"/>
    </row>
    <row r="891">
      <c r="D891" s="194"/>
    </row>
    <row r="892">
      <c r="D892" s="194"/>
    </row>
    <row r="893">
      <c r="D893" s="194"/>
    </row>
    <row r="894">
      <c r="D894" s="194"/>
    </row>
    <row r="895">
      <c r="D895" s="194"/>
    </row>
    <row r="896">
      <c r="D896" s="194"/>
    </row>
    <row r="897">
      <c r="D897" s="194"/>
    </row>
    <row r="898">
      <c r="D898" s="194"/>
    </row>
    <row r="899">
      <c r="D899" s="194"/>
    </row>
    <row r="900">
      <c r="D900" s="194"/>
    </row>
    <row r="901">
      <c r="D901" s="194"/>
    </row>
    <row r="902">
      <c r="D902" s="194"/>
    </row>
    <row r="903">
      <c r="D903" s="194"/>
    </row>
    <row r="904">
      <c r="D904" s="194"/>
    </row>
    <row r="905">
      <c r="D905" s="194"/>
    </row>
    <row r="906">
      <c r="D906" s="194"/>
    </row>
    <row r="907">
      <c r="D907" s="194"/>
    </row>
    <row r="908">
      <c r="D908" s="194"/>
    </row>
    <row r="909">
      <c r="D909" s="194"/>
    </row>
    <row r="910">
      <c r="D910" s="194"/>
    </row>
    <row r="911">
      <c r="D911" s="194"/>
    </row>
    <row r="912">
      <c r="D912" s="194"/>
    </row>
    <row r="913">
      <c r="D913" s="194"/>
    </row>
    <row r="914">
      <c r="D914" s="194"/>
    </row>
    <row r="915">
      <c r="D915" s="194"/>
    </row>
    <row r="916">
      <c r="D916" s="194"/>
    </row>
    <row r="917">
      <c r="D917" s="194"/>
    </row>
    <row r="918">
      <c r="D918" s="194"/>
    </row>
    <row r="919">
      <c r="D919" s="194"/>
    </row>
    <row r="920">
      <c r="D920" s="194"/>
    </row>
    <row r="921">
      <c r="D921" s="194"/>
    </row>
    <row r="922">
      <c r="D922" s="194"/>
    </row>
    <row r="923">
      <c r="D923" s="194"/>
    </row>
    <row r="924">
      <c r="D924" s="194"/>
    </row>
    <row r="925">
      <c r="D925" s="194"/>
    </row>
    <row r="926">
      <c r="D926" s="194"/>
    </row>
    <row r="927">
      <c r="D927" s="194"/>
    </row>
    <row r="928">
      <c r="D928" s="194"/>
    </row>
    <row r="929">
      <c r="D929" s="194"/>
    </row>
    <row r="930">
      <c r="D930" s="194"/>
    </row>
    <row r="931">
      <c r="D931" s="194"/>
    </row>
    <row r="932">
      <c r="D932" s="194"/>
    </row>
    <row r="933">
      <c r="D933" s="194"/>
    </row>
    <row r="934">
      <c r="D934" s="194"/>
    </row>
    <row r="935">
      <c r="D935" s="194"/>
    </row>
    <row r="936">
      <c r="D936" s="194"/>
    </row>
    <row r="937">
      <c r="D937" s="194"/>
    </row>
    <row r="938">
      <c r="D938" s="194"/>
    </row>
    <row r="939">
      <c r="D939" s="194"/>
    </row>
    <row r="940">
      <c r="D940" s="194"/>
    </row>
    <row r="941">
      <c r="D941" s="194"/>
    </row>
    <row r="942">
      <c r="D942" s="194"/>
    </row>
    <row r="943">
      <c r="D943" s="194"/>
    </row>
    <row r="944">
      <c r="D944" s="194"/>
    </row>
    <row r="945">
      <c r="D945" s="194"/>
    </row>
    <row r="946">
      <c r="D946" s="194"/>
    </row>
    <row r="947">
      <c r="D947" s="194"/>
    </row>
    <row r="948">
      <c r="D948" s="194"/>
    </row>
    <row r="949">
      <c r="D949" s="194"/>
    </row>
    <row r="950">
      <c r="D950" s="194"/>
    </row>
    <row r="951">
      <c r="D951" s="194"/>
    </row>
    <row r="952">
      <c r="D952" s="194"/>
    </row>
    <row r="953">
      <c r="D953" s="194"/>
    </row>
    <row r="954">
      <c r="D954" s="194"/>
    </row>
    <row r="955">
      <c r="D955" s="194"/>
    </row>
    <row r="956">
      <c r="D956" s="194"/>
    </row>
    <row r="957">
      <c r="D957" s="194"/>
    </row>
    <row r="958">
      <c r="D958" s="194"/>
    </row>
    <row r="959">
      <c r="D959" s="194"/>
    </row>
    <row r="960">
      <c r="D960" s="194"/>
    </row>
    <row r="961">
      <c r="D961" s="194"/>
    </row>
    <row r="962">
      <c r="D962" s="194"/>
    </row>
    <row r="963">
      <c r="D963" s="194"/>
    </row>
    <row r="964">
      <c r="D964" s="194"/>
    </row>
    <row r="965">
      <c r="D965" s="194"/>
    </row>
    <row r="966">
      <c r="D966" s="194"/>
    </row>
    <row r="967">
      <c r="D967" s="194"/>
    </row>
    <row r="968">
      <c r="D968" s="194"/>
    </row>
    <row r="969">
      <c r="D969" s="194"/>
    </row>
    <row r="970">
      <c r="D970" s="194"/>
    </row>
    <row r="971">
      <c r="D971" s="194"/>
    </row>
    <row r="972">
      <c r="D972" s="194"/>
    </row>
    <row r="973">
      <c r="D973" s="194"/>
    </row>
    <row r="974">
      <c r="D974" s="194"/>
    </row>
    <row r="975">
      <c r="D975" s="194"/>
    </row>
    <row r="976">
      <c r="D976" s="194"/>
    </row>
    <row r="977">
      <c r="D977" s="194"/>
    </row>
    <row r="978">
      <c r="D978" s="194"/>
    </row>
    <row r="979">
      <c r="D979" s="194"/>
    </row>
    <row r="980">
      <c r="D980" s="194"/>
    </row>
    <row r="981">
      <c r="D981" s="194"/>
    </row>
    <row r="982">
      <c r="D982" s="194"/>
    </row>
    <row r="983">
      <c r="D983" s="194"/>
    </row>
    <row r="984">
      <c r="D984" s="194"/>
    </row>
    <row r="985">
      <c r="D985" s="194"/>
    </row>
    <row r="986">
      <c r="D986" s="194"/>
    </row>
    <row r="987">
      <c r="D987" s="194"/>
    </row>
    <row r="988">
      <c r="D988" s="194"/>
    </row>
    <row r="989">
      <c r="D989" s="194"/>
    </row>
    <row r="990">
      <c r="D990" s="194"/>
    </row>
    <row r="991">
      <c r="D991" s="194"/>
    </row>
    <row r="992">
      <c r="D992" s="194"/>
    </row>
    <row r="993">
      <c r="D993" s="194"/>
    </row>
    <row r="994">
      <c r="D994" s="194"/>
    </row>
    <row r="995">
      <c r="D995" s="194"/>
    </row>
    <row r="996">
      <c r="D996" s="194"/>
    </row>
    <row r="997">
      <c r="D997" s="194"/>
    </row>
    <row r="998">
      <c r="D998" s="194"/>
    </row>
    <row r="999">
      <c r="D999" s="194"/>
    </row>
    <row r="1000">
      <c r="D1000" s="19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0.0"/>
    <col customWidth="1" min="3" max="3" width="12.0"/>
    <col customWidth="1" min="4" max="4" width="28.0"/>
    <col customWidth="1" min="5" max="5" width="14.0"/>
    <col customWidth="1" min="6" max="6" width="20.0"/>
    <col customWidth="1" min="7" max="7" width="12.0"/>
    <col customWidth="1" min="8" max="8" width="18.0"/>
  </cols>
  <sheetData>
    <row r="1">
      <c r="A1" s="195" t="s">
        <v>44</v>
      </c>
      <c r="B1" s="195" t="s">
        <v>14</v>
      </c>
      <c r="C1" s="196" t="s">
        <v>123</v>
      </c>
      <c r="D1" s="195" t="s">
        <v>124</v>
      </c>
      <c r="E1" s="195" t="s">
        <v>841</v>
      </c>
      <c r="F1" s="195" t="s">
        <v>842</v>
      </c>
      <c r="G1" s="195" t="s">
        <v>50</v>
      </c>
      <c r="H1" s="195" t="s">
        <v>45</v>
      </c>
    </row>
    <row r="2">
      <c r="A2" s="197" t="s">
        <v>51</v>
      </c>
      <c r="B2" s="197" t="s">
        <v>21</v>
      </c>
      <c r="C2" s="198" t="s">
        <v>296</v>
      </c>
      <c r="D2" s="197" t="s">
        <v>297</v>
      </c>
      <c r="E2" s="199">
        <v>1.0</v>
      </c>
      <c r="F2" s="200">
        <v>45700.41666666667</v>
      </c>
      <c r="G2" s="197" t="s">
        <v>843</v>
      </c>
      <c r="H2" s="197" t="s">
        <v>844</v>
      </c>
    </row>
    <row r="3">
      <c r="A3" s="197" t="s">
        <v>51</v>
      </c>
      <c r="B3" s="197" t="s">
        <v>21</v>
      </c>
      <c r="C3" s="198" t="s">
        <v>296</v>
      </c>
      <c r="D3" s="197" t="s">
        <v>297</v>
      </c>
      <c r="E3" s="199">
        <v>2.0</v>
      </c>
      <c r="F3" s="200">
        <v>45712.45833333333</v>
      </c>
      <c r="G3" s="197" t="s">
        <v>845</v>
      </c>
      <c r="H3" s="197" t="s">
        <v>844</v>
      </c>
    </row>
    <row r="4">
      <c r="A4" s="197" t="s">
        <v>51</v>
      </c>
      <c r="B4" s="197" t="s">
        <v>21</v>
      </c>
      <c r="C4" s="198" t="s">
        <v>296</v>
      </c>
      <c r="D4" s="197" t="s">
        <v>297</v>
      </c>
      <c r="E4" s="199">
        <v>3.0</v>
      </c>
      <c r="F4" s="200">
        <v>45763.58333333333</v>
      </c>
      <c r="G4" s="197" t="s">
        <v>845</v>
      </c>
      <c r="H4" s="197" t="s">
        <v>844</v>
      </c>
    </row>
    <row r="5">
      <c r="A5" s="197" t="s">
        <v>51</v>
      </c>
      <c r="B5" s="197" t="s">
        <v>21</v>
      </c>
      <c r="C5" s="198" t="s">
        <v>296</v>
      </c>
      <c r="D5" s="197" t="s">
        <v>297</v>
      </c>
      <c r="E5" s="199">
        <v>4.0</v>
      </c>
      <c r="F5" s="200">
        <v>45770.54166666667</v>
      </c>
      <c r="G5" s="197" t="s">
        <v>845</v>
      </c>
      <c r="H5" s="197" t="s">
        <v>844</v>
      </c>
    </row>
    <row r="6">
      <c r="A6" s="197" t="s">
        <v>51</v>
      </c>
      <c r="B6" s="197" t="s">
        <v>21</v>
      </c>
      <c r="C6" s="198" t="s">
        <v>296</v>
      </c>
      <c r="D6" s="197" t="s">
        <v>297</v>
      </c>
      <c r="E6" s="199">
        <v>5.0</v>
      </c>
      <c r="F6" s="200">
        <v>45784.45833333333</v>
      </c>
      <c r="G6" s="197" t="s">
        <v>845</v>
      </c>
      <c r="H6" s="197" t="s">
        <v>844</v>
      </c>
    </row>
    <row r="7">
      <c r="A7" s="197" t="s">
        <v>51</v>
      </c>
      <c r="B7" s="197" t="s">
        <v>21</v>
      </c>
      <c r="C7" s="198" t="s">
        <v>296</v>
      </c>
      <c r="D7" s="197" t="s">
        <v>297</v>
      </c>
      <c r="E7" s="199">
        <v>6.0</v>
      </c>
      <c r="F7" s="200">
        <v>45819.58333333333</v>
      </c>
      <c r="G7" s="197" t="s">
        <v>845</v>
      </c>
      <c r="H7" s="197" t="s">
        <v>844</v>
      </c>
    </row>
    <row r="8">
      <c r="A8" s="197" t="s">
        <v>51</v>
      </c>
      <c r="B8" s="197" t="s">
        <v>21</v>
      </c>
      <c r="C8" s="198" t="s">
        <v>296</v>
      </c>
      <c r="D8" s="197" t="s">
        <v>297</v>
      </c>
      <c r="E8" s="199">
        <v>7.0</v>
      </c>
      <c r="F8" s="200">
        <v>45824.54166666667</v>
      </c>
      <c r="G8" s="197" t="s">
        <v>845</v>
      </c>
      <c r="H8" s="197" t="s">
        <v>844</v>
      </c>
    </row>
    <row r="9">
      <c r="A9" s="197" t="s">
        <v>51</v>
      </c>
      <c r="B9" s="197" t="s">
        <v>21</v>
      </c>
      <c r="C9" s="198" t="s">
        <v>296</v>
      </c>
      <c r="D9" s="197" t="s">
        <v>297</v>
      </c>
      <c r="E9" s="199">
        <v>8.0</v>
      </c>
      <c r="F9" s="200">
        <v>45831.54166666667</v>
      </c>
      <c r="G9" s="197" t="s">
        <v>845</v>
      </c>
      <c r="H9" s="197" t="s">
        <v>844</v>
      </c>
    </row>
    <row r="10">
      <c r="A10" s="197" t="s">
        <v>51</v>
      </c>
      <c r="B10" s="197" t="s">
        <v>21</v>
      </c>
      <c r="C10" s="198" t="s">
        <v>296</v>
      </c>
      <c r="D10" s="197" t="s">
        <v>297</v>
      </c>
      <c r="E10" s="199">
        <v>9.0</v>
      </c>
      <c r="F10" s="200">
        <v>45840.54166666667</v>
      </c>
      <c r="G10" s="197" t="s">
        <v>845</v>
      </c>
      <c r="H10" s="197" t="s">
        <v>844</v>
      </c>
    </row>
    <row r="11">
      <c r="A11" s="197" t="s">
        <v>51</v>
      </c>
      <c r="B11" s="197" t="s">
        <v>21</v>
      </c>
      <c r="C11" s="198" t="s">
        <v>296</v>
      </c>
      <c r="D11" s="197" t="s">
        <v>297</v>
      </c>
      <c r="E11" s="199">
        <v>10.0</v>
      </c>
      <c r="F11" s="200">
        <v>45867.41666666667</v>
      </c>
      <c r="G11" s="197" t="s">
        <v>845</v>
      </c>
      <c r="H11" s="197" t="s">
        <v>844</v>
      </c>
    </row>
    <row r="12">
      <c r="A12" s="197" t="s">
        <v>51</v>
      </c>
      <c r="B12" s="197" t="s">
        <v>22</v>
      </c>
      <c r="C12" s="198" t="s">
        <v>296</v>
      </c>
      <c r="D12" s="197" t="s">
        <v>297</v>
      </c>
      <c r="E12" s="199">
        <v>1.0</v>
      </c>
      <c r="F12" s="200">
        <v>45889.45833333333</v>
      </c>
      <c r="G12" s="197" t="s">
        <v>845</v>
      </c>
      <c r="H12" s="197" t="s">
        <v>844</v>
      </c>
    </row>
    <row r="13">
      <c r="A13" s="197" t="s">
        <v>51</v>
      </c>
      <c r="B13" s="197" t="s">
        <v>22</v>
      </c>
      <c r="C13" s="198" t="s">
        <v>296</v>
      </c>
      <c r="D13" s="197" t="s">
        <v>297</v>
      </c>
      <c r="E13" s="199">
        <v>2.0</v>
      </c>
      <c r="F13" s="200">
        <v>45896.45833333333</v>
      </c>
      <c r="G13" s="197" t="s">
        <v>845</v>
      </c>
      <c r="H13" s="197" t="s">
        <v>844</v>
      </c>
    </row>
    <row r="14">
      <c r="A14" s="197" t="s">
        <v>51</v>
      </c>
      <c r="B14" s="197" t="s">
        <v>22</v>
      </c>
      <c r="C14" s="198" t="s">
        <v>296</v>
      </c>
      <c r="D14" s="197" t="s">
        <v>297</v>
      </c>
      <c r="E14" s="199">
        <v>4.0</v>
      </c>
      <c r="F14" s="200">
        <v>45922.54166666667</v>
      </c>
      <c r="G14" s="197" t="s">
        <v>845</v>
      </c>
      <c r="H14" s="197" t="s">
        <v>844</v>
      </c>
    </row>
    <row r="15">
      <c r="A15" s="197" t="s">
        <v>51</v>
      </c>
      <c r="B15" s="197" t="s">
        <v>22</v>
      </c>
      <c r="C15" s="198" t="s">
        <v>296</v>
      </c>
      <c r="D15" s="197" t="s">
        <v>297</v>
      </c>
      <c r="E15" s="199">
        <v>5.0</v>
      </c>
      <c r="F15" s="200">
        <v>45930.45833333333</v>
      </c>
      <c r="G15" s="197" t="s">
        <v>845</v>
      </c>
      <c r="H15" s="197" t="s">
        <v>844</v>
      </c>
    </row>
    <row r="16">
      <c r="A16" s="197" t="s">
        <v>51</v>
      </c>
      <c r="B16" s="197" t="s">
        <v>22</v>
      </c>
      <c r="C16" s="198" t="s">
        <v>296</v>
      </c>
      <c r="D16" s="197" t="s">
        <v>297</v>
      </c>
      <c r="E16" s="199">
        <v>6.0</v>
      </c>
      <c r="F16" s="200">
        <v>45937.45833333333</v>
      </c>
      <c r="G16" s="197" t="s">
        <v>845</v>
      </c>
      <c r="H16" s="197" t="s">
        <v>844</v>
      </c>
    </row>
    <row r="17">
      <c r="A17" s="197" t="s">
        <v>51</v>
      </c>
      <c r="B17" s="197" t="s">
        <v>22</v>
      </c>
      <c r="C17" s="198" t="s">
        <v>296</v>
      </c>
      <c r="D17" s="197" t="s">
        <v>297</v>
      </c>
      <c r="E17" s="199">
        <v>7.0</v>
      </c>
      <c r="F17" s="200">
        <v>45944.45833333333</v>
      </c>
      <c r="G17" s="197" t="s">
        <v>845</v>
      </c>
      <c r="H17" s="197" t="s">
        <v>844</v>
      </c>
    </row>
    <row r="18">
      <c r="A18" s="197" t="s">
        <v>51</v>
      </c>
      <c r="B18" s="197" t="s">
        <v>22</v>
      </c>
      <c r="C18" s="198" t="s">
        <v>296</v>
      </c>
      <c r="D18" s="197" t="s">
        <v>297</v>
      </c>
      <c r="E18" s="199">
        <v>8.0</v>
      </c>
      <c r="F18" s="200">
        <v>45950.45833333333</v>
      </c>
      <c r="G18" s="197" t="s">
        <v>845</v>
      </c>
      <c r="H18" s="197" t="s">
        <v>844</v>
      </c>
    </row>
    <row r="19">
      <c r="A19" s="197" t="s">
        <v>51</v>
      </c>
      <c r="B19" s="197" t="s">
        <v>22</v>
      </c>
      <c r="C19" s="198" t="s">
        <v>296</v>
      </c>
      <c r="D19" s="197" t="s">
        <v>297</v>
      </c>
      <c r="E19" s="199">
        <v>9.0</v>
      </c>
      <c r="F19" s="200">
        <v>45957.45833333333</v>
      </c>
      <c r="G19" s="197" t="s">
        <v>845</v>
      </c>
      <c r="H19" s="197" t="s">
        <v>844</v>
      </c>
    </row>
    <row r="20">
      <c r="A20" s="197" t="s">
        <v>51</v>
      </c>
      <c r="B20" s="197" t="s">
        <v>22</v>
      </c>
      <c r="C20" s="198" t="s">
        <v>296</v>
      </c>
      <c r="D20" s="197" t="s">
        <v>297</v>
      </c>
      <c r="E20" s="199">
        <v>10.0</v>
      </c>
      <c r="F20" s="200">
        <v>45965.45833333333</v>
      </c>
      <c r="G20" s="197" t="s">
        <v>845</v>
      </c>
      <c r="H20" s="197" t="s">
        <v>844</v>
      </c>
    </row>
    <row r="21" ht="15.75" customHeight="1">
      <c r="A21" s="197" t="s">
        <v>51</v>
      </c>
      <c r="B21" s="197" t="s">
        <v>22</v>
      </c>
      <c r="C21" s="198" t="s">
        <v>296</v>
      </c>
      <c r="D21" s="197" t="s">
        <v>297</v>
      </c>
      <c r="E21" s="199">
        <v>11.0</v>
      </c>
      <c r="F21" s="200">
        <v>45972.45833333333</v>
      </c>
      <c r="G21" s="197" t="s">
        <v>845</v>
      </c>
      <c r="H21" s="197" t="s">
        <v>844</v>
      </c>
    </row>
    <row r="22" ht="15.75" customHeight="1">
      <c r="A22" s="197" t="s">
        <v>51</v>
      </c>
      <c r="B22" s="197" t="s">
        <v>22</v>
      </c>
      <c r="C22" s="198" t="s">
        <v>296</v>
      </c>
      <c r="D22" s="197" t="s">
        <v>297</v>
      </c>
      <c r="E22" s="199">
        <v>12.0</v>
      </c>
      <c r="F22" s="200">
        <v>45979.45833333333</v>
      </c>
      <c r="G22" s="197" t="s">
        <v>845</v>
      </c>
      <c r="H22" s="197" t="s">
        <v>844</v>
      </c>
    </row>
    <row r="23" ht="15.75" customHeight="1">
      <c r="A23" s="197" t="s">
        <v>51</v>
      </c>
      <c r="B23" s="197" t="s">
        <v>22</v>
      </c>
      <c r="C23" s="198" t="s">
        <v>296</v>
      </c>
      <c r="D23" s="197" t="s">
        <v>297</v>
      </c>
      <c r="E23" s="199">
        <v>13.0</v>
      </c>
      <c r="F23" s="200">
        <v>45986.45833333333</v>
      </c>
      <c r="G23" s="197" t="s">
        <v>843</v>
      </c>
      <c r="H23" s="197" t="s">
        <v>844</v>
      </c>
    </row>
    <row r="24" ht="15.75" customHeight="1">
      <c r="A24" s="197" t="s">
        <v>51</v>
      </c>
      <c r="B24" s="197" t="s">
        <v>22</v>
      </c>
      <c r="C24" s="198" t="s">
        <v>296</v>
      </c>
      <c r="D24" s="197" t="s">
        <v>297</v>
      </c>
      <c r="E24" s="199">
        <v>14.0</v>
      </c>
      <c r="F24" s="200">
        <v>45993.41666666667</v>
      </c>
      <c r="G24" s="197" t="s">
        <v>845</v>
      </c>
      <c r="H24" s="197" t="s">
        <v>844</v>
      </c>
    </row>
    <row r="25" ht="15.75" customHeight="1">
      <c r="A25" s="197" t="s">
        <v>51</v>
      </c>
      <c r="B25" s="197" t="s">
        <v>22</v>
      </c>
      <c r="C25" s="198" t="s">
        <v>296</v>
      </c>
      <c r="D25" s="197" t="s">
        <v>297</v>
      </c>
      <c r="E25" s="199">
        <v>15.0</v>
      </c>
      <c r="F25" s="200">
        <v>46000.45833333333</v>
      </c>
      <c r="G25" s="197" t="s">
        <v>845</v>
      </c>
      <c r="H25" s="197" t="s">
        <v>844</v>
      </c>
    </row>
    <row r="26" ht="15.75" customHeight="1">
      <c r="A26" s="197" t="s">
        <v>51</v>
      </c>
      <c r="B26" s="197" t="s">
        <v>22</v>
      </c>
      <c r="C26" s="198" t="s">
        <v>296</v>
      </c>
      <c r="D26" s="197" t="s">
        <v>297</v>
      </c>
      <c r="E26" s="199">
        <v>16.0</v>
      </c>
      <c r="F26" s="200">
        <v>46042.41666666667</v>
      </c>
      <c r="G26" s="197" t="s">
        <v>845</v>
      </c>
      <c r="H26" s="197" t="s">
        <v>844</v>
      </c>
    </row>
    <row r="27" ht="15.75" customHeight="1">
      <c r="A27" s="197" t="s">
        <v>51</v>
      </c>
      <c r="B27" s="197" t="s">
        <v>21</v>
      </c>
      <c r="C27" s="198" t="s">
        <v>319</v>
      </c>
      <c r="D27" s="197" t="s">
        <v>320</v>
      </c>
      <c r="E27" s="199">
        <v>1.0</v>
      </c>
      <c r="F27" s="200">
        <v>45700.41666666667</v>
      </c>
      <c r="G27" s="197" t="s">
        <v>843</v>
      </c>
      <c r="H27" s="197" t="s">
        <v>844</v>
      </c>
    </row>
    <row r="28" ht="15.75" customHeight="1">
      <c r="A28" s="197" t="s">
        <v>51</v>
      </c>
      <c r="B28" s="197" t="s">
        <v>21</v>
      </c>
      <c r="C28" s="198" t="s">
        <v>319</v>
      </c>
      <c r="D28" s="197" t="s">
        <v>320</v>
      </c>
      <c r="E28" s="199">
        <v>2.0</v>
      </c>
      <c r="F28" s="200">
        <v>45712.45833333333</v>
      </c>
      <c r="G28" s="197" t="s">
        <v>843</v>
      </c>
      <c r="H28" s="197" t="s">
        <v>844</v>
      </c>
    </row>
    <row r="29" ht="15.75" customHeight="1">
      <c r="A29" s="197" t="s">
        <v>51</v>
      </c>
      <c r="B29" s="197" t="s">
        <v>21</v>
      </c>
      <c r="C29" s="198" t="s">
        <v>319</v>
      </c>
      <c r="D29" s="197" t="s">
        <v>320</v>
      </c>
      <c r="E29" s="199">
        <v>3.0</v>
      </c>
      <c r="F29" s="200">
        <v>45763.58333333333</v>
      </c>
      <c r="G29" s="197" t="s">
        <v>845</v>
      </c>
      <c r="H29" s="197" t="s">
        <v>844</v>
      </c>
    </row>
    <row r="30" ht="15.75" customHeight="1">
      <c r="A30" s="197" t="s">
        <v>51</v>
      </c>
      <c r="B30" s="197" t="s">
        <v>21</v>
      </c>
      <c r="C30" s="198" t="s">
        <v>319</v>
      </c>
      <c r="D30" s="197" t="s">
        <v>320</v>
      </c>
      <c r="E30" s="199">
        <v>4.0</v>
      </c>
      <c r="F30" s="200">
        <v>45770.54166666667</v>
      </c>
      <c r="G30" s="197" t="s">
        <v>845</v>
      </c>
      <c r="H30" s="197" t="s">
        <v>844</v>
      </c>
    </row>
    <row r="31" ht="15.75" customHeight="1">
      <c r="A31" s="197" t="s">
        <v>51</v>
      </c>
      <c r="B31" s="197" t="s">
        <v>21</v>
      </c>
      <c r="C31" s="198" t="s">
        <v>319</v>
      </c>
      <c r="D31" s="197" t="s">
        <v>320</v>
      </c>
      <c r="E31" s="199">
        <v>5.0</v>
      </c>
      <c r="F31" s="200">
        <v>45784.45833333333</v>
      </c>
      <c r="G31" s="197" t="s">
        <v>845</v>
      </c>
      <c r="H31" s="197" t="s">
        <v>844</v>
      </c>
    </row>
    <row r="32" ht="15.75" customHeight="1">
      <c r="A32" s="197" t="s">
        <v>51</v>
      </c>
      <c r="B32" s="197" t="s">
        <v>21</v>
      </c>
      <c r="C32" s="198" t="s">
        <v>319</v>
      </c>
      <c r="D32" s="197" t="s">
        <v>320</v>
      </c>
      <c r="E32" s="199">
        <v>6.0</v>
      </c>
      <c r="F32" s="200">
        <v>45819.58333333333</v>
      </c>
      <c r="G32" s="197" t="s">
        <v>845</v>
      </c>
      <c r="H32" s="197" t="s">
        <v>844</v>
      </c>
    </row>
    <row r="33" ht="15.75" customHeight="1">
      <c r="A33" s="197" t="s">
        <v>51</v>
      </c>
      <c r="B33" s="197" t="s">
        <v>21</v>
      </c>
      <c r="C33" s="198" t="s">
        <v>319</v>
      </c>
      <c r="D33" s="197" t="s">
        <v>320</v>
      </c>
      <c r="E33" s="199">
        <v>7.0</v>
      </c>
      <c r="F33" s="200">
        <v>45824.54166666667</v>
      </c>
      <c r="G33" s="197" t="s">
        <v>845</v>
      </c>
      <c r="H33" s="197" t="s">
        <v>844</v>
      </c>
    </row>
    <row r="34" ht="15.75" customHeight="1">
      <c r="A34" s="197" t="s">
        <v>51</v>
      </c>
      <c r="B34" s="197" t="s">
        <v>21</v>
      </c>
      <c r="C34" s="198" t="s">
        <v>319</v>
      </c>
      <c r="D34" s="197" t="s">
        <v>320</v>
      </c>
      <c r="E34" s="199">
        <v>8.0</v>
      </c>
      <c r="F34" s="200">
        <v>45831.54166666667</v>
      </c>
      <c r="G34" s="197" t="s">
        <v>845</v>
      </c>
      <c r="H34" s="197" t="s">
        <v>844</v>
      </c>
    </row>
    <row r="35" ht="15.75" customHeight="1">
      <c r="A35" s="197" t="s">
        <v>51</v>
      </c>
      <c r="B35" s="197" t="s">
        <v>21</v>
      </c>
      <c r="C35" s="198" t="s">
        <v>319</v>
      </c>
      <c r="D35" s="197" t="s">
        <v>320</v>
      </c>
      <c r="E35" s="199">
        <v>9.0</v>
      </c>
      <c r="F35" s="200">
        <v>45840.54166666667</v>
      </c>
      <c r="G35" s="197" t="s">
        <v>845</v>
      </c>
      <c r="H35" s="197" t="s">
        <v>844</v>
      </c>
    </row>
    <row r="36" ht="15.75" customHeight="1">
      <c r="A36" s="197" t="s">
        <v>51</v>
      </c>
      <c r="B36" s="197" t="s">
        <v>21</v>
      </c>
      <c r="C36" s="198" t="s">
        <v>319</v>
      </c>
      <c r="D36" s="197" t="s">
        <v>320</v>
      </c>
      <c r="E36" s="199">
        <v>10.0</v>
      </c>
      <c r="F36" s="200">
        <v>45867.41666666667</v>
      </c>
      <c r="G36" s="197" t="s">
        <v>845</v>
      </c>
      <c r="H36" s="197" t="s">
        <v>844</v>
      </c>
    </row>
    <row r="37" ht="15.75" customHeight="1">
      <c r="A37" s="197" t="s">
        <v>51</v>
      </c>
      <c r="B37" s="197" t="s">
        <v>22</v>
      </c>
      <c r="C37" s="198" t="s">
        <v>319</v>
      </c>
      <c r="D37" s="197" t="s">
        <v>320</v>
      </c>
      <c r="E37" s="199">
        <v>1.0</v>
      </c>
      <c r="F37" s="200">
        <v>45889.45833333333</v>
      </c>
      <c r="G37" s="197" t="s">
        <v>845</v>
      </c>
      <c r="H37" s="197" t="s">
        <v>844</v>
      </c>
    </row>
    <row r="38" ht="15.75" customHeight="1">
      <c r="A38" s="197" t="s">
        <v>51</v>
      </c>
      <c r="B38" s="197" t="s">
        <v>22</v>
      </c>
      <c r="C38" s="198" t="s">
        <v>319</v>
      </c>
      <c r="D38" s="197" t="s">
        <v>320</v>
      </c>
      <c r="E38" s="199">
        <v>2.0</v>
      </c>
      <c r="F38" s="200">
        <v>45896.45833333333</v>
      </c>
      <c r="G38" s="197" t="s">
        <v>845</v>
      </c>
      <c r="H38" s="197" t="s">
        <v>844</v>
      </c>
    </row>
    <row r="39" ht="15.75" customHeight="1">
      <c r="A39" s="197" t="s">
        <v>51</v>
      </c>
      <c r="B39" s="197" t="s">
        <v>22</v>
      </c>
      <c r="C39" s="198" t="s">
        <v>319</v>
      </c>
      <c r="D39" s="197" t="s">
        <v>320</v>
      </c>
      <c r="E39" s="199">
        <v>4.0</v>
      </c>
      <c r="F39" s="200">
        <v>45922.54166666667</v>
      </c>
      <c r="G39" s="197" t="s">
        <v>845</v>
      </c>
      <c r="H39" s="197" t="s">
        <v>844</v>
      </c>
    </row>
    <row r="40" ht="15.75" customHeight="1">
      <c r="A40" s="197" t="s">
        <v>51</v>
      </c>
      <c r="B40" s="197" t="s">
        <v>22</v>
      </c>
      <c r="C40" s="198" t="s">
        <v>319</v>
      </c>
      <c r="D40" s="197" t="s">
        <v>320</v>
      </c>
      <c r="E40" s="199">
        <v>5.0</v>
      </c>
      <c r="F40" s="200">
        <v>45930.45833333333</v>
      </c>
      <c r="G40" s="197" t="s">
        <v>845</v>
      </c>
      <c r="H40" s="197" t="s">
        <v>844</v>
      </c>
    </row>
    <row r="41" ht="15.75" customHeight="1">
      <c r="A41" s="197" t="s">
        <v>51</v>
      </c>
      <c r="B41" s="197" t="s">
        <v>22</v>
      </c>
      <c r="C41" s="198" t="s">
        <v>319</v>
      </c>
      <c r="D41" s="197" t="s">
        <v>320</v>
      </c>
      <c r="E41" s="199">
        <v>6.0</v>
      </c>
      <c r="F41" s="200">
        <v>45937.45833333333</v>
      </c>
      <c r="G41" s="197" t="s">
        <v>845</v>
      </c>
      <c r="H41" s="197" t="s">
        <v>844</v>
      </c>
    </row>
    <row r="42" ht="15.75" customHeight="1">
      <c r="A42" s="197" t="s">
        <v>51</v>
      </c>
      <c r="B42" s="197" t="s">
        <v>22</v>
      </c>
      <c r="C42" s="198" t="s">
        <v>319</v>
      </c>
      <c r="D42" s="197" t="s">
        <v>320</v>
      </c>
      <c r="E42" s="199">
        <v>7.0</v>
      </c>
      <c r="F42" s="200">
        <v>45944.45833333333</v>
      </c>
      <c r="G42" s="197" t="s">
        <v>845</v>
      </c>
      <c r="H42" s="197" t="s">
        <v>844</v>
      </c>
    </row>
    <row r="43" ht="15.75" customHeight="1">
      <c r="A43" s="197" t="s">
        <v>51</v>
      </c>
      <c r="B43" s="197" t="s">
        <v>22</v>
      </c>
      <c r="C43" s="198" t="s">
        <v>319</v>
      </c>
      <c r="D43" s="197" t="s">
        <v>320</v>
      </c>
      <c r="E43" s="199">
        <v>8.0</v>
      </c>
      <c r="F43" s="200">
        <v>45950.45833333333</v>
      </c>
      <c r="G43" s="197" t="s">
        <v>845</v>
      </c>
      <c r="H43" s="197" t="s">
        <v>844</v>
      </c>
    </row>
    <row r="44" ht="15.75" customHeight="1">
      <c r="A44" s="197" t="s">
        <v>51</v>
      </c>
      <c r="B44" s="197" t="s">
        <v>22</v>
      </c>
      <c r="C44" s="198" t="s">
        <v>319</v>
      </c>
      <c r="D44" s="197" t="s">
        <v>320</v>
      </c>
      <c r="E44" s="199">
        <v>9.0</v>
      </c>
      <c r="F44" s="200">
        <v>45957.45833333333</v>
      </c>
      <c r="G44" s="197" t="s">
        <v>845</v>
      </c>
      <c r="H44" s="197" t="s">
        <v>844</v>
      </c>
    </row>
    <row r="45" ht="15.75" customHeight="1">
      <c r="A45" s="197" t="s">
        <v>51</v>
      </c>
      <c r="B45" s="197" t="s">
        <v>22</v>
      </c>
      <c r="C45" s="198" t="s">
        <v>319</v>
      </c>
      <c r="D45" s="197" t="s">
        <v>320</v>
      </c>
      <c r="E45" s="199">
        <v>10.0</v>
      </c>
      <c r="F45" s="200">
        <v>45965.45833333333</v>
      </c>
      <c r="G45" s="197" t="s">
        <v>845</v>
      </c>
      <c r="H45" s="197" t="s">
        <v>844</v>
      </c>
    </row>
    <row r="46" ht="15.75" customHeight="1">
      <c r="A46" s="197" t="s">
        <v>51</v>
      </c>
      <c r="B46" s="197" t="s">
        <v>22</v>
      </c>
      <c r="C46" s="198" t="s">
        <v>319</v>
      </c>
      <c r="D46" s="197" t="s">
        <v>320</v>
      </c>
      <c r="E46" s="199">
        <v>11.0</v>
      </c>
      <c r="F46" s="200">
        <v>45972.45833333333</v>
      </c>
      <c r="G46" s="197" t="s">
        <v>845</v>
      </c>
      <c r="H46" s="197" t="s">
        <v>844</v>
      </c>
    </row>
    <row r="47" ht="15.75" customHeight="1">
      <c r="A47" s="197" t="s">
        <v>51</v>
      </c>
      <c r="B47" s="197" t="s">
        <v>22</v>
      </c>
      <c r="C47" s="198" t="s">
        <v>319</v>
      </c>
      <c r="D47" s="197" t="s">
        <v>320</v>
      </c>
      <c r="E47" s="199">
        <v>12.0</v>
      </c>
      <c r="F47" s="200">
        <v>45979.45833333333</v>
      </c>
      <c r="G47" s="197" t="s">
        <v>845</v>
      </c>
      <c r="H47" s="197" t="s">
        <v>844</v>
      </c>
    </row>
    <row r="48" ht="15.75" customHeight="1">
      <c r="A48" s="197" t="s">
        <v>51</v>
      </c>
      <c r="B48" s="197" t="s">
        <v>22</v>
      </c>
      <c r="C48" s="198" t="s">
        <v>319</v>
      </c>
      <c r="D48" s="197" t="s">
        <v>320</v>
      </c>
      <c r="E48" s="199">
        <v>13.0</v>
      </c>
      <c r="F48" s="200">
        <v>45986.45833333333</v>
      </c>
      <c r="G48" s="197" t="s">
        <v>845</v>
      </c>
      <c r="H48" s="197" t="s">
        <v>844</v>
      </c>
    </row>
    <row r="49" ht="15.75" customHeight="1">
      <c r="A49" s="197" t="s">
        <v>51</v>
      </c>
      <c r="B49" s="197" t="s">
        <v>22</v>
      </c>
      <c r="C49" s="198" t="s">
        <v>319</v>
      </c>
      <c r="D49" s="197" t="s">
        <v>320</v>
      </c>
      <c r="E49" s="199">
        <v>14.0</v>
      </c>
      <c r="F49" s="200">
        <v>45993.41666666667</v>
      </c>
      <c r="G49" s="197" t="s">
        <v>845</v>
      </c>
      <c r="H49" s="197" t="s">
        <v>844</v>
      </c>
    </row>
    <row r="50" ht="15.75" customHeight="1">
      <c r="A50" s="197" t="s">
        <v>51</v>
      </c>
      <c r="B50" s="197" t="s">
        <v>22</v>
      </c>
      <c r="C50" s="198" t="s">
        <v>319</v>
      </c>
      <c r="D50" s="197" t="s">
        <v>320</v>
      </c>
      <c r="E50" s="199">
        <v>15.0</v>
      </c>
      <c r="F50" s="200">
        <v>46000.45833333333</v>
      </c>
      <c r="G50" s="197" t="s">
        <v>845</v>
      </c>
      <c r="H50" s="197" t="s">
        <v>844</v>
      </c>
    </row>
    <row r="51" ht="15.75" customHeight="1">
      <c r="A51" s="197" t="s">
        <v>51</v>
      </c>
      <c r="B51" s="197" t="s">
        <v>22</v>
      </c>
      <c r="C51" s="198" t="s">
        <v>319</v>
      </c>
      <c r="D51" s="197" t="s">
        <v>320</v>
      </c>
      <c r="E51" s="199">
        <v>16.0</v>
      </c>
      <c r="F51" s="200">
        <v>46042.41666666667</v>
      </c>
      <c r="G51" s="197" t="s">
        <v>845</v>
      </c>
      <c r="H51" s="197" t="s">
        <v>844</v>
      </c>
    </row>
    <row r="52" ht="15.75" customHeight="1">
      <c r="A52" s="197" t="s">
        <v>51</v>
      </c>
      <c r="B52" s="197" t="s">
        <v>21</v>
      </c>
      <c r="C52" s="198" t="s">
        <v>474</v>
      </c>
      <c r="D52" s="197" t="s">
        <v>475</v>
      </c>
      <c r="E52" s="199">
        <v>1.0</v>
      </c>
      <c r="F52" s="200">
        <v>45700.41666666667</v>
      </c>
      <c r="G52" s="197" t="s">
        <v>845</v>
      </c>
      <c r="H52" s="197" t="s">
        <v>844</v>
      </c>
    </row>
    <row r="53" ht="15.75" customHeight="1">
      <c r="A53" s="197" t="s">
        <v>51</v>
      </c>
      <c r="B53" s="197" t="s">
        <v>21</v>
      </c>
      <c r="C53" s="198" t="s">
        <v>474</v>
      </c>
      <c r="D53" s="197" t="s">
        <v>475</v>
      </c>
      <c r="E53" s="199">
        <v>2.0</v>
      </c>
      <c r="F53" s="200">
        <v>45712.45833333333</v>
      </c>
      <c r="G53" s="197" t="s">
        <v>845</v>
      </c>
      <c r="H53" s="197" t="s">
        <v>844</v>
      </c>
    </row>
    <row r="54" ht="15.75" customHeight="1">
      <c r="A54" s="197" t="s">
        <v>51</v>
      </c>
      <c r="B54" s="197" t="s">
        <v>21</v>
      </c>
      <c r="C54" s="198" t="s">
        <v>474</v>
      </c>
      <c r="D54" s="197" t="s">
        <v>475</v>
      </c>
      <c r="E54" s="199">
        <v>3.0</v>
      </c>
      <c r="F54" s="200">
        <v>45763.58333333333</v>
      </c>
      <c r="G54" s="197" t="s">
        <v>845</v>
      </c>
      <c r="H54" s="197" t="s">
        <v>844</v>
      </c>
    </row>
    <row r="55" ht="15.75" customHeight="1">
      <c r="A55" s="197" t="s">
        <v>51</v>
      </c>
      <c r="B55" s="197" t="s">
        <v>21</v>
      </c>
      <c r="C55" s="198" t="s">
        <v>474</v>
      </c>
      <c r="D55" s="197" t="s">
        <v>475</v>
      </c>
      <c r="E55" s="199">
        <v>4.0</v>
      </c>
      <c r="F55" s="200">
        <v>45770.54166666667</v>
      </c>
      <c r="G55" s="197" t="s">
        <v>845</v>
      </c>
      <c r="H55" s="197" t="s">
        <v>844</v>
      </c>
    </row>
    <row r="56" ht="15.75" customHeight="1">
      <c r="A56" s="197" t="s">
        <v>51</v>
      </c>
      <c r="B56" s="197" t="s">
        <v>21</v>
      </c>
      <c r="C56" s="198" t="s">
        <v>474</v>
      </c>
      <c r="D56" s="197" t="s">
        <v>475</v>
      </c>
      <c r="E56" s="199">
        <v>5.0</v>
      </c>
      <c r="F56" s="200">
        <v>45784.45833333333</v>
      </c>
      <c r="G56" s="197" t="s">
        <v>845</v>
      </c>
      <c r="H56" s="197" t="s">
        <v>844</v>
      </c>
    </row>
    <row r="57" ht="15.75" customHeight="1">
      <c r="A57" s="197" t="s">
        <v>51</v>
      </c>
      <c r="B57" s="197" t="s">
        <v>21</v>
      </c>
      <c r="C57" s="198" t="s">
        <v>474</v>
      </c>
      <c r="D57" s="197" t="s">
        <v>475</v>
      </c>
      <c r="E57" s="199">
        <v>6.0</v>
      </c>
      <c r="F57" s="200">
        <v>45819.58333333333</v>
      </c>
      <c r="G57" s="197" t="s">
        <v>845</v>
      </c>
      <c r="H57" s="197" t="s">
        <v>844</v>
      </c>
    </row>
    <row r="58" ht="15.75" customHeight="1">
      <c r="A58" s="197" t="s">
        <v>51</v>
      </c>
      <c r="B58" s="197" t="s">
        <v>21</v>
      </c>
      <c r="C58" s="198" t="s">
        <v>474</v>
      </c>
      <c r="D58" s="197" t="s">
        <v>475</v>
      </c>
      <c r="E58" s="199">
        <v>7.0</v>
      </c>
      <c r="F58" s="200">
        <v>45824.54166666667</v>
      </c>
      <c r="G58" s="197" t="s">
        <v>845</v>
      </c>
      <c r="H58" s="197" t="s">
        <v>844</v>
      </c>
    </row>
    <row r="59" ht="15.75" customHeight="1">
      <c r="A59" s="197" t="s">
        <v>51</v>
      </c>
      <c r="B59" s="197" t="s">
        <v>21</v>
      </c>
      <c r="C59" s="198" t="s">
        <v>474</v>
      </c>
      <c r="D59" s="197" t="s">
        <v>475</v>
      </c>
      <c r="E59" s="199">
        <v>8.0</v>
      </c>
      <c r="F59" s="200">
        <v>45831.54166666667</v>
      </c>
      <c r="G59" s="197" t="s">
        <v>845</v>
      </c>
      <c r="H59" s="197" t="s">
        <v>844</v>
      </c>
    </row>
    <row r="60" ht="15.75" customHeight="1">
      <c r="A60" s="197" t="s">
        <v>51</v>
      </c>
      <c r="B60" s="197" t="s">
        <v>21</v>
      </c>
      <c r="C60" s="198" t="s">
        <v>474</v>
      </c>
      <c r="D60" s="197" t="s">
        <v>475</v>
      </c>
      <c r="E60" s="199">
        <v>9.0</v>
      </c>
      <c r="F60" s="200">
        <v>45840.54166666667</v>
      </c>
      <c r="G60" s="197" t="s">
        <v>845</v>
      </c>
      <c r="H60" s="197" t="s">
        <v>844</v>
      </c>
    </row>
    <row r="61" ht="15.75" customHeight="1">
      <c r="A61" s="197" t="s">
        <v>51</v>
      </c>
      <c r="B61" s="197" t="s">
        <v>21</v>
      </c>
      <c r="C61" s="198" t="s">
        <v>474</v>
      </c>
      <c r="D61" s="197" t="s">
        <v>475</v>
      </c>
      <c r="E61" s="199">
        <v>10.0</v>
      </c>
      <c r="F61" s="200">
        <v>45867.41666666667</v>
      </c>
      <c r="G61" s="197" t="s">
        <v>845</v>
      </c>
      <c r="H61" s="197" t="s">
        <v>844</v>
      </c>
    </row>
    <row r="62" ht="15.75" customHeight="1">
      <c r="A62" s="197" t="s">
        <v>51</v>
      </c>
      <c r="B62" s="197" t="s">
        <v>22</v>
      </c>
      <c r="C62" s="198" t="s">
        <v>474</v>
      </c>
      <c r="D62" s="197" t="s">
        <v>475</v>
      </c>
      <c r="E62" s="199">
        <v>1.0</v>
      </c>
      <c r="F62" s="200">
        <v>45889.45833333333</v>
      </c>
      <c r="G62" s="197" t="s">
        <v>845</v>
      </c>
      <c r="H62" s="197" t="s">
        <v>844</v>
      </c>
    </row>
    <row r="63" ht="15.75" customHeight="1">
      <c r="A63" s="197" t="s">
        <v>51</v>
      </c>
      <c r="B63" s="197" t="s">
        <v>22</v>
      </c>
      <c r="C63" s="198" t="s">
        <v>474</v>
      </c>
      <c r="D63" s="197" t="s">
        <v>475</v>
      </c>
      <c r="E63" s="199">
        <v>2.0</v>
      </c>
      <c r="F63" s="200">
        <v>45896.45833333333</v>
      </c>
      <c r="G63" s="197" t="s">
        <v>845</v>
      </c>
      <c r="H63" s="197" t="s">
        <v>844</v>
      </c>
    </row>
    <row r="64" ht="15.75" customHeight="1">
      <c r="A64" s="197" t="s">
        <v>51</v>
      </c>
      <c r="B64" s="197" t="s">
        <v>22</v>
      </c>
      <c r="C64" s="198" t="s">
        <v>474</v>
      </c>
      <c r="D64" s="197" t="s">
        <v>475</v>
      </c>
      <c r="E64" s="199">
        <v>4.0</v>
      </c>
      <c r="F64" s="200">
        <v>45922.54166666667</v>
      </c>
      <c r="G64" s="197" t="s">
        <v>845</v>
      </c>
      <c r="H64" s="197" t="s">
        <v>844</v>
      </c>
    </row>
    <row r="65" ht="15.75" customHeight="1">
      <c r="A65" s="197" t="s">
        <v>51</v>
      </c>
      <c r="B65" s="197" t="s">
        <v>22</v>
      </c>
      <c r="C65" s="198" t="s">
        <v>474</v>
      </c>
      <c r="D65" s="197" t="s">
        <v>475</v>
      </c>
      <c r="E65" s="199">
        <v>5.0</v>
      </c>
      <c r="F65" s="200">
        <v>45930.45833333333</v>
      </c>
      <c r="G65" s="197" t="s">
        <v>845</v>
      </c>
      <c r="H65" s="197" t="s">
        <v>844</v>
      </c>
    </row>
    <row r="66" ht="15.75" customHeight="1">
      <c r="A66" s="197" t="s">
        <v>51</v>
      </c>
      <c r="B66" s="197" t="s">
        <v>22</v>
      </c>
      <c r="C66" s="198" t="s">
        <v>474</v>
      </c>
      <c r="D66" s="197" t="s">
        <v>475</v>
      </c>
      <c r="E66" s="199">
        <v>6.0</v>
      </c>
      <c r="F66" s="200">
        <v>45937.45833333333</v>
      </c>
      <c r="G66" s="197" t="s">
        <v>845</v>
      </c>
      <c r="H66" s="197" t="s">
        <v>844</v>
      </c>
    </row>
    <row r="67" ht="15.75" customHeight="1">
      <c r="A67" s="197" t="s">
        <v>51</v>
      </c>
      <c r="B67" s="197" t="s">
        <v>22</v>
      </c>
      <c r="C67" s="198" t="s">
        <v>474</v>
      </c>
      <c r="D67" s="197" t="s">
        <v>475</v>
      </c>
      <c r="E67" s="199">
        <v>7.0</v>
      </c>
      <c r="F67" s="200">
        <v>45944.45833333333</v>
      </c>
      <c r="G67" s="197" t="s">
        <v>845</v>
      </c>
      <c r="H67" s="197" t="s">
        <v>844</v>
      </c>
    </row>
    <row r="68" ht="15.75" customHeight="1">
      <c r="A68" s="197" t="s">
        <v>51</v>
      </c>
      <c r="B68" s="197" t="s">
        <v>22</v>
      </c>
      <c r="C68" s="198" t="s">
        <v>474</v>
      </c>
      <c r="D68" s="197" t="s">
        <v>475</v>
      </c>
      <c r="E68" s="199">
        <v>8.0</v>
      </c>
      <c r="F68" s="200">
        <v>45950.45833333333</v>
      </c>
      <c r="G68" s="197" t="s">
        <v>845</v>
      </c>
      <c r="H68" s="197" t="s">
        <v>844</v>
      </c>
    </row>
    <row r="69" ht="15.75" customHeight="1">
      <c r="A69" s="197" t="s">
        <v>51</v>
      </c>
      <c r="B69" s="197" t="s">
        <v>22</v>
      </c>
      <c r="C69" s="198" t="s">
        <v>474</v>
      </c>
      <c r="D69" s="197" t="s">
        <v>475</v>
      </c>
      <c r="E69" s="199">
        <v>9.0</v>
      </c>
      <c r="F69" s="200">
        <v>45957.45833333333</v>
      </c>
      <c r="G69" s="197" t="s">
        <v>845</v>
      </c>
      <c r="H69" s="197" t="s">
        <v>844</v>
      </c>
    </row>
    <row r="70" ht="15.75" customHeight="1">
      <c r="A70" s="197" t="s">
        <v>51</v>
      </c>
      <c r="B70" s="197" t="s">
        <v>22</v>
      </c>
      <c r="C70" s="198" t="s">
        <v>474</v>
      </c>
      <c r="D70" s="197" t="s">
        <v>475</v>
      </c>
      <c r="E70" s="199">
        <v>10.0</v>
      </c>
      <c r="F70" s="200">
        <v>45965.45833333333</v>
      </c>
      <c r="G70" s="197" t="s">
        <v>845</v>
      </c>
      <c r="H70" s="197" t="s">
        <v>844</v>
      </c>
    </row>
    <row r="71" ht="15.75" customHeight="1">
      <c r="A71" s="197" t="s">
        <v>51</v>
      </c>
      <c r="B71" s="197" t="s">
        <v>22</v>
      </c>
      <c r="C71" s="198" t="s">
        <v>474</v>
      </c>
      <c r="D71" s="197" t="s">
        <v>475</v>
      </c>
      <c r="E71" s="199">
        <v>11.0</v>
      </c>
      <c r="F71" s="200">
        <v>45972.45833333333</v>
      </c>
      <c r="G71" s="197" t="s">
        <v>845</v>
      </c>
      <c r="H71" s="197" t="s">
        <v>844</v>
      </c>
    </row>
    <row r="72" ht="15.75" customHeight="1">
      <c r="A72" s="197" t="s">
        <v>51</v>
      </c>
      <c r="B72" s="197" t="s">
        <v>22</v>
      </c>
      <c r="C72" s="198" t="s">
        <v>474</v>
      </c>
      <c r="D72" s="197" t="s">
        <v>475</v>
      </c>
      <c r="E72" s="199">
        <v>12.0</v>
      </c>
      <c r="F72" s="200">
        <v>45979.45833333333</v>
      </c>
      <c r="G72" s="197" t="s">
        <v>845</v>
      </c>
      <c r="H72" s="197" t="s">
        <v>844</v>
      </c>
    </row>
    <row r="73" ht="15.75" customHeight="1">
      <c r="A73" s="197" t="s">
        <v>51</v>
      </c>
      <c r="B73" s="197" t="s">
        <v>22</v>
      </c>
      <c r="C73" s="198" t="s">
        <v>474</v>
      </c>
      <c r="D73" s="197" t="s">
        <v>475</v>
      </c>
      <c r="E73" s="199">
        <v>13.0</v>
      </c>
      <c r="F73" s="200">
        <v>45986.45833333333</v>
      </c>
      <c r="G73" s="197" t="s">
        <v>845</v>
      </c>
      <c r="H73" s="197" t="s">
        <v>844</v>
      </c>
    </row>
    <row r="74" ht="15.75" customHeight="1">
      <c r="A74" s="197" t="s">
        <v>51</v>
      </c>
      <c r="B74" s="197" t="s">
        <v>22</v>
      </c>
      <c r="C74" s="198" t="s">
        <v>474</v>
      </c>
      <c r="D74" s="197" t="s">
        <v>475</v>
      </c>
      <c r="E74" s="199">
        <v>14.0</v>
      </c>
      <c r="F74" s="200">
        <v>45993.41666666667</v>
      </c>
      <c r="G74" s="197" t="s">
        <v>845</v>
      </c>
      <c r="H74" s="197" t="s">
        <v>844</v>
      </c>
    </row>
    <row r="75" ht="15.75" customHeight="1">
      <c r="A75" s="197" t="s">
        <v>51</v>
      </c>
      <c r="B75" s="197" t="s">
        <v>22</v>
      </c>
      <c r="C75" s="198" t="s">
        <v>474</v>
      </c>
      <c r="D75" s="197" t="s">
        <v>475</v>
      </c>
      <c r="E75" s="199">
        <v>15.0</v>
      </c>
      <c r="F75" s="200">
        <v>46000.45833333333</v>
      </c>
      <c r="G75" s="197" t="s">
        <v>845</v>
      </c>
      <c r="H75" s="197" t="s">
        <v>844</v>
      </c>
    </row>
    <row r="76" ht="15.75" customHeight="1">
      <c r="A76" s="197" t="s">
        <v>51</v>
      </c>
      <c r="B76" s="197" t="s">
        <v>22</v>
      </c>
      <c r="C76" s="198" t="s">
        <v>474</v>
      </c>
      <c r="D76" s="197" t="s">
        <v>475</v>
      </c>
      <c r="E76" s="199">
        <v>16.0</v>
      </c>
      <c r="F76" s="200">
        <v>46042.41666666667</v>
      </c>
      <c r="G76" s="197" t="s">
        <v>845</v>
      </c>
      <c r="H76" s="197" t="s">
        <v>844</v>
      </c>
    </row>
    <row r="77" ht="15.75" customHeight="1">
      <c r="A77" s="197" t="s">
        <v>51</v>
      </c>
      <c r="B77" s="197" t="s">
        <v>24</v>
      </c>
      <c r="C77" s="198" t="s">
        <v>657</v>
      </c>
      <c r="D77" s="197" t="s">
        <v>658</v>
      </c>
      <c r="E77" s="199">
        <v>1.0</v>
      </c>
      <c r="F77" s="200">
        <v>46084.54166666667</v>
      </c>
      <c r="G77" s="197" t="s">
        <v>845</v>
      </c>
      <c r="H77" s="197" t="s">
        <v>844</v>
      </c>
    </row>
    <row r="78" ht="15.75" customHeight="1">
      <c r="A78" s="197" t="s">
        <v>51</v>
      </c>
      <c r="B78" s="197" t="s">
        <v>24</v>
      </c>
      <c r="C78" s="198" t="s">
        <v>657</v>
      </c>
      <c r="D78" s="197" t="s">
        <v>658</v>
      </c>
      <c r="E78" s="199">
        <v>2.0</v>
      </c>
      <c r="F78" s="200">
        <v>46091.58333333333</v>
      </c>
      <c r="G78" s="197" t="s">
        <v>845</v>
      </c>
      <c r="H78" s="197" t="s">
        <v>844</v>
      </c>
    </row>
    <row r="79" ht="15.75" customHeight="1">
      <c r="A79" s="197" t="s">
        <v>51</v>
      </c>
      <c r="B79" s="197" t="s">
        <v>24</v>
      </c>
      <c r="C79" s="198" t="s">
        <v>657</v>
      </c>
      <c r="D79" s="197" t="s">
        <v>658</v>
      </c>
      <c r="E79" s="199">
        <v>3.0</v>
      </c>
      <c r="F79" s="200">
        <v>46098.58333333333</v>
      </c>
      <c r="G79" s="197" t="s">
        <v>845</v>
      </c>
      <c r="H79" s="197" t="s">
        <v>844</v>
      </c>
    </row>
    <row r="80" ht="15.75" customHeight="1">
      <c r="A80" s="197" t="s">
        <v>51</v>
      </c>
      <c r="B80" s="197" t="s">
        <v>24</v>
      </c>
      <c r="C80" s="198" t="s">
        <v>657</v>
      </c>
      <c r="D80" s="197" t="s">
        <v>658</v>
      </c>
      <c r="E80" s="199">
        <v>4.0</v>
      </c>
      <c r="F80" s="200">
        <v>46105.58333333333</v>
      </c>
      <c r="G80" s="197" t="s">
        <v>845</v>
      </c>
      <c r="H80" s="197" t="s">
        <v>844</v>
      </c>
    </row>
    <row r="81" ht="15.75" customHeight="1">
      <c r="A81" s="197" t="s">
        <v>51</v>
      </c>
      <c r="B81" s="197" t="s">
        <v>24</v>
      </c>
      <c r="C81" s="198" t="s">
        <v>657</v>
      </c>
      <c r="D81" s="197" t="s">
        <v>658</v>
      </c>
      <c r="E81" s="199">
        <v>5.0</v>
      </c>
      <c r="F81" s="200">
        <v>46120.58333333333</v>
      </c>
      <c r="G81" s="197" t="s">
        <v>845</v>
      </c>
      <c r="H81" s="197" t="s">
        <v>844</v>
      </c>
    </row>
    <row r="82" ht="15.75" customHeight="1">
      <c r="A82" s="197" t="s">
        <v>51</v>
      </c>
      <c r="B82" s="197" t="s">
        <v>24</v>
      </c>
      <c r="C82" s="198" t="s">
        <v>657</v>
      </c>
      <c r="D82" s="197" t="s">
        <v>658</v>
      </c>
      <c r="E82" s="199">
        <v>6.0</v>
      </c>
      <c r="F82" s="200">
        <v>46127.58333333333</v>
      </c>
      <c r="G82" s="197" t="s">
        <v>845</v>
      </c>
      <c r="H82" s="197" t="s">
        <v>844</v>
      </c>
    </row>
    <row r="83" ht="15.75" customHeight="1">
      <c r="A83" s="197" t="s">
        <v>51</v>
      </c>
      <c r="B83" s="197" t="s">
        <v>21</v>
      </c>
      <c r="C83" s="198" t="s">
        <v>657</v>
      </c>
      <c r="D83" s="197" t="s">
        <v>658</v>
      </c>
      <c r="E83" s="199">
        <v>1.0</v>
      </c>
      <c r="F83" s="200">
        <v>45700.41666666667</v>
      </c>
      <c r="G83" s="197" t="s">
        <v>845</v>
      </c>
      <c r="H83" s="197" t="s">
        <v>844</v>
      </c>
    </row>
    <row r="84" ht="15.75" customHeight="1">
      <c r="A84" s="197" t="s">
        <v>51</v>
      </c>
      <c r="B84" s="197" t="s">
        <v>21</v>
      </c>
      <c r="C84" s="198" t="s">
        <v>657</v>
      </c>
      <c r="D84" s="197" t="s">
        <v>658</v>
      </c>
      <c r="E84" s="199">
        <v>2.0</v>
      </c>
      <c r="F84" s="200">
        <v>45712.45833333333</v>
      </c>
      <c r="G84" s="197" t="s">
        <v>845</v>
      </c>
      <c r="H84" s="197" t="s">
        <v>844</v>
      </c>
    </row>
    <row r="85" ht="15.75" customHeight="1">
      <c r="A85" s="197" t="s">
        <v>51</v>
      </c>
      <c r="B85" s="197" t="s">
        <v>21</v>
      </c>
      <c r="C85" s="198" t="s">
        <v>657</v>
      </c>
      <c r="D85" s="197" t="s">
        <v>658</v>
      </c>
      <c r="E85" s="199">
        <v>3.0</v>
      </c>
      <c r="F85" s="200">
        <v>45763.58333333333</v>
      </c>
      <c r="G85" s="197" t="s">
        <v>845</v>
      </c>
      <c r="H85" s="197" t="s">
        <v>844</v>
      </c>
    </row>
    <row r="86" ht="15.75" customHeight="1">
      <c r="A86" s="197" t="s">
        <v>51</v>
      </c>
      <c r="B86" s="197" t="s">
        <v>21</v>
      </c>
      <c r="C86" s="198" t="s">
        <v>657</v>
      </c>
      <c r="D86" s="197" t="s">
        <v>658</v>
      </c>
      <c r="E86" s="199">
        <v>4.0</v>
      </c>
      <c r="F86" s="200">
        <v>45770.54166666667</v>
      </c>
      <c r="G86" s="197" t="s">
        <v>845</v>
      </c>
      <c r="H86" s="197" t="s">
        <v>844</v>
      </c>
    </row>
    <row r="87" ht="15.75" customHeight="1">
      <c r="A87" s="197" t="s">
        <v>51</v>
      </c>
      <c r="B87" s="197" t="s">
        <v>21</v>
      </c>
      <c r="C87" s="198" t="s">
        <v>657</v>
      </c>
      <c r="D87" s="197" t="s">
        <v>658</v>
      </c>
      <c r="E87" s="199">
        <v>5.0</v>
      </c>
      <c r="F87" s="200">
        <v>45784.45833333333</v>
      </c>
      <c r="G87" s="197" t="s">
        <v>845</v>
      </c>
      <c r="H87" s="197" t="s">
        <v>844</v>
      </c>
    </row>
    <row r="88" ht="15.75" customHeight="1">
      <c r="A88" s="197" t="s">
        <v>51</v>
      </c>
      <c r="B88" s="197" t="s">
        <v>21</v>
      </c>
      <c r="C88" s="198" t="s">
        <v>657</v>
      </c>
      <c r="D88" s="197" t="s">
        <v>658</v>
      </c>
      <c r="E88" s="199">
        <v>6.0</v>
      </c>
      <c r="F88" s="200">
        <v>45819.58333333333</v>
      </c>
      <c r="G88" s="197" t="s">
        <v>845</v>
      </c>
      <c r="H88" s="197" t="s">
        <v>844</v>
      </c>
    </row>
    <row r="89" ht="15.75" customHeight="1">
      <c r="A89" s="197" t="s">
        <v>51</v>
      </c>
      <c r="B89" s="197" t="s">
        <v>21</v>
      </c>
      <c r="C89" s="198" t="s">
        <v>657</v>
      </c>
      <c r="D89" s="197" t="s">
        <v>658</v>
      </c>
      <c r="E89" s="199">
        <v>7.0</v>
      </c>
      <c r="F89" s="200">
        <v>45824.54166666667</v>
      </c>
      <c r="G89" s="197" t="s">
        <v>845</v>
      </c>
      <c r="H89" s="197" t="s">
        <v>844</v>
      </c>
    </row>
    <row r="90" ht="15.75" customHeight="1">
      <c r="A90" s="197" t="s">
        <v>51</v>
      </c>
      <c r="B90" s="197" t="s">
        <v>21</v>
      </c>
      <c r="C90" s="198" t="s">
        <v>657</v>
      </c>
      <c r="D90" s="197" t="s">
        <v>658</v>
      </c>
      <c r="E90" s="199">
        <v>8.0</v>
      </c>
      <c r="F90" s="200">
        <v>45831.54166666667</v>
      </c>
      <c r="G90" s="197" t="s">
        <v>845</v>
      </c>
      <c r="H90" s="197" t="s">
        <v>844</v>
      </c>
    </row>
    <row r="91" ht="15.75" customHeight="1">
      <c r="A91" s="197" t="s">
        <v>51</v>
      </c>
      <c r="B91" s="197" t="s">
        <v>21</v>
      </c>
      <c r="C91" s="198" t="s">
        <v>657</v>
      </c>
      <c r="D91" s="197" t="s">
        <v>658</v>
      </c>
      <c r="E91" s="199">
        <v>9.0</v>
      </c>
      <c r="F91" s="200">
        <v>45840.54166666667</v>
      </c>
      <c r="G91" s="197" t="s">
        <v>845</v>
      </c>
      <c r="H91" s="197" t="s">
        <v>844</v>
      </c>
    </row>
    <row r="92" ht="15.75" customHeight="1">
      <c r="A92" s="197" t="s">
        <v>51</v>
      </c>
      <c r="B92" s="197" t="s">
        <v>21</v>
      </c>
      <c r="C92" s="198" t="s">
        <v>657</v>
      </c>
      <c r="D92" s="197" t="s">
        <v>658</v>
      </c>
      <c r="E92" s="199">
        <v>10.0</v>
      </c>
      <c r="F92" s="200">
        <v>45867.41666666667</v>
      </c>
      <c r="G92" s="197" t="s">
        <v>845</v>
      </c>
      <c r="H92" s="197" t="s">
        <v>844</v>
      </c>
    </row>
    <row r="93" ht="15.75" customHeight="1">
      <c r="A93" s="197" t="s">
        <v>51</v>
      </c>
      <c r="B93" s="197" t="s">
        <v>22</v>
      </c>
      <c r="C93" s="198" t="s">
        <v>657</v>
      </c>
      <c r="D93" s="197" t="s">
        <v>658</v>
      </c>
      <c r="E93" s="199">
        <v>1.0</v>
      </c>
      <c r="F93" s="200">
        <v>45889.45833333333</v>
      </c>
      <c r="G93" s="197" t="s">
        <v>845</v>
      </c>
      <c r="H93" s="197" t="s">
        <v>844</v>
      </c>
    </row>
    <row r="94" ht="15.75" customHeight="1">
      <c r="A94" s="197" t="s">
        <v>51</v>
      </c>
      <c r="B94" s="197" t="s">
        <v>22</v>
      </c>
      <c r="C94" s="198" t="s">
        <v>657</v>
      </c>
      <c r="D94" s="197" t="s">
        <v>658</v>
      </c>
      <c r="E94" s="199">
        <v>2.0</v>
      </c>
      <c r="F94" s="200">
        <v>45896.45833333333</v>
      </c>
      <c r="G94" s="197" t="s">
        <v>845</v>
      </c>
      <c r="H94" s="197" t="s">
        <v>844</v>
      </c>
    </row>
    <row r="95" ht="15.75" customHeight="1">
      <c r="A95" s="197" t="s">
        <v>51</v>
      </c>
      <c r="B95" s="197" t="s">
        <v>22</v>
      </c>
      <c r="C95" s="198" t="s">
        <v>657</v>
      </c>
      <c r="D95" s="197" t="s">
        <v>658</v>
      </c>
      <c r="E95" s="199">
        <v>4.0</v>
      </c>
      <c r="F95" s="200">
        <v>45922.54166666667</v>
      </c>
      <c r="G95" s="197" t="s">
        <v>845</v>
      </c>
      <c r="H95" s="197" t="s">
        <v>844</v>
      </c>
    </row>
    <row r="96" ht="15.75" customHeight="1">
      <c r="A96" s="197" t="s">
        <v>51</v>
      </c>
      <c r="B96" s="197" t="s">
        <v>22</v>
      </c>
      <c r="C96" s="198" t="s">
        <v>657</v>
      </c>
      <c r="D96" s="197" t="s">
        <v>658</v>
      </c>
      <c r="E96" s="199">
        <v>5.0</v>
      </c>
      <c r="F96" s="200">
        <v>45930.45833333333</v>
      </c>
      <c r="G96" s="197" t="s">
        <v>845</v>
      </c>
      <c r="H96" s="197" t="s">
        <v>844</v>
      </c>
    </row>
    <row r="97" ht="15.75" customHeight="1">
      <c r="A97" s="197" t="s">
        <v>51</v>
      </c>
      <c r="B97" s="197" t="s">
        <v>22</v>
      </c>
      <c r="C97" s="198" t="s">
        <v>657</v>
      </c>
      <c r="D97" s="197" t="s">
        <v>658</v>
      </c>
      <c r="E97" s="199">
        <v>6.0</v>
      </c>
      <c r="F97" s="200">
        <v>45937.45833333333</v>
      </c>
      <c r="G97" s="197" t="s">
        <v>845</v>
      </c>
      <c r="H97" s="197" t="s">
        <v>844</v>
      </c>
    </row>
    <row r="98" ht="15.75" customHeight="1">
      <c r="A98" s="197" t="s">
        <v>51</v>
      </c>
      <c r="B98" s="197" t="s">
        <v>22</v>
      </c>
      <c r="C98" s="198" t="s">
        <v>657</v>
      </c>
      <c r="D98" s="197" t="s">
        <v>658</v>
      </c>
      <c r="E98" s="199">
        <v>7.0</v>
      </c>
      <c r="F98" s="200">
        <v>45944.45833333333</v>
      </c>
      <c r="G98" s="197" t="s">
        <v>845</v>
      </c>
      <c r="H98" s="197" t="s">
        <v>844</v>
      </c>
    </row>
    <row r="99" ht="15.75" customHeight="1">
      <c r="A99" s="197" t="s">
        <v>51</v>
      </c>
      <c r="B99" s="197" t="s">
        <v>22</v>
      </c>
      <c r="C99" s="198" t="s">
        <v>657</v>
      </c>
      <c r="D99" s="197" t="s">
        <v>658</v>
      </c>
      <c r="E99" s="199">
        <v>8.0</v>
      </c>
      <c r="F99" s="200">
        <v>45950.45833333333</v>
      </c>
      <c r="G99" s="197" t="s">
        <v>845</v>
      </c>
      <c r="H99" s="197" t="s">
        <v>844</v>
      </c>
    </row>
    <row r="100" ht="15.75" customHeight="1">
      <c r="A100" s="197" t="s">
        <v>51</v>
      </c>
      <c r="B100" s="197" t="s">
        <v>22</v>
      </c>
      <c r="C100" s="198" t="s">
        <v>657</v>
      </c>
      <c r="D100" s="197" t="s">
        <v>658</v>
      </c>
      <c r="E100" s="199">
        <v>9.0</v>
      </c>
      <c r="F100" s="200">
        <v>45957.45833333333</v>
      </c>
      <c r="G100" s="197" t="s">
        <v>845</v>
      </c>
      <c r="H100" s="197" t="s">
        <v>844</v>
      </c>
    </row>
    <row r="101" ht="15.75" customHeight="1">
      <c r="A101" s="197" t="s">
        <v>51</v>
      </c>
      <c r="B101" s="197" t="s">
        <v>22</v>
      </c>
      <c r="C101" s="198" t="s">
        <v>657</v>
      </c>
      <c r="D101" s="197" t="s">
        <v>658</v>
      </c>
      <c r="E101" s="199">
        <v>10.0</v>
      </c>
      <c r="F101" s="200">
        <v>45965.45833333333</v>
      </c>
      <c r="G101" s="197" t="s">
        <v>845</v>
      </c>
      <c r="H101" s="197" t="s">
        <v>844</v>
      </c>
    </row>
    <row r="102" ht="15.75" customHeight="1">
      <c r="A102" s="197" t="s">
        <v>51</v>
      </c>
      <c r="B102" s="197" t="s">
        <v>22</v>
      </c>
      <c r="C102" s="198" t="s">
        <v>657</v>
      </c>
      <c r="D102" s="197" t="s">
        <v>658</v>
      </c>
      <c r="E102" s="199">
        <v>11.0</v>
      </c>
      <c r="F102" s="200">
        <v>45972.45833333333</v>
      </c>
      <c r="G102" s="197" t="s">
        <v>845</v>
      </c>
      <c r="H102" s="197" t="s">
        <v>844</v>
      </c>
    </row>
    <row r="103" ht="15.75" customHeight="1">
      <c r="A103" s="197" t="s">
        <v>51</v>
      </c>
      <c r="B103" s="197" t="s">
        <v>22</v>
      </c>
      <c r="C103" s="198" t="s">
        <v>657</v>
      </c>
      <c r="D103" s="197" t="s">
        <v>658</v>
      </c>
      <c r="E103" s="199">
        <v>12.0</v>
      </c>
      <c r="F103" s="200">
        <v>45979.45833333333</v>
      </c>
      <c r="G103" s="197" t="s">
        <v>845</v>
      </c>
      <c r="H103" s="197" t="s">
        <v>844</v>
      </c>
    </row>
    <row r="104" ht="15.75" customHeight="1">
      <c r="A104" s="197" t="s">
        <v>51</v>
      </c>
      <c r="B104" s="197" t="s">
        <v>22</v>
      </c>
      <c r="C104" s="198" t="s">
        <v>657</v>
      </c>
      <c r="D104" s="197" t="s">
        <v>658</v>
      </c>
      <c r="E104" s="199">
        <v>13.0</v>
      </c>
      <c r="F104" s="200">
        <v>45986.45833333333</v>
      </c>
      <c r="G104" s="197" t="s">
        <v>845</v>
      </c>
      <c r="H104" s="197" t="s">
        <v>844</v>
      </c>
    </row>
    <row r="105" ht="15.75" customHeight="1">
      <c r="A105" s="197" t="s">
        <v>51</v>
      </c>
      <c r="B105" s="197" t="s">
        <v>22</v>
      </c>
      <c r="C105" s="198" t="s">
        <v>657</v>
      </c>
      <c r="D105" s="197" t="s">
        <v>658</v>
      </c>
      <c r="E105" s="199">
        <v>14.0</v>
      </c>
      <c r="F105" s="200">
        <v>45993.41666666667</v>
      </c>
      <c r="G105" s="197" t="s">
        <v>845</v>
      </c>
      <c r="H105" s="197" t="s">
        <v>844</v>
      </c>
    </row>
    <row r="106" ht="15.75" customHeight="1">
      <c r="A106" s="197" t="s">
        <v>51</v>
      </c>
      <c r="B106" s="197" t="s">
        <v>22</v>
      </c>
      <c r="C106" s="198" t="s">
        <v>657</v>
      </c>
      <c r="D106" s="197" t="s">
        <v>658</v>
      </c>
      <c r="E106" s="199">
        <v>15.0</v>
      </c>
      <c r="F106" s="200">
        <v>46000.45833333333</v>
      </c>
      <c r="G106" s="197" t="s">
        <v>845</v>
      </c>
      <c r="H106" s="197" t="s">
        <v>844</v>
      </c>
    </row>
    <row r="107" ht="15.75" customHeight="1">
      <c r="A107" s="197" t="s">
        <v>51</v>
      </c>
      <c r="B107" s="197" t="s">
        <v>22</v>
      </c>
      <c r="C107" s="198" t="s">
        <v>657</v>
      </c>
      <c r="D107" s="197" t="s">
        <v>658</v>
      </c>
      <c r="E107" s="199">
        <v>16.0</v>
      </c>
      <c r="F107" s="200">
        <v>46042.41666666667</v>
      </c>
      <c r="G107" s="197" t="s">
        <v>845</v>
      </c>
      <c r="H107" s="197" t="s">
        <v>844</v>
      </c>
    </row>
    <row r="108" ht="15.75" customHeight="1">
      <c r="A108" s="197" t="s">
        <v>51</v>
      </c>
      <c r="B108" s="197" t="s">
        <v>24</v>
      </c>
      <c r="C108" s="198" t="s">
        <v>659</v>
      </c>
      <c r="D108" s="197" t="s">
        <v>660</v>
      </c>
      <c r="E108" s="199">
        <v>1.0</v>
      </c>
      <c r="F108" s="200">
        <v>46084.54166666667</v>
      </c>
      <c r="G108" s="197" t="s">
        <v>845</v>
      </c>
      <c r="H108" s="197" t="s">
        <v>844</v>
      </c>
    </row>
    <row r="109" ht="15.75" customHeight="1">
      <c r="A109" s="197" t="s">
        <v>51</v>
      </c>
      <c r="B109" s="197" t="s">
        <v>24</v>
      </c>
      <c r="C109" s="198" t="s">
        <v>659</v>
      </c>
      <c r="D109" s="197" t="s">
        <v>660</v>
      </c>
      <c r="E109" s="199">
        <v>2.0</v>
      </c>
      <c r="F109" s="200">
        <v>46091.58333333333</v>
      </c>
      <c r="G109" s="197" t="s">
        <v>845</v>
      </c>
      <c r="H109" s="197" t="s">
        <v>844</v>
      </c>
    </row>
    <row r="110" ht="15.75" customHeight="1">
      <c r="A110" s="197" t="s">
        <v>51</v>
      </c>
      <c r="B110" s="197" t="s">
        <v>24</v>
      </c>
      <c r="C110" s="198" t="s">
        <v>659</v>
      </c>
      <c r="D110" s="197" t="s">
        <v>660</v>
      </c>
      <c r="E110" s="199">
        <v>3.0</v>
      </c>
      <c r="F110" s="200">
        <v>46098.58333333333</v>
      </c>
      <c r="G110" s="197" t="s">
        <v>845</v>
      </c>
      <c r="H110" s="197" t="s">
        <v>844</v>
      </c>
    </row>
    <row r="111" ht="15.75" customHeight="1">
      <c r="A111" s="197" t="s">
        <v>51</v>
      </c>
      <c r="B111" s="197" t="s">
        <v>24</v>
      </c>
      <c r="C111" s="198" t="s">
        <v>659</v>
      </c>
      <c r="D111" s="197" t="s">
        <v>660</v>
      </c>
      <c r="E111" s="199">
        <v>4.0</v>
      </c>
      <c r="F111" s="200">
        <v>46105.58333333333</v>
      </c>
      <c r="G111" s="197" t="s">
        <v>845</v>
      </c>
      <c r="H111" s="197" t="s">
        <v>844</v>
      </c>
    </row>
    <row r="112" ht="15.75" customHeight="1">
      <c r="A112" s="197" t="s">
        <v>51</v>
      </c>
      <c r="B112" s="197" t="s">
        <v>24</v>
      </c>
      <c r="C112" s="198" t="s">
        <v>659</v>
      </c>
      <c r="D112" s="197" t="s">
        <v>660</v>
      </c>
      <c r="E112" s="199">
        <v>5.0</v>
      </c>
      <c r="F112" s="200">
        <v>46120.58333333333</v>
      </c>
      <c r="G112" s="197" t="s">
        <v>845</v>
      </c>
      <c r="H112" s="197" t="s">
        <v>844</v>
      </c>
    </row>
    <row r="113" ht="15.75" customHeight="1">
      <c r="A113" s="197" t="s">
        <v>51</v>
      </c>
      <c r="B113" s="197" t="s">
        <v>24</v>
      </c>
      <c r="C113" s="198" t="s">
        <v>659</v>
      </c>
      <c r="D113" s="197" t="s">
        <v>660</v>
      </c>
      <c r="E113" s="199">
        <v>6.0</v>
      </c>
      <c r="F113" s="200">
        <v>46127.58333333333</v>
      </c>
      <c r="G113" s="197" t="s">
        <v>845</v>
      </c>
      <c r="H113" s="197" t="s">
        <v>844</v>
      </c>
    </row>
    <row r="114" ht="15.75" customHeight="1">
      <c r="A114" s="197" t="s">
        <v>51</v>
      </c>
      <c r="B114" s="197" t="s">
        <v>21</v>
      </c>
      <c r="C114" s="198" t="s">
        <v>659</v>
      </c>
      <c r="D114" s="197" t="s">
        <v>660</v>
      </c>
      <c r="E114" s="199">
        <v>1.0</v>
      </c>
      <c r="F114" s="200">
        <v>45700.41666666667</v>
      </c>
      <c r="G114" s="197" t="s">
        <v>845</v>
      </c>
      <c r="H114" s="197" t="s">
        <v>844</v>
      </c>
    </row>
    <row r="115" ht="15.75" customHeight="1">
      <c r="A115" s="197" t="s">
        <v>51</v>
      </c>
      <c r="B115" s="197" t="s">
        <v>21</v>
      </c>
      <c r="C115" s="198" t="s">
        <v>659</v>
      </c>
      <c r="D115" s="197" t="s">
        <v>660</v>
      </c>
      <c r="E115" s="199">
        <v>2.0</v>
      </c>
      <c r="F115" s="200">
        <v>45712.45833333333</v>
      </c>
      <c r="G115" s="197" t="s">
        <v>845</v>
      </c>
      <c r="H115" s="197" t="s">
        <v>844</v>
      </c>
    </row>
    <row r="116" ht="15.75" customHeight="1">
      <c r="A116" s="197" t="s">
        <v>51</v>
      </c>
      <c r="B116" s="197" t="s">
        <v>21</v>
      </c>
      <c r="C116" s="198" t="s">
        <v>659</v>
      </c>
      <c r="D116" s="197" t="s">
        <v>660</v>
      </c>
      <c r="E116" s="199">
        <v>3.0</v>
      </c>
      <c r="F116" s="200">
        <v>45763.58333333333</v>
      </c>
      <c r="G116" s="197" t="s">
        <v>845</v>
      </c>
      <c r="H116" s="197" t="s">
        <v>844</v>
      </c>
    </row>
    <row r="117" ht="15.75" customHeight="1">
      <c r="A117" s="197" t="s">
        <v>51</v>
      </c>
      <c r="B117" s="197" t="s">
        <v>21</v>
      </c>
      <c r="C117" s="198" t="s">
        <v>659</v>
      </c>
      <c r="D117" s="197" t="s">
        <v>660</v>
      </c>
      <c r="E117" s="199">
        <v>4.0</v>
      </c>
      <c r="F117" s="200">
        <v>45770.54166666667</v>
      </c>
      <c r="G117" s="197" t="s">
        <v>845</v>
      </c>
      <c r="H117" s="197" t="s">
        <v>844</v>
      </c>
    </row>
    <row r="118" ht="15.75" customHeight="1">
      <c r="A118" s="197" t="s">
        <v>51</v>
      </c>
      <c r="B118" s="197" t="s">
        <v>21</v>
      </c>
      <c r="C118" s="198" t="s">
        <v>659</v>
      </c>
      <c r="D118" s="197" t="s">
        <v>660</v>
      </c>
      <c r="E118" s="199">
        <v>5.0</v>
      </c>
      <c r="F118" s="200">
        <v>45784.45833333333</v>
      </c>
      <c r="G118" s="197" t="s">
        <v>845</v>
      </c>
      <c r="H118" s="197" t="s">
        <v>844</v>
      </c>
    </row>
    <row r="119" ht="15.75" customHeight="1">
      <c r="A119" s="197" t="s">
        <v>51</v>
      </c>
      <c r="B119" s="197" t="s">
        <v>21</v>
      </c>
      <c r="C119" s="198" t="s">
        <v>659</v>
      </c>
      <c r="D119" s="197" t="s">
        <v>660</v>
      </c>
      <c r="E119" s="199">
        <v>6.0</v>
      </c>
      <c r="F119" s="200">
        <v>45819.58333333333</v>
      </c>
      <c r="G119" s="197" t="s">
        <v>845</v>
      </c>
      <c r="H119" s="197" t="s">
        <v>844</v>
      </c>
    </row>
    <row r="120" ht="15.75" customHeight="1">
      <c r="A120" s="197" t="s">
        <v>51</v>
      </c>
      <c r="B120" s="197" t="s">
        <v>21</v>
      </c>
      <c r="C120" s="198" t="s">
        <v>659</v>
      </c>
      <c r="D120" s="197" t="s">
        <v>660</v>
      </c>
      <c r="E120" s="199">
        <v>7.0</v>
      </c>
      <c r="F120" s="200">
        <v>45824.54166666667</v>
      </c>
      <c r="G120" s="197" t="s">
        <v>845</v>
      </c>
      <c r="H120" s="197" t="s">
        <v>844</v>
      </c>
    </row>
    <row r="121" ht="15.75" customHeight="1">
      <c r="A121" s="197" t="s">
        <v>51</v>
      </c>
      <c r="B121" s="197" t="s">
        <v>21</v>
      </c>
      <c r="C121" s="198" t="s">
        <v>659</v>
      </c>
      <c r="D121" s="197" t="s">
        <v>660</v>
      </c>
      <c r="E121" s="199">
        <v>8.0</v>
      </c>
      <c r="F121" s="200">
        <v>45831.54166666667</v>
      </c>
      <c r="G121" s="197" t="s">
        <v>845</v>
      </c>
      <c r="H121" s="197" t="s">
        <v>844</v>
      </c>
    </row>
    <row r="122" ht="15.75" customHeight="1">
      <c r="A122" s="197" t="s">
        <v>51</v>
      </c>
      <c r="B122" s="197" t="s">
        <v>21</v>
      </c>
      <c r="C122" s="198" t="s">
        <v>659</v>
      </c>
      <c r="D122" s="197" t="s">
        <v>660</v>
      </c>
      <c r="E122" s="199">
        <v>9.0</v>
      </c>
      <c r="F122" s="200">
        <v>45840.54166666667</v>
      </c>
      <c r="G122" s="197" t="s">
        <v>845</v>
      </c>
      <c r="H122" s="197" t="s">
        <v>844</v>
      </c>
    </row>
    <row r="123" ht="15.75" customHeight="1">
      <c r="A123" s="197" t="s">
        <v>51</v>
      </c>
      <c r="B123" s="197" t="s">
        <v>21</v>
      </c>
      <c r="C123" s="198" t="s">
        <v>659</v>
      </c>
      <c r="D123" s="197" t="s">
        <v>660</v>
      </c>
      <c r="E123" s="199">
        <v>10.0</v>
      </c>
      <c r="F123" s="200">
        <v>45867.41666666667</v>
      </c>
      <c r="G123" s="197" t="s">
        <v>845</v>
      </c>
      <c r="H123" s="197" t="s">
        <v>844</v>
      </c>
    </row>
    <row r="124" ht="15.75" customHeight="1">
      <c r="A124" s="197" t="s">
        <v>51</v>
      </c>
      <c r="B124" s="197" t="s">
        <v>22</v>
      </c>
      <c r="C124" s="198" t="s">
        <v>659</v>
      </c>
      <c r="D124" s="197" t="s">
        <v>660</v>
      </c>
      <c r="E124" s="199">
        <v>1.0</v>
      </c>
      <c r="F124" s="200">
        <v>45889.45833333333</v>
      </c>
      <c r="G124" s="197" t="s">
        <v>845</v>
      </c>
      <c r="H124" s="197" t="s">
        <v>844</v>
      </c>
    </row>
    <row r="125" ht="15.75" customHeight="1">
      <c r="A125" s="197" t="s">
        <v>51</v>
      </c>
      <c r="B125" s="197" t="s">
        <v>22</v>
      </c>
      <c r="C125" s="198" t="s">
        <v>659</v>
      </c>
      <c r="D125" s="197" t="s">
        <v>660</v>
      </c>
      <c r="E125" s="199">
        <v>2.0</v>
      </c>
      <c r="F125" s="200">
        <v>45896.45833333333</v>
      </c>
      <c r="G125" s="197" t="s">
        <v>845</v>
      </c>
      <c r="H125" s="197" t="s">
        <v>844</v>
      </c>
    </row>
    <row r="126" ht="15.75" customHeight="1">
      <c r="A126" s="197" t="s">
        <v>51</v>
      </c>
      <c r="B126" s="197" t="s">
        <v>22</v>
      </c>
      <c r="C126" s="198" t="s">
        <v>659</v>
      </c>
      <c r="D126" s="197" t="s">
        <v>660</v>
      </c>
      <c r="E126" s="199">
        <v>4.0</v>
      </c>
      <c r="F126" s="200">
        <v>45922.54166666667</v>
      </c>
      <c r="G126" s="197" t="s">
        <v>845</v>
      </c>
      <c r="H126" s="197" t="s">
        <v>844</v>
      </c>
    </row>
    <row r="127" ht="15.75" customHeight="1">
      <c r="A127" s="197" t="s">
        <v>51</v>
      </c>
      <c r="B127" s="197" t="s">
        <v>22</v>
      </c>
      <c r="C127" s="198" t="s">
        <v>659</v>
      </c>
      <c r="D127" s="197" t="s">
        <v>660</v>
      </c>
      <c r="E127" s="199">
        <v>5.0</v>
      </c>
      <c r="F127" s="200">
        <v>45930.45833333333</v>
      </c>
      <c r="G127" s="197" t="s">
        <v>845</v>
      </c>
      <c r="H127" s="197" t="s">
        <v>844</v>
      </c>
    </row>
    <row r="128" ht="15.75" customHeight="1">
      <c r="A128" s="197" t="s">
        <v>51</v>
      </c>
      <c r="B128" s="197" t="s">
        <v>22</v>
      </c>
      <c r="C128" s="198" t="s">
        <v>659</v>
      </c>
      <c r="D128" s="197" t="s">
        <v>660</v>
      </c>
      <c r="E128" s="199">
        <v>6.0</v>
      </c>
      <c r="F128" s="200">
        <v>45937.45833333333</v>
      </c>
      <c r="G128" s="197" t="s">
        <v>845</v>
      </c>
      <c r="H128" s="197" t="s">
        <v>844</v>
      </c>
    </row>
    <row r="129" ht="15.75" customHeight="1">
      <c r="A129" s="197" t="s">
        <v>51</v>
      </c>
      <c r="B129" s="197" t="s">
        <v>22</v>
      </c>
      <c r="C129" s="198" t="s">
        <v>659</v>
      </c>
      <c r="D129" s="197" t="s">
        <v>660</v>
      </c>
      <c r="E129" s="199">
        <v>7.0</v>
      </c>
      <c r="F129" s="200">
        <v>45944.45833333333</v>
      </c>
      <c r="G129" s="197" t="s">
        <v>845</v>
      </c>
      <c r="H129" s="197" t="s">
        <v>844</v>
      </c>
    </row>
    <row r="130" ht="15.75" customHeight="1">
      <c r="A130" s="197" t="s">
        <v>51</v>
      </c>
      <c r="B130" s="197" t="s">
        <v>22</v>
      </c>
      <c r="C130" s="198" t="s">
        <v>659</v>
      </c>
      <c r="D130" s="197" t="s">
        <v>660</v>
      </c>
      <c r="E130" s="199">
        <v>8.0</v>
      </c>
      <c r="F130" s="200">
        <v>45950.45833333333</v>
      </c>
      <c r="G130" s="197" t="s">
        <v>845</v>
      </c>
      <c r="H130" s="197" t="s">
        <v>844</v>
      </c>
    </row>
    <row r="131" ht="15.75" customHeight="1">
      <c r="A131" s="197" t="s">
        <v>51</v>
      </c>
      <c r="B131" s="197" t="s">
        <v>22</v>
      </c>
      <c r="C131" s="198" t="s">
        <v>659</v>
      </c>
      <c r="D131" s="197" t="s">
        <v>660</v>
      </c>
      <c r="E131" s="199">
        <v>9.0</v>
      </c>
      <c r="F131" s="200">
        <v>45957.45833333333</v>
      </c>
      <c r="G131" s="197" t="s">
        <v>845</v>
      </c>
      <c r="H131" s="197" t="s">
        <v>844</v>
      </c>
    </row>
    <row r="132" ht="15.75" customHeight="1">
      <c r="A132" s="197" t="s">
        <v>51</v>
      </c>
      <c r="B132" s="197" t="s">
        <v>22</v>
      </c>
      <c r="C132" s="198" t="s">
        <v>659</v>
      </c>
      <c r="D132" s="197" t="s">
        <v>660</v>
      </c>
      <c r="E132" s="199">
        <v>10.0</v>
      </c>
      <c r="F132" s="200">
        <v>45965.45833333333</v>
      </c>
      <c r="G132" s="197" t="s">
        <v>845</v>
      </c>
      <c r="H132" s="197" t="s">
        <v>844</v>
      </c>
    </row>
    <row r="133" ht="15.75" customHeight="1">
      <c r="A133" s="197" t="s">
        <v>51</v>
      </c>
      <c r="B133" s="197" t="s">
        <v>22</v>
      </c>
      <c r="C133" s="198" t="s">
        <v>659</v>
      </c>
      <c r="D133" s="197" t="s">
        <v>660</v>
      </c>
      <c r="E133" s="199">
        <v>11.0</v>
      </c>
      <c r="F133" s="200">
        <v>45972.45833333333</v>
      </c>
      <c r="G133" s="197" t="s">
        <v>845</v>
      </c>
      <c r="H133" s="197" t="s">
        <v>844</v>
      </c>
    </row>
    <row r="134" ht="15.75" customHeight="1">
      <c r="A134" s="197" t="s">
        <v>51</v>
      </c>
      <c r="B134" s="197" t="s">
        <v>22</v>
      </c>
      <c r="C134" s="198" t="s">
        <v>659</v>
      </c>
      <c r="D134" s="197" t="s">
        <v>660</v>
      </c>
      <c r="E134" s="199">
        <v>12.0</v>
      </c>
      <c r="F134" s="200">
        <v>45979.45833333333</v>
      </c>
      <c r="G134" s="197" t="s">
        <v>845</v>
      </c>
      <c r="H134" s="197" t="s">
        <v>844</v>
      </c>
    </row>
    <row r="135" ht="15.75" customHeight="1">
      <c r="A135" s="197" t="s">
        <v>51</v>
      </c>
      <c r="B135" s="197" t="s">
        <v>22</v>
      </c>
      <c r="C135" s="198" t="s">
        <v>659</v>
      </c>
      <c r="D135" s="197" t="s">
        <v>660</v>
      </c>
      <c r="E135" s="199">
        <v>13.0</v>
      </c>
      <c r="F135" s="200">
        <v>45986.45833333333</v>
      </c>
      <c r="G135" s="197" t="s">
        <v>845</v>
      </c>
      <c r="H135" s="197" t="s">
        <v>844</v>
      </c>
    </row>
    <row r="136" ht="15.75" customHeight="1">
      <c r="A136" s="197" t="s">
        <v>51</v>
      </c>
      <c r="B136" s="197" t="s">
        <v>22</v>
      </c>
      <c r="C136" s="198" t="s">
        <v>659</v>
      </c>
      <c r="D136" s="197" t="s">
        <v>660</v>
      </c>
      <c r="E136" s="199">
        <v>14.0</v>
      </c>
      <c r="F136" s="200">
        <v>45993.41666666667</v>
      </c>
      <c r="G136" s="197" t="s">
        <v>845</v>
      </c>
      <c r="H136" s="197" t="s">
        <v>844</v>
      </c>
    </row>
    <row r="137" ht="15.75" customHeight="1">
      <c r="A137" s="197" t="s">
        <v>51</v>
      </c>
      <c r="B137" s="197" t="s">
        <v>22</v>
      </c>
      <c r="C137" s="198" t="s">
        <v>659</v>
      </c>
      <c r="D137" s="197" t="s">
        <v>660</v>
      </c>
      <c r="E137" s="199">
        <v>15.0</v>
      </c>
      <c r="F137" s="200">
        <v>46000.45833333333</v>
      </c>
      <c r="G137" s="197" t="s">
        <v>845</v>
      </c>
      <c r="H137" s="197" t="s">
        <v>844</v>
      </c>
    </row>
    <row r="138" ht="15.75" customHeight="1">
      <c r="A138" s="197" t="s">
        <v>51</v>
      </c>
      <c r="B138" s="197" t="s">
        <v>22</v>
      </c>
      <c r="C138" s="198" t="s">
        <v>659</v>
      </c>
      <c r="D138" s="197" t="s">
        <v>660</v>
      </c>
      <c r="E138" s="199">
        <v>16.0</v>
      </c>
      <c r="F138" s="200">
        <v>46042.41666666667</v>
      </c>
      <c r="G138" s="197" t="s">
        <v>845</v>
      </c>
      <c r="H138" s="197" t="s">
        <v>844</v>
      </c>
    </row>
    <row r="139" ht="15.75" customHeight="1">
      <c r="A139" s="197" t="s">
        <v>51</v>
      </c>
      <c r="B139" s="197" t="s">
        <v>24</v>
      </c>
      <c r="C139" s="198" t="s">
        <v>721</v>
      </c>
      <c r="D139" s="197" t="s">
        <v>722</v>
      </c>
      <c r="E139" s="199">
        <v>1.0</v>
      </c>
      <c r="F139" s="200">
        <v>46084.54166666667</v>
      </c>
      <c r="G139" s="197" t="s">
        <v>845</v>
      </c>
      <c r="H139" s="197" t="s">
        <v>844</v>
      </c>
    </row>
    <row r="140" ht="15.75" customHeight="1">
      <c r="A140" s="197" t="s">
        <v>51</v>
      </c>
      <c r="B140" s="197" t="s">
        <v>24</v>
      </c>
      <c r="C140" s="198" t="s">
        <v>721</v>
      </c>
      <c r="D140" s="197" t="s">
        <v>722</v>
      </c>
      <c r="E140" s="199">
        <v>2.0</v>
      </c>
      <c r="F140" s="200">
        <v>46091.58333333333</v>
      </c>
      <c r="G140" s="197" t="s">
        <v>845</v>
      </c>
      <c r="H140" s="197" t="s">
        <v>844</v>
      </c>
    </row>
    <row r="141" ht="15.75" customHeight="1">
      <c r="A141" s="197" t="s">
        <v>51</v>
      </c>
      <c r="B141" s="197" t="s">
        <v>24</v>
      </c>
      <c r="C141" s="198" t="s">
        <v>721</v>
      </c>
      <c r="D141" s="197" t="s">
        <v>722</v>
      </c>
      <c r="E141" s="199">
        <v>3.0</v>
      </c>
      <c r="F141" s="200">
        <v>46098.58333333333</v>
      </c>
      <c r="G141" s="197" t="s">
        <v>845</v>
      </c>
      <c r="H141" s="197" t="s">
        <v>844</v>
      </c>
    </row>
    <row r="142" ht="15.75" customHeight="1">
      <c r="A142" s="197" t="s">
        <v>51</v>
      </c>
      <c r="B142" s="197" t="s">
        <v>24</v>
      </c>
      <c r="C142" s="198" t="s">
        <v>721</v>
      </c>
      <c r="D142" s="197" t="s">
        <v>722</v>
      </c>
      <c r="E142" s="199">
        <v>4.0</v>
      </c>
      <c r="F142" s="200">
        <v>46105.58333333333</v>
      </c>
      <c r="G142" s="197" t="s">
        <v>845</v>
      </c>
      <c r="H142" s="197" t="s">
        <v>844</v>
      </c>
    </row>
    <row r="143" ht="15.75" customHeight="1">
      <c r="A143" s="197" t="s">
        <v>51</v>
      </c>
      <c r="B143" s="197" t="s">
        <v>24</v>
      </c>
      <c r="C143" s="198" t="s">
        <v>721</v>
      </c>
      <c r="D143" s="197" t="s">
        <v>722</v>
      </c>
      <c r="E143" s="199">
        <v>5.0</v>
      </c>
      <c r="F143" s="200">
        <v>46120.58333333333</v>
      </c>
      <c r="G143" s="197" t="s">
        <v>845</v>
      </c>
      <c r="H143" s="197" t="s">
        <v>844</v>
      </c>
    </row>
    <row r="144" ht="15.75" customHeight="1">
      <c r="A144" s="197" t="s">
        <v>51</v>
      </c>
      <c r="B144" s="197" t="s">
        <v>24</v>
      </c>
      <c r="C144" s="198" t="s">
        <v>721</v>
      </c>
      <c r="D144" s="197" t="s">
        <v>722</v>
      </c>
      <c r="E144" s="199">
        <v>6.0</v>
      </c>
      <c r="F144" s="200">
        <v>46127.58333333333</v>
      </c>
      <c r="G144" s="197" t="s">
        <v>845</v>
      </c>
      <c r="H144" s="197" t="s">
        <v>844</v>
      </c>
    </row>
    <row r="145" ht="15.75" customHeight="1">
      <c r="A145" s="197" t="s">
        <v>51</v>
      </c>
      <c r="B145" s="197" t="s">
        <v>21</v>
      </c>
      <c r="C145" s="198" t="s">
        <v>721</v>
      </c>
      <c r="D145" s="197" t="s">
        <v>722</v>
      </c>
      <c r="E145" s="199">
        <v>1.0</v>
      </c>
      <c r="F145" s="200">
        <v>45700.41666666667</v>
      </c>
      <c r="G145" s="197" t="s">
        <v>845</v>
      </c>
      <c r="H145" s="197" t="s">
        <v>844</v>
      </c>
    </row>
    <row r="146" ht="15.75" customHeight="1">
      <c r="A146" s="197" t="s">
        <v>51</v>
      </c>
      <c r="B146" s="197" t="s">
        <v>21</v>
      </c>
      <c r="C146" s="198" t="s">
        <v>721</v>
      </c>
      <c r="D146" s="197" t="s">
        <v>722</v>
      </c>
      <c r="E146" s="199">
        <v>2.0</v>
      </c>
      <c r="F146" s="200">
        <v>45712.45833333333</v>
      </c>
      <c r="G146" s="197" t="s">
        <v>845</v>
      </c>
      <c r="H146" s="197" t="s">
        <v>844</v>
      </c>
    </row>
    <row r="147" ht="15.75" customHeight="1">
      <c r="A147" s="197" t="s">
        <v>51</v>
      </c>
      <c r="B147" s="197" t="s">
        <v>21</v>
      </c>
      <c r="C147" s="198" t="s">
        <v>721</v>
      </c>
      <c r="D147" s="197" t="s">
        <v>722</v>
      </c>
      <c r="E147" s="199">
        <v>3.0</v>
      </c>
      <c r="F147" s="200">
        <v>45763.58333333333</v>
      </c>
      <c r="G147" s="197" t="s">
        <v>845</v>
      </c>
      <c r="H147" s="197" t="s">
        <v>844</v>
      </c>
    </row>
    <row r="148" ht="15.75" customHeight="1">
      <c r="A148" s="197" t="s">
        <v>51</v>
      </c>
      <c r="B148" s="197" t="s">
        <v>21</v>
      </c>
      <c r="C148" s="198" t="s">
        <v>721</v>
      </c>
      <c r="D148" s="197" t="s">
        <v>722</v>
      </c>
      <c r="E148" s="199">
        <v>4.0</v>
      </c>
      <c r="F148" s="200">
        <v>45770.54166666667</v>
      </c>
      <c r="G148" s="197" t="s">
        <v>845</v>
      </c>
      <c r="H148" s="197" t="s">
        <v>844</v>
      </c>
    </row>
    <row r="149" ht="15.75" customHeight="1">
      <c r="A149" s="197" t="s">
        <v>51</v>
      </c>
      <c r="B149" s="197" t="s">
        <v>21</v>
      </c>
      <c r="C149" s="198" t="s">
        <v>721</v>
      </c>
      <c r="D149" s="197" t="s">
        <v>722</v>
      </c>
      <c r="E149" s="199">
        <v>5.0</v>
      </c>
      <c r="F149" s="200">
        <v>45784.45833333333</v>
      </c>
      <c r="G149" s="197" t="s">
        <v>845</v>
      </c>
      <c r="H149" s="197" t="s">
        <v>844</v>
      </c>
    </row>
    <row r="150" ht="15.75" customHeight="1">
      <c r="A150" s="197" t="s">
        <v>51</v>
      </c>
      <c r="B150" s="197" t="s">
        <v>21</v>
      </c>
      <c r="C150" s="198" t="s">
        <v>721</v>
      </c>
      <c r="D150" s="197" t="s">
        <v>722</v>
      </c>
      <c r="E150" s="199">
        <v>6.0</v>
      </c>
      <c r="F150" s="200">
        <v>45819.58333333333</v>
      </c>
      <c r="G150" s="197" t="s">
        <v>845</v>
      </c>
      <c r="H150" s="197" t="s">
        <v>844</v>
      </c>
    </row>
    <row r="151" ht="15.75" customHeight="1">
      <c r="A151" s="197" t="s">
        <v>51</v>
      </c>
      <c r="B151" s="197" t="s">
        <v>21</v>
      </c>
      <c r="C151" s="198" t="s">
        <v>721</v>
      </c>
      <c r="D151" s="197" t="s">
        <v>722</v>
      </c>
      <c r="E151" s="199">
        <v>7.0</v>
      </c>
      <c r="F151" s="200">
        <v>45824.54166666667</v>
      </c>
      <c r="G151" s="197" t="s">
        <v>845</v>
      </c>
      <c r="H151" s="197" t="s">
        <v>844</v>
      </c>
    </row>
    <row r="152" ht="15.75" customHeight="1">
      <c r="A152" s="197" t="s">
        <v>51</v>
      </c>
      <c r="B152" s="197" t="s">
        <v>21</v>
      </c>
      <c r="C152" s="198" t="s">
        <v>721</v>
      </c>
      <c r="D152" s="197" t="s">
        <v>722</v>
      </c>
      <c r="E152" s="199">
        <v>8.0</v>
      </c>
      <c r="F152" s="200">
        <v>45831.54166666667</v>
      </c>
      <c r="G152" s="197" t="s">
        <v>845</v>
      </c>
      <c r="H152" s="197" t="s">
        <v>844</v>
      </c>
    </row>
    <row r="153" ht="15.75" customHeight="1">
      <c r="A153" s="197" t="s">
        <v>51</v>
      </c>
      <c r="B153" s="197" t="s">
        <v>21</v>
      </c>
      <c r="C153" s="198" t="s">
        <v>721</v>
      </c>
      <c r="D153" s="197" t="s">
        <v>722</v>
      </c>
      <c r="E153" s="199">
        <v>9.0</v>
      </c>
      <c r="F153" s="200">
        <v>45840.54166666667</v>
      </c>
      <c r="G153" s="197" t="s">
        <v>845</v>
      </c>
      <c r="H153" s="197" t="s">
        <v>844</v>
      </c>
    </row>
    <row r="154" ht="15.75" customHeight="1">
      <c r="A154" s="197" t="s">
        <v>51</v>
      </c>
      <c r="B154" s="197" t="s">
        <v>21</v>
      </c>
      <c r="C154" s="198" t="s">
        <v>721</v>
      </c>
      <c r="D154" s="197" t="s">
        <v>722</v>
      </c>
      <c r="E154" s="199">
        <v>10.0</v>
      </c>
      <c r="F154" s="200">
        <v>45867.41666666667</v>
      </c>
      <c r="G154" s="197" t="s">
        <v>845</v>
      </c>
      <c r="H154" s="197" t="s">
        <v>844</v>
      </c>
    </row>
    <row r="155" ht="15.75" customHeight="1">
      <c r="A155" s="197" t="s">
        <v>51</v>
      </c>
      <c r="B155" s="197" t="s">
        <v>22</v>
      </c>
      <c r="C155" s="198" t="s">
        <v>721</v>
      </c>
      <c r="D155" s="197" t="s">
        <v>722</v>
      </c>
      <c r="E155" s="199">
        <v>1.0</v>
      </c>
      <c r="F155" s="200">
        <v>45889.45833333333</v>
      </c>
      <c r="G155" s="197" t="s">
        <v>845</v>
      </c>
      <c r="H155" s="197" t="s">
        <v>844</v>
      </c>
    </row>
    <row r="156" ht="15.75" customHeight="1">
      <c r="A156" s="197" t="s">
        <v>51</v>
      </c>
      <c r="B156" s="197" t="s">
        <v>22</v>
      </c>
      <c r="C156" s="198" t="s">
        <v>721</v>
      </c>
      <c r="D156" s="197" t="s">
        <v>722</v>
      </c>
      <c r="E156" s="199">
        <v>2.0</v>
      </c>
      <c r="F156" s="200">
        <v>45896.45833333333</v>
      </c>
      <c r="G156" s="197" t="s">
        <v>845</v>
      </c>
      <c r="H156" s="197" t="s">
        <v>844</v>
      </c>
    </row>
    <row r="157" ht="15.75" customHeight="1">
      <c r="A157" s="197" t="s">
        <v>51</v>
      </c>
      <c r="B157" s="197" t="s">
        <v>22</v>
      </c>
      <c r="C157" s="198" t="s">
        <v>721</v>
      </c>
      <c r="D157" s="197" t="s">
        <v>722</v>
      </c>
      <c r="E157" s="199">
        <v>4.0</v>
      </c>
      <c r="F157" s="200">
        <v>45922.54166666667</v>
      </c>
      <c r="G157" s="197" t="s">
        <v>845</v>
      </c>
      <c r="H157" s="197" t="s">
        <v>844</v>
      </c>
    </row>
    <row r="158" ht="15.75" customHeight="1">
      <c r="A158" s="197" t="s">
        <v>51</v>
      </c>
      <c r="B158" s="197" t="s">
        <v>22</v>
      </c>
      <c r="C158" s="198" t="s">
        <v>721</v>
      </c>
      <c r="D158" s="197" t="s">
        <v>722</v>
      </c>
      <c r="E158" s="199">
        <v>5.0</v>
      </c>
      <c r="F158" s="200">
        <v>45930.45833333333</v>
      </c>
      <c r="G158" s="197" t="s">
        <v>845</v>
      </c>
      <c r="H158" s="197" t="s">
        <v>844</v>
      </c>
    </row>
    <row r="159" ht="15.75" customHeight="1">
      <c r="A159" s="197" t="s">
        <v>51</v>
      </c>
      <c r="B159" s="197" t="s">
        <v>22</v>
      </c>
      <c r="C159" s="198" t="s">
        <v>721</v>
      </c>
      <c r="D159" s="197" t="s">
        <v>722</v>
      </c>
      <c r="E159" s="199">
        <v>6.0</v>
      </c>
      <c r="F159" s="200">
        <v>45937.45833333333</v>
      </c>
      <c r="G159" s="197" t="s">
        <v>845</v>
      </c>
      <c r="H159" s="197" t="s">
        <v>844</v>
      </c>
    </row>
    <row r="160" ht="15.75" customHeight="1">
      <c r="A160" s="197" t="s">
        <v>51</v>
      </c>
      <c r="B160" s="197" t="s">
        <v>22</v>
      </c>
      <c r="C160" s="198" t="s">
        <v>721</v>
      </c>
      <c r="D160" s="197" t="s">
        <v>722</v>
      </c>
      <c r="E160" s="199">
        <v>7.0</v>
      </c>
      <c r="F160" s="200">
        <v>45944.45833333333</v>
      </c>
      <c r="G160" s="197" t="s">
        <v>845</v>
      </c>
      <c r="H160" s="197" t="s">
        <v>844</v>
      </c>
    </row>
    <row r="161" ht="15.75" customHeight="1">
      <c r="A161" s="197" t="s">
        <v>51</v>
      </c>
      <c r="B161" s="197" t="s">
        <v>22</v>
      </c>
      <c r="C161" s="198" t="s">
        <v>721</v>
      </c>
      <c r="D161" s="197" t="s">
        <v>722</v>
      </c>
      <c r="E161" s="199">
        <v>8.0</v>
      </c>
      <c r="F161" s="200">
        <v>45950.45833333333</v>
      </c>
      <c r="G161" s="197" t="s">
        <v>845</v>
      </c>
      <c r="H161" s="197" t="s">
        <v>844</v>
      </c>
    </row>
    <row r="162" ht="15.75" customHeight="1">
      <c r="A162" s="197" t="s">
        <v>51</v>
      </c>
      <c r="B162" s="197" t="s">
        <v>22</v>
      </c>
      <c r="C162" s="198" t="s">
        <v>721</v>
      </c>
      <c r="D162" s="197" t="s">
        <v>722</v>
      </c>
      <c r="E162" s="199">
        <v>9.0</v>
      </c>
      <c r="F162" s="200">
        <v>45957.45833333333</v>
      </c>
      <c r="G162" s="197" t="s">
        <v>845</v>
      </c>
      <c r="H162" s="197" t="s">
        <v>844</v>
      </c>
    </row>
    <row r="163" ht="15.75" customHeight="1">
      <c r="A163" s="197" t="s">
        <v>51</v>
      </c>
      <c r="B163" s="197" t="s">
        <v>22</v>
      </c>
      <c r="C163" s="198" t="s">
        <v>721</v>
      </c>
      <c r="D163" s="197" t="s">
        <v>722</v>
      </c>
      <c r="E163" s="199">
        <v>10.0</v>
      </c>
      <c r="F163" s="200">
        <v>45965.45833333333</v>
      </c>
      <c r="G163" s="197" t="s">
        <v>845</v>
      </c>
      <c r="H163" s="197" t="s">
        <v>844</v>
      </c>
    </row>
    <row r="164" ht="15.75" customHeight="1">
      <c r="A164" s="197" t="s">
        <v>51</v>
      </c>
      <c r="B164" s="197" t="s">
        <v>22</v>
      </c>
      <c r="C164" s="198" t="s">
        <v>721</v>
      </c>
      <c r="D164" s="197" t="s">
        <v>722</v>
      </c>
      <c r="E164" s="199">
        <v>11.0</v>
      </c>
      <c r="F164" s="200">
        <v>45972.45833333333</v>
      </c>
      <c r="G164" s="197" t="s">
        <v>845</v>
      </c>
      <c r="H164" s="197" t="s">
        <v>844</v>
      </c>
    </row>
    <row r="165" ht="15.75" customHeight="1">
      <c r="A165" s="197" t="s">
        <v>51</v>
      </c>
      <c r="B165" s="197" t="s">
        <v>22</v>
      </c>
      <c r="C165" s="198" t="s">
        <v>721</v>
      </c>
      <c r="D165" s="197" t="s">
        <v>722</v>
      </c>
      <c r="E165" s="199">
        <v>12.0</v>
      </c>
      <c r="F165" s="200">
        <v>45979.45833333333</v>
      </c>
      <c r="G165" s="197" t="s">
        <v>845</v>
      </c>
      <c r="H165" s="197" t="s">
        <v>844</v>
      </c>
    </row>
    <row r="166" ht="15.75" customHeight="1">
      <c r="A166" s="197" t="s">
        <v>51</v>
      </c>
      <c r="B166" s="197" t="s">
        <v>22</v>
      </c>
      <c r="C166" s="198" t="s">
        <v>721</v>
      </c>
      <c r="D166" s="197" t="s">
        <v>722</v>
      </c>
      <c r="E166" s="199">
        <v>13.0</v>
      </c>
      <c r="F166" s="200">
        <v>45986.45833333333</v>
      </c>
      <c r="G166" s="197" t="s">
        <v>845</v>
      </c>
      <c r="H166" s="197" t="s">
        <v>844</v>
      </c>
    </row>
    <row r="167" ht="15.75" customHeight="1">
      <c r="A167" s="197" t="s">
        <v>51</v>
      </c>
      <c r="B167" s="197" t="s">
        <v>22</v>
      </c>
      <c r="C167" s="198" t="s">
        <v>721</v>
      </c>
      <c r="D167" s="197" t="s">
        <v>722</v>
      </c>
      <c r="E167" s="199">
        <v>14.0</v>
      </c>
      <c r="F167" s="200">
        <v>45993.41666666667</v>
      </c>
      <c r="G167" s="197" t="s">
        <v>845</v>
      </c>
      <c r="H167" s="197" t="s">
        <v>844</v>
      </c>
    </row>
    <row r="168" ht="15.75" customHeight="1">
      <c r="A168" s="197" t="s">
        <v>51</v>
      </c>
      <c r="B168" s="197" t="s">
        <v>22</v>
      </c>
      <c r="C168" s="198" t="s">
        <v>721</v>
      </c>
      <c r="D168" s="197" t="s">
        <v>722</v>
      </c>
      <c r="E168" s="199">
        <v>15.0</v>
      </c>
      <c r="F168" s="200">
        <v>46000.45833333333</v>
      </c>
      <c r="G168" s="197" t="s">
        <v>845</v>
      </c>
      <c r="H168" s="197" t="s">
        <v>844</v>
      </c>
    </row>
    <row r="169" ht="15.75" customHeight="1">
      <c r="A169" s="197" t="s">
        <v>51</v>
      </c>
      <c r="B169" s="197" t="s">
        <v>22</v>
      </c>
      <c r="C169" s="198" t="s">
        <v>721</v>
      </c>
      <c r="D169" s="197" t="s">
        <v>722</v>
      </c>
      <c r="E169" s="199">
        <v>16.0</v>
      </c>
      <c r="F169" s="200">
        <v>46042.41666666667</v>
      </c>
      <c r="G169" s="197" t="s">
        <v>845</v>
      </c>
      <c r="H169" s="197" t="s">
        <v>844</v>
      </c>
    </row>
    <row r="170" ht="15.75" customHeight="1">
      <c r="A170" s="197" t="s">
        <v>52</v>
      </c>
      <c r="B170" s="197" t="s">
        <v>21</v>
      </c>
      <c r="C170" s="198" t="s">
        <v>170</v>
      </c>
      <c r="D170" s="197" t="s">
        <v>171</v>
      </c>
      <c r="E170" s="199">
        <v>1.0</v>
      </c>
      <c r="F170" s="200">
        <v>45715.41666666667</v>
      </c>
      <c r="G170" s="197" t="s">
        <v>845</v>
      </c>
      <c r="H170" s="197" t="s">
        <v>846</v>
      </c>
    </row>
    <row r="171" ht="15.75" customHeight="1">
      <c r="A171" s="197" t="s">
        <v>52</v>
      </c>
      <c r="B171" s="197" t="s">
        <v>21</v>
      </c>
      <c r="C171" s="198" t="s">
        <v>170</v>
      </c>
      <c r="D171" s="197" t="s">
        <v>171</v>
      </c>
      <c r="E171" s="199">
        <v>2.0</v>
      </c>
      <c r="F171" s="200">
        <v>45765.54166666667</v>
      </c>
      <c r="G171" s="197" t="s">
        <v>845</v>
      </c>
      <c r="H171" s="197" t="s">
        <v>846</v>
      </c>
    </row>
    <row r="172" ht="15.75" customHeight="1">
      <c r="A172" s="197" t="s">
        <v>52</v>
      </c>
      <c r="B172" s="197" t="s">
        <v>21</v>
      </c>
      <c r="C172" s="198" t="s">
        <v>170</v>
      </c>
      <c r="D172" s="197" t="s">
        <v>171</v>
      </c>
      <c r="E172" s="199">
        <v>3.0</v>
      </c>
      <c r="F172" s="200">
        <v>45771.58333333333</v>
      </c>
      <c r="G172" s="197" t="s">
        <v>843</v>
      </c>
      <c r="H172" s="197" t="s">
        <v>846</v>
      </c>
    </row>
    <row r="173" ht="15.75" customHeight="1">
      <c r="A173" s="197" t="s">
        <v>52</v>
      </c>
      <c r="B173" s="197" t="s">
        <v>21</v>
      </c>
      <c r="C173" s="198" t="s">
        <v>170</v>
      </c>
      <c r="D173" s="197" t="s">
        <v>171</v>
      </c>
      <c r="E173" s="199">
        <v>4.0</v>
      </c>
      <c r="F173" s="200">
        <v>45785.54166666667</v>
      </c>
      <c r="G173" s="197" t="s">
        <v>843</v>
      </c>
      <c r="H173" s="197" t="s">
        <v>846</v>
      </c>
    </row>
    <row r="174" ht="15.75" customHeight="1">
      <c r="A174" s="197" t="s">
        <v>52</v>
      </c>
      <c r="B174" s="197" t="s">
        <v>21</v>
      </c>
      <c r="C174" s="198" t="s">
        <v>170</v>
      </c>
      <c r="D174" s="197" t="s">
        <v>171</v>
      </c>
      <c r="E174" s="199">
        <v>5.0</v>
      </c>
      <c r="F174" s="200">
        <v>45793.54166666667</v>
      </c>
      <c r="G174" s="197" t="s">
        <v>845</v>
      </c>
      <c r="H174" s="197" t="s">
        <v>846</v>
      </c>
    </row>
    <row r="175" ht="15.75" customHeight="1">
      <c r="A175" s="197" t="s">
        <v>52</v>
      </c>
      <c r="B175" s="197" t="s">
        <v>21</v>
      </c>
      <c r="C175" s="198" t="s">
        <v>170</v>
      </c>
      <c r="D175" s="197" t="s">
        <v>171</v>
      </c>
      <c r="E175" s="199">
        <v>6.0</v>
      </c>
      <c r="F175" s="200">
        <v>45800.54166666667</v>
      </c>
      <c r="G175" s="197" t="s">
        <v>845</v>
      </c>
      <c r="H175" s="197" t="s">
        <v>846</v>
      </c>
    </row>
    <row r="176" ht="15.75" customHeight="1">
      <c r="A176" s="197" t="s">
        <v>52</v>
      </c>
      <c r="B176" s="197" t="s">
        <v>21</v>
      </c>
      <c r="C176" s="198" t="s">
        <v>170</v>
      </c>
      <c r="D176" s="197" t="s">
        <v>171</v>
      </c>
      <c r="E176" s="199">
        <v>7.0</v>
      </c>
      <c r="F176" s="200">
        <v>45827.58333333333</v>
      </c>
      <c r="G176" s="197" t="s">
        <v>843</v>
      </c>
      <c r="H176" s="197" t="s">
        <v>846</v>
      </c>
    </row>
    <row r="177" ht="15.75" customHeight="1">
      <c r="A177" s="197" t="s">
        <v>52</v>
      </c>
      <c r="B177" s="197" t="s">
        <v>21</v>
      </c>
      <c r="C177" s="198" t="s">
        <v>170</v>
      </c>
      <c r="D177" s="197" t="s">
        <v>171</v>
      </c>
      <c r="E177" s="199">
        <v>8.0</v>
      </c>
      <c r="F177" s="200">
        <v>45869.625</v>
      </c>
      <c r="G177" s="197" t="s">
        <v>843</v>
      </c>
      <c r="H177" s="197" t="s">
        <v>846</v>
      </c>
    </row>
    <row r="178" ht="15.75" customHeight="1">
      <c r="A178" s="197" t="s">
        <v>52</v>
      </c>
      <c r="B178" s="197" t="s">
        <v>21</v>
      </c>
      <c r="C178" s="198" t="s">
        <v>170</v>
      </c>
      <c r="D178" s="197" t="s">
        <v>171</v>
      </c>
      <c r="E178" s="199">
        <v>9.0</v>
      </c>
      <c r="F178" s="200">
        <v>45912.41666666667</v>
      </c>
      <c r="G178" s="197" t="s">
        <v>843</v>
      </c>
      <c r="H178" s="197" t="s">
        <v>846</v>
      </c>
    </row>
    <row r="179" ht="15.75" customHeight="1">
      <c r="A179" s="197" t="s">
        <v>52</v>
      </c>
      <c r="B179" s="197" t="s">
        <v>21</v>
      </c>
      <c r="C179" s="198" t="s">
        <v>170</v>
      </c>
      <c r="D179" s="197" t="s">
        <v>171</v>
      </c>
      <c r="E179" s="199">
        <v>10.0</v>
      </c>
      <c r="F179" s="200">
        <v>45954.375</v>
      </c>
      <c r="G179" s="197" t="s">
        <v>843</v>
      </c>
      <c r="H179" s="197" t="s">
        <v>846</v>
      </c>
    </row>
    <row r="180" ht="15.75" customHeight="1">
      <c r="A180" s="197" t="s">
        <v>52</v>
      </c>
      <c r="B180" s="197" t="s">
        <v>21</v>
      </c>
      <c r="C180" s="198" t="s">
        <v>196</v>
      </c>
      <c r="D180" s="197" t="s">
        <v>197</v>
      </c>
      <c r="E180" s="199">
        <v>1.0</v>
      </c>
      <c r="F180" s="200">
        <v>45715.41666666667</v>
      </c>
      <c r="G180" s="197" t="s">
        <v>845</v>
      </c>
      <c r="H180" s="197" t="s">
        <v>846</v>
      </c>
    </row>
    <row r="181" ht="15.75" customHeight="1">
      <c r="A181" s="197" t="s">
        <v>52</v>
      </c>
      <c r="B181" s="197" t="s">
        <v>21</v>
      </c>
      <c r="C181" s="198" t="s">
        <v>196</v>
      </c>
      <c r="D181" s="197" t="s">
        <v>197</v>
      </c>
      <c r="E181" s="199">
        <v>2.0</v>
      </c>
      <c r="F181" s="200">
        <v>45765.54166666667</v>
      </c>
      <c r="G181" s="197" t="s">
        <v>845</v>
      </c>
      <c r="H181" s="197" t="s">
        <v>846</v>
      </c>
    </row>
    <row r="182" ht="15.75" customHeight="1">
      <c r="A182" s="197" t="s">
        <v>52</v>
      </c>
      <c r="B182" s="197" t="s">
        <v>21</v>
      </c>
      <c r="C182" s="198" t="s">
        <v>196</v>
      </c>
      <c r="D182" s="197" t="s">
        <v>197</v>
      </c>
      <c r="E182" s="199">
        <v>3.0</v>
      </c>
      <c r="F182" s="200">
        <v>45771.58333333333</v>
      </c>
      <c r="G182" s="197" t="s">
        <v>845</v>
      </c>
      <c r="H182" s="197" t="s">
        <v>846</v>
      </c>
    </row>
    <row r="183" ht="15.75" customHeight="1">
      <c r="A183" s="197" t="s">
        <v>52</v>
      </c>
      <c r="B183" s="197" t="s">
        <v>21</v>
      </c>
      <c r="C183" s="198" t="s">
        <v>196</v>
      </c>
      <c r="D183" s="197" t="s">
        <v>197</v>
      </c>
      <c r="E183" s="199">
        <v>4.0</v>
      </c>
      <c r="F183" s="200">
        <v>45785.54166666667</v>
      </c>
      <c r="G183" s="197" t="s">
        <v>845</v>
      </c>
      <c r="H183" s="197" t="s">
        <v>846</v>
      </c>
    </row>
    <row r="184" ht="15.75" customHeight="1">
      <c r="A184" s="197" t="s">
        <v>52</v>
      </c>
      <c r="B184" s="197" t="s">
        <v>21</v>
      </c>
      <c r="C184" s="198" t="s">
        <v>196</v>
      </c>
      <c r="D184" s="197" t="s">
        <v>197</v>
      </c>
      <c r="E184" s="199">
        <v>5.0</v>
      </c>
      <c r="F184" s="200">
        <v>45793.54166666667</v>
      </c>
      <c r="G184" s="197" t="s">
        <v>845</v>
      </c>
      <c r="H184" s="197" t="s">
        <v>846</v>
      </c>
    </row>
    <row r="185" ht="15.75" customHeight="1">
      <c r="A185" s="197" t="s">
        <v>52</v>
      </c>
      <c r="B185" s="197" t="s">
        <v>21</v>
      </c>
      <c r="C185" s="198" t="s">
        <v>196</v>
      </c>
      <c r="D185" s="197" t="s">
        <v>197</v>
      </c>
      <c r="E185" s="199">
        <v>6.0</v>
      </c>
      <c r="F185" s="200">
        <v>45800.54166666667</v>
      </c>
      <c r="G185" s="197" t="s">
        <v>845</v>
      </c>
      <c r="H185" s="197" t="s">
        <v>846</v>
      </c>
    </row>
    <row r="186" ht="15.75" customHeight="1">
      <c r="A186" s="197" t="s">
        <v>52</v>
      </c>
      <c r="B186" s="197" t="s">
        <v>21</v>
      </c>
      <c r="C186" s="198" t="s">
        <v>196</v>
      </c>
      <c r="D186" s="197" t="s">
        <v>197</v>
      </c>
      <c r="E186" s="199">
        <v>7.0</v>
      </c>
      <c r="F186" s="200">
        <v>45827.58333333333</v>
      </c>
      <c r="G186" s="197" t="s">
        <v>845</v>
      </c>
      <c r="H186" s="197" t="s">
        <v>846</v>
      </c>
    </row>
    <row r="187" ht="15.75" customHeight="1">
      <c r="A187" s="197" t="s">
        <v>52</v>
      </c>
      <c r="B187" s="197" t="s">
        <v>21</v>
      </c>
      <c r="C187" s="198" t="s">
        <v>196</v>
      </c>
      <c r="D187" s="197" t="s">
        <v>197</v>
      </c>
      <c r="E187" s="199">
        <v>8.0</v>
      </c>
      <c r="F187" s="200">
        <v>45869.625</v>
      </c>
      <c r="G187" s="197" t="s">
        <v>845</v>
      </c>
      <c r="H187" s="197" t="s">
        <v>846</v>
      </c>
    </row>
    <row r="188" ht="15.75" customHeight="1">
      <c r="A188" s="197" t="s">
        <v>52</v>
      </c>
      <c r="B188" s="197" t="s">
        <v>21</v>
      </c>
      <c r="C188" s="198" t="s">
        <v>196</v>
      </c>
      <c r="D188" s="197" t="s">
        <v>197</v>
      </c>
      <c r="E188" s="199">
        <v>9.0</v>
      </c>
      <c r="F188" s="200">
        <v>45912.41666666667</v>
      </c>
      <c r="G188" s="197" t="s">
        <v>845</v>
      </c>
      <c r="H188" s="197" t="s">
        <v>846</v>
      </c>
    </row>
    <row r="189" ht="15.75" customHeight="1">
      <c r="A189" s="197" t="s">
        <v>52</v>
      </c>
      <c r="B189" s="197" t="s">
        <v>21</v>
      </c>
      <c r="C189" s="198" t="s">
        <v>196</v>
      </c>
      <c r="D189" s="197" t="s">
        <v>197</v>
      </c>
      <c r="E189" s="199">
        <v>10.0</v>
      </c>
      <c r="F189" s="200">
        <v>45954.375</v>
      </c>
      <c r="G189" s="197" t="s">
        <v>845</v>
      </c>
      <c r="H189" s="197" t="s">
        <v>846</v>
      </c>
    </row>
    <row r="190" ht="15.75" customHeight="1">
      <c r="A190" s="197" t="s">
        <v>52</v>
      </c>
      <c r="B190" s="197" t="s">
        <v>21</v>
      </c>
      <c r="C190" s="198" t="s">
        <v>328</v>
      </c>
      <c r="D190" s="197" t="s">
        <v>329</v>
      </c>
      <c r="E190" s="199">
        <v>1.0</v>
      </c>
      <c r="F190" s="200">
        <v>45715.45833333333</v>
      </c>
      <c r="G190" s="197" t="s">
        <v>845</v>
      </c>
      <c r="H190" s="197" t="s">
        <v>846</v>
      </c>
    </row>
    <row r="191" ht="15.75" customHeight="1">
      <c r="A191" s="197" t="s">
        <v>52</v>
      </c>
      <c r="B191" s="197" t="s">
        <v>21</v>
      </c>
      <c r="C191" s="198" t="s">
        <v>328</v>
      </c>
      <c r="D191" s="197" t="s">
        <v>329</v>
      </c>
      <c r="E191" s="199">
        <v>2.0</v>
      </c>
      <c r="F191" s="200">
        <v>45765.54166666667</v>
      </c>
      <c r="G191" s="197" t="s">
        <v>845</v>
      </c>
      <c r="H191" s="197" t="s">
        <v>846</v>
      </c>
    </row>
    <row r="192" ht="15.75" customHeight="1">
      <c r="A192" s="197" t="s">
        <v>52</v>
      </c>
      <c r="B192" s="197" t="s">
        <v>21</v>
      </c>
      <c r="C192" s="198" t="s">
        <v>328</v>
      </c>
      <c r="D192" s="197" t="s">
        <v>329</v>
      </c>
      <c r="E192" s="199">
        <v>3.0</v>
      </c>
      <c r="F192" s="200">
        <v>45771.58333333333</v>
      </c>
      <c r="G192" s="197" t="s">
        <v>845</v>
      </c>
      <c r="H192" s="197" t="s">
        <v>846</v>
      </c>
    </row>
    <row r="193" ht="15.75" customHeight="1">
      <c r="A193" s="197" t="s">
        <v>52</v>
      </c>
      <c r="B193" s="197" t="s">
        <v>21</v>
      </c>
      <c r="C193" s="198" t="s">
        <v>328</v>
      </c>
      <c r="D193" s="197" t="s">
        <v>329</v>
      </c>
      <c r="E193" s="199">
        <v>4.0</v>
      </c>
      <c r="F193" s="200">
        <v>45785.54166666667</v>
      </c>
      <c r="G193" s="197" t="s">
        <v>843</v>
      </c>
      <c r="H193" s="197" t="s">
        <v>846</v>
      </c>
    </row>
    <row r="194" ht="15.75" customHeight="1">
      <c r="A194" s="197" t="s">
        <v>52</v>
      </c>
      <c r="B194" s="197" t="s">
        <v>21</v>
      </c>
      <c r="C194" s="198" t="s">
        <v>328</v>
      </c>
      <c r="D194" s="197" t="s">
        <v>329</v>
      </c>
      <c r="E194" s="199">
        <v>5.0</v>
      </c>
      <c r="F194" s="200">
        <v>45793.54166666667</v>
      </c>
      <c r="G194" s="197" t="s">
        <v>845</v>
      </c>
      <c r="H194" s="197" t="s">
        <v>846</v>
      </c>
    </row>
    <row r="195" ht="15.75" customHeight="1">
      <c r="A195" s="197" t="s">
        <v>52</v>
      </c>
      <c r="B195" s="197" t="s">
        <v>21</v>
      </c>
      <c r="C195" s="198" t="s">
        <v>328</v>
      </c>
      <c r="D195" s="197" t="s">
        <v>329</v>
      </c>
      <c r="E195" s="199">
        <v>6.0</v>
      </c>
      <c r="F195" s="200">
        <v>45800.54166666667</v>
      </c>
      <c r="G195" s="197" t="s">
        <v>845</v>
      </c>
      <c r="H195" s="197" t="s">
        <v>846</v>
      </c>
    </row>
    <row r="196" ht="15.75" customHeight="1">
      <c r="A196" s="197" t="s">
        <v>52</v>
      </c>
      <c r="B196" s="197" t="s">
        <v>21</v>
      </c>
      <c r="C196" s="198" t="s">
        <v>328</v>
      </c>
      <c r="D196" s="197" t="s">
        <v>329</v>
      </c>
      <c r="E196" s="199">
        <v>7.0</v>
      </c>
      <c r="F196" s="200">
        <v>45827.58333333333</v>
      </c>
      <c r="G196" s="197" t="s">
        <v>845</v>
      </c>
      <c r="H196" s="197" t="s">
        <v>846</v>
      </c>
    </row>
    <row r="197" ht="15.75" customHeight="1">
      <c r="A197" s="197" t="s">
        <v>52</v>
      </c>
      <c r="B197" s="197" t="s">
        <v>21</v>
      </c>
      <c r="C197" s="198" t="s">
        <v>328</v>
      </c>
      <c r="D197" s="197" t="s">
        <v>329</v>
      </c>
      <c r="E197" s="199">
        <v>8.0</v>
      </c>
      <c r="F197" s="200">
        <v>45869.625</v>
      </c>
      <c r="G197" s="197" t="s">
        <v>845</v>
      </c>
      <c r="H197" s="197" t="s">
        <v>846</v>
      </c>
    </row>
    <row r="198" ht="15.75" customHeight="1">
      <c r="A198" s="197" t="s">
        <v>52</v>
      </c>
      <c r="B198" s="197" t="s">
        <v>21</v>
      </c>
      <c r="C198" s="198" t="s">
        <v>328</v>
      </c>
      <c r="D198" s="197" t="s">
        <v>329</v>
      </c>
      <c r="E198" s="199">
        <v>9.0</v>
      </c>
      <c r="F198" s="200">
        <v>45912.41666666667</v>
      </c>
      <c r="G198" s="197" t="s">
        <v>845</v>
      </c>
      <c r="H198" s="197" t="s">
        <v>846</v>
      </c>
    </row>
    <row r="199" ht="15.75" customHeight="1">
      <c r="A199" s="197" t="s">
        <v>52</v>
      </c>
      <c r="B199" s="197" t="s">
        <v>21</v>
      </c>
      <c r="C199" s="198" t="s">
        <v>328</v>
      </c>
      <c r="D199" s="197" t="s">
        <v>329</v>
      </c>
      <c r="E199" s="199">
        <v>10.0</v>
      </c>
      <c r="F199" s="200">
        <v>45954.375</v>
      </c>
      <c r="G199" s="197" t="s">
        <v>845</v>
      </c>
      <c r="H199" s="197" t="s">
        <v>846</v>
      </c>
    </row>
    <row r="200" ht="15.75" customHeight="1">
      <c r="A200" s="197" t="s">
        <v>52</v>
      </c>
      <c r="B200" s="197" t="s">
        <v>21</v>
      </c>
      <c r="C200" s="198" t="s">
        <v>506</v>
      </c>
      <c r="D200" s="197" t="s">
        <v>507</v>
      </c>
      <c r="E200" s="199">
        <v>1.0</v>
      </c>
      <c r="F200" s="200">
        <v>45715.41666666667</v>
      </c>
      <c r="G200" s="197" t="s">
        <v>845</v>
      </c>
      <c r="H200" s="197" t="s">
        <v>846</v>
      </c>
    </row>
    <row r="201" ht="15.75" customHeight="1">
      <c r="A201" s="197" t="s">
        <v>52</v>
      </c>
      <c r="B201" s="197" t="s">
        <v>21</v>
      </c>
      <c r="C201" s="198" t="s">
        <v>506</v>
      </c>
      <c r="D201" s="197" t="s">
        <v>507</v>
      </c>
      <c r="E201" s="199">
        <v>2.0</v>
      </c>
      <c r="F201" s="200">
        <v>45765.54166666667</v>
      </c>
      <c r="G201" s="197" t="s">
        <v>845</v>
      </c>
      <c r="H201" s="197" t="s">
        <v>846</v>
      </c>
    </row>
    <row r="202" ht="15.75" customHeight="1">
      <c r="A202" s="197" t="s">
        <v>52</v>
      </c>
      <c r="B202" s="197" t="s">
        <v>21</v>
      </c>
      <c r="C202" s="198" t="s">
        <v>506</v>
      </c>
      <c r="D202" s="197" t="s">
        <v>507</v>
      </c>
      <c r="E202" s="199">
        <v>3.0</v>
      </c>
      <c r="F202" s="200">
        <v>45771.58333333333</v>
      </c>
      <c r="G202" s="197" t="s">
        <v>845</v>
      </c>
      <c r="H202" s="197" t="s">
        <v>846</v>
      </c>
    </row>
    <row r="203" ht="15.75" customHeight="1">
      <c r="A203" s="197" t="s">
        <v>52</v>
      </c>
      <c r="B203" s="197" t="s">
        <v>21</v>
      </c>
      <c r="C203" s="198" t="s">
        <v>506</v>
      </c>
      <c r="D203" s="197" t="s">
        <v>507</v>
      </c>
      <c r="E203" s="199">
        <v>4.0</v>
      </c>
      <c r="F203" s="200">
        <v>45785.54166666667</v>
      </c>
      <c r="G203" s="197" t="s">
        <v>845</v>
      </c>
      <c r="H203" s="197" t="s">
        <v>846</v>
      </c>
    </row>
    <row r="204" ht="15.75" customHeight="1">
      <c r="A204" s="197" t="s">
        <v>52</v>
      </c>
      <c r="B204" s="197" t="s">
        <v>21</v>
      </c>
      <c r="C204" s="198" t="s">
        <v>506</v>
      </c>
      <c r="D204" s="197" t="s">
        <v>507</v>
      </c>
      <c r="E204" s="199">
        <v>5.0</v>
      </c>
      <c r="F204" s="200">
        <v>45793.54166666667</v>
      </c>
      <c r="G204" s="197" t="s">
        <v>843</v>
      </c>
      <c r="H204" s="197" t="s">
        <v>846</v>
      </c>
    </row>
    <row r="205" ht="15.75" customHeight="1">
      <c r="A205" s="197" t="s">
        <v>52</v>
      </c>
      <c r="B205" s="197" t="s">
        <v>21</v>
      </c>
      <c r="C205" s="198" t="s">
        <v>506</v>
      </c>
      <c r="D205" s="197" t="s">
        <v>507</v>
      </c>
      <c r="E205" s="199">
        <v>6.0</v>
      </c>
      <c r="F205" s="200">
        <v>45800.54166666667</v>
      </c>
      <c r="G205" s="197" t="s">
        <v>845</v>
      </c>
      <c r="H205" s="197" t="s">
        <v>846</v>
      </c>
    </row>
    <row r="206" ht="15.75" customHeight="1">
      <c r="A206" s="197" t="s">
        <v>52</v>
      </c>
      <c r="B206" s="197" t="s">
        <v>21</v>
      </c>
      <c r="C206" s="198" t="s">
        <v>506</v>
      </c>
      <c r="D206" s="197" t="s">
        <v>507</v>
      </c>
      <c r="E206" s="199">
        <v>7.0</v>
      </c>
      <c r="F206" s="200">
        <v>45827.58333333333</v>
      </c>
      <c r="G206" s="197" t="s">
        <v>845</v>
      </c>
      <c r="H206" s="197" t="s">
        <v>846</v>
      </c>
    </row>
    <row r="207" ht="15.75" customHeight="1">
      <c r="A207" s="197" t="s">
        <v>52</v>
      </c>
      <c r="B207" s="197" t="s">
        <v>21</v>
      </c>
      <c r="C207" s="198" t="s">
        <v>506</v>
      </c>
      <c r="D207" s="197" t="s">
        <v>507</v>
      </c>
      <c r="E207" s="199">
        <v>8.0</v>
      </c>
      <c r="F207" s="200">
        <v>45869.625</v>
      </c>
      <c r="G207" s="197" t="s">
        <v>843</v>
      </c>
      <c r="H207" s="197" t="s">
        <v>846</v>
      </c>
    </row>
    <row r="208" ht="15.75" customHeight="1">
      <c r="A208" s="197" t="s">
        <v>52</v>
      </c>
      <c r="B208" s="197" t="s">
        <v>21</v>
      </c>
      <c r="C208" s="198" t="s">
        <v>506</v>
      </c>
      <c r="D208" s="197" t="s">
        <v>507</v>
      </c>
      <c r="E208" s="199">
        <v>9.0</v>
      </c>
      <c r="F208" s="200">
        <v>45912.41666666667</v>
      </c>
      <c r="G208" s="197" t="s">
        <v>843</v>
      </c>
      <c r="H208" s="197" t="s">
        <v>846</v>
      </c>
    </row>
    <row r="209" ht="15.75" customHeight="1">
      <c r="A209" s="197" t="s">
        <v>52</v>
      </c>
      <c r="B209" s="197" t="s">
        <v>21</v>
      </c>
      <c r="C209" s="198" t="s">
        <v>506</v>
      </c>
      <c r="D209" s="197" t="s">
        <v>507</v>
      </c>
      <c r="E209" s="199">
        <v>10.0</v>
      </c>
      <c r="F209" s="200">
        <v>45954.375</v>
      </c>
      <c r="G209" s="197" t="s">
        <v>843</v>
      </c>
      <c r="H209" s="197" t="s">
        <v>846</v>
      </c>
    </row>
    <row r="210" ht="15.75" customHeight="1">
      <c r="A210" s="197" t="s">
        <v>52</v>
      </c>
      <c r="B210" s="197" t="s">
        <v>21</v>
      </c>
      <c r="C210" s="198" t="s">
        <v>605</v>
      </c>
      <c r="D210" s="197" t="s">
        <v>606</v>
      </c>
      <c r="E210" s="199">
        <v>1.0</v>
      </c>
      <c r="F210" s="200">
        <v>45715.41666666667</v>
      </c>
      <c r="G210" s="197" t="s">
        <v>845</v>
      </c>
      <c r="H210" s="197" t="s">
        <v>846</v>
      </c>
    </row>
    <row r="211" ht="15.75" customHeight="1">
      <c r="A211" s="197" t="s">
        <v>52</v>
      </c>
      <c r="B211" s="197" t="s">
        <v>21</v>
      </c>
      <c r="C211" s="198" t="s">
        <v>605</v>
      </c>
      <c r="D211" s="197" t="s">
        <v>606</v>
      </c>
      <c r="E211" s="199">
        <v>2.0</v>
      </c>
      <c r="F211" s="200">
        <v>45765.54166666667</v>
      </c>
      <c r="G211" s="197" t="s">
        <v>845</v>
      </c>
      <c r="H211" s="197" t="s">
        <v>846</v>
      </c>
    </row>
    <row r="212" ht="15.75" customHeight="1">
      <c r="A212" s="197" t="s">
        <v>52</v>
      </c>
      <c r="B212" s="197" t="s">
        <v>21</v>
      </c>
      <c r="C212" s="198" t="s">
        <v>605</v>
      </c>
      <c r="D212" s="197" t="s">
        <v>606</v>
      </c>
      <c r="E212" s="199">
        <v>3.0</v>
      </c>
      <c r="F212" s="200">
        <v>45771.58333333333</v>
      </c>
      <c r="G212" s="197" t="s">
        <v>843</v>
      </c>
      <c r="H212" s="197" t="s">
        <v>846</v>
      </c>
    </row>
    <row r="213" ht="15.75" customHeight="1">
      <c r="A213" s="197" t="s">
        <v>52</v>
      </c>
      <c r="B213" s="197" t="s">
        <v>21</v>
      </c>
      <c r="C213" s="198" t="s">
        <v>605</v>
      </c>
      <c r="D213" s="197" t="s">
        <v>606</v>
      </c>
      <c r="E213" s="199">
        <v>4.0</v>
      </c>
      <c r="F213" s="200">
        <v>45785.54166666667</v>
      </c>
      <c r="G213" s="197" t="s">
        <v>843</v>
      </c>
      <c r="H213" s="197" t="s">
        <v>846</v>
      </c>
    </row>
    <row r="214" ht="15.75" customHeight="1">
      <c r="A214" s="197" t="s">
        <v>52</v>
      </c>
      <c r="B214" s="197" t="s">
        <v>21</v>
      </c>
      <c r="C214" s="198" t="s">
        <v>605</v>
      </c>
      <c r="D214" s="197" t="s">
        <v>606</v>
      </c>
      <c r="E214" s="199">
        <v>5.0</v>
      </c>
      <c r="F214" s="200">
        <v>45793.54166666667</v>
      </c>
      <c r="G214" s="197" t="s">
        <v>843</v>
      </c>
      <c r="H214" s="197" t="s">
        <v>846</v>
      </c>
    </row>
    <row r="215" ht="15.75" customHeight="1">
      <c r="A215" s="197" t="s">
        <v>52</v>
      </c>
      <c r="B215" s="197" t="s">
        <v>21</v>
      </c>
      <c r="C215" s="198" t="s">
        <v>605</v>
      </c>
      <c r="D215" s="197" t="s">
        <v>606</v>
      </c>
      <c r="E215" s="199">
        <v>6.0</v>
      </c>
      <c r="F215" s="200">
        <v>45800.54166666667</v>
      </c>
      <c r="G215" s="197" t="s">
        <v>845</v>
      </c>
      <c r="H215" s="197" t="s">
        <v>846</v>
      </c>
    </row>
    <row r="216" ht="15.75" customHeight="1">
      <c r="A216" s="197" t="s">
        <v>52</v>
      </c>
      <c r="B216" s="197" t="s">
        <v>21</v>
      </c>
      <c r="C216" s="198" t="s">
        <v>605</v>
      </c>
      <c r="D216" s="197" t="s">
        <v>606</v>
      </c>
      <c r="E216" s="199">
        <v>7.0</v>
      </c>
      <c r="F216" s="200">
        <v>45827.58333333333</v>
      </c>
      <c r="G216" s="197" t="s">
        <v>845</v>
      </c>
      <c r="H216" s="197" t="s">
        <v>846</v>
      </c>
    </row>
    <row r="217" ht="15.75" customHeight="1">
      <c r="A217" s="197" t="s">
        <v>52</v>
      </c>
      <c r="B217" s="197" t="s">
        <v>21</v>
      </c>
      <c r="C217" s="198" t="s">
        <v>605</v>
      </c>
      <c r="D217" s="197" t="s">
        <v>606</v>
      </c>
      <c r="E217" s="199">
        <v>8.0</v>
      </c>
      <c r="F217" s="200">
        <v>45869.625</v>
      </c>
      <c r="G217" s="197" t="s">
        <v>843</v>
      </c>
      <c r="H217" s="197" t="s">
        <v>846</v>
      </c>
    </row>
    <row r="218" ht="15.75" customHeight="1">
      <c r="A218" s="197" t="s">
        <v>52</v>
      </c>
      <c r="B218" s="197" t="s">
        <v>21</v>
      </c>
      <c r="C218" s="198" t="s">
        <v>605</v>
      </c>
      <c r="D218" s="197" t="s">
        <v>606</v>
      </c>
      <c r="E218" s="199">
        <v>9.0</v>
      </c>
      <c r="F218" s="200">
        <v>45912.41666666667</v>
      </c>
      <c r="G218" s="197" t="s">
        <v>843</v>
      </c>
      <c r="H218" s="197" t="s">
        <v>846</v>
      </c>
    </row>
    <row r="219" ht="15.75" customHeight="1">
      <c r="A219" s="197" t="s">
        <v>52</v>
      </c>
      <c r="B219" s="197" t="s">
        <v>21</v>
      </c>
      <c r="C219" s="198" t="s">
        <v>605</v>
      </c>
      <c r="D219" s="197" t="s">
        <v>606</v>
      </c>
      <c r="E219" s="199">
        <v>10.0</v>
      </c>
      <c r="F219" s="200">
        <v>45954.375</v>
      </c>
      <c r="G219" s="197" t="s">
        <v>843</v>
      </c>
      <c r="H219" s="197" t="s">
        <v>846</v>
      </c>
    </row>
    <row r="220" ht="15.75" customHeight="1">
      <c r="A220" s="197" t="s">
        <v>52</v>
      </c>
      <c r="B220" s="197" t="s">
        <v>21</v>
      </c>
      <c r="C220" s="198" t="s">
        <v>677</v>
      </c>
      <c r="D220" s="197" t="s">
        <v>678</v>
      </c>
      <c r="E220" s="199">
        <v>1.0</v>
      </c>
      <c r="F220" s="200">
        <v>45715.41666666667</v>
      </c>
      <c r="G220" s="197" t="s">
        <v>845</v>
      </c>
      <c r="H220" s="197" t="s">
        <v>846</v>
      </c>
    </row>
    <row r="221" ht="15.75" customHeight="1">
      <c r="A221" s="197" t="s">
        <v>52</v>
      </c>
      <c r="B221" s="197" t="s">
        <v>21</v>
      </c>
      <c r="C221" s="198" t="s">
        <v>677</v>
      </c>
      <c r="D221" s="197" t="s">
        <v>678</v>
      </c>
      <c r="E221" s="199">
        <v>2.0</v>
      </c>
      <c r="F221" s="200">
        <v>45765.54166666667</v>
      </c>
      <c r="G221" s="197" t="s">
        <v>845</v>
      </c>
      <c r="H221" s="197" t="s">
        <v>846</v>
      </c>
    </row>
    <row r="222" ht="15.75" customHeight="1">
      <c r="A222" s="197" t="s">
        <v>52</v>
      </c>
      <c r="B222" s="197" t="s">
        <v>21</v>
      </c>
      <c r="C222" s="198" t="s">
        <v>677</v>
      </c>
      <c r="D222" s="197" t="s">
        <v>678</v>
      </c>
      <c r="E222" s="199">
        <v>3.0</v>
      </c>
      <c r="F222" s="200">
        <v>45771.58333333333</v>
      </c>
      <c r="G222" s="197" t="s">
        <v>845</v>
      </c>
      <c r="H222" s="197" t="s">
        <v>846</v>
      </c>
    </row>
    <row r="223" ht="15.75" customHeight="1">
      <c r="A223" s="197" t="s">
        <v>52</v>
      </c>
      <c r="B223" s="197" t="s">
        <v>21</v>
      </c>
      <c r="C223" s="198" t="s">
        <v>677</v>
      </c>
      <c r="D223" s="197" t="s">
        <v>678</v>
      </c>
      <c r="E223" s="199">
        <v>4.0</v>
      </c>
      <c r="F223" s="200">
        <v>45785.54166666667</v>
      </c>
      <c r="G223" s="197" t="s">
        <v>845</v>
      </c>
      <c r="H223" s="197" t="s">
        <v>846</v>
      </c>
    </row>
    <row r="224" ht="15.75" customHeight="1">
      <c r="A224" s="197" t="s">
        <v>52</v>
      </c>
      <c r="B224" s="197" t="s">
        <v>21</v>
      </c>
      <c r="C224" s="198" t="s">
        <v>677</v>
      </c>
      <c r="D224" s="197" t="s">
        <v>678</v>
      </c>
      <c r="E224" s="199">
        <v>5.0</v>
      </c>
      <c r="F224" s="200">
        <v>45793.54166666667</v>
      </c>
      <c r="G224" s="197" t="s">
        <v>845</v>
      </c>
      <c r="H224" s="197" t="s">
        <v>846</v>
      </c>
    </row>
    <row r="225" ht="15.75" customHeight="1">
      <c r="A225" s="197" t="s">
        <v>52</v>
      </c>
      <c r="B225" s="197" t="s">
        <v>21</v>
      </c>
      <c r="C225" s="198" t="s">
        <v>677</v>
      </c>
      <c r="D225" s="197" t="s">
        <v>678</v>
      </c>
      <c r="E225" s="199">
        <v>6.0</v>
      </c>
      <c r="F225" s="200">
        <v>45800.54166666667</v>
      </c>
      <c r="G225" s="197" t="s">
        <v>845</v>
      </c>
      <c r="H225" s="197" t="s">
        <v>846</v>
      </c>
    </row>
    <row r="226" ht="15.75" customHeight="1">
      <c r="A226" s="197" t="s">
        <v>52</v>
      </c>
      <c r="B226" s="197" t="s">
        <v>21</v>
      </c>
      <c r="C226" s="198" t="s">
        <v>677</v>
      </c>
      <c r="D226" s="197" t="s">
        <v>678</v>
      </c>
      <c r="E226" s="199">
        <v>7.0</v>
      </c>
      <c r="F226" s="200">
        <v>45827.58333333333</v>
      </c>
      <c r="G226" s="197" t="s">
        <v>843</v>
      </c>
      <c r="H226" s="197" t="s">
        <v>846</v>
      </c>
    </row>
    <row r="227" ht="15.75" customHeight="1">
      <c r="A227" s="197" t="s">
        <v>52</v>
      </c>
      <c r="B227" s="197" t="s">
        <v>21</v>
      </c>
      <c r="C227" s="198" t="s">
        <v>677</v>
      </c>
      <c r="D227" s="197" t="s">
        <v>678</v>
      </c>
      <c r="E227" s="199">
        <v>8.0</v>
      </c>
      <c r="F227" s="200">
        <v>45869.625</v>
      </c>
      <c r="G227" s="197" t="s">
        <v>845</v>
      </c>
      <c r="H227" s="197" t="s">
        <v>846</v>
      </c>
    </row>
    <row r="228" ht="15.75" customHeight="1">
      <c r="A228" s="197" t="s">
        <v>52</v>
      </c>
      <c r="B228" s="197" t="s">
        <v>21</v>
      </c>
      <c r="C228" s="198" t="s">
        <v>677</v>
      </c>
      <c r="D228" s="197" t="s">
        <v>678</v>
      </c>
      <c r="E228" s="199">
        <v>9.0</v>
      </c>
      <c r="F228" s="200">
        <v>45912.41666666667</v>
      </c>
      <c r="G228" s="197" t="s">
        <v>845</v>
      </c>
      <c r="H228" s="197" t="s">
        <v>846</v>
      </c>
    </row>
    <row r="229" ht="15.75" customHeight="1">
      <c r="A229" s="197" t="s">
        <v>52</v>
      </c>
      <c r="B229" s="197" t="s">
        <v>21</v>
      </c>
      <c r="C229" s="198" t="s">
        <v>677</v>
      </c>
      <c r="D229" s="197" t="s">
        <v>678</v>
      </c>
      <c r="E229" s="199">
        <v>10.0</v>
      </c>
      <c r="F229" s="200">
        <v>45954.375</v>
      </c>
      <c r="G229" s="197" t="s">
        <v>845</v>
      </c>
      <c r="H229" s="197" t="s">
        <v>846</v>
      </c>
    </row>
    <row r="230" ht="15.75" customHeight="1">
      <c r="A230" s="197" t="s">
        <v>52</v>
      </c>
      <c r="B230" s="197" t="s">
        <v>21</v>
      </c>
      <c r="C230" s="198" t="s">
        <v>687</v>
      </c>
      <c r="D230" s="197" t="s">
        <v>688</v>
      </c>
      <c r="E230" s="199">
        <v>1.0</v>
      </c>
      <c r="F230" s="200">
        <v>45715.41666666667</v>
      </c>
      <c r="G230" s="197" t="s">
        <v>845</v>
      </c>
      <c r="H230" s="197" t="s">
        <v>846</v>
      </c>
    </row>
    <row r="231" ht="15.75" customHeight="1">
      <c r="A231" s="197" t="s">
        <v>52</v>
      </c>
      <c r="B231" s="197" t="s">
        <v>21</v>
      </c>
      <c r="C231" s="198" t="s">
        <v>687</v>
      </c>
      <c r="D231" s="197" t="s">
        <v>688</v>
      </c>
      <c r="E231" s="199">
        <v>2.0</v>
      </c>
      <c r="F231" s="200">
        <v>45765.54166666667</v>
      </c>
      <c r="G231" s="197" t="s">
        <v>845</v>
      </c>
      <c r="H231" s="197" t="s">
        <v>846</v>
      </c>
    </row>
    <row r="232" ht="15.75" customHeight="1">
      <c r="A232" s="197" t="s">
        <v>52</v>
      </c>
      <c r="B232" s="197" t="s">
        <v>21</v>
      </c>
      <c r="C232" s="198" t="s">
        <v>687</v>
      </c>
      <c r="D232" s="197" t="s">
        <v>688</v>
      </c>
      <c r="E232" s="199">
        <v>3.0</v>
      </c>
      <c r="F232" s="200">
        <v>45771.58333333333</v>
      </c>
      <c r="G232" s="197" t="s">
        <v>845</v>
      </c>
      <c r="H232" s="197" t="s">
        <v>846</v>
      </c>
    </row>
    <row r="233" ht="15.75" customHeight="1">
      <c r="A233" s="197" t="s">
        <v>52</v>
      </c>
      <c r="B233" s="197" t="s">
        <v>21</v>
      </c>
      <c r="C233" s="198" t="s">
        <v>687</v>
      </c>
      <c r="D233" s="197" t="s">
        <v>688</v>
      </c>
      <c r="E233" s="199">
        <v>4.0</v>
      </c>
      <c r="F233" s="200">
        <v>45785.54166666667</v>
      </c>
      <c r="G233" s="197" t="s">
        <v>845</v>
      </c>
      <c r="H233" s="197" t="s">
        <v>846</v>
      </c>
    </row>
    <row r="234" ht="15.75" customHeight="1">
      <c r="A234" s="197" t="s">
        <v>52</v>
      </c>
      <c r="B234" s="197" t="s">
        <v>21</v>
      </c>
      <c r="C234" s="198" t="s">
        <v>687</v>
      </c>
      <c r="D234" s="197" t="s">
        <v>688</v>
      </c>
      <c r="E234" s="199">
        <v>5.0</v>
      </c>
      <c r="F234" s="200">
        <v>45793.54166666667</v>
      </c>
      <c r="G234" s="197" t="s">
        <v>845</v>
      </c>
      <c r="H234" s="197" t="s">
        <v>846</v>
      </c>
    </row>
    <row r="235" ht="15.75" customHeight="1">
      <c r="A235" s="197" t="s">
        <v>52</v>
      </c>
      <c r="B235" s="197" t="s">
        <v>21</v>
      </c>
      <c r="C235" s="198" t="s">
        <v>687</v>
      </c>
      <c r="D235" s="197" t="s">
        <v>688</v>
      </c>
      <c r="E235" s="199">
        <v>6.0</v>
      </c>
      <c r="F235" s="200">
        <v>45800.54166666667</v>
      </c>
      <c r="G235" s="197" t="s">
        <v>845</v>
      </c>
      <c r="H235" s="197" t="s">
        <v>846</v>
      </c>
    </row>
    <row r="236" ht="15.75" customHeight="1">
      <c r="A236" s="197" t="s">
        <v>52</v>
      </c>
      <c r="B236" s="197" t="s">
        <v>21</v>
      </c>
      <c r="C236" s="198" t="s">
        <v>687</v>
      </c>
      <c r="D236" s="197" t="s">
        <v>688</v>
      </c>
      <c r="E236" s="199">
        <v>7.0</v>
      </c>
      <c r="F236" s="200">
        <v>45827.58333333333</v>
      </c>
      <c r="G236" s="197" t="s">
        <v>843</v>
      </c>
      <c r="H236" s="197" t="s">
        <v>846</v>
      </c>
    </row>
    <row r="237" ht="15.75" customHeight="1">
      <c r="A237" s="197" t="s">
        <v>52</v>
      </c>
      <c r="B237" s="197" t="s">
        <v>21</v>
      </c>
      <c r="C237" s="198" t="s">
        <v>687</v>
      </c>
      <c r="D237" s="197" t="s">
        <v>688</v>
      </c>
      <c r="E237" s="199">
        <v>8.0</v>
      </c>
      <c r="F237" s="200">
        <v>45869.625</v>
      </c>
      <c r="G237" s="197" t="s">
        <v>845</v>
      </c>
      <c r="H237" s="197" t="s">
        <v>846</v>
      </c>
    </row>
    <row r="238" ht="15.75" customHeight="1">
      <c r="A238" s="197" t="s">
        <v>52</v>
      </c>
      <c r="B238" s="197" t="s">
        <v>21</v>
      </c>
      <c r="C238" s="198" t="s">
        <v>687</v>
      </c>
      <c r="D238" s="197" t="s">
        <v>688</v>
      </c>
      <c r="E238" s="199">
        <v>9.0</v>
      </c>
      <c r="F238" s="200">
        <v>45912.41666666667</v>
      </c>
      <c r="G238" s="197" t="s">
        <v>845</v>
      </c>
      <c r="H238" s="197" t="s">
        <v>846</v>
      </c>
    </row>
    <row r="239" ht="15.75" customHeight="1">
      <c r="A239" s="197" t="s">
        <v>52</v>
      </c>
      <c r="B239" s="197" t="s">
        <v>21</v>
      </c>
      <c r="C239" s="198" t="s">
        <v>687</v>
      </c>
      <c r="D239" s="197" t="s">
        <v>688</v>
      </c>
      <c r="E239" s="199">
        <v>10.0</v>
      </c>
      <c r="F239" s="200">
        <v>45954.375</v>
      </c>
      <c r="G239" s="197" t="s">
        <v>845</v>
      </c>
      <c r="H239" s="197" t="s">
        <v>846</v>
      </c>
    </row>
    <row r="240" ht="15.75" customHeight="1">
      <c r="A240" s="197" t="s">
        <v>52</v>
      </c>
      <c r="B240" s="197" t="s">
        <v>21</v>
      </c>
      <c r="C240" s="198" t="s">
        <v>701</v>
      </c>
      <c r="D240" s="197" t="s">
        <v>702</v>
      </c>
      <c r="E240" s="199">
        <v>1.0</v>
      </c>
      <c r="F240" s="200">
        <v>45715.41666666667</v>
      </c>
      <c r="G240" s="197" t="s">
        <v>845</v>
      </c>
      <c r="H240" s="197" t="s">
        <v>846</v>
      </c>
    </row>
    <row r="241" ht="15.75" customHeight="1">
      <c r="A241" s="197" t="s">
        <v>52</v>
      </c>
      <c r="B241" s="197" t="s">
        <v>21</v>
      </c>
      <c r="C241" s="198" t="s">
        <v>701</v>
      </c>
      <c r="D241" s="197" t="s">
        <v>702</v>
      </c>
      <c r="E241" s="199">
        <v>2.0</v>
      </c>
      <c r="F241" s="200">
        <v>45765.54166666667</v>
      </c>
      <c r="G241" s="197" t="s">
        <v>845</v>
      </c>
      <c r="H241" s="197" t="s">
        <v>846</v>
      </c>
    </row>
    <row r="242" ht="15.75" customHeight="1">
      <c r="A242" s="197" t="s">
        <v>52</v>
      </c>
      <c r="B242" s="197" t="s">
        <v>21</v>
      </c>
      <c r="C242" s="198" t="s">
        <v>701</v>
      </c>
      <c r="D242" s="197" t="s">
        <v>702</v>
      </c>
      <c r="E242" s="199">
        <v>3.0</v>
      </c>
      <c r="F242" s="200">
        <v>45771.58333333333</v>
      </c>
      <c r="G242" s="197" t="s">
        <v>845</v>
      </c>
      <c r="H242" s="197" t="s">
        <v>846</v>
      </c>
    </row>
    <row r="243" ht="15.75" customHeight="1">
      <c r="A243" s="197" t="s">
        <v>52</v>
      </c>
      <c r="B243" s="197" t="s">
        <v>21</v>
      </c>
      <c r="C243" s="198" t="s">
        <v>701</v>
      </c>
      <c r="D243" s="197" t="s">
        <v>702</v>
      </c>
      <c r="E243" s="199">
        <v>4.0</v>
      </c>
      <c r="F243" s="200">
        <v>45785.54166666667</v>
      </c>
      <c r="G243" s="197" t="s">
        <v>845</v>
      </c>
      <c r="H243" s="197" t="s">
        <v>846</v>
      </c>
    </row>
    <row r="244" ht="15.75" customHeight="1">
      <c r="A244" s="197" t="s">
        <v>52</v>
      </c>
      <c r="B244" s="197" t="s">
        <v>21</v>
      </c>
      <c r="C244" s="198" t="s">
        <v>701</v>
      </c>
      <c r="D244" s="197" t="s">
        <v>702</v>
      </c>
      <c r="E244" s="199">
        <v>5.0</v>
      </c>
      <c r="F244" s="200">
        <v>45793.54166666667</v>
      </c>
      <c r="G244" s="197" t="s">
        <v>845</v>
      </c>
      <c r="H244" s="197" t="s">
        <v>846</v>
      </c>
    </row>
    <row r="245" ht="15.75" customHeight="1">
      <c r="A245" s="197" t="s">
        <v>52</v>
      </c>
      <c r="B245" s="197" t="s">
        <v>21</v>
      </c>
      <c r="C245" s="198" t="s">
        <v>701</v>
      </c>
      <c r="D245" s="197" t="s">
        <v>702</v>
      </c>
      <c r="E245" s="199">
        <v>6.0</v>
      </c>
      <c r="F245" s="200">
        <v>45800.54166666667</v>
      </c>
      <c r="G245" s="197" t="s">
        <v>845</v>
      </c>
      <c r="H245" s="197" t="s">
        <v>846</v>
      </c>
    </row>
    <row r="246" ht="15.75" customHeight="1">
      <c r="A246" s="197" t="s">
        <v>52</v>
      </c>
      <c r="B246" s="197" t="s">
        <v>21</v>
      </c>
      <c r="C246" s="198" t="s">
        <v>701</v>
      </c>
      <c r="D246" s="197" t="s">
        <v>702</v>
      </c>
      <c r="E246" s="199">
        <v>7.0</v>
      </c>
      <c r="F246" s="200">
        <v>45827.58333333333</v>
      </c>
      <c r="G246" s="197" t="s">
        <v>845</v>
      </c>
      <c r="H246" s="197" t="s">
        <v>846</v>
      </c>
    </row>
    <row r="247" ht="15.75" customHeight="1">
      <c r="A247" s="197" t="s">
        <v>52</v>
      </c>
      <c r="B247" s="197" t="s">
        <v>21</v>
      </c>
      <c r="C247" s="198" t="s">
        <v>701</v>
      </c>
      <c r="D247" s="197" t="s">
        <v>702</v>
      </c>
      <c r="E247" s="199">
        <v>8.0</v>
      </c>
      <c r="F247" s="200">
        <v>45869.625</v>
      </c>
      <c r="G247" s="197" t="s">
        <v>845</v>
      </c>
      <c r="H247" s="197" t="s">
        <v>846</v>
      </c>
    </row>
    <row r="248" ht="15.75" customHeight="1">
      <c r="A248" s="197" t="s">
        <v>52</v>
      </c>
      <c r="B248" s="197" t="s">
        <v>21</v>
      </c>
      <c r="C248" s="198" t="s">
        <v>701</v>
      </c>
      <c r="D248" s="197" t="s">
        <v>702</v>
      </c>
      <c r="E248" s="199">
        <v>9.0</v>
      </c>
      <c r="F248" s="200">
        <v>45912.41666666667</v>
      </c>
      <c r="G248" s="197" t="s">
        <v>845</v>
      </c>
      <c r="H248" s="197" t="s">
        <v>846</v>
      </c>
    </row>
    <row r="249" ht="15.75" customHeight="1">
      <c r="A249" s="197" t="s">
        <v>52</v>
      </c>
      <c r="B249" s="197" t="s">
        <v>21</v>
      </c>
      <c r="C249" s="198" t="s">
        <v>701</v>
      </c>
      <c r="D249" s="197" t="s">
        <v>702</v>
      </c>
      <c r="E249" s="199">
        <v>10.0</v>
      </c>
      <c r="F249" s="200">
        <v>45954.375</v>
      </c>
      <c r="G249" s="197" t="s">
        <v>845</v>
      </c>
      <c r="H249" s="197" t="s">
        <v>846</v>
      </c>
    </row>
    <row r="250" ht="15.75" customHeight="1">
      <c r="A250" s="197" t="s">
        <v>53</v>
      </c>
      <c r="B250" s="197" t="s">
        <v>21</v>
      </c>
      <c r="C250" s="198" t="s">
        <v>325</v>
      </c>
      <c r="D250" s="197" t="s">
        <v>326</v>
      </c>
      <c r="E250" s="199">
        <v>1.0</v>
      </c>
      <c r="F250" s="200">
        <v>45715.45833333333</v>
      </c>
      <c r="G250" s="197" t="s">
        <v>845</v>
      </c>
      <c r="H250" s="197" t="s">
        <v>847</v>
      </c>
    </row>
    <row r="251" ht="15.75" customHeight="1">
      <c r="A251" s="197" t="s">
        <v>53</v>
      </c>
      <c r="B251" s="197" t="s">
        <v>21</v>
      </c>
      <c r="C251" s="198" t="s">
        <v>325</v>
      </c>
      <c r="D251" s="197" t="s">
        <v>326</v>
      </c>
      <c r="E251" s="199">
        <v>2.0</v>
      </c>
      <c r="F251" s="200">
        <v>45763.45833333333</v>
      </c>
      <c r="G251" s="197" t="s">
        <v>843</v>
      </c>
      <c r="H251" s="197" t="s">
        <v>847</v>
      </c>
    </row>
    <row r="252" ht="15.75" customHeight="1">
      <c r="A252" s="197" t="s">
        <v>53</v>
      </c>
      <c r="B252" s="197" t="s">
        <v>21</v>
      </c>
      <c r="C252" s="198" t="s">
        <v>325</v>
      </c>
      <c r="D252" s="197" t="s">
        <v>326</v>
      </c>
      <c r="E252" s="199">
        <v>3.0</v>
      </c>
      <c r="F252" s="200">
        <v>45772.54166666667</v>
      </c>
      <c r="G252" s="197" t="s">
        <v>845</v>
      </c>
      <c r="H252" s="197" t="s">
        <v>847</v>
      </c>
    </row>
    <row r="253" ht="15.75" customHeight="1">
      <c r="A253" s="197" t="s">
        <v>53</v>
      </c>
      <c r="B253" s="197" t="s">
        <v>21</v>
      </c>
      <c r="C253" s="198" t="s">
        <v>325</v>
      </c>
      <c r="D253" s="197" t="s">
        <v>326</v>
      </c>
      <c r="E253" s="199">
        <v>4.0</v>
      </c>
      <c r="F253" s="200">
        <v>45793.58333333333</v>
      </c>
      <c r="G253" s="197" t="s">
        <v>845</v>
      </c>
      <c r="H253" s="197" t="s">
        <v>847</v>
      </c>
    </row>
    <row r="254" ht="15.75" customHeight="1">
      <c r="A254" s="197" t="s">
        <v>53</v>
      </c>
      <c r="B254" s="197" t="s">
        <v>21</v>
      </c>
      <c r="C254" s="198" t="s">
        <v>325</v>
      </c>
      <c r="D254" s="197" t="s">
        <v>326</v>
      </c>
      <c r="E254" s="199">
        <v>5.0</v>
      </c>
      <c r="F254" s="200">
        <v>45800.58333333333</v>
      </c>
      <c r="G254" s="197" t="s">
        <v>845</v>
      </c>
      <c r="H254" s="197" t="s">
        <v>847</v>
      </c>
    </row>
    <row r="255" ht="15.75" customHeight="1">
      <c r="A255" s="197" t="s">
        <v>53</v>
      </c>
      <c r="B255" s="197" t="s">
        <v>21</v>
      </c>
      <c r="C255" s="198" t="s">
        <v>325</v>
      </c>
      <c r="D255" s="197" t="s">
        <v>326</v>
      </c>
      <c r="E255" s="199">
        <v>6.0</v>
      </c>
      <c r="F255" s="200">
        <v>45813.58333333333</v>
      </c>
      <c r="G255" s="197" t="s">
        <v>845</v>
      </c>
      <c r="H255" s="197" t="s">
        <v>847</v>
      </c>
    </row>
    <row r="256" ht="15.75" customHeight="1">
      <c r="A256" s="197" t="s">
        <v>53</v>
      </c>
      <c r="B256" s="197" t="s">
        <v>21</v>
      </c>
      <c r="C256" s="198" t="s">
        <v>325</v>
      </c>
      <c r="D256" s="197" t="s">
        <v>326</v>
      </c>
      <c r="E256" s="199">
        <v>7.0</v>
      </c>
      <c r="F256" s="200">
        <v>45820.625</v>
      </c>
      <c r="G256" s="197" t="s">
        <v>845</v>
      </c>
      <c r="H256" s="197" t="s">
        <v>847</v>
      </c>
    </row>
    <row r="257" ht="15.75" customHeight="1">
      <c r="A257" s="197" t="s">
        <v>53</v>
      </c>
      <c r="B257" s="197" t="s">
        <v>21</v>
      </c>
      <c r="C257" s="198" t="s">
        <v>325</v>
      </c>
      <c r="D257" s="197" t="s">
        <v>326</v>
      </c>
      <c r="E257" s="199">
        <v>8.0</v>
      </c>
      <c r="F257" s="200">
        <v>45827.625</v>
      </c>
      <c r="G257" s="197" t="s">
        <v>845</v>
      </c>
      <c r="H257" s="197" t="s">
        <v>847</v>
      </c>
    </row>
    <row r="258" ht="15.75" customHeight="1">
      <c r="A258" s="197" t="s">
        <v>53</v>
      </c>
      <c r="B258" s="197" t="s">
        <v>21</v>
      </c>
      <c r="C258" s="198" t="s">
        <v>325</v>
      </c>
      <c r="D258" s="197" t="s">
        <v>326</v>
      </c>
      <c r="E258" s="199">
        <v>9.0</v>
      </c>
      <c r="F258" s="200">
        <v>45834.58333333333</v>
      </c>
      <c r="G258" s="197" t="s">
        <v>845</v>
      </c>
      <c r="H258" s="197" t="s">
        <v>847</v>
      </c>
    </row>
    <row r="259" ht="15.75" customHeight="1">
      <c r="A259" s="197" t="s">
        <v>53</v>
      </c>
      <c r="B259" s="197" t="s">
        <v>21</v>
      </c>
      <c r="C259" s="198" t="s">
        <v>325</v>
      </c>
      <c r="D259" s="197" t="s">
        <v>326</v>
      </c>
      <c r="E259" s="199">
        <v>10.0</v>
      </c>
      <c r="F259" s="200">
        <v>45882.54166666667</v>
      </c>
      <c r="G259" s="197" t="s">
        <v>845</v>
      </c>
      <c r="H259" s="197" t="s">
        <v>847</v>
      </c>
    </row>
    <row r="260" ht="15.75" customHeight="1">
      <c r="A260" s="197" t="s">
        <v>53</v>
      </c>
      <c r="B260" s="197" t="s">
        <v>21</v>
      </c>
      <c r="C260" s="198" t="s">
        <v>415</v>
      </c>
      <c r="D260" s="197" t="s">
        <v>416</v>
      </c>
      <c r="E260" s="199">
        <v>1.0</v>
      </c>
      <c r="F260" s="200">
        <v>45715.45833333333</v>
      </c>
      <c r="G260" s="197" t="s">
        <v>845</v>
      </c>
      <c r="H260" s="197" t="s">
        <v>847</v>
      </c>
    </row>
    <row r="261" ht="15.75" customHeight="1">
      <c r="A261" s="197" t="s">
        <v>53</v>
      </c>
      <c r="B261" s="197" t="s">
        <v>21</v>
      </c>
      <c r="C261" s="198" t="s">
        <v>415</v>
      </c>
      <c r="D261" s="197" t="s">
        <v>416</v>
      </c>
      <c r="E261" s="199">
        <v>2.0</v>
      </c>
      <c r="F261" s="200">
        <v>45763.45833333333</v>
      </c>
      <c r="G261" s="197" t="s">
        <v>845</v>
      </c>
      <c r="H261" s="197" t="s">
        <v>847</v>
      </c>
    </row>
    <row r="262" ht="15.75" customHeight="1">
      <c r="A262" s="197" t="s">
        <v>53</v>
      </c>
      <c r="B262" s="197" t="s">
        <v>21</v>
      </c>
      <c r="C262" s="198" t="s">
        <v>415</v>
      </c>
      <c r="D262" s="197" t="s">
        <v>416</v>
      </c>
      <c r="E262" s="199">
        <v>3.0</v>
      </c>
      <c r="F262" s="200">
        <v>45772.54166666667</v>
      </c>
      <c r="G262" s="197" t="s">
        <v>845</v>
      </c>
      <c r="H262" s="197" t="s">
        <v>847</v>
      </c>
    </row>
    <row r="263" ht="15.75" customHeight="1">
      <c r="A263" s="197" t="s">
        <v>53</v>
      </c>
      <c r="B263" s="197" t="s">
        <v>21</v>
      </c>
      <c r="C263" s="198" t="s">
        <v>415</v>
      </c>
      <c r="D263" s="197" t="s">
        <v>416</v>
      </c>
      <c r="E263" s="199">
        <v>4.0</v>
      </c>
      <c r="F263" s="200">
        <v>45793.58333333333</v>
      </c>
      <c r="G263" s="197" t="s">
        <v>845</v>
      </c>
      <c r="H263" s="197" t="s">
        <v>847</v>
      </c>
    </row>
    <row r="264" ht="15.75" customHeight="1">
      <c r="A264" s="197" t="s">
        <v>53</v>
      </c>
      <c r="B264" s="197" t="s">
        <v>21</v>
      </c>
      <c r="C264" s="198" t="s">
        <v>415</v>
      </c>
      <c r="D264" s="197" t="s">
        <v>416</v>
      </c>
      <c r="E264" s="199">
        <v>5.0</v>
      </c>
      <c r="F264" s="200">
        <v>45800.58333333333</v>
      </c>
      <c r="G264" s="197" t="s">
        <v>845</v>
      </c>
      <c r="H264" s="197" t="s">
        <v>847</v>
      </c>
    </row>
    <row r="265" ht="15.75" customHeight="1">
      <c r="A265" s="197" t="s">
        <v>53</v>
      </c>
      <c r="B265" s="197" t="s">
        <v>21</v>
      </c>
      <c r="C265" s="198" t="s">
        <v>415</v>
      </c>
      <c r="D265" s="197" t="s">
        <v>416</v>
      </c>
      <c r="E265" s="199">
        <v>6.0</v>
      </c>
      <c r="F265" s="200">
        <v>45813.58333333333</v>
      </c>
      <c r="G265" s="197" t="s">
        <v>845</v>
      </c>
      <c r="H265" s="197" t="s">
        <v>847</v>
      </c>
    </row>
    <row r="266" ht="15.75" customHeight="1">
      <c r="A266" s="197" t="s">
        <v>53</v>
      </c>
      <c r="B266" s="197" t="s">
        <v>21</v>
      </c>
      <c r="C266" s="198" t="s">
        <v>415</v>
      </c>
      <c r="D266" s="197" t="s">
        <v>416</v>
      </c>
      <c r="E266" s="199">
        <v>7.0</v>
      </c>
      <c r="F266" s="200">
        <v>45820.625</v>
      </c>
      <c r="G266" s="197" t="s">
        <v>845</v>
      </c>
      <c r="H266" s="197" t="s">
        <v>847</v>
      </c>
    </row>
    <row r="267" ht="15.75" customHeight="1">
      <c r="A267" s="197" t="s">
        <v>53</v>
      </c>
      <c r="B267" s="197" t="s">
        <v>21</v>
      </c>
      <c r="C267" s="198" t="s">
        <v>415</v>
      </c>
      <c r="D267" s="197" t="s">
        <v>416</v>
      </c>
      <c r="E267" s="199">
        <v>8.0</v>
      </c>
      <c r="F267" s="200">
        <v>45827.625</v>
      </c>
      <c r="G267" s="197" t="s">
        <v>843</v>
      </c>
      <c r="H267" s="197" t="s">
        <v>847</v>
      </c>
    </row>
    <row r="268" ht="15.75" customHeight="1">
      <c r="A268" s="197" t="s">
        <v>53</v>
      </c>
      <c r="B268" s="197" t="s">
        <v>21</v>
      </c>
      <c r="C268" s="198" t="s">
        <v>415</v>
      </c>
      <c r="D268" s="197" t="s">
        <v>416</v>
      </c>
      <c r="E268" s="199">
        <v>9.0</v>
      </c>
      <c r="F268" s="200">
        <v>45834.58333333333</v>
      </c>
      <c r="G268" s="197" t="s">
        <v>845</v>
      </c>
      <c r="H268" s="197" t="s">
        <v>847</v>
      </c>
    </row>
    <row r="269" ht="15.75" customHeight="1">
      <c r="A269" s="197" t="s">
        <v>53</v>
      </c>
      <c r="B269" s="197" t="s">
        <v>21</v>
      </c>
      <c r="C269" s="198" t="s">
        <v>415</v>
      </c>
      <c r="D269" s="197" t="s">
        <v>416</v>
      </c>
      <c r="E269" s="199">
        <v>10.0</v>
      </c>
      <c r="F269" s="200">
        <v>45882.54166666667</v>
      </c>
      <c r="G269" s="197" t="s">
        <v>845</v>
      </c>
      <c r="H269" s="197" t="s">
        <v>847</v>
      </c>
    </row>
    <row r="270" ht="15.75" customHeight="1">
      <c r="A270" s="197" t="s">
        <v>53</v>
      </c>
      <c r="B270" s="197" t="s">
        <v>21</v>
      </c>
      <c r="C270" s="198" t="s">
        <v>461</v>
      </c>
      <c r="D270" s="197" t="s">
        <v>462</v>
      </c>
      <c r="E270" s="199">
        <v>1.0</v>
      </c>
      <c r="F270" s="200">
        <v>45715.45833333333</v>
      </c>
      <c r="G270" s="197" t="s">
        <v>843</v>
      </c>
      <c r="H270" s="197" t="s">
        <v>847</v>
      </c>
    </row>
    <row r="271" ht="15.75" customHeight="1">
      <c r="A271" s="197" t="s">
        <v>53</v>
      </c>
      <c r="B271" s="197" t="s">
        <v>21</v>
      </c>
      <c r="C271" s="198" t="s">
        <v>461</v>
      </c>
      <c r="D271" s="197" t="s">
        <v>462</v>
      </c>
      <c r="E271" s="199">
        <v>2.0</v>
      </c>
      <c r="F271" s="200">
        <v>45763.45833333333</v>
      </c>
      <c r="G271" s="197" t="s">
        <v>845</v>
      </c>
      <c r="H271" s="197" t="s">
        <v>847</v>
      </c>
    </row>
    <row r="272" ht="15.75" customHeight="1">
      <c r="A272" s="197" t="s">
        <v>53</v>
      </c>
      <c r="B272" s="197" t="s">
        <v>21</v>
      </c>
      <c r="C272" s="198" t="s">
        <v>461</v>
      </c>
      <c r="D272" s="197" t="s">
        <v>462</v>
      </c>
      <c r="E272" s="199">
        <v>3.0</v>
      </c>
      <c r="F272" s="200">
        <v>45772.54166666667</v>
      </c>
      <c r="G272" s="197" t="s">
        <v>845</v>
      </c>
      <c r="H272" s="197" t="s">
        <v>847</v>
      </c>
    </row>
    <row r="273" ht="15.75" customHeight="1">
      <c r="A273" s="197" t="s">
        <v>53</v>
      </c>
      <c r="B273" s="197" t="s">
        <v>21</v>
      </c>
      <c r="C273" s="198" t="s">
        <v>461</v>
      </c>
      <c r="D273" s="197" t="s">
        <v>462</v>
      </c>
      <c r="E273" s="199">
        <v>4.0</v>
      </c>
      <c r="F273" s="200">
        <v>45793.58333333333</v>
      </c>
      <c r="G273" s="197" t="s">
        <v>843</v>
      </c>
      <c r="H273" s="197" t="s">
        <v>847</v>
      </c>
    </row>
    <row r="274" ht="15.75" customHeight="1">
      <c r="A274" s="197" t="s">
        <v>53</v>
      </c>
      <c r="B274" s="197" t="s">
        <v>21</v>
      </c>
      <c r="C274" s="198" t="s">
        <v>461</v>
      </c>
      <c r="D274" s="197" t="s">
        <v>462</v>
      </c>
      <c r="E274" s="199">
        <v>5.0</v>
      </c>
      <c r="F274" s="200">
        <v>45800.58333333333</v>
      </c>
      <c r="G274" s="197" t="s">
        <v>845</v>
      </c>
      <c r="H274" s="197" t="s">
        <v>847</v>
      </c>
    </row>
    <row r="275" ht="15.75" customHeight="1">
      <c r="A275" s="197" t="s">
        <v>53</v>
      </c>
      <c r="B275" s="197" t="s">
        <v>21</v>
      </c>
      <c r="C275" s="198" t="s">
        <v>461</v>
      </c>
      <c r="D275" s="197" t="s">
        <v>462</v>
      </c>
      <c r="E275" s="199">
        <v>6.0</v>
      </c>
      <c r="F275" s="200">
        <v>45813.58333333333</v>
      </c>
      <c r="G275" s="197" t="s">
        <v>845</v>
      </c>
      <c r="H275" s="197" t="s">
        <v>847</v>
      </c>
    </row>
    <row r="276" ht="15.75" customHeight="1">
      <c r="A276" s="197" t="s">
        <v>53</v>
      </c>
      <c r="B276" s="197" t="s">
        <v>21</v>
      </c>
      <c r="C276" s="198" t="s">
        <v>461</v>
      </c>
      <c r="D276" s="197" t="s">
        <v>462</v>
      </c>
      <c r="E276" s="199">
        <v>7.0</v>
      </c>
      <c r="F276" s="200">
        <v>45820.625</v>
      </c>
      <c r="G276" s="197" t="s">
        <v>845</v>
      </c>
      <c r="H276" s="197" t="s">
        <v>847</v>
      </c>
    </row>
    <row r="277" ht="15.75" customHeight="1">
      <c r="A277" s="197" t="s">
        <v>53</v>
      </c>
      <c r="B277" s="197" t="s">
        <v>21</v>
      </c>
      <c r="C277" s="198" t="s">
        <v>461</v>
      </c>
      <c r="D277" s="197" t="s">
        <v>462</v>
      </c>
      <c r="E277" s="199">
        <v>8.0</v>
      </c>
      <c r="F277" s="200">
        <v>45827.625</v>
      </c>
      <c r="G277" s="197" t="s">
        <v>845</v>
      </c>
      <c r="H277" s="197" t="s">
        <v>847</v>
      </c>
    </row>
    <row r="278" ht="15.75" customHeight="1">
      <c r="A278" s="197" t="s">
        <v>53</v>
      </c>
      <c r="B278" s="197" t="s">
        <v>21</v>
      </c>
      <c r="C278" s="198" t="s">
        <v>461</v>
      </c>
      <c r="D278" s="197" t="s">
        <v>462</v>
      </c>
      <c r="E278" s="199">
        <v>9.0</v>
      </c>
      <c r="F278" s="200">
        <v>45834.58333333333</v>
      </c>
      <c r="G278" s="197" t="s">
        <v>845</v>
      </c>
      <c r="H278" s="197" t="s">
        <v>847</v>
      </c>
    </row>
    <row r="279" ht="15.75" customHeight="1">
      <c r="A279" s="197" t="s">
        <v>53</v>
      </c>
      <c r="B279" s="197" t="s">
        <v>21</v>
      </c>
      <c r="C279" s="198" t="s">
        <v>461</v>
      </c>
      <c r="D279" s="197" t="s">
        <v>462</v>
      </c>
      <c r="E279" s="199">
        <v>10.0</v>
      </c>
      <c r="F279" s="200">
        <v>45882.54166666667</v>
      </c>
      <c r="G279" s="197" t="s">
        <v>845</v>
      </c>
      <c r="H279" s="197" t="s">
        <v>847</v>
      </c>
    </row>
    <row r="280" ht="15.75" customHeight="1">
      <c r="A280" s="197" t="s">
        <v>53</v>
      </c>
      <c r="B280" s="197" t="s">
        <v>21</v>
      </c>
      <c r="C280" s="198" t="s">
        <v>534</v>
      </c>
      <c r="D280" s="197" t="s">
        <v>535</v>
      </c>
      <c r="E280" s="199">
        <v>1.0</v>
      </c>
      <c r="F280" s="200">
        <v>45715.45833333333</v>
      </c>
      <c r="G280" s="197" t="s">
        <v>845</v>
      </c>
      <c r="H280" s="197" t="s">
        <v>847</v>
      </c>
    </row>
    <row r="281" ht="15.75" customHeight="1">
      <c r="A281" s="197" t="s">
        <v>53</v>
      </c>
      <c r="B281" s="197" t="s">
        <v>21</v>
      </c>
      <c r="C281" s="198" t="s">
        <v>534</v>
      </c>
      <c r="D281" s="197" t="s">
        <v>535</v>
      </c>
      <c r="E281" s="199">
        <v>2.0</v>
      </c>
      <c r="F281" s="200">
        <v>45763.45833333333</v>
      </c>
      <c r="G281" s="197" t="s">
        <v>845</v>
      </c>
      <c r="H281" s="197" t="s">
        <v>847</v>
      </c>
    </row>
    <row r="282" ht="15.75" customHeight="1">
      <c r="A282" s="197" t="s">
        <v>53</v>
      </c>
      <c r="B282" s="197" t="s">
        <v>21</v>
      </c>
      <c r="C282" s="198" t="s">
        <v>534</v>
      </c>
      <c r="D282" s="197" t="s">
        <v>535</v>
      </c>
      <c r="E282" s="199">
        <v>3.0</v>
      </c>
      <c r="F282" s="200">
        <v>45772.54166666667</v>
      </c>
      <c r="G282" s="197" t="s">
        <v>845</v>
      </c>
      <c r="H282" s="197" t="s">
        <v>847</v>
      </c>
    </row>
    <row r="283" ht="15.75" customHeight="1">
      <c r="A283" s="197" t="s">
        <v>53</v>
      </c>
      <c r="B283" s="197" t="s">
        <v>21</v>
      </c>
      <c r="C283" s="198" t="s">
        <v>534</v>
      </c>
      <c r="D283" s="197" t="s">
        <v>535</v>
      </c>
      <c r="E283" s="199">
        <v>4.0</v>
      </c>
      <c r="F283" s="200">
        <v>45793.58333333333</v>
      </c>
      <c r="G283" s="197" t="s">
        <v>845</v>
      </c>
      <c r="H283" s="197" t="s">
        <v>847</v>
      </c>
    </row>
    <row r="284" ht="15.75" customHeight="1">
      <c r="A284" s="197" t="s">
        <v>53</v>
      </c>
      <c r="B284" s="197" t="s">
        <v>21</v>
      </c>
      <c r="C284" s="198" t="s">
        <v>534</v>
      </c>
      <c r="D284" s="197" t="s">
        <v>535</v>
      </c>
      <c r="E284" s="199">
        <v>5.0</v>
      </c>
      <c r="F284" s="200">
        <v>45800.58333333333</v>
      </c>
      <c r="G284" s="197" t="s">
        <v>845</v>
      </c>
      <c r="H284" s="197" t="s">
        <v>847</v>
      </c>
    </row>
    <row r="285" ht="15.75" customHeight="1">
      <c r="A285" s="197" t="s">
        <v>53</v>
      </c>
      <c r="B285" s="197" t="s">
        <v>21</v>
      </c>
      <c r="C285" s="198" t="s">
        <v>534</v>
      </c>
      <c r="D285" s="197" t="s">
        <v>535</v>
      </c>
      <c r="E285" s="199">
        <v>6.0</v>
      </c>
      <c r="F285" s="200">
        <v>45813.625</v>
      </c>
      <c r="G285" s="197" t="s">
        <v>845</v>
      </c>
      <c r="H285" s="197" t="s">
        <v>847</v>
      </c>
    </row>
    <row r="286" ht="15.75" customHeight="1">
      <c r="A286" s="197" t="s">
        <v>53</v>
      </c>
      <c r="B286" s="197" t="s">
        <v>21</v>
      </c>
      <c r="C286" s="198" t="s">
        <v>534</v>
      </c>
      <c r="D286" s="197" t="s">
        <v>535</v>
      </c>
      <c r="E286" s="199">
        <v>7.0</v>
      </c>
      <c r="F286" s="200">
        <v>45820.625</v>
      </c>
      <c r="G286" s="197" t="s">
        <v>845</v>
      </c>
      <c r="H286" s="197" t="s">
        <v>847</v>
      </c>
    </row>
    <row r="287" ht="15.75" customHeight="1">
      <c r="A287" s="197" t="s">
        <v>53</v>
      </c>
      <c r="B287" s="197" t="s">
        <v>21</v>
      </c>
      <c r="C287" s="198" t="s">
        <v>534</v>
      </c>
      <c r="D287" s="197" t="s">
        <v>535</v>
      </c>
      <c r="E287" s="199">
        <v>8.0</v>
      </c>
      <c r="F287" s="200">
        <v>45827.625</v>
      </c>
      <c r="G287" s="197" t="s">
        <v>845</v>
      </c>
      <c r="H287" s="197" t="s">
        <v>847</v>
      </c>
    </row>
    <row r="288" ht="15.75" customHeight="1">
      <c r="A288" s="197" t="s">
        <v>53</v>
      </c>
      <c r="B288" s="197" t="s">
        <v>21</v>
      </c>
      <c r="C288" s="198" t="s">
        <v>534</v>
      </c>
      <c r="D288" s="197" t="s">
        <v>535</v>
      </c>
      <c r="E288" s="199">
        <v>9.0</v>
      </c>
      <c r="F288" s="200">
        <v>45834.58333333333</v>
      </c>
      <c r="G288" s="197" t="s">
        <v>845</v>
      </c>
      <c r="H288" s="197" t="s">
        <v>847</v>
      </c>
    </row>
    <row r="289" ht="15.75" customHeight="1">
      <c r="A289" s="197" t="s">
        <v>53</v>
      </c>
      <c r="B289" s="197" t="s">
        <v>21</v>
      </c>
      <c r="C289" s="198" t="s">
        <v>534</v>
      </c>
      <c r="D289" s="197" t="s">
        <v>535</v>
      </c>
      <c r="E289" s="199">
        <v>10.0</v>
      </c>
      <c r="F289" s="200">
        <v>45882.54166666667</v>
      </c>
      <c r="G289" s="197" t="s">
        <v>845</v>
      </c>
      <c r="H289" s="197" t="s">
        <v>847</v>
      </c>
    </row>
    <row r="290" ht="15.75" customHeight="1">
      <c r="A290" s="197" t="s">
        <v>53</v>
      </c>
      <c r="B290" s="197" t="s">
        <v>21</v>
      </c>
      <c r="C290" s="198" t="s">
        <v>560</v>
      </c>
      <c r="D290" s="197" t="s">
        <v>561</v>
      </c>
      <c r="E290" s="199">
        <v>1.0</v>
      </c>
      <c r="F290" s="200">
        <v>45715.45833333333</v>
      </c>
      <c r="G290" s="197" t="s">
        <v>845</v>
      </c>
      <c r="H290" s="197" t="s">
        <v>847</v>
      </c>
    </row>
    <row r="291" ht="15.75" customHeight="1">
      <c r="A291" s="197" t="s">
        <v>53</v>
      </c>
      <c r="B291" s="197" t="s">
        <v>21</v>
      </c>
      <c r="C291" s="198" t="s">
        <v>560</v>
      </c>
      <c r="D291" s="197" t="s">
        <v>561</v>
      </c>
      <c r="E291" s="199">
        <v>2.0</v>
      </c>
      <c r="F291" s="200">
        <v>45763.45833333333</v>
      </c>
      <c r="G291" s="197" t="s">
        <v>845</v>
      </c>
      <c r="H291" s="197" t="s">
        <v>847</v>
      </c>
    </row>
    <row r="292" ht="15.75" customHeight="1">
      <c r="A292" s="197" t="s">
        <v>53</v>
      </c>
      <c r="B292" s="197" t="s">
        <v>21</v>
      </c>
      <c r="C292" s="198" t="s">
        <v>560</v>
      </c>
      <c r="D292" s="197" t="s">
        <v>561</v>
      </c>
      <c r="E292" s="199">
        <v>3.0</v>
      </c>
      <c r="F292" s="200">
        <v>45772.54166666667</v>
      </c>
      <c r="G292" s="197" t="s">
        <v>845</v>
      </c>
      <c r="H292" s="197" t="s">
        <v>847</v>
      </c>
    </row>
    <row r="293" ht="15.75" customHeight="1">
      <c r="A293" s="197" t="s">
        <v>53</v>
      </c>
      <c r="B293" s="197" t="s">
        <v>21</v>
      </c>
      <c r="C293" s="198" t="s">
        <v>560</v>
      </c>
      <c r="D293" s="197" t="s">
        <v>561</v>
      </c>
      <c r="E293" s="199">
        <v>4.0</v>
      </c>
      <c r="F293" s="200">
        <v>45793.58333333333</v>
      </c>
      <c r="G293" s="197" t="s">
        <v>843</v>
      </c>
      <c r="H293" s="197" t="s">
        <v>847</v>
      </c>
    </row>
    <row r="294" ht="15.75" customHeight="1">
      <c r="A294" s="197" t="s">
        <v>53</v>
      </c>
      <c r="B294" s="197" t="s">
        <v>21</v>
      </c>
      <c r="C294" s="198" t="s">
        <v>560</v>
      </c>
      <c r="D294" s="197" t="s">
        <v>561</v>
      </c>
      <c r="E294" s="199">
        <v>5.0</v>
      </c>
      <c r="F294" s="200">
        <v>45800.58333333333</v>
      </c>
      <c r="G294" s="197" t="s">
        <v>845</v>
      </c>
      <c r="H294" s="197" t="s">
        <v>847</v>
      </c>
    </row>
    <row r="295" ht="15.75" customHeight="1">
      <c r="A295" s="197" t="s">
        <v>53</v>
      </c>
      <c r="B295" s="197" t="s">
        <v>21</v>
      </c>
      <c r="C295" s="198" t="s">
        <v>560</v>
      </c>
      <c r="D295" s="197" t="s">
        <v>561</v>
      </c>
      <c r="E295" s="199">
        <v>6.0</v>
      </c>
      <c r="F295" s="200">
        <v>45813.58333333333</v>
      </c>
      <c r="G295" s="197" t="s">
        <v>845</v>
      </c>
      <c r="H295" s="197" t="s">
        <v>847</v>
      </c>
    </row>
    <row r="296" ht="15.75" customHeight="1">
      <c r="A296" s="197" t="s">
        <v>53</v>
      </c>
      <c r="B296" s="197" t="s">
        <v>21</v>
      </c>
      <c r="C296" s="198" t="s">
        <v>560</v>
      </c>
      <c r="D296" s="197" t="s">
        <v>561</v>
      </c>
      <c r="E296" s="199">
        <v>7.0</v>
      </c>
      <c r="F296" s="200">
        <v>45820.625</v>
      </c>
      <c r="G296" s="197" t="s">
        <v>845</v>
      </c>
      <c r="H296" s="197" t="s">
        <v>847</v>
      </c>
    </row>
    <row r="297" ht="15.75" customHeight="1">
      <c r="A297" s="197" t="s">
        <v>53</v>
      </c>
      <c r="B297" s="197" t="s">
        <v>21</v>
      </c>
      <c r="C297" s="198" t="s">
        <v>560</v>
      </c>
      <c r="D297" s="197" t="s">
        <v>561</v>
      </c>
      <c r="E297" s="199">
        <v>8.0</v>
      </c>
      <c r="F297" s="200">
        <v>45827.625</v>
      </c>
      <c r="G297" s="197" t="s">
        <v>845</v>
      </c>
      <c r="H297" s="197" t="s">
        <v>847</v>
      </c>
    </row>
    <row r="298" ht="15.75" customHeight="1">
      <c r="A298" s="197" t="s">
        <v>53</v>
      </c>
      <c r="B298" s="197" t="s">
        <v>21</v>
      </c>
      <c r="C298" s="198" t="s">
        <v>560</v>
      </c>
      <c r="D298" s="197" t="s">
        <v>561</v>
      </c>
      <c r="E298" s="199">
        <v>9.0</v>
      </c>
      <c r="F298" s="200">
        <v>45834.58333333333</v>
      </c>
      <c r="G298" s="197" t="s">
        <v>845</v>
      </c>
      <c r="H298" s="197" t="s">
        <v>847</v>
      </c>
    </row>
    <row r="299" ht="15.75" customHeight="1">
      <c r="A299" s="197" t="s">
        <v>53</v>
      </c>
      <c r="B299" s="197" t="s">
        <v>21</v>
      </c>
      <c r="C299" s="198" t="s">
        <v>560</v>
      </c>
      <c r="D299" s="197" t="s">
        <v>561</v>
      </c>
      <c r="E299" s="199">
        <v>10.0</v>
      </c>
      <c r="F299" s="200">
        <v>45882.54166666667</v>
      </c>
      <c r="G299" s="197" t="s">
        <v>845</v>
      </c>
      <c r="H299" s="197" t="s">
        <v>847</v>
      </c>
    </row>
    <row r="300" ht="15.75" customHeight="1">
      <c r="A300" s="197" t="s">
        <v>54</v>
      </c>
      <c r="B300" s="197" t="s">
        <v>21</v>
      </c>
      <c r="C300" s="198" t="s">
        <v>144</v>
      </c>
      <c r="D300" s="197" t="s">
        <v>145</v>
      </c>
      <c r="E300" s="199">
        <v>1.0</v>
      </c>
      <c r="F300" s="200">
        <v>45639.58333333333</v>
      </c>
      <c r="G300" s="197" t="s">
        <v>843</v>
      </c>
      <c r="H300" s="197" t="s">
        <v>848</v>
      </c>
    </row>
    <row r="301" ht="15.75" customHeight="1">
      <c r="A301" s="197" t="s">
        <v>54</v>
      </c>
      <c r="B301" s="197" t="s">
        <v>21</v>
      </c>
      <c r="C301" s="198" t="s">
        <v>144</v>
      </c>
      <c r="D301" s="197" t="s">
        <v>145</v>
      </c>
      <c r="E301" s="199">
        <v>2.0</v>
      </c>
      <c r="F301" s="200">
        <v>45665.375</v>
      </c>
      <c r="G301" s="197" t="s">
        <v>845</v>
      </c>
      <c r="H301" s="197" t="s">
        <v>848</v>
      </c>
    </row>
    <row r="302" ht="15.75" customHeight="1">
      <c r="A302" s="197" t="s">
        <v>54</v>
      </c>
      <c r="B302" s="197" t="s">
        <v>21</v>
      </c>
      <c r="C302" s="198" t="s">
        <v>144</v>
      </c>
      <c r="D302" s="197" t="s">
        <v>145</v>
      </c>
      <c r="E302" s="199">
        <v>3.0</v>
      </c>
      <c r="F302" s="200">
        <v>45679.41666666667</v>
      </c>
      <c r="G302" s="197" t="s">
        <v>845</v>
      </c>
      <c r="H302" s="197" t="s">
        <v>848</v>
      </c>
    </row>
    <row r="303" ht="15.75" customHeight="1">
      <c r="A303" s="197" t="s">
        <v>54</v>
      </c>
      <c r="B303" s="197" t="s">
        <v>21</v>
      </c>
      <c r="C303" s="198" t="s">
        <v>144</v>
      </c>
      <c r="D303" s="197" t="s">
        <v>145</v>
      </c>
      <c r="E303" s="199">
        <v>4.0</v>
      </c>
      <c r="F303" s="200">
        <v>45709.375</v>
      </c>
      <c r="G303" s="197" t="s">
        <v>843</v>
      </c>
      <c r="H303" s="197" t="s">
        <v>848</v>
      </c>
    </row>
    <row r="304" ht="15.75" customHeight="1">
      <c r="A304" s="197" t="s">
        <v>54</v>
      </c>
      <c r="B304" s="197" t="s">
        <v>21</v>
      </c>
      <c r="C304" s="198" t="s">
        <v>144</v>
      </c>
      <c r="D304" s="197" t="s">
        <v>145</v>
      </c>
      <c r="E304" s="199">
        <v>5.0</v>
      </c>
      <c r="F304" s="200">
        <v>45702.58333333333</v>
      </c>
      <c r="G304" s="197" t="s">
        <v>845</v>
      </c>
      <c r="H304" s="197" t="s">
        <v>848</v>
      </c>
    </row>
    <row r="305" ht="15.75" customHeight="1">
      <c r="A305" s="197" t="s">
        <v>54</v>
      </c>
      <c r="B305" s="197" t="s">
        <v>21</v>
      </c>
      <c r="C305" s="198" t="s">
        <v>144</v>
      </c>
      <c r="D305" s="197" t="s">
        <v>145</v>
      </c>
      <c r="E305" s="199">
        <v>6.0</v>
      </c>
      <c r="F305" s="200">
        <v>45764.375</v>
      </c>
      <c r="G305" s="197" t="s">
        <v>843</v>
      </c>
      <c r="H305" s="197" t="s">
        <v>848</v>
      </c>
    </row>
    <row r="306" ht="15.75" customHeight="1">
      <c r="A306" s="197" t="s">
        <v>54</v>
      </c>
      <c r="B306" s="197" t="s">
        <v>21</v>
      </c>
      <c r="C306" s="198" t="s">
        <v>144</v>
      </c>
      <c r="D306" s="197" t="s">
        <v>145</v>
      </c>
      <c r="E306" s="199">
        <v>7.0</v>
      </c>
      <c r="F306" s="200">
        <v>45716.375</v>
      </c>
      <c r="G306" s="197" t="s">
        <v>845</v>
      </c>
      <c r="H306" s="197" t="s">
        <v>848</v>
      </c>
    </row>
    <row r="307" ht="15.75" customHeight="1">
      <c r="A307" s="197" t="s">
        <v>54</v>
      </c>
      <c r="B307" s="197" t="s">
        <v>21</v>
      </c>
      <c r="C307" s="198" t="s">
        <v>144</v>
      </c>
      <c r="D307" s="197" t="s">
        <v>145</v>
      </c>
      <c r="E307" s="199">
        <v>8.0</v>
      </c>
      <c r="F307" s="200">
        <v>45764.375</v>
      </c>
      <c r="G307" s="197" t="s">
        <v>845</v>
      </c>
      <c r="H307" s="197" t="s">
        <v>848</v>
      </c>
    </row>
    <row r="308" ht="15.75" customHeight="1">
      <c r="A308" s="197" t="s">
        <v>54</v>
      </c>
      <c r="B308" s="197" t="s">
        <v>21</v>
      </c>
      <c r="C308" s="198" t="s">
        <v>144</v>
      </c>
      <c r="D308" s="197" t="s">
        <v>145</v>
      </c>
      <c r="E308" s="199">
        <v>9.0</v>
      </c>
      <c r="F308" s="200">
        <v>45792.41666666667</v>
      </c>
      <c r="G308" s="197" t="s">
        <v>843</v>
      </c>
      <c r="H308" s="197" t="s">
        <v>848</v>
      </c>
    </row>
    <row r="309" ht="15.75" customHeight="1">
      <c r="A309" s="197" t="s">
        <v>54</v>
      </c>
      <c r="B309" s="197" t="s">
        <v>21</v>
      </c>
      <c r="C309" s="198" t="s">
        <v>144</v>
      </c>
      <c r="D309" s="197" t="s">
        <v>145</v>
      </c>
      <c r="E309" s="199">
        <v>10.0</v>
      </c>
      <c r="F309" s="200">
        <v>45820.375</v>
      </c>
      <c r="G309" s="197" t="s">
        <v>845</v>
      </c>
      <c r="H309" s="197" t="s">
        <v>848</v>
      </c>
    </row>
    <row r="310" ht="15.75" customHeight="1">
      <c r="A310" s="197" t="s">
        <v>54</v>
      </c>
      <c r="B310" s="197" t="s">
        <v>22</v>
      </c>
      <c r="C310" s="198" t="s">
        <v>144</v>
      </c>
      <c r="D310" s="197" t="s">
        <v>145</v>
      </c>
      <c r="E310" s="199">
        <v>1.0</v>
      </c>
      <c r="F310" s="200">
        <v>45869.58333333333</v>
      </c>
      <c r="G310" s="197" t="s">
        <v>845</v>
      </c>
      <c r="H310" s="197" t="s">
        <v>848</v>
      </c>
    </row>
    <row r="311" ht="15.75" customHeight="1">
      <c r="A311" s="197" t="s">
        <v>54</v>
      </c>
      <c r="B311" s="197" t="s">
        <v>22</v>
      </c>
      <c r="C311" s="198" t="s">
        <v>144</v>
      </c>
      <c r="D311" s="197" t="s">
        <v>145</v>
      </c>
      <c r="E311" s="199">
        <v>2.0</v>
      </c>
      <c r="F311" s="200">
        <v>45881.375</v>
      </c>
      <c r="G311" s="197" t="s">
        <v>845</v>
      </c>
      <c r="H311" s="197" t="s">
        <v>848</v>
      </c>
    </row>
    <row r="312" ht="15.75" customHeight="1">
      <c r="A312" s="197" t="s">
        <v>54</v>
      </c>
      <c r="B312" s="197" t="s">
        <v>22</v>
      </c>
      <c r="C312" s="198" t="s">
        <v>144</v>
      </c>
      <c r="D312" s="197" t="s">
        <v>145</v>
      </c>
      <c r="E312" s="199">
        <v>3.0</v>
      </c>
      <c r="F312" s="200">
        <v>45890.375</v>
      </c>
      <c r="G312" s="197" t="s">
        <v>845</v>
      </c>
      <c r="H312" s="197" t="s">
        <v>848</v>
      </c>
    </row>
    <row r="313" ht="15.75" customHeight="1">
      <c r="A313" s="197" t="s">
        <v>54</v>
      </c>
      <c r="B313" s="197" t="s">
        <v>22</v>
      </c>
      <c r="C313" s="198" t="s">
        <v>144</v>
      </c>
      <c r="D313" s="197" t="s">
        <v>145</v>
      </c>
      <c r="E313" s="199">
        <v>4.0</v>
      </c>
      <c r="F313" s="200">
        <v>45897.625</v>
      </c>
      <c r="G313" s="197" t="s">
        <v>845</v>
      </c>
      <c r="H313" s="197" t="s">
        <v>848</v>
      </c>
    </row>
    <row r="314" ht="15.75" customHeight="1">
      <c r="A314" s="197" t="s">
        <v>54</v>
      </c>
      <c r="B314" s="197" t="s">
        <v>22</v>
      </c>
      <c r="C314" s="198" t="s">
        <v>144</v>
      </c>
      <c r="D314" s="197" t="s">
        <v>145</v>
      </c>
      <c r="E314" s="199">
        <v>5.0</v>
      </c>
      <c r="F314" s="200">
        <v>45904.375</v>
      </c>
      <c r="G314" s="197" t="s">
        <v>843</v>
      </c>
      <c r="H314" s="197" t="s">
        <v>848</v>
      </c>
    </row>
    <row r="315" ht="15.75" customHeight="1">
      <c r="A315" s="197" t="s">
        <v>54</v>
      </c>
      <c r="B315" s="197" t="s">
        <v>22</v>
      </c>
      <c r="C315" s="198" t="s">
        <v>144</v>
      </c>
      <c r="D315" s="197" t="s">
        <v>145</v>
      </c>
      <c r="E315" s="199">
        <v>6.0</v>
      </c>
      <c r="F315" s="200">
        <v>45909.375</v>
      </c>
      <c r="G315" s="197" t="s">
        <v>845</v>
      </c>
      <c r="H315" s="197" t="s">
        <v>848</v>
      </c>
    </row>
    <row r="316" ht="15.75" customHeight="1">
      <c r="A316" s="197" t="s">
        <v>54</v>
      </c>
      <c r="B316" s="197" t="s">
        <v>22</v>
      </c>
      <c r="C316" s="198" t="s">
        <v>144</v>
      </c>
      <c r="D316" s="197" t="s">
        <v>145</v>
      </c>
      <c r="E316" s="199">
        <v>7.0</v>
      </c>
      <c r="F316" s="200">
        <v>45917.375</v>
      </c>
      <c r="G316" s="197" t="s">
        <v>845</v>
      </c>
      <c r="H316" s="197" t="s">
        <v>848</v>
      </c>
    </row>
    <row r="317" ht="15.75" customHeight="1">
      <c r="A317" s="197" t="s">
        <v>54</v>
      </c>
      <c r="B317" s="197" t="s">
        <v>22</v>
      </c>
      <c r="C317" s="198" t="s">
        <v>144</v>
      </c>
      <c r="D317" s="197" t="s">
        <v>145</v>
      </c>
      <c r="E317" s="199">
        <v>8.0</v>
      </c>
      <c r="F317" s="200">
        <v>45923.375</v>
      </c>
      <c r="G317" s="197" t="s">
        <v>843</v>
      </c>
      <c r="H317" s="197" t="s">
        <v>848</v>
      </c>
    </row>
    <row r="318" ht="15.75" customHeight="1">
      <c r="A318" s="197" t="s">
        <v>54</v>
      </c>
      <c r="B318" s="197" t="s">
        <v>22</v>
      </c>
      <c r="C318" s="198" t="s">
        <v>144</v>
      </c>
      <c r="D318" s="197" t="s">
        <v>145</v>
      </c>
      <c r="E318" s="199">
        <v>9.0</v>
      </c>
      <c r="F318" s="200">
        <v>45932.375</v>
      </c>
      <c r="G318" s="197" t="s">
        <v>843</v>
      </c>
      <c r="H318" s="197" t="s">
        <v>848</v>
      </c>
    </row>
    <row r="319" ht="15.75" customHeight="1">
      <c r="A319" s="197" t="s">
        <v>54</v>
      </c>
      <c r="B319" s="197" t="s">
        <v>22</v>
      </c>
      <c r="C319" s="198" t="s">
        <v>144</v>
      </c>
      <c r="D319" s="197" t="s">
        <v>145</v>
      </c>
      <c r="E319" s="199">
        <v>10.0</v>
      </c>
      <c r="F319" s="200">
        <v>45939.375</v>
      </c>
      <c r="G319" s="197" t="s">
        <v>845</v>
      </c>
      <c r="H319" s="197" t="s">
        <v>848</v>
      </c>
    </row>
    <row r="320" ht="15.75" customHeight="1">
      <c r="A320" s="197" t="s">
        <v>54</v>
      </c>
      <c r="B320" s="197" t="s">
        <v>22</v>
      </c>
      <c r="C320" s="198" t="s">
        <v>144</v>
      </c>
      <c r="D320" s="197" t="s">
        <v>145</v>
      </c>
      <c r="E320" s="199">
        <v>11.0</v>
      </c>
      <c r="F320" s="200">
        <v>45944.41666666667</v>
      </c>
      <c r="G320" s="197" t="s">
        <v>843</v>
      </c>
      <c r="H320" s="197" t="s">
        <v>848</v>
      </c>
    </row>
    <row r="321" ht="15.75" customHeight="1">
      <c r="A321" s="197" t="s">
        <v>54</v>
      </c>
      <c r="B321" s="197" t="s">
        <v>22</v>
      </c>
      <c r="C321" s="198" t="s">
        <v>144</v>
      </c>
      <c r="D321" s="197" t="s">
        <v>145</v>
      </c>
      <c r="E321" s="199">
        <v>12.0</v>
      </c>
      <c r="F321" s="200">
        <v>45966.41666666667</v>
      </c>
      <c r="G321" s="197" t="s">
        <v>845</v>
      </c>
      <c r="H321" s="197" t="s">
        <v>848</v>
      </c>
    </row>
    <row r="322" ht="15.75" customHeight="1">
      <c r="A322" s="197" t="s">
        <v>54</v>
      </c>
      <c r="B322" s="197" t="s">
        <v>22</v>
      </c>
      <c r="C322" s="198" t="s">
        <v>144</v>
      </c>
      <c r="D322" s="197" t="s">
        <v>145</v>
      </c>
      <c r="E322" s="199">
        <v>13.0</v>
      </c>
      <c r="F322" s="200">
        <v>46007.41666666667</v>
      </c>
      <c r="G322" s="197" t="s">
        <v>843</v>
      </c>
      <c r="H322" s="197" t="s">
        <v>848</v>
      </c>
    </row>
    <row r="323" ht="15.75" customHeight="1">
      <c r="A323" s="197" t="s">
        <v>54</v>
      </c>
      <c r="B323" s="197" t="s">
        <v>22</v>
      </c>
      <c r="C323" s="198" t="s">
        <v>144</v>
      </c>
      <c r="D323" s="197" t="s">
        <v>145</v>
      </c>
      <c r="E323" s="199">
        <v>14.0</v>
      </c>
      <c r="F323" s="200">
        <v>46021.41666666667</v>
      </c>
      <c r="G323" s="197" t="s">
        <v>843</v>
      </c>
      <c r="H323" s="197" t="s">
        <v>848</v>
      </c>
    </row>
    <row r="324" ht="15.75" customHeight="1">
      <c r="A324" s="197" t="s">
        <v>54</v>
      </c>
      <c r="B324" s="197" t="s">
        <v>22</v>
      </c>
      <c r="C324" s="198" t="s">
        <v>144</v>
      </c>
      <c r="D324" s="197" t="s">
        <v>145</v>
      </c>
      <c r="E324" s="199">
        <v>15.0</v>
      </c>
      <c r="F324" s="200">
        <v>46035.41666666667</v>
      </c>
      <c r="G324" s="197" t="s">
        <v>845</v>
      </c>
      <c r="H324" s="197" t="s">
        <v>848</v>
      </c>
    </row>
    <row r="325" ht="15.75" customHeight="1">
      <c r="A325" s="197" t="s">
        <v>54</v>
      </c>
      <c r="B325" s="197" t="s">
        <v>22</v>
      </c>
      <c r="C325" s="198" t="s">
        <v>144</v>
      </c>
      <c r="D325" s="197" t="s">
        <v>145</v>
      </c>
      <c r="E325" s="199">
        <v>16.0</v>
      </c>
      <c r="F325" s="200">
        <v>46084.41666666667</v>
      </c>
      <c r="G325" s="197" t="s">
        <v>845</v>
      </c>
      <c r="H325" s="197" t="s">
        <v>848</v>
      </c>
    </row>
    <row r="326" ht="15.75" customHeight="1">
      <c r="A326" s="197" t="s">
        <v>54</v>
      </c>
      <c r="B326" s="197" t="s">
        <v>21</v>
      </c>
      <c r="C326" s="198" t="s">
        <v>155</v>
      </c>
      <c r="D326" s="197" t="s">
        <v>156</v>
      </c>
      <c r="E326" s="199">
        <v>1.0</v>
      </c>
      <c r="F326" s="200">
        <v>45639.58333333333</v>
      </c>
      <c r="G326" s="197" t="s">
        <v>845</v>
      </c>
      <c r="H326" s="197" t="s">
        <v>848</v>
      </c>
    </row>
    <row r="327" ht="15.75" customHeight="1">
      <c r="A327" s="197" t="s">
        <v>54</v>
      </c>
      <c r="B327" s="197" t="s">
        <v>21</v>
      </c>
      <c r="C327" s="198" t="s">
        <v>155</v>
      </c>
      <c r="D327" s="197" t="s">
        <v>156</v>
      </c>
      <c r="E327" s="199">
        <v>2.0</v>
      </c>
      <c r="F327" s="200">
        <v>45672.41666666667</v>
      </c>
      <c r="G327" s="197" t="s">
        <v>845</v>
      </c>
      <c r="H327" s="197" t="s">
        <v>848</v>
      </c>
    </row>
    <row r="328" ht="15.75" customHeight="1">
      <c r="A328" s="197" t="s">
        <v>54</v>
      </c>
      <c r="B328" s="197" t="s">
        <v>21</v>
      </c>
      <c r="C328" s="198" t="s">
        <v>155</v>
      </c>
      <c r="D328" s="197" t="s">
        <v>156</v>
      </c>
      <c r="E328" s="199">
        <v>3.0</v>
      </c>
      <c r="F328" s="200">
        <v>45679.41666666667</v>
      </c>
      <c r="G328" s="197" t="s">
        <v>843</v>
      </c>
      <c r="H328" s="197" t="s">
        <v>848</v>
      </c>
    </row>
    <row r="329" ht="15.75" customHeight="1">
      <c r="A329" s="197" t="s">
        <v>54</v>
      </c>
      <c r="B329" s="197" t="s">
        <v>21</v>
      </c>
      <c r="C329" s="198" t="s">
        <v>155</v>
      </c>
      <c r="D329" s="197" t="s">
        <v>156</v>
      </c>
      <c r="E329" s="199">
        <v>4.0</v>
      </c>
      <c r="F329" s="200">
        <v>45709.375</v>
      </c>
      <c r="G329" s="197" t="s">
        <v>843</v>
      </c>
      <c r="H329" s="197" t="s">
        <v>848</v>
      </c>
    </row>
    <row r="330" ht="15.75" customHeight="1">
      <c r="A330" s="197" t="s">
        <v>54</v>
      </c>
      <c r="B330" s="197" t="s">
        <v>21</v>
      </c>
      <c r="C330" s="198" t="s">
        <v>155</v>
      </c>
      <c r="D330" s="197" t="s">
        <v>156</v>
      </c>
      <c r="E330" s="199">
        <v>5.0</v>
      </c>
      <c r="F330" s="200">
        <v>45716.375</v>
      </c>
      <c r="G330" s="197" t="s">
        <v>845</v>
      </c>
      <c r="H330" s="197" t="s">
        <v>848</v>
      </c>
    </row>
    <row r="331" ht="15.75" customHeight="1">
      <c r="A331" s="197" t="s">
        <v>54</v>
      </c>
      <c r="B331" s="197" t="s">
        <v>21</v>
      </c>
      <c r="C331" s="198" t="s">
        <v>155</v>
      </c>
      <c r="D331" s="197" t="s">
        <v>156</v>
      </c>
      <c r="E331" s="199">
        <v>6.0</v>
      </c>
      <c r="F331" s="200">
        <v>45764.375</v>
      </c>
      <c r="G331" s="197" t="s">
        <v>845</v>
      </c>
      <c r="H331" s="197" t="s">
        <v>848</v>
      </c>
    </row>
    <row r="332" ht="15.75" customHeight="1">
      <c r="A332" s="197" t="s">
        <v>54</v>
      </c>
      <c r="B332" s="197" t="s">
        <v>21</v>
      </c>
      <c r="C332" s="198" t="s">
        <v>155</v>
      </c>
      <c r="D332" s="197" t="s">
        <v>156</v>
      </c>
      <c r="E332" s="199">
        <v>7.0</v>
      </c>
      <c r="F332" s="200">
        <v>45769.375</v>
      </c>
      <c r="G332" s="197" t="s">
        <v>845</v>
      </c>
      <c r="H332" s="197" t="s">
        <v>848</v>
      </c>
    </row>
    <row r="333" ht="15.75" customHeight="1">
      <c r="A333" s="197" t="s">
        <v>54</v>
      </c>
      <c r="B333" s="197" t="s">
        <v>21</v>
      </c>
      <c r="C333" s="198" t="s">
        <v>155</v>
      </c>
      <c r="D333" s="197" t="s">
        <v>156</v>
      </c>
      <c r="E333" s="199">
        <v>8.0</v>
      </c>
      <c r="F333" s="200">
        <v>45785.41666666667</v>
      </c>
      <c r="G333" s="197" t="s">
        <v>845</v>
      </c>
      <c r="H333" s="197" t="s">
        <v>848</v>
      </c>
    </row>
    <row r="334" ht="15.75" customHeight="1">
      <c r="A334" s="197" t="s">
        <v>54</v>
      </c>
      <c r="B334" s="197" t="s">
        <v>21</v>
      </c>
      <c r="C334" s="198" t="s">
        <v>155</v>
      </c>
      <c r="D334" s="197" t="s">
        <v>156</v>
      </c>
      <c r="E334" s="199">
        <v>9.0</v>
      </c>
      <c r="F334" s="200">
        <v>45792.41666666667</v>
      </c>
      <c r="G334" s="197" t="s">
        <v>843</v>
      </c>
      <c r="H334" s="197" t="s">
        <v>848</v>
      </c>
    </row>
    <row r="335" ht="15.75" customHeight="1">
      <c r="A335" s="197" t="s">
        <v>54</v>
      </c>
      <c r="B335" s="197" t="s">
        <v>21</v>
      </c>
      <c r="C335" s="198" t="s">
        <v>155</v>
      </c>
      <c r="D335" s="197" t="s">
        <v>156</v>
      </c>
      <c r="E335" s="199">
        <v>10.0</v>
      </c>
      <c r="F335" s="200">
        <v>45820.375</v>
      </c>
      <c r="G335" s="197" t="s">
        <v>845</v>
      </c>
      <c r="H335" s="197" t="s">
        <v>848</v>
      </c>
    </row>
    <row r="336" ht="15.75" customHeight="1">
      <c r="A336" s="197" t="s">
        <v>54</v>
      </c>
      <c r="B336" s="197" t="s">
        <v>22</v>
      </c>
      <c r="C336" s="198" t="s">
        <v>155</v>
      </c>
      <c r="D336" s="197" t="s">
        <v>156</v>
      </c>
      <c r="E336" s="199">
        <v>1.0</v>
      </c>
      <c r="F336" s="200">
        <v>45869.58333333333</v>
      </c>
      <c r="G336" s="197" t="s">
        <v>845</v>
      </c>
      <c r="H336" s="197" t="s">
        <v>848</v>
      </c>
    </row>
    <row r="337" ht="15.75" customHeight="1">
      <c r="A337" s="197" t="s">
        <v>54</v>
      </c>
      <c r="B337" s="197" t="s">
        <v>22</v>
      </c>
      <c r="C337" s="198" t="s">
        <v>155</v>
      </c>
      <c r="D337" s="197" t="s">
        <v>156</v>
      </c>
      <c r="E337" s="199">
        <v>2.0</v>
      </c>
      <c r="F337" s="200">
        <v>45881.375</v>
      </c>
      <c r="G337" s="197" t="s">
        <v>845</v>
      </c>
      <c r="H337" s="197" t="s">
        <v>848</v>
      </c>
    </row>
    <row r="338" ht="15.75" customHeight="1">
      <c r="A338" s="197" t="s">
        <v>54</v>
      </c>
      <c r="B338" s="197" t="s">
        <v>22</v>
      </c>
      <c r="C338" s="198" t="s">
        <v>155</v>
      </c>
      <c r="D338" s="197" t="s">
        <v>156</v>
      </c>
      <c r="E338" s="199">
        <v>3.0</v>
      </c>
      <c r="F338" s="200">
        <v>45890.375</v>
      </c>
      <c r="G338" s="197" t="s">
        <v>843</v>
      </c>
      <c r="H338" s="197" t="s">
        <v>848</v>
      </c>
    </row>
    <row r="339" ht="15.75" customHeight="1">
      <c r="A339" s="197" t="s">
        <v>54</v>
      </c>
      <c r="B339" s="197" t="s">
        <v>22</v>
      </c>
      <c r="C339" s="198" t="s">
        <v>155</v>
      </c>
      <c r="D339" s="197" t="s">
        <v>156</v>
      </c>
      <c r="E339" s="199">
        <v>4.0</v>
      </c>
      <c r="F339" s="200">
        <v>45897.625</v>
      </c>
      <c r="G339" s="197" t="s">
        <v>845</v>
      </c>
      <c r="H339" s="197" t="s">
        <v>848</v>
      </c>
    </row>
    <row r="340" ht="15.75" customHeight="1">
      <c r="A340" s="197" t="s">
        <v>54</v>
      </c>
      <c r="B340" s="197" t="s">
        <v>22</v>
      </c>
      <c r="C340" s="198" t="s">
        <v>155</v>
      </c>
      <c r="D340" s="197" t="s">
        <v>156</v>
      </c>
      <c r="E340" s="199">
        <v>5.0</v>
      </c>
      <c r="F340" s="200">
        <v>45904.375</v>
      </c>
      <c r="G340" s="197" t="s">
        <v>843</v>
      </c>
      <c r="H340" s="197" t="s">
        <v>848</v>
      </c>
    </row>
    <row r="341" ht="15.75" customHeight="1">
      <c r="A341" s="197" t="s">
        <v>54</v>
      </c>
      <c r="B341" s="197" t="s">
        <v>22</v>
      </c>
      <c r="C341" s="198" t="s">
        <v>155</v>
      </c>
      <c r="D341" s="197" t="s">
        <v>156</v>
      </c>
      <c r="E341" s="199">
        <v>6.0</v>
      </c>
      <c r="F341" s="200">
        <v>45909.375</v>
      </c>
      <c r="G341" s="197" t="s">
        <v>845</v>
      </c>
      <c r="H341" s="197" t="s">
        <v>848</v>
      </c>
    </row>
    <row r="342" ht="15.75" customHeight="1">
      <c r="A342" s="197" t="s">
        <v>54</v>
      </c>
      <c r="B342" s="197" t="s">
        <v>22</v>
      </c>
      <c r="C342" s="198" t="s">
        <v>155</v>
      </c>
      <c r="D342" s="197" t="s">
        <v>156</v>
      </c>
      <c r="E342" s="199">
        <v>7.0</v>
      </c>
      <c r="F342" s="200">
        <v>45917.375</v>
      </c>
      <c r="G342" s="197" t="s">
        <v>845</v>
      </c>
      <c r="H342" s="197" t="s">
        <v>848</v>
      </c>
    </row>
    <row r="343" ht="15.75" customHeight="1">
      <c r="A343" s="197" t="s">
        <v>54</v>
      </c>
      <c r="B343" s="197" t="s">
        <v>22</v>
      </c>
      <c r="C343" s="198" t="s">
        <v>155</v>
      </c>
      <c r="D343" s="197" t="s">
        <v>156</v>
      </c>
      <c r="E343" s="199">
        <v>8.0</v>
      </c>
      <c r="F343" s="200">
        <v>45923.375</v>
      </c>
      <c r="G343" s="197" t="s">
        <v>845</v>
      </c>
      <c r="H343" s="197" t="s">
        <v>848</v>
      </c>
    </row>
    <row r="344" ht="15.75" customHeight="1">
      <c r="A344" s="197" t="s">
        <v>54</v>
      </c>
      <c r="B344" s="197" t="s">
        <v>22</v>
      </c>
      <c r="C344" s="198" t="s">
        <v>155</v>
      </c>
      <c r="D344" s="197" t="s">
        <v>156</v>
      </c>
      <c r="E344" s="199">
        <v>9.0</v>
      </c>
      <c r="F344" s="200">
        <v>45932.375</v>
      </c>
      <c r="G344" s="197" t="s">
        <v>843</v>
      </c>
      <c r="H344" s="197" t="s">
        <v>848</v>
      </c>
    </row>
    <row r="345" ht="15.75" customHeight="1">
      <c r="A345" s="197" t="s">
        <v>54</v>
      </c>
      <c r="B345" s="197" t="s">
        <v>22</v>
      </c>
      <c r="C345" s="198" t="s">
        <v>155</v>
      </c>
      <c r="D345" s="197" t="s">
        <v>156</v>
      </c>
      <c r="E345" s="199">
        <v>10.0</v>
      </c>
      <c r="F345" s="200">
        <v>45939.375</v>
      </c>
      <c r="G345" s="197" t="s">
        <v>845</v>
      </c>
      <c r="H345" s="197" t="s">
        <v>848</v>
      </c>
    </row>
    <row r="346" ht="15.75" customHeight="1">
      <c r="A346" s="197" t="s">
        <v>54</v>
      </c>
      <c r="B346" s="197" t="s">
        <v>22</v>
      </c>
      <c r="C346" s="198" t="s">
        <v>155</v>
      </c>
      <c r="D346" s="197" t="s">
        <v>156</v>
      </c>
      <c r="E346" s="199">
        <v>11.0</v>
      </c>
      <c r="F346" s="200">
        <v>45944.41666666667</v>
      </c>
      <c r="G346" s="197" t="s">
        <v>845</v>
      </c>
      <c r="H346" s="197" t="s">
        <v>848</v>
      </c>
    </row>
    <row r="347" ht="15.75" customHeight="1">
      <c r="A347" s="197" t="s">
        <v>54</v>
      </c>
      <c r="B347" s="197" t="s">
        <v>22</v>
      </c>
      <c r="C347" s="198" t="s">
        <v>155</v>
      </c>
      <c r="D347" s="197" t="s">
        <v>156</v>
      </c>
      <c r="E347" s="199">
        <v>12.0</v>
      </c>
      <c r="F347" s="200">
        <v>45966.41666666667</v>
      </c>
      <c r="G347" s="197" t="s">
        <v>843</v>
      </c>
      <c r="H347" s="197" t="s">
        <v>848</v>
      </c>
    </row>
    <row r="348" ht="15.75" customHeight="1">
      <c r="A348" s="197" t="s">
        <v>54</v>
      </c>
      <c r="B348" s="197" t="s">
        <v>22</v>
      </c>
      <c r="C348" s="198" t="s">
        <v>155</v>
      </c>
      <c r="D348" s="197" t="s">
        <v>156</v>
      </c>
      <c r="E348" s="199">
        <v>13.0</v>
      </c>
      <c r="F348" s="200">
        <v>46007.41666666667</v>
      </c>
      <c r="G348" s="197" t="s">
        <v>845</v>
      </c>
      <c r="H348" s="197" t="s">
        <v>848</v>
      </c>
    </row>
    <row r="349" ht="15.75" customHeight="1">
      <c r="A349" s="197" t="s">
        <v>54</v>
      </c>
      <c r="B349" s="197" t="s">
        <v>22</v>
      </c>
      <c r="C349" s="198" t="s">
        <v>155</v>
      </c>
      <c r="D349" s="197" t="s">
        <v>156</v>
      </c>
      <c r="E349" s="199">
        <v>14.0</v>
      </c>
      <c r="F349" s="200">
        <v>46021.41666666667</v>
      </c>
      <c r="G349" s="197" t="s">
        <v>843</v>
      </c>
      <c r="H349" s="197" t="s">
        <v>848</v>
      </c>
    </row>
    <row r="350" ht="15.75" customHeight="1">
      <c r="A350" s="197" t="s">
        <v>54</v>
      </c>
      <c r="B350" s="197" t="s">
        <v>22</v>
      </c>
      <c r="C350" s="198" t="s">
        <v>155</v>
      </c>
      <c r="D350" s="197" t="s">
        <v>156</v>
      </c>
      <c r="E350" s="199">
        <v>15.0</v>
      </c>
      <c r="F350" s="200">
        <v>46035.41666666667</v>
      </c>
      <c r="G350" s="197" t="s">
        <v>845</v>
      </c>
      <c r="H350" s="197" t="s">
        <v>848</v>
      </c>
    </row>
    <row r="351" ht="15.75" customHeight="1">
      <c r="A351" s="197" t="s">
        <v>54</v>
      </c>
      <c r="B351" s="197" t="s">
        <v>22</v>
      </c>
      <c r="C351" s="198" t="s">
        <v>155</v>
      </c>
      <c r="D351" s="197" t="s">
        <v>156</v>
      </c>
      <c r="E351" s="199">
        <v>16.0</v>
      </c>
      <c r="F351" s="200">
        <v>46084.41666666667</v>
      </c>
      <c r="G351" s="197" t="s">
        <v>845</v>
      </c>
      <c r="H351" s="197" t="s">
        <v>848</v>
      </c>
    </row>
    <row r="352" ht="15.75" customHeight="1">
      <c r="A352" s="197" t="s">
        <v>54</v>
      </c>
      <c r="B352" s="197" t="s">
        <v>21</v>
      </c>
      <c r="C352" s="198" t="s">
        <v>226</v>
      </c>
      <c r="D352" s="197" t="s">
        <v>227</v>
      </c>
      <c r="E352" s="199">
        <v>1.0</v>
      </c>
      <c r="F352" s="200">
        <v>45639.58333333333</v>
      </c>
      <c r="G352" s="197" t="s">
        <v>845</v>
      </c>
      <c r="H352" s="197" t="s">
        <v>848</v>
      </c>
    </row>
    <row r="353" ht="15.75" customHeight="1">
      <c r="A353" s="197" t="s">
        <v>54</v>
      </c>
      <c r="B353" s="197" t="s">
        <v>21</v>
      </c>
      <c r="C353" s="198" t="s">
        <v>226</v>
      </c>
      <c r="D353" s="197" t="s">
        <v>227</v>
      </c>
      <c r="E353" s="199">
        <v>2.0</v>
      </c>
      <c r="F353" s="200">
        <v>45665.375</v>
      </c>
      <c r="G353" s="197" t="s">
        <v>845</v>
      </c>
      <c r="H353" s="197" t="s">
        <v>848</v>
      </c>
    </row>
    <row r="354" ht="15.75" customHeight="1">
      <c r="A354" s="197" t="s">
        <v>54</v>
      </c>
      <c r="B354" s="197" t="s">
        <v>21</v>
      </c>
      <c r="C354" s="198" t="s">
        <v>226</v>
      </c>
      <c r="D354" s="197" t="s">
        <v>227</v>
      </c>
      <c r="E354" s="199">
        <v>3.0</v>
      </c>
      <c r="F354" s="200">
        <v>45679.41666666667</v>
      </c>
      <c r="G354" s="197" t="s">
        <v>845</v>
      </c>
      <c r="H354" s="197" t="s">
        <v>848</v>
      </c>
    </row>
    <row r="355" ht="15.75" customHeight="1">
      <c r="A355" s="197" t="s">
        <v>54</v>
      </c>
      <c r="B355" s="197" t="s">
        <v>21</v>
      </c>
      <c r="C355" s="198" t="s">
        <v>226</v>
      </c>
      <c r="D355" s="197" t="s">
        <v>227</v>
      </c>
      <c r="E355" s="199">
        <v>4.0</v>
      </c>
      <c r="F355" s="200">
        <v>45709.375</v>
      </c>
      <c r="G355" s="197" t="s">
        <v>845</v>
      </c>
      <c r="H355" s="197" t="s">
        <v>848</v>
      </c>
    </row>
    <row r="356" ht="15.75" customHeight="1">
      <c r="A356" s="197" t="s">
        <v>54</v>
      </c>
      <c r="B356" s="197" t="s">
        <v>21</v>
      </c>
      <c r="C356" s="198" t="s">
        <v>226</v>
      </c>
      <c r="D356" s="197" t="s">
        <v>227</v>
      </c>
      <c r="E356" s="199">
        <v>5.0</v>
      </c>
      <c r="F356" s="200">
        <v>45702.58333333333</v>
      </c>
      <c r="G356" s="197" t="s">
        <v>843</v>
      </c>
      <c r="H356" s="197" t="s">
        <v>848</v>
      </c>
    </row>
    <row r="357" ht="15.75" customHeight="1">
      <c r="A357" s="197" t="s">
        <v>54</v>
      </c>
      <c r="B357" s="197" t="s">
        <v>21</v>
      </c>
      <c r="C357" s="198" t="s">
        <v>226</v>
      </c>
      <c r="D357" s="197" t="s">
        <v>227</v>
      </c>
      <c r="E357" s="199">
        <v>6.0</v>
      </c>
      <c r="F357" s="200">
        <v>45764.375</v>
      </c>
      <c r="G357" s="197" t="s">
        <v>843</v>
      </c>
      <c r="H357" s="197" t="s">
        <v>848</v>
      </c>
    </row>
    <row r="358" ht="15.75" customHeight="1">
      <c r="A358" s="197" t="s">
        <v>54</v>
      </c>
      <c r="B358" s="197" t="s">
        <v>21</v>
      </c>
      <c r="C358" s="198" t="s">
        <v>226</v>
      </c>
      <c r="D358" s="197" t="s">
        <v>227</v>
      </c>
      <c r="E358" s="199">
        <v>7.0</v>
      </c>
      <c r="F358" s="200">
        <v>45769.375</v>
      </c>
      <c r="G358" s="197" t="s">
        <v>845</v>
      </c>
      <c r="H358" s="197" t="s">
        <v>848</v>
      </c>
    </row>
    <row r="359" ht="15.75" customHeight="1">
      <c r="A359" s="197" t="s">
        <v>54</v>
      </c>
      <c r="B359" s="197" t="s">
        <v>21</v>
      </c>
      <c r="C359" s="198" t="s">
        <v>226</v>
      </c>
      <c r="D359" s="197" t="s">
        <v>227</v>
      </c>
      <c r="E359" s="199">
        <v>8.0</v>
      </c>
      <c r="F359" s="200">
        <v>45764.375</v>
      </c>
      <c r="G359" s="197" t="s">
        <v>843</v>
      </c>
      <c r="H359" s="197" t="s">
        <v>848</v>
      </c>
    </row>
    <row r="360" ht="15.75" customHeight="1">
      <c r="A360" s="197" t="s">
        <v>54</v>
      </c>
      <c r="B360" s="197" t="s">
        <v>21</v>
      </c>
      <c r="C360" s="198" t="s">
        <v>226</v>
      </c>
      <c r="D360" s="197" t="s">
        <v>227</v>
      </c>
      <c r="E360" s="199">
        <v>9.0</v>
      </c>
      <c r="F360" s="200">
        <v>45792.41666666667</v>
      </c>
      <c r="G360" s="197" t="s">
        <v>845</v>
      </c>
      <c r="H360" s="197" t="s">
        <v>848</v>
      </c>
    </row>
    <row r="361" ht="15.75" customHeight="1">
      <c r="A361" s="197" t="s">
        <v>54</v>
      </c>
      <c r="B361" s="197" t="s">
        <v>21</v>
      </c>
      <c r="C361" s="198" t="s">
        <v>226</v>
      </c>
      <c r="D361" s="197" t="s">
        <v>227</v>
      </c>
      <c r="E361" s="199">
        <v>10.0</v>
      </c>
      <c r="F361" s="200">
        <v>45820.375</v>
      </c>
      <c r="G361" s="197" t="s">
        <v>845</v>
      </c>
      <c r="H361" s="197" t="s">
        <v>848</v>
      </c>
    </row>
    <row r="362" ht="15.75" customHeight="1">
      <c r="A362" s="197" t="s">
        <v>54</v>
      </c>
      <c r="B362" s="197" t="s">
        <v>22</v>
      </c>
      <c r="C362" s="198" t="s">
        <v>226</v>
      </c>
      <c r="D362" s="197" t="s">
        <v>227</v>
      </c>
      <c r="E362" s="199">
        <v>1.0</v>
      </c>
      <c r="F362" s="200">
        <v>45869.58333333333</v>
      </c>
      <c r="G362" s="197" t="s">
        <v>845</v>
      </c>
      <c r="H362" s="197" t="s">
        <v>848</v>
      </c>
    </row>
    <row r="363" ht="15.75" customHeight="1">
      <c r="A363" s="197" t="s">
        <v>54</v>
      </c>
      <c r="B363" s="197" t="s">
        <v>22</v>
      </c>
      <c r="C363" s="198" t="s">
        <v>226</v>
      </c>
      <c r="D363" s="197" t="s">
        <v>227</v>
      </c>
      <c r="E363" s="199">
        <v>2.0</v>
      </c>
      <c r="F363" s="200">
        <v>45881.375</v>
      </c>
      <c r="G363" s="197" t="s">
        <v>845</v>
      </c>
      <c r="H363" s="197" t="s">
        <v>848</v>
      </c>
    </row>
    <row r="364" ht="15.75" customHeight="1">
      <c r="A364" s="197" t="s">
        <v>54</v>
      </c>
      <c r="B364" s="197" t="s">
        <v>22</v>
      </c>
      <c r="C364" s="198" t="s">
        <v>226</v>
      </c>
      <c r="D364" s="197" t="s">
        <v>227</v>
      </c>
      <c r="E364" s="199">
        <v>3.0</v>
      </c>
      <c r="F364" s="200">
        <v>45890.375</v>
      </c>
      <c r="G364" s="197" t="s">
        <v>843</v>
      </c>
      <c r="H364" s="197" t="s">
        <v>848</v>
      </c>
    </row>
    <row r="365" ht="15.75" customHeight="1">
      <c r="A365" s="197" t="s">
        <v>54</v>
      </c>
      <c r="B365" s="197" t="s">
        <v>22</v>
      </c>
      <c r="C365" s="198" t="s">
        <v>226</v>
      </c>
      <c r="D365" s="197" t="s">
        <v>227</v>
      </c>
      <c r="E365" s="199">
        <v>4.0</v>
      </c>
      <c r="F365" s="200">
        <v>45897.625</v>
      </c>
      <c r="G365" s="197" t="s">
        <v>843</v>
      </c>
      <c r="H365" s="197" t="s">
        <v>848</v>
      </c>
    </row>
    <row r="366" ht="15.75" customHeight="1">
      <c r="A366" s="197" t="s">
        <v>54</v>
      </c>
      <c r="B366" s="197" t="s">
        <v>22</v>
      </c>
      <c r="C366" s="198" t="s">
        <v>226</v>
      </c>
      <c r="D366" s="197" t="s">
        <v>227</v>
      </c>
      <c r="E366" s="199">
        <v>5.0</v>
      </c>
      <c r="F366" s="200">
        <v>45904.375</v>
      </c>
      <c r="G366" s="197" t="s">
        <v>845</v>
      </c>
      <c r="H366" s="197" t="s">
        <v>848</v>
      </c>
    </row>
    <row r="367" ht="15.75" customHeight="1">
      <c r="A367" s="197" t="s">
        <v>54</v>
      </c>
      <c r="B367" s="197" t="s">
        <v>22</v>
      </c>
      <c r="C367" s="198" t="s">
        <v>226</v>
      </c>
      <c r="D367" s="197" t="s">
        <v>227</v>
      </c>
      <c r="E367" s="199">
        <v>6.0</v>
      </c>
      <c r="F367" s="200">
        <v>45909.375</v>
      </c>
      <c r="G367" s="197" t="s">
        <v>845</v>
      </c>
      <c r="H367" s="197" t="s">
        <v>848</v>
      </c>
    </row>
    <row r="368" ht="15.75" customHeight="1">
      <c r="A368" s="197" t="s">
        <v>54</v>
      </c>
      <c r="B368" s="197" t="s">
        <v>22</v>
      </c>
      <c r="C368" s="198" t="s">
        <v>226</v>
      </c>
      <c r="D368" s="197" t="s">
        <v>227</v>
      </c>
      <c r="E368" s="199">
        <v>7.0</v>
      </c>
      <c r="F368" s="200">
        <v>45917.375</v>
      </c>
      <c r="G368" s="197" t="s">
        <v>845</v>
      </c>
      <c r="H368" s="197" t="s">
        <v>848</v>
      </c>
    </row>
    <row r="369" ht="15.75" customHeight="1">
      <c r="A369" s="197" t="s">
        <v>54</v>
      </c>
      <c r="B369" s="197" t="s">
        <v>22</v>
      </c>
      <c r="C369" s="198" t="s">
        <v>226</v>
      </c>
      <c r="D369" s="197" t="s">
        <v>227</v>
      </c>
      <c r="E369" s="199">
        <v>8.0</v>
      </c>
      <c r="F369" s="200">
        <v>45923.375</v>
      </c>
      <c r="G369" s="197" t="s">
        <v>845</v>
      </c>
      <c r="H369" s="197" t="s">
        <v>848</v>
      </c>
    </row>
    <row r="370" ht="15.75" customHeight="1">
      <c r="A370" s="197" t="s">
        <v>54</v>
      </c>
      <c r="B370" s="197" t="s">
        <v>22</v>
      </c>
      <c r="C370" s="198" t="s">
        <v>226</v>
      </c>
      <c r="D370" s="197" t="s">
        <v>227</v>
      </c>
      <c r="E370" s="199">
        <v>9.0</v>
      </c>
      <c r="F370" s="200">
        <v>45932.375</v>
      </c>
      <c r="G370" s="197" t="s">
        <v>845</v>
      </c>
      <c r="H370" s="197" t="s">
        <v>848</v>
      </c>
    </row>
    <row r="371" ht="15.75" customHeight="1">
      <c r="A371" s="197" t="s">
        <v>54</v>
      </c>
      <c r="B371" s="197" t="s">
        <v>22</v>
      </c>
      <c r="C371" s="198" t="s">
        <v>226</v>
      </c>
      <c r="D371" s="197" t="s">
        <v>227</v>
      </c>
      <c r="E371" s="199">
        <v>10.0</v>
      </c>
      <c r="F371" s="200">
        <v>45939.375</v>
      </c>
      <c r="G371" s="197" t="s">
        <v>845</v>
      </c>
      <c r="H371" s="197" t="s">
        <v>848</v>
      </c>
    </row>
    <row r="372" ht="15.75" customHeight="1">
      <c r="A372" s="197" t="s">
        <v>54</v>
      </c>
      <c r="B372" s="197" t="s">
        <v>22</v>
      </c>
      <c r="C372" s="198" t="s">
        <v>226</v>
      </c>
      <c r="D372" s="197" t="s">
        <v>227</v>
      </c>
      <c r="E372" s="199">
        <v>11.0</v>
      </c>
      <c r="F372" s="200">
        <v>45944.41666666667</v>
      </c>
      <c r="G372" s="197" t="s">
        <v>845</v>
      </c>
      <c r="H372" s="197" t="s">
        <v>848</v>
      </c>
    </row>
    <row r="373" ht="15.75" customHeight="1">
      <c r="A373" s="197" t="s">
        <v>54</v>
      </c>
      <c r="B373" s="197" t="s">
        <v>22</v>
      </c>
      <c r="C373" s="198" t="s">
        <v>226</v>
      </c>
      <c r="D373" s="197" t="s">
        <v>227</v>
      </c>
      <c r="E373" s="199">
        <v>12.0</v>
      </c>
      <c r="F373" s="200">
        <v>45966.41666666667</v>
      </c>
      <c r="G373" s="197" t="s">
        <v>843</v>
      </c>
      <c r="H373" s="197" t="s">
        <v>848</v>
      </c>
    </row>
    <row r="374" ht="15.75" customHeight="1">
      <c r="A374" s="197" t="s">
        <v>54</v>
      </c>
      <c r="B374" s="197" t="s">
        <v>22</v>
      </c>
      <c r="C374" s="198" t="s">
        <v>226</v>
      </c>
      <c r="D374" s="197" t="s">
        <v>227</v>
      </c>
      <c r="E374" s="199">
        <v>13.0</v>
      </c>
      <c r="F374" s="200">
        <v>46007.41666666667</v>
      </c>
      <c r="G374" s="197" t="s">
        <v>843</v>
      </c>
      <c r="H374" s="197" t="s">
        <v>848</v>
      </c>
    </row>
    <row r="375" ht="15.75" customHeight="1">
      <c r="A375" s="197" t="s">
        <v>54</v>
      </c>
      <c r="B375" s="197" t="s">
        <v>22</v>
      </c>
      <c r="C375" s="198" t="s">
        <v>226</v>
      </c>
      <c r="D375" s="197" t="s">
        <v>227</v>
      </c>
      <c r="E375" s="199">
        <v>14.0</v>
      </c>
      <c r="F375" s="200">
        <v>46021.41666666667</v>
      </c>
      <c r="G375" s="197" t="s">
        <v>845</v>
      </c>
      <c r="H375" s="197" t="s">
        <v>848</v>
      </c>
    </row>
    <row r="376" ht="15.75" customHeight="1">
      <c r="A376" s="197" t="s">
        <v>54</v>
      </c>
      <c r="B376" s="197" t="s">
        <v>22</v>
      </c>
      <c r="C376" s="198" t="s">
        <v>226</v>
      </c>
      <c r="D376" s="197" t="s">
        <v>227</v>
      </c>
      <c r="E376" s="199">
        <v>15.0</v>
      </c>
      <c r="F376" s="200">
        <v>46035.41666666667</v>
      </c>
      <c r="G376" s="197" t="s">
        <v>845</v>
      </c>
      <c r="H376" s="197" t="s">
        <v>848</v>
      </c>
    </row>
    <row r="377" ht="15.75" customHeight="1">
      <c r="A377" s="197" t="s">
        <v>54</v>
      </c>
      <c r="B377" s="197" t="s">
        <v>22</v>
      </c>
      <c r="C377" s="198" t="s">
        <v>226</v>
      </c>
      <c r="D377" s="197" t="s">
        <v>227</v>
      </c>
      <c r="E377" s="199">
        <v>16.0</v>
      </c>
      <c r="F377" s="200">
        <v>46084.41666666667</v>
      </c>
      <c r="G377" s="197" t="s">
        <v>845</v>
      </c>
      <c r="H377" s="197" t="s">
        <v>848</v>
      </c>
    </row>
    <row r="378" ht="15.75" customHeight="1">
      <c r="A378" s="197" t="s">
        <v>54</v>
      </c>
      <c r="B378" s="197" t="s">
        <v>21</v>
      </c>
      <c r="C378" s="198" t="s">
        <v>245</v>
      </c>
      <c r="D378" s="197" t="s">
        <v>246</v>
      </c>
      <c r="E378" s="199">
        <v>1.0</v>
      </c>
      <c r="F378" s="200">
        <v>45639.58333333333</v>
      </c>
      <c r="G378" s="197" t="s">
        <v>845</v>
      </c>
      <c r="H378" s="197" t="s">
        <v>848</v>
      </c>
    </row>
    <row r="379" ht="15.75" customHeight="1">
      <c r="A379" s="197" t="s">
        <v>54</v>
      </c>
      <c r="B379" s="197" t="s">
        <v>21</v>
      </c>
      <c r="C379" s="198" t="s">
        <v>245</v>
      </c>
      <c r="D379" s="197" t="s">
        <v>246</v>
      </c>
      <c r="E379" s="199">
        <v>2.0</v>
      </c>
      <c r="F379" s="200">
        <v>45672.41666666667</v>
      </c>
      <c r="G379" s="197" t="s">
        <v>845</v>
      </c>
      <c r="H379" s="197" t="s">
        <v>848</v>
      </c>
    </row>
    <row r="380" ht="15.75" customHeight="1">
      <c r="A380" s="197" t="s">
        <v>54</v>
      </c>
      <c r="B380" s="197" t="s">
        <v>21</v>
      </c>
      <c r="C380" s="198" t="s">
        <v>245</v>
      </c>
      <c r="D380" s="197" t="s">
        <v>246</v>
      </c>
      <c r="E380" s="199">
        <v>3.0</v>
      </c>
      <c r="F380" s="200">
        <v>45702.58333333333</v>
      </c>
      <c r="G380" s="197" t="s">
        <v>845</v>
      </c>
      <c r="H380" s="197" t="s">
        <v>848</v>
      </c>
    </row>
    <row r="381" ht="15.75" customHeight="1">
      <c r="A381" s="197" t="s">
        <v>54</v>
      </c>
      <c r="B381" s="197" t="s">
        <v>21</v>
      </c>
      <c r="C381" s="198" t="s">
        <v>245</v>
      </c>
      <c r="D381" s="197" t="s">
        <v>246</v>
      </c>
      <c r="E381" s="199">
        <v>4.0</v>
      </c>
      <c r="F381" s="200">
        <v>45709.375</v>
      </c>
      <c r="G381" s="197" t="s">
        <v>845</v>
      </c>
      <c r="H381" s="197" t="s">
        <v>848</v>
      </c>
    </row>
    <row r="382" ht="15.75" customHeight="1">
      <c r="A382" s="197" t="s">
        <v>54</v>
      </c>
      <c r="B382" s="197" t="s">
        <v>21</v>
      </c>
      <c r="C382" s="198" t="s">
        <v>245</v>
      </c>
      <c r="D382" s="197" t="s">
        <v>246</v>
      </c>
      <c r="E382" s="199">
        <v>5.0</v>
      </c>
      <c r="F382" s="200">
        <v>45716.375</v>
      </c>
      <c r="G382" s="197" t="s">
        <v>845</v>
      </c>
      <c r="H382" s="197" t="s">
        <v>848</v>
      </c>
    </row>
    <row r="383" ht="15.75" customHeight="1">
      <c r="A383" s="197" t="s">
        <v>54</v>
      </c>
      <c r="B383" s="197" t="s">
        <v>21</v>
      </c>
      <c r="C383" s="198" t="s">
        <v>245</v>
      </c>
      <c r="D383" s="197" t="s">
        <v>246</v>
      </c>
      <c r="E383" s="199">
        <v>6.0</v>
      </c>
      <c r="F383" s="200">
        <v>45764.375</v>
      </c>
      <c r="G383" s="197" t="s">
        <v>845</v>
      </c>
      <c r="H383" s="197" t="s">
        <v>848</v>
      </c>
    </row>
    <row r="384" ht="15.75" customHeight="1">
      <c r="A384" s="197" t="s">
        <v>54</v>
      </c>
      <c r="B384" s="197" t="s">
        <v>21</v>
      </c>
      <c r="C384" s="198" t="s">
        <v>245</v>
      </c>
      <c r="D384" s="197" t="s">
        <v>246</v>
      </c>
      <c r="E384" s="199">
        <v>7.0</v>
      </c>
      <c r="F384" s="200">
        <v>45769.375</v>
      </c>
      <c r="G384" s="197" t="s">
        <v>845</v>
      </c>
      <c r="H384" s="197" t="s">
        <v>848</v>
      </c>
    </row>
    <row r="385" ht="15.75" customHeight="1">
      <c r="A385" s="197" t="s">
        <v>54</v>
      </c>
      <c r="B385" s="197" t="s">
        <v>21</v>
      </c>
      <c r="C385" s="198" t="s">
        <v>245</v>
      </c>
      <c r="D385" s="197" t="s">
        <v>246</v>
      </c>
      <c r="E385" s="199">
        <v>8.0</v>
      </c>
      <c r="F385" s="200">
        <v>45785.41666666667</v>
      </c>
      <c r="G385" s="197" t="s">
        <v>845</v>
      </c>
      <c r="H385" s="197" t="s">
        <v>848</v>
      </c>
    </row>
    <row r="386" ht="15.75" customHeight="1">
      <c r="A386" s="197" t="s">
        <v>54</v>
      </c>
      <c r="B386" s="197" t="s">
        <v>21</v>
      </c>
      <c r="C386" s="198" t="s">
        <v>245</v>
      </c>
      <c r="D386" s="197" t="s">
        <v>246</v>
      </c>
      <c r="E386" s="199">
        <v>9.0</v>
      </c>
      <c r="F386" s="200">
        <v>45792.41666666667</v>
      </c>
      <c r="G386" s="197" t="s">
        <v>845</v>
      </c>
      <c r="H386" s="197" t="s">
        <v>848</v>
      </c>
    </row>
    <row r="387" ht="15.75" customHeight="1">
      <c r="A387" s="197" t="s">
        <v>54</v>
      </c>
      <c r="B387" s="197" t="s">
        <v>21</v>
      </c>
      <c r="C387" s="198" t="s">
        <v>245</v>
      </c>
      <c r="D387" s="197" t="s">
        <v>246</v>
      </c>
      <c r="E387" s="199">
        <v>10.0</v>
      </c>
      <c r="F387" s="200">
        <v>45820.375</v>
      </c>
      <c r="G387" s="197" t="s">
        <v>845</v>
      </c>
      <c r="H387" s="197" t="s">
        <v>848</v>
      </c>
    </row>
    <row r="388" ht="15.75" customHeight="1">
      <c r="A388" s="197" t="s">
        <v>54</v>
      </c>
      <c r="B388" s="197" t="s">
        <v>22</v>
      </c>
      <c r="C388" s="198" t="s">
        <v>245</v>
      </c>
      <c r="D388" s="197" t="s">
        <v>246</v>
      </c>
      <c r="E388" s="199">
        <v>1.0</v>
      </c>
      <c r="F388" s="200">
        <v>45869.58333333333</v>
      </c>
      <c r="G388" s="197" t="s">
        <v>845</v>
      </c>
      <c r="H388" s="197" t="s">
        <v>848</v>
      </c>
    </row>
    <row r="389" ht="15.75" customHeight="1">
      <c r="A389" s="197" t="s">
        <v>54</v>
      </c>
      <c r="B389" s="197" t="s">
        <v>22</v>
      </c>
      <c r="C389" s="198" t="s">
        <v>245</v>
      </c>
      <c r="D389" s="197" t="s">
        <v>246</v>
      </c>
      <c r="E389" s="199">
        <v>2.0</v>
      </c>
      <c r="F389" s="200">
        <v>45881.375</v>
      </c>
      <c r="G389" s="197" t="s">
        <v>845</v>
      </c>
      <c r="H389" s="197" t="s">
        <v>848</v>
      </c>
    </row>
    <row r="390" ht="15.75" customHeight="1">
      <c r="A390" s="197" t="s">
        <v>54</v>
      </c>
      <c r="B390" s="197" t="s">
        <v>22</v>
      </c>
      <c r="C390" s="198" t="s">
        <v>245</v>
      </c>
      <c r="D390" s="197" t="s">
        <v>246</v>
      </c>
      <c r="E390" s="199">
        <v>3.0</v>
      </c>
      <c r="F390" s="200">
        <v>45890.375</v>
      </c>
      <c r="G390" s="197" t="s">
        <v>845</v>
      </c>
      <c r="H390" s="197" t="s">
        <v>848</v>
      </c>
    </row>
    <row r="391" ht="15.75" customHeight="1">
      <c r="A391" s="197" t="s">
        <v>54</v>
      </c>
      <c r="B391" s="197" t="s">
        <v>22</v>
      </c>
      <c r="C391" s="198" t="s">
        <v>245</v>
      </c>
      <c r="D391" s="197" t="s">
        <v>246</v>
      </c>
      <c r="E391" s="199">
        <v>4.0</v>
      </c>
      <c r="F391" s="200">
        <v>45897.625</v>
      </c>
      <c r="G391" s="197" t="s">
        <v>845</v>
      </c>
      <c r="H391" s="197" t="s">
        <v>848</v>
      </c>
    </row>
    <row r="392" ht="15.75" customHeight="1">
      <c r="A392" s="197" t="s">
        <v>54</v>
      </c>
      <c r="B392" s="197" t="s">
        <v>22</v>
      </c>
      <c r="C392" s="198" t="s">
        <v>245</v>
      </c>
      <c r="D392" s="197" t="s">
        <v>246</v>
      </c>
      <c r="E392" s="199">
        <v>5.0</v>
      </c>
      <c r="F392" s="200">
        <v>45904.375</v>
      </c>
      <c r="G392" s="197" t="s">
        <v>843</v>
      </c>
      <c r="H392" s="197" t="s">
        <v>848</v>
      </c>
    </row>
    <row r="393" ht="15.75" customHeight="1">
      <c r="A393" s="197" t="s">
        <v>54</v>
      </c>
      <c r="B393" s="197" t="s">
        <v>22</v>
      </c>
      <c r="C393" s="198" t="s">
        <v>245</v>
      </c>
      <c r="D393" s="197" t="s">
        <v>246</v>
      </c>
      <c r="E393" s="199">
        <v>6.0</v>
      </c>
      <c r="F393" s="200">
        <v>45909.375</v>
      </c>
      <c r="G393" s="197" t="s">
        <v>845</v>
      </c>
      <c r="H393" s="197" t="s">
        <v>848</v>
      </c>
    </row>
    <row r="394" ht="15.75" customHeight="1">
      <c r="A394" s="197" t="s">
        <v>54</v>
      </c>
      <c r="B394" s="197" t="s">
        <v>22</v>
      </c>
      <c r="C394" s="198" t="s">
        <v>245</v>
      </c>
      <c r="D394" s="197" t="s">
        <v>246</v>
      </c>
      <c r="E394" s="199">
        <v>7.0</v>
      </c>
      <c r="F394" s="200">
        <v>45917.375</v>
      </c>
      <c r="G394" s="197" t="s">
        <v>845</v>
      </c>
      <c r="H394" s="197" t="s">
        <v>848</v>
      </c>
    </row>
    <row r="395" ht="15.75" customHeight="1">
      <c r="A395" s="197" t="s">
        <v>54</v>
      </c>
      <c r="B395" s="197" t="s">
        <v>22</v>
      </c>
      <c r="C395" s="198" t="s">
        <v>245</v>
      </c>
      <c r="D395" s="197" t="s">
        <v>246</v>
      </c>
      <c r="E395" s="199">
        <v>8.0</v>
      </c>
      <c r="F395" s="200">
        <v>45923.375</v>
      </c>
      <c r="G395" s="197" t="s">
        <v>845</v>
      </c>
      <c r="H395" s="197" t="s">
        <v>848</v>
      </c>
    </row>
    <row r="396" ht="15.75" customHeight="1">
      <c r="A396" s="197" t="s">
        <v>54</v>
      </c>
      <c r="B396" s="197" t="s">
        <v>22</v>
      </c>
      <c r="C396" s="198" t="s">
        <v>245</v>
      </c>
      <c r="D396" s="197" t="s">
        <v>246</v>
      </c>
      <c r="E396" s="199">
        <v>9.0</v>
      </c>
      <c r="F396" s="200">
        <v>45932.375</v>
      </c>
      <c r="G396" s="197" t="s">
        <v>845</v>
      </c>
      <c r="H396" s="197" t="s">
        <v>848</v>
      </c>
    </row>
    <row r="397" ht="15.75" customHeight="1">
      <c r="A397" s="197" t="s">
        <v>54</v>
      </c>
      <c r="B397" s="197" t="s">
        <v>22</v>
      </c>
      <c r="C397" s="198" t="s">
        <v>245</v>
      </c>
      <c r="D397" s="197" t="s">
        <v>246</v>
      </c>
      <c r="E397" s="199">
        <v>10.0</v>
      </c>
      <c r="F397" s="200">
        <v>45939.375</v>
      </c>
      <c r="G397" s="197" t="s">
        <v>845</v>
      </c>
      <c r="H397" s="197" t="s">
        <v>848</v>
      </c>
    </row>
    <row r="398" ht="15.75" customHeight="1">
      <c r="A398" s="197" t="s">
        <v>54</v>
      </c>
      <c r="B398" s="197" t="s">
        <v>22</v>
      </c>
      <c r="C398" s="198" t="s">
        <v>245</v>
      </c>
      <c r="D398" s="197" t="s">
        <v>246</v>
      </c>
      <c r="E398" s="199">
        <v>11.0</v>
      </c>
      <c r="F398" s="200">
        <v>45944.41666666667</v>
      </c>
      <c r="G398" s="197" t="s">
        <v>845</v>
      </c>
      <c r="H398" s="197" t="s">
        <v>848</v>
      </c>
    </row>
    <row r="399" ht="15.75" customHeight="1">
      <c r="A399" s="197" t="s">
        <v>54</v>
      </c>
      <c r="B399" s="197" t="s">
        <v>22</v>
      </c>
      <c r="C399" s="198" t="s">
        <v>245</v>
      </c>
      <c r="D399" s="197" t="s">
        <v>246</v>
      </c>
      <c r="E399" s="199">
        <v>12.0</v>
      </c>
      <c r="F399" s="200">
        <v>45966.41666666667</v>
      </c>
      <c r="G399" s="197" t="s">
        <v>845</v>
      </c>
      <c r="H399" s="197" t="s">
        <v>848</v>
      </c>
    </row>
    <row r="400" ht="15.75" customHeight="1">
      <c r="A400" s="197" t="s">
        <v>54</v>
      </c>
      <c r="B400" s="197" t="s">
        <v>22</v>
      </c>
      <c r="C400" s="198" t="s">
        <v>245</v>
      </c>
      <c r="D400" s="197" t="s">
        <v>246</v>
      </c>
      <c r="E400" s="199">
        <v>13.0</v>
      </c>
      <c r="F400" s="200">
        <v>46007.41666666667</v>
      </c>
      <c r="G400" s="197" t="s">
        <v>845</v>
      </c>
      <c r="H400" s="197" t="s">
        <v>848</v>
      </c>
    </row>
    <row r="401" ht="15.75" customHeight="1">
      <c r="A401" s="197" t="s">
        <v>54</v>
      </c>
      <c r="B401" s="197" t="s">
        <v>22</v>
      </c>
      <c r="C401" s="198" t="s">
        <v>245</v>
      </c>
      <c r="D401" s="197" t="s">
        <v>246</v>
      </c>
      <c r="E401" s="199">
        <v>14.0</v>
      </c>
      <c r="F401" s="200">
        <v>46021.41666666667</v>
      </c>
      <c r="G401" s="197" t="s">
        <v>845</v>
      </c>
      <c r="H401" s="197" t="s">
        <v>848</v>
      </c>
    </row>
    <row r="402" ht="15.75" customHeight="1">
      <c r="A402" s="197" t="s">
        <v>54</v>
      </c>
      <c r="B402" s="197" t="s">
        <v>22</v>
      </c>
      <c r="C402" s="198" t="s">
        <v>245</v>
      </c>
      <c r="D402" s="197" t="s">
        <v>246</v>
      </c>
      <c r="E402" s="199">
        <v>15.0</v>
      </c>
      <c r="F402" s="200">
        <v>46035.41666666667</v>
      </c>
      <c r="G402" s="197" t="s">
        <v>845</v>
      </c>
      <c r="H402" s="197" t="s">
        <v>848</v>
      </c>
    </row>
    <row r="403" ht="15.75" customHeight="1">
      <c r="A403" s="197" t="s">
        <v>54</v>
      </c>
      <c r="B403" s="197" t="s">
        <v>22</v>
      </c>
      <c r="C403" s="198" t="s">
        <v>245</v>
      </c>
      <c r="D403" s="197" t="s">
        <v>246</v>
      </c>
      <c r="E403" s="199">
        <v>16.0</v>
      </c>
      <c r="F403" s="200">
        <v>46084.41666666667</v>
      </c>
      <c r="G403" s="197" t="s">
        <v>845</v>
      </c>
      <c r="H403" s="197" t="s">
        <v>848</v>
      </c>
    </row>
    <row r="404" ht="15.75" customHeight="1">
      <c r="A404" s="197" t="s">
        <v>54</v>
      </c>
      <c r="B404" s="197" t="s">
        <v>21</v>
      </c>
      <c r="C404" s="198" t="s">
        <v>352</v>
      </c>
      <c r="D404" s="197" t="s">
        <v>353</v>
      </c>
      <c r="E404" s="199">
        <v>1.0</v>
      </c>
      <c r="F404" s="200">
        <v>45639.58333333333</v>
      </c>
      <c r="G404" s="197" t="s">
        <v>845</v>
      </c>
      <c r="H404" s="197" t="s">
        <v>848</v>
      </c>
    </row>
    <row r="405" ht="15.75" customHeight="1">
      <c r="A405" s="197" t="s">
        <v>54</v>
      </c>
      <c r="B405" s="197" t="s">
        <v>21</v>
      </c>
      <c r="C405" s="198" t="s">
        <v>352</v>
      </c>
      <c r="D405" s="197" t="s">
        <v>353</v>
      </c>
      <c r="E405" s="199">
        <v>2.0</v>
      </c>
      <c r="F405" s="200">
        <v>45672.41666666667</v>
      </c>
      <c r="G405" s="197" t="s">
        <v>845</v>
      </c>
      <c r="H405" s="197" t="s">
        <v>848</v>
      </c>
    </row>
    <row r="406" ht="15.75" customHeight="1">
      <c r="A406" s="197" t="s">
        <v>54</v>
      </c>
      <c r="B406" s="197" t="s">
        <v>21</v>
      </c>
      <c r="C406" s="198" t="s">
        <v>352</v>
      </c>
      <c r="D406" s="197" t="s">
        <v>353</v>
      </c>
      <c r="E406" s="199">
        <v>3.0</v>
      </c>
      <c r="F406" s="200">
        <v>45702.58333333333</v>
      </c>
      <c r="G406" s="197" t="s">
        <v>845</v>
      </c>
      <c r="H406" s="197" t="s">
        <v>848</v>
      </c>
    </row>
    <row r="407" ht="15.75" customHeight="1">
      <c r="A407" s="197" t="s">
        <v>54</v>
      </c>
      <c r="B407" s="197" t="s">
        <v>21</v>
      </c>
      <c r="C407" s="198" t="s">
        <v>352</v>
      </c>
      <c r="D407" s="197" t="s">
        <v>353</v>
      </c>
      <c r="E407" s="199">
        <v>4.0</v>
      </c>
      <c r="F407" s="200">
        <v>45709.375</v>
      </c>
      <c r="G407" s="197" t="s">
        <v>845</v>
      </c>
      <c r="H407" s="197" t="s">
        <v>848</v>
      </c>
    </row>
    <row r="408" ht="15.75" customHeight="1">
      <c r="A408" s="197" t="s">
        <v>54</v>
      </c>
      <c r="B408" s="197" t="s">
        <v>21</v>
      </c>
      <c r="C408" s="198" t="s">
        <v>352</v>
      </c>
      <c r="D408" s="197" t="s">
        <v>353</v>
      </c>
      <c r="E408" s="199">
        <v>5.0</v>
      </c>
      <c r="F408" s="200">
        <v>45716.375</v>
      </c>
      <c r="G408" s="197" t="s">
        <v>845</v>
      </c>
      <c r="H408" s="197" t="s">
        <v>848</v>
      </c>
    </row>
    <row r="409" ht="15.75" customHeight="1">
      <c r="A409" s="197" t="s">
        <v>54</v>
      </c>
      <c r="B409" s="197" t="s">
        <v>21</v>
      </c>
      <c r="C409" s="198" t="s">
        <v>352</v>
      </c>
      <c r="D409" s="197" t="s">
        <v>353</v>
      </c>
      <c r="E409" s="199">
        <v>6.0</v>
      </c>
      <c r="F409" s="200">
        <v>45764.375</v>
      </c>
      <c r="G409" s="197" t="s">
        <v>845</v>
      </c>
      <c r="H409" s="197" t="s">
        <v>848</v>
      </c>
    </row>
    <row r="410" ht="15.75" customHeight="1">
      <c r="A410" s="197" t="s">
        <v>54</v>
      </c>
      <c r="B410" s="197" t="s">
        <v>21</v>
      </c>
      <c r="C410" s="198" t="s">
        <v>352</v>
      </c>
      <c r="D410" s="197" t="s">
        <v>353</v>
      </c>
      <c r="E410" s="199">
        <v>7.0</v>
      </c>
      <c r="F410" s="200">
        <v>45769.375</v>
      </c>
      <c r="G410" s="197" t="s">
        <v>845</v>
      </c>
      <c r="H410" s="197" t="s">
        <v>848</v>
      </c>
    </row>
    <row r="411" ht="15.75" customHeight="1">
      <c r="A411" s="197" t="s">
        <v>54</v>
      </c>
      <c r="B411" s="197" t="s">
        <v>21</v>
      </c>
      <c r="C411" s="198" t="s">
        <v>352</v>
      </c>
      <c r="D411" s="197" t="s">
        <v>353</v>
      </c>
      <c r="E411" s="199">
        <v>8.0</v>
      </c>
      <c r="F411" s="200">
        <v>45785.41666666667</v>
      </c>
      <c r="G411" s="197" t="s">
        <v>845</v>
      </c>
      <c r="H411" s="197" t="s">
        <v>848</v>
      </c>
    </row>
    <row r="412" ht="15.75" customHeight="1">
      <c r="A412" s="197" t="s">
        <v>54</v>
      </c>
      <c r="B412" s="197" t="s">
        <v>21</v>
      </c>
      <c r="C412" s="198" t="s">
        <v>352</v>
      </c>
      <c r="D412" s="197" t="s">
        <v>353</v>
      </c>
      <c r="E412" s="199">
        <v>9.0</v>
      </c>
      <c r="F412" s="200">
        <v>45792.41666666667</v>
      </c>
      <c r="G412" s="197" t="s">
        <v>843</v>
      </c>
      <c r="H412" s="197" t="s">
        <v>848</v>
      </c>
    </row>
    <row r="413" ht="15.75" customHeight="1">
      <c r="A413" s="197" t="s">
        <v>54</v>
      </c>
      <c r="B413" s="197" t="s">
        <v>21</v>
      </c>
      <c r="C413" s="198" t="s">
        <v>352</v>
      </c>
      <c r="D413" s="197" t="s">
        <v>353</v>
      </c>
      <c r="E413" s="199">
        <v>10.0</v>
      </c>
      <c r="F413" s="200">
        <v>45820.375</v>
      </c>
      <c r="G413" s="197" t="s">
        <v>845</v>
      </c>
      <c r="H413" s="197" t="s">
        <v>848</v>
      </c>
    </row>
    <row r="414" ht="15.75" customHeight="1">
      <c r="A414" s="197" t="s">
        <v>54</v>
      </c>
      <c r="B414" s="197" t="s">
        <v>22</v>
      </c>
      <c r="C414" s="198" t="s">
        <v>352</v>
      </c>
      <c r="D414" s="197" t="s">
        <v>353</v>
      </c>
      <c r="E414" s="199">
        <v>1.0</v>
      </c>
      <c r="F414" s="200">
        <v>45869.58333333333</v>
      </c>
      <c r="G414" s="197" t="s">
        <v>845</v>
      </c>
      <c r="H414" s="197" t="s">
        <v>848</v>
      </c>
    </row>
    <row r="415" ht="15.75" customHeight="1">
      <c r="A415" s="197" t="s">
        <v>54</v>
      </c>
      <c r="B415" s="197" t="s">
        <v>22</v>
      </c>
      <c r="C415" s="198" t="s">
        <v>352</v>
      </c>
      <c r="D415" s="197" t="s">
        <v>353</v>
      </c>
      <c r="E415" s="199">
        <v>2.0</v>
      </c>
      <c r="F415" s="200">
        <v>45881.375</v>
      </c>
      <c r="G415" s="197" t="s">
        <v>845</v>
      </c>
      <c r="H415" s="197" t="s">
        <v>848</v>
      </c>
    </row>
    <row r="416" ht="15.75" customHeight="1">
      <c r="A416" s="197" t="s">
        <v>54</v>
      </c>
      <c r="B416" s="197" t="s">
        <v>22</v>
      </c>
      <c r="C416" s="198" t="s">
        <v>352</v>
      </c>
      <c r="D416" s="197" t="s">
        <v>353</v>
      </c>
      <c r="E416" s="199">
        <v>3.0</v>
      </c>
      <c r="F416" s="200">
        <v>45890.375</v>
      </c>
      <c r="G416" s="197" t="s">
        <v>845</v>
      </c>
      <c r="H416" s="197" t="s">
        <v>848</v>
      </c>
    </row>
    <row r="417" ht="15.75" customHeight="1">
      <c r="A417" s="197" t="s">
        <v>54</v>
      </c>
      <c r="B417" s="197" t="s">
        <v>22</v>
      </c>
      <c r="C417" s="198" t="s">
        <v>352</v>
      </c>
      <c r="D417" s="197" t="s">
        <v>353</v>
      </c>
      <c r="E417" s="199">
        <v>4.0</v>
      </c>
      <c r="F417" s="200">
        <v>45897.625</v>
      </c>
      <c r="G417" s="197" t="s">
        <v>843</v>
      </c>
      <c r="H417" s="197" t="s">
        <v>848</v>
      </c>
    </row>
    <row r="418" ht="15.75" customHeight="1">
      <c r="A418" s="197" t="s">
        <v>54</v>
      </c>
      <c r="B418" s="197" t="s">
        <v>22</v>
      </c>
      <c r="C418" s="198" t="s">
        <v>352</v>
      </c>
      <c r="D418" s="197" t="s">
        <v>353</v>
      </c>
      <c r="E418" s="199">
        <v>5.0</v>
      </c>
      <c r="F418" s="200">
        <v>45904.375</v>
      </c>
      <c r="G418" s="197" t="s">
        <v>845</v>
      </c>
      <c r="H418" s="197" t="s">
        <v>848</v>
      </c>
    </row>
    <row r="419" ht="15.75" customHeight="1">
      <c r="A419" s="197" t="s">
        <v>54</v>
      </c>
      <c r="B419" s="197" t="s">
        <v>22</v>
      </c>
      <c r="C419" s="198" t="s">
        <v>352</v>
      </c>
      <c r="D419" s="197" t="s">
        <v>353</v>
      </c>
      <c r="E419" s="199">
        <v>6.0</v>
      </c>
      <c r="F419" s="200">
        <v>45909.375</v>
      </c>
      <c r="G419" s="197" t="s">
        <v>843</v>
      </c>
      <c r="H419" s="197" t="s">
        <v>848</v>
      </c>
    </row>
    <row r="420" ht="15.75" customHeight="1">
      <c r="A420" s="197" t="s">
        <v>54</v>
      </c>
      <c r="B420" s="197" t="s">
        <v>22</v>
      </c>
      <c r="C420" s="198" t="s">
        <v>352</v>
      </c>
      <c r="D420" s="197" t="s">
        <v>353</v>
      </c>
      <c r="E420" s="199">
        <v>7.0</v>
      </c>
      <c r="F420" s="200">
        <v>45917.375</v>
      </c>
      <c r="G420" s="197" t="s">
        <v>845</v>
      </c>
      <c r="H420" s="197" t="s">
        <v>848</v>
      </c>
    </row>
    <row r="421" ht="15.75" customHeight="1">
      <c r="A421" s="197" t="s">
        <v>54</v>
      </c>
      <c r="B421" s="197" t="s">
        <v>22</v>
      </c>
      <c r="C421" s="198" t="s">
        <v>352</v>
      </c>
      <c r="D421" s="197" t="s">
        <v>353</v>
      </c>
      <c r="E421" s="199">
        <v>8.0</v>
      </c>
      <c r="F421" s="200">
        <v>45923.375</v>
      </c>
      <c r="G421" s="197" t="s">
        <v>845</v>
      </c>
      <c r="H421" s="197" t="s">
        <v>848</v>
      </c>
    </row>
    <row r="422" ht="15.75" customHeight="1">
      <c r="A422" s="197" t="s">
        <v>54</v>
      </c>
      <c r="B422" s="197" t="s">
        <v>22</v>
      </c>
      <c r="C422" s="198" t="s">
        <v>352</v>
      </c>
      <c r="D422" s="197" t="s">
        <v>353</v>
      </c>
      <c r="E422" s="199">
        <v>9.0</v>
      </c>
      <c r="F422" s="200">
        <v>45932.375</v>
      </c>
      <c r="G422" s="197" t="s">
        <v>845</v>
      </c>
      <c r="H422" s="197" t="s">
        <v>848</v>
      </c>
    </row>
    <row r="423" ht="15.75" customHeight="1">
      <c r="A423" s="197" t="s">
        <v>54</v>
      </c>
      <c r="B423" s="197" t="s">
        <v>22</v>
      </c>
      <c r="C423" s="198" t="s">
        <v>352</v>
      </c>
      <c r="D423" s="197" t="s">
        <v>353</v>
      </c>
      <c r="E423" s="199">
        <v>10.0</v>
      </c>
      <c r="F423" s="200">
        <v>45939.375</v>
      </c>
      <c r="G423" s="197" t="s">
        <v>845</v>
      </c>
      <c r="H423" s="197" t="s">
        <v>848</v>
      </c>
    </row>
    <row r="424" ht="15.75" customHeight="1">
      <c r="A424" s="197" t="s">
        <v>54</v>
      </c>
      <c r="B424" s="197" t="s">
        <v>22</v>
      </c>
      <c r="C424" s="198" t="s">
        <v>352</v>
      </c>
      <c r="D424" s="197" t="s">
        <v>353</v>
      </c>
      <c r="E424" s="199">
        <v>11.0</v>
      </c>
      <c r="F424" s="200">
        <v>45944.41666666667</v>
      </c>
      <c r="G424" s="197" t="s">
        <v>843</v>
      </c>
      <c r="H424" s="197" t="s">
        <v>848</v>
      </c>
    </row>
    <row r="425" ht="15.75" customHeight="1">
      <c r="A425" s="197" t="s">
        <v>54</v>
      </c>
      <c r="B425" s="197" t="s">
        <v>22</v>
      </c>
      <c r="C425" s="198" t="s">
        <v>352</v>
      </c>
      <c r="D425" s="197" t="s">
        <v>353</v>
      </c>
      <c r="E425" s="199">
        <v>12.0</v>
      </c>
      <c r="F425" s="200">
        <v>45966.41666666667</v>
      </c>
      <c r="G425" s="197" t="s">
        <v>845</v>
      </c>
      <c r="H425" s="197" t="s">
        <v>848</v>
      </c>
    </row>
    <row r="426" ht="15.75" customHeight="1">
      <c r="A426" s="197" t="s">
        <v>54</v>
      </c>
      <c r="B426" s="197" t="s">
        <v>22</v>
      </c>
      <c r="C426" s="198" t="s">
        <v>352</v>
      </c>
      <c r="D426" s="197" t="s">
        <v>353</v>
      </c>
      <c r="E426" s="199">
        <v>13.0</v>
      </c>
      <c r="F426" s="200">
        <v>46007.41666666667</v>
      </c>
      <c r="G426" s="197" t="s">
        <v>845</v>
      </c>
      <c r="H426" s="197" t="s">
        <v>848</v>
      </c>
    </row>
    <row r="427" ht="15.75" customHeight="1">
      <c r="A427" s="197" t="s">
        <v>54</v>
      </c>
      <c r="B427" s="197" t="s">
        <v>22</v>
      </c>
      <c r="C427" s="198" t="s">
        <v>352</v>
      </c>
      <c r="D427" s="197" t="s">
        <v>353</v>
      </c>
      <c r="E427" s="199">
        <v>14.0</v>
      </c>
      <c r="F427" s="200">
        <v>46021.41666666667</v>
      </c>
      <c r="G427" s="197" t="s">
        <v>843</v>
      </c>
      <c r="H427" s="197" t="s">
        <v>848</v>
      </c>
    </row>
    <row r="428" ht="15.75" customHeight="1">
      <c r="A428" s="197" t="s">
        <v>54</v>
      </c>
      <c r="B428" s="197" t="s">
        <v>22</v>
      </c>
      <c r="C428" s="198" t="s">
        <v>352</v>
      </c>
      <c r="D428" s="197" t="s">
        <v>353</v>
      </c>
      <c r="E428" s="199">
        <v>15.0</v>
      </c>
      <c r="F428" s="200">
        <v>46035.41666666667</v>
      </c>
      <c r="G428" s="197" t="s">
        <v>845</v>
      </c>
      <c r="H428" s="197" t="s">
        <v>848</v>
      </c>
    </row>
    <row r="429" ht="15.75" customHeight="1">
      <c r="A429" s="197" t="s">
        <v>54</v>
      </c>
      <c r="B429" s="197" t="s">
        <v>22</v>
      </c>
      <c r="C429" s="198" t="s">
        <v>352</v>
      </c>
      <c r="D429" s="197" t="s">
        <v>353</v>
      </c>
      <c r="E429" s="199">
        <v>16.0</v>
      </c>
      <c r="F429" s="200">
        <v>46084.41666666667</v>
      </c>
      <c r="G429" s="197" t="s">
        <v>845</v>
      </c>
      <c r="H429" s="197" t="s">
        <v>848</v>
      </c>
    </row>
    <row r="430" ht="15.75" customHeight="1">
      <c r="A430" s="197" t="s">
        <v>54</v>
      </c>
      <c r="B430" s="197" t="s">
        <v>21</v>
      </c>
      <c r="C430" s="198" t="s">
        <v>510</v>
      </c>
      <c r="D430" s="197" t="s">
        <v>511</v>
      </c>
      <c r="E430" s="199">
        <v>1.0</v>
      </c>
      <c r="F430" s="200">
        <v>45639.58333333333</v>
      </c>
      <c r="G430" s="197" t="s">
        <v>845</v>
      </c>
      <c r="H430" s="197" t="s">
        <v>848</v>
      </c>
    </row>
    <row r="431" ht="15.75" customHeight="1">
      <c r="A431" s="197" t="s">
        <v>54</v>
      </c>
      <c r="B431" s="197" t="s">
        <v>21</v>
      </c>
      <c r="C431" s="198" t="s">
        <v>510</v>
      </c>
      <c r="D431" s="197" t="s">
        <v>511</v>
      </c>
      <c r="E431" s="199">
        <v>2.0</v>
      </c>
      <c r="F431" s="200">
        <v>45672.41666666667</v>
      </c>
      <c r="G431" s="197" t="s">
        <v>845</v>
      </c>
      <c r="H431" s="197" t="s">
        <v>848</v>
      </c>
    </row>
    <row r="432" ht="15.75" customHeight="1">
      <c r="A432" s="197" t="s">
        <v>54</v>
      </c>
      <c r="B432" s="197" t="s">
        <v>21</v>
      </c>
      <c r="C432" s="198" t="s">
        <v>510</v>
      </c>
      <c r="D432" s="197" t="s">
        <v>511</v>
      </c>
      <c r="E432" s="199">
        <v>3.0</v>
      </c>
      <c r="F432" s="200">
        <v>45679.41666666667</v>
      </c>
      <c r="G432" s="197" t="s">
        <v>845</v>
      </c>
      <c r="H432" s="197" t="s">
        <v>848</v>
      </c>
    </row>
    <row r="433" ht="15.75" customHeight="1">
      <c r="A433" s="197" t="s">
        <v>54</v>
      </c>
      <c r="B433" s="197" t="s">
        <v>21</v>
      </c>
      <c r="C433" s="198" t="s">
        <v>510</v>
      </c>
      <c r="D433" s="197" t="s">
        <v>511</v>
      </c>
      <c r="E433" s="199">
        <v>4.0</v>
      </c>
      <c r="F433" s="200">
        <v>45709.375</v>
      </c>
      <c r="G433" s="197" t="s">
        <v>845</v>
      </c>
      <c r="H433" s="197" t="s">
        <v>848</v>
      </c>
    </row>
    <row r="434" ht="15.75" customHeight="1">
      <c r="A434" s="197" t="s">
        <v>54</v>
      </c>
      <c r="B434" s="197" t="s">
        <v>21</v>
      </c>
      <c r="C434" s="198" t="s">
        <v>510</v>
      </c>
      <c r="D434" s="197" t="s">
        <v>511</v>
      </c>
      <c r="E434" s="199">
        <v>5.0</v>
      </c>
      <c r="F434" s="200">
        <v>45716.375</v>
      </c>
      <c r="G434" s="197" t="s">
        <v>845</v>
      </c>
      <c r="H434" s="197" t="s">
        <v>848</v>
      </c>
    </row>
    <row r="435" ht="15.75" customHeight="1">
      <c r="A435" s="197" t="s">
        <v>54</v>
      </c>
      <c r="B435" s="197" t="s">
        <v>21</v>
      </c>
      <c r="C435" s="198" t="s">
        <v>510</v>
      </c>
      <c r="D435" s="197" t="s">
        <v>511</v>
      </c>
      <c r="E435" s="199">
        <v>6.0</v>
      </c>
      <c r="F435" s="200">
        <v>45764.375</v>
      </c>
      <c r="G435" s="197" t="s">
        <v>845</v>
      </c>
      <c r="H435" s="197" t="s">
        <v>848</v>
      </c>
    </row>
    <row r="436" ht="15.75" customHeight="1">
      <c r="A436" s="197" t="s">
        <v>54</v>
      </c>
      <c r="B436" s="197" t="s">
        <v>21</v>
      </c>
      <c r="C436" s="198" t="s">
        <v>510</v>
      </c>
      <c r="D436" s="197" t="s">
        <v>511</v>
      </c>
      <c r="E436" s="199">
        <v>7.0</v>
      </c>
      <c r="F436" s="200">
        <v>45769.375</v>
      </c>
      <c r="G436" s="197" t="s">
        <v>845</v>
      </c>
      <c r="H436" s="197" t="s">
        <v>848</v>
      </c>
    </row>
    <row r="437" ht="15.75" customHeight="1">
      <c r="A437" s="197" t="s">
        <v>54</v>
      </c>
      <c r="B437" s="197" t="s">
        <v>21</v>
      </c>
      <c r="C437" s="198" t="s">
        <v>510</v>
      </c>
      <c r="D437" s="197" t="s">
        <v>511</v>
      </c>
      <c r="E437" s="199">
        <v>8.0</v>
      </c>
      <c r="F437" s="200">
        <v>45785.41666666667</v>
      </c>
      <c r="G437" s="197" t="s">
        <v>845</v>
      </c>
      <c r="H437" s="197" t="s">
        <v>848</v>
      </c>
    </row>
    <row r="438" ht="15.75" customHeight="1">
      <c r="A438" s="197" t="s">
        <v>54</v>
      </c>
      <c r="B438" s="197" t="s">
        <v>21</v>
      </c>
      <c r="C438" s="198" t="s">
        <v>510</v>
      </c>
      <c r="D438" s="197" t="s">
        <v>511</v>
      </c>
      <c r="E438" s="199">
        <v>9.0</v>
      </c>
      <c r="F438" s="200">
        <v>45792.41666666667</v>
      </c>
      <c r="G438" s="197" t="s">
        <v>845</v>
      </c>
      <c r="H438" s="197" t="s">
        <v>848</v>
      </c>
    </row>
    <row r="439" ht="15.75" customHeight="1">
      <c r="A439" s="197" t="s">
        <v>54</v>
      </c>
      <c r="B439" s="197" t="s">
        <v>21</v>
      </c>
      <c r="C439" s="198" t="s">
        <v>510</v>
      </c>
      <c r="D439" s="197" t="s">
        <v>511</v>
      </c>
      <c r="E439" s="199">
        <v>10.0</v>
      </c>
      <c r="F439" s="200">
        <v>45820.375</v>
      </c>
      <c r="G439" s="197" t="s">
        <v>845</v>
      </c>
      <c r="H439" s="197" t="s">
        <v>848</v>
      </c>
    </row>
    <row r="440" ht="15.75" customHeight="1">
      <c r="A440" s="197" t="s">
        <v>54</v>
      </c>
      <c r="B440" s="197" t="s">
        <v>22</v>
      </c>
      <c r="C440" s="198" t="s">
        <v>510</v>
      </c>
      <c r="D440" s="197" t="s">
        <v>511</v>
      </c>
      <c r="E440" s="199">
        <v>1.0</v>
      </c>
      <c r="F440" s="200">
        <v>45869.58333333333</v>
      </c>
      <c r="G440" s="197" t="s">
        <v>845</v>
      </c>
      <c r="H440" s="197" t="s">
        <v>848</v>
      </c>
    </row>
    <row r="441" ht="15.75" customHeight="1">
      <c r="A441" s="197" t="s">
        <v>54</v>
      </c>
      <c r="B441" s="197" t="s">
        <v>22</v>
      </c>
      <c r="C441" s="198" t="s">
        <v>510</v>
      </c>
      <c r="D441" s="197" t="s">
        <v>511</v>
      </c>
      <c r="E441" s="199">
        <v>2.0</v>
      </c>
      <c r="F441" s="200">
        <v>45881.375</v>
      </c>
      <c r="G441" s="197" t="s">
        <v>845</v>
      </c>
      <c r="H441" s="197" t="s">
        <v>848</v>
      </c>
    </row>
    <row r="442" ht="15.75" customHeight="1">
      <c r="A442" s="197" t="s">
        <v>54</v>
      </c>
      <c r="B442" s="197" t="s">
        <v>22</v>
      </c>
      <c r="C442" s="198" t="s">
        <v>510</v>
      </c>
      <c r="D442" s="197" t="s">
        <v>511</v>
      </c>
      <c r="E442" s="199">
        <v>3.0</v>
      </c>
      <c r="F442" s="200">
        <v>45890.375</v>
      </c>
      <c r="G442" s="197" t="s">
        <v>845</v>
      </c>
      <c r="H442" s="197" t="s">
        <v>848</v>
      </c>
    </row>
    <row r="443" ht="15.75" customHeight="1">
      <c r="A443" s="197" t="s">
        <v>54</v>
      </c>
      <c r="B443" s="197" t="s">
        <v>22</v>
      </c>
      <c r="C443" s="198" t="s">
        <v>510</v>
      </c>
      <c r="D443" s="197" t="s">
        <v>511</v>
      </c>
      <c r="E443" s="199">
        <v>4.0</v>
      </c>
      <c r="F443" s="200">
        <v>45897.625</v>
      </c>
      <c r="G443" s="197" t="s">
        <v>845</v>
      </c>
      <c r="H443" s="197" t="s">
        <v>848</v>
      </c>
    </row>
    <row r="444" ht="15.75" customHeight="1">
      <c r="A444" s="197" t="s">
        <v>54</v>
      </c>
      <c r="B444" s="197" t="s">
        <v>22</v>
      </c>
      <c r="C444" s="198" t="s">
        <v>510</v>
      </c>
      <c r="D444" s="197" t="s">
        <v>511</v>
      </c>
      <c r="E444" s="199">
        <v>5.0</v>
      </c>
      <c r="F444" s="200">
        <v>45904.375</v>
      </c>
      <c r="G444" s="197" t="s">
        <v>845</v>
      </c>
      <c r="H444" s="197" t="s">
        <v>848</v>
      </c>
    </row>
    <row r="445" ht="15.75" customHeight="1">
      <c r="A445" s="197" t="s">
        <v>54</v>
      </c>
      <c r="B445" s="197" t="s">
        <v>22</v>
      </c>
      <c r="C445" s="198" t="s">
        <v>510</v>
      </c>
      <c r="D445" s="197" t="s">
        <v>511</v>
      </c>
      <c r="E445" s="199">
        <v>6.0</v>
      </c>
      <c r="F445" s="200">
        <v>45909.375</v>
      </c>
      <c r="G445" s="197" t="s">
        <v>845</v>
      </c>
      <c r="H445" s="197" t="s">
        <v>848</v>
      </c>
    </row>
    <row r="446" ht="15.75" customHeight="1">
      <c r="A446" s="197" t="s">
        <v>54</v>
      </c>
      <c r="B446" s="197" t="s">
        <v>22</v>
      </c>
      <c r="C446" s="198" t="s">
        <v>510</v>
      </c>
      <c r="D446" s="197" t="s">
        <v>511</v>
      </c>
      <c r="E446" s="199">
        <v>7.0</v>
      </c>
      <c r="F446" s="200">
        <v>45917.375</v>
      </c>
      <c r="G446" s="197" t="s">
        <v>845</v>
      </c>
      <c r="H446" s="197" t="s">
        <v>848</v>
      </c>
    </row>
    <row r="447" ht="15.75" customHeight="1">
      <c r="A447" s="197" t="s">
        <v>54</v>
      </c>
      <c r="B447" s="197" t="s">
        <v>22</v>
      </c>
      <c r="C447" s="198" t="s">
        <v>510</v>
      </c>
      <c r="D447" s="197" t="s">
        <v>511</v>
      </c>
      <c r="E447" s="199">
        <v>8.0</v>
      </c>
      <c r="F447" s="200">
        <v>45923.375</v>
      </c>
      <c r="G447" s="197" t="s">
        <v>845</v>
      </c>
      <c r="H447" s="197" t="s">
        <v>848</v>
      </c>
    </row>
    <row r="448" ht="15.75" customHeight="1">
      <c r="A448" s="197" t="s">
        <v>54</v>
      </c>
      <c r="B448" s="197" t="s">
        <v>22</v>
      </c>
      <c r="C448" s="198" t="s">
        <v>510</v>
      </c>
      <c r="D448" s="197" t="s">
        <v>511</v>
      </c>
      <c r="E448" s="199">
        <v>9.0</v>
      </c>
      <c r="F448" s="200">
        <v>45932.375</v>
      </c>
      <c r="G448" s="197" t="s">
        <v>845</v>
      </c>
      <c r="H448" s="197" t="s">
        <v>848</v>
      </c>
    </row>
    <row r="449" ht="15.75" customHeight="1">
      <c r="A449" s="197" t="s">
        <v>54</v>
      </c>
      <c r="B449" s="197" t="s">
        <v>22</v>
      </c>
      <c r="C449" s="198" t="s">
        <v>510</v>
      </c>
      <c r="D449" s="197" t="s">
        <v>511</v>
      </c>
      <c r="E449" s="199">
        <v>10.0</v>
      </c>
      <c r="F449" s="200">
        <v>45939.375</v>
      </c>
      <c r="G449" s="197" t="s">
        <v>845</v>
      </c>
      <c r="H449" s="197" t="s">
        <v>848</v>
      </c>
    </row>
    <row r="450" ht="15.75" customHeight="1">
      <c r="A450" s="197" t="s">
        <v>54</v>
      </c>
      <c r="B450" s="197" t="s">
        <v>22</v>
      </c>
      <c r="C450" s="198" t="s">
        <v>510</v>
      </c>
      <c r="D450" s="197" t="s">
        <v>511</v>
      </c>
      <c r="E450" s="199">
        <v>11.0</v>
      </c>
      <c r="F450" s="200">
        <v>45944.41666666667</v>
      </c>
      <c r="G450" s="197" t="s">
        <v>845</v>
      </c>
      <c r="H450" s="197" t="s">
        <v>848</v>
      </c>
    </row>
    <row r="451" ht="15.75" customHeight="1">
      <c r="A451" s="197" t="s">
        <v>54</v>
      </c>
      <c r="B451" s="197" t="s">
        <v>22</v>
      </c>
      <c r="C451" s="198" t="s">
        <v>510</v>
      </c>
      <c r="D451" s="197" t="s">
        <v>511</v>
      </c>
      <c r="E451" s="199">
        <v>12.0</v>
      </c>
      <c r="F451" s="200">
        <v>45966.41666666667</v>
      </c>
      <c r="G451" s="197" t="s">
        <v>845</v>
      </c>
      <c r="H451" s="197" t="s">
        <v>848</v>
      </c>
    </row>
    <row r="452" ht="15.75" customHeight="1">
      <c r="A452" s="197" t="s">
        <v>54</v>
      </c>
      <c r="B452" s="197" t="s">
        <v>22</v>
      </c>
      <c r="C452" s="198" t="s">
        <v>510</v>
      </c>
      <c r="D452" s="197" t="s">
        <v>511</v>
      </c>
      <c r="E452" s="199">
        <v>13.0</v>
      </c>
      <c r="F452" s="200">
        <v>46007.41666666667</v>
      </c>
      <c r="G452" s="197" t="s">
        <v>845</v>
      </c>
      <c r="H452" s="197" t="s">
        <v>848</v>
      </c>
    </row>
    <row r="453" ht="15.75" customHeight="1">
      <c r="A453" s="197" t="s">
        <v>54</v>
      </c>
      <c r="B453" s="197" t="s">
        <v>22</v>
      </c>
      <c r="C453" s="198" t="s">
        <v>510</v>
      </c>
      <c r="D453" s="197" t="s">
        <v>511</v>
      </c>
      <c r="E453" s="199">
        <v>14.0</v>
      </c>
      <c r="F453" s="200">
        <v>46021.41666666667</v>
      </c>
      <c r="G453" s="197" t="s">
        <v>843</v>
      </c>
      <c r="H453" s="197" t="s">
        <v>848</v>
      </c>
    </row>
    <row r="454" ht="15.75" customHeight="1">
      <c r="A454" s="197" t="s">
        <v>54</v>
      </c>
      <c r="B454" s="197" t="s">
        <v>22</v>
      </c>
      <c r="C454" s="198" t="s">
        <v>510</v>
      </c>
      <c r="D454" s="197" t="s">
        <v>511</v>
      </c>
      <c r="E454" s="199">
        <v>15.0</v>
      </c>
      <c r="F454" s="200">
        <v>46035.41666666667</v>
      </c>
      <c r="G454" s="197" t="s">
        <v>845</v>
      </c>
      <c r="H454" s="197" t="s">
        <v>848</v>
      </c>
    </row>
    <row r="455" ht="15.75" customHeight="1">
      <c r="A455" s="197" t="s">
        <v>54</v>
      </c>
      <c r="B455" s="197" t="s">
        <v>22</v>
      </c>
      <c r="C455" s="198" t="s">
        <v>510</v>
      </c>
      <c r="D455" s="197" t="s">
        <v>511</v>
      </c>
      <c r="E455" s="199">
        <v>16.0</v>
      </c>
      <c r="F455" s="200">
        <v>46084.41666666667</v>
      </c>
      <c r="G455" s="197" t="s">
        <v>845</v>
      </c>
      <c r="H455" s="197" t="s">
        <v>848</v>
      </c>
    </row>
    <row r="456" ht="15.75" customHeight="1">
      <c r="A456" s="197" t="s">
        <v>54</v>
      </c>
      <c r="B456" s="197" t="s">
        <v>21</v>
      </c>
      <c r="C456" s="198" t="s">
        <v>553</v>
      </c>
      <c r="D456" s="197" t="s">
        <v>554</v>
      </c>
      <c r="E456" s="199">
        <v>1.0</v>
      </c>
      <c r="F456" s="200">
        <v>45639.58333333333</v>
      </c>
      <c r="G456" s="197" t="s">
        <v>845</v>
      </c>
      <c r="H456" s="197" t="s">
        <v>848</v>
      </c>
    </row>
    <row r="457" ht="15.75" customHeight="1">
      <c r="A457" s="197" t="s">
        <v>54</v>
      </c>
      <c r="B457" s="197" t="s">
        <v>21</v>
      </c>
      <c r="C457" s="198" t="s">
        <v>553</v>
      </c>
      <c r="D457" s="197" t="s">
        <v>554</v>
      </c>
      <c r="E457" s="199">
        <v>2.0</v>
      </c>
      <c r="F457" s="200">
        <v>45672.41666666667</v>
      </c>
      <c r="G457" s="197" t="s">
        <v>845</v>
      </c>
      <c r="H457" s="197" t="s">
        <v>848</v>
      </c>
    </row>
    <row r="458" ht="15.75" customHeight="1">
      <c r="A458" s="197" t="s">
        <v>54</v>
      </c>
      <c r="B458" s="197" t="s">
        <v>21</v>
      </c>
      <c r="C458" s="198" t="s">
        <v>553</v>
      </c>
      <c r="D458" s="197" t="s">
        <v>554</v>
      </c>
      <c r="E458" s="199">
        <v>3.0</v>
      </c>
      <c r="F458" s="200">
        <v>45679.41666666667</v>
      </c>
      <c r="G458" s="197" t="s">
        <v>843</v>
      </c>
      <c r="H458" s="197" t="s">
        <v>848</v>
      </c>
    </row>
    <row r="459" ht="15.75" customHeight="1">
      <c r="A459" s="197" t="s">
        <v>54</v>
      </c>
      <c r="B459" s="197" t="s">
        <v>21</v>
      </c>
      <c r="C459" s="198" t="s">
        <v>553</v>
      </c>
      <c r="D459" s="197" t="s">
        <v>554</v>
      </c>
      <c r="E459" s="199">
        <v>4.0</v>
      </c>
      <c r="F459" s="200">
        <v>45709.375</v>
      </c>
      <c r="G459" s="197" t="s">
        <v>845</v>
      </c>
      <c r="H459" s="197" t="s">
        <v>848</v>
      </c>
    </row>
    <row r="460" ht="15.75" customHeight="1">
      <c r="A460" s="197" t="s">
        <v>54</v>
      </c>
      <c r="B460" s="197" t="s">
        <v>21</v>
      </c>
      <c r="C460" s="198" t="s">
        <v>553</v>
      </c>
      <c r="D460" s="197" t="s">
        <v>554</v>
      </c>
      <c r="E460" s="199">
        <v>5.0</v>
      </c>
      <c r="F460" s="200">
        <v>45716.375</v>
      </c>
      <c r="G460" s="197" t="s">
        <v>845</v>
      </c>
      <c r="H460" s="197" t="s">
        <v>848</v>
      </c>
    </row>
    <row r="461" ht="15.75" customHeight="1">
      <c r="A461" s="197" t="s">
        <v>54</v>
      </c>
      <c r="B461" s="197" t="s">
        <v>21</v>
      </c>
      <c r="C461" s="198" t="s">
        <v>553</v>
      </c>
      <c r="D461" s="197" t="s">
        <v>554</v>
      </c>
      <c r="E461" s="199">
        <v>6.0</v>
      </c>
      <c r="F461" s="200">
        <v>45764.375</v>
      </c>
      <c r="G461" s="197" t="s">
        <v>845</v>
      </c>
      <c r="H461" s="197" t="s">
        <v>848</v>
      </c>
    </row>
    <row r="462" ht="15.75" customHeight="1">
      <c r="A462" s="197" t="s">
        <v>54</v>
      </c>
      <c r="B462" s="197" t="s">
        <v>21</v>
      </c>
      <c r="C462" s="198" t="s">
        <v>553</v>
      </c>
      <c r="D462" s="197" t="s">
        <v>554</v>
      </c>
      <c r="E462" s="199">
        <v>7.0</v>
      </c>
      <c r="F462" s="200">
        <v>45769.375</v>
      </c>
      <c r="G462" s="197" t="s">
        <v>845</v>
      </c>
      <c r="H462" s="197" t="s">
        <v>848</v>
      </c>
    </row>
    <row r="463" ht="15.75" customHeight="1">
      <c r="A463" s="197" t="s">
        <v>54</v>
      </c>
      <c r="B463" s="197" t="s">
        <v>21</v>
      </c>
      <c r="C463" s="198" t="s">
        <v>553</v>
      </c>
      <c r="D463" s="197" t="s">
        <v>554</v>
      </c>
      <c r="E463" s="199">
        <v>8.0</v>
      </c>
      <c r="F463" s="200">
        <v>45785.41666666667</v>
      </c>
      <c r="G463" s="197" t="s">
        <v>845</v>
      </c>
      <c r="H463" s="197" t="s">
        <v>848</v>
      </c>
    </row>
    <row r="464" ht="15.75" customHeight="1">
      <c r="A464" s="197" t="s">
        <v>54</v>
      </c>
      <c r="B464" s="197" t="s">
        <v>21</v>
      </c>
      <c r="C464" s="198" t="s">
        <v>553</v>
      </c>
      <c r="D464" s="197" t="s">
        <v>554</v>
      </c>
      <c r="E464" s="199">
        <v>9.0</v>
      </c>
      <c r="F464" s="200">
        <v>45792.41666666667</v>
      </c>
      <c r="G464" s="197" t="s">
        <v>845</v>
      </c>
      <c r="H464" s="197" t="s">
        <v>848</v>
      </c>
    </row>
    <row r="465" ht="15.75" customHeight="1">
      <c r="A465" s="197" t="s">
        <v>54</v>
      </c>
      <c r="B465" s="197" t="s">
        <v>21</v>
      </c>
      <c r="C465" s="198" t="s">
        <v>553</v>
      </c>
      <c r="D465" s="197" t="s">
        <v>554</v>
      </c>
      <c r="E465" s="199">
        <v>10.0</v>
      </c>
      <c r="F465" s="200">
        <v>45820.375</v>
      </c>
      <c r="G465" s="197" t="s">
        <v>845</v>
      </c>
      <c r="H465" s="197" t="s">
        <v>848</v>
      </c>
    </row>
    <row r="466" ht="15.75" customHeight="1">
      <c r="A466" s="197" t="s">
        <v>54</v>
      </c>
      <c r="B466" s="197" t="s">
        <v>22</v>
      </c>
      <c r="C466" s="198" t="s">
        <v>553</v>
      </c>
      <c r="D466" s="197" t="s">
        <v>554</v>
      </c>
      <c r="E466" s="199">
        <v>1.0</v>
      </c>
      <c r="F466" s="200">
        <v>45869.58333333333</v>
      </c>
      <c r="G466" s="197" t="s">
        <v>845</v>
      </c>
      <c r="H466" s="197" t="s">
        <v>848</v>
      </c>
    </row>
    <row r="467" ht="15.75" customHeight="1">
      <c r="A467" s="197" t="s">
        <v>54</v>
      </c>
      <c r="B467" s="197" t="s">
        <v>22</v>
      </c>
      <c r="C467" s="198" t="s">
        <v>553</v>
      </c>
      <c r="D467" s="197" t="s">
        <v>554</v>
      </c>
      <c r="E467" s="199">
        <v>2.0</v>
      </c>
      <c r="F467" s="200">
        <v>45881.375</v>
      </c>
      <c r="G467" s="197" t="s">
        <v>845</v>
      </c>
      <c r="H467" s="197" t="s">
        <v>848</v>
      </c>
    </row>
    <row r="468" ht="15.75" customHeight="1">
      <c r="A468" s="197" t="s">
        <v>54</v>
      </c>
      <c r="B468" s="197" t="s">
        <v>22</v>
      </c>
      <c r="C468" s="198" t="s">
        <v>553</v>
      </c>
      <c r="D468" s="197" t="s">
        <v>554</v>
      </c>
      <c r="E468" s="199">
        <v>3.0</v>
      </c>
      <c r="F468" s="200">
        <v>45890.375</v>
      </c>
      <c r="G468" s="197" t="s">
        <v>845</v>
      </c>
      <c r="H468" s="197" t="s">
        <v>848</v>
      </c>
    </row>
    <row r="469" ht="15.75" customHeight="1">
      <c r="A469" s="197" t="s">
        <v>54</v>
      </c>
      <c r="B469" s="197" t="s">
        <v>22</v>
      </c>
      <c r="C469" s="198" t="s">
        <v>553</v>
      </c>
      <c r="D469" s="197" t="s">
        <v>554</v>
      </c>
      <c r="E469" s="199">
        <v>4.0</v>
      </c>
      <c r="F469" s="200">
        <v>45897.625</v>
      </c>
      <c r="G469" s="197" t="s">
        <v>845</v>
      </c>
      <c r="H469" s="197" t="s">
        <v>848</v>
      </c>
    </row>
    <row r="470" ht="15.75" customHeight="1">
      <c r="A470" s="197" t="s">
        <v>54</v>
      </c>
      <c r="B470" s="197" t="s">
        <v>22</v>
      </c>
      <c r="C470" s="198" t="s">
        <v>553</v>
      </c>
      <c r="D470" s="197" t="s">
        <v>554</v>
      </c>
      <c r="E470" s="199">
        <v>5.0</v>
      </c>
      <c r="F470" s="200">
        <v>45904.375</v>
      </c>
      <c r="G470" s="197" t="s">
        <v>845</v>
      </c>
      <c r="H470" s="197" t="s">
        <v>848</v>
      </c>
    </row>
    <row r="471" ht="15.75" customHeight="1">
      <c r="A471" s="197" t="s">
        <v>54</v>
      </c>
      <c r="B471" s="197" t="s">
        <v>22</v>
      </c>
      <c r="C471" s="198" t="s">
        <v>553</v>
      </c>
      <c r="D471" s="197" t="s">
        <v>554</v>
      </c>
      <c r="E471" s="199">
        <v>6.0</v>
      </c>
      <c r="F471" s="200">
        <v>45909.375</v>
      </c>
      <c r="G471" s="197" t="s">
        <v>845</v>
      </c>
      <c r="H471" s="197" t="s">
        <v>848</v>
      </c>
    </row>
    <row r="472" ht="15.75" customHeight="1">
      <c r="A472" s="197" t="s">
        <v>54</v>
      </c>
      <c r="B472" s="197" t="s">
        <v>22</v>
      </c>
      <c r="C472" s="198" t="s">
        <v>553</v>
      </c>
      <c r="D472" s="197" t="s">
        <v>554</v>
      </c>
      <c r="E472" s="199">
        <v>7.0</v>
      </c>
      <c r="F472" s="200">
        <v>45917.375</v>
      </c>
      <c r="G472" s="197" t="s">
        <v>843</v>
      </c>
      <c r="H472" s="197" t="s">
        <v>848</v>
      </c>
    </row>
    <row r="473" ht="15.75" customHeight="1">
      <c r="A473" s="197" t="s">
        <v>54</v>
      </c>
      <c r="B473" s="197" t="s">
        <v>22</v>
      </c>
      <c r="C473" s="198" t="s">
        <v>553</v>
      </c>
      <c r="D473" s="197" t="s">
        <v>554</v>
      </c>
      <c r="E473" s="199">
        <v>8.0</v>
      </c>
      <c r="F473" s="200">
        <v>45923.375</v>
      </c>
      <c r="G473" s="197" t="s">
        <v>845</v>
      </c>
      <c r="H473" s="197" t="s">
        <v>848</v>
      </c>
    </row>
    <row r="474" ht="15.75" customHeight="1">
      <c r="A474" s="197" t="s">
        <v>54</v>
      </c>
      <c r="B474" s="197" t="s">
        <v>22</v>
      </c>
      <c r="C474" s="198" t="s">
        <v>553</v>
      </c>
      <c r="D474" s="197" t="s">
        <v>554</v>
      </c>
      <c r="E474" s="199">
        <v>9.0</v>
      </c>
      <c r="F474" s="200">
        <v>45932.375</v>
      </c>
      <c r="G474" s="197" t="s">
        <v>843</v>
      </c>
      <c r="H474" s="197" t="s">
        <v>848</v>
      </c>
    </row>
    <row r="475" ht="15.75" customHeight="1">
      <c r="A475" s="197" t="s">
        <v>54</v>
      </c>
      <c r="B475" s="197" t="s">
        <v>22</v>
      </c>
      <c r="C475" s="198" t="s">
        <v>553</v>
      </c>
      <c r="D475" s="197" t="s">
        <v>554</v>
      </c>
      <c r="E475" s="199">
        <v>10.0</v>
      </c>
      <c r="F475" s="200">
        <v>45939.375</v>
      </c>
      <c r="G475" s="197" t="s">
        <v>845</v>
      </c>
      <c r="H475" s="197" t="s">
        <v>848</v>
      </c>
    </row>
    <row r="476" ht="15.75" customHeight="1">
      <c r="A476" s="197" t="s">
        <v>54</v>
      </c>
      <c r="B476" s="197" t="s">
        <v>22</v>
      </c>
      <c r="C476" s="198" t="s">
        <v>553</v>
      </c>
      <c r="D476" s="197" t="s">
        <v>554</v>
      </c>
      <c r="E476" s="199">
        <v>11.0</v>
      </c>
      <c r="F476" s="200">
        <v>45944.41666666667</v>
      </c>
      <c r="G476" s="197" t="s">
        <v>845</v>
      </c>
      <c r="H476" s="197" t="s">
        <v>848</v>
      </c>
    </row>
    <row r="477" ht="15.75" customHeight="1">
      <c r="A477" s="197" t="s">
        <v>54</v>
      </c>
      <c r="B477" s="197" t="s">
        <v>22</v>
      </c>
      <c r="C477" s="198" t="s">
        <v>553</v>
      </c>
      <c r="D477" s="197" t="s">
        <v>554</v>
      </c>
      <c r="E477" s="199">
        <v>12.0</v>
      </c>
      <c r="F477" s="200">
        <v>45966.41666666667</v>
      </c>
      <c r="G477" s="197" t="s">
        <v>845</v>
      </c>
      <c r="H477" s="197" t="s">
        <v>848</v>
      </c>
    </row>
    <row r="478" ht="15.75" customHeight="1">
      <c r="A478" s="197" t="s">
        <v>54</v>
      </c>
      <c r="B478" s="197" t="s">
        <v>22</v>
      </c>
      <c r="C478" s="198" t="s">
        <v>553</v>
      </c>
      <c r="D478" s="197" t="s">
        <v>554</v>
      </c>
      <c r="E478" s="199">
        <v>13.0</v>
      </c>
      <c r="F478" s="200">
        <v>46007.41666666667</v>
      </c>
      <c r="G478" s="197" t="s">
        <v>845</v>
      </c>
      <c r="H478" s="197" t="s">
        <v>848</v>
      </c>
    </row>
    <row r="479" ht="15.75" customHeight="1">
      <c r="A479" s="197" t="s">
        <v>54</v>
      </c>
      <c r="B479" s="197" t="s">
        <v>22</v>
      </c>
      <c r="C479" s="198" t="s">
        <v>553</v>
      </c>
      <c r="D479" s="197" t="s">
        <v>554</v>
      </c>
      <c r="E479" s="199">
        <v>14.0</v>
      </c>
      <c r="F479" s="200">
        <v>46021.41666666667</v>
      </c>
      <c r="G479" s="197" t="s">
        <v>845</v>
      </c>
      <c r="H479" s="197" t="s">
        <v>848</v>
      </c>
    </row>
    <row r="480" ht="15.75" customHeight="1">
      <c r="A480" s="197" t="s">
        <v>54</v>
      </c>
      <c r="B480" s="197" t="s">
        <v>22</v>
      </c>
      <c r="C480" s="198" t="s">
        <v>553</v>
      </c>
      <c r="D480" s="197" t="s">
        <v>554</v>
      </c>
      <c r="E480" s="199">
        <v>15.0</v>
      </c>
      <c r="F480" s="200">
        <v>46035.41666666667</v>
      </c>
      <c r="G480" s="197" t="s">
        <v>845</v>
      </c>
      <c r="H480" s="197" t="s">
        <v>848</v>
      </c>
    </row>
    <row r="481" ht="15.75" customHeight="1">
      <c r="A481" s="197" t="s">
        <v>54</v>
      </c>
      <c r="B481" s="197" t="s">
        <v>22</v>
      </c>
      <c r="C481" s="198" t="s">
        <v>553</v>
      </c>
      <c r="D481" s="197" t="s">
        <v>554</v>
      </c>
      <c r="E481" s="199">
        <v>16.0</v>
      </c>
      <c r="F481" s="200">
        <v>46084.41666666667</v>
      </c>
      <c r="G481" s="197" t="s">
        <v>845</v>
      </c>
      <c r="H481" s="197" t="s">
        <v>848</v>
      </c>
    </row>
    <row r="482" ht="15.75" customHeight="1">
      <c r="A482" s="197" t="s">
        <v>54</v>
      </c>
      <c r="B482" s="197" t="s">
        <v>21</v>
      </c>
      <c r="C482" s="198" t="s">
        <v>617</v>
      </c>
      <c r="D482" s="197" t="s">
        <v>618</v>
      </c>
      <c r="E482" s="199">
        <v>1.0</v>
      </c>
      <c r="F482" s="200">
        <v>45639.58333333333</v>
      </c>
      <c r="G482" s="197" t="s">
        <v>845</v>
      </c>
      <c r="H482" s="197" t="s">
        <v>848</v>
      </c>
    </row>
    <row r="483" ht="15.75" customHeight="1">
      <c r="A483" s="197" t="s">
        <v>54</v>
      </c>
      <c r="B483" s="197" t="s">
        <v>21</v>
      </c>
      <c r="C483" s="198" t="s">
        <v>617</v>
      </c>
      <c r="D483" s="197" t="s">
        <v>618</v>
      </c>
      <c r="E483" s="199">
        <v>2.0</v>
      </c>
      <c r="F483" s="200">
        <v>45665.375</v>
      </c>
      <c r="G483" s="197" t="s">
        <v>845</v>
      </c>
      <c r="H483" s="197" t="s">
        <v>848</v>
      </c>
    </row>
    <row r="484" ht="15.75" customHeight="1">
      <c r="A484" s="197" t="s">
        <v>54</v>
      </c>
      <c r="B484" s="197" t="s">
        <v>21</v>
      </c>
      <c r="C484" s="198" t="s">
        <v>617</v>
      </c>
      <c r="D484" s="197" t="s">
        <v>618</v>
      </c>
      <c r="E484" s="199">
        <v>3.0</v>
      </c>
      <c r="F484" s="200">
        <v>45679.41666666667</v>
      </c>
      <c r="G484" s="197" t="s">
        <v>845</v>
      </c>
      <c r="H484" s="197" t="s">
        <v>848</v>
      </c>
    </row>
    <row r="485" ht="15.75" customHeight="1">
      <c r="A485" s="197" t="s">
        <v>54</v>
      </c>
      <c r="B485" s="197" t="s">
        <v>21</v>
      </c>
      <c r="C485" s="198" t="s">
        <v>617</v>
      </c>
      <c r="D485" s="197" t="s">
        <v>618</v>
      </c>
      <c r="E485" s="199">
        <v>4.0</v>
      </c>
      <c r="F485" s="200">
        <v>45709.375</v>
      </c>
      <c r="G485" s="197" t="s">
        <v>845</v>
      </c>
      <c r="H485" s="197" t="s">
        <v>848</v>
      </c>
    </row>
    <row r="486" ht="15.75" customHeight="1">
      <c r="A486" s="197" t="s">
        <v>54</v>
      </c>
      <c r="B486" s="197" t="s">
        <v>21</v>
      </c>
      <c r="C486" s="198" t="s">
        <v>617</v>
      </c>
      <c r="D486" s="197" t="s">
        <v>618</v>
      </c>
      <c r="E486" s="199">
        <v>5.0</v>
      </c>
      <c r="F486" s="200">
        <v>45702.58333333333</v>
      </c>
      <c r="G486" s="197" t="s">
        <v>843</v>
      </c>
      <c r="H486" s="197" t="s">
        <v>848</v>
      </c>
    </row>
    <row r="487" ht="15.75" customHeight="1">
      <c r="A487" s="197" t="s">
        <v>54</v>
      </c>
      <c r="B487" s="197" t="s">
        <v>21</v>
      </c>
      <c r="C487" s="198" t="s">
        <v>617</v>
      </c>
      <c r="D487" s="197" t="s">
        <v>618</v>
      </c>
      <c r="E487" s="199">
        <v>6.0</v>
      </c>
      <c r="F487" s="200">
        <v>45764.375</v>
      </c>
      <c r="G487" s="197" t="s">
        <v>845</v>
      </c>
      <c r="H487" s="197" t="s">
        <v>848</v>
      </c>
    </row>
    <row r="488" ht="15.75" customHeight="1">
      <c r="A488" s="197" t="s">
        <v>54</v>
      </c>
      <c r="B488" s="197" t="s">
        <v>21</v>
      </c>
      <c r="C488" s="198" t="s">
        <v>617</v>
      </c>
      <c r="D488" s="197" t="s">
        <v>618</v>
      </c>
      <c r="E488" s="199">
        <v>7.0</v>
      </c>
      <c r="F488" s="200">
        <v>45769.375</v>
      </c>
      <c r="G488" s="197" t="s">
        <v>845</v>
      </c>
      <c r="H488" s="197" t="s">
        <v>848</v>
      </c>
    </row>
    <row r="489" ht="15.75" customHeight="1">
      <c r="A489" s="197" t="s">
        <v>54</v>
      </c>
      <c r="B489" s="197" t="s">
        <v>21</v>
      </c>
      <c r="C489" s="198" t="s">
        <v>617</v>
      </c>
      <c r="D489" s="197" t="s">
        <v>618</v>
      </c>
      <c r="E489" s="199">
        <v>8.0</v>
      </c>
      <c r="F489" s="200">
        <v>45764.375</v>
      </c>
      <c r="G489" s="197" t="s">
        <v>843</v>
      </c>
      <c r="H489" s="197" t="s">
        <v>848</v>
      </c>
    </row>
    <row r="490" ht="15.75" customHeight="1">
      <c r="A490" s="197" t="s">
        <v>54</v>
      </c>
      <c r="B490" s="197" t="s">
        <v>21</v>
      </c>
      <c r="C490" s="198" t="s">
        <v>617</v>
      </c>
      <c r="D490" s="197" t="s">
        <v>618</v>
      </c>
      <c r="E490" s="199">
        <v>9.0</v>
      </c>
      <c r="F490" s="200">
        <v>45792.41666666667</v>
      </c>
      <c r="G490" s="197" t="s">
        <v>845</v>
      </c>
      <c r="H490" s="197" t="s">
        <v>848</v>
      </c>
    </row>
    <row r="491" ht="15.75" customHeight="1">
      <c r="A491" s="197" t="s">
        <v>54</v>
      </c>
      <c r="B491" s="197" t="s">
        <v>21</v>
      </c>
      <c r="C491" s="198" t="s">
        <v>617</v>
      </c>
      <c r="D491" s="197" t="s">
        <v>618</v>
      </c>
      <c r="E491" s="199">
        <v>10.0</v>
      </c>
      <c r="F491" s="200">
        <v>45820.375</v>
      </c>
      <c r="G491" s="197" t="s">
        <v>845</v>
      </c>
      <c r="H491" s="197" t="s">
        <v>848</v>
      </c>
    </row>
    <row r="492" ht="15.75" customHeight="1">
      <c r="A492" s="197" t="s">
        <v>54</v>
      </c>
      <c r="B492" s="197" t="s">
        <v>22</v>
      </c>
      <c r="C492" s="198" t="s">
        <v>617</v>
      </c>
      <c r="D492" s="197" t="s">
        <v>618</v>
      </c>
      <c r="E492" s="199">
        <v>1.0</v>
      </c>
      <c r="F492" s="200">
        <v>45869.58333333333</v>
      </c>
      <c r="G492" s="197" t="s">
        <v>843</v>
      </c>
      <c r="H492" s="197" t="s">
        <v>848</v>
      </c>
    </row>
    <row r="493" ht="15.75" customHeight="1">
      <c r="A493" s="197" t="s">
        <v>54</v>
      </c>
      <c r="B493" s="197" t="s">
        <v>22</v>
      </c>
      <c r="C493" s="198" t="s">
        <v>617</v>
      </c>
      <c r="D493" s="197" t="s">
        <v>618</v>
      </c>
      <c r="E493" s="199">
        <v>2.0</v>
      </c>
      <c r="F493" s="200">
        <v>45881.375</v>
      </c>
      <c r="G493" s="197" t="s">
        <v>845</v>
      </c>
      <c r="H493" s="197" t="s">
        <v>848</v>
      </c>
    </row>
    <row r="494" ht="15.75" customHeight="1">
      <c r="A494" s="197" t="s">
        <v>54</v>
      </c>
      <c r="B494" s="197" t="s">
        <v>22</v>
      </c>
      <c r="C494" s="198" t="s">
        <v>617</v>
      </c>
      <c r="D494" s="197" t="s">
        <v>618</v>
      </c>
      <c r="E494" s="199">
        <v>3.0</v>
      </c>
      <c r="F494" s="200">
        <v>45890.375</v>
      </c>
      <c r="G494" s="197" t="s">
        <v>845</v>
      </c>
      <c r="H494" s="197" t="s">
        <v>848</v>
      </c>
    </row>
    <row r="495" ht="15.75" customHeight="1">
      <c r="A495" s="197" t="s">
        <v>54</v>
      </c>
      <c r="B495" s="197" t="s">
        <v>22</v>
      </c>
      <c r="C495" s="198" t="s">
        <v>617</v>
      </c>
      <c r="D495" s="197" t="s">
        <v>618</v>
      </c>
      <c r="E495" s="199">
        <v>4.0</v>
      </c>
      <c r="F495" s="200">
        <v>45897.625</v>
      </c>
      <c r="G495" s="197" t="s">
        <v>845</v>
      </c>
      <c r="H495" s="197" t="s">
        <v>848</v>
      </c>
    </row>
    <row r="496" ht="15.75" customHeight="1">
      <c r="A496" s="197" t="s">
        <v>54</v>
      </c>
      <c r="B496" s="197" t="s">
        <v>22</v>
      </c>
      <c r="C496" s="198" t="s">
        <v>617</v>
      </c>
      <c r="D496" s="197" t="s">
        <v>618</v>
      </c>
      <c r="E496" s="199">
        <v>5.0</v>
      </c>
      <c r="F496" s="200">
        <v>45904.375</v>
      </c>
      <c r="G496" s="197" t="s">
        <v>845</v>
      </c>
      <c r="H496" s="197" t="s">
        <v>848</v>
      </c>
    </row>
    <row r="497" ht="15.75" customHeight="1">
      <c r="A497" s="197" t="s">
        <v>54</v>
      </c>
      <c r="B497" s="197" t="s">
        <v>22</v>
      </c>
      <c r="C497" s="198" t="s">
        <v>617</v>
      </c>
      <c r="D497" s="197" t="s">
        <v>618</v>
      </c>
      <c r="E497" s="199">
        <v>6.0</v>
      </c>
      <c r="F497" s="200">
        <v>45909.375</v>
      </c>
      <c r="G497" s="197" t="s">
        <v>843</v>
      </c>
      <c r="H497" s="197" t="s">
        <v>848</v>
      </c>
    </row>
    <row r="498" ht="15.75" customHeight="1">
      <c r="A498" s="197" t="s">
        <v>54</v>
      </c>
      <c r="B498" s="197" t="s">
        <v>22</v>
      </c>
      <c r="C498" s="198" t="s">
        <v>617</v>
      </c>
      <c r="D498" s="197" t="s">
        <v>618</v>
      </c>
      <c r="E498" s="199">
        <v>7.0</v>
      </c>
      <c r="F498" s="200">
        <v>45917.375</v>
      </c>
      <c r="G498" s="197" t="s">
        <v>845</v>
      </c>
      <c r="H498" s="197" t="s">
        <v>848</v>
      </c>
    </row>
    <row r="499" ht="15.75" customHeight="1">
      <c r="A499" s="197" t="s">
        <v>54</v>
      </c>
      <c r="B499" s="197" t="s">
        <v>22</v>
      </c>
      <c r="C499" s="198" t="s">
        <v>617</v>
      </c>
      <c r="D499" s="197" t="s">
        <v>618</v>
      </c>
      <c r="E499" s="199">
        <v>8.0</v>
      </c>
      <c r="F499" s="200">
        <v>45923.375</v>
      </c>
      <c r="G499" s="197" t="s">
        <v>843</v>
      </c>
      <c r="H499" s="197" t="s">
        <v>848</v>
      </c>
    </row>
    <row r="500" ht="15.75" customHeight="1">
      <c r="A500" s="197" t="s">
        <v>54</v>
      </c>
      <c r="B500" s="197" t="s">
        <v>22</v>
      </c>
      <c r="C500" s="198" t="s">
        <v>617</v>
      </c>
      <c r="D500" s="197" t="s">
        <v>618</v>
      </c>
      <c r="E500" s="199">
        <v>9.0</v>
      </c>
      <c r="F500" s="200">
        <v>45932.375</v>
      </c>
      <c r="G500" s="197" t="s">
        <v>845</v>
      </c>
      <c r="H500" s="197" t="s">
        <v>848</v>
      </c>
    </row>
    <row r="501" ht="15.75" customHeight="1">
      <c r="A501" s="197" t="s">
        <v>54</v>
      </c>
      <c r="B501" s="197" t="s">
        <v>22</v>
      </c>
      <c r="C501" s="198" t="s">
        <v>617</v>
      </c>
      <c r="D501" s="197" t="s">
        <v>618</v>
      </c>
      <c r="E501" s="199">
        <v>10.0</v>
      </c>
      <c r="F501" s="200">
        <v>45939.375</v>
      </c>
      <c r="G501" s="197" t="s">
        <v>845</v>
      </c>
      <c r="H501" s="197" t="s">
        <v>848</v>
      </c>
    </row>
    <row r="502" ht="15.75" customHeight="1">
      <c r="A502" s="197" t="s">
        <v>54</v>
      </c>
      <c r="B502" s="197" t="s">
        <v>22</v>
      </c>
      <c r="C502" s="198" t="s">
        <v>617</v>
      </c>
      <c r="D502" s="197" t="s">
        <v>618</v>
      </c>
      <c r="E502" s="199">
        <v>11.0</v>
      </c>
      <c r="F502" s="200">
        <v>45944.41666666667</v>
      </c>
      <c r="G502" s="197" t="s">
        <v>845</v>
      </c>
      <c r="H502" s="197" t="s">
        <v>848</v>
      </c>
    </row>
    <row r="503" ht="15.75" customHeight="1">
      <c r="A503" s="197" t="s">
        <v>54</v>
      </c>
      <c r="B503" s="197" t="s">
        <v>22</v>
      </c>
      <c r="C503" s="198" t="s">
        <v>617</v>
      </c>
      <c r="D503" s="197" t="s">
        <v>618</v>
      </c>
      <c r="E503" s="199">
        <v>12.0</v>
      </c>
      <c r="F503" s="200">
        <v>45966.41666666667</v>
      </c>
      <c r="G503" s="197" t="s">
        <v>845</v>
      </c>
      <c r="H503" s="197" t="s">
        <v>848</v>
      </c>
    </row>
    <row r="504" ht="15.75" customHeight="1">
      <c r="A504" s="197" t="s">
        <v>54</v>
      </c>
      <c r="B504" s="197" t="s">
        <v>22</v>
      </c>
      <c r="C504" s="198" t="s">
        <v>617</v>
      </c>
      <c r="D504" s="197" t="s">
        <v>618</v>
      </c>
      <c r="E504" s="199">
        <v>13.0</v>
      </c>
      <c r="F504" s="200">
        <v>46007.41666666667</v>
      </c>
      <c r="G504" s="197" t="s">
        <v>845</v>
      </c>
      <c r="H504" s="197" t="s">
        <v>848</v>
      </c>
    </row>
    <row r="505" ht="15.75" customHeight="1">
      <c r="A505" s="197" t="s">
        <v>54</v>
      </c>
      <c r="B505" s="197" t="s">
        <v>22</v>
      </c>
      <c r="C505" s="198" t="s">
        <v>617</v>
      </c>
      <c r="D505" s="197" t="s">
        <v>618</v>
      </c>
      <c r="E505" s="199">
        <v>14.0</v>
      </c>
      <c r="F505" s="200">
        <v>46021.41666666667</v>
      </c>
      <c r="G505" s="197" t="s">
        <v>845</v>
      </c>
      <c r="H505" s="197" t="s">
        <v>848</v>
      </c>
    </row>
    <row r="506" ht="15.75" customHeight="1">
      <c r="A506" s="197" t="s">
        <v>54</v>
      </c>
      <c r="B506" s="197" t="s">
        <v>22</v>
      </c>
      <c r="C506" s="198" t="s">
        <v>617</v>
      </c>
      <c r="D506" s="197" t="s">
        <v>618</v>
      </c>
      <c r="E506" s="199">
        <v>15.0</v>
      </c>
      <c r="F506" s="200">
        <v>46035.41666666667</v>
      </c>
      <c r="G506" s="197" t="s">
        <v>845</v>
      </c>
      <c r="H506" s="197" t="s">
        <v>848</v>
      </c>
    </row>
    <row r="507" ht="15.75" customHeight="1">
      <c r="A507" s="197" t="s">
        <v>54</v>
      </c>
      <c r="B507" s="197" t="s">
        <v>22</v>
      </c>
      <c r="C507" s="198" t="s">
        <v>617</v>
      </c>
      <c r="D507" s="197" t="s">
        <v>618</v>
      </c>
      <c r="E507" s="199">
        <v>16.0</v>
      </c>
      <c r="F507" s="200">
        <v>46084.41666666667</v>
      </c>
      <c r="G507" s="197" t="s">
        <v>845</v>
      </c>
      <c r="H507" s="197" t="s">
        <v>848</v>
      </c>
    </row>
    <row r="508" ht="15.75" customHeight="1">
      <c r="A508" s="197" t="s">
        <v>54</v>
      </c>
      <c r="B508" s="197" t="s">
        <v>21</v>
      </c>
      <c r="C508" s="198" t="s">
        <v>695</v>
      </c>
      <c r="D508" s="197" t="s">
        <v>696</v>
      </c>
      <c r="E508" s="199">
        <v>1.0</v>
      </c>
      <c r="F508" s="200">
        <v>45639.58333333333</v>
      </c>
      <c r="G508" s="197" t="s">
        <v>845</v>
      </c>
      <c r="H508" s="197" t="s">
        <v>848</v>
      </c>
    </row>
    <row r="509" ht="15.75" customHeight="1">
      <c r="A509" s="197" t="s">
        <v>54</v>
      </c>
      <c r="B509" s="197" t="s">
        <v>21</v>
      </c>
      <c r="C509" s="198" t="s">
        <v>695</v>
      </c>
      <c r="D509" s="197" t="s">
        <v>696</v>
      </c>
      <c r="E509" s="199">
        <v>2.0</v>
      </c>
      <c r="F509" s="200">
        <v>45672.41666666667</v>
      </c>
      <c r="G509" s="197" t="s">
        <v>845</v>
      </c>
      <c r="H509" s="197" t="s">
        <v>848</v>
      </c>
    </row>
    <row r="510" ht="15.75" customHeight="1">
      <c r="A510" s="197" t="s">
        <v>54</v>
      </c>
      <c r="B510" s="197" t="s">
        <v>21</v>
      </c>
      <c r="C510" s="198" t="s">
        <v>695</v>
      </c>
      <c r="D510" s="197" t="s">
        <v>696</v>
      </c>
      <c r="E510" s="199">
        <v>3.0</v>
      </c>
      <c r="F510" s="200">
        <v>45702.58333333333</v>
      </c>
      <c r="G510" s="197" t="s">
        <v>845</v>
      </c>
      <c r="H510" s="197" t="s">
        <v>848</v>
      </c>
    </row>
    <row r="511" ht="15.75" customHeight="1">
      <c r="A511" s="197" t="s">
        <v>54</v>
      </c>
      <c r="B511" s="197" t="s">
        <v>21</v>
      </c>
      <c r="C511" s="198" t="s">
        <v>695</v>
      </c>
      <c r="D511" s="197" t="s">
        <v>696</v>
      </c>
      <c r="E511" s="199">
        <v>4.0</v>
      </c>
      <c r="F511" s="200">
        <v>45709.375</v>
      </c>
      <c r="G511" s="197" t="s">
        <v>845</v>
      </c>
      <c r="H511" s="197" t="s">
        <v>848</v>
      </c>
    </row>
    <row r="512" ht="15.75" customHeight="1">
      <c r="A512" s="197" t="s">
        <v>54</v>
      </c>
      <c r="B512" s="197" t="s">
        <v>21</v>
      </c>
      <c r="C512" s="198" t="s">
        <v>695</v>
      </c>
      <c r="D512" s="197" t="s">
        <v>696</v>
      </c>
      <c r="E512" s="199">
        <v>5.0</v>
      </c>
      <c r="F512" s="200">
        <v>45716.375</v>
      </c>
      <c r="G512" s="197" t="s">
        <v>845</v>
      </c>
      <c r="H512" s="197" t="s">
        <v>848</v>
      </c>
    </row>
    <row r="513" ht="15.75" customHeight="1">
      <c r="A513" s="197" t="s">
        <v>54</v>
      </c>
      <c r="B513" s="197" t="s">
        <v>21</v>
      </c>
      <c r="C513" s="198" t="s">
        <v>695</v>
      </c>
      <c r="D513" s="197" t="s">
        <v>696</v>
      </c>
      <c r="E513" s="199">
        <v>6.0</v>
      </c>
      <c r="F513" s="200">
        <v>45764.375</v>
      </c>
      <c r="G513" s="197" t="s">
        <v>845</v>
      </c>
      <c r="H513" s="197" t="s">
        <v>848</v>
      </c>
    </row>
    <row r="514" ht="15.75" customHeight="1">
      <c r="A514" s="197" t="s">
        <v>54</v>
      </c>
      <c r="B514" s="197" t="s">
        <v>21</v>
      </c>
      <c r="C514" s="198" t="s">
        <v>695</v>
      </c>
      <c r="D514" s="197" t="s">
        <v>696</v>
      </c>
      <c r="E514" s="199">
        <v>7.0</v>
      </c>
      <c r="F514" s="200">
        <v>45716.375</v>
      </c>
      <c r="G514" s="197" t="s">
        <v>843</v>
      </c>
      <c r="H514" s="197" t="s">
        <v>848</v>
      </c>
    </row>
    <row r="515" ht="15.75" customHeight="1">
      <c r="A515" s="197" t="s">
        <v>54</v>
      </c>
      <c r="B515" s="197" t="s">
        <v>21</v>
      </c>
      <c r="C515" s="198" t="s">
        <v>695</v>
      </c>
      <c r="D515" s="197" t="s">
        <v>696</v>
      </c>
      <c r="E515" s="199">
        <v>8.0</v>
      </c>
      <c r="F515" s="200">
        <v>45785.41666666667</v>
      </c>
      <c r="G515" s="197" t="s">
        <v>845</v>
      </c>
      <c r="H515" s="197" t="s">
        <v>848</v>
      </c>
    </row>
    <row r="516" ht="15.75" customHeight="1">
      <c r="A516" s="197" t="s">
        <v>54</v>
      </c>
      <c r="B516" s="197" t="s">
        <v>21</v>
      </c>
      <c r="C516" s="198" t="s">
        <v>695</v>
      </c>
      <c r="D516" s="197" t="s">
        <v>696</v>
      </c>
      <c r="E516" s="199">
        <v>9.0</v>
      </c>
      <c r="F516" s="200">
        <v>45792.41666666667</v>
      </c>
      <c r="G516" s="197" t="s">
        <v>845</v>
      </c>
      <c r="H516" s="197" t="s">
        <v>848</v>
      </c>
    </row>
    <row r="517" ht="15.75" customHeight="1">
      <c r="A517" s="197" t="s">
        <v>54</v>
      </c>
      <c r="B517" s="197" t="s">
        <v>21</v>
      </c>
      <c r="C517" s="198" t="s">
        <v>695</v>
      </c>
      <c r="D517" s="197" t="s">
        <v>696</v>
      </c>
      <c r="E517" s="199">
        <v>10.0</v>
      </c>
      <c r="F517" s="200">
        <v>45820.375</v>
      </c>
      <c r="G517" s="197" t="s">
        <v>845</v>
      </c>
      <c r="H517" s="197" t="s">
        <v>848</v>
      </c>
    </row>
    <row r="518" ht="15.75" customHeight="1">
      <c r="A518" s="197" t="s">
        <v>54</v>
      </c>
      <c r="B518" s="197" t="s">
        <v>22</v>
      </c>
      <c r="C518" s="198" t="s">
        <v>695</v>
      </c>
      <c r="D518" s="197" t="s">
        <v>696</v>
      </c>
      <c r="E518" s="199">
        <v>1.0</v>
      </c>
      <c r="F518" s="200">
        <v>45869.58333333333</v>
      </c>
      <c r="G518" s="197" t="s">
        <v>843</v>
      </c>
      <c r="H518" s="197" t="s">
        <v>848</v>
      </c>
    </row>
    <row r="519" ht="15.75" customHeight="1">
      <c r="A519" s="197" t="s">
        <v>54</v>
      </c>
      <c r="B519" s="197" t="s">
        <v>22</v>
      </c>
      <c r="C519" s="198" t="s">
        <v>695</v>
      </c>
      <c r="D519" s="197" t="s">
        <v>696</v>
      </c>
      <c r="E519" s="199">
        <v>2.0</v>
      </c>
      <c r="F519" s="200">
        <v>45881.375</v>
      </c>
      <c r="G519" s="197" t="s">
        <v>843</v>
      </c>
      <c r="H519" s="197" t="s">
        <v>848</v>
      </c>
    </row>
    <row r="520" ht="15.75" customHeight="1">
      <c r="A520" s="197" t="s">
        <v>54</v>
      </c>
      <c r="B520" s="197" t="s">
        <v>22</v>
      </c>
      <c r="C520" s="198" t="s">
        <v>695</v>
      </c>
      <c r="D520" s="197" t="s">
        <v>696</v>
      </c>
      <c r="E520" s="199">
        <v>3.0</v>
      </c>
      <c r="F520" s="200">
        <v>45890.375</v>
      </c>
      <c r="G520" s="197" t="s">
        <v>843</v>
      </c>
      <c r="H520" s="197" t="s">
        <v>848</v>
      </c>
    </row>
    <row r="521" ht="15.75" customHeight="1">
      <c r="A521" s="197" t="s">
        <v>54</v>
      </c>
      <c r="B521" s="197" t="s">
        <v>22</v>
      </c>
      <c r="C521" s="198" t="s">
        <v>695</v>
      </c>
      <c r="D521" s="197" t="s">
        <v>696</v>
      </c>
      <c r="E521" s="199">
        <v>4.0</v>
      </c>
      <c r="F521" s="200">
        <v>45897.625</v>
      </c>
      <c r="G521" s="197" t="s">
        <v>843</v>
      </c>
      <c r="H521" s="197" t="s">
        <v>848</v>
      </c>
    </row>
    <row r="522" ht="15.75" customHeight="1">
      <c r="A522" s="197" t="s">
        <v>54</v>
      </c>
      <c r="B522" s="197" t="s">
        <v>22</v>
      </c>
      <c r="C522" s="198" t="s">
        <v>695</v>
      </c>
      <c r="D522" s="197" t="s">
        <v>696</v>
      </c>
      <c r="E522" s="199">
        <v>5.0</v>
      </c>
      <c r="F522" s="200">
        <v>45904.375</v>
      </c>
      <c r="G522" s="197" t="s">
        <v>843</v>
      </c>
      <c r="H522" s="197" t="s">
        <v>848</v>
      </c>
    </row>
    <row r="523" ht="15.75" customHeight="1">
      <c r="A523" s="197" t="s">
        <v>54</v>
      </c>
      <c r="B523" s="197" t="s">
        <v>22</v>
      </c>
      <c r="C523" s="198" t="s">
        <v>695</v>
      </c>
      <c r="D523" s="197" t="s">
        <v>696</v>
      </c>
      <c r="E523" s="199">
        <v>6.0</v>
      </c>
      <c r="F523" s="200">
        <v>45909.375</v>
      </c>
      <c r="G523" s="197" t="s">
        <v>843</v>
      </c>
      <c r="H523" s="197" t="s">
        <v>848</v>
      </c>
    </row>
    <row r="524" ht="15.75" customHeight="1">
      <c r="A524" s="197" t="s">
        <v>54</v>
      </c>
      <c r="B524" s="197" t="s">
        <v>22</v>
      </c>
      <c r="C524" s="198" t="s">
        <v>695</v>
      </c>
      <c r="D524" s="197" t="s">
        <v>696</v>
      </c>
      <c r="E524" s="199">
        <v>7.0</v>
      </c>
      <c r="F524" s="200">
        <v>45917.375</v>
      </c>
      <c r="G524" s="197" t="s">
        <v>843</v>
      </c>
      <c r="H524" s="197" t="s">
        <v>848</v>
      </c>
    </row>
    <row r="525" ht="15.75" customHeight="1">
      <c r="A525" s="197" t="s">
        <v>54</v>
      </c>
      <c r="B525" s="197" t="s">
        <v>22</v>
      </c>
      <c r="C525" s="198" t="s">
        <v>695</v>
      </c>
      <c r="D525" s="197" t="s">
        <v>696</v>
      </c>
      <c r="E525" s="199">
        <v>8.0</v>
      </c>
      <c r="F525" s="200">
        <v>45923.375</v>
      </c>
      <c r="G525" s="197" t="s">
        <v>843</v>
      </c>
      <c r="H525" s="197" t="s">
        <v>848</v>
      </c>
    </row>
    <row r="526" ht="15.75" customHeight="1">
      <c r="A526" s="197" t="s">
        <v>54</v>
      </c>
      <c r="B526" s="197" t="s">
        <v>22</v>
      </c>
      <c r="C526" s="198" t="s">
        <v>695</v>
      </c>
      <c r="D526" s="197" t="s">
        <v>696</v>
      </c>
      <c r="E526" s="199">
        <v>9.0</v>
      </c>
      <c r="F526" s="200">
        <v>45932.375</v>
      </c>
      <c r="G526" s="197" t="s">
        <v>843</v>
      </c>
      <c r="H526" s="197" t="s">
        <v>848</v>
      </c>
    </row>
    <row r="527" ht="15.75" customHeight="1">
      <c r="A527" s="197" t="s">
        <v>54</v>
      </c>
      <c r="B527" s="197" t="s">
        <v>22</v>
      </c>
      <c r="C527" s="198" t="s">
        <v>695</v>
      </c>
      <c r="D527" s="197" t="s">
        <v>696</v>
      </c>
      <c r="E527" s="199">
        <v>10.0</v>
      </c>
      <c r="F527" s="200">
        <v>45939.375</v>
      </c>
      <c r="G527" s="197" t="s">
        <v>843</v>
      </c>
      <c r="H527" s="197" t="s">
        <v>848</v>
      </c>
    </row>
    <row r="528" ht="15.75" customHeight="1">
      <c r="A528" s="197" t="s">
        <v>54</v>
      </c>
      <c r="B528" s="197" t="s">
        <v>22</v>
      </c>
      <c r="C528" s="198" t="s">
        <v>695</v>
      </c>
      <c r="D528" s="197" t="s">
        <v>696</v>
      </c>
      <c r="E528" s="199">
        <v>11.0</v>
      </c>
      <c r="F528" s="200">
        <v>45944.41666666667</v>
      </c>
      <c r="G528" s="197" t="s">
        <v>843</v>
      </c>
      <c r="H528" s="197" t="s">
        <v>848</v>
      </c>
    </row>
    <row r="529" ht="15.75" customHeight="1">
      <c r="A529" s="197" t="s">
        <v>54</v>
      </c>
      <c r="B529" s="197" t="s">
        <v>22</v>
      </c>
      <c r="C529" s="198" t="s">
        <v>695</v>
      </c>
      <c r="D529" s="197" t="s">
        <v>696</v>
      </c>
      <c r="E529" s="199">
        <v>12.0</v>
      </c>
      <c r="F529" s="200">
        <v>45966.41666666667</v>
      </c>
      <c r="G529" s="197" t="s">
        <v>843</v>
      </c>
      <c r="H529" s="197" t="s">
        <v>848</v>
      </c>
    </row>
    <row r="530" ht="15.75" customHeight="1">
      <c r="A530" s="197" t="s">
        <v>54</v>
      </c>
      <c r="B530" s="197" t="s">
        <v>22</v>
      </c>
      <c r="C530" s="198" t="s">
        <v>695</v>
      </c>
      <c r="D530" s="197" t="s">
        <v>696</v>
      </c>
      <c r="E530" s="199">
        <v>13.0</v>
      </c>
      <c r="F530" s="200">
        <v>46007.41666666667</v>
      </c>
      <c r="G530" s="197" t="s">
        <v>843</v>
      </c>
      <c r="H530" s="197" t="s">
        <v>848</v>
      </c>
    </row>
    <row r="531" ht="15.75" customHeight="1">
      <c r="A531" s="197" t="s">
        <v>54</v>
      </c>
      <c r="B531" s="197" t="s">
        <v>22</v>
      </c>
      <c r="C531" s="198" t="s">
        <v>695</v>
      </c>
      <c r="D531" s="197" t="s">
        <v>696</v>
      </c>
      <c r="E531" s="199">
        <v>14.0</v>
      </c>
      <c r="F531" s="200">
        <v>46021.41666666667</v>
      </c>
      <c r="G531" s="197" t="s">
        <v>843</v>
      </c>
      <c r="H531" s="197" t="s">
        <v>848</v>
      </c>
    </row>
    <row r="532" ht="15.75" customHeight="1">
      <c r="A532" s="197" t="s">
        <v>54</v>
      </c>
      <c r="B532" s="197" t="s">
        <v>22</v>
      </c>
      <c r="C532" s="198" t="s">
        <v>695</v>
      </c>
      <c r="D532" s="197" t="s">
        <v>696</v>
      </c>
      <c r="E532" s="199">
        <v>15.0</v>
      </c>
      <c r="F532" s="200">
        <v>46035.41666666667</v>
      </c>
      <c r="G532" s="197" t="s">
        <v>843</v>
      </c>
      <c r="H532" s="197" t="s">
        <v>848</v>
      </c>
    </row>
    <row r="533" ht="15.75" customHeight="1">
      <c r="A533" s="197" t="s">
        <v>54</v>
      </c>
      <c r="B533" s="197" t="s">
        <v>22</v>
      </c>
      <c r="C533" s="198" t="s">
        <v>695</v>
      </c>
      <c r="D533" s="197" t="s">
        <v>696</v>
      </c>
      <c r="E533" s="199">
        <v>16.0</v>
      </c>
      <c r="F533" s="200">
        <v>46084.41666666667</v>
      </c>
      <c r="G533" s="197" t="s">
        <v>843</v>
      </c>
      <c r="H533" s="197" t="s">
        <v>848</v>
      </c>
    </row>
    <row r="534" ht="15.75" customHeight="1">
      <c r="A534" s="197" t="s">
        <v>55</v>
      </c>
      <c r="B534" s="197" t="s">
        <v>21</v>
      </c>
      <c r="C534" s="198" t="s">
        <v>294</v>
      </c>
      <c r="D534" s="197" t="s">
        <v>295</v>
      </c>
      <c r="E534" s="199">
        <v>1.0</v>
      </c>
      <c r="F534" s="200">
        <v>45639.625</v>
      </c>
      <c r="G534" s="197" t="s">
        <v>845</v>
      </c>
      <c r="H534" s="197" t="s">
        <v>849</v>
      </c>
    </row>
    <row r="535" ht="15.75" customHeight="1">
      <c r="A535" s="197" t="s">
        <v>55</v>
      </c>
      <c r="B535" s="197" t="s">
        <v>21</v>
      </c>
      <c r="C535" s="198" t="s">
        <v>294</v>
      </c>
      <c r="D535" s="197" t="s">
        <v>295</v>
      </c>
      <c r="E535" s="199">
        <v>2.0</v>
      </c>
      <c r="F535" s="200">
        <v>45649.45833333333</v>
      </c>
      <c r="G535" s="197" t="s">
        <v>845</v>
      </c>
      <c r="H535" s="197" t="s">
        <v>849</v>
      </c>
    </row>
    <row r="536" ht="15.75" customHeight="1">
      <c r="A536" s="197" t="s">
        <v>55</v>
      </c>
      <c r="B536" s="197" t="s">
        <v>21</v>
      </c>
      <c r="C536" s="198" t="s">
        <v>294</v>
      </c>
      <c r="D536" s="197" t="s">
        <v>295</v>
      </c>
      <c r="E536" s="199">
        <v>3.0</v>
      </c>
      <c r="F536" s="200">
        <v>45670.58333333333</v>
      </c>
      <c r="G536" s="197" t="s">
        <v>845</v>
      </c>
      <c r="H536" s="197" t="s">
        <v>849</v>
      </c>
    </row>
    <row r="537" ht="15.75" customHeight="1">
      <c r="A537" s="197" t="s">
        <v>55</v>
      </c>
      <c r="B537" s="197" t="s">
        <v>21</v>
      </c>
      <c r="C537" s="198" t="s">
        <v>294</v>
      </c>
      <c r="D537" s="197" t="s">
        <v>295</v>
      </c>
      <c r="E537" s="199">
        <v>4.0</v>
      </c>
      <c r="F537" s="200">
        <v>45693.54166666667</v>
      </c>
      <c r="G537" s="197" t="s">
        <v>845</v>
      </c>
      <c r="H537" s="197" t="s">
        <v>849</v>
      </c>
    </row>
    <row r="538" ht="15.75" customHeight="1">
      <c r="A538" s="197" t="s">
        <v>55</v>
      </c>
      <c r="B538" s="197" t="s">
        <v>21</v>
      </c>
      <c r="C538" s="198" t="s">
        <v>294</v>
      </c>
      <c r="D538" s="197" t="s">
        <v>295</v>
      </c>
      <c r="E538" s="199">
        <v>5.0</v>
      </c>
      <c r="F538" s="200">
        <v>45707.54166666667</v>
      </c>
      <c r="G538" s="197" t="s">
        <v>845</v>
      </c>
      <c r="H538" s="197" t="s">
        <v>849</v>
      </c>
    </row>
    <row r="539" ht="15.75" customHeight="1">
      <c r="A539" s="197" t="s">
        <v>55</v>
      </c>
      <c r="B539" s="197" t="s">
        <v>21</v>
      </c>
      <c r="C539" s="198" t="s">
        <v>294</v>
      </c>
      <c r="D539" s="197" t="s">
        <v>295</v>
      </c>
      <c r="E539" s="199">
        <v>6.0</v>
      </c>
      <c r="F539" s="200">
        <v>45715.54166666667</v>
      </c>
      <c r="G539" s="197" t="s">
        <v>845</v>
      </c>
      <c r="H539" s="197" t="s">
        <v>849</v>
      </c>
    </row>
    <row r="540" ht="15.75" customHeight="1">
      <c r="A540" s="197" t="s">
        <v>55</v>
      </c>
      <c r="B540" s="197" t="s">
        <v>21</v>
      </c>
      <c r="C540" s="198" t="s">
        <v>294</v>
      </c>
      <c r="D540" s="197" t="s">
        <v>295</v>
      </c>
      <c r="E540" s="199">
        <v>7.0</v>
      </c>
      <c r="F540" s="200">
        <v>45764.54166666667</v>
      </c>
      <c r="G540" s="197" t="s">
        <v>843</v>
      </c>
      <c r="H540" s="197" t="s">
        <v>849</v>
      </c>
    </row>
    <row r="541" ht="15.75" customHeight="1">
      <c r="A541" s="197" t="s">
        <v>55</v>
      </c>
      <c r="B541" s="197" t="s">
        <v>21</v>
      </c>
      <c r="C541" s="198" t="s">
        <v>294</v>
      </c>
      <c r="D541" s="197" t="s">
        <v>295</v>
      </c>
      <c r="E541" s="199">
        <v>8.0</v>
      </c>
      <c r="F541" s="200">
        <v>45782.58333333333</v>
      </c>
      <c r="G541" s="197" t="s">
        <v>845</v>
      </c>
      <c r="H541" s="197" t="s">
        <v>849</v>
      </c>
    </row>
    <row r="542" ht="15.75" customHeight="1">
      <c r="A542" s="197" t="s">
        <v>55</v>
      </c>
      <c r="B542" s="197" t="s">
        <v>21</v>
      </c>
      <c r="C542" s="198" t="s">
        <v>294</v>
      </c>
      <c r="D542" s="197" t="s">
        <v>295</v>
      </c>
      <c r="E542" s="199">
        <v>9.0</v>
      </c>
      <c r="F542" s="200">
        <v>45803.58333333333</v>
      </c>
      <c r="G542" s="197" t="s">
        <v>845</v>
      </c>
      <c r="H542" s="197" t="s">
        <v>849</v>
      </c>
    </row>
    <row r="543" ht="15.75" customHeight="1">
      <c r="A543" s="197" t="s">
        <v>55</v>
      </c>
      <c r="B543" s="197" t="s">
        <v>21</v>
      </c>
      <c r="C543" s="198" t="s">
        <v>294</v>
      </c>
      <c r="D543" s="197" t="s">
        <v>295</v>
      </c>
      <c r="E543" s="199">
        <v>10.0</v>
      </c>
      <c r="F543" s="200">
        <v>45839.58333333333</v>
      </c>
      <c r="G543" s="197" t="s">
        <v>845</v>
      </c>
      <c r="H543" s="197" t="s">
        <v>849</v>
      </c>
    </row>
    <row r="544" ht="15.75" customHeight="1">
      <c r="A544" s="197" t="s">
        <v>55</v>
      </c>
      <c r="B544" s="197" t="s">
        <v>21</v>
      </c>
      <c r="C544" s="198" t="s">
        <v>330</v>
      </c>
      <c r="D544" s="197" t="s">
        <v>331</v>
      </c>
      <c r="E544" s="199">
        <v>1.0</v>
      </c>
      <c r="F544" s="200">
        <v>45637.41666666667</v>
      </c>
      <c r="G544" s="197" t="s">
        <v>845</v>
      </c>
      <c r="H544" s="197" t="s">
        <v>849</v>
      </c>
    </row>
    <row r="545" ht="15.75" customHeight="1">
      <c r="A545" s="197" t="s">
        <v>55</v>
      </c>
      <c r="B545" s="197" t="s">
        <v>21</v>
      </c>
      <c r="C545" s="198" t="s">
        <v>330</v>
      </c>
      <c r="D545" s="197" t="s">
        <v>331</v>
      </c>
      <c r="E545" s="199">
        <v>2.0</v>
      </c>
      <c r="F545" s="200">
        <v>45656.45833333333</v>
      </c>
      <c r="G545" s="197" t="s">
        <v>845</v>
      </c>
      <c r="H545" s="197" t="s">
        <v>849</v>
      </c>
    </row>
    <row r="546" ht="15.75" customHeight="1">
      <c r="A546" s="197" t="s">
        <v>55</v>
      </c>
      <c r="B546" s="197" t="s">
        <v>21</v>
      </c>
      <c r="C546" s="198" t="s">
        <v>330</v>
      </c>
      <c r="D546" s="197" t="s">
        <v>331</v>
      </c>
      <c r="E546" s="199">
        <v>3.0</v>
      </c>
      <c r="F546" s="200">
        <v>45670.58333333333</v>
      </c>
      <c r="G546" s="197" t="s">
        <v>845</v>
      </c>
      <c r="H546" s="197" t="s">
        <v>849</v>
      </c>
    </row>
    <row r="547" ht="15.75" customHeight="1">
      <c r="A547" s="197" t="s">
        <v>55</v>
      </c>
      <c r="B547" s="197" t="s">
        <v>21</v>
      </c>
      <c r="C547" s="198" t="s">
        <v>330</v>
      </c>
      <c r="D547" s="197" t="s">
        <v>331</v>
      </c>
      <c r="E547" s="199">
        <v>4.0</v>
      </c>
      <c r="F547" s="200">
        <v>45693.54166666667</v>
      </c>
      <c r="G547" s="197" t="s">
        <v>845</v>
      </c>
      <c r="H547" s="197" t="s">
        <v>849</v>
      </c>
    </row>
    <row r="548" ht="15.75" customHeight="1">
      <c r="A548" s="197" t="s">
        <v>55</v>
      </c>
      <c r="B548" s="197" t="s">
        <v>21</v>
      </c>
      <c r="C548" s="198" t="s">
        <v>330</v>
      </c>
      <c r="D548" s="197" t="s">
        <v>331</v>
      </c>
      <c r="E548" s="199">
        <v>5.0</v>
      </c>
      <c r="F548" s="200">
        <v>45707.54166666667</v>
      </c>
      <c r="G548" s="197" t="s">
        <v>845</v>
      </c>
      <c r="H548" s="197" t="s">
        <v>849</v>
      </c>
    </row>
    <row r="549" ht="15.75" customHeight="1">
      <c r="A549" s="197" t="s">
        <v>55</v>
      </c>
      <c r="B549" s="197" t="s">
        <v>21</v>
      </c>
      <c r="C549" s="198" t="s">
        <v>330</v>
      </c>
      <c r="D549" s="197" t="s">
        <v>331</v>
      </c>
      <c r="E549" s="199">
        <v>6.0</v>
      </c>
      <c r="F549" s="200">
        <v>45715.54166666667</v>
      </c>
      <c r="G549" s="197" t="s">
        <v>845</v>
      </c>
      <c r="H549" s="197" t="s">
        <v>849</v>
      </c>
    </row>
    <row r="550" ht="15.75" customHeight="1">
      <c r="A550" s="197" t="s">
        <v>55</v>
      </c>
      <c r="B550" s="197" t="s">
        <v>21</v>
      </c>
      <c r="C550" s="198" t="s">
        <v>330</v>
      </c>
      <c r="D550" s="197" t="s">
        <v>331</v>
      </c>
      <c r="E550" s="199">
        <v>7.0</v>
      </c>
      <c r="F550" s="200">
        <v>45764.54166666667</v>
      </c>
      <c r="G550" s="197" t="s">
        <v>845</v>
      </c>
      <c r="H550" s="197" t="s">
        <v>849</v>
      </c>
    </row>
    <row r="551" ht="15.75" customHeight="1">
      <c r="A551" s="197" t="s">
        <v>55</v>
      </c>
      <c r="B551" s="197" t="s">
        <v>21</v>
      </c>
      <c r="C551" s="198" t="s">
        <v>330</v>
      </c>
      <c r="D551" s="197" t="s">
        <v>331</v>
      </c>
      <c r="E551" s="199">
        <v>8.0</v>
      </c>
      <c r="F551" s="200">
        <v>45782.54166666667</v>
      </c>
      <c r="G551" s="197" t="s">
        <v>845</v>
      </c>
      <c r="H551" s="197" t="s">
        <v>849</v>
      </c>
    </row>
    <row r="552" ht="15.75" customHeight="1">
      <c r="A552" s="197" t="s">
        <v>55</v>
      </c>
      <c r="B552" s="197" t="s">
        <v>21</v>
      </c>
      <c r="C552" s="198" t="s">
        <v>330</v>
      </c>
      <c r="D552" s="197" t="s">
        <v>331</v>
      </c>
      <c r="E552" s="199">
        <v>9.0</v>
      </c>
      <c r="F552" s="200">
        <v>45803.58333333333</v>
      </c>
      <c r="G552" s="197" t="s">
        <v>843</v>
      </c>
      <c r="H552" s="197" t="s">
        <v>849</v>
      </c>
    </row>
    <row r="553" ht="15.75" customHeight="1">
      <c r="A553" s="197" t="s">
        <v>55</v>
      </c>
      <c r="B553" s="197" t="s">
        <v>21</v>
      </c>
      <c r="C553" s="198" t="s">
        <v>330</v>
      </c>
      <c r="D553" s="197" t="s">
        <v>331</v>
      </c>
      <c r="E553" s="199">
        <v>10.0</v>
      </c>
      <c r="F553" s="200">
        <v>45839.58333333333</v>
      </c>
      <c r="G553" s="197" t="s">
        <v>845</v>
      </c>
      <c r="H553" s="197" t="s">
        <v>849</v>
      </c>
    </row>
    <row r="554" ht="15.75" customHeight="1">
      <c r="A554" s="197" t="s">
        <v>55</v>
      </c>
      <c r="B554" s="197" t="s">
        <v>21</v>
      </c>
      <c r="C554" s="198" t="s">
        <v>411</v>
      </c>
      <c r="D554" s="197" t="s">
        <v>412</v>
      </c>
      <c r="E554" s="199">
        <v>1.0</v>
      </c>
      <c r="F554" s="200">
        <v>45637.41666666667</v>
      </c>
      <c r="G554" s="197" t="s">
        <v>845</v>
      </c>
      <c r="H554" s="197" t="s">
        <v>849</v>
      </c>
    </row>
    <row r="555" ht="15.75" customHeight="1">
      <c r="A555" s="197" t="s">
        <v>55</v>
      </c>
      <c r="B555" s="197" t="s">
        <v>21</v>
      </c>
      <c r="C555" s="198" t="s">
        <v>411</v>
      </c>
      <c r="D555" s="197" t="s">
        <v>412</v>
      </c>
      <c r="E555" s="199">
        <v>2.0</v>
      </c>
      <c r="F555" s="200">
        <v>45656.45833333333</v>
      </c>
      <c r="G555" s="197" t="s">
        <v>845</v>
      </c>
      <c r="H555" s="197" t="s">
        <v>849</v>
      </c>
    </row>
    <row r="556" ht="15.75" customHeight="1">
      <c r="A556" s="197" t="s">
        <v>55</v>
      </c>
      <c r="B556" s="197" t="s">
        <v>21</v>
      </c>
      <c r="C556" s="198" t="s">
        <v>411</v>
      </c>
      <c r="D556" s="197" t="s">
        <v>412</v>
      </c>
      <c r="E556" s="199">
        <v>3.0</v>
      </c>
      <c r="F556" s="200">
        <v>45670.58333333333</v>
      </c>
      <c r="G556" s="197" t="s">
        <v>845</v>
      </c>
      <c r="H556" s="197" t="s">
        <v>849</v>
      </c>
    </row>
    <row r="557" ht="15.75" customHeight="1">
      <c r="A557" s="197" t="s">
        <v>55</v>
      </c>
      <c r="B557" s="197" t="s">
        <v>21</v>
      </c>
      <c r="C557" s="198" t="s">
        <v>411</v>
      </c>
      <c r="D557" s="197" t="s">
        <v>412</v>
      </c>
      <c r="E557" s="199">
        <v>4.0</v>
      </c>
      <c r="F557" s="200">
        <v>45693.54166666667</v>
      </c>
      <c r="G557" s="197" t="s">
        <v>845</v>
      </c>
      <c r="H557" s="197" t="s">
        <v>849</v>
      </c>
    </row>
    <row r="558" ht="15.75" customHeight="1">
      <c r="A558" s="197" t="s">
        <v>55</v>
      </c>
      <c r="B558" s="197" t="s">
        <v>21</v>
      </c>
      <c r="C558" s="198" t="s">
        <v>411</v>
      </c>
      <c r="D558" s="197" t="s">
        <v>412</v>
      </c>
      <c r="E558" s="199">
        <v>5.0</v>
      </c>
      <c r="F558" s="200">
        <v>45707.54166666667</v>
      </c>
      <c r="G558" s="197" t="s">
        <v>845</v>
      </c>
      <c r="H558" s="197" t="s">
        <v>849</v>
      </c>
    </row>
    <row r="559" ht="15.75" customHeight="1">
      <c r="A559" s="197" t="s">
        <v>55</v>
      </c>
      <c r="B559" s="197" t="s">
        <v>21</v>
      </c>
      <c r="C559" s="198" t="s">
        <v>411</v>
      </c>
      <c r="D559" s="197" t="s">
        <v>412</v>
      </c>
      <c r="E559" s="199">
        <v>6.0</v>
      </c>
      <c r="F559" s="200">
        <v>45715.54166666667</v>
      </c>
      <c r="G559" s="197" t="s">
        <v>845</v>
      </c>
      <c r="H559" s="197" t="s">
        <v>849</v>
      </c>
    </row>
    <row r="560" ht="15.75" customHeight="1">
      <c r="A560" s="197" t="s">
        <v>55</v>
      </c>
      <c r="B560" s="197" t="s">
        <v>21</v>
      </c>
      <c r="C560" s="198" t="s">
        <v>411</v>
      </c>
      <c r="D560" s="197" t="s">
        <v>412</v>
      </c>
      <c r="E560" s="199">
        <v>7.0</v>
      </c>
      <c r="F560" s="200">
        <v>45764.54166666667</v>
      </c>
      <c r="G560" s="197" t="s">
        <v>845</v>
      </c>
      <c r="H560" s="197" t="s">
        <v>849</v>
      </c>
    </row>
    <row r="561" ht="15.75" customHeight="1">
      <c r="A561" s="197" t="s">
        <v>55</v>
      </c>
      <c r="B561" s="197" t="s">
        <v>21</v>
      </c>
      <c r="C561" s="198" t="s">
        <v>411</v>
      </c>
      <c r="D561" s="197" t="s">
        <v>412</v>
      </c>
      <c r="E561" s="199">
        <v>8.0</v>
      </c>
      <c r="F561" s="200">
        <v>45782.58333333333</v>
      </c>
      <c r="G561" s="197" t="s">
        <v>843</v>
      </c>
      <c r="H561" s="197" t="s">
        <v>849</v>
      </c>
    </row>
    <row r="562" ht="15.75" customHeight="1">
      <c r="A562" s="197" t="s">
        <v>55</v>
      </c>
      <c r="B562" s="197" t="s">
        <v>21</v>
      </c>
      <c r="C562" s="198" t="s">
        <v>411</v>
      </c>
      <c r="D562" s="197" t="s">
        <v>412</v>
      </c>
      <c r="E562" s="199">
        <v>9.0</v>
      </c>
      <c r="F562" s="200">
        <v>45803.58333333333</v>
      </c>
      <c r="G562" s="197" t="s">
        <v>845</v>
      </c>
      <c r="H562" s="197" t="s">
        <v>849</v>
      </c>
    </row>
    <row r="563" ht="15.75" customHeight="1">
      <c r="A563" s="197" t="s">
        <v>55</v>
      </c>
      <c r="B563" s="197" t="s">
        <v>21</v>
      </c>
      <c r="C563" s="198" t="s">
        <v>411</v>
      </c>
      <c r="D563" s="197" t="s">
        <v>412</v>
      </c>
      <c r="E563" s="199">
        <v>10.0</v>
      </c>
      <c r="F563" s="200">
        <v>45839.58333333333</v>
      </c>
      <c r="G563" s="197" t="s">
        <v>845</v>
      </c>
      <c r="H563" s="197" t="s">
        <v>849</v>
      </c>
    </row>
    <row r="564" ht="15.75" customHeight="1">
      <c r="A564" s="197" t="s">
        <v>55</v>
      </c>
      <c r="B564" s="197" t="s">
        <v>21</v>
      </c>
      <c r="C564" s="198" t="s">
        <v>496</v>
      </c>
      <c r="D564" s="197" t="s">
        <v>497</v>
      </c>
      <c r="E564" s="199">
        <v>1.0</v>
      </c>
      <c r="F564" s="200">
        <v>45639.625</v>
      </c>
      <c r="G564" s="197" t="s">
        <v>845</v>
      </c>
      <c r="H564" s="197" t="s">
        <v>849</v>
      </c>
    </row>
    <row r="565" ht="15.75" customHeight="1">
      <c r="A565" s="197" t="s">
        <v>55</v>
      </c>
      <c r="B565" s="197" t="s">
        <v>21</v>
      </c>
      <c r="C565" s="198" t="s">
        <v>496</v>
      </c>
      <c r="D565" s="197" t="s">
        <v>497</v>
      </c>
      <c r="E565" s="199">
        <v>2.0</v>
      </c>
      <c r="F565" s="200">
        <v>45649.45833333333</v>
      </c>
      <c r="G565" s="197" t="s">
        <v>845</v>
      </c>
      <c r="H565" s="197" t="s">
        <v>849</v>
      </c>
    </row>
    <row r="566" ht="15.75" customHeight="1">
      <c r="A566" s="197" t="s">
        <v>55</v>
      </c>
      <c r="B566" s="197" t="s">
        <v>21</v>
      </c>
      <c r="C566" s="198" t="s">
        <v>496</v>
      </c>
      <c r="D566" s="197" t="s">
        <v>497</v>
      </c>
      <c r="E566" s="199">
        <v>3.0</v>
      </c>
      <c r="F566" s="200">
        <v>45670.58333333333</v>
      </c>
      <c r="G566" s="197" t="s">
        <v>845</v>
      </c>
      <c r="H566" s="197" t="s">
        <v>849</v>
      </c>
    </row>
    <row r="567" ht="15.75" customHeight="1">
      <c r="A567" s="197" t="s">
        <v>55</v>
      </c>
      <c r="B567" s="197" t="s">
        <v>21</v>
      </c>
      <c r="C567" s="198" t="s">
        <v>496</v>
      </c>
      <c r="D567" s="197" t="s">
        <v>497</v>
      </c>
      <c r="E567" s="199">
        <v>4.0</v>
      </c>
      <c r="F567" s="200">
        <v>45693.54166666667</v>
      </c>
      <c r="G567" s="197" t="s">
        <v>845</v>
      </c>
      <c r="H567" s="197" t="s">
        <v>849</v>
      </c>
    </row>
    <row r="568" ht="15.75" customHeight="1">
      <c r="A568" s="197" t="s">
        <v>55</v>
      </c>
      <c r="B568" s="197" t="s">
        <v>21</v>
      </c>
      <c r="C568" s="198" t="s">
        <v>496</v>
      </c>
      <c r="D568" s="197" t="s">
        <v>497</v>
      </c>
      <c r="E568" s="199">
        <v>5.0</v>
      </c>
      <c r="F568" s="200">
        <v>45707.54166666667</v>
      </c>
      <c r="G568" s="197" t="s">
        <v>845</v>
      </c>
      <c r="H568" s="197" t="s">
        <v>849</v>
      </c>
    </row>
    <row r="569" ht="15.75" customHeight="1">
      <c r="A569" s="197" t="s">
        <v>55</v>
      </c>
      <c r="B569" s="197" t="s">
        <v>21</v>
      </c>
      <c r="C569" s="198" t="s">
        <v>496</v>
      </c>
      <c r="D569" s="197" t="s">
        <v>497</v>
      </c>
      <c r="E569" s="199">
        <v>6.0</v>
      </c>
      <c r="F569" s="200">
        <v>45715.54166666667</v>
      </c>
      <c r="G569" s="197" t="s">
        <v>845</v>
      </c>
      <c r="H569" s="197" t="s">
        <v>849</v>
      </c>
    </row>
    <row r="570" ht="15.75" customHeight="1">
      <c r="A570" s="197" t="s">
        <v>55</v>
      </c>
      <c r="B570" s="197" t="s">
        <v>21</v>
      </c>
      <c r="C570" s="198" t="s">
        <v>496</v>
      </c>
      <c r="D570" s="197" t="s">
        <v>497</v>
      </c>
      <c r="E570" s="199">
        <v>7.0</v>
      </c>
      <c r="F570" s="200">
        <v>45764.54166666667</v>
      </c>
      <c r="G570" s="197" t="s">
        <v>845</v>
      </c>
      <c r="H570" s="197" t="s">
        <v>849</v>
      </c>
    </row>
    <row r="571" ht="15.75" customHeight="1">
      <c r="A571" s="197" t="s">
        <v>55</v>
      </c>
      <c r="B571" s="197" t="s">
        <v>21</v>
      </c>
      <c r="C571" s="198" t="s">
        <v>496</v>
      </c>
      <c r="D571" s="197" t="s">
        <v>497</v>
      </c>
      <c r="E571" s="199">
        <v>8.0</v>
      </c>
      <c r="F571" s="200">
        <v>45782.58333333333</v>
      </c>
      <c r="G571" s="197" t="s">
        <v>845</v>
      </c>
      <c r="H571" s="197" t="s">
        <v>849</v>
      </c>
    </row>
    <row r="572" ht="15.75" customHeight="1">
      <c r="A572" s="197" t="s">
        <v>55</v>
      </c>
      <c r="B572" s="197" t="s">
        <v>21</v>
      </c>
      <c r="C572" s="198" t="s">
        <v>496</v>
      </c>
      <c r="D572" s="197" t="s">
        <v>497</v>
      </c>
      <c r="E572" s="199">
        <v>9.0</v>
      </c>
      <c r="F572" s="200">
        <v>45803.58333333333</v>
      </c>
      <c r="G572" s="197" t="s">
        <v>845</v>
      </c>
      <c r="H572" s="197" t="s">
        <v>849</v>
      </c>
    </row>
    <row r="573" ht="15.75" customHeight="1">
      <c r="A573" s="197" t="s">
        <v>55</v>
      </c>
      <c r="B573" s="197" t="s">
        <v>21</v>
      </c>
      <c r="C573" s="198" t="s">
        <v>496</v>
      </c>
      <c r="D573" s="197" t="s">
        <v>497</v>
      </c>
      <c r="E573" s="199">
        <v>10.0</v>
      </c>
      <c r="F573" s="200">
        <v>45839.58333333333</v>
      </c>
      <c r="G573" s="197" t="s">
        <v>845</v>
      </c>
      <c r="H573" s="197" t="s">
        <v>849</v>
      </c>
    </row>
    <row r="574" ht="15.75" customHeight="1">
      <c r="A574" s="197" t="s">
        <v>55</v>
      </c>
      <c r="B574" s="197" t="s">
        <v>21</v>
      </c>
      <c r="C574" s="198" t="s">
        <v>547</v>
      </c>
      <c r="D574" s="197" t="s">
        <v>548</v>
      </c>
      <c r="E574" s="199">
        <v>1.0</v>
      </c>
      <c r="F574" s="200">
        <v>45639.625</v>
      </c>
      <c r="G574" s="197" t="s">
        <v>845</v>
      </c>
      <c r="H574" s="197" t="s">
        <v>849</v>
      </c>
    </row>
    <row r="575" ht="15.75" customHeight="1">
      <c r="A575" s="197" t="s">
        <v>55</v>
      </c>
      <c r="B575" s="197" t="s">
        <v>21</v>
      </c>
      <c r="C575" s="198" t="s">
        <v>547</v>
      </c>
      <c r="D575" s="197" t="s">
        <v>548</v>
      </c>
      <c r="E575" s="199">
        <v>2.0</v>
      </c>
      <c r="F575" s="200">
        <v>45649.45833333333</v>
      </c>
      <c r="G575" s="197" t="s">
        <v>845</v>
      </c>
      <c r="H575" s="197" t="s">
        <v>849</v>
      </c>
    </row>
    <row r="576" ht="15.75" customHeight="1">
      <c r="A576" s="197" t="s">
        <v>55</v>
      </c>
      <c r="B576" s="197" t="s">
        <v>21</v>
      </c>
      <c r="C576" s="198" t="s">
        <v>547</v>
      </c>
      <c r="D576" s="197" t="s">
        <v>548</v>
      </c>
      <c r="E576" s="199">
        <v>3.0</v>
      </c>
      <c r="F576" s="200">
        <v>45670.58333333333</v>
      </c>
      <c r="G576" s="197" t="s">
        <v>845</v>
      </c>
      <c r="H576" s="197" t="s">
        <v>849</v>
      </c>
    </row>
    <row r="577" ht="15.75" customHeight="1">
      <c r="A577" s="197" t="s">
        <v>55</v>
      </c>
      <c r="B577" s="197" t="s">
        <v>21</v>
      </c>
      <c r="C577" s="198" t="s">
        <v>547</v>
      </c>
      <c r="D577" s="197" t="s">
        <v>548</v>
      </c>
      <c r="E577" s="199">
        <v>4.0</v>
      </c>
      <c r="F577" s="200">
        <v>45693.54166666667</v>
      </c>
      <c r="G577" s="197" t="s">
        <v>845</v>
      </c>
      <c r="H577" s="197" t="s">
        <v>849</v>
      </c>
    </row>
    <row r="578" ht="15.75" customHeight="1">
      <c r="A578" s="197" t="s">
        <v>55</v>
      </c>
      <c r="B578" s="197" t="s">
        <v>21</v>
      </c>
      <c r="C578" s="198" t="s">
        <v>547</v>
      </c>
      <c r="D578" s="197" t="s">
        <v>548</v>
      </c>
      <c r="E578" s="199">
        <v>5.0</v>
      </c>
      <c r="F578" s="200">
        <v>45707.54166666667</v>
      </c>
      <c r="G578" s="197" t="s">
        <v>845</v>
      </c>
      <c r="H578" s="197" t="s">
        <v>849</v>
      </c>
    </row>
    <row r="579" ht="15.75" customHeight="1">
      <c r="A579" s="197" t="s">
        <v>55</v>
      </c>
      <c r="B579" s="197" t="s">
        <v>21</v>
      </c>
      <c r="C579" s="198" t="s">
        <v>547</v>
      </c>
      <c r="D579" s="197" t="s">
        <v>548</v>
      </c>
      <c r="E579" s="199">
        <v>6.0</v>
      </c>
      <c r="F579" s="200">
        <v>45715.54166666667</v>
      </c>
      <c r="G579" s="197" t="s">
        <v>845</v>
      </c>
      <c r="H579" s="197" t="s">
        <v>849</v>
      </c>
    </row>
    <row r="580" ht="15.75" customHeight="1">
      <c r="A580" s="197" t="s">
        <v>55</v>
      </c>
      <c r="B580" s="197" t="s">
        <v>21</v>
      </c>
      <c r="C580" s="198" t="s">
        <v>547</v>
      </c>
      <c r="D580" s="197" t="s">
        <v>548</v>
      </c>
      <c r="E580" s="199">
        <v>7.0</v>
      </c>
      <c r="F580" s="200">
        <v>45764.54166666667</v>
      </c>
      <c r="G580" s="197" t="s">
        <v>845</v>
      </c>
      <c r="H580" s="197" t="s">
        <v>849</v>
      </c>
    </row>
    <row r="581" ht="15.75" customHeight="1">
      <c r="A581" s="197" t="s">
        <v>55</v>
      </c>
      <c r="B581" s="197" t="s">
        <v>21</v>
      </c>
      <c r="C581" s="198" t="s">
        <v>547</v>
      </c>
      <c r="D581" s="197" t="s">
        <v>548</v>
      </c>
      <c r="E581" s="199">
        <v>8.0</v>
      </c>
      <c r="F581" s="200">
        <v>45782.58333333333</v>
      </c>
      <c r="G581" s="197" t="s">
        <v>843</v>
      </c>
      <c r="H581" s="197" t="s">
        <v>849</v>
      </c>
    </row>
    <row r="582" ht="15.75" customHeight="1">
      <c r="A582" s="197" t="s">
        <v>55</v>
      </c>
      <c r="B582" s="197" t="s">
        <v>21</v>
      </c>
      <c r="C582" s="198" t="s">
        <v>547</v>
      </c>
      <c r="D582" s="197" t="s">
        <v>548</v>
      </c>
      <c r="E582" s="199">
        <v>9.0</v>
      </c>
      <c r="F582" s="200">
        <v>45803.58333333333</v>
      </c>
      <c r="G582" s="197" t="s">
        <v>845</v>
      </c>
      <c r="H582" s="197" t="s">
        <v>849</v>
      </c>
    </row>
    <row r="583" ht="15.75" customHeight="1">
      <c r="A583" s="197" t="s">
        <v>55</v>
      </c>
      <c r="B583" s="197" t="s">
        <v>21</v>
      </c>
      <c r="C583" s="198" t="s">
        <v>547</v>
      </c>
      <c r="D583" s="197" t="s">
        <v>548</v>
      </c>
      <c r="E583" s="199">
        <v>10.0</v>
      </c>
      <c r="F583" s="200">
        <v>45839.58333333333</v>
      </c>
      <c r="G583" s="197" t="s">
        <v>845</v>
      </c>
      <c r="H583" s="197" t="s">
        <v>849</v>
      </c>
    </row>
    <row r="584" ht="15.75" customHeight="1">
      <c r="A584" s="197" t="s">
        <v>56</v>
      </c>
      <c r="B584" s="197" t="s">
        <v>21</v>
      </c>
      <c r="C584" s="198" t="s">
        <v>176</v>
      </c>
      <c r="D584" s="197" t="s">
        <v>177</v>
      </c>
      <c r="E584" s="199">
        <v>1.0</v>
      </c>
      <c r="F584" s="200">
        <v>45639.41666666667</v>
      </c>
      <c r="G584" s="197" t="s">
        <v>843</v>
      </c>
      <c r="H584" s="197" t="s">
        <v>850</v>
      </c>
    </row>
    <row r="585" ht="15.75" customHeight="1">
      <c r="A585" s="197" t="s">
        <v>56</v>
      </c>
      <c r="B585" s="197" t="s">
        <v>21</v>
      </c>
      <c r="C585" s="198" t="s">
        <v>176</v>
      </c>
      <c r="D585" s="197" t="s">
        <v>177</v>
      </c>
      <c r="E585" s="199">
        <v>2.0</v>
      </c>
      <c r="F585" s="200">
        <v>45660.41666666667</v>
      </c>
      <c r="G585" s="197" t="s">
        <v>845</v>
      </c>
      <c r="H585" s="197" t="s">
        <v>850</v>
      </c>
    </row>
    <row r="586" ht="15.75" customHeight="1">
      <c r="A586" s="197" t="s">
        <v>56</v>
      </c>
      <c r="B586" s="197" t="s">
        <v>21</v>
      </c>
      <c r="C586" s="198" t="s">
        <v>176</v>
      </c>
      <c r="D586" s="197" t="s">
        <v>177</v>
      </c>
      <c r="E586" s="199">
        <v>3.0</v>
      </c>
      <c r="F586" s="200">
        <v>45663.54166666667</v>
      </c>
      <c r="G586" s="197" t="s">
        <v>845</v>
      </c>
      <c r="H586" s="197" t="s">
        <v>850</v>
      </c>
    </row>
    <row r="587" ht="15.75" customHeight="1">
      <c r="A587" s="197" t="s">
        <v>56</v>
      </c>
      <c r="B587" s="197" t="s">
        <v>21</v>
      </c>
      <c r="C587" s="198" t="s">
        <v>176</v>
      </c>
      <c r="D587" s="197" t="s">
        <v>177</v>
      </c>
      <c r="E587" s="199">
        <v>4.0</v>
      </c>
      <c r="F587" s="200">
        <v>45678.375</v>
      </c>
      <c r="G587" s="197" t="s">
        <v>845</v>
      </c>
      <c r="H587" s="197" t="s">
        <v>850</v>
      </c>
    </row>
    <row r="588" ht="15.75" customHeight="1">
      <c r="A588" s="197" t="s">
        <v>56</v>
      </c>
      <c r="B588" s="197" t="s">
        <v>21</v>
      </c>
      <c r="C588" s="198" t="s">
        <v>176</v>
      </c>
      <c r="D588" s="197" t="s">
        <v>177</v>
      </c>
      <c r="E588" s="199">
        <v>5.0</v>
      </c>
      <c r="F588" s="200">
        <v>45700.54166666667</v>
      </c>
      <c r="G588" s="197" t="s">
        <v>843</v>
      </c>
      <c r="H588" s="197" t="s">
        <v>850</v>
      </c>
    </row>
    <row r="589" ht="15.75" customHeight="1">
      <c r="A589" s="197" t="s">
        <v>56</v>
      </c>
      <c r="B589" s="197" t="s">
        <v>21</v>
      </c>
      <c r="C589" s="198" t="s">
        <v>176</v>
      </c>
      <c r="D589" s="197" t="s">
        <v>177</v>
      </c>
      <c r="E589" s="199">
        <v>6.0</v>
      </c>
      <c r="F589" s="200">
        <v>45709.54166666667</v>
      </c>
      <c r="G589" s="197" t="s">
        <v>845</v>
      </c>
      <c r="H589" s="197" t="s">
        <v>850</v>
      </c>
    </row>
    <row r="590" ht="15.75" customHeight="1">
      <c r="A590" s="197" t="s">
        <v>56</v>
      </c>
      <c r="B590" s="197" t="s">
        <v>21</v>
      </c>
      <c r="C590" s="198" t="s">
        <v>176</v>
      </c>
      <c r="D590" s="197" t="s">
        <v>177</v>
      </c>
      <c r="E590" s="199">
        <v>7.0</v>
      </c>
      <c r="F590" s="200">
        <v>45714.54166666667</v>
      </c>
      <c r="G590" s="197" t="s">
        <v>845</v>
      </c>
      <c r="H590" s="197" t="s">
        <v>850</v>
      </c>
    </row>
    <row r="591" ht="15.75" customHeight="1">
      <c r="A591" s="197" t="s">
        <v>56</v>
      </c>
      <c r="B591" s="197" t="s">
        <v>21</v>
      </c>
      <c r="C591" s="198" t="s">
        <v>176</v>
      </c>
      <c r="D591" s="197" t="s">
        <v>177</v>
      </c>
      <c r="E591" s="199">
        <v>8.0</v>
      </c>
      <c r="F591" s="200">
        <v>45762.54166666667</v>
      </c>
      <c r="G591" s="197" t="s">
        <v>845</v>
      </c>
      <c r="H591" s="197" t="s">
        <v>850</v>
      </c>
    </row>
    <row r="592" ht="15.75" customHeight="1">
      <c r="A592" s="197" t="s">
        <v>56</v>
      </c>
      <c r="B592" s="197" t="s">
        <v>21</v>
      </c>
      <c r="C592" s="198" t="s">
        <v>176</v>
      </c>
      <c r="D592" s="197" t="s">
        <v>177</v>
      </c>
      <c r="E592" s="199">
        <v>9.0</v>
      </c>
      <c r="F592" s="200">
        <v>45769.41666666667</v>
      </c>
      <c r="G592" s="197" t="s">
        <v>845</v>
      </c>
      <c r="H592" s="197" t="s">
        <v>850</v>
      </c>
    </row>
    <row r="593" ht="15.75" customHeight="1">
      <c r="A593" s="197" t="s">
        <v>56</v>
      </c>
      <c r="B593" s="197" t="s">
        <v>21</v>
      </c>
      <c r="C593" s="198" t="s">
        <v>176</v>
      </c>
      <c r="D593" s="197" t="s">
        <v>177</v>
      </c>
      <c r="E593" s="199">
        <v>10.0</v>
      </c>
      <c r="F593" s="200">
        <v>45807.58333333333</v>
      </c>
      <c r="G593" s="197" t="s">
        <v>845</v>
      </c>
      <c r="H593" s="197" t="s">
        <v>850</v>
      </c>
    </row>
    <row r="594" ht="15.75" customHeight="1">
      <c r="A594" s="197" t="s">
        <v>56</v>
      </c>
      <c r="B594" s="197" t="s">
        <v>21</v>
      </c>
      <c r="C594" s="198" t="s">
        <v>228</v>
      </c>
      <c r="D594" s="197" t="s">
        <v>229</v>
      </c>
      <c r="E594" s="199">
        <v>1.0</v>
      </c>
      <c r="F594" s="200">
        <v>45639.41666666667</v>
      </c>
      <c r="G594" s="197" t="s">
        <v>845</v>
      </c>
      <c r="H594" s="197" t="s">
        <v>850</v>
      </c>
    </row>
    <row r="595" ht="15.75" customHeight="1">
      <c r="A595" s="197" t="s">
        <v>56</v>
      </c>
      <c r="B595" s="197" t="s">
        <v>21</v>
      </c>
      <c r="C595" s="198" t="s">
        <v>228</v>
      </c>
      <c r="D595" s="197" t="s">
        <v>229</v>
      </c>
      <c r="E595" s="199">
        <v>2.0</v>
      </c>
      <c r="F595" s="200">
        <v>45660.41666666667</v>
      </c>
      <c r="G595" s="197" t="s">
        <v>845</v>
      </c>
      <c r="H595" s="197" t="s">
        <v>850</v>
      </c>
    </row>
    <row r="596" ht="15.75" customHeight="1">
      <c r="A596" s="197" t="s">
        <v>56</v>
      </c>
      <c r="B596" s="197" t="s">
        <v>21</v>
      </c>
      <c r="C596" s="198" t="s">
        <v>228</v>
      </c>
      <c r="D596" s="197" t="s">
        <v>229</v>
      </c>
      <c r="E596" s="199">
        <v>3.0</v>
      </c>
      <c r="F596" s="200">
        <v>45663.54166666667</v>
      </c>
      <c r="G596" s="197" t="s">
        <v>845</v>
      </c>
      <c r="H596" s="197" t="s">
        <v>850</v>
      </c>
    </row>
    <row r="597" ht="15.75" customHeight="1">
      <c r="A597" s="197" t="s">
        <v>56</v>
      </c>
      <c r="B597" s="197" t="s">
        <v>21</v>
      </c>
      <c r="C597" s="198" t="s">
        <v>228</v>
      </c>
      <c r="D597" s="197" t="s">
        <v>229</v>
      </c>
      <c r="E597" s="199">
        <v>4.0</v>
      </c>
      <c r="F597" s="200">
        <v>45678.375</v>
      </c>
      <c r="G597" s="197" t="s">
        <v>845</v>
      </c>
      <c r="H597" s="197" t="s">
        <v>850</v>
      </c>
    </row>
    <row r="598" ht="15.75" customHeight="1">
      <c r="A598" s="197" t="s">
        <v>56</v>
      </c>
      <c r="B598" s="197" t="s">
        <v>21</v>
      </c>
      <c r="C598" s="198" t="s">
        <v>228</v>
      </c>
      <c r="D598" s="197" t="s">
        <v>229</v>
      </c>
      <c r="E598" s="199">
        <v>5.0</v>
      </c>
      <c r="F598" s="200">
        <v>45700.54166666667</v>
      </c>
      <c r="G598" s="197" t="s">
        <v>845</v>
      </c>
      <c r="H598" s="197" t="s">
        <v>850</v>
      </c>
    </row>
    <row r="599" ht="15.75" customHeight="1">
      <c r="A599" s="197" t="s">
        <v>56</v>
      </c>
      <c r="B599" s="197" t="s">
        <v>21</v>
      </c>
      <c r="C599" s="198" t="s">
        <v>228</v>
      </c>
      <c r="D599" s="197" t="s">
        <v>229</v>
      </c>
      <c r="E599" s="199">
        <v>6.0</v>
      </c>
      <c r="F599" s="200">
        <v>45709.54166666667</v>
      </c>
      <c r="G599" s="197" t="s">
        <v>843</v>
      </c>
      <c r="H599" s="197" t="s">
        <v>850</v>
      </c>
    </row>
    <row r="600" ht="15.75" customHeight="1">
      <c r="A600" s="197" t="s">
        <v>56</v>
      </c>
      <c r="B600" s="197" t="s">
        <v>21</v>
      </c>
      <c r="C600" s="198" t="s">
        <v>228</v>
      </c>
      <c r="D600" s="197" t="s">
        <v>229</v>
      </c>
      <c r="E600" s="199">
        <v>7.0</v>
      </c>
      <c r="F600" s="200">
        <v>45714.54166666667</v>
      </c>
      <c r="G600" s="197" t="s">
        <v>845</v>
      </c>
      <c r="H600" s="197" t="s">
        <v>850</v>
      </c>
    </row>
    <row r="601" ht="15.75" customHeight="1">
      <c r="A601" s="197" t="s">
        <v>56</v>
      </c>
      <c r="B601" s="197" t="s">
        <v>21</v>
      </c>
      <c r="C601" s="198" t="s">
        <v>228</v>
      </c>
      <c r="D601" s="197" t="s">
        <v>229</v>
      </c>
      <c r="E601" s="199">
        <v>8.0</v>
      </c>
      <c r="F601" s="200">
        <v>45762.54166666667</v>
      </c>
      <c r="G601" s="197" t="s">
        <v>845</v>
      </c>
      <c r="H601" s="197" t="s">
        <v>850</v>
      </c>
    </row>
    <row r="602" ht="15.75" customHeight="1">
      <c r="A602" s="197" t="s">
        <v>56</v>
      </c>
      <c r="B602" s="197" t="s">
        <v>21</v>
      </c>
      <c r="C602" s="198" t="s">
        <v>228</v>
      </c>
      <c r="D602" s="197" t="s">
        <v>229</v>
      </c>
      <c r="E602" s="199">
        <v>9.0</v>
      </c>
      <c r="F602" s="200">
        <v>45769.41666666667</v>
      </c>
      <c r="G602" s="197" t="s">
        <v>845</v>
      </c>
      <c r="H602" s="197" t="s">
        <v>850</v>
      </c>
    </row>
    <row r="603" ht="15.75" customHeight="1">
      <c r="A603" s="197" t="s">
        <v>56</v>
      </c>
      <c r="B603" s="197" t="s">
        <v>21</v>
      </c>
      <c r="C603" s="198" t="s">
        <v>228</v>
      </c>
      <c r="D603" s="197" t="s">
        <v>229</v>
      </c>
      <c r="E603" s="199">
        <v>10.0</v>
      </c>
      <c r="F603" s="200">
        <v>45807.58333333333</v>
      </c>
      <c r="G603" s="197" t="s">
        <v>845</v>
      </c>
      <c r="H603" s="197" t="s">
        <v>850</v>
      </c>
    </row>
    <row r="604" ht="15.75" customHeight="1">
      <c r="A604" s="197" t="s">
        <v>56</v>
      </c>
      <c r="B604" s="197" t="s">
        <v>21</v>
      </c>
      <c r="C604" s="198" t="s">
        <v>445</v>
      </c>
      <c r="D604" s="197" t="s">
        <v>446</v>
      </c>
      <c r="E604" s="199">
        <v>1.0</v>
      </c>
      <c r="F604" s="200">
        <v>45639.41666666667</v>
      </c>
      <c r="G604" s="197" t="s">
        <v>845</v>
      </c>
      <c r="H604" s="197" t="s">
        <v>850</v>
      </c>
    </row>
    <row r="605" ht="15.75" customHeight="1">
      <c r="A605" s="197" t="s">
        <v>56</v>
      </c>
      <c r="B605" s="197" t="s">
        <v>21</v>
      </c>
      <c r="C605" s="198" t="s">
        <v>445</v>
      </c>
      <c r="D605" s="197" t="s">
        <v>446</v>
      </c>
      <c r="E605" s="199">
        <v>2.0</v>
      </c>
      <c r="F605" s="200">
        <v>45660.41666666667</v>
      </c>
      <c r="G605" s="197" t="s">
        <v>845</v>
      </c>
      <c r="H605" s="197" t="s">
        <v>850</v>
      </c>
    </row>
    <row r="606" ht="15.75" customHeight="1">
      <c r="A606" s="197" t="s">
        <v>56</v>
      </c>
      <c r="B606" s="197" t="s">
        <v>21</v>
      </c>
      <c r="C606" s="198" t="s">
        <v>445</v>
      </c>
      <c r="D606" s="197" t="s">
        <v>446</v>
      </c>
      <c r="E606" s="199">
        <v>3.0</v>
      </c>
      <c r="F606" s="200">
        <v>45663.54166666667</v>
      </c>
      <c r="G606" s="197" t="s">
        <v>845</v>
      </c>
      <c r="H606" s="197" t="s">
        <v>850</v>
      </c>
    </row>
    <row r="607" ht="15.75" customHeight="1">
      <c r="A607" s="197" t="s">
        <v>56</v>
      </c>
      <c r="B607" s="197" t="s">
        <v>21</v>
      </c>
      <c r="C607" s="198" t="s">
        <v>445</v>
      </c>
      <c r="D607" s="197" t="s">
        <v>446</v>
      </c>
      <c r="E607" s="199">
        <v>4.0</v>
      </c>
      <c r="F607" s="200">
        <v>45678.375</v>
      </c>
      <c r="G607" s="197" t="s">
        <v>845</v>
      </c>
      <c r="H607" s="197" t="s">
        <v>850</v>
      </c>
    </row>
    <row r="608" ht="15.75" customHeight="1">
      <c r="A608" s="197" t="s">
        <v>56</v>
      </c>
      <c r="B608" s="197" t="s">
        <v>21</v>
      </c>
      <c r="C608" s="198" t="s">
        <v>445</v>
      </c>
      <c r="D608" s="197" t="s">
        <v>446</v>
      </c>
      <c r="E608" s="199">
        <v>5.0</v>
      </c>
      <c r="F608" s="200">
        <v>45700.54166666667</v>
      </c>
      <c r="G608" s="197" t="s">
        <v>845</v>
      </c>
      <c r="H608" s="197" t="s">
        <v>850</v>
      </c>
    </row>
    <row r="609" ht="15.75" customHeight="1">
      <c r="A609" s="197" t="s">
        <v>56</v>
      </c>
      <c r="B609" s="197" t="s">
        <v>21</v>
      </c>
      <c r="C609" s="198" t="s">
        <v>445</v>
      </c>
      <c r="D609" s="197" t="s">
        <v>446</v>
      </c>
      <c r="E609" s="199">
        <v>6.0</v>
      </c>
      <c r="F609" s="200">
        <v>45709.54166666667</v>
      </c>
      <c r="G609" s="197" t="s">
        <v>845</v>
      </c>
      <c r="H609" s="197" t="s">
        <v>850</v>
      </c>
    </row>
    <row r="610" ht="15.75" customHeight="1">
      <c r="A610" s="197" t="s">
        <v>56</v>
      </c>
      <c r="B610" s="197" t="s">
        <v>21</v>
      </c>
      <c r="C610" s="198" t="s">
        <v>445</v>
      </c>
      <c r="D610" s="197" t="s">
        <v>446</v>
      </c>
      <c r="E610" s="199">
        <v>7.0</v>
      </c>
      <c r="F610" s="200">
        <v>45714.54166666667</v>
      </c>
      <c r="G610" s="197" t="s">
        <v>845</v>
      </c>
      <c r="H610" s="197" t="s">
        <v>850</v>
      </c>
    </row>
    <row r="611" ht="15.75" customHeight="1">
      <c r="A611" s="197" t="s">
        <v>56</v>
      </c>
      <c r="B611" s="197" t="s">
        <v>21</v>
      </c>
      <c r="C611" s="198" t="s">
        <v>445</v>
      </c>
      <c r="D611" s="197" t="s">
        <v>446</v>
      </c>
      <c r="E611" s="199">
        <v>8.0</v>
      </c>
      <c r="F611" s="200">
        <v>45762.54166666667</v>
      </c>
      <c r="G611" s="197" t="s">
        <v>845</v>
      </c>
      <c r="H611" s="197" t="s">
        <v>850</v>
      </c>
    </row>
    <row r="612" ht="15.75" customHeight="1">
      <c r="A612" s="197" t="s">
        <v>56</v>
      </c>
      <c r="B612" s="197" t="s">
        <v>21</v>
      </c>
      <c r="C612" s="198" t="s">
        <v>445</v>
      </c>
      <c r="D612" s="197" t="s">
        <v>446</v>
      </c>
      <c r="E612" s="199">
        <v>9.0</v>
      </c>
      <c r="F612" s="200">
        <v>45769.41666666667</v>
      </c>
      <c r="G612" s="197" t="s">
        <v>845</v>
      </c>
      <c r="H612" s="197" t="s">
        <v>850</v>
      </c>
    </row>
    <row r="613" ht="15.75" customHeight="1">
      <c r="A613" s="197" t="s">
        <v>56</v>
      </c>
      <c r="B613" s="197" t="s">
        <v>21</v>
      </c>
      <c r="C613" s="198" t="s">
        <v>445</v>
      </c>
      <c r="D613" s="197" t="s">
        <v>446</v>
      </c>
      <c r="E613" s="199">
        <v>10.0</v>
      </c>
      <c r="F613" s="200">
        <v>45807.58333333333</v>
      </c>
      <c r="G613" s="197" t="s">
        <v>845</v>
      </c>
      <c r="H613" s="197" t="s">
        <v>850</v>
      </c>
    </row>
    <row r="614" ht="15.75" customHeight="1">
      <c r="A614" s="197" t="s">
        <v>56</v>
      </c>
      <c r="B614" s="197" t="s">
        <v>21</v>
      </c>
      <c r="C614" s="198" t="s">
        <v>482</v>
      </c>
      <c r="D614" s="197" t="s">
        <v>483</v>
      </c>
      <c r="E614" s="199">
        <v>1.0</v>
      </c>
      <c r="F614" s="200">
        <v>45639.41666666667</v>
      </c>
      <c r="G614" s="197" t="s">
        <v>845</v>
      </c>
      <c r="H614" s="197" t="s">
        <v>850</v>
      </c>
    </row>
    <row r="615" ht="15.75" customHeight="1">
      <c r="A615" s="197" t="s">
        <v>56</v>
      </c>
      <c r="B615" s="197" t="s">
        <v>21</v>
      </c>
      <c r="C615" s="198" t="s">
        <v>482</v>
      </c>
      <c r="D615" s="197" t="s">
        <v>483</v>
      </c>
      <c r="E615" s="199">
        <v>2.0</v>
      </c>
      <c r="F615" s="200">
        <v>45660.41666666667</v>
      </c>
      <c r="G615" s="197" t="s">
        <v>843</v>
      </c>
      <c r="H615" s="197" t="s">
        <v>850</v>
      </c>
    </row>
    <row r="616" ht="15.75" customHeight="1">
      <c r="A616" s="197" t="s">
        <v>56</v>
      </c>
      <c r="B616" s="197" t="s">
        <v>21</v>
      </c>
      <c r="C616" s="198" t="s">
        <v>482</v>
      </c>
      <c r="D616" s="197" t="s">
        <v>483</v>
      </c>
      <c r="E616" s="199">
        <v>3.0</v>
      </c>
      <c r="F616" s="200">
        <v>45663.54166666667</v>
      </c>
      <c r="G616" s="197" t="s">
        <v>845</v>
      </c>
      <c r="H616" s="197" t="s">
        <v>850</v>
      </c>
    </row>
    <row r="617" ht="15.75" customHeight="1">
      <c r="A617" s="197" t="s">
        <v>56</v>
      </c>
      <c r="B617" s="197" t="s">
        <v>21</v>
      </c>
      <c r="C617" s="198" t="s">
        <v>482</v>
      </c>
      <c r="D617" s="197" t="s">
        <v>483</v>
      </c>
      <c r="E617" s="199">
        <v>4.0</v>
      </c>
      <c r="F617" s="200">
        <v>45678.375</v>
      </c>
      <c r="G617" s="197" t="s">
        <v>845</v>
      </c>
      <c r="H617" s="197" t="s">
        <v>850</v>
      </c>
    </row>
    <row r="618" ht="15.75" customHeight="1">
      <c r="A618" s="197" t="s">
        <v>56</v>
      </c>
      <c r="B618" s="197" t="s">
        <v>21</v>
      </c>
      <c r="C618" s="198" t="s">
        <v>482</v>
      </c>
      <c r="D618" s="197" t="s">
        <v>483</v>
      </c>
      <c r="E618" s="199">
        <v>5.0</v>
      </c>
      <c r="F618" s="200">
        <v>45700.54166666667</v>
      </c>
      <c r="G618" s="197" t="s">
        <v>845</v>
      </c>
      <c r="H618" s="197" t="s">
        <v>850</v>
      </c>
    </row>
    <row r="619" ht="15.75" customHeight="1">
      <c r="A619" s="197" t="s">
        <v>56</v>
      </c>
      <c r="B619" s="197" t="s">
        <v>21</v>
      </c>
      <c r="C619" s="198" t="s">
        <v>482</v>
      </c>
      <c r="D619" s="197" t="s">
        <v>483</v>
      </c>
      <c r="E619" s="199">
        <v>6.0</v>
      </c>
      <c r="F619" s="200">
        <v>45709.54166666667</v>
      </c>
      <c r="G619" s="197" t="s">
        <v>845</v>
      </c>
      <c r="H619" s="197" t="s">
        <v>850</v>
      </c>
    </row>
    <row r="620" ht="15.75" customHeight="1">
      <c r="A620" s="197" t="s">
        <v>56</v>
      </c>
      <c r="B620" s="197" t="s">
        <v>21</v>
      </c>
      <c r="C620" s="198" t="s">
        <v>482</v>
      </c>
      <c r="D620" s="197" t="s">
        <v>483</v>
      </c>
      <c r="E620" s="199">
        <v>7.0</v>
      </c>
      <c r="F620" s="200">
        <v>45714.54166666667</v>
      </c>
      <c r="G620" s="197" t="s">
        <v>845</v>
      </c>
      <c r="H620" s="197" t="s">
        <v>850</v>
      </c>
    </row>
    <row r="621" ht="15.75" customHeight="1">
      <c r="A621" s="197" t="s">
        <v>56</v>
      </c>
      <c r="B621" s="197" t="s">
        <v>21</v>
      </c>
      <c r="C621" s="198" t="s">
        <v>482</v>
      </c>
      <c r="D621" s="197" t="s">
        <v>483</v>
      </c>
      <c r="E621" s="199">
        <v>8.0</v>
      </c>
      <c r="F621" s="200">
        <v>45762.54166666667</v>
      </c>
      <c r="G621" s="197" t="s">
        <v>845</v>
      </c>
      <c r="H621" s="197" t="s">
        <v>850</v>
      </c>
    </row>
    <row r="622" ht="15.75" customHeight="1">
      <c r="A622" s="197" t="s">
        <v>56</v>
      </c>
      <c r="B622" s="197" t="s">
        <v>21</v>
      </c>
      <c r="C622" s="198" t="s">
        <v>482</v>
      </c>
      <c r="D622" s="197" t="s">
        <v>483</v>
      </c>
      <c r="E622" s="199">
        <v>9.0</v>
      </c>
      <c r="F622" s="200">
        <v>45769.41666666667</v>
      </c>
      <c r="G622" s="197" t="s">
        <v>845</v>
      </c>
      <c r="H622" s="197" t="s">
        <v>850</v>
      </c>
    </row>
    <row r="623" ht="15.75" customHeight="1">
      <c r="A623" s="197" t="s">
        <v>56</v>
      </c>
      <c r="B623" s="197" t="s">
        <v>21</v>
      </c>
      <c r="C623" s="198" t="s">
        <v>482</v>
      </c>
      <c r="D623" s="197" t="s">
        <v>483</v>
      </c>
      <c r="E623" s="199">
        <v>10.0</v>
      </c>
      <c r="F623" s="200">
        <v>45807.58333333333</v>
      </c>
      <c r="G623" s="197" t="s">
        <v>845</v>
      </c>
      <c r="H623" s="197" t="s">
        <v>850</v>
      </c>
    </row>
    <row r="624" ht="15.75" customHeight="1">
      <c r="A624" s="197" t="s">
        <v>57</v>
      </c>
      <c r="B624" s="197" t="s">
        <v>22</v>
      </c>
      <c r="C624" s="198" t="s">
        <v>167</v>
      </c>
      <c r="D624" s="197" t="s">
        <v>168</v>
      </c>
      <c r="E624" s="199">
        <v>1.0</v>
      </c>
      <c r="F624" s="200">
        <v>45841.58333333333</v>
      </c>
      <c r="G624" s="197" t="s">
        <v>845</v>
      </c>
      <c r="H624" s="197" t="s">
        <v>851</v>
      </c>
    </row>
    <row r="625" ht="15.75" customHeight="1">
      <c r="A625" s="197" t="s">
        <v>57</v>
      </c>
      <c r="B625" s="197" t="s">
        <v>22</v>
      </c>
      <c r="C625" s="198" t="s">
        <v>167</v>
      </c>
      <c r="D625" s="197" t="s">
        <v>168</v>
      </c>
      <c r="E625" s="199">
        <v>2.0</v>
      </c>
      <c r="F625" s="200">
        <v>45853.41666666667</v>
      </c>
      <c r="G625" s="197" t="s">
        <v>845</v>
      </c>
      <c r="H625" s="197" t="s">
        <v>851</v>
      </c>
    </row>
    <row r="626" ht="15.75" customHeight="1">
      <c r="A626" s="197" t="s">
        <v>57</v>
      </c>
      <c r="B626" s="197" t="s">
        <v>22</v>
      </c>
      <c r="C626" s="198" t="s">
        <v>167</v>
      </c>
      <c r="D626" s="197" t="s">
        <v>168</v>
      </c>
      <c r="E626" s="199">
        <v>3.0</v>
      </c>
      <c r="F626" s="200">
        <v>45882.625</v>
      </c>
      <c r="G626" s="197" t="s">
        <v>843</v>
      </c>
      <c r="H626" s="197" t="s">
        <v>851</v>
      </c>
    </row>
    <row r="627" ht="15.75" customHeight="1">
      <c r="A627" s="197" t="s">
        <v>57</v>
      </c>
      <c r="B627" s="197" t="s">
        <v>22</v>
      </c>
      <c r="C627" s="198" t="s">
        <v>167</v>
      </c>
      <c r="D627" s="197" t="s">
        <v>168</v>
      </c>
      <c r="E627" s="199">
        <v>4.0</v>
      </c>
      <c r="F627" s="200">
        <v>45889.625</v>
      </c>
      <c r="G627" s="197" t="s">
        <v>845</v>
      </c>
      <c r="H627" s="197" t="s">
        <v>851</v>
      </c>
    </row>
    <row r="628" ht="15.75" customHeight="1">
      <c r="A628" s="197" t="s">
        <v>57</v>
      </c>
      <c r="B628" s="197" t="s">
        <v>22</v>
      </c>
      <c r="C628" s="198" t="s">
        <v>167</v>
      </c>
      <c r="D628" s="197" t="s">
        <v>168</v>
      </c>
      <c r="E628" s="199">
        <v>5.0</v>
      </c>
      <c r="F628" s="200">
        <v>45917.625</v>
      </c>
      <c r="G628" s="197" t="s">
        <v>843</v>
      </c>
      <c r="H628" s="197" t="s">
        <v>851</v>
      </c>
    </row>
    <row r="629" ht="15.75" customHeight="1">
      <c r="A629" s="197" t="s">
        <v>57</v>
      </c>
      <c r="B629" s="197" t="s">
        <v>22</v>
      </c>
      <c r="C629" s="198" t="s">
        <v>167</v>
      </c>
      <c r="D629" s="197" t="s">
        <v>168</v>
      </c>
      <c r="E629" s="199">
        <v>6.0</v>
      </c>
      <c r="F629" s="200">
        <v>45924.625</v>
      </c>
      <c r="G629" s="197" t="s">
        <v>845</v>
      </c>
      <c r="H629" s="197" t="s">
        <v>851</v>
      </c>
    </row>
    <row r="630" ht="15.75" customHeight="1">
      <c r="A630" s="197" t="s">
        <v>57</v>
      </c>
      <c r="B630" s="197" t="s">
        <v>22</v>
      </c>
      <c r="C630" s="198" t="s">
        <v>167</v>
      </c>
      <c r="D630" s="197" t="s">
        <v>168</v>
      </c>
      <c r="E630" s="199">
        <v>7.0</v>
      </c>
      <c r="F630" s="200">
        <v>45931.625</v>
      </c>
      <c r="G630" s="197" t="s">
        <v>845</v>
      </c>
      <c r="H630" s="197" t="s">
        <v>851</v>
      </c>
    </row>
    <row r="631" ht="15.75" customHeight="1">
      <c r="A631" s="197" t="s">
        <v>57</v>
      </c>
      <c r="B631" s="197" t="s">
        <v>22</v>
      </c>
      <c r="C631" s="198" t="s">
        <v>167</v>
      </c>
      <c r="D631" s="197" t="s">
        <v>168</v>
      </c>
      <c r="E631" s="199">
        <v>8.0</v>
      </c>
      <c r="F631" s="200">
        <v>45953.41666666667</v>
      </c>
      <c r="G631" s="197" t="s">
        <v>845</v>
      </c>
      <c r="H631" s="197" t="s">
        <v>851</v>
      </c>
    </row>
    <row r="632" ht="15.75" customHeight="1">
      <c r="A632" s="197" t="s">
        <v>57</v>
      </c>
      <c r="B632" s="197" t="s">
        <v>22</v>
      </c>
      <c r="C632" s="198" t="s">
        <v>167</v>
      </c>
      <c r="D632" s="197" t="s">
        <v>168</v>
      </c>
      <c r="E632" s="199">
        <v>9.0</v>
      </c>
      <c r="F632" s="200">
        <v>45960.41666666667</v>
      </c>
      <c r="G632" s="197" t="s">
        <v>845</v>
      </c>
      <c r="H632" s="197" t="s">
        <v>851</v>
      </c>
    </row>
    <row r="633" ht="15.75" customHeight="1">
      <c r="A633" s="197" t="s">
        <v>57</v>
      </c>
      <c r="B633" s="197" t="s">
        <v>22</v>
      </c>
      <c r="C633" s="198" t="s">
        <v>167</v>
      </c>
      <c r="D633" s="197" t="s">
        <v>168</v>
      </c>
      <c r="E633" s="199">
        <v>10.0</v>
      </c>
      <c r="F633" s="200">
        <v>45982.45833333333</v>
      </c>
      <c r="G633" s="197" t="s">
        <v>845</v>
      </c>
      <c r="H633" s="197" t="s">
        <v>851</v>
      </c>
    </row>
    <row r="634" ht="15.75" customHeight="1">
      <c r="A634" s="197" t="s">
        <v>57</v>
      </c>
      <c r="B634" s="197" t="s">
        <v>22</v>
      </c>
      <c r="C634" s="198" t="s">
        <v>167</v>
      </c>
      <c r="D634" s="197" t="s">
        <v>168</v>
      </c>
      <c r="E634" s="199">
        <v>11.0</v>
      </c>
      <c r="F634" s="200">
        <v>45989.45833333333</v>
      </c>
      <c r="G634" s="197" t="s">
        <v>845</v>
      </c>
      <c r="H634" s="197" t="s">
        <v>851</v>
      </c>
    </row>
    <row r="635" ht="15.75" customHeight="1">
      <c r="A635" s="197" t="s">
        <v>57</v>
      </c>
      <c r="B635" s="197" t="s">
        <v>22</v>
      </c>
      <c r="C635" s="198" t="s">
        <v>167</v>
      </c>
      <c r="D635" s="197" t="s">
        <v>168</v>
      </c>
      <c r="E635" s="199">
        <v>12.0</v>
      </c>
      <c r="F635" s="200">
        <v>45996.41666666667</v>
      </c>
      <c r="G635" s="197" t="s">
        <v>845</v>
      </c>
      <c r="H635" s="197" t="s">
        <v>851</v>
      </c>
    </row>
    <row r="636" ht="15.75" customHeight="1">
      <c r="A636" s="197" t="s">
        <v>57</v>
      </c>
      <c r="B636" s="197" t="s">
        <v>22</v>
      </c>
      <c r="C636" s="198" t="s">
        <v>167</v>
      </c>
      <c r="D636" s="197" t="s">
        <v>168</v>
      </c>
      <c r="E636" s="199">
        <v>13.0</v>
      </c>
      <c r="F636" s="200">
        <v>46010.41666666667</v>
      </c>
      <c r="G636" s="197" t="s">
        <v>845</v>
      </c>
      <c r="H636" s="197" t="s">
        <v>851</v>
      </c>
    </row>
    <row r="637" ht="15.75" customHeight="1">
      <c r="A637" s="197" t="s">
        <v>57</v>
      </c>
      <c r="B637" s="197" t="s">
        <v>22</v>
      </c>
      <c r="C637" s="198" t="s">
        <v>167</v>
      </c>
      <c r="D637" s="197" t="s">
        <v>168</v>
      </c>
      <c r="E637" s="199">
        <v>14.0</v>
      </c>
      <c r="F637" s="200">
        <v>46021.375</v>
      </c>
      <c r="G637" s="197" t="s">
        <v>845</v>
      </c>
      <c r="H637" s="197" t="s">
        <v>851</v>
      </c>
    </row>
    <row r="638" ht="15.75" customHeight="1">
      <c r="A638" s="197" t="s">
        <v>57</v>
      </c>
      <c r="B638" s="197" t="s">
        <v>22</v>
      </c>
      <c r="C638" s="198" t="s">
        <v>167</v>
      </c>
      <c r="D638" s="197" t="s">
        <v>168</v>
      </c>
      <c r="E638" s="199">
        <v>15.0</v>
      </c>
      <c r="F638" s="200">
        <v>46038.45833333333</v>
      </c>
      <c r="G638" s="197" t="s">
        <v>845</v>
      </c>
      <c r="H638" s="197" t="s">
        <v>851</v>
      </c>
    </row>
    <row r="639" ht="15.75" customHeight="1">
      <c r="A639" s="197" t="s">
        <v>57</v>
      </c>
      <c r="B639" s="197" t="s">
        <v>22</v>
      </c>
      <c r="C639" s="198" t="s">
        <v>167</v>
      </c>
      <c r="D639" s="197" t="s">
        <v>168</v>
      </c>
      <c r="E639" s="199">
        <v>16.0</v>
      </c>
      <c r="F639" s="200">
        <v>46083.45833333333</v>
      </c>
      <c r="G639" s="197" t="s">
        <v>845</v>
      </c>
      <c r="H639" s="197" t="s">
        <v>851</v>
      </c>
    </row>
    <row r="640" ht="15.75" customHeight="1">
      <c r="A640" s="197" t="s">
        <v>57</v>
      </c>
      <c r="B640" s="197" t="s">
        <v>22</v>
      </c>
      <c r="C640" s="198" t="s">
        <v>184</v>
      </c>
      <c r="D640" s="197" t="s">
        <v>185</v>
      </c>
      <c r="E640" s="199">
        <v>1.0</v>
      </c>
      <c r="F640" s="200">
        <v>45841.58333333333</v>
      </c>
      <c r="G640" s="197" t="s">
        <v>845</v>
      </c>
      <c r="H640" s="197" t="s">
        <v>851</v>
      </c>
    </row>
    <row r="641" ht="15.75" customHeight="1">
      <c r="A641" s="197" t="s">
        <v>57</v>
      </c>
      <c r="B641" s="197" t="s">
        <v>22</v>
      </c>
      <c r="C641" s="198" t="s">
        <v>184</v>
      </c>
      <c r="D641" s="197" t="s">
        <v>185</v>
      </c>
      <c r="E641" s="199">
        <v>2.0</v>
      </c>
      <c r="F641" s="200">
        <v>45853.41666666667</v>
      </c>
      <c r="G641" s="197" t="s">
        <v>845</v>
      </c>
      <c r="H641" s="197" t="s">
        <v>851</v>
      </c>
    </row>
    <row r="642" ht="15.75" customHeight="1">
      <c r="A642" s="197" t="s">
        <v>57</v>
      </c>
      <c r="B642" s="197" t="s">
        <v>22</v>
      </c>
      <c r="C642" s="198" t="s">
        <v>184</v>
      </c>
      <c r="D642" s="197" t="s">
        <v>185</v>
      </c>
      <c r="E642" s="199">
        <v>3.0</v>
      </c>
      <c r="F642" s="200">
        <v>45882.625</v>
      </c>
      <c r="G642" s="197" t="s">
        <v>845</v>
      </c>
      <c r="H642" s="197" t="s">
        <v>851</v>
      </c>
    </row>
    <row r="643" ht="15.75" customHeight="1">
      <c r="A643" s="197" t="s">
        <v>57</v>
      </c>
      <c r="B643" s="197" t="s">
        <v>22</v>
      </c>
      <c r="C643" s="198" t="s">
        <v>184</v>
      </c>
      <c r="D643" s="197" t="s">
        <v>185</v>
      </c>
      <c r="E643" s="199">
        <v>4.0</v>
      </c>
      <c r="F643" s="200">
        <v>45889.625</v>
      </c>
      <c r="G643" s="197" t="s">
        <v>845</v>
      </c>
      <c r="H643" s="197" t="s">
        <v>851</v>
      </c>
    </row>
    <row r="644" ht="15.75" customHeight="1">
      <c r="A644" s="197" t="s">
        <v>57</v>
      </c>
      <c r="B644" s="197" t="s">
        <v>22</v>
      </c>
      <c r="C644" s="198" t="s">
        <v>184</v>
      </c>
      <c r="D644" s="197" t="s">
        <v>185</v>
      </c>
      <c r="E644" s="199">
        <v>5.0</v>
      </c>
      <c r="F644" s="200">
        <v>45917.625</v>
      </c>
      <c r="G644" s="197" t="s">
        <v>845</v>
      </c>
      <c r="H644" s="197" t="s">
        <v>851</v>
      </c>
    </row>
    <row r="645" ht="15.75" customHeight="1">
      <c r="A645" s="197" t="s">
        <v>57</v>
      </c>
      <c r="B645" s="197" t="s">
        <v>22</v>
      </c>
      <c r="C645" s="198" t="s">
        <v>184</v>
      </c>
      <c r="D645" s="197" t="s">
        <v>185</v>
      </c>
      <c r="E645" s="199">
        <v>6.0</v>
      </c>
      <c r="F645" s="200">
        <v>45924.625</v>
      </c>
      <c r="G645" s="197" t="s">
        <v>845</v>
      </c>
      <c r="H645" s="197" t="s">
        <v>851</v>
      </c>
    </row>
    <row r="646" ht="15.75" customHeight="1">
      <c r="A646" s="197" t="s">
        <v>57</v>
      </c>
      <c r="B646" s="197" t="s">
        <v>22</v>
      </c>
      <c r="C646" s="198" t="s">
        <v>184</v>
      </c>
      <c r="D646" s="197" t="s">
        <v>185</v>
      </c>
      <c r="E646" s="199">
        <v>7.0</v>
      </c>
      <c r="F646" s="200">
        <v>45931.625</v>
      </c>
      <c r="G646" s="197" t="s">
        <v>845</v>
      </c>
      <c r="H646" s="197" t="s">
        <v>851</v>
      </c>
    </row>
    <row r="647" ht="15.75" customHeight="1">
      <c r="A647" s="197" t="s">
        <v>57</v>
      </c>
      <c r="B647" s="197" t="s">
        <v>22</v>
      </c>
      <c r="C647" s="198" t="s">
        <v>184</v>
      </c>
      <c r="D647" s="197" t="s">
        <v>185</v>
      </c>
      <c r="E647" s="199">
        <v>8.0</v>
      </c>
      <c r="F647" s="200">
        <v>45953.41666666667</v>
      </c>
      <c r="G647" s="197" t="s">
        <v>845</v>
      </c>
      <c r="H647" s="197" t="s">
        <v>851</v>
      </c>
    </row>
    <row r="648" ht="15.75" customHeight="1">
      <c r="A648" s="197" t="s">
        <v>57</v>
      </c>
      <c r="B648" s="197" t="s">
        <v>22</v>
      </c>
      <c r="C648" s="198" t="s">
        <v>184</v>
      </c>
      <c r="D648" s="197" t="s">
        <v>185</v>
      </c>
      <c r="E648" s="199">
        <v>9.0</v>
      </c>
      <c r="F648" s="200">
        <v>45960.41666666667</v>
      </c>
      <c r="G648" s="197" t="s">
        <v>845</v>
      </c>
      <c r="H648" s="197" t="s">
        <v>851</v>
      </c>
    </row>
    <row r="649" ht="15.75" customHeight="1">
      <c r="A649" s="197" t="s">
        <v>57</v>
      </c>
      <c r="B649" s="197" t="s">
        <v>22</v>
      </c>
      <c r="C649" s="198" t="s">
        <v>184</v>
      </c>
      <c r="D649" s="197" t="s">
        <v>185</v>
      </c>
      <c r="E649" s="199">
        <v>10.0</v>
      </c>
      <c r="F649" s="200">
        <v>45982.45833333333</v>
      </c>
      <c r="G649" s="197" t="s">
        <v>845</v>
      </c>
      <c r="H649" s="197" t="s">
        <v>851</v>
      </c>
    </row>
    <row r="650" ht="15.75" customHeight="1">
      <c r="A650" s="197" t="s">
        <v>57</v>
      </c>
      <c r="B650" s="197" t="s">
        <v>22</v>
      </c>
      <c r="C650" s="198" t="s">
        <v>184</v>
      </c>
      <c r="D650" s="197" t="s">
        <v>185</v>
      </c>
      <c r="E650" s="199">
        <v>11.0</v>
      </c>
      <c r="F650" s="200">
        <v>45989.45833333333</v>
      </c>
      <c r="G650" s="197" t="s">
        <v>845</v>
      </c>
      <c r="H650" s="197" t="s">
        <v>851</v>
      </c>
    </row>
    <row r="651" ht="15.75" customHeight="1">
      <c r="A651" s="197" t="s">
        <v>57</v>
      </c>
      <c r="B651" s="197" t="s">
        <v>22</v>
      </c>
      <c r="C651" s="198" t="s">
        <v>184</v>
      </c>
      <c r="D651" s="197" t="s">
        <v>185</v>
      </c>
      <c r="E651" s="199">
        <v>12.0</v>
      </c>
      <c r="F651" s="200">
        <v>45996.41666666667</v>
      </c>
      <c r="G651" s="197" t="s">
        <v>845</v>
      </c>
      <c r="H651" s="197" t="s">
        <v>851</v>
      </c>
    </row>
    <row r="652" ht="15.75" customHeight="1">
      <c r="A652" s="197" t="s">
        <v>57</v>
      </c>
      <c r="B652" s="197" t="s">
        <v>22</v>
      </c>
      <c r="C652" s="198" t="s">
        <v>184</v>
      </c>
      <c r="D652" s="197" t="s">
        <v>185</v>
      </c>
      <c r="E652" s="199">
        <v>13.0</v>
      </c>
      <c r="F652" s="200">
        <v>46010.41666666667</v>
      </c>
      <c r="G652" s="197" t="s">
        <v>845</v>
      </c>
      <c r="H652" s="197" t="s">
        <v>851</v>
      </c>
    </row>
    <row r="653" ht="15.75" customHeight="1">
      <c r="A653" s="197" t="s">
        <v>57</v>
      </c>
      <c r="B653" s="197" t="s">
        <v>22</v>
      </c>
      <c r="C653" s="198" t="s">
        <v>184</v>
      </c>
      <c r="D653" s="197" t="s">
        <v>185</v>
      </c>
      <c r="E653" s="199">
        <v>14.0</v>
      </c>
      <c r="F653" s="200">
        <v>46021.375</v>
      </c>
      <c r="G653" s="197" t="s">
        <v>845</v>
      </c>
      <c r="H653" s="197" t="s">
        <v>851</v>
      </c>
    </row>
    <row r="654" ht="15.75" customHeight="1">
      <c r="A654" s="197" t="s">
        <v>57</v>
      </c>
      <c r="B654" s="197" t="s">
        <v>22</v>
      </c>
      <c r="C654" s="198" t="s">
        <v>184</v>
      </c>
      <c r="D654" s="197" t="s">
        <v>185</v>
      </c>
      <c r="E654" s="199">
        <v>15.0</v>
      </c>
      <c r="F654" s="200">
        <v>46038.45833333333</v>
      </c>
      <c r="G654" s="197" t="s">
        <v>845</v>
      </c>
      <c r="H654" s="197" t="s">
        <v>851</v>
      </c>
    </row>
    <row r="655" ht="15.75" customHeight="1">
      <c r="A655" s="197" t="s">
        <v>57</v>
      </c>
      <c r="B655" s="197" t="s">
        <v>22</v>
      </c>
      <c r="C655" s="198" t="s">
        <v>184</v>
      </c>
      <c r="D655" s="197" t="s">
        <v>185</v>
      </c>
      <c r="E655" s="199">
        <v>16.0</v>
      </c>
      <c r="F655" s="200">
        <v>46083.45833333333</v>
      </c>
      <c r="G655" s="197" t="s">
        <v>845</v>
      </c>
      <c r="H655" s="197" t="s">
        <v>851</v>
      </c>
    </row>
    <row r="656" ht="15.75" customHeight="1">
      <c r="A656" s="197" t="s">
        <v>57</v>
      </c>
      <c r="B656" s="197" t="s">
        <v>22</v>
      </c>
      <c r="C656" s="198" t="s">
        <v>188</v>
      </c>
      <c r="D656" s="197" t="s">
        <v>189</v>
      </c>
      <c r="E656" s="199">
        <v>1.0</v>
      </c>
      <c r="F656" s="200">
        <v>45841.58333333333</v>
      </c>
      <c r="G656" s="197" t="s">
        <v>845</v>
      </c>
      <c r="H656" s="197" t="s">
        <v>851</v>
      </c>
    </row>
    <row r="657" ht="15.75" customHeight="1">
      <c r="A657" s="197" t="s">
        <v>57</v>
      </c>
      <c r="B657" s="197" t="s">
        <v>22</v>
      </c>
      <c r="C657" s="198" t="s">
        <v>188</v>
      </c>
      <c r="D657" s="197" t="s">
        <v>189</v>
      </c>
      <c r="E657" s="199">
        <v>2.0</v>
      </c>
      <c r="F657" s="200">
        <v>45853.41666666667</v>
      </c>
      <c r="G657" s="197" t="s">
        <v>845</v>
      </c>
      <c r="H657" s="197" t="s">
        <v>851</v>
      </c>
    </row>
    <row r="658" ht="15.75" customHeight="1">
      <c r="A658" s="197" t="s">
        <v>57</v>
      </c>
      <c r="B658" s="197" t="s">
        <v>22</v>
      </c>
      <c r="C658" s="198" t="s">
        <v>188</v>
      </c>
      <c r="D658" s="197" t="s">
        <v>189</v>
      </c>
      <c r="E658" s="199">
        <v>3.0</v>
      </c>
      <c r="F658" s="200">
        <v>45882.625</v>
      </c>
      <c r="G658" s="197" t="s">
        <v>845</v>
      </c>
      <c r="H658" s="197" t="s">
        <v>851</v>
      </c>
    </row>
    <row r="659" ht="15.75" customHeight="1">
      <c r="A659" s="197" t="s">
        <v>57</v>
      </c>
      <c r="B659" s="197" t="s">
        <v>22</v>
      </c>
      <c r="C659" s="198" t="s">
        <v>188</v>
      </c>
      <c r="D659" s="197" t="s">
        <v>189</v>
      </c>
      <c r="E659" s="199">
        <v>4.0</v>
      </c>
      <c r="F659" s="200">
        <v>45889.625</v>
      </c>
      <c r="G659" s="197" t="s">
        <v>845</v>
      </c>
      <c r="H659" s="197" t="s">
        <v>851</v>
      </c>
    </row>
    <row r="660" ht="15.75" customHeight="1">
      <c r="A660" s="197" t="s">
        <v>57</v>
      </c>
      <c r="B660" s="197" t="s">
        <v>22</v>
      </c>
      <c r="C660" s="198" t="s">
        <v>188</v>
      </c>
      <c r="D660" s="197" t="s">
        <v>189</v>
      </c>
      <c r="E660" s="199">
        <v>5.0</v>
      </c>
      <c r="F660" s="200">
        <v>45917.625</v>
      </c>
      <c r="G660" s="197" t="s">
        <v>845</v>
      </c>
      <c r="H660" s="197" t="s">
        <v>851</v>
      </c>
    </row>
    <row r="661" ht="15.75" customHeight="1">
      <c r="A661" s="197" t="s">
        <v>57</v>
      </c>
      <c r="B661" s="197" t="s">
        <v>22</v>
      </c>
      <c r="C661" s="198" t="s">
        <v>188</v>
      </c>
      <c r="D661" s="197" t="s">
        <v>189</v>
      </c>
      <c r="E661" s="199">
        <v>6.0</v>
      </c>
      <c r="F661" s="200">
        <v>45924.625</v>
      </c>
      <c r="G661" s="197" t="s">
        <v>845</v>
      </c>
      <c r="H661" s="197" t="s">
        <v>851</v>
      </c>
    </row>
    <row r="662" ht="15.75" customHeight="1">
      <c r="A662" s="197" t="s">
        <v>57</v>
      </c>
      <c r="B662" s="197" t="s">
        <v>22</v>
      </c>
      <c r="C662" s="198" t="s">
        <v>188</v>
      </c>
      <c r="D662" s="197" t="s">
        <v>189</v>
      </c>
      <c r="E662" s="199">
        <v>7.0</v>
      </c>
      <c r="F662" s="200">
        <v>45931.625</v>
      </c>
      <c r="G662" s="197" t="s">
        <v>845</v>
      </c>
      <c r="H662" s="197" t="s">
        <v>851</v>
      </c>
    </row>
    <row r="663" ht="15.75" customHeight="1">
      <c r="A663" s="197" t="s">
        <v>57</v>
      </c>
      <c r="B663" s="197" t="s">
        <v>22</v>
      </c>
      <c r="C663" s="198" t="s">
        <v>188</v>
      </c>
      <c r="D663" s="197" t="s">
        <v>189</v>
      </c>
      <c r="E663" s="199">
        <v>8.0</v>
      </c>
      <c r="F663" s="200">
        <v>45953.41666666667</v>
      </c>
      <c r="G663" s="197" t="s">
        <v>845</v>
      </c>
      <c r="H663" s="197" t="s">
        <v>851</v>
      </c>
    </row>
    <row r="664" ht="15.75" customHeight="1">
      <c r="A664" s="197" t="s">
        <v>57</v>
      </c>
      <c r="B664" s="197" t="s">
        <v>22</v>
      </c>
      <c r="C664" s="198" t="s">
        <v>188</v>
      </c>
      <c r="D664" s="197" t="s">
        <v>189</v>
      </c>
      <c r="E664" s="199">
        <v>9.0</v>
      </c>
      <c r="F664" s="200">
        <v>45960.41666666667</v>
      </c>
      <c r="G664" s="197" t="s">
        <v>845</v>
      </c>
      <c r="H664" s="197" t="s">
        <v>851</v>
      </c>
    </row>
    <row r="665" ht="15.75" customHeight="1">
      <c r="A665" s="197" t="s">
        <v>57</v>
      </c>
      <c r="B665" s="197" t="s">
        <v>22</v>
      </c>
      <c r="C665" s="198" t="s">
        <v>188</v>
      </c>
      <c r="D665" s="197" t="s">
        <v>189</v>
      </c>
      <c r="E665" s="199">
        <v>10.0</v>
      </c>
      <c r="F665" s="200">
        <v>45982.45833333333</v>
      </c>
      <c r="G665" s="197" t="s">
        <v>845</v>
      </c>
      <c r="H665" s="197" t="s">
        <v>851</v>
      </c>
    </row>
    <row r="666" ht="15.75" customHeight="1">
      <c r="A666" s="197" t="s">
        <v>57</v>
      </c>
      <c r="B666" s="197" t="s">
        <v>22</v>
      </c>
      <c r="C666" s="198" t="s">
        <v>188</v>
      </c>
      <c r="D666" s="197" t="s">
        <v>189</v>
      </c>
      <c r="E666" s="199">
        <v>11.0</v>
      </c>
      <c r="F666" s="200">
        <v>45989.45833333333</v>
      </c>
      <c r="G666" s="197" t="s">
        <v>845</v>
      </c>
      <c r="H666" s="197" t="s">
        <v>851</v>
      </c>
    </row>
    <row r="667" ht="15.75" customHeight="1">
      <c r="A667" s="197" t="s">
        <v>57</v>
      </c>
      <c r="B667" s="197" t="s">
        <v>22</v>
      </c>
      <c r="C667" s="198" t="s">
        <v>188</v>
      </c>
      <c r="D667" s="197" t="s">
        <v>189</v>
      </c>
      <c r="E667" s="199">
        <v>12.0</v>
      </c>
      <c r="F667" s="200">
        <v>45996.41666666667</v>
      </c>
      <c r="G667" s="197" t="s">
        <v>843</v>
      </c>
      <c r="H667" s="197" t="s">
        <v>851</v>
      </c>
    </row>
    <row r="668" ht="15.75" customHeight="1">
      <c r="A668" s="197" t="s">
        <v>57</v>
      </c>
      <c r="B668" s="197" t="s">
        <v>22</v>
      </c>
      <c r="C668" s="198" t="s">
        <v>188</v>
      </c>
      <c r="D668" s="197" t="s">
        <v>189</v>
      </c>
      <c r="E668" s="199">
        <v>13.0</v>
      </c>
      <c r="F668" s="200">
        <v>46010.41666666667</v>
      </c>
      <c r="G668" s="197" t="s">
        <v>843</v>
      </c>
      <c r="H668" s="197" t="s">
        <v>851</v>
      </c>
    </row>
    <row r="669" ht="15.75" customHeight="1">
      <c r="A669" s="197" t="s">
        <v>57</v>
      </c>
      <c r="B669" s="197" t="s">
        <v>22</v>
      </c>
      <c r="C669" s="198" t="s">
        <v>188</v>
      </c>
      <c r="D669" s="197" t="s">
        <v>189</v>
      </c>
      <c r="E669" s="199">
        <v>14.0</v>
      </c>
      <c r="F669" s="200">
        <v>46021.375</v>
      </c>
      <c r="G669" s="197" t="s">
        <v>843</v>
      </c>
      <c r="H669" s="197" t="s">
        <v>851</v>
      </c>
    </row>
    <row r="670" ht="15.75" customHeight="1">
      <c r="A670" s="197" t="s">
        <v>57</v>
      </c>
      <c r="B670" s="197" t="s">
        <v>22</v>
      </c>
      <c r="C670" s="198" t="s">
        <v>188</v>
      </c>
      <c r="D670" s="197" t="s">
        <v>189</v>
      </c>
      <c r="E670" s="199">
        <v>15.0</v>
      </c>
      <c r="F670" s="200">
        <v>46038.45833333333</v>
      </c>
      <c r="G670" s="197" t="s">
        <v>843</v>
      </c>
      <c r="H670" s="197" t="s">
        <v>851</v>
      </c>
    </row>
    <row r="671" ht="15.75" customHeight="1">
      <c r="A671" s="197" t="s">
        <v>57</v>
      </c>
      <c r="B671" s="197" t="s">
        <v>21</v>
      </c>
      <c r="C671" s="198" t="s">
        <v>230</v>
      </c>
      <c r="D671" s="197" t="s">
        <v>231</v>
      </c>
      <c r="E671" s="199">
        <v>1.0</v>
      </c>
      <c r="F671" s="200">
        <v>45702.45833333333</v>
      </c>
      <c r="G671" s="197" t="s">
        <v>845</v>
      </c>
      <c r="H671" s="197" t="s">
        <v>851</v>
      </c>
    </row>
    <row r="672" ht="15.75" customHeight="1">
      <c r="A672" s="197" t="s">
        <v>57</v>
      </c>
      <c r="B672" s="197" t="s">
        <v>21</v>
      </c>
      <c r="C672" s="198" t="s">
        <v>230</v>
      </c>
      <c r="D672" s="197" t="s">
        <v>231</v>
      </c>
      <c r="E672" s="199">
        <v>2.0</v>
      </c>
      <c r="F672" s="200">
        <v>45709.45833333333</v>
      </c>
      <c r="G672" s="197" t="s">
        <v>845</v>
      </c>
      <c r="H672" s="197" t="s">
        <v>851</v>
      </c>
    </row>
    <row r="673" ht="15.75" customHeight="1">
      <c r="A673" s="197" t="s">
        <v>57</v>
      </c>
      <c r="B673" s="197" t="s">
        <v>21</v>
      </c>
      <c r="C673" s="198" t="s">
        <v>230</v>
      </c>
      <c r="D673" s="197" t="s">
        <v>231</v>
      </c>
      <c r="E673" s="199">
        <v>3.0</v>
      </c>
      <c r="F673" s="200">
        <v>45716.45833333333</v>
      </c>
      <c r="G673" s="197" t="s">
        <v>845</v>
      </c>
      <c r="H673" s="197" t="s">
        <v>851</v>
      </c>
    </row>
    <row r="674" ht="15.75" customHeight="1">
      <c r="A674" s="197" t="s">
        <v>57</v>
      </c>
      <c r="B674" s="197" t="s">
        <v>21</v>
      </c>
      <c r="C674" s="198" t="s">
        <v>230</v>
      </c>
      <c r="D674" s="197" t="s">
        <v>231</v>
      </c>
      <c r="E674" s="199">
        <v>4.0</v>
      </c>
      <c r="F674" s="200">
        <v>45765.45833333333</v>
      </c>
      <c r="G674" s="197" t="s">
        <v>845</v>
      </c>
      <c r="H674" s="197" t="s">
        <v>851</v>
      </c>
    </row>
    <row r="675" ht="15.75" customHeight="1">
      <c r="A675" s="197" t="s">
        <v>57</v>
      </c>
      <c r="B675" s="197" t="s">
        <v>21</v>
      </c>
      <c r="C675" s="198" t="s">
        <v>230</v>
      </c>
      <c r="D675" s="197" t="s">
        <v>231</v>
      </c>
      <c r="E675" s="199">
        <v>5.0</v>
      </c>
      <c r="F675" s="200">
        <v>45770.45833333333</v>
      </c>
      <c r="G675" s="197" t="s">
        <v>845</v>
      </c>
      <c r="H675" s="197" t="s">
        <v>851</v>
      </c>
    </row>
    <row r="676" ht="15.75" customHeight="1">
      <c r="A676" s="197" t="s">
        <v>57</v>
      </c>
      <c r="B676" s="197" t="s">
        <v>21</v>
      </c>
      <c r="C676" s="198" t="s">
        <v>230</v>
      </c>
      <c r="D676" s="197" t="s">
        <v>231</v>
      </c>
      <c r="E676" s="199">
        <v>6.0</v>
      </c>
      <c r="F676" s="200">
        <v>45785.45833333333</v>
      </c>
      <c r="G676" s="197" t="s">
        <v>845</v>
      </c>
      <c r="H676" s="197" t="s">
        <v>851</v>
      </c>
    </row>
    <row r="677" ht="15.75" customHeight="1">
      <c r="A677" s="197" t="s">
        <v>57</v>
      </c>
      <c r="B677" s="197" t="s">
        <v>21</v>
      </c>
      <c r="C677" s="198" t="s">
        <v>230</v>
      </c>
      <c r="D677" s="197" t="s">
        <v>231</v>
      </c>
      <c r="E677" s="199">
        <v>7.0</v>
      </c>
      <c r="F677" s="200">
        <v>45792.45833333333</v>
      </c>
      <c r="G677" s="197" t="s">
        <v>845</v>
      </c>
      <c r="H677" s="197" t="s">
        <v>851</v>
      </c>
    </row>
    <row r="678" ht="15.75" customHeight="1">
      <c r="A678" s="197" t="s">
        <v>57</v>
      </c>
      <c r="B678" s="197" t="s">
        <v>21</v>
      </c>
      <c r="C678" s="198" t="s">
        <v>230</v>
      </c>
      <c r="D678" s="197" t="s">
        <v>231</v>
      </c>
      <c r="E678" s="199">
        <v>8.0</v>
      </c>
      <c r="F678" s="200">
        <v>45800.45833333333</v>
      </c>
      <c r="G678" s="197" t="s">
        <v>845</v>
      </c>
      <c r="H678" s="197" t="s">
        <v>851</v>
      </c>
    </row>
    <row r="679" ht="15.75" customHeight="1">
      <c r="A679" s="197" t="s">
        <v>57</v>
      </c>
      <c r="B679" s="197" t="s">
        <v>21</v>
      </c>
      <c r="C679" s="198" t="s">
        <v>230</v>
      </c>
      <c r="D679" s="197" t="s">
        <v>231</v>
      </c>
      <c r="E679" s="199">
        <v>9.0</v>
      </c>
      <c r="F679" s="200">
        <v>45806.54166666667</v>
      </c>
      <c r="G679" s="197" t="s">
        <v>845</v>
      </c>
      <c r="H679" s="197" t="s">
        <v>851</v>
      </c>
    </row>
    <row r="680" ht="15.75" customHeight="1">
      <c r="A680" s="197" t="s">
        <v>57</v>
      </c>
      <c r="B680" s="197" t="s">
        <v>21</v>
      </c>
      <c r="C680" s="198" t="s">
        <v>230</v>
      </c>
      <c r="D680" s="197" t="s">
        <v>231</v>
      </c>
      <c r="E680" s="199">
        <v>10.0</v>
      </c>
      <c r="F680" s="200">
        <v>45813.41666666667</v>
      </c>
      <c r="G680" s="197" t="s">
        <v>845</v>
      </c>
      <c r="H680" s="197" t="s">
        <v>851</v>
      </c>
    </row>
    <row r="681" ht="15.75" customHeight="1">
      <c r="A681" s="197" t="s">
        <v>57</v>
      </c>
      <c r="B681" s="197" t="s">
        <v>21</v>
      </c>
      <c r="C681" s="198" t="s">
        <v>230</v>
      </c>
      <c r="D681" s="197" t="s">
        <v>231</v>
      </c>
      <c r="E681" s="199">
        <v>11.0</v>
      </c>
      <c r="F681" s="200">
        <v>45820.41666666667</v>
      </c>
      <c r="G681" s="197" t="s">
        <v>845</v>
      </c>
      <c r="H681" s="197" t="s">
        <v>851</v>
      </c>
    </row>
    <row r="682" ht="15.75" customHeight="1">
      <c r="A682" s="197" t="s">
        <v>57</v>
      </c>
      <c r="B682" s="197" t="s">
        <v>21</v>
      </c>
      <c r="C682" s="198" t="s">
        <v>230</v>
      </c>
      <c r="D682" s="197" t="s">
        <v>231</v>
      </c>
      <c r="E682" s="199">
        <v>12.0</v>
      </c>
      <c r="F682" s="200">
        <v>45841.41666666667</v>
      </c>
      <c r="G682" s="197" t="s">
        <v>845</v>
      </c>
      <c r="H682" s="197" t="s">
        <v>851</v>
      </c>
    </row>
    <row r="683" ht="15.75" customHeight="1">
      <c r="A683" s="197" t="s">
        <v>57</v>
      </c>
      <c r="B683" s="197" t="s">
        <v>22</v>
      </c>
      <c r="C683" s="198" t="s">
        <v>230</v>
      </c>
      <c r="D683" s="197" t="s">
        <v>231</v>
      </c>
      <c r="E683" s="199">
        <v>1.0</v>
      </c>
      <c r="F683" s="200">
        <v>45890.41666666667</v>
      </c>
      <c r="G683" s="197" t="s">
        <v>845</v>
      </c>
      <c r="H683" s="197" t="s">
        <v>851</v>
      </c>
    </row>
    <row r="684" ht="15.75" customHeight="1">
      <c r="A684" s="197" t="s">
        <v>57</v>
      </c>
      <c r="B684" s="197" t="s">
        <v>22</v>
      </c>
      <c r="C684" s="198" t="s">
        <v>230</v>
      </c>
      <c r="D684" s="197" t="s">
        <v>231</v>
      </c>
      <c r="E684" s="199">
        <v>2.0</v>
      </c>
      <c r="F684" s="200">
        <v>45897.41666666667</v>
      </c>
      <c r="G684" s="197" t="s">
        <v>845</v>
      </c>
      <c r="H684" s="197" t="s">
        <v>851</v>
      </c>
    </row>
    <row r="685" ht="15.75" customHeight="1">
      <c r="A685" s="197" t="s">
        <v>57</v>
      </c>
      <c r="B685" s="197" t="s">
        <v>22</v>
      </c>
      <c r="C685" s="198" t="s">
        <v>230</v>
      </c>
      <c r="D685" s="197" t="s">
        <v>231</v>
      </c>
      <c r="E685" s="199">
        <v>3.0</v>
      </c>
      <c r="F685" s="200">
        <v>45904.41666666667</v>
      </c>
      <c r="G685" s="197" t="s">
        <v>845</v>
      </c>
      <c r="H685" s="197" t="s">
        <v>851</v>
      </c>
    </row>
    <row r="686" ht="15.75" customHeight="1">
      <c r="A686" s="197" t="s">
        <v>57</v>
      </c>
      <c r="B686" s="197" t="s">
        <v>22</v>
      </c>
      <c r="C686" s="198" t="s">
        <v>230</v>
      </c>
      <c r="D686" s="197" t="s">
        <v>231</v>
      </c>
      <c r="E686" s="199">
        <v>4.0</v>
      </c>
      <c r="F686" s="200">
        <v>45911.41666666667</v>
      </c>
      <c r="G686" s="197" t="s">
        <v>845</v>
      </c>
      <c r="H686" s="197" t="s">
        <v>851</v>
      </c>
    </row>
    <row r="687" ht="15.75" customHeight="1">
      <c r="A687" s="197" t="s">
        <v>57</v>
      </c>
      <c r="B687" s="197" t="s">
        <v>22</v>
      </c>
      <c r="C687" s="198" t="s">
        <v>230</v>
      </c>
      <c r="D687" s="197" t="s">
        <v>231</v>
      </c>
      <c r="E687" s="199">
        <v>5.0</v>
      </c>
      <c r="F687" s="200">
        <v>45925.41666666667</v>
      </c>
      <c r="G687" s="197" t="s">
        <v>845</v>
      </c>
      <c r="H687" s="197" t="s">
        <v>851</v>
      </c>
    </row>
    <row r="688" ht="15.75" customHeight="1">
      <c r="A688" s="197" t="s">
        <v>57</v>
      </c>
      <c r="B688" s="197" t="s">
        <v>22</v>
      </c>
      <c r="C688" s="198" t="s">
        <v>230</v>
      </c>
      <c r="D688" s="197" t="s">
        <v>231</v>
      </c>
      <c r="E688" s="199">
        <v>6.0</v>
      </c>
      <c r="F688" s="200">
        <v>45939.41666666667</v>
      </c>
      <c r="G688" s="197" t="s">
        <v>845</v>
      </c>
      <c r="H688" s="197" t="s">
        <v>851</v>
      </c>
    </row>
    <row r="689" ht="15.75" customHeight="1">
      <c r="A689" s="197" t="s">
        <v>57</v>
      </c>
      <c r="B689" s="197" t="s">
        <v>22</v>
      </c>
      <c r="C689" s="198" t="s">
        <v>230</v>
      </c>
      <c r="D689" s="197" t="s">
        <v>231</v>
      </c>
      <c r="E689" s="199">
        <v>7.0</v>
      </c>
      <c r="F689" s="200">
        <v>45946.41666666667</v>
      </c>
      <c r="G689" s="197" t="s">
        <v>845</v>
      </c>
      <c r="H689" s="197" t="s">
        <v>851</v>
      </c>
    </row>
    <row r="690" ht="15.75" customHeight="1">
      <c r="A690" s="197" t="s">
        <v>57</v>
      </c>
      <c r="B690" s="197" t="s">
        <v>22</v>
      </c>
      <c r="C690" s="198" t="s">
        <v>230</v>
      </c>
      <c r="D690" s="197" t="s">
        <v>231</v>
      </c>
      <c r="E690" s="199">
        <v>8.0</v>
      </c>
      <c r="F690" s="200">
        <v>45953.41666666667</v>
      </c>
      <c r="G690" s="197" t="s">
        <v>845</v>
      </c>
      <c r="H690" s="197" t="s">
        <v>851</v>
      </c>
    </row>
    <row r="691" ht="15.75" customHeight="1">
      <c r="A691" s="197" t="s">
        <v>57</v>
      </c>
      <c r="B691" s="197" t="s">
        <v>22</v>
      </c>
      <c r="C691" s="198" t="s">
        <v>230</v>
      </c>
      <c r="D691" s="197" t="s">
        <v>231</v>
      </c>
      <c r="E691" s="199">
        <v>9.0</v>
      </c>
      <c r="F691" s="200">
        <v>45960.41666666667</v>
      </c>
      <c r="G691" s="197" t="s">
        <v>845</v>
      </c>
      <c r="H691" s="197" t="s">
        <v>851</v>
      </c>
    </row>
    <row r="692" ht="15.75" customHeight="1">
      <c r="A692" s="197" t="s">
        <v>57</v>
      </c>
      <c r="B692" s="197" t="s">
        <v>22</v>
      </c>
      <c r="C692" s="198" t="s">
        <v>230</v>
      </c>
      <c r="D692" s="197" t="s">
        <v>231</v>
      </c>
      <c r="E692" s="199">
        <v>10.0</v>
      </c>
      <c r="F692" s="200">
        <v>45982.45833333333</v>
      </c>
      <c r="G692" s="197" t="s">
        <v>845</v>
      </c>
      <c r="H692" s="197" t="s">
        <v>851</v>
      </c>
    </row>
    <row r="693" ht="15.75" customHeight="1">
      <c r="A693" s="197" t="s">
        <v>57</v>
      </c>
      <c r="B693" s="197" t="s">
        <v>22</v>
      </c>
      <c r="C693" s="198" t="s">
        <v>230</v>
      </c>
      <c r="D693" s="197" t="s">
        <v>231</v>
      </c>
      <c r="E693" s="199">
        <v>11.0</v>
      </c>
      <c r="F693" s="200">
        <v>45989.45833333333</v>
      </c>
      <c r="G693" s="197" t="s">
        <v>843</v>
      </c>
      <c r="H693" s="197" t="s">
        <v>851</v>
      </c>
    </row>
    <row r="694" ht="15.75" customHeight="1">
      <c r="A694" s="197" t="s">
        <v>57</v>
      </c>
      <c r="B694" s="197" t="s">
        <v>22</v>
      </c>
      <c r="C694" s="198" t="s">
        <v>230</v>
      </c>
      <c r="D694" s="197" t="s">
        <v>231</v>
      </c>
      <c r="E694" s="199">
        <v>12.0</v>
      </c>
      <c r="F694" s="200">
        <v>45996.41666666667</v>
      </c>
      <c r="G694" s="197" t="s">
        <v>843</v>
      </c>
      <c r="H694" s="197" t="s">
        <v>851</v>
      </c>
    </row>
    <row r="695" ht="15.75" customHeight="1">
      <c r="A695" s="197" t="s">
        <v>57</v>
      </c>
      <c r="B695" s="197" t="s">
        <v>22</v>
      </c>
      <c r="C695" s="198" t="s">
        <v>230</v>
      </c>
      <c r="D695" s="197" t="s">
        <v>231</v>
      </c>
      <c r="E695" s="199">
        <v>13.0</v>
      </c>
      <c r="F695" s="200">
        <v>46010.41666666667</v>
      </c>
      <c r="G695" s="197" t="s">
        <v>845</v>
      </c>
      <c r="H695" s="197" t="s">
        <v>851</v>
      </c>
    </row>
    <row r="696" ht="15.75" customHeight="1">
      <c r="A696" s="197" t="s">
        <v>57</v>
      </c>
      <c r="B696" s="197" t="s">
        <v>22</v>
      </c>
      <c r="C696" s="198" t="s">
        <v>230</v>
      </c>
      <c r="D696" s="197" t="s">
        <v>231</v>
      </c>
      <c r="E696" s="199">
        <v>14.0</v>
      </c>
      <c r="F696" s="200">
        <v>46021.375</v>
      </c>
      <c r="G696" s="197" t="s">
        <v>845</v>
      </c>
      <c r="H696" s="197" t="s">
        <v>851</v>
      </c>
    </row>
    <row r="697" ht="15.75" customHeight="1">
      <c r="A697" s="197" t="s">
        <v>57</v>
      </c>
      <c r="B697" s="197" t="s">
        <v>21</v>
      </c>
      <c r="C697" s="198" t="s">
        <v>357</v>
      </c>
      <c r="D697" s="197" t="s">
        <v>358</v>
      </c>
      <c r="E697" s="199">
        <v>1.0</v>
      </c>
      <c r="F697" s="200">
        <v>45702.45833333333</v>
      </c>
      <c r="G697" s="197" t="s">
        <v>845</v>
      </c>
      <c r="H697" s="197" t="s">
        <v>851</v>
      </c>
    </row>
    <row r="698" ht="15.75" customHeight="1">
      <c r="A698" s="197" t="s">
        <v>57</v>
      </c>
      <c r="B698" s="197" t="s">
        <v>21</v>
      </c>
      <c r="C698" s="198" t="s">
        <v>357</v>
      </c>
      <c r="D698" s="197" t="s">
        <v>358</v>
      </c>
      <c r="E698" s="199">
        <v>2.0</v>
      </c>
      <c r="F698" s="200">
        <v>45709.45833333333</v>
      </c>
      <c r="G698" s="197" t="s">
        <v>845</v>
      </c>
      <c r="H698" s="197" t="s">
        <v>851</v>
      </c>
    </row>
    <row r="699" ht="15.75" customHeight="1">
      <c r="A699" s="197" t="s">
        <v>57</v>
      </c>
      <c r="B699" s="197" t="s">
        <v>21</v>
      </c>
      <c r="C699" s="198" t="s">
        <v>357</v>
      </c>
      <c r="D699" s="197" t="s">
        <v>358</v>
      </c>
      <c r="E699" s="199">
        <v>3.0</v>
      </c>
      <c r="F699" s="200">
        <v>45716.45833333333</v>
      </c>
      <c r="G699" s="197" t="s">
        <v>845</v>
      </c>
      <c r="H699" s="197" t="s">
        <v>851</v>
      </c>
    </row>
    <row r="700" ht="15.75" customHeight="1">
      <c r="A700" s="197" t="s">
        <v>57</v>
      </c>
      <c r="B700" s="197" t="s">
        <v>21</v>
      </c>
      <c r="C700" s="198" t="s">
        <v>357</v>
      </c>
      <c r="D700" s="197" t="s">
        <v>358</v>
      </c>
      <c r="E700" s="199">
        <v>4.0</v>
      </c>
      <c r="F700" s="200">
        <v>45765.45833333333</v>
      </c>
      <c r="G700" s="197" t="s">
        <v>845</v>
      </c>
      <c r="H700" s="197" t="s">
        <v>851</v>
      </c>
    </row>
    <row r="701" ht="15.75" customHeight="1">
      <c r="A701" s="197" t="s">
        <v>57</v>
      </c>
      <c r="B701" s="197" t="s">
        <v>21</v>
      </c>
      <c r="C701" s="198" t="s">
        <v>357</v>
      </c>
      <c r="D701" s="197" t="s">
        <v>358</v>
      </c>
      <c r="E701" s="199">
        <v>5.0</v>
      </c>
      <c r="F701" s="200">
        <v>45770.45833333333</v>
      </c>
      <c r="G701" s="197" t="s">
        <v>845</v>
      </c>
      <c r="H701" s="197" t="s">
        <v>851</v>
      </c>
    </row>
    <row r="702" ht="15.75" customHeight="1">
      <c r="A702" s="197" t="s">
        <v>57</v>
      </c>
      <c r="B702" s="197" t="s">
        <v>21</v>
      </c>
      <c r="C702" s="198" t="s">
        <v>357</v>
      </c>
      <c r="D702" s="197" t="s">
        <v>358</v>
      </c>
      <c r="E702" s="199">
        <v>6.0</v>
      </c>
      <c r="F702" s="200">
        <v>45785.45833333333</v>
      </c>
      <c r="G702" s="197" t="s">
        <v>845</v>
      </c>
      <c r="H702" s="197" t="s">
        <v>851</v>
      </c>
    </row>
    <row r="703" ht="15.75" customHeight="1">
      <c r="A703" s="197" t="s">
        <v>57</v>
      </c>
      <c r="B703" s="197" t="s">
        <v>21</v>
      </c>
      <c r="C703" s="198" t="s">
        <v>357</v>
      </c>
      <c r="D703" s="197" t="s">
        <v>358</v>
      </c>
      <c r="E703" s="199">
        <v>7.0</v>
      </c>
      <c r="F703" s="200">
        <v>45792.45833333333</v>
      </c>
      <c r="G703" s="197" t="s">
        <v>845</v>
      </c>
      <c r="H703" s="197" t="s">
        <v>851</v>
      </c>
    </row>
    <row r="704" ht="15.75" customHeight="1">
      <c r="A704" s="197" t="s">
        <v>57</v>
      </c>
      <c r="B704" s="197" t="s">
        <v>21</v>
      </c>
      <c r="C704" s="198" t="s">
        <v>357</v>
      </c>
      <c r="D704" s="197" t="s">
        <v>358</v>
      </c>
      <c r="E704" s="199">
        <v>8.0</v>
      </c>
      <c r="F704" s="200">
        <v>45800.45833333333</v>
      </c>
      <c r="G704" s="197" t="s">
        <v>845</v>
      </c>
      <c r="H704" s="197" t="s">
        <v>851</v>
      </c>
    </row>
    <row r="705" ht="15.75" customHeight="1">
      <c r="A705" s="197" t="s">
        <v>57</v>
      </c>
      <c r="B705" s="197" t="s">
        <v>21</v>
      </c>
      <c r="C705" s="198" t="s">
        <v>357</v>
      </c>
      <c r="D705" s="197" t="s">
        <v>358</v>
      </c>
      <c r="E705" s="199">
        <v>9.0</v>
      </c>
      <c r="F705" s="200">
        <v>45806.54166666667</v>
      </c>
      <c r="G705" s="197" t="s">
        <v>845</v>
      </c>
      <c r="H705" s="197" t="s">
        <v>851</v>
      </c>
    </row>
    <row r="706" ht="15.75" customHeight="1">
      <c r="A706" s="197" t="s">
        <v>57</v>
      </c>
      <c r="B706" s="197" t="s">
        <v>21</v>
      </c>
      <c r="C706" s="198" t="s">
        <v>357</v>
      </c>
      <c r="D706" s="197" t="s">
        <v>358</v>
      </c>
      <c r="E706" s="199">
        <v>10.0</v>
      </c>
      <c r="F706" s="200">
        <v>45813.41666666667</v>
      </c>
      <c r="G706" s="197" t="s">
        <v>845</v>
      </c>
      <c r="H706" s="197" t="s">
        <v>851</v>
      </c>
    </row>
    <row r="707" ht="15.75" customHeight="1">
      <c r="A707" s="197" t="s">
        <v>57</v>
      </c>
      <c r="B707" s="197" t="s">
        <v>21</v>
      </c>
      <c r="C707" s="198" t="s">
        <v>357</v>
      </c>
      <c r="D707" s="197" t="s">
        <v>358</v>
      </c>
      <c r="E707" s="199">
        <v>11.0</v>
      </c>
      <c r="F707" s="200">
        <v>45820.41666666667</v>
      </c>
      <c r="G707" s="197" t="s">
        <v>845</v>
      </c>
      <c r="H707" s="197" t="s">
        <v>851</v>
      </c>
    </row>
    <row r="708" ht="15.75" customHeight="1">
      <c r="A708" s="197" t="s">
        <v>57</v>
      </c>
      <c r="B708" s="197" t="s">
        <v>21</v>
      </c>
      <c r="C708" s="198" t="s">
        <v>357</v>
      </c>
      <c r="D708" s="197" t="s">
        <v>358</v>
      </c>
      <c r="E708" s="199">
        <v>12.0</v>
      </c>
      <c r="F708" s="200">
        <v>45841.41666666667</v>
      </c>
      <c r="G708" s="197" t="s">
        <v>845</v>
      </c>
      <c r="H708" s="197" t="s">
        <v>851</v>
      </c>
    </row>
    <row r="709" ht="15.75" customHeight="1">
      <c r="A709" s="197" t="s">
        <v>57</v>
      </c>
      <c r="B709" s="197" t="s">
        <v>22</v>
      </c>
      <c r="C709" s="198" t="s">
        <v>357</v>
      </c>
      <c r="D709" s="197" t="s">
        <v>358</v>
      </c>
      <c r="E709" s="199">
        <v>1.0</v>
      </c>
      <c r="F709" s="200">
        <v>45890.41666666667</v>
      </c>
      <c r="G709" s="197" t="s">
        <v>845</v>
      </c>
      <c r="H709" s="197" t="s">
        <v>851</v>
      </c>
    </row>
    <row r="710" ht="15.75" customHeight="1">
      <c r="A710" s="197" t="s">
        <v>57</v>
      </c>
      <c r="B710" s="197" t="s">
        <v>22</v>
      </c>
      <c r="C710" s="198" t="s">
        <v>357</v>
      </c>
      <c r="D710" s="197" t="s">
        <v>358</v>
      </c>
      <c r="E710" s="199">
        <v>2.0</v>
      </c>
      <c r="F710" s="200">
        <v>45897.41666666667</v>
      </c>
      <c r="G710" s="197" t="s">
        <v>845</v>
      </c>
      <c r="H710" s="197" t="s">
        <v>851</v>
      </c>
    </row>
    <row r="711" ht="15.75" customHeight="1">
      <c r="A711" s="197" t="s">
        <v>57</v>
      </c>
      <c r="B711" s="197" t="s">
        <v>22</v>
      </c>
      <c r="C711" s="198" t="s">
        <v>357</v>
      </c>
      <c r="D711" s="197" t="s">
        <v>358</v>
      </c>
      <c r="E711" s="199">
        <v>3.0</v>
      </c>
      <c r="F711" s="200">
        <v>45904.41666666667</v>
      </c>
      <c r="G711" s="197" t="s">
        <v>845</v>
      </c>
      <c r="H711" s="197" t="s">
        <v>851</v>
      </c>
    </row>
    <row r="712" ht="15.75" customHeight="1">
      <c r="A712" s="197" t="s">
        <v>57</v>
      </c>
      <c r="B712" s="197" t="s">
        <v>22</v>
      </c>
      <c r="C712" s="198" t="s">
        <v>357</v>
      </c>
      <c r="D712" s="197" t="s">
        <v>358</v>
      </c>
      <c r="E712" s="199">
        <v>4.0</v>
      </c>
      <c r="F712" s="200">
        <v>45911.41666666667</v>
      </c>
      <c r="G712" s="197" t="s">
        <v>845</v>
      </c>
      <c r="H712" s="197" t="s">
        <v>851</v>
      </c>
    </row>
    <row r="713" ht="15.75" customHeight="1">
      <c r="A713" s="197" t="s">
        <v>57</v>
      </c>
      <c r="B713" s="197" t="s">
        <v>22</v>
      </c>
      <c r="C713" s="198" t="s">
        <v>357</v>
      </c>
      <c r="D713" s="197" t="s">
        <v>358</v>
      </c>
      <c r="E713" s="199">
        <v>5.0</v>
      </c>
      <c r="F713" s="200">
        <v>45925.41666666667</v>
      </c>
      <c r="G713" s="197" t="s">
        <v>845</v>
      </c>
      <c r="H713" s="197" t="s">
        <v>851</v>
      </c>
    </row>
    <row r="714" ht="15.75" customHeight="1">
      <c r="A714" s="197" t="s">
        <v>57</v>
      </c>
      <c r="B714" s="197" t="s">
        <v>22</v>
      </c>
      <c r="C714" s="198" t="s">
        <v>357</v>
      </c>
      <c r="D714" s="197" t="s">
        <v>358</v>
      </c>
      <c r="E714" s="199">
        <v>6.0</v>
      </c>
      <c r="F714" s="200">
        <v>45939.41666666667</v>
      </c>
      <c r="G714" s="197" t="s">
        <v>845</v>
      </c>
      <c r="H714" s="197" t="s">
        <v>851</v>
      </c>
    </row>
    <row r="715" ht="15.75" customHeight="1">
      <c r="A715" s="197" t="s">
        <v>57</v>
      </c>
      <c r="B715" s="197" t="s">
        <v>22</v>
      </c>
      <c r="C715" s="198" t="s">
        <v>357</v>
      </c>
      <c r="D715" s="197" t="s">
        <v>358</v>
      </c>
      <c r="E715" s="199">
        <v>7.0</v>
      </c>
      <c r="F715" s="200">
        <v>45946.41666666667</v>
      </c>
      <c r="G715" s="197" t="s">
        <v>845</v>
      </c>
      <c r="H715" s="197" t="s">
        <v>851</v>
      </c>
    </row>
    <row r="716" ht="15.75" customHeight="1">
      <c r="A716" s="197" t="s">
        <v>57</v>
      </c>
      <c r="B716" s="197" t="s">
        <v>22</v>
      </c>
      <c r="C716" s="198" t="s">
        <v>357</v>
      </c>
      <c r="D716" s="197" t="s">
        <v>358</v>
      </c>
      <c r="E716" s="199">
        <v>8.0</v>
      </c>
      <c r="F716" s="200">
        <v>45953.41666666667</v>
      </c>
      <c r="G716" s="197" t="s">
        <v>845</v>
      </c>
      <c r="H716" s="197" t="s">
        <v>851</v>
      </c>
    </row>
    <row r="717" ht="15.75" customHeight="1">
      <c r="A717" s="197" t="s">
        <v>57</v>
      </c>
      <c r="B717" s="197" t="s">
        <v>22</v>
      </c>
      <c r="C717" s="198" t="s">
        <v>357</v>
      </c>
      <c r="D717" s="197" t="s">
        <v>358</v>
      </c>
      <c r="E717" s="199">
        <v>9.0</v>
      </c>
      <c r="F717" s="200">
        <v>45960.41666666667</v>
      </c>
      <c r="G717" s="197" t="s">
        <v>845</v>
      </c>
      <c r="H717" s="197" t="s">
        <v>851</v>
      </c>
    </row>
    <row r="718" ht="15.75" customHeight="1">
      <c r="A718" s="197" t="s">
        <v>57</v>
      </c>
      <c r="B718" s="197" t="s">
        <v>22</v>
      </c>
      <c r="C718" s="198" t="s">
        <v>357</v>
      </c>
      <c r="D718" s="197" t="s">
        <v>358</v>
      </c>
      <c r="E718" s="199">
        <v>10.0</v>
      </c>
      <c r="F718" s="200">
        <v>45982.45833333333</v>
      </c>
      <c r="G718" s="197" t="s">
        <v>845</v>
      </c>
      <c r="H718" s="197" t="s">
        <v>851</v>
      </c>
    </row>
    <row r="719" ht="15.75" customHeight="1">
      <c r="A719" s="197" t="s">
        <v>57</v>
      </c>
      <c r="B719" s="197" t="s">
        <v>22</v>
      </c>
      <c r="C719" s="198" t="s">
        <v>357</v>
      </c>
      <c r="D719" s="197" t="s">
        <v>358</v>
      </c>
      <c r="E719" s="199">
        <v>11.0</v>
      </c>
      <c r="F719" s="200">
        <v>45989.45833333333</v>
      </c>
      <c r="G719" s="197" t="s">
        <v>845</v>
      </c>
      <c r="H719" s="197" t="s">
        <v>851</v>
      </c>
    </row>
    <row r="720" ht="15.75" customHeight="1">
      <c r="A720" s="197" t="s">
        <v>57</v>
      </c>
      <c r="B720" s="197" t="s">
        <v>22</v>
      </c>
      <c r="C720" s="198" t="s">
        <v>357</v>
      </c>
      <c r="D720" s="197" t="s">
        <v>358</v>
      </c>
      <c r="E720" s="199">
        <v>12.0</v>
      </c>
      <c r="F720" s="200">
        <v>45996.41666666667</v>
      </c>
      <c r="G720" s="197" t="s">
        <v>845</v>
      </c>
      <c r="H720" s="197" t="s">
        <v>851</v>
      </c>
    </row>
    <row r="721" ht="15.75" customHeight="1">
      <c r="A721" s="197" t="s">
        <v>57</v>
      </c>
      <c r="B721" s="197" t="s">
        <v>22</v>
      </c>
      <c r="C721" s="198" t="s">
        <v>357</v>
      </c>
      <c r="D721" s="197" t="s">
        <v>358</v>
      </c>
      <c r="E721" s="199">
        <v>13.0</v>
      </c>
      <c r="F721" s="200">
        <v>46010.41666666667</v>
      </c>
      <c r="G721" s="197" t="s">
        <v>845</v>
      </c>
      <c r="H721" s="197" t="s">
        <v>851</v>
      </c>
    </row>
    <row r="722" ht="15.75" customHeight="1">
      <c r="A722" s="197" t="s">
        <v>57</v>
      </c>
      <c r="B722" s="197" t="s">
        <v>22</v>
      </c>
      <c r="C722" s="198" t="s">
        <v>357</v>
      </c>
      <c r="D722" s="197" t="s">
        <v>358</v>
      </c>
      <c r="E722" s="199">
        <v>14.0</v>
      </c>
      <c r="F722" s="200">
        <v>46021.375</v>
      </c>
      <c r="G722" s="197" t="s">
        <v>845</v>
      </c>
      <c r="H722" s="197" t="s">
        <v>851</v>
      </c>
    </row>
    <row r="723" ht="15.75" customHeight="1">
      <c r="A723" s="197" t="s">
        <v>57</v>
      </c>
      <c r="B723" s="197" t="s">
        <v>21</v>
      </c>
      <c r="C723" s="198" t="s">
        <v>568</v>
      </c>
      <c r="D723" s="197" t="s">
        <v>569</v>
      </c>
      <c r="E723" s="199">
        <v>1.0</v>
      </c>
      <c r="F723" s="200">
        <v>45702.45833333333</v>
      </c>
      <c r="G723" s="197" t="s">
        <v>845</v>
      </c>
      <c r="H723" s="197" t="s">
        <v>851</v>
      </c>
    </row>
    <row r="724" ht="15.75" customHeight="1">
      <c r="A724" s="197" t="s">
        <v>57</v>
      </c>
      <c r="B724" s="197" t="s">
        <v>21</v>
      </c>
      <c r="C724" s="198" t="s">
        <v>568</v>
      </c>
      <c r="D724" s="197" t="s">
        <v>569</v>
      </c>
      <c r="E724" s="199">
        <v>2.0</v>
      </c>
      <c r="F724" s="200">
        <v>45709.45833333333</v>
      </c>
      <c r="G724" s="197" t="s">
        <v>845</v>
      </c>
      <c r="H724" s="197" t="s">
        <v>851</v>
      </c>
    </row>
    <row r="725" ht="15.75" customHeight="1">
      <c r="A725" s="197" t="s">
        <v>57</v>
      </c>
      <c r="B725" s="197" t="s">
        <v>21</v>
      </c>
      <c r="C725" s="198" t="s">
        <v>568</v>
      </c>
      <c r="D725" s="197" t="s">
        <v>569</v>
      </c>
      <c r="E725" s="199">
        <v>3.0</v>
      </c>
      <c r="F725" s="200">
        <v>45716.45833333333</v>
      </c>
      <c r="G725" s="197" t="s">
        <v>845</v>
      </c>
      <c r="H725" s="197" t="s">
        <v>851</v>
      </c>
    </row>
    <row r="726" ht="15.75" customHeight="1">
      <c r="A726" s="197" t="s">
        <v>57</v>
      </c>
      <c r="B726" s="197" t="s">
        <v>21</v>
      </c>
      <c r="C726" s="198" t="s">
        <v>568</v>
      </c>
      <c r="D726" s="197" t="s">
        <v>569</v>
      </c>
      <c r="E726" s="199">
        <v>4.0</v>
      </c>
      <c r="F726" s="200">
        <v>45765.45833333333</v>
      </c>
      <c r="G726" s="197" t="s">
        <v>845</v>
      </c>
      <c r="H726" s="197" t="s">
        <v>851</v>
      </c>
    </row>
    <row r="727" ht="15.75" customHeight="1">
      <c r="A727" s="197" t="s">
        <v>57</v>
      </c>
      <c r="B727" s="197" t="s">
        <v>21</v>
      </c>
      <c r="C727" s="198" t="s">
        <v>568</v>
      </c>
      <c r="D727" s="197" t="s">
        <v>569</v>
      </c>
      <c r="E727" s="199">
        <v>5.0</v>
      </c>
      <c r="F727" s="200">
        <v>45770.45833333333</v>
      </c>
      <c r="G727" s="197" t="s">
        <v>845</v>
      </c>
      <c r="H727" s="197" t="s">
        <v>851</v>
      </c>
    </row>
    <row r="728" ht="15.75" customHeight="1">
      <c r="A728" s="197" t="s">
        <v>57</v>
      </c>
      <c r="B728" s="197" t="s">
        <v>21</v>
      </c>
      <c r="C728" s="198" t="s">
        <v>568</v>
      </c>
      <c r="D728" s="197" t="s">
        <v>569</v>
      </c>
      <c r="E728" s="199">
        <v>6.0</v>
      </c>
      <c r="F728" s="200">
        <v>45785.45833333333</v>
      </c>
      <c r="G728" s="197" t="s">
        <v>845</v>
      </c>
      <c r="H728" s="197" t="s">
        <v>851</v>
      </c>
    </row>
    <row r="729" ht="15.75" customHeight="1">
      <c r="A729" s="197" t="s">
        <v>57</v>
      </c>
      <c r="B729" s="197" t="s">
        <v>21</v>
      </c>
      <c r="C729" s="198" t="s">
        <v>568</v>
      </c>
      <c r="D729" s="197" t="s">
        <v>569</v>
      </c>
      <c r="E729" s="199">
        <v>7.0</v>
      </c>
      <c r="F729" s="200">
        <v>45792.45833333333</v>
      </c>
      <c r="G729" s="197" t="s">
        <v>845</v>
      </c>
      <c r="H729" s="197" t="s">
        <v>851</v>
      </c>
    </row>
    <row r="730" ht="15.75" customHeight="1">
      <c r="A730" s="197" t="s">
        <v>57</v>
      </c>
      <c r="B730" s="197" t="s">
        <v>21</v>
      </c>
      <c r="C730" s="198" t="s">
        <v>568</v>
      </c>
      <c r="D730" s="197" t="s">
        <v>569</v>
      </c>
      <c r="E730" s="199">
        <v>8.0</v>
      </c>
      <c r="F730" s="200">
        <v>45800.45833333333</v>
      </c>
      <c r="G730" s="197" t="s">
        <v>845</v>
      </c>
      <c r="H730" s="197" t="s">
        <v>851</v>
      </c>
    </row>
    <row r="731" ht="15.75" customHeight="1">
      <c r="A731" s="197" t="s">
        <v>57</v>
      </c>
      <c r="B731" s="197" t="s">
        <v>21</v>
      </c>
      <c r="C731" s="198" t="s">
        <v>568</v>
      </c>
      <c r="D731" s="197" t="s">
        <v>569</v>
      </c>
      <c r="E731" s="199">
        <v>9.0</v>
      </c>
      <c r="F731" s="200">
        <v>45806.54166666667</v>
      </c>
      <c r="G731" s="197" t="s">
        <v>845</v>
      </c>
      <c r="H731" s="197" t="s">
        <v>851</v>
      </c>
    </row>
    <row r="732" ht="15.75" customHeight="1">
      <c r="A732" s="197" t="s">
        <v>57</v>
      </c>
      <c r="B732" s="197" t="s">
        <v>21</v>
      </c>
      <c r="C732" s="198" t="s">
        <v>568</v>
      </c>
      <c r="D732" s="197" t="s">
        <v>569</v>
      </c>
      <c r="E732" s="199">
        <v>10.0</v>
      </c>
      <c r="F732" s="200">
        <v>45813.41666666667</v>
      </c>
      <c r="G732" s="197" t="s">
        <v>845</v>
      </c>
      <c r="H732" s="197" t="s">
        <v>851</v>
      </c>
    </row>
    <row r="733" ht="15.75" customHeight="1">
      <c r="A733" s="197" t="s">
        <v>57</v>
      </c>
      <c r="B733" s="197" t="s">
        <v>21</v>
      </c>
      <c r="C733" s="198" t="s">
        <v>568</v>
      </c>
      <c r="D733" s="197" t="s">
        <v>569</v>
      </c>
      <c r="E733" s="199">
        <v>11.0</v>
      </c>
      <c r="F733" s="200">
        <v>45820.41666666667</v>
      </c>
      <c r="G733" s="197" t="s">
        <v>845</v>
      </c>
      <c r="H733" s="197" t="s">
        <v>851</v>
      </c>
    </row>
    <row r="734" ht="15.75" customHeight="1">
      <c r="A734" s="197" t="s">
        <v>57</v>
      </c>
      <c r="B734" s="197" t="s">
        <v>21</v>
      </c>
      <c r="C734" s="198" t="s">
        <v>568</v>
      </c>
      <c r="D734" s="197" t="s">
        <v>569</v>
      </c>
      <c r="E734" s="199">
        <v>12.0</v>
      </c>
      <c r="F734" s="200">
        <v>45841.41666666667</v>
      </c>
      <c r="G734" s="197" t="s">
        <v>845</v>
      </c>
      <c r="H734" s="197" t="s">
        <v>851</v>
      </c>
    </row>
    <row r="735" ht="15.75" customHeight="1">
      <c r="A735" s="197" t="s">
        <v>57</v>
      </c>
      <c r="B735" s="197" t="s">
        <v>22</v>
      </c>
      <c r="C735" s="198" t="s">
        <v>568</v>
      </c>
      <c r="D735" s="197" t="s">
        <v>569</v>
      </c>
      <c r="E735" s="199">
        <v>1.0</v>
      </c>
      <c r="F735" s="200">
        <v>45890.41666666667</v>
      </c>
      <c r="G735" s="197" t="s">
        <v>845</v>
      </c>
      <c r="H735" s="197" t="s">
        <v>851</v>
      </c>
    </row>
    <row r="736" ht="15.75" customHeight="1">
      <c r="A736" s="197" t="s">
        <v>57</v>
      </c>
      <c r="B736" s="197" t="s">
        <v>22</v>
      </c>
      <c r="C736" s="198" t="s">
        <v>568</v>
      </c>
      <c r="D736" s="197" t="s">
        <v>569</v>
      </c>
      <c r="E736" s="199">
        <v>2.0</v>
      </c>
      <c r="F736" s="200">
        <v>45897.41666666667</v>
      </c>
      <c r="G736" s="197" t="s">
        <v>845</v>
      </c>
      <c r="H736" s="197" t="s">
        <v>851</v>
      </c>
    </row>
    <row r="737" ht="15.75" customHeight="1">
      <c r="A737" s="197" t="s">
        <v>57</v>
      </c>
      <c r="B737" s="197" t="s">
        <v>22</v>
      </c>
      <c r="C737" s="198" t="s">
        <v>568</v>
      </c>
      <c r="D737" s="197" t="s">
        <v>569</v>
      </c>
      <c r="E737" s="199">
        <v>3.0</v>
      </c>
      <c r="F737" s="200">
        <v>45904.41666666667</v>
      </c>
      <c r="G737" s="197" t="s">
        <v>845</v>
      </c>
      <c r="H737" s="197" t="s">
        <v>851</v>
      </c>
    </row>
    <row r="738" ht="15.75" customHeight="1">
      <c r="A738" s="197" t="s">
        <v>57</v>
      </c>
      <c r="B738" s="197" t="s">
        <v>22</v>
      </c>
      <c r="C738" s="198" t="s">
        <v>568</v>
      </c>
      <c r="D738" s="197" t="s">
        <v>569</v>
      </c>
      <c r="E738" s="199">
        <v>4.0</v>
      </c>
      <c r="F738" s="200">
        <v>45911.41666666667</v>
      </c>
      <c r="G738" s="197" t="s">
        <v>845</v>
      </c>
      <c r="H738" s="197" t="s">
        <v>851</v>
      </c>
    </row>
    <row r="739" ht="15.75" customHeight="1">
      <c r="A739" s="197" t="s">
        <v>57</v>
      </c>
      <c r="B739" s="197" t="s">
        <v>22</v>
      </c>
      <c r="C739" s="198" t="s">
        <v>568</v>
      </c>
      <c r="D739" s="197" t="s">
        <v>569</v>
      </c>
      <c r="E739" s="199">
        <v>5.0</v>
      </c>
      <c r="F739" s="200">
        <v>45925.41666666667</v>
      </c>
      <c r="G739" s="197" t="s">
        <v>845</v>
      </c>
      <c r="H739" s="197" t="s">
        <v>851</v>
      </c>
    </row>
    <row r="740" ht="15.75" customHeight="1">
      <c r="A740" s="197" t="s">
        <v>57</v>
      </c>
      <c r="B740" s="197" t="s">
        <v>22</v>
      </c>
      <c r="C740" s="198" t="s">
        <v>568</v>
      </c>
      <c r="D740" s="197" t="s">
        <v>569</v>
      </c>
      <c r="E740" s="199">
        <v>6.0</v>
      </c>
      <c r="F740" s="200">
        <v>45939.41666666667</v>
      </c>
      <c r="G740" s="197" t="s">
        <v>845</v>
      </c>
      <c r="H740" s="197" t="s">
        <v>851</v>
      </c>
    </row>
    <row r="741" ht="15.75" customHeight="1">
      <c r="A741" s="197" t="s">
        <v>57</v>
      </c>
      <c r="B741" s="197" t="s">
        <v>22</v>
      </c>
      <c r="C741" s="198" t="s">
        <v>568</v>
      </c>
      <c r="D741" s="197" t="s">
        <v>569</v>
      </c>
      <c r="E741" s="199">
        <v>7.0</v>
      </c>
      <c r="F741" s="200">
        <v>45946.41666666667</v>
      </c>
      <c r="G741" s="197" t="s">
        <v>845</v>
      </c>
      <c r="H741" s="197" t="s">
        <v>851</v>
      </c>
    </row>
    <row r="742" ht="15.75" customHeight="1">
      <c r="A742" s="197" t="s">
        <v>57</v>
      </c>
      <c r="B742" s="197" t="s">
        <v>22</v>
      </c>
      <c r="C742" s="198" t="s">
        <v>568</v>
      </c>
      <c r="D742" s="197" t="s">
        <v>569</v>
      </c>
      <c r="E742" s="199">
        <v>8.0</v>
      </c>
      <c r="F742" s="200">
        <v>45953.41666666667</v>
      </c>
      <c r="G742" s="197" t="s">
        <v>845</v>
      </c>
      <c r="H742" s="197" t="s">
        <v>851</v>
      </c>
    </row>
    <row r="743" ht="15.75" customHeight="1">
      <c r="A743" s="197" t="s">
        <v>57</v>
      </c>
      <c r="B743" s="197" t="s">
        <v>22</v>
      </c>
      <c r="C743" s="198" t="s">
        <v>568</v>
      </c>
      <c r="D743" s="197" t="s">
        <v>569</v>
      </c>
      <c r="E743" s="199">
        <v>9.0</v>
      </c>
      <c r="F743" s="200">
        <v>45960.41666666667</v>
      </c>
      <c r="G743" s="197" t="s">
        <v>845</v>
      </c>
      <c r="H743" s="197" t="s">
        <v>851</v>
      </c>
    </row>
    <row r="744" ht="15.75" customHeight="1">
      <c r="A744" s="197" t="s">
        <v>57</v>
      </c>
      <c r="B744" s="197" t="s">
        <v>22</v>
      </c>
      <c r="C744" s="198" t="s">
        <v>568</v>
      </c>
      <c r="D744" s="197" t="s">
        <v>569</v>
      </c>
      <c r="E744" s="199">
        <v>10.0</v>
      </c>
      <c r="F744" s="200">
        <v>45982.45833333333</v>
      </c>
      <c r="G744" s="197" t="s">
        <v>845</v>
      </c>
      <c r="H744" s="197" t="s">
        <v>851</v>
      </c>
    </row>
    <row r="745" ht="15.75" customHeight="1">
      <c r="A745" s="197" t="s">
        <v>57</v>
      </c>
      <c r="B745" s="197" t="s">
        <v>22</v>
      </c>
      <c r="C745" s="198" t="s">
        <v>568</v>
      </c>
      <c r="D745" s="197" t="s">
        <v>569</v>
      </c>
      <c r="E745" s="199">
        <v>11.0</v>
      </c>
      <c r="F745" s="200">
        <v>45989.45833333333</v>
      </c>
      <c r="G745" s="197" t="s">
        <v>845</v>
      </c>
      <c r="H745" s="197" t="s">
        <v>851</v>
      </c>
    </row>
    <row r="746" ht="15.75" customHeight="1">
      <c r="A746" s="197" t="s">
        <v>57</v>
      </c>
      <c r="B746" s="197" t="s">
        <v>22</v>
      </c>
      <c r="C746" s="198" t="s">
        <v>568</v>
      </c>
      <c r="D746" s="197" t="s">
        <v>569</v>
      </c>
      <c r="E746" s="199">
        <v>12.0</v>
      </c>
      <c r="F746" s="200">
        <v>45996.41666666667</v>
      </c>
      <c r="G746" s="197" t="s">
        <v>845</v>
      </c>
      <c r="H746" s="197" t="s">
        <v>851</v>
      </c>
    </row>
    <row r="747" ht="15.75" customHeight="1">
      <c r="A747" s="197" t="s">
        <v>57</v>
      </c>
      <c r="B747" s="197" t="s">
        <v>22</v>
      </c>
      <c r="C747" s="198" t="s">
        <v>568</v>
      </c>
      <c r="D747" s="197" t="s">
        <v>569</v>
      </c>
      <c r="E747" s="199">
        <v>13.0</v>
      </c>
      <c r="F747" s="200">
        <v>46010.41666666667</v>
      </c>
      <c r="G747" s="197" t="s">
        <v>845</v>
      </c>
      <c r="H747" s="197" t="s">
        <v>851</v>
      </c>
    </row>
    <row r="748" ht="15.75" customHeight="1">
      <c r="A748" s="197" t="s">
        <v>57</v>
      </c>
      <c r="B748" s="197" t="s">
        <v>22</v>
      </c>
      <c r="C748" s="198" t="s">
        <v>568</v>
      </c>
      <c r="D748" s="197" t="s">
        <v>569</v>
      </c>
      <c r="E748" s="199">
        <v>14.0</v>
      </c>
      <c r="F748" s="200">
        <v>46021.375</v>
      </c>
      <c r="G748" s="197" t="s">
        <v>845</v>
      </c>
      <c r="H748" s="197" t="s">
        <v>851</v>
      </c>
    </row>
    <row r="749" ht="15.75" customHeight="1">
      <c r="A749" s="197" t="s">
        <v>57</v>
      </c>
      <c r="B749" s="197" t="s">
        <v>22</v>
      </c>
      <c r="C749" s="198" t="s">
        <v>568</v>
      </c>
      <c r="D749" s="197" t="s">
        <v>569</v>
      </c>
      <c r="E749" s="199">
        <v>15.0</v>
      </c>
      <c r="F749" s="200">
        <v>46038.45833333333</v>
      </c>
      <c r="G749" s="197" t="s">
        <v>845</v>
      </c>
      <c r="H749" s="197" t="s">
        <v>851</v>
      </c>
    </row>
    <row r="750" ht="15.75" customHeight="1">
      <c r="A750" s="197" t="s">
        <v>57</v>
      </c>
      <c r="B750" s="197" t="s">
        <v>22</v>
      </c>
      <c r="C750" s="198" t="s">
        <v>568</v>
      </c>
      <c r="D750" s="197" t="s">
        <v>569</v>
      </c>
      <c r="E750" s="199">
        <v>16.0</v>
      </c>
      <c r="F750" s="200">
        <v>46083.45833333333</v>
      </c>
      <c r="G750" s="197" t="s">
        <v>845</v>
      </c>
      <c r="H750" s="197" t="s">
        <v>851</v>
      </c>
    </row>
    <row r="751" ht="15.75" customHeight="1">
      <c r="A751" s="197" t="s">
        <v>57</v>
      </c>
      <c r="B751" s="197" t="s">
        <v>21</v>
      </c>
      <c r="C751" s="198" t="s">
        <v>625</v>
      </c>
      <c r="D751" s="197" t="s">
        <v>626</v>
      </c>
      <c r="E751" s="199">
        <v>1.0</v>
      </c>
      <c r="F751" s="200">
        <v>45702.45833333333</v>
      </c>
      <c r="G751" s="197" t="s">
        <v>845</v>
      </c>
      <c r="H751" s="197" t="s">
        <v>851</v>
      </c>
    </row>
    <row r="752" ht="15.75" customHeight="1">
      <c r="A752" s="197" t="s">
        <v>57</v>
      </c>
      <c r="B752" s="197" t="s">
        <v>21</v>
      </c>
      <c r="C752" s="198" t="s">
        <v>625</v>
      </c>
      <c r="D752" s="197" t="s">
        <v>626</v>
      </c>
      <c r="E752" s="199">
        <v>2.0</v>
      </c>
      <c r="F752" s="200">
        <v>45709.45833333333</v>
      </c>
      <c r="G752" s="197" t="s">
        <v>845</v>
      </c>
      <c r="H752" s="197" t="s">
        <v>851</v>
      </c>
    </row>
    <row r="753" ht="15.75" customHeight="1">
      <c r="A753" s="197" t="s">
        <v>57</v>
      </c>
      <c r="B753" s="197" t="s">
        <v>21</v>
      </c>
      <c r="C753" s="198" t="s">
        <v>625</v>
      </c>
      <c r="D753" s="197" t="s">
        <v>626</v>
      </c>
      <c r="E753" s="199">
        <v>3.0</v>
      </c>
      <c r="F753" s="200">
        <v>45716.45833333333</v>
      </c>
      <c r="G753" s="197" t="s">
        <v>845</v>
      </c>
      <c r="H753" s="197" t="s">
        <v>851</v>
      </c>
    </row>
    <row r="754" ht="15.75" customHeight="1">
      <c r="A754" s="197" t="s">
        <v>57</v>
      </c>
      <c r="B754" s="197" t="s">
        <v>21</v>
      </c>
      <c r="C754" s="198" t="s">
        <v>625</v>
      </c>
      <c r="D754" s="197" t="s">
        <v>626</v>
      </c>
      <c r="E754" s="199">
        <v>4.0</v>
      </c>
      <c r="F754" s="200">
        <v>45765.45833333333</v>
      </c>
      <c r="G754" s="197" t="s">
        <v>845</v>
      </c>
      <c r="H754" s="197" t="s">
        <v>851</v>
      </c>
    </row>
    <row r="755" ht="15.75" customHeight="1">
      <c r="A755" s="197" t="s">
        <v>57</v>
      </c>
      <c r="B755" s="197" t="s">
        <v>21</v>
      </c>
      <c r="C755" s="198" t="s">
        <v>625</v>
      </c>
      <c r="D755" s="197" t="s">
        <v>626</v>
      </c>
      <c r="E755" s="199">
        <v>5.0</v>
      </c>
      <c r="F755" s="200">
        <v>45770.45833333333</v>
      </c>
      <c r="G755" s="197" t="s">
        <v>845</v>
      </c>
      <c r="H755" s="197" t="s">
        <v>851</v>
      </c>
    </row>
    <row r="756" ht="15.75" customHeight="1">
      <c r="A756" s="197" t="s">
        <v>57</v>
      </c>
      <c r="B756" s="197" t="s">
        <v>21</v>
      </c>
      <c r="C756" s="198" t="s">
        <v>625</v>
      </c>
      <c r="D756" s="197" t="s">
        <v>626</v>
      </c>
      <c r="E756" s="199">
        <v>6.0</v>
      </c>
      <c r="F756" s="200">
        <v>45785.45833333333</v>
      </c>
      <c r="G756" s="197" t="s">
        <v>845</v>
      </c>
      <c r="H756" s="197" t="s">
        <v>851</v>
      </c>
    </row>
    <row r="757" ht="15.75" customHeight="1">
      <c r="A757" s="197" t="s">
        <v>57</v>
      </c>
      <c r="B757" s="197" t="s">
        <v>21</v>
      </c>
      <c r="C757" s="198" t="s">
        <v>625</v>
      </c>
      <c r="D757" s="197" t="s">
        <v>626</v>
      </c>
      <c r="E757" s="199">
        <v>7.0</v>
      </c>
      <c r="F757" s="200">
        <v>45792.45833333333</v>
      </c>
      <c r="G757" s="197" t="s">
        <v>845</v>
      </c>
      <c r="H757" s="197" t="s">
        <v>851</v>
      </c>
    </row>
    <row r="758" ht="15.75" customHeight="1">
      <c r="A758" s="197" t="s">
        <v>57</v>
      </c>
      <c r="B758" s="197" t="s">
        <v>21</v>
      </c>
      <c r="C758" s="198" t="s">
        <v>625</v>
      </c>
      <c r="D758" s="197" t="s">
        <v>626</v>
      </c>
      <c r="E758" s="199">
        <v>8.0</v>
      </c>
      <c r="F758" s="200">
        <v>45800.45833333333</v>
      </c>
      <c r="G758" s="197" t="s">
        <v>845</v>
      </c>
      <c r="H758" s="197" t="s">
        <v>851</v>
      </c>
    </row>
    <row r="759" ht="15.75" customHeight="1">
      <c r="A759" s="197" t="s">
        <v>57</v>
      </c>
      <c r="B759" s="197" t="s">
        <v>21</v>
      </c>
      <c r="C759" s="198" t="s">
        <v>625</v>
      </c>
      <c r="D759" s="197" t="s">
        <v>626</v>
      </c>
      <c r="E759" s="199">
        <v>9.0</v>
      </c>
      <c r="F759" s="200">
        <v>45806.54166666667</v>
      </c>
      <c r="G759" s="197" t="s">
        <v>845</v>
      </c>
      <c r="H759" s="197" t="s">
        <v>851</v>
      </c>
    </row>
    <row r="760" ht="15.75" customHeight="1">
      <c r="A760" s="197" t="s">
        <v>57</v>
      </c>
      <c r="B760" s="197" t="s">
        <v>21</v>
      </c>
      <c r="C760" s="198" t="s">
        <v>625</v>
      </c>
      <c r="D760" s="197" t="s">
        <v>626</v>
      </c>
      <c r="E760" s="199">
        <v>10.0</v>
      </c>
      <c r="F760" s="200">
        <v>45813.41666666667</v>
      </c>
      <c r="G760" s="197" t="s">
        <v>845</v>
      </c>
      <c r="H760" s="197" t="s">
        <v>851</v>
      </c>
    </row>
    <row r="761" ht="15.75" customHeight="1">
      <c r="A761" s="197" t="s">
        <v>57</v>
      </c>
      <c r="B761" s="197" t="s">
        <v>21</v>
      </c>
      <c r="C761" s="198" t="s">
        <v>625</v>
      </c>
      <c r="D761" s="197" t="s">
        <v>626</v>
      </c>
      <c r="E761" s="199">
        <v>11.0</v>
      </c>
      <c r="F761" s="200">
        <v>45820.41666666667</v>
      </c>
      <c r="G761" s="197" t="s">
        <v>845</v>
      </c>
      <c r="H761" s="197" t="s">
        <v>851</v>
      </c>
    </row>
    <row r="762" ht="15.75" customHeight="1">
      <c r="A762" s="197" t="s">
        <v>57</v>
      </c>
      <c r="B762" s="197" t="s">
        <v>21</v>
      </c>
      <c r="C762" s="198" t="s">
        <v>625</v>
      </c>
      <c r="D762" s="197" t="s">
        <v>626</v>
      </c>
      <c r="E762" s="199">
        <v>12.0</v>
      </c>
      <c r="F762" s="200">
        <v>45841.41666666667</v>
      </c>
      <c r="G762" s="197" t="s">
        <v>845</v>
      </c>
      <c r="H762" s="197" t="s">
        <v>851</v>
      </c>
    </row>
    <row r="763" ht="15.75" customHeight="1">
      <c r="A763" s="197" t="s">
        <v>57</v>
      </c>
      <c r="B763" s="197" t="s">
        <v>22</v>
      </c>
      <c r="C763" s="198" t="s">
        <v>625</v>
      </c>
      <c r="D763" s="197" t="s">
        <v>626</v>
      </c>
      <c r="E763" s="199">
        <v>1.0</v>
      </c>
      <c r="F763" s="200">
        <v>45890.41666666667</v>
      </c>
      <c r="G763" s="197" t="s">
        <v>845</v>
      </c>
      <c r="H763" s="197" t="s">
        <v>851</v>
      </c>
    </row>
    <row r="764" ht="15.75" customHeight="1">
      <c r="A764" s="197" t="s">
        <v>57</v>
      </c>
      <c r="B764" s="197" t="s">
        <v>22</v>
      </c>
      <c r="C764" s="198" t="s">
        <v>625</v>
      </c>
      <c r="D764" s="197" t="s">
        <v>626</v>
      </c>
      <c r="E764" s="199">
        <v>2.0</v>
      </c>
      <c r="F764" s="200">
        <v>45897.41666666667</v>
      </c>
      <c r="G764" s="197" t="s">
        <v>845</v>
      </c>
      <c r="H764" s="197" t="s">
        <v>851</v>
      </c>
    </row>
    <row r="765" ht="15.75" customHeight="1">
      <c r="A765" s="197" t="s">
        <v>57</v>
      </c>
      <c r="B765" s="197" t="s">
        <v>22</v>
      </c>
      <c r="C765" s="198" t="s">
        <v>625</v>
      </c>
      <c r="D765" s="197" t="s">
        <v>626</v>
      </c>
      <c r="E765" s="199">
        <v>3.0</v>
      </c>
      <c r="F765" s="200">
        <v>45904.41666666667</v>
      </c>
      <c r="G765" s="197" t="s">
        <v>845</v>
      </c>
      <c r="H765" s="197" t="s">
        <v>851</v>
      </c>
    </row>
    <row r="766" ht="15.75" customHeight="1">
      <c r="A766" s="197" t="s">
        <v>57</v>
      </c>
      <c r="B766" s="197" t="s">
        <v>22</v>
      </c>
      <c r="C766" s="198" t="s">
        <v>625</v>
      </c>
      <c r="D766" s="197" t="s">
        <v>626</v>
      </c>
      <c r="E766" s="199">
        <v>4.0</v>
      </c>
      <c r="F766" s="200">
        <v>45911.41666666667</v>
      </c>
      <c r="G766" s="197" t="s">
        <v>845</v>
      </c>
      <c r="H766" s="197" t="s">
        <v>851</v>
      </c>
    </row>
    <row r="767" ht="15.75" customHeight="1">
      <c r="A767" s="197" t="s">
        <v>57</v>
      </c>
      <c r="B767" s="197" t="s">
        <v>22</v>
      </c>
      <c r="C767" s="198" t="s">
        <v>625</v>
      </c>
      <c r="D767" s="197" t="s">
        <v>626</v>
      </c>
      <c r="E767" s="199">
        <v>5.0</v>
      </c>
      <c r="F767" s="200">
        <v>45925.41666666667</v>
      </c>
      <c r="G767" s="197" t="s">
        <v>845</v>
      </c>
      <c r="H767" s="197" t="s">
        <v>851</v>
      </c>
    </row>
    <row r="768" ht="15.75" customHeight="1">
      <c r="A768" s="197" t="s">
        <v>57</v>
      </c>
      <c r="B768" s="197" t="s">
        <v>22</v>
      </c>
      <c r="C768" s="198" t="s">
        <v>625</v>
      </c>
      <c r="D768" s="197" t="s">
        <v>626</v>
      </c>
      <c r="E768" s="199">
        <v>6.0</v>
      </c>
      <c r="F768" s="200">
        <v>45939.41666666667</v>
      </c>
      <c r="G768" s="197" t="s">
        <v>845</v>
      </c>
      <c r="H768" s="197" t="s">
        <v>851</v>
      </c>
    </row>
    <row r="769" ht="15.75" customHeight="1">
      <c r="A769" s="197" t="s">
        <v>57</v>
      </c>
      <c r="B769" s="197" t="s">
        <v>22</v>
      </c>
      <c r="C769" s="198" t="s">
        <v>625</v>
      </c>
      <c r="D769" s="197" t="s">
        <v>626</v>
      </c>
      <c r="E769" s="199">
        <v>7.0</v>
      </c>
      <c r="F769" s="200">
        <v>45946.41666666667</v>
      </c>
      <c r="G769" s="197" t="s">
        <v>845</v>
      </c>
      <c r="H769" s="197" t="s">
        <v>851</v>
      </c>
    </row>
    <row r="770" ht="15.75" customHeight="1">
      <c r="A770" s="197" t="s">
        <v>57</v>
      </c>
      <c r="B770" s="197" t="s">
        <v>22</v>
      </c>
      <c r="C770" s="198" t="s">
        <v>625</v>
      </c>
      <c r="D770" s="197" t="s">
        <v>626</v>
      </c>
      <c r="E770" s="199">
        <v>8.0</v>
      </c>
      <c r="F770" s="200">
        <v>45953.41666666667</v>
      </c>
      <c r="G770" s="197" t="s">
        <v>845</v>
      </c>
      <c r="H770" s="197" t="s">
        <v>851</v>
      </c>
    </row>
    <row r="771" ht="15.75" customHeight="1">
      <c r="A771" s="197" t="s">
        <v>57</v>
      </c>
      <c r="B771" s="197" t="s">
        <v>22</v>
      </c>
      <c r="C771" s="198" t="s">
        <v>625</v>
      </c>
      <c r="D771" s="197" t="s">
        <v>626</v>
      </c>
      <c r="E771" s="199">
        <v>9.0</v>
      </c>
      <c r="F771" s="200">
        <v>45960.41666666667</v>
      </c>
      <c r="G771" s="197" t="s">
        <v>845</v>
      </c>
      <c r="H771" s="197" t="s">
        <v>851</v>
      </c>
    </row>
    <row r="772" ht="15.75" customHeight="1">
      <c r="A772" s="197" t="s">
        <v>57</v>
      </c>
      <c r="B772" s="197" t="s">
        <v>22</v>
      </c>
      <c r="C772" s="198" t="s">
        <v>625</v>
      </c>
      <c r="D772" s="197" t="s">
        <v>626</v>
      </c>
      <c r="E772" s="199">
        <v>10.0</v>
      </c>
      <c r="F772" s="200">
        <v>45982.45833333333</v>
      </c>
      <c r="G772" s="197" t="s">
        <v>843</v>
      </c>
      <c r="H772" s="197" t="s">
        <v>851</v>
      </c>
    </row>
    <row r="773" ht="15.75" customHeight="1">
      <c r="A773" s="197" t="s">
        <v>57</v>
      </c>
      <c r="B773" s="197" t="s">
        <v>22</v>
      </c>
      <c r="C773" s="198" t="s">
        <v>625</v>
      </c>
      <c r="D773" s="197" t="s">
        <v>626</v>
      </c>
      <c r="E773" s="199">
        <v>11.0</v>
      </c>
      <c r="F773" s="200">
        <v>45989.45833333333</v>
      </c>
      <c r="G773" s="197" t="s">
        <v>845</v>
      </c>
      <c r="H773" s="197" t="s">
        <v>851</v>
      </c>
    </row>
    <row r="774" ht="15.75" customHeight="1">
      <c r="A774" s="197" t="s">
        <v>57</v>
      </c>
      <c r="B774" s="197" t="s">
        <v>22</v>
      </c>
      <c r="C774" s="198" t="s">
        <v>625</v>
      </c>
      <c r="D774" s="197" t="s">
        <v>626</v>
      </c>
      <c r="E774" s="199">
        <v>12.0</v>
      </c>
      <c r="F774" s="200">
        <v>45996.41666666667</v>
      </c>
      <c r="G774" s="197" t="s">
        <v>845</v>
      </c>
      <c r="H774" s="197" t="s">
        <v>851</v>
      </c>
    </row>
    <row r="775" ht="15.75" customHeight="1">
      <c r="A775" s="197" t="s">
        <v>57</v>
      </c>
      <c r="B775" s="197" t="s">
        <v>22</v>
      </c>
      <c r="C775" s="198" t="s">
        <v>625</v>
      </c>
      <c r="D775" s="197" t="s">
        <v>626</v>
      </c>
      <c r="E775" s="199">
        <v>13.0</v>
      </c>
      <c r="F775" s="200">
        <v>46010.41666666667</v>
      </c>
      <c r="G775" s="197" t="s">
        <v>845</v>
      </c>
      <c r="H775" s="197" t="s">
        <v>851</v>
      </c>
    </row>
    <row r="776" ht="15.75" customHeight="1">
      <c r="A776" s="197" t="s">
        <v>57</v>
      </c>
      <c r="B776" s="197" t="s">
        <v>22</v>
      </c>
      <c r="C776" s="198" t="s">
        <v>625</v>
      </c>
      <c r="D776" s="197" t="s">
        <v>626</v>
      </c>
      <c r="E776" s="199">
        <v>14.0</v>
      </c>
      <c r="F776" s="200">
        <v>46021.375</v>
      </c>
      <c r="G776" s="197" t="s">
        <v>845</v>
      </c>
      <c r="H776" s="197" t="s">
        <v>851</v>
      </c>
    </row>
    <row r="777" ht="15.75" customHeight="1">
      <c r="A777" s="197" t="s">
        <v>57</v>
      </c>
      <c r="B777" s="197" t="s">
        <v>21</v>
      </c>
      <c r="C777" s="198" t="s">
        <v>675</v>
      </c>
      <c r="D777" s="197" t="s">
        <v>676</v>
      </c>
      <c r="E777" s="199">
        <v>1.0</v>
      </c>
      <c r="F777" s="200">
        <v>45702.45833333333</v>
      </c>
      <c r="G777" s="197" t="s">
        <v>845</v>
      </c>
      <c r="H777" s="197" t="s">
        <v>851</v>
      </c>
    </row>
    <row r="778" ht="15.75" customHeight="1">
      <c r="A778" s="197" t="s">
        <v>57</v>
      </c>
      <c r="B778" s="197" t="s">
        <v>21</v>
      </c>
      <c r="C778" s="198" t="s">
        <v>675</v>
      </c>
      <c r="D778" s="197" t="s">
        <v>676</v>
      </c>
      <c r="E778" s="199">
        <v>2.0</v>
      </c>
      <c r="F778" s="200">
        <v>45709.45833333333</v>
      </c>
      <c r="G778" s="197" t="s">
        <v>845</v>
      </c>
      <c r="H778" s="197" t="s">
        <v>851</v>
      </c>
    </row>
    <row r="779" ht="15.75" customHeight="1">
      <c r="A779" s="197" t="s">
        <v>57</v>
      </c>
      <c r="B779" s="197" t="s">
        <v>21</v>
      </c>
      <c r="C779" s="198" t="s">
        <v>675</v>
      </c>
      <c r="D779" s="197" t="s">
        <v>676</v>
      </c>
      <c r="E779" s="199">
        <v>3.0</v>
      </c>
      <c r="F779" s="200">
        <v>45716.45833333333</v>
      </c>
      <c r="G779" s="197" t="s">
        <v>845</v>
      </c>
      <c r="H779" s="197" t="s">
        <v>851</v>
      </c>
    </row>
    <row r="780" ht="15.75" customHeight="1">
      <c r="A780" s="197" t="s">
        <v>57</v>
      </c>
      <c r="B780" s="197" t="s">
        <v>21</v>
      </c>
      <c r="C780" s="198" t="s">
        <v>675</v>
      </c>
      <c r="D780" s="197" t="s">
        <v>676</v>
      </c>
      <c r="E780" s="199">
        <v>4.0</v>
      </c>
      <c r="F780" s="200">
        <v>45765.45833333333</v>
      </c>
      <c r="G780" s="197" t="s">
        <v>845</v>
      </c>
      <c r="H780" s="197" t="s">
        <v>851</v>
      </c>
    </row>
    <row r="781" ht="15.75" customHeight="1">
      <c r="A781" s="197" t="s">
        <v>57</v>
      </c>
      <c r="B781" s="197" t="s">
        <v>21</v>
      </c>
      <c r="C781" s="198" t="s">
        <v>675</v>
      </c>
      <c r="D781" s="197" t="s">
        <v>676</v>
      </c>
      <c r="E781" s="199">
        <v>5.0</v>
      </c>
      <c r="F781" s="200">
        <v>45770.45833333333</v>
      </c>
      <c r="G781" s="197" t="s">
        <v>845</v>
      </c>
      <c r="H781" s="197" t="s">
        <v>851</v>
      </c>
    </row>
    <row r="782" ht="15.75" customHeight="1">
      <c r="A782" s="197" t="s">
        <v>57</v>
      </c>
      <c r="B782" s="197" t="s">
        <v>21</v>
      </c>
      <c r="C782" s="198" t="s">
        <v>675</v>
      </c>
      <c r="D782" s="197" t="s">
        <v>676</v>
      </c>
      <c r="E782" s="199">
        <v>6.0</v>
      </c>
      <c r="F782" s="200">
        <v>45785.45833333333</v>
      </c>
      <c r="G782" s="197" t="s">
        <v>845</v>
      </c>
      <c r="H782" s="197" t="s">
        <v>851</v>
      </c>
    </row>
    <row r="783" ht="15.75" customHeight="1">
      <c r="A783" s="197" t="s">
        <v>57</v>
      </c>
      <c r="B783" s="197" t="s">
        <v>21</v>
      </c>
      <c r="C783" s="198" t="s">
        <v>675</v>
      </c>
      <c r="D783" s="197" t="s">
        <v>676</v>
      </c>
      <c r="E783" s="199">
        <v>7.0</v>
      </c>
      <c r="F783" s="200">
        <v>45792.45833333333</v>
      </c>
      <c r="G783" s="197" t="s">
        <v>845</v>
      </c>
      <c r="H783" s="197" t="s">
        <v>851</v>
      </c>
    </row>
    <row r="784" ht="15.75" customHeight="1">
      <c r="A784" s="197" t="s">
        <v>57</v>
      </c>
      <c r="B784" s="197" t="s">
        <v>21</v>
      </c>
      <c r="C784" s="198" t="s">
        <v>675</v>
      </c>
      <c r="D784" s="197" t="s">
        <v>676</v>
      </c>
      <c r="E784" s="199">
        <v>8.0</v>
      </c>
      <c r="F784" s="200">
        <v>45800.45833333333</v>
      </c>
      <c r="G784" s="197" t="s">
        <v>843</v>
      </c>
      <c r="H784" s="197" t="s">
        <v>851</v>
      </c>
    </row>
    <row r="785" ht="15.75" customHeight="1">
      <c r="A785" s="197" t="s">
        <v>57</v>
      </c>
      <c r="B785" s="197" t="s">
        <v>21</v>
      </c>
      <c r="C785" s="198" t="s">
        <v>675</v>
      </c>
      <c r="D785" s="197" t="s">
        <v>676</v>
      </c>
      <c r="E785" s="199">
        <v>9.0</v>
      </c>
      <c r="F785" s="200">
        <v>45806.54166666667</v>
      </c>
      <c r="G785" s="197" t="s">
        <v>845</v>
      </c>
      <c r="H785" s="197" t="s">
        <v>851</v>
      </c>
    </row>
    <row r="786" ht="15.75" customHeight="1">
      <c r="A786" s="197" t="s">
        <v>57</v>
      </c>
      <c r="B786" s="197" t="s">
        <v>21</v>
      </c>
      <c r="C786" s="198" t="s">
        <v>675</v>
      </c>
      <c r="D786" s="197" t="s">
        <v>676</v>
      </c>
      <c r="E786" s="199">
        <v>10.0</v>
      </c>
      <c r="F786" s="200">
        <v>45813.41666666667</v>
      </c>
      <c r="G786" s="197" t="s">
        <v>845</v>
      </c>
      <c r="H786" s="197" t="s">
        <v>851</v>
      </c>
    </row>
    <row r="787" ht="15.75" customHeight="1">
      <c r="A787" s="197" t="s">
        <v>57</v>
      </c>
      <c r="B787" s="197" t="s">
        <v>21</v>
      </c>
      <c r="C787" s="198" t="s">
        <v>675</v>
      </c>
      <c r="D787" s="197" t="s">
        <v>676</v>
      </c>
      <c r="E787" s="199">
        <v>11.0</v>
      </c>
      <c r="F787" s="200">
        <v>45820.41666666667</v>
      </c>
      <c r="G787" s="197" t="s">
        <v>845</v>
      </c>
      <c r="H787" s="197" t="s">
        <v>851</v>
      </c>
    </row>
    <row r="788" ht="15.75" customHeight="1">
      <c r="A788" s="197" t="s">
        <v>57</v>
      </c>
      <c r="B788" s="197" t="s">
        <v>21</v>
      </c>
      <c r="C788" s="198" t="s">
        <v>675</v>
      </c>
      <c r="D788" s="197" t="s">
        <v>676</v>
      </c>
      <c r="E788" s="199">
        <v>12.0</v>
      </c>
      <c r="F788" s="200">
        <v>45841.41666666667</v>
      </c>
      <c r="G788" s="197" t="s">
        <v>845</v>
      </c>
      <c r="H788" s="197" t="s">
        <v>851</v>
      </c>
    </row>
    <row r="789" ht="15.75" customHeight="1">
      <c r="A789" s="197" t="s">
        <v>57</v>
      </c>
      <c r="B789" s="197" t="s">
        <v>22</v>
      </c>
      <c r="C789" s="198" t="s">
        <v>697</v>
      </c>
      <c r="D789" s="197" t="s">
        <v>698</v>
      </c>
      <c r="E789" s="199">
        <v>1.0</v>
      </c>
      <c r="F789" s="200">
        <v>45841.58333333333</v>
      </c>
      <c r="G789" s="197" t="s">
        <v>845</v>
      </c>
      <c r="H789" s="197" t="s">
        <v>851</v>
      </c>
    </row>
    <row r="790" ht="15.75" customHeight="1">
      <c r="A790" s="197" t="s">
        <v>57</v>
      </c>
      <c r="B790" s="197" t="s">
        <v>22</v>
      </c>
      <c r="C790" s="198" t="s">
        <v>697</v>
      </c>
      <c r="D790" s="197" t="s">
        <v>698</v>
      </c>
      <c r="E790" s="199">
        <v>2.0</v>
      </c>
      <c r="F790" s="200">
        <v>45853.41666666667</v>
      </c>
      <c r="G790" s="197" t="s">
        <v>845</v>
      </c>
      <c r="H790" s="197" t="s">
        <v>851</v>
      </c>
    </row>
    <row r="791" ht="15.75" customHeight="1">
      <c r="A791" s="197" t="s">
        <v>57</v>
      </c>
      <c r="B791" s="197" t="s">
        <v>22</v>
      </c>
      <c r="C791" s="198" t="s">
        <v>697</v>
      </c>
      <c r="D791" s="197" t="s">
        <v>698</v>
      </c>
      <c r="E791" s="199">
        <v>3.0</v>
      </c>
      <c r="F791" s="200">
        <v>45882.625</v>
      </c>
      <c r="G791" s="197" t="s">
        <v>845</v>
      </c>
      <c r="H791" s="197" t="s">
        <v>851</v>
      </c>
    </row>
    <row r="792" ht="15.75" customHeight="1">
      <c r="A792" s="197" t="s">
        <v>57</v>
      </c>
      <c r="B792" s="197" t="s">
        <v>22</v>
      </c>
      <c r="C792" s="198" t="s">
        <v>697</v>
      </c>
      <c r="D792" s="197" t="s">
        <v>698</v>
      </c>
      <c r="E792" s="199">
        <v>4.0</v>
      </c>
      <c r="F792" s="200">
        <v>45889.625</v>
      </c>
      <c r="G792" s="197" t="s">
        <v>845</v>
      </c>
      <c r="H792" s="197" t="s">
        <v>851</v>
      </c>
    </row>
    <row r="793" ht="15.75" customHeight="1">
      <c r="A793" s="197" t="s">
        <v>57</v>
      </c>
      <c r="B793" s="197" t="s">
        <v>22</v>
      </c>
      <c r="C793" s="198" t="s">
        <v>697</v>
      </c>
      <c r="D793" s="197" t="s">
        <v>698</v>
      </c>
      <c r="E793" s="199">
        <v>5.0</v>
      </c>
      <c r="F793" s="200">
        <v>45917.625</v>
      </c>
      <c r="G793" s="197" t="s">
        <v>845</v>
      </c>
      <c r="H793" s="197" t="s">
        <v>851</v>
      </c>
    </row>
    <row r="794" ht="15.75" customHeight="1">
      <c r="A794" s="197" t="s">
        <v>57</v>
      </c>
      <c r="B794" s="197" t="s">
        <v>22</v>
      </c>
      <c r="C794" s="198" t="s">
        <v>697</v>
      </c>
      <c r="D794" s="197" t="s">
        <v>698</v>
      </c>
      <c r="E794" s="199">
        <v>6.0</v>
      </c>
      <c r="F794" s="200">
        <v>45924.625</v>
      </c>
      <c r="G794" s="197" t="s">
        <v>845</v>
      </c>
      <c r="H794" s="197" t="s">
        <v>851</v>
      </c>
    </row>
    <row r="795" ht="15.75" customHeight="1">
      <c r="A795" s="197" t="s">
        <v>57</v>
      </c>
      <c r="B795" s="197" t="s">
        <v>22</v>
      </c>
      <c r="C795" s="198" t="s">
        <v>697</v>
      </c>
      <c r="D795" s="197" t="s">
        <v>698</v>
      </c>
      <c r="E795" s="199">
        <v>7.0</v>
      </c>
      <c r="F795" s="200">
        <v>45931.625</v>
      </c>
      <c r="G795" s="197" t="s">
        <v>845</v>
      </c>
      <c r="H795" s="197" t="s">
        <v>851</v>
      </c>
    </row>
    <row r="796" ht="15.75" customHeight="1">
      <c r="A796" s="197" t="s">
        <v>57</v>
      </c>
      <c r="B796" s="197" t="s">
        <v>22</v>
      </c>
      <c r="C796" s="198" t="s">
        <v>697</v>
      </c>
      <c r="D796" s="197" t="s">
        <v>698</v>
      </c>
      <c r="E796" s="199">
        <v>8.0</v>
      </c>
      <c r="F796" s="200">
        <v>45953.41666666667</v>
      </c>
      <c r="G796" s="197" t="s">
        <v>843</v>
      </c>
      <c r="H796" s="197" t="s">
        <v>851</v>
      </c>
    </row>
    <row r="797" ht="15.75" customHeight="1">
      <c r="A797" s="197" t="s">
        <v>57</v>
      </c>
      <c r="B797" s="197" t="s">
        <v>22</v>
      </c>
      <c r="C797" s="198" t="s">
        <v>697</v>
      </c>
      <c r="D797" s="197" t="s">
        <v>698</v>
      </c>
      <c r="E797" s="199">
        <v>9.0</v>
      </c>
      <c r="F797" s="200">
        <v>45960.41666666667</v>
      </c>
      <c r="G797" s="197" t="s">
        <v>845</v>
      </c>
      <c r="H797" s="197" t="s">
        <v>851</v>
      </c>
    </row>
    <row r="798" ht="15.75" customHeight="1">
      <c r="A798" s="197" t="s">
        <v>57</v>
      </c>
      <c r="B798" s="197" t="s">
        <v>22</v>
      </c>
      <c r="C798" s="198" t="s">
        <v>697</v>
      </c>
      <c r="D798" s="197" t="s">
        <v>698</v>
      </c>
      <c r="E798" s="199">
        <v>10.0</v>
      </c>
      <c r="F798" s="200">
        <v>45982.45833333333</v>
      </c>
      <c r="G798" s="197" t="s">
        <v>845</v>
      </c>
      <c r="H798" s="197" t="s">
        <v>851</v>
      </c>
    </row>
    <row r="799" ht="15.75" customHeight="1">
      <c r="A799" s="197" t="s">
        <v>57</v>
      </c>
      <c r="B799" s="197" t="s">
        <v>22</v>
      </c>
      <c r="C799" s="198" t="s">
        <v>697</v>
      </c>
      <c r="D799" s="197" t="s">
        <v>698</v>
      </c>
      <c r="E799" s="199">
        <v>11.0</v>
      </c>
      <c r="F799" s="200">
        <v>45989.45833333333</v>
      </c>
      <c r="G799" s="197" t="s">
        <v>843</v>
      </c>
      <c r="H799" s="197" t="s">
        <v>851</v>
      </c>
    </row>
    <row r="800" ht="15.75" customHeight="1">
      <c r="A800" s="197" t="s">
        <v>57</v>
      </c>
      <c r="B800" s="197" t="s">
        <v>22</v>
      </c>
      <c r="C800" s="198" t="s">
        <v>697</v>
      </c>
      <c r="D800" s="197" t="s">
        <v>698</v>
      </c>
      <c r="E800" s="199">
        <v>12.0</v>
      </c>
      <c r="F800" s="200">
        <v>45996.41666666667</v>
      </c>
      <c r="G800" s="197" t="s">
        <v>845</v>
      </c>
      <c r="H800" s="197" t="s">
        <v>851</v>
      </c>
    </row>
    <row r="801" ht="15.75" customHeight="1">
      <c r="A801" s="197" t="s">
        <v>57</v>
      </c>
      <c r="B801" s="197" t="s">
        <v>22</v>
      </c>
      <c r="C801" s="198" t="s">
        <v>697</v>
      </c>
      <c r="D801" s="197" t="s">
        <v>698</v>
      </c>
      <c r="E801" s="199">
        <v>13.0</v>
      </c>
      <c r="F801" s="200">
        <v>46010.41666666667</v>
      </c>
      <c r="G801" s="197" t="s">
        <v>843</v>
      </c>
      <c r="H801" s="197" t="s">
        <v>851</v>
      </c>
    </row>
    <row r="802" ht="15.75" customHeight="1">
      <c r="A802" s="197" t="s">
        <v>57</v>
      </c>
      <c r="B802" s="197" t="s">
        <v>22</v>
      </c>
      <c r="C802" s="198" t="s">
        <v>697</v>
      </c>
      <c r="D802" s="197" t="s">
        <v>698</v>
      </c>
      <c r="E802" s="199">
        <v>14.0</v>
      </c>
      <c r="F802" s="200">
        <v>46021.375</v>
      </c>
      <c r="G802" s="197" t="s">
        <v>843</v>
      </c>
      <c r="H802" s="197" t="s">
        <v>851</v>
      </c>
    </row>
    <row r="803" ht="15.75" customHeight="1">
      <c r="A803" s="197" t="s">
        <v>57</v>
      </c>
      <c r="B803" s="197" t="s">
        <v>22</v>
      </c>
      <c r="C803" s="198" t="s">
        <v>697</v>
      </c>
      <c r="D803" s="197" t="s">
        <v>698</v>
      </c>
      <c r="E803" s="199">
        <v>15.0</v>
      </c>
      <c r="F803" s="200">
        <v>46038.45833333333</v>
      </c>
      <c r="G803" s="197" t="s">
        <v>843</v>
      </c>
      <c r="H803" s="197" t="s">
        <v>851</v>
      </c>
    </row>
    <row r="804" ht="15.75" customHeight="1">
      <c r="A804" s="197" t="s">
        <v>58</v>
      </c>
      <c r="B804" s="197" t="s">
        <v>21</v>
      </c>
      <c r="C804" s="198" t="s">
        <v>239</v>
      </c>
      <c r="D804" s="197" t="s">
        <v>240</v>
      </c>
      <c r="E804" s="199">
        <v>1.0</v>
      </c>
      <c r="F804" s="200">
        <v>45772.58333333333</v>
      </c>
      <c r="G804" s="197" t="s">
        <v>845</v>
      </c>
      <c r="H804" s="197" t="s">
        <v>852</v>
      </c>
    </row>
    <row r="805" ht="15.75" customHeight="1">
      <c r="A805" s="197" t="s">
        <v>58</v>
      </c>
      <c r="B805" s="197" t="s">
        <v>21</v>
      </c>
      <c r="C805" s="198" t="s">
        <v>239</v>
      </c>
      <c r="D805" s="197" t="s">
        <v>240</v>
      </c>
      <c r="E805" s="199">
        <v>2.0</v>
      </c>
      <c r="F805" s="200">
        <v>45786.58333333333</v>
      </c>
      <c r="G805" s="197" t="s">
        <v>845</v>
      </c>
      <c r="H805" s="197" t="s">
        <v>852</v>
      </c>
    </row>
    <row r="806" ht="15.75" customHeight="1">
      <c r="A806" s="197" t="s">
        <v>58</v>
      </c>
      <c r="B806" s="197" t="s">
        <v>21</v>
      </c>
      <c r="C806" s="198" t="s">
        <v>239</v>
      </c>
      <c r="D806" s="197" t="s">
        <v>240</v>
      </c>
      <c r="E806" s="199">
        <v>3.0</v>
      </c>
      <c r="F806" s="200">
        <v>45841.54166666667</v>
      </c>
      <c r="G806" s="197" t="s">
        <v>843</v>
      </c>
      <c r="H806" s="197" t="s">
        <v>852</v>
      </c>
    </row>
    <row r="807" ht="15.75" customHeight="1">
      <c r="A807" s="197" t="s">
        <v>58</v>
      </c>
      <c r="B807" s="197" t="s">
        <v>21</v>
      </c>
      <c r="C807" s="198" t="s">
        <v>239</v>
      </c>
      <c r="D807" s="197" t="s">
        <v>240</v>
      </c>
      <c r="E807" s="199">
        <v>4.0</v>
      </c>
      <c r="F807" s="200">
        <v>45849.45833333333</v>
      </c>
      <c r="G807" s="197" t="s">
        <v>845</v>
      </c>
      <c r="H807" s="197" t="s">
        <v>852</v>
      </c>
    </row>
    <row r="808" ht="15.75" customHeight="1">
      <c r="A808" s="197" t="s">
        <v>58</v>
      </c>
      <c r="B808" s="197" t="s">
        <v>21</v>
      </c>
      <c r="C808" s="198" t="s">
        <v>239</v>
      </c>
      <c r="D808" s="197" t="s">
        <v>240</v>
      </c>
      <c r="E808" s="199">
        <v>5.0</v>
      </c>
      <c r="F808" s="200">
        <v>45849.45833333333</v>
      </c>
      <c r="G808" s="197" t="s">
        <v>845</v>
      </c>
      <c r="H808" s="197" t="s">
        <v>852</v>
      </c>
    </row>
    <row r="809" ht="15.75" customHeight="1">
      <c r="A809" s="197" t="s">
        <v>58</v>
      </c>
      <c r="B809" s="197" t="s">
        <v>21</v>
      </c>
      <c r="C809" s="198" t="s">
        <v>239</v>
      </c>
      <c r="D809" s="197" t="s">
        <v>240</v>
      </c>
      <c r="E809" s="199">
        <v>6.0</v>
      </c>
      <c r="F809" s="200">
        <v>45862.625</v>
      </c>
      <c r="G809" s="197" t="s">
        <v>845</v>
      </c>
      <c r="H809" s="197" t="s">
        <v>852</v>
      </c>
    </row>
    <row r="810" ht="15.75" customHeight="1">
      <c r="A810" s="197" t="s">
        <v>58</v>
      </c>
      <c r="B810" s="197" t="s">
        <v>21</v>
      </c>
      <c r="C810" s="198" t="s">
        <v>239</v>
      </c>
      <c r="D810" s="197" t="s">
        <v>240</v>
      </c>
      <c r="E810" s="199">
        <v>7.0</v>
      </c>
      <c r="F810" s="200">
        <v>45869.41666666667</v>
      </c>
      <c r="G810" s="197" t="s">
        <v>845</v>
      </c>
      <c r="H810" s="197" t="s">
        <v>852</v>
      </c>
    </row>
    <row r="811" ht="15.75" customHeight="1">
      <c r="A811" s="197" t="s">
        <v>58</v>
      </c>
      <c r="B811" s="197" t="s">
        <v>21</v>
      </c>
      <c r="C811" s="198" t="s">
        <v>239</v>
      </c>
      <c r="D811" s="197" t="s">
        <v>240</v>
      </c>
      <c r="E811" s="199">
        <v>8.0</v>
      </c>
      <c r="F811" s="200">
        <v>45890.58333333333</v>
      </c>
      <c r="G811" s="197" t="s">
        <v>845</v>
      </c>
      <c r="H811" s="197" t="s">
        <v>852</v>
      </c>
    </row>
    <row r="812" ht="15.75" customHeight="1">
      <c r="A812" s="197" t="s">
        <v>58</v>
      </c>
      <c r="B812" s="197" t="s">
        <v>21</v>
      </c>
      <c r="C812" s="198" t="s">
        <v>239</v>
      </c>
      <c r="D812" s="197" t="s">
        <v>240</v>
      </c>
      <c r="E812" s="199">
        <v>9.0</v>
      </c>
      <c r="F812" s="200">
        <v>45897.54166666667</v>
      </c>
      <c r="G812" s="197" t="s">
        <v>845</v>
      </c>
      <c r="H812" s="197" t="s">
        <v>852</v>
      </c>
    </row>
    <row r="813" ht="15.75" customHeight="1">
      <c r="A813" s="197" t="s">
        <v>58</v>
      </c>
      <c r="B813" s="197" t="s">
        <v>21</v>
      </c>
      <c r="C813" s="198" t="s">
        <v>239</v>
      </c>
      <c r="D813" s="197" t="s">
        <v>240</v>
      </c>
      <c r="E813" s="199">
        <v>10.0</v>
      </c>
      <c r="F813" s="200">
        <v>45918.41666666667</v>
      </c>
      <c r="G813" s="197" t="s">
        <v>845</v>
      </c>
      <c r="H813" s="197" t="s">
        <v>852</v>
      </c>
    </row>
    <row r="814" ht="15.75" customHeight="1">
      <c r="A814" s="197" t="s">
        <v>58</v>
      </c>
      <c r="B814" s="197" t="s">
        <v>22</v>
      </c>
      <c r="C814" s="198" t="s">
        <v>239</v>
      </c>
      <c r="D814" s="197" t="s">
        <v>240</v>
      </c>
      <c r="E814" s="199">
        <v>1.0</v>
      </c>
      <c r="F814" s="200">
        <v>45946.45833333333</v>
      </c>
      <c r="G814" s="197" t="s">
        <v>845</v>
      </c>
      <c r="H814" s="197" t="s">
        <v>852</v>
      </c>
    </row>
    <row r="815" ht="15.75" customHeight="1">
      <c r="A815" s="197" t="s">
        <v>58</v>
      </c>
      <c r="B815" s="197" t="s">
        <v>22</v>
      </c>
      <c r="C815" s="198" t="s">
        <v>239</v>
      </c>
      <c r="D815" s="197" t="s">
        <v>240</v>
      </c>
      <c r="E815" s="199">
        <v>2.0</v>
      </c>
      <c r="F815" s="200">
        <v>45953.45833333333</v>
      </c>
      <c r="G815" s="197" t="s">
        <v>845</v>
      </c>
      <c r="H815" s="197" t="s">
        <v>852</v>
      </c>
    </row>
    <row r="816" ht="15.75" customHeight="1">
      <c r="A816" s="197" t="s">
        <v>58</v>
      </c>
      <c r="B816" s="197" t="s">
        <v>22</v>
      </c>
      <c r="C816" s="198" t="s">
        <v>239</v>
      </c>
      <c r="D816" s="197" t="s">
        <v>240</v>
      </c>
      <c r="E816" s="199">
        <v>3.0</v>
      </c>
      <c r="F816" s="200">
        <v>45960.45833333333</v>
      </c>
      <c r="G816" s="197" t="s">
        <v>845</v>
      </c>
      <c r="H816" s="197" t="s">
        <v>852</v>
      </c>
    </row>
    <row r="817" ht="15.75" customHeight="1">
      <c r="A817" s="197" t="s">
        <v>58</v>
      </c>
      <c r="B817" s="197" t="s">
        <v>22</v>
      </c>
      <c r="C817" s="198" t="s">
        <v>239</v>
      </c>
      <c r="D817" s="197" t="s">
        <v>240</v>
      </c>
      <c r="E817" s="199">
        <v>4.0</v>
      </c>
      <c r="F817" s="200">
        <v>45961.625</v>
      </c>
      <c r="G817" s="197" t="s">
        <v>845</v>
      </c>
      <c r="H817" s="197" t="s">
        <v>852</v>
      </c>
    </row>
    <row r="818" ht="15.75" customHeight="1">
      <c r="A818" s="197" t="s">
        <v>58</v>
      </c>
      <c r="B818" s="197" t="s">
        <v>22</v>
      </c>
      <c r="C818" s="198" t="s">
        <v>239</v>
      </c>
      <c r="D818" s="197" t="s">
        <v>240</v>
      </c>
      <c r="E818" s="199">
        <v>5.0</v>
      </c>
      <c r="F818" s="200">
        <v>45974.41666666667</v>
      </c>
      <c r="G818" s="197" t="s">
        <v>845</v>
      </c>
      <c r="H818" s="197" t="s">
        <v>852</v>
      </c>
    </row>
    <row r="819" ht="15.75" customHeight="1">
      <c r="A819" s="197" t="s">
        <v>58</v>
      </c>
      <c r="B819" s="197" t="s">
        <v>22</v>
      </c>
      <c r="C819" s="198" t="s">
        <v>239</v>
      </c>
      <c r="D819" s="197" t="s">
        <v>240</v>
      </c>
      <c r="E819" s="199">
        <v>6.0</v>
      </c>
      <c r="F819" s="200">
        <v>45981.41666666667</v>
      </c>
      <c r="G819" s="197" t="s">
        <v>845</v>
      </c>
      <c r="H819" s="197" t="s">
        <v>852</v>
      </c>
    </row>
    <row r="820" ht="15.75" customHeight="1">
      <c r="A820" s="197" t="s">
        <v>58</v>
      </c>
      <c r="B820" s="197" t="s">
        <v>22</v>
      </c>
      <c r="C820" s="198" t="s">
        <v>239</v>
      </c>
      <c r="D820" s="197" t="s">
        <v>240</v>
      </c>
      <c r="E820" s="199">
        <v>7.0</v>
      </c>
      <c r="F820" s="200">
        <v>45988.41666666667</v>
      </c>
      <c r="G820" s="197" t="s">
        <v>845</v>
      </c>
      <c r="H820" s="197" t="s">
        <v>852</v>
      </c>
    </row>
    <row r="821" ht="15.75" customHeight="1">
      <c r="A821" s="197" t="s">
        <v>58</v>
      </c>
      <c r="B821" s="197" t="s">
        <v>22</v>
      </c>
      <c r="C821" s="198" t="s">
        <v>239</v>
      </c>
      <c r="D821" s="197" t="s">
        <v>240</v>
      </c>
      <c r="E821" s="199">
        <v>8.0</v>
      </c>
      <c r="F821" s="200">
        <v>45995.41666666667</v>
      </c>
      <c r="G821" s="197" t="s">
        <v>845</v>
      </c>
      <c r="H821" s="197" t="s">
        <v>852</v>
      </c>
    </row>
    <row r="822" ht="15.75" customHeight="1">
      <c r="A822" s="197" t="s">
        <v>58</v>
      </c>
      <c r="B822" s="197" t="s">
        <v>22</v>
      </c>
      <c r="C822" s="198" t="s">
        <v>239</v>
      </c>
      <c r="D822" s="197" t="s">
        <v>240</v>
      </c>
      <c r="E822" s="199">
        <v>9.0</v>
      </c>
      <c r="F822" s="200">
        <v>46002.625</v>
      </c>
      <c r="G822" s="197" t="s">
        <v>845</v>
      </c>
      <c r="H822" s="197" t="s">
        <v>852</v>
      </c>
    </row>
    <row r="823" ht="15.75" customHeight="1">
      <c r="A823" s="197" t="s">
        <v>58</v>
      </c>
      <c r="B823" s="197" t="s">
        <v>22</v>
      </c>
      <c r="C823" s="198" t="s">
        <v>239</v>
      </c>
      <c r="D823" s="197" t="s">
        <v>240</v>
      </c>
      <c r="E823" s="199">
        <v>10.0</v>
      </c>
      <c r="F823" s="200">
        <v>46010.625</v>
      </c>
      <c r="G823" s="197" t="s">
        <v>845</v>
      </c>
      <c r="H823" s="197" t="s">
        <v>852</v>
      </c>
    </row>
    <row r="824" ht="15.75" customHeight="1">
      <c r="A824" s="197" t="s">
        <v>58</v>
      </c>
      <c r="B824" s="197" t="s">
        <v>22</v>
      </c>
      <c r="C824" s="198" t="s">
        <v>239</v>
      </c>
      <c r="D824" s="197" t="s">
        <v>240</v>
      </c>
      <c r="E824" s="199">
        <v>11.0</v>
      </c>
      <c r="F824" s="200">
        <v>46017.58333333333</v>
      </c>
      <c r="G824" s="197" t="s">
        <v>845</v>
      </c>
      <c r="H824" s="197" t="s">
        <v>852</v>
      </c>
    </row>
    <row r="825" ht="15.75" customHeight="1">
      <c r="A825" s="197" t="s">
        <v>58</v>
      </c>
      <c r="B825" s="197" t="s">
        <v>22</v>
      </c>
      <c r="C825" s="198" t="s">
        <v>239</v>
      </c>
      <c r="D825" s="197" t="s">
        <v>240</v>
      </c>
      <c r="E825" s="199">
        <v>12.0</v>
      </c>
      <c r="F825" s="200">
        <v>46038.58333333333</v>
      </c>
      <c r="G825" s="197" t="s">
        <v>845</v>
      </c>
      <c r="H825" s="197" t="s">
        <v>852</v>
      </c>
    </row>
    <row r="826" ht="15.75" customHeight="1">
      <c r="A826" s="197" t="s">
        <v>58</v>
      </c>
      <c r="B826" s="197" t="s">
        <v>22</v>
      </c>
      <c r="C826" s="198" t="s">
        <v>239</v>
      </c>
      <c r="D826" s="197" t="s">
        <v>240</v>
      </c>
      <c r="E826" s="199">
        <v>13.0</v>
      </c>
      <c r="F826" s="200">
        <v>46044.41666666667</v>
      </c>
      <c r="G826" s="197" t="s">
        <v>845</v>
      </c>
      <c r="H826" s="197" t="s">
        <v>852</v>
      </c>
    </row>
    <row r="827" ht="15.75" customHeight="1">
      <c r="A827" s="197" t="s">
        <v>58</v>
      </c>
      <c r="B827" s="197" t="s">
        <v>22</v>
      </c>
      <c r="C827" s="198" t="s">
        <v>239</v>
      </c>
      <c r="D827" s="197" t="s">
        <v>240</v>
      </c>
      <c r="E827" s="199">
        <v>14.0</v>
      </c>
      <c r="F827" s="200">
        <v>46051.625</v>
      </c>
      <c r="G827" s="197" t="s">
        <v>845</v>
      </c>
      <c r="H827" s="197" t="s">
        <v>852</v>
      </c>
    </row>
    <row r="828" ht="15.75" customHeight="1">
      <c r="A828" s="197" t="s">
        <v>58</v>
      </c>
      <c r="B828" s="197" t="s">
        <v>22</v>
      </c>
      <c r="C828" s="198" t="s">
        <v>239</v>
      </c>
      <c r="D828" s="197" t="s">
        <v>240</v>
      </c>
      <c r="E828" s="199">
        <v>15.0</v>
      </c>
      <c r="F828" s="200">
        <v>46052.625</v>
      </c>
      <c r="G828" s="197" t="s">
        <v>845</v>
      </c>
      <c r="H828" s="197" t="s">
        <v>852</v>
      </c>
    </row>
    <row r="829" ht="15.75" customHeight="1">
      <c r="A829" s="197" t="s">
        <v>58</v>
      </c>
      <c r="B829" s="197" t="s">
        <v>22</v>
      </c>
      <c r="C829" s="198" t="s">
        <v>239</v>
      </c>
      <c r="D829" s="197" t="s">
        <v>240</v>
      </c>
      <c r="E829" s="199">
        <v>16.0</v>
      </c>
      <c r="F829" s="200">
        <v>46104.41666666667</v>
      </c>
      <c r="G829" s="197" t="s">
        <v>845</v>
      </c>
      <c r="H829" s="197" t="s">
        <v>852</v>
      </c>
    </row>
    <row r="830" ht="15.75" customHeight="1">
      <c r="A830" s="197" t="s">
        <v>58</v>
      </c>
      <c r="B830" s="197" t="s">
        <v>21</v>
      </c>
      <c r="C830" s="198" t="s">
        <v>263</v>
      </c>
      <c r="D830" s="197" t="s">
        <v>264</v>
      </c>
      <c r="E830" s="199">
        <v>1.0</v>
      </c>
      <c r="F830" s="200">
        <v>45772.58333333333</v>
      </c>
      <c r="G830" s="197" t="s">
        <v>845</v>
      </c>
      <c r="H830" s="197" t="s">
        <v>852</v>
      </c>
    </row>
    <row r="831" ht="15.75" customHeight="1">
      <c r="A831" s="197" t="s">
        <v>58</v>
      </c>
      <c r="B831" s="197" t="s">
        <v>21</v>
      </c>
      <c r="C831" s="198" t="s">
        <v>263</v>
      </c>
      <c r="D831" s="197" t="s">
        <v>264</v>
      </c>
      <c r="E831" s="199">
        <v>2.0</v>
      </c>
      <c r="F831" s="200">
        <v>45786.58333333333</v>
      </c>
      <c r="G831" s="197" t="s">
        <v>845</v>
      </c>
      <c r="H831" s="197" t="s">
        <v>852</v>
      </c>
    </row>
    <row r="832" ht="15.75" customHeight="1">
      <c r="A832" s="197" t="s">
        <v>58</v>
      </c>
      <c r="B832" s="197" t="s">
        <v>21</v>
      </c>
      <c r="C832" s="198" t="s">
        <v>263</v>
      </c>
      <c r="D832" s="197" t="s">
        <v>264</v>
      </c>
      <c r="E832" s="199">
        <v>3.0</v>
      </c>
      <c r="F832" s="200">
        <v>45841.54166666667</v>
      </c>
      <c r="G832" s="197" t="s">
        <v>845</v>
      </c>
      <c r="H832" s="197" t="s">
        <v>852</v>
      </c>
    </row>
    <row r="833" ht="15.75" customHeight="1">
      <c r="A833" s="197" t="s">
        <v>58</v>
      </c>
      <c r="B833" s="197" t="s">
        <v>21</v>
      </c>
      <c r="C833" s="198" t="s">
        <v>263</v>
      </c>
      <c r="D833" s="197" t="s">
        <v>264</v>
      </c>
      <c r="E833" s="199">
        <v>4.0</v>
      </c>
      <c r="F833" s="200">
        <v>45849.45833333333</v>
      </c>
      <c r="G833" s="197" t="s">
        <v>845</v>
      </c>
      <c r="H833" s="197" t="s">
        <v>852</v>
      </c>
    </row>
    <row r="834" ht="15.75" customHeight="1">
      <c r="A834" s="197" t="s">
        <v>58</v>
      </c>
      <c r="B834" s="197" t="s">
        <v>21</v>
      </c>
      <c r="C834" s="198" t="s">
        <v>263</v>
      </c>
      <c r="D834" s="197" t="s">
        <v>264</v>
      </c>
      <c r="E834" s="199">
        <v>5.0</v>
      </c>
      <c r="F834" s="200">
        <v>45849.45833333333</v>
      </c>
      <c r="G834" s="197" t="s">
        <v>845</v>
      </c>
      <c r="H834" s="197" t="s">
        <v>852</v>
      </c>
    </row>
    <row r="835" ht="15.75" customHeight="1">
      <c r="A835" s="197" t="s">
        <v>58</v>
      </c>
      <c r="B835" s="197" t="s">
        <v>21</v>
      </c>
      <c r="C835" s="198" t="s">
        <v>263</v>
      </c>
      <c r="D835" s="197" t="s">
        <v>264</v>
      </c>
      <c r="E835" s="199">
        <v>6.0</v>
      </c>
      <c r="F835" s="200">
        <v>45862.625</v>
      </c>
      <c r="G835" s="197" t="s">
        <v>845</v>
      </c>
      <c r="H835" s="197" t="s">
        <v>852</v>
      </c>
    </row>
    <row r="836" ht="15.75" customHeight="1">
      <c r="A836" s="197" t="s">
        <v>58</v>
      </c>
      <c r="B836" s="197" t="s">
        <v>21</v>
      </c>
      <c r="C836" s="198" t="s">
        <v>263</v>
      </c>
      <c r="D836" s="197" t="s">
        <v>264</v>
      </c>
      <c r="E836" s="199">
        <v>7.0</v>
      </c>
      <c r="F836" s="200">
        <v>45869.41666666667</v>
      </c>
      <c r="G836" s="197" t="s">
        <v>845</v>
      </c>
      <c r="H836" s="197" t="s">
        <v>852</v>
      </c>
    </row>
    <row r="837" ht="15.75" customHeight="1">
      <c r="A837" s="197" t="s">
        <v>58</v>
      </c>
      <c r="B837" s="197" t="s">
        <v>21</v>
      </c>
      <c r="C837" s="198" t="s">
        <v>263</v>
      </c>
      <c r="D837" s="197" t="s">
        <v>264</v>
      </c>
      <c r="E837" s="199">
        <v>8.0</v>
      </c>
      <c r="F837" s="200">
        <v>45890.58333333333</v>
      </c>
      <c r="G837" s="197" t="s">
        <v>845</v>
      </c>
      <c r="H837" s="197" t="s">
        <v>852</v>
      </c>
    </row>
    <row r="838" ht="15.75" customHeight="1">
      <c r="A838" s="197" t="s">
        <v>58</v>
      </c>
      <c r="B838" s="197" t="s">
        <v>21</v>
      </c>
      <c r="C838" s="198" t="s">
        <v>263</v>
      </c>
      <c r="D838" s="197" t="s">
        <v>264</v>
      </c>
      <c r="E838" s="199">
        <v>9.0</v>
      </c>
      <c r="F838" s="200">
        <v>45897.54166666667</v>
      </c>
      <c r="G838" s="197" t="s">
        <v>845</v>
      </c>
      <c r="H838" s="197" t="s">
        <v>852</v>
      </c>
    </row>
    <row r="839" ht="15.75" customHeight="1">
      <c r="A839" s="197" t="s">
        <v>58</v>
      </c>
      <c r="B839" s="197" t="s">
        <v>21</v>
      </c>
      <c r="C839" s="198" t="s">
        <v>263</v>
      </c>
      <c r="D839" s="197" t="s">
        <v>264</v>
      </c>
      <c r="E839" s="199">
        <v>10.0</v>
      </c>
      <c r="F839" s="200">
        <v>45918.41666666667</v>
      </c>
      <c r="G839" s="197" t="s">
        <v>845</v>
      </c>
      <c r="H839" s="197" t="s">
        <v>852</v>
      </c>
    </row>
    <row r="840" ht="15.75" customHeight="1">
      <c r="A840" s="197" t="s">
        <v>58</v>
      </c>
      <c r="B840" s="197" t="s">
        <v>22</v>
      </c>
      <c r="C840" s="198" t="s">
        <v>263</v>
      </c>
      <c r="D840" s="197" t="s">
        <v>264</v>
      </c>
      <c r="E840" s="199">
        <v>1.0</v>
      </c>
      <c r="F840" s="200">
        <v>45946.45833333333</v>
      </c>
      <c r="G840" s="197" t="s">
        <v>845</v>
      </c>
      <c r="H840" s="197" t="s">
        <v>852</v>
      </c>
    </row>
    <row r="841" ht="15.75" customHeight="1">
      <c r="A841" s="197" t="s">
        <v>58</v>
      </c>
      <c r="B841" s="197" t="s">
        <v>22</v>
      </c>
      <c r="C841" s="198" t="s">
        <v>263</v>
      </c>
      <c r="D841" s="197" t="s">
        <v>264</v>
      </c>
      <c r="E841" s="199">
        <v>2.0</v>
      </c>
      <c r="F841" s="200">
        <v>45953.45833333333</v>
      </c>
      <c r="G841" s="197" t="s">
        <v>845</v>
      </c>
      <c r="H841" s="197" t="s">
        <v>852</v>
      </c>
    </row>
    <row r="842" ht="15.75" customHeight="1">
      <c r="A842" s="197" t="s">
        <v>58</v>
      </c>
      <c r="B842" s="197" t="s">
        <v>22</v>
      </c>
      <c r="C842" s="198" t="s">
        <v>263</v>
      </c>
      <c r="D842" s="197" t="s">
        <v>264</v>
      </c>
      <c r="E842" s="199">
        <v>3.0</v>
      </c>
      <c r="F842" s="200">
        <v>45960.45833333333</v>
      </c>
      <c r="G842" s="197" t="s">
        <v>845</v>
      </c>
      <c r="H842" s="197" t="s">
        <v>852</v>
      </c>
    </row>
    <row r="843" ht="15.75" customHeight="1">
      <c r="A843" s="197" t="s">
        <v>58</v>
      </c>
      <c r="B843" s="197" t="s">
        <v>22</v>
      </c>
      <c r="C843" s="198" t="s">
        <v>263</v>
      </c>
      <c r="D843" s="197" t="s">
        <v>264</v>
      </c>
      <c r="E843" s="199">
        <v>4.0</v>
      </c>
      <c r="F843" s="200">
        <v>45961.625</v>
      </c>
      <c r="G843" s="197" t="s">
        <v>845</v>
      </c>
      <c r="H843" s="197" t="s">
        <v>852</v>
      </c>
    </row>
    <row r="844" ht="15.75" customHeight="1">
      <c r="A844" s="197" t="s">
        <v>58</v>
      </c>
      <c r="B844" s="197" t="s">
        <v>22</v>
      </c>
      <c r="C844" s="198" t="s">
        <v>263</v>
      </c>
      <c r="D844" s="197" t="s">
        <v>264</v>
      </c>
      <c r="E844" s="199">
        <v>5.0</v>
      </c>
      <c r="F844" s="200">
        <v>45974.41666666667</v>
      </c>
      <c r="G844" s="197" t="s">
        <v>845</v>
      </c>
      <c r="H844" s="197" t="s">
        <v>852</v>
      </c>
    </row>
    <row r="845" ht="15.75" customHeight="1">
      <c r="A845" s="197" t="s">
        <v>58</v>
      </c>
      <c r="B845" s="197" t="s">
        <v>22</v>
      </c>
      <c r="C845" s="198" t="s">
        <v>263</v>
      </c>
      <c r="D845" s="197" t="s">
        <v>264</v>
      </c>
      <c r="E845" s="199">
        <v>6.0</v>
      </c>
      <c r="F845" s="200">
        <v>45981.41666666667</v>
      </c>
      <c r="G845" s="197" t="s">
        <v>845</v>
      </c>
      <c r="H845" s="197" t="s">
        <v>852</v>
      </c>
    </row>
    <row r="846" ht="15.75" customHeight="1">
      <c r="A846" s="197" t="s">
        <v>58</v>
      </c>
      <c r="B846" s="197" t="s">
        <v>22</v>
      </c>
      <c r="C846" s="198" t="s">
        <v>263</v>
      </c>
      <c r="D846" s="197" t="s">
        <v>264</v>
      </c>
      <c r="E846" s="199">
        <v>7.0</v>
      </c>
      <c r="F846" s="200">
        <v>45988.41666666667</v>
      </c>
      <c r="G846" s="197" t="s">
        <v>845</v>
      </c>
      <c r="H846" s="197" t="s">
        <v>852</v>
      </c>
    </row>
    <row r="847" ht="15.75" customHeight="1">
      <c r="A847" s="197" t="s">
        <v>58</v>
      </c>
      <c r="B847" s="197" t="s">
        <v>22</v>
      </c>
      <c r="C847" s="198" t="s">
        <v>263</v>
      </c>
      <c r="D847" s="197" t="s">
        <v>264</v>
      </c>
      <c r="E847" s="199">
        <v>8.0</v>
      </c>
      <c r="F847" s="200">
        <v>45995.41666666667</v>
      </c>
      <c r="G847" s="197" t="s">
        <v>845</v>
      </c>
      <c r="H847" s="197" t="s">
        <v>852</v>
      </c>
    </row>
    <row r="848" ht="15.75" customHeight="1">
      <c r="A848" s="197" t="s">
        <v>58</v>
      </c>
      <c r="B848" s="197" t="s">
        <v>22</v>
      </c>
      <c r="C848" s="198" t="s">
        <v>263</v>
      </c>
      <c r="D848" s="197" t="s">
        <v>264</v>
      </c>
      <c r="E848" s="199">
        <v>9.0</v>
      </c>
      <c r="F848" s="200">
        <v>46002.625</v>
      </c>
      <c r="G848" s="197" t="s">
        <v>845</v>
      </c>
      <c r="H848" s="197" t="s">
        <v>852</v>
      </c>
    </row>
    <row r="849" ht="15.75" customHeight="1">
      <c r="A849" s="197" t="s">
        <v>58</v>
      </c>
      <c r="B849" s="197" t="s">
        <v>22</v>
      </c>
      <c r="C849" s="198" t="s">
        <v>263</v>
      </c>
      <c r="D849" s="197" t="s">
        <v>264</v>
      </c>
      <c r="E849" s="199">
        <v>10.0</v>
      </c>
      <c r="F849" s="200">
        <v>46010.625</v>
      </c>
      <c r="G849" s="197" t="s">
        <v>845</v>
      </c>
      <c r="H849" s="197" t="s">
        <v>852</v>
      </c>
    </row>
    <row r="850" ht="15.75" customHeight="1">
      <c r="A850" s="197" t="s">
        <v>58</v>
      </c>
      <c r="B850" s="197" t="s">
        <v>22</v>
      </c>
      <c r="C850" s="198" t="s">
        <v>263</v>
      </c>
      <c r="D850" s="197" t="s">
        <v>264</v>
      </c>
      <c r="E850" s="199">
        <v>11.0</v>
      </c>
      <c r="F850" s="200">
        <v>46017.58333333333</v>
      </c>
      <c r="G850" s="197" t="s">
        <v>845</v>
      </c>
      <c r="H850" s="197" t="s">
        <v>852</v>
      </c>
    </row>
    <row r="851" ht="15.75" customHeight="1">
      <c r="A851" s="197" t="s">
        <v>58</v>
      </c>
      <c r="B851" s="197" t="s">
        <v>22</v>
      </c>
      <c r="C851" s="198" t="s">
        <v>263</v>
      </c>
      <c r="D851" s="197" t="s">
        <v>264</v>
      </c>
      <c r="E851" s="199">
        <v>12.0</v>
      </c>
      <c r="F851" s="200">
        <v>46038.58333333333</v>
      </c>
      <c r="G851" s="197" t="s">
        <v>845</v>
      </c>
      <c r="H851" s="197" t="s">
        <v>852</v>
      </c>
    </row>
    <row r="852" ht="15.75" customHeight="1">
      <c r="A852" s="197" t="s">
        <v>58</v>
      </c>
      <c r="B852" s="197" t="s">
        <v>22</v>
      </c>
      <c r="C852" s="198" t="s">
        <v>263</v>
      </c>
      <c r="D852" s="197" t="s">
        <v>264</v>
      </c>
      <c r="E852" s="199">
        <v>13.0</v>
      </c>
      <c r="F852" s="200">
        <v>46044.41666666667</v>
      </c>
      <c r="G852" s="197" t="s">
        <v>845</v>
      </c>
      <c r="H852" s="197" t="s">
        <v>852</v>
      </c>
    </row>
    <row r="853" ht="15.75" customHeight="1">
      <c r="A853" s="197" t="s">
        <v>58</v>
      </c>
      <c r="B853" s="197" t="s">
        <v>22</v>
      </c>
      <c r="C853" s="198" t="s">
        <v>263</v>
      </c>
      <c r="D853" s="197" t="s">
        <v>264</v>
      </c>
      <c r="E853" s="199">
        <v>14.0</v>
      </c>
      <c r="F853" s="200">
        <v>46051.625</v>
      </c>
      <c r="G853" s="197" t="s">
        <v>845</v>
      </c>
      <c r="H853" s="197" t="s">
        <v>852</v>
      </c>
    </row>
    <row r="854" ht="15.75" customHeight="1">
      <c r="A854" s="197" t="s">
        <v>58</v>
      </c>
      <c r="B854" s="197" t="s">
        <v>22</v>
      </c>
      <c r="C854" s="198" t="s">
        <v>263</v>
      </c>
      <c r="D854" s="197" t="s">
        <v>264</v>
      </c>
      <c r="E854" s="199">
        <v>15.0</v>
      </c>
      <c r="F854" s="200">
        <v>46052.625</v>
      </c>
      <c r="G854" s="197" t="s">
        <v>845</v>
      </c>
      <c r="H854" s="197" t="s">
        <v>852</v>
      </c>
    </row>
    <row r="855" ht="15.75" customHeight="1">
      <c r="A855" s="197" t="s">
        <v>58</v>
      </c>
      <c r="B855" s="197" t="s">
        <v>22</v>
      </c>
      <c r="C855" s="198" t="s">
        <v>263</v>
      </c>
      <c r="D855" s="197" t="s">
        <v>264</v>
      </c>
      <c r="E855" s="199">
        <v>16.0</v>
      </c>
      <c r="F855" s="200">
        <v>46104.41666666667</v>
      </c>
      <c r="G855" s="197" t="s">
        <v>845</v>
      </c>
      <c r="H855" s="197" t="s">
        <v>852</v>
      </c>
    </row>
    <row r="856" ht="15.75" customHeight="1">
      <c r="A856" s="197" t="s">
        <v>58</v>
      </c>
      <c r="B856" s="197" t="s">
        <v>21</v>
      </c>
      <c r="C856" s="198" t="s">
        <v>528</v>
      </c>
      <c r="D856" s="197" t="s">
        <v>529</v>
      </c>
      <c r="E856" s="199">
        <v>1.0</v>
      </c>
      <c r="F856" s="200">
        <v>45772.58333333333</v>
      </c>
      <c r="G856" s="197" t="s">
        <v>845</v>
      </c>
      <c r="H856" s="197" t="s">
        <v>852</v>
      </c>
    </row>
    <row r="857" ht="15.75" customHeight="1">
      <c r="A857" s="197" t="s">
        <v>58</v>
      </c>
      <c r="B857" s="197" t="s">
        <v>21</v>
      </c>
      <c r="C857" s="198" t="s">
        <v>528</v>
      </c>
      <c r="D857" s="197" t="s">
        <v>529</v>
      </c>
      <c r="E857" s="199">
        <v>2.0</v>
      </c>
      <c r="F857" s="200">
        <v>45786.58333333333</v>
      </c>
      <c r="G857" s="197" t="s">
        <v>845</v>
      </c>
      <c r="H857" s="197" t="s">
        <v>852</v>
      </c>
    </row>
    <row r="858" ht="15.75" customHeight="1">
      <c r="A858" s="197" t="s">
        <v>58</v>
      </c>
      <c r="B858" s="197" t="s">
        <v>21</v>
      </c>
      <c r="C858" s="198" t="s">
        <v>528</v>
      </c>
      <c r="D858" s="197" t="s">
        <v>529</v>
      </c>
      <c r="E858" s="199">
        <v>3.0</v>
      </c>
      <c r="F858" s="200">
        <v>45841.54166666667</v>
      </c>
      <c r="G858" s="197" t="s">
        <v>845</v>
      </c>
      <c r="H858" s="197" t="s">
        <v>852</v>
      </c>
    </row>
    <row r="859" ht="15.75" customHeight="1">
      <c r="A859" s="197" t="s">
        <v>58</v>
      </c>
      <c r="B859" s="197" t="s">
        <v>21</v>
      </c>
      <c r="C859" s="198" t="s">
        <v>528</v>
      </c>
      <c r="D859" s="197" t="s">
        <v>529</v>
      </c>
      <c r="E859" s="199">
        <v>4.0</v>
      </c>
      <c r="F859" s="200">
        <v>45849.45833333333</v>
      </c>
      <c r="G859" s="197" t="s">
        <v>845</v>
      </c>
      <c r="H859" s="197" t="s">
        <v>852</v>
      </c>
    </row>
    <row r="860" ht="15.75" customHeight="1">
      <c r="A860" s="197" t="s">
        <v>58</v>
      </c>
      <c r="B860" s="197" t="s">
        <v>21</v>
      </c>
      <c r="C860" s="198" t="s">
        <v>528</v>
      </c>
      <c r="D860" s="197" t="s">
        <v>529</v>
      </c>
      <c r="E860" s="199">
        <v>5.0</v>
      </c>
      <c r="F860" s="200">
        <v>45849.45833333333</v>
      </c>
      <c r="G860" s="197" t="s">
        <v>845</v>
      </c>
      <c r="H860" s="197" t="s">
        <v>852</v>
      </c>
    </row>
    <row r="861" ht="15.75" customHeight="1">
      <c r="A861" s="197" t="s">
        <v>58</v>
      </c>
      <c r="B861" s="197" t="s">
        <v>21</v>
      </c>
      <c r="C861" s="198" t="s">
        <v>528</v>
      </c>
      <c r="D861" s="197" t="s">
        <v>529</v>
      </c>
      <c r="E861" s="199">
        <v>6.0</v>
      </c>
      <c r="F861" s="200">
        <v>45862.625</v>
      </c>
      <c r="G861" s="197" t="s">
        <v>845</v>
      </c>
      <c r="H861" s="197" t="s">
        <v>852</v>
      </c>
    </row>
    <row r="862" ht="15.75" customHeight="1">
      <c r="A862" s="197" t="s">
        <v>58</v>
      </c>
      <c r="B862" s="197" t="s">
        <v>21</v>
      </c>
      <c r="C862" s="198" t="s">
        <v>528</v>
      </c>
      <c r="D862" s="197" t="s">
        <v>529</v>
      </c>
      <c r="E862" s="199">
        <v>7.0</v>
      </c>
      <c r="F862" s="200">
        <v>45869.41666666667</v>
      </c>
      <c r="G862" s="197" t="s">
        <v>845</v>
      </c>
      <c r="H862" s="197" t="s">
        <v>852</v>
      </c>
    </row>
    <row r="863" ht="15.75" customHeight="1">
      <c r="A863" s="197" t="s">
        <v>58</v>
      </c>
      <c r="B863" s="197" t="s">
        <v>21</v>
      </c>
      <c r="C863" s="198" t="s">
        <v>528</v>
      </c>
      <c r="D863" s="197" t="s">
        <v>529</v>
      </c>
      <c r="E863" s="199">
        <v>8.0</v>
      </c>
      <c r="F863" s="200">
        <v>45890.58333333333</v>
      </c>
      <c r="G863" s="197" t="s">
        <v>843</v>
      </c>
      <c r="H863" s="197" t="s">
        <v>852</v>
      </c>
    </row>
    <row r="864" ht="15.75" customHeight="1">
      <c r="A864" s="197" t="s">
        <v>58</v>
      </c>
      <c r="B864" s="197" t="s">
        <v>21</v>
      </c>
      <c r="C864" s="198" t="s">
        <v>528</v>
      </c>
      <c r="D864" s="197" t="s">
        <v>529</v>
      </c>
      <c r="E864" s="199">
        <v>9.0</v>
      </c>
      <c r="F864" s="200">
        <v>45897.54166666667</v>
      </c>
      <c r="G864" s="197" t="s">
        <v>845</v>
      </c>
      <c r="H864" s="197" t="s">
        <v>852</v>
      </c>
    </row>
    <row r="865" ht="15.75" customHeight="1">
      <c r="A865" s="197" t="s">
        <v>58</v>
      </c>
      <c r="B865" s="197" t="s">
        <v>21</v>
      </c>
      <c r="C865" s="198" t="s">
        <v>528</v>
      </c>
      <c r="D865" s="197" t="s">
        <v>529</v>
      </c>
      <c r="E865" s="199">
        <v>10.0</v>
      </c>
      <c r="F865" s="200">
        <v>45918.41666666667</v>
      </c>
      <c r="G865" s="197" t="s">
        <v>845</v>
      </c>
      <c r="H865" s="197" t="s">
        <v>852</v>
      </c>
    </row>
    <row r="866" ht="15.75" customHeight="1">
      <c r="A866" s="197" t="s">
        <v>58</v>
      </c>
      <c r="B866" s="197" t="s">
        <v>22</v>
      </c>
      <c r="C866" s="198" t="s">
        <v>528</v>
      </c>
      <c r="D866" s="197" t="s">
        <v>529</v>
      </c>
      <c r="E866" s="199">
        <v>1.0</v>
      </c>
      <c r="F866" s="200">
        <v>45946.45833333333</v>
      </c>
      <c r="G866" s="197" t="s">
        <v>845</v>
      </c>
      <c r="H866" s="197" t="s">
        <v>852</v>
      </c>
    </row>
    <row r="867" ht="15.75" customHeight="1">
      <c r="A867" s="197" t="s">
        <v>58</v>
      </c>
      <c r="B867" s="197" t="s">
        <v>22</v>
      </c>
      <c r="C867" s="198" t="s">
        <v>528</v>
      </c>
      <c r="D867" s="197" t="s">
        <v>529</v>
      </c>
      <c r="E867" s="199">
        <v>2.0</v>
      </c>
      <c r="F867" s="200">
        <v>45953.45833333333</v>
      </c>
      <c r="G867" s="197" t="s">
        <v>845</v>
      </c>
      <c r="H867" s="197" t="s">
        <v>852</v>
      </c>
    </row>
    <row r="868" ht="15.75" customHeight="1">
      <c r="A868" s="197" t="s">
        <v>58</v>
      </c>
      <c r="B868" s="197" t="s">
        <v>22</v>
      </c>
      <c r="C868" s="198" t="s">
        <v>528</v>
      </c>
      <c r="D868" s="197" t="s">
        <v>529</v>
      </c>
      <c r="E868" s="199">
        <v>3.0</v>
      </c>
      <c r="F868" s="200">
        <v>45960.45833333333</v>
      </c>
      <c r="G868" s="197" t="s">
        <v>845</v>
      </c>
      <c r="H868" s="197" t="s">
        <v>852</v>
      </c>
    </row>
    <row r="869" ht="15.75" customHeight="1">
      <c r="A869" s="197" t="s">
        <v>58</v>
      </c>
      <c r="B869" s="197" t="s">
        <v>22</v>
      </c>
      <c r="C869" s="198" t="s">
        <v>528</v>
      </c>
      <c r="D869" s="197" t="s">
        <v>529</v>
      </c>
      <c r="E869" s="199">
        <v>4.0</v>
      </c>
      <c r="F869" s="200">
        <v>45961.625</v>
      </c>
      <c r="G869" s="197" t="s">
        <v>845</v>
      </c>
      <c r="H869" s="197" t="s">
        <v>852</v>
      </c>
    </row>
    <row r="870" ht="15.75" customHeight="1">
      <c r="A870" s="197" t="s">
        <v>58</v>
      </c>
      <c r="B870" s="197" t="s">
        <v>22</v>
      </c>
      <c r="C870" s="198" t="s">
        <v>528</v>
      </c>
      <c r="D870" s="197" t="s">
        <v>529</v>
      </c>
      <c r="E870" s="199">
        <v>5.0</v>
      </c>
      <c r="F870" s="200">
        <v>45974.41666666667</v>
      </c>
      <c r="G870" s="197" t="s">
        <v>845</v>
      </c>
      <c r="H870" s="197" t="s">
        <v>852</v>
      </c>
    </row>
    <row r="871" ht="15.75" customHeight="1">
      <c r="A871" s="197" t="s">
        <v>58</v>
      </c>
      <c r="B871" s="197" t="s">
        <v>22</v>
      </c>
      <c r="C871" s="198" t="s">
        <v>528</v>
      </c>
      <c r="D871" s="197" t="s">
        <v>529</v>
      </c>
      <c r="E871" s="199">
        <v>6.0</v>
      </c>
      <c r="F871" s="200">
        <v>45981.41666666667</v>
      </c>
      <c r="G871" s="197" t="s">
        <v>845</v>
      </c>
      <c r="H871" s="197" t="s">
        <v>852</v>
      </c>
    </row>
    <row r="872" ht="15.75" customHeight="1">
      <c r="A872" s="197" t="s">
        <v>58</v>
      </c>
      <c r="B872" s="197" t="s">
        <v>22</v>
      </c>
      <c r="C872" s="198" t="s">
        <v>528</v>
      </c>
      <c r="D872" s="197" t="s">
        <v>529</v>
      </c>
      <c r="E872" s="199">
        <v>8.0</v>
      </c>
      <c r="F872" s="200">
        <v>45995.41666666667</v>
      </c>
      <c r="G872" s="197" t="s">
        <v>845</v>
      </c>
      <c r="H872" s="197" t="s">
        <v>852</v>
      </c>
    </row>
    <row r="873" ht="15.75" customHeight="1">
      <c r="A873" s="197" t="s">
        <v>58</v>
      </c>
      <c r="B873" s="197" t="s">
        <v>22</v>
      </c>
      <c r="C873" s="198" t="s">
        <v>528</v>
      </c>
      <c r="D873" s="197" t="s">
        <v>529</v>
      </c>
      <c r="E873" s="199">
        <v>9.0</v>
      </c>
      <c r="F873" s="200">
        <v>46002.625</v>
      </c>
      <c r="G873" s="197" t="s">
        <v>845</v>
      </c>
      <c r="H873" s="197" t="s">
        <v>852</v>
      </c>
    </row>
    <row r="874" ht="15.75" customHeight="1">
      <c r="A874" s="197" t="s">
        <v>58</v>
      </c>
      <c r="B874" s="197" t="s">
        <v>22</v>
      </c>
      <c r="C874" s="198" t="s">
        <v>528</v>
      </c>
      <c r="D874" s="197" t="s">
        <v>529</v>
      </c>
      <c r="E874" s="199">
        <v>10.0</v>
      </c>
      <c r="F874" s="200">
        <v>46010.625</v>
      </c>
      <c r="G874" s="197" t="s">
        <v>845</v>
      </c>
      <c r="H874" s="197" t="s">
        <v>852</v>
      </c>
    </row>
    <row r="875" ht="15.75" customHeight="1">
      <c r="A875" s="197" t="s">
        <v>58</v>
      </c>
      <c r="B875" s="197" t="s">
        <v>22</v>
      </c>
      <c r="C875" s="198" t="s">
        <v>528</v>
      </c>
      <c r="D875" s="197" t="s">
        <v>529</v>
      </c>
      <c r="E875" s="199">
        <v>11.0</v>
      </c>
      <c r="F875" s="200">
        <v>46017.58333333333</v>
      </c>
      <c r="G875" s="197" t="s">
        <v>845</v>
      </c>
      <c r="H875" s="197" t="s">
        <v>852</v>
      </c>
    </row>
    <row r="876" ht="15.75" customHeight="1">
      <c r="A876" s="197" t="s">
        <v>58</v>
      </c>
      <c r="B876" s="197" t="s">
        <v>22</v>
      </c>
      <c r="C876" s="198" t="s">
        <v>528</v>
      </c>
      <c r="D876" s="197" t="s">
        <v>529</v>
      </c>
      <c r="E876" s="199">
        <v>12.0</v>
      </c>
      <c r="F876" s="200">
        <v>46038.58333333333</v>
      </c>
      <c r="G876" s="197" t="s">
        <v>843</v>
      </c>
      <c r="H876" s="197" t="s">
        <v>852</v>
      </c>
    </row>
    <row r="877" ht="15.75" customHeight="1">
      <c r="A877" s="197" t="s">
        <v>58</v>
      </c>
      <c r="B877" s="197" t="s">
        <v>22</v>
      </c>
      <c r="C877" s="198" t="s">
        <v>528</v>
      </c>
      <c r="D877" s="197" t="s">
        <v>529</v>
      </c>
      <c r="E877" s="199">
        <v>13.0</v>
      </c>
      <c r="F877" s="200">
        <v>46044.41666666667</v>
      </c>
      <c r="G877" s="197" t="s">
        <v>845</v>
      </c>
      <c r="H877" s="197" t="s">
        <v>852</v>
      </c>
    </row>
    <row r="878" ht="15.75" customHeight="1">
      <c r="A878" s="197" t="s">
        <v>58</v>
      </c>
      <c r="B878" s="197" t="s">
        <v>22</v>
      </c>
      <c r="C878" s="198" t="s">
        <v>528</v>
      </c>
      <c r="D878" s="197" t="s">
        <v>529</v>
      </c>
      <c r="E878" s="199">
        <v>14.0</v>
      </c>
      <c r="F878" s="200">
        <v>46051.625</v>
      </c>
      <c r="G878" s="197" t="s">
        <v>845</v>
      </c>
      <c r="H878" s="197" t="s">
        <v>852</v>
      </c>
    </row>
    <row r="879" ht="15.75" customHeight="1">
      <c r="A879" s="197" t="s">
        <v>58</v>
      </c>
      <c r="B879" s="197" t="s">
        <v>22</v>
      </c>
      <c r="C879" s="198" t="s">
        <v>528</v>
      </c>
      <c r="D879" s="197" t="s">
        <v>529</v>
      </c>
      <c r="E879" s="199">
        <v>15.0</v>
      </c>
      <c r="F879" s="200">
        <v>46052.625</v>
      </c>
      <c r="G879" s="197" t="s">
        <v>845</v>
      </c>
      <c r="H879" s="197" t="s">
        <v>852</v>
      </c>
    </row>
    <row r="880" ht="15.75" customHeight="1">
      <c r="A880" s="197" t="s">
        <v>58</v>
      </c>
      <c r="B880" s="197" t="s">
        <v>22</v>
      </c>
      <c r="C880" s="198" t="s">
        <v>528</v>
      </c>
      <c r="D880" s="197" t="s">
        <v>529</v>
      </c>
      <c r="E880" s="199">
        <v>16.0</v>
      </c>
      <c r="F880" s="200">
        <v>46104.41666666667</v>
      </c>
      <c r="G880" s="197" t="s">
        <v>845</v>
      </c>
      <c r="H880" s="197" t="s">
        <v>852</v>
      </c>
    </row>
    <row r="881" ht="15.75" customHeight="1">
      <c r="A881" s="197" t="s">
        <v>58</v>
      </c>
      <c r="B881" s="197" t="s">
        <v>21</v>
      </c>
      <c r="C881" s="198" t="s">
        <v>603</v>
      </c>
      <c r="D881" s="197" t="s">
        <v>604</v>
      </c>
      <c r="E881" s="199">
        <v>1.0</v>
      </c>
      <c r="F881" s="200">
        <v>45772.58333333333</v>
      </c>
      <c r="G881" s="197" t="s">
        <v>845</v>
      </c>
      <c r="H881" s="197" t="s">
        <v>852</v>
      </c>
    </row>
    <row r="882" ht="15.75" customHeight="1">
      <c r="A882" s="197" t="s">
        <v>58</v>
      </c>
      <c r="B882" s="197" t="s">
        <v>21</v>
      </c>
      <c r="C882" s="198" t="s">
        <v>603</v>
      </c>
      <c r="D882" s="197" t="s">
        <v>604</v>
      </c>
      <c r="E882" s="199">
        <v>2.0</v>
      </c>
      <c r="F882" s="200">
        <v>45786.58333333333</v>
      </c>
      <c r="G882" s="197" t="s">
        <v>845</v>
      </c>
      <c r="H882" s="197" t="s">
        <v>852</v>
      </c>
    </row>
    <row r="883" ht="15.75" customHeight="1">
      <c r="A883" s="197" t="s">
        <v>58</v>
      </c>
      <c r="B883" s="197" t="s">
        <v>21</v>
      </c>
      <c r="C883" s="198" t="s">
        <v>603</v>
      </c>
      <c r="D883" s="197" t="s">
        <v>604</v>
      </c>
      <c r="E883" s="199">
        <v>3.0</v>
      </c>
      <c r="F883" s="200">
        <v>45841.54166666667</v>
      </c>
      <c r="G883" s="197" t="s">
        <v>845</v>
      </c>
      <c r="H883" s="197" t="s">
        <v>852</v>
      </c>
    </row>
    <row r="884" ht="15.75" customHeight="1">
      <c r="A884" s="197" t="s">
        <v>58</v>
      </c>
      <c r="B884" s="197" t="s">
        <v>21</v>
      </c>
      <c r="C884" s="198" t="s">
        <v>603</v>
      </c>
      <c r="D884" s="197" t="s">
        <v>604</v>
      </c>
      <c r="E884" s="199">
        <v>4.0</v>
      </c>
      <c r="F884" s="200">
        <v>45849.45833333333</v>
      </c>
      <c r="G884" s="197" t="s">
        <v>845</v>
      </c>
      <c r="H884" s="197" t="s">
        <v>852</v>
      </c>
    </row>
    <row r="885" ht="15.75" customHeight="1">
      <c r="A885" s="197" t="s">
        <v>58</v>
      </c>
      <c r="B885" s="197" t="s">
        <v>21</v>
      </c>
      <c r="C885" s="198" t="s">
        <v>603</v>
      </c>
      <c r="D885" s="197" t="s">
        <v>604</v>
      </c>
      <c r="E885" s="199">
        <v>5.0</v>
      </c>
      <c r="F885" s="200">
        <v>45855.54166666667</v>
      </c>
      <c r="G885" s="197" t="s">
        <v>845</v>
      </c>
      <c r="H885" s="197" t="s">
        <v>852</v>
      </c>
    </row>
    <row r="886" ht="15.75" customHeight="1">
      <c r="A886" s="197" t="s">
        <v>58</v>
      </c>
      <c r="B886" s="197" t="s">
        <v>21</v>
      </c>
      <c r="C886" s="198" t="s">
        <v>603</v>
      </c>
      <c r="D886" s="197" t="s">
        <v>604</v>
      </c>
      <c r="E886" s="199">
        <v>6.0</v>
      </c>
      <c r="F886" s="200">
        <v>45862.625</v>
      </c>
      <c r="G886" s="197" t="s">
        <v>845</v>
      </c>
      <c r="H886" s="197" t="s">
        <v>852</v>
      </c>
    </row>
    <row r="887" ht="15.75" customHeight="1">
      <c r="A887" s="197" t="s">
        <v>58</v>
      </c>
      <c r="B887" s="197" t="s">
        <v>21</v>
      </c>
      <c r="C887" s="198" t="s">
        <v>603</v>
      </c>
      <c r="D887" s="197" t="s">
        <v>604</v>
      </c>
      <c r="E887" s="199">
        <v>7.0</v>
      </c>
      <c r="F887" s="200">
        <v>45869.41666666667</v>
      </c>
      <c r="G887" s="197" t="s">
        <v>845</v>
      </c>
      <c r="H887" s="197" t="s">
        <v>852</v>
      </c>
    </row>
    <row r="888" ht="15.75" customHeight="1">
      <c r="A888" s="197" t="s">
        <v>58</v>
      </c>
      <c r="B888" s="197" t="s">
        <v>21</v>
      </c>
      <c r="C888" s="198" t="s">
        <v>603</v>
      </c>
      <c r="D888" s="197" t="s">
        <v>604</v>
      </c>
      <c r="E888" s="199">
        <v>8.0</v>
      </c>
      <c r="F888" s="200">
        <v>45890.58333333333</v>
      </c>
      <c r="G888" s="197" t="s">
        <v>845</v>
      </c>
      <c r="H888" s="197" t="s">
        <v>852</v>
      </c>
    </row>
    <row r="889" ht="15.75" customHeight="1">
      <c r="A889" s="197" t="s">
        <v>58</v>
      </c>
      <c r="B889" s="197" t="s">
        <v>21</v>
      </c>
      <c r="C889" s="198" t="s">
        <v>603</v>
      </c>
      <c r="D889" s="197" t="s">
        <v>604</v>
      </c>
      <c r="E889" s="199">
        <v>9.0</v>
      </c>
      <c r="F889" s="200">
        <v>45897.54166666667</v>
      </c>
      <c r="G889" s="197" t="s">
        <v>845</v>
      </c>
      <c r="H889" s="197" t="s">
        <v>852</v>
      </c>
    </row>
    <row r="890" ht="15.75" customHeight="1">
      <c r="A890" s="197" t="s">
        <v>58</v>
      </c>
      <c r="B890" s="197" t="s">
        <v>21</v>
      </c>
      <c r="C890" s="198" t="s">
        <v>603</v>
      </c>
      <c r="D890" s="197" t="s">
        <v>604</v>
      </c>
      <c r="E890" s="199">
        <v>10.0</v>
      </c>
      <c r="F890" s="200">
        <v>45918.41666666667</v>
      </c>
      <c r="G890" s="197" t="s">
        <v>845</v>
      </c>
      <c r="H890" s="197" t="s">
        <v>852</v>
      </c>
    </row>
    <row r="891" ht="15.75" customHeight="1">
      <c r="A891" s="197" t="s">
        <v>58</v>
      </c>
      <c r="B891" s="197" t="s">
        <v>22</v>
      </c>
      <c r="C891" s="198" t="s">
        <v>603</v>
      </c>
      <c r="D891" s="197" t="s">
        <v>604</v>
      </c>
      <c r="E891" s="199">
        <v>1.0</v>
      </c>
      <c r="F891" s="200">
        <v>45946.45833333333</v>
      </c>
      <c r="G891" s="197" t="s">
        <v>845</v>
      </c>
      <c r="H891" s="197" t="s">
        <v>852</v>
      </c>
    </row>
    <row r="892" ht="15.75" customHeight="1">
      <c r="A892" s="197" t="s">
        <v>58</v>
      </c>
      <c r="B892" s="197" t="s">
        <v>22</v>
      </c>
      <c r="C892" s="198" t="s">
        <v>603</v>
      </c>
      <c r="D892" s="197" t="s">
        <v>604</v>
      </c>
      <c r="E892" s="199">
        <v>2.0</v>
      </c>
      <c r="F892" s="200">
        <v>45953.45833333333</v>
      </c>
      <c r="G892" s="197" t="s">
        <v>845</v>
      </c>
      <c r="H892" s="197" t="s">
        <v>852</v>
      </c>
    </row>
    <row r="893" ht="15.75" customHeight="1">
      <c r="A893" s="197" t="s">
        <v>58</v>
      </c>
      <c r="B893" s="197" t="s">
        <v>22</v>
      </c>
      <c r="C893" s="198" t="s">
        <v>603</v>
      </c>
      <c r="D893" s="197" t="s">
        <v>604</v>
      </c>
      <c r="E893" s="199">
        <v>3.0</v>
      </c>
      <c r="F893" s="200">
        <v>45960.45833333333</v>
      </c>
      <c r="G893" s="197" t="s">
        <v>845</v>
      </c>
      <c r="H893" s="197" t="s">
        <v>852</v>
      </c>
    </row>
    <row r="894" ht="15.75" customHeight="1">
      <c r="A894" s="197" t="s">
        <v>58</v>
      </c>
      <c r="B894" s="197" t="s">
        <v>22</v>
      </c>
      <c r="C894" s="198" t="s">
        <v>603</v>
      </c>
      <c r="D894" s="197" t="s">
        <v>604</v>
      </c>
      <c r="E894" s="199">
        <v>4.0</v>
      </c>
      <c r="F894" s="200">
        <v>45961.625</v>
      </c>
      <c r="G894" s="197" t="s">
        <v>845</v>
      </c>
      <c r="H894" s="197" t="s">
        <v>852</v>
      </c>
    </row>
    <row r="895" ht="15.75" customHeight="1">
      <c r="A895" s="197" t="s">
        <v>58</v>
      </c>
      <c r="B895" s="197" t="s">
        <v>22</v>
      </c>
      <c r="C895" s="198" t="s">
        <v>603</v>
      </c>
      <c r="D895" s="197" t="s">
        <v>604</v>
      </c>
      <c r="E895" s="199">
        <v>5.0</v>
      </c>
      <c r="F895" s="200">
        <v>45974.41666666667</v>
      </c>
      <c r="G895" s="197" t="s">
        <v>845</v>
      </c>
      <c r="H895" s="197" t="s">
        <v>852</v>
      </c>
    </row>
    <row r="896" ht="15.75" customHeight="1">
      <c r="A896" s="197" t="s">
        <v>58</v>
      </c>
      <c r="B896" s="197" t="s">
        <v>22</v>
      </c>
      <c r="C896" s="198" t="s">
        <v>603</v>
      </c>
      <c r="D896" s="197" t="s">
        <v>604</v>
      </c>
      <c r="E896" s="199">
        <v>6.0</v>
      </c>
      <c r="F896" s="200">
        <v>45981.41666666667</v>
      </c>
      <c r="G896" s="197" t="s">
        <v>845</v>
      </c>
      <c r="H896" s="197" t="s">
        <v>852</v>
      </c>
    </row>
    <row r="897" ht="15.75" customHeight="1">
      <c r="A897" s="197" t="s">
        <v>58</v>
      </c>
      <c r="B897" s="197" t="s">
        <v>22</v>
      </c>
      <c r="C897" s="198" t="s">
        <v>603</v>
      </c>
      <c r="D897" s="197" t="s">
        <v>604</v>
      </c>
      <c r="E897" s="199">
        <v>7.0</v>
      </c>
      <c r="F897" s="200">
        <v>45988.41666666667</v>
      </c>
      <c r="G897" s="197" t="s">
        <v>845</v>
      </c>
      <c r="H897" s="197" t="s">
        <v>852</v>
      </c>
    </row>
    <row r="898" ht="15.75" customHeight="1">
      <c r="A898" s="197" t="s">
        <v>58</v>
      </c>
      <c r="B898" s="197" t="s">
        <v>22</v>
      </c>
      <c r="C898" s="198" t="s">
        <v>603</v>
      </c>
      <c r="D898" s="197" t="s">
        <v>604</v>
      </c>
      <c r="E898" s="199">
        <v>8.0</v>
      </c>
      <c r="F898" s="200">
        <v>45995.41666666667</v>
      </c>
      <c r="G898" s="197" t="s">
        <v>845</v>
      </c>
      <c r="H898" s="197" t="s">
        <v>852</v>
      </c>
    </row>
    <row r="899" ht="15.75" customHeight="1">
      <c r="A899" s="197" t="s">
        <v>58</v>
      </c>
      <c r="B899" s="197" t="s">
        <v>22</v>
      </c>
      <c r="C899" s="198" t="s">
        <v>603</v>
      </c>
      <c r="D899" s="197" t="s">
        <v>604</v>
      </c>
      <c r="E899" s="199">
        <v>9.0</v>
      </c>
      <c r="F899" s="200">
        <v>46002.625</v>
      </c>
      <c r="G899" s="197" t="s">
        <v>845</v>
      </c>
      <c r="H899" s="197" t="s">
        <v>852</v>
      </c>
    </row>
    <row r="900" ht="15.75" customHeight="1">
      <c r="A900" s="197" t="s">
        <v>58</v>
      </c>
      <c r="B900" s="197" t="s">
        <v>22</v>
      </c>
      <c r="C900" s="198" t="s">
        <v>603</v>
      </c>
      <c r="D900" s="197" t="s">
        <v>604</v>
      </c>
      <c r="E900" s="199">
        <v>10.0</v>
      </c>
      <c r="F900" s="200">
        <v>46010.625</v>
      </c>
      <c r="G900" s="197" t="s">
        <v>845</v>
      </c>
      <c r="H900" s="197" t="s">
        <v>852</v>
      </c>
    </row>
    <row r="901" ht="15.75" customHeight="1">
      <c r="A901" s="197" t="s">
        <v>58</v>
      </c>
      <c r="B901" s="197" t="s">
        <v>22</v>
      </c>
      <c r="C901" s="198" t="s">
        <v>603</v>
      </c>
      <c r="D901" s="197" t="s">
        <v>604</v>
      </c>
      <c r="E901" s="199">
        <v>11.0</v>
      </c>
      <c r="F901" s="200">
        <v>46017.58333333333</v>
      </c>
      <c r="G901" s="197" t="s">
        <v>845</v>
      </c>
      <c r="H901" s="197" t="s">
        <v>852</v>
      </c>
    </row>
    <row r="902" ht="15.75" customHeight="1">
      <c r="A902" s="197" t="s">
        <v>58</v>
      </c>
      <c r="B902" s="197" t="s">
        <v>22</v>
      </c>
      <c r="C902" s="198" t="s">
        <v>603</v>
      </c>
      <c r="D902" s="197" t="s">
        <v>604</v>
      </c>
      <c r="E902" s="199">
        <v>12.0</v>
      </c>
      <c r="F902" s="200">
        <v>46038.58333333333</v>
      </c>
      <c r="G902" s="197" t="s">
        <v>845</v>
      </c>
      <c r="H902" s="197" t="s">
        <v>852</v>
      </c>
    </row>
    <row r="903" ht="15.75" customHeight="1">
      <c r="A903" s="197" t="s">
        <v>58</v>
      </c>
      <c r="B903" s="197" t="s">
        <v>22</v>
      </c>
      <c r="C903" s="198" t="s">
        <v>603</v>
      </c>
      <c r="D903" s="197" t="s">
        <v>604</v>
      </c>
      <c r="E903" s="199">
        <v>13.0</v>
      </c>
      <c r="F903" s="200">
        <v>46044.41666666667</v>
      </c>
      <c r="G903" s="197" t="s">
        <v>845</v>
      </c>
      <c r="H903" s="197" t="s">
        <v>852</v>
      </c>
    </row>
    <row r="904" ht="15.75" customHeight="1">
      <c r="A904" s="197" t="s">
        <v>58</v>
      </c>
      <c r="B904" s="197" t="s">
        <v>22</v>
      </c>
      <c r="C904" s="198" t="s">
        <v>603</v>
      </c>
      <c r="D904" s="197" t="s">
        <v>604</v>
      </c>
      <c r="E904" s="199">
        <v>14.0</v>
      </c>
      <c r="F904" s="200">
        <v>46051.625</v>
      </c>
      <c r="G904" s="197" t="s">
        <v>845</v>
      </c>
      <c r="H904" s="197" t="s">
        <v>852</v>
      </c>
    </row>
    <row r="905" ht="15.75" customHeight="1">
      <c r="A905" s="197" t="s">
        <v>58</v>
      </c>
      <c r="B905" s="197" t="s">
        <v>22</v>
      </c>
      <c r="C905" s="198" t="s">
        <v>603</v>
      </c>
      <c r="D905" s="197" t="s">
        <v>604</v>
      </c>
      <c r="E905" s="199">
        <v>15.0</v>
      </c>
      <c r="F905" s="200">
        <v>46052.625</v>
      </c>
      <c r="G905" s="197" t="s">
        <v>845</v>
      </c>
      <c r="H905" s="197" t="s">
        <v>852</v>
      </c>
    </row>
    <row r="906" ht="15.75" customHeight="1">
      <c r="A906" s="197" t="s">
        <v>58</v>
      </c>
      <c r="B906" s="197" t="s">
        <v>22</v>
      </c>
      <c r="C906" s="198" t="s">
        <v>603</v>
      </c>
      <c r="D906" s="197" t="s">
        <v>604</v>
      </c>
      <c r="E906" s="199">
        <v>16.0</v>
      </c>
      <c r="F906" s="200">
        <v>46104.41666666667</v>
      </c>
      <c r="G906" s="197" t="s">
        <v>845</v>
      </c>
      <c r="H906" s="197" t="s">
        <v>852</v>
      </c>
    </row>
    <row r="907" ht="15.75" customHeight="1">
      <c r="A907" s="197" t="s">
        <v>58</v>
      </c>
      <c r="B907" s="197" t="s">
        <v>21</v>
      </c>
      <c r="C907" s="198" t="s">
        <v>665</v>
      </c>
      <c r="D907" s="197" t="s">
        <v>666</v>
      </c>
      <c r="E907" s="199">
        <v>1.0</v>
      </c>
      <c r="F907" s="200">
        <v>45772.58333333333</v>
      </c>
      <c r="G907" s="197" t="s">
        <v>845</v>
      </c>
      <c r="H907" s="197" t="s">
        <v>852</v>
      </c>
    </row>
    <row r="908" ht="15.75" customHeight="1">
      <c r="A908" s="197" t="s">
        <v>58</v>
      </c>
      <c r="B908" s="197" t="s">
        <v>21</v>
      </c>
      <c r="C908" s="198" t="s">
        <v>665</v>
      </c>
      <c r="D908" s="197" t="s">
        <v>666</v>
      </c>
      <c r="E908" s="199">
        <v>2.0</v>
      </c>
      <c r="F908" s="200">
        <v>45786.58333333333</v>
      </c>
      <c r="G908" s="197" t="s">
        <v>845</v>
      </c>
      <c r="H908" s="197" t="s">
        <v>852</v>
      </c>
    </row>
    <row r="909" ht="15.75" customHeight="1">
      <c r="A909" s="197" t="s">
        <v>58</v>
      </c>
      <c r="B909" s="197" t="s">
        <v>21</v>
      </c>
      <c r="C909" s="198" t="s">
        <v>665</v>
      </c>
      <c r="D909" s="197" t="s">
        <v>666</v>
      </c>
      <c r="E909" s="199">
        <v>3.0</v>
      </c>
      <c r="F909" s="200">
        <v>45841.54166666667</v>
      </c>
      <c r="G909" s="197" t="s">
        <v>845</v>
      </c>
      <c r="H909" s="197" t="s">
        <v>852</v>
      </c>
    </row>
    <row r="910" ht="15.75" customHeight="1">
      <c r="A910" s="197" t="s">
        <v>58</v>
      </c>
      <c r="B910" s="197" t="s">
        <v>21</v>
      </c>
      <c r="C910" s="198" t="s">
        <v>665</v>
      </c>
      <c r="D910" s="197" t="s">
        <v>666</v>
      </c>
      <c r="E910" s="199">
        <v>4.0</v>
      </c>
      <c r="F910" s="200">
        <v>45849.45833333333</v>
      </c>
      <c r="G910" s="197" t="s">
        <v>845</v>
      </c>
      <c r="H910" s="197" t="s">
        <v>852</v>
      </c>
    </row>
    <row r="911" ht="15.75" customHeight="1">
      <c r="A911" s="197" t="s">
        <v>58</v>
      </c>
      <c r="B911" s="197" t="s">
        <v>21</v>
      </c>
      <c r="C911" s="198" t="s">
        <v>665</v>
      </c>
      <c r="D911" s="197" t="s">
        <v>666</v>
      </c>
      <c r="E911" s="199">
        <v>5.0</v>
      </c>
      <c r="F911" s="200">
        <v>45849.45833333333</v>
      </c>
      <c r="G911" s="197" t="s">
        <v>845</v>
      </c>
      <c r="H911" s="197" t="s">
        <v>852</v>
      </c>
    </row>
    <row r="912" ht="15.75" customHeight="1">
      <c r="A912" s="197" t="s">
        <v>58</v>
      </c>
      <c r="B912" s="197" t="s">
        <v>21</v>
      </c>
      <c r="C912" s="198" t="s">
        <v>665</v>
      </c>
      <c r="D912" s="197" t="s">
        <v>666</v>
      </c>
      <c r="E912" s="199">
        <v>6.0</v>
      </c>
      <c r="F912" s="200">
        <v>45862.625</v>
      </c>
      <c r="G912" s="197" t="s">
        <v>845</v>
      </c>
      <c r="H912" s="197" t="s">
        <v>852</v>
      </c>
    </row>
    <row r="913" ht="15.75" customHeight="1">
      <c r="A913" s="197" t="s">
        <v>58</v>
      </c>
      <c r="B913" s="197" t="s">
        <v>21</v>
      </c>
      <c r="C913" s="198" t="s">
        <v>665</v>
      </c>
      <c r="D913" s="197" t="s">
        <v>666</v>
      </c>
      <c r="E913" s="199">
        <v>7.0</v>
      </c>
      <c r="F913" s="200">
        <v>45869.41666666667</v>
      </c>
      <c r="G913" s="197" t="s">
        <v>845</v>
      </c>
      <c r="H913" s="197" t="s">
        <v>852</v>
      </c>
    </row>
    <row r="914" ht="15.75" customHeight="1">
      <c r="A914" s="197" t="s">
        <v>58</v>
      </c>
      <c r="B914" s="197" t="s">
        <v>21</v>
      </c>
      <c r="C914" s="198" t="s">
        <v>665</v>
      </c>
      <c r="D914" s="197" t="s">
        <v>666</v>
      </c>
      <c r="E914" s="199">
        <v>8.0</v>
      </c>
      <c r="F914" s="200">
        <v>45890.58333333333</v>
      </c>
      <c r="G914" s="197" t="s">
        <v>845</v>
      </c>
      <c r="H914" s="197" t="s">
        <v>852</v>
      </c>
    </row>
    <row r="915" ht="15.75" customHeight="1">
      <c r="A915" s="197" t="s">
        <v>58</v>
      </c>
      <c r="B915" s="197" t="s">
        <v>21</v>
      </c>
      <c r="C915" s="198" t="s">
        <v>665</v>
      </c>
      <c r="D915" s="197" t="s">
        <v>666</v>
      </c>
      <c r="E915" s="199">
        <v>9.0</v>
      </c>
      <c r="F915" s="200">
        <v>45897.54166666667</v>
      </c>
      <c r="G915" s="197" t="s">
        <v>845</v>
      </c>
      <c r="H915" s="197" t="s">
        <v>852</v>
      </c>
    </row>
    <row r="916" ht="15.75" customHeight="1">
      <c r="A916" s="197" t="s">
        <v>58</v>
      </c>
      <c r="B916" s="197" t="s">
        <v>21</v>
      </c>
      <c r="C916" s="198" t="s">
        <v>665</v>
      </c>
      <c r="D916" s="197" t="s">
        <v>666</v>
      </c>
      <c r="E916" s="199">
        <v>10.0</v>
      </c>
      <c r="F916" s="200">
        <v>45918.41666666667</v>
      </c>
      <c r="G916" s="197" t="s">
        <v>845</v>
      </c>
      <c r="H916" s="197" t="s">
        <v>852</v>
      </c>
    </row>
    <row r="917" ht="15.75" customHeight="1">
      <c r="A917" s="197" t="s">
        <v>58</v>
      </c>
      <c r="B917" s="197" t="s">
        <v>22</v>
      </c>
      <c r="C917" s="198" t="s">
        <v>665</v>
      </c>
      <c r="D917" s="197" t="s">
        <v>666</v>
      </c>
      <c r="E917" s="199">
        <v>1.0</v>
      </c>
      <c r="F917" s="200">
        <v>45946.45833333333</v>
      </c>
      <c r="G917" s="197" t="s">
        <v>845</v>
      </c>
      <c r="H917" s="197" t="s">
        <v>852</v>
      </c>
    </row>
    <row r="918" ht="15.75" customHeight="1">
      <c r="A918" s="197" t="s">
        <v>58</v>
      </c>
      <c r="B918" s="197" t="s">
        <v>22</v>
      </c>
      <c r="C918" s="198" t="s">
        <v>665</v>
      </c>
      <c r="D918" s="197" t="s">
        <v>666</v>
      </c>
      <c r="E918" s="199">
        <v>2.0</v>
      </c>
      <c r="F918" s="200">
        <v>45953.45833333333</v>
      </c>
      <c r="G918" s="197" t="s">
        <v>845</v>
      </c>
      <c r="H918" s="197" t="s">
        <v>852</v>
      </c>
    </row>
    <row r="919" ht="15.75" customHeight="1">
      <c r="A919" s="197" t="s">
        <v>58</v>
      </c>
      <c r="B919" s="197" t="s">
        <v>22</v>
      </c>
      <c r="C919" s="198" t="s">
        <v>665</v>
      </c>
      <c r="D919" s="197" t="s">
        <v>666</v>
      </c>
      <c r="E919" s="199">
        <v>3.0</v>
      </c>
      <c r="F919" s="200">
        <v>45960.45833333333</v>
      </c>
      <c r="G919" s="197" t="s">
        <v>845</v>
      </c>
      <c r="H919" s="197" t="s">
        <v>852</v>
      </c>
    </row>
    <row r="920" ht="15.75" customHeight="1">
      <c r="A920" s="197" t="s">
        <v>58</v>
      </c>
      <c r="B920" s="197" t="s">
        <v>22</v>
      </c>
      <c r="C920" s="198" t="s">
        <v>665</v>
      </c>
      <c r="D920" s="197" t="s">
        <v>666</v>
      </c>
      <c r="E920" s="199">
        <v>4.0</v>
      </c>
      <c r="F920" s="200">
        <v>45961.625</v>
      </c>
      <c r="G920" s="197" t="s">
        <v>845</v>
      </c>
      <c r="H920" s="197" t="s">
        <v>852</v>
      </c>
    </row>
    <row r="921" ht="15.75" customHeight="1">
      <c r="A921" s="197" t="s">
        <v>58</v>
      </c>
      <c r="B921" s="197" t="s">
        <v>22</v>
      </c>
      <c r="C921" s="198" t="s">
        <v>665</v>
      </c>
      <c r="D921" s="197" t="s">
        <v>666</v>
      </c>
      <c r="E921" s="199">
        <v>5.0</v>
      </c>
      <c r="F921" s="200">
        <v>45974.41666666667</v>
      </c>
      <c r="G921" s="197" t="s">
        <v>845</v>
      </c>
      <c r="H921" s="197" t="s">
        <v>852</v>
      </c>
    </row>
    <row r="922" ht="15.75" customHeight="1">
      <c r="A922" s="197" t="s">
        <v>58</v>
      </c>
      <c r="B922" s="197" t="s">
        <v>22</v>
      </c>
      <c r="C922" s="198" t="s">
        <v>665</v>
      </c>
      <c r="D922" s="197" t="s">
        <v>666</v>
      </c>
      <c r="E922" s="199">
        <v>6.0</v>
      </c>
      <c r="F922" s="200">
        <v>45981.41666666667</v>
      </c>
      <c r="G922" s="197" t="s">
        <v>845</v>
      </c>
      <c r="H922" s="197" t="s">
        <v>852</v>
      </c>
    </row>
    <row r="923" ht="15.75" customHeight="1">
      <c r="A923" s="197" t="s">
        <v>58</v>
      </c>
      <c r="B923" s="197" t="s">
        <v>22</v>
      </c>
      <c r="C923" s="198" t="s">
        <v>665</v>
      </c>
      <c r="D923" s="197" t="s">
        <v>666</v>
      </c>
      <c r="E923" s="199">
        <v>7.0</v>
      </c>
      <c r="F923" s="200">
        <v>45988.41666666667</v>
      </c>
      <c r="G923" s="197" t="s">
        <v>845</v>
      </c>
      <c r="H923" s="197" t="s">
        <v>852</v>
      </c>
    </row>
    <row r="924" ht="15.75" customHeight="1">
      <c r="A924" s="197" t="s">
        <v>58</v>
      </c>
      <c r="B924" s="197" t="s">
        <v>22</v>
      </c>
      <c r="C924" s="198" t="s">
        <v>665</v>
      </c>
      <c r="D924" s="197" t="s">
        <v>666</v>
      </c>
      <c r="E924" s="199">
        <v>8.0</v>
      </c>
      <c r="F924" s="200">
        <v>45995.41666666667</v>
      </c>
      <c r="G924" s="197" t="s">
        <v>845</v>
      </c>
      <c r="H924" s="197" t="s">
        <v>852</v>
      </c>
    </row>
    <row r="925" ht="15.75" customHeight="1">
      <c r="A925" s="197" t="s">
        <v>58</v>
      </c>
      <c r="B925" s="197" t="s">
        <v>22</v>
      </c>
      <c r="C925" s="198" t="s">
        <v>665</v>
      </c>
      <c r="D925" s="197" t="s">
        <v>666</v>
      </c>
      <c r="E925" s="199">
        <v>9.0</v>
      </c>
      <c r="F925" s="200">
        <v>46002.625</v>
      </c>
      <c r="G925" s="197" t="s">
        <v>845</v>
      </c>
      <c r="H925" s="197" t="s">
        <v>852</v>
      </c>
    </row>
    <row r="926" ht="15.75" customHeight="1">
      <c r="A926" s="197" t="s">
        <v>58</v>
      </c>
      <c r="B926" s="197" t="s">
        <v>22</v>
      </c>
      <c r="C926" s="198" t="s">
        <v>665</v>
      </c>
      <c r="D926" s="197" t="s">
        <v>666</v>
      </c>
      <c r="E926" s="199">
        <v>10.0</v>
      </c>
      <c r="F926" s="200">
        <v>46010.625</v>
      </c>
      <c r="G926" s="197" t="s">
        <v>845</v>
      </c>
      <c r="H926" s="197" t="s">
        <v>852</v>
      </c>
    </row>
    <row r="927" ht="15.75" customHeight="1">
      <c r="A927" s="197" t="s">
        <v>58</v>
      </c>
      <c r="B927" s="197" t="s">
        <v>22</v>
      </c>
      <c r="C927" s="198" t="s">
        <v>665</v>
      </c>
      <c r="D927" s="197" t="s">
        <v>666</v>
      </c>
      <c r="E927" s="199">
        <v>11.0</v>
      </c>
      <c r="F927" s="200">
        <v>46017.58333333333</v>
      </c>
      <c r="G927" s="197" t="s">
        <v>845</v>
      </c>
      <c r="H927" s="197" t="s">
        <v>852</v>
      </c>
    </row>
    <row r="928" ht="15.75" customHeight="1">
      <c r="A928" s="197" t="s">
        <v>58</v>
      </c>
      <c r="B928" s="197" t="s">
        <v>22</v>
      </c>
      <c r="C928" s="198" t="s">
        <v>665</v>
      </c>
      <c r="D928" s="197" t="s">
        <v>666</v>
      </c>
      <c r="E928" s="199">
        <v>12.0</v>
      </c>
      <c r="F928" s="200">
        <v>46038.58333333333</v>
      </c>
      <c r="G928" s="197" t="s">
        <v>845</v>
      </c>
      <c r="H928" s="197" t="s">
        <v>852</v>
      </c>
    </row>
    <row r="929" ht="15.75" customHeight="1">
      <c r="A929" s="197" t="s">
        <v>58</v>
      </c>
      <c r="B929" s="197" t="s">
        <v>22</v>
      </c>
      <c r="C929" s="198" t="s">
        <v>665</v>
      </c>
      <c r="D929" s="197" t="s">
        <v>666</v>
      </c>
      <c r="E929" s="199">
        <v>13.0</v>
      </c>
      <c r="F929" s="200">
        <v>46044.41666666667</v>
      </c>
      <c r="G929" s="197" t="s">
        <v>845</v>
      </c>
      <c r="H929" s="197" t="s">
        <v>852</v>
      </c>
    </row>
    <row r="930" ht="15.75" customHeight="1">
      <c r="A930" s="197" t="s">
        <v>58</v>
      </c>
      <c r="B930" s="197" t="s">
        <v>22</v>
      </c>
      <c r="C930" s="198" t="s">
        <v>665</v>
      </c>
      <c r="D930" s="197" t="s">
        <v>666</v>
      </c>
      <c r="E930" s="199">
        <v>14.0</v>
      </c>
      <c r="F930" s="200">
        <v>46051.625</v>
      </c>
      <c r="G930" s="197" t="s">
        <v>845</v>
      </c>
      <c r="H930" s="197" t="s">
        <v>852</v>
      </c>
    </row>
    <row r="931" ht="15.75" customHeight="1">
      <c r="A931" s="197" t="s">
        <v>58</v>
      </c>
      <c r="B931" s="197" t="s">
        <v>22</v>
      </c>
      <c r="C931" s="198" t="s">
        <v>665</v>
      </c>
      <c r="D931" s="197" t="s">
        <v>666</v>
      </c>
      <c r="E931" s="199">
        <v>15.0</v>
      </c>
      <c r="F931" s="200">
        <v>46052.625</v>
      </c>
      <c r="G931" s="197" t="s">
        <v>845</v>
      </c>
      <c r="H931" s="197" t="s">
        <v>852</v>
      </c>
    </row>
    <row r="932" ht="15.75" customHeight="1">
      <c r="A932" s="197" t="s">
        <v>58</v>
      </c>
      <c r="B932" s="197" t="s">
        <v>22</v>
      </c>
      <c r="C932" s="198" t="s">
        <v>665</v>
      </c>
      <c r="D932" s="197" t="s">
        <v>666</v>
      </c>
      <c r="E932" s="199">
        <v>16.0</v>
      </c>
      <c r="F932" s="200">
        <v>46104.41666666667</v>
      </c>
      <c r="G932" s="197" t="s">
        <v>845</v>
      </c>
      <c r="H932" s="197" t="s">
        <v>852</v>
      </c>
    </row>
    <row r="933" ht="15.75" customHeight="1">
      <c r="A933" s="197" t="s">
        <v>59</v>
      </c>
      <c r="B933" s="197" t="s">
        <v>21</v>
      </c>
      <c r="C933" s="198" t="s">
        <v>159</v>
      </c>
      <c r="D933" s="197" t="s">
        <v>160</v>
      </c>
      <c r="E933" s="199">
        <v>1.0</v>
      </c>
      <c r="F933" s="200">
        <v>45663.58333333333</v>
      </c>
      <c r="G933" s="197" t="s">
        <v>845</v>
      </c>
      <c r="H933" s="197" t="s">
        <v>853</v>
      </c>
    </row>
    <row r="934" ht="15.75" customHeight="1">
      <c r="A934" s="197" t="s">
        <v>59</v>
      </c>
      <c r="B934" s="197" t="s">
        <v>21</v>
      </c>
      <c r="C934" s="198" t="s">
        <v>159</v>
      </c>
      <c r="D934" s="197" t="s">
        <v>160</v>
      </c>
      <c r="E934" s="199">
        <v>2.0</v>
      </c>
      <c r="F934" s="200">
        <v>45698.58333333333</v>
      </c>
      <c r="G934" s="197" t="s">
        <v>843</v>
      </c>
      <c r="H934" s="197" t="s">
        <v>853</v>
      </c>
    </row>
    <row r="935" ht="15.75" customHeight="1">
      <c r="A935" s="197" t="s">
        <v>59</v>
      </c>
      <c r="B935" s="197" t="s">
        <v>21</v>
      </c>
      <c r="C935" s="198" t="s">
        <v>159</v>
      </c>
      <c r="D935" s="197" t="s">
        <v>160</v>
      </c>
      <c r="E935" s="199">
        <v>3.0</v>
      </c>
      <c r="F935" s="200">
        <v>45716.58333333333</v>
      </c>
      <c r="G935" s="197" t="s">
        <v>845</v>
      </c>
      <c r="H935" s="197" t="s">
        <v>853</v>
      </c>
    </row>
    <row r="936" ht="15.75" customHeight="1">
      <c r="A936" s="197" t="s">
        <v>59</v>
      </c>
      <c r="B936" s="197" t="s">
        <v>21</v>
      </c>
      <c r="C936" s="198" t="s">
        <v>159</v>
      </c>
      <c r="D936" s="197" t="s">
        <v>160</v>
      </c>
      <c r="E936" s="199">
        <v>4.0</v>
      </c>
      <c r="F936" s="200">
        <v>45762.58333333333</v>
      </c>
      <c r="G936" s="197" t="s">
        <v>845</v>
      </c>
      <c r="H936" s="197" t="s">
        <v>853</v>
      </c>
    </row>
    <row r="937" ht="15.75" customHeight="1">
      <c r="A937" s="197" t="s">
        <v>59</v>
      </c>
      <c r="B937" s="197" t="s">
        <v>21</v>
      </c>
      <c r="C937" s="198" t="s">
        <v>159</v>
      </c>
      <c r="D937" s="197" t="s">
        <v>160</v>
      </c>
      <c r="E937" s="199">
        <v>5.0</v>
      </c>
      <c r="F937" s="200">
        <v>45768.58333333333</v>
      </c>
      <c r="G937" s="197" t="s">
        <v>845</v>
      </c>
      <c r="H937" s="197" t="s">
        <v>853</v>
      </c>
    </row>
    <row r="938" ht="15.75" customHeight="1">
      <c r="A938" s="197" t="s">
        <v>59</v>
      </c>
      <c r="B938" s="197" t="s">
        <v>21</v>
      </c>
      <c r="C938" s="198" t="s">
        <v>159</v>
      </c>
      <c r="D938" s="197" t="s">
        <v>160</v>
      </c>
      <c r="E938" s="199">
        <v>6.0</v>
      </c>
      <c r="F938" s="200">
        <v>45782.54166666667</v>
      </c>
      <c r="G938" s="197" t="s">
        <v>843</v>
      </c>
      <c r="H938" s="197" t="s">
        <v>853</v>
      </c>
    </row>
    <row r="939" ht="15.75" customHeight="1">
      <c r="A939" s="197" t="s">
        <v>59</v>
      </c>
      <c r="B939" s="197" t="s">
        <v>21</v>
      </c>
      <c r="C939" s="198" t="s">
        <v>159</v>
      </c>
      <c r="D939" s="197" t="s">
        <v>160</v>
      </c>
      <c r="E939" s="199">
        <v>7.0</v>
      </c>
      <c r="F939" s="200">
        <v>45806.58333333333</v>
      </c>
      <c r="G939" s="197" t="s">
        <v>845</v>
      </c>
      <c r="H939" s="197" t="s">
        <v>853</v>
      </c>
    </row>
    <row r="940" ht="15.75" customHeight="1">
      <c r="A940" s="197" t="s">
        <v>59</v>
      </c>
      <c r="B940" s="197" t="s">
        <v>21</v>
      </c>
      <c r="C940" s="198" t="s">
        <v>159</v>
      </c>
      <c r="D940" s="197" t="s">
        <v>160</v>
      </c>
      <c r="E940" s="199">
        <v>8.0</v>
      </c>
      <c r="F940" s="200">
        <v>45810.54166666667</v>
      </c>
      <c r="G940" s="197" t="s">
        <v>845</v>
      </c>
      <c r="H940" s="197" t="s">
        <v>853</v>
      </c>
    </row>
    <row r="941" ht="15.75" customHeight="1">
      <c r="A941" s="197" t="s">
        <v>59</v>
      </c>
      <c r="B941" s="197" t="s">
        <v>21</v>
      </c>
      <c r="C941" s="198" t="s">
        <v>159</v>
      </c>
      <c r="D941" s="197" t="s">
        <v>160</v>
      </c>
      <c r="E941" s="199">
        <v>9.0</v>
      </c>
      <c r="F941" s="200">
        <v>45824.58333333333</v>
      </c>
      <c r="G941" s="197" t="s">
        <v>845</v>
      </c>
      <c r="H941" s="197" t="s">
        <v>853</v>
      </c>
    </row>
    <row r="942" ht="15.75" customHeight="1">
      <c r="A942" s="197" t="s">
        <v>59</v>
      </c>
      <c r="B942" s="197" t="s">
        <v>21</v>
      </c>
      <c r="C942" s="198" t="s">
        <v>159</v>
      </c>
      <c r="D942" s="197" t="s">
        <v>160</v>
      </c>
      <c r="E942" s="199">
        <v>10.0</v>
      </c>
      <c r="F942" s="200">
        <v>45852.54166666667</v>
      </c>
      <c r="G942" s="197" t="s">
        <v>845</v>
      </c>
      <c r="H942" s="197" t="s">
        <v>853</v>
      </c>
    </row>
    <row r="943" ht="15.75" customHeight="1">
      <c r="A943" s="197" t="s">
        <v>59</v>
      </c>
      <c r="B943" s="197" t="s">
        <v>22</v>
      </c>
      <c r="C943" s="198" t="s">
        <v>247</v>
      </c>
      <c r="D943" s="197" t="s">
        <v>248</v>
      </c>
      <c r="E943" s="199">
        <v>1.0</v>
      </c>
      <c r="F943" s="200">
        <v>45915.54166666667</v>
      </c>
      <c r="G943" s="197" t="s">
        <v>845</v>
      </c>
      <c r="H943" s="197" t="s">
        <v>853</v>
      </c>
    </row>
    <row r="944" ht="15.75" customHeight="1">
      <c r="A944" s="197" t="s">
        <v>59</v>
      </c>
      <c r="B944" s="197" t="s">
        <v>22</v>
      </c>
      <c r="C944" s="198" t="s">
        <v>247</v>
      </c>
      <c r="D944" s="197" t="s">
        <v>248</v>
      </c>
      <c r="E944" s="199">
        <v>2.0</v>
      </c>
      <c r="F944" s="200">
        <v>45922.58333333333</v>
      </c>
      <c r="G944" s="197" t="s">
        <v>845</v>
      </c>
      <c r="H944" s="197" t="s">
        <v>853</v>
      </c>
    </row>
    <row r="945" ht="15.75" customHeight="1">
      <c r="A945" s="197" t="s">
        <v>59</v>
      </c>
      <c r="B945" s="197" t="s">
        <v>22</v>
      </c>
      <c r="C945" s="198" t="s">
        <v>247</v>
      </c>
      <c r="D945" s="197" t="s">
        <v>248</v>
      </c>
      <c r="E945" s="199">
        <v>3.0</v>
      </c>
      <c r="F945" s="200">
        <v>45929.54166666667</v>
      </c>
      <c r="G945" s="197" t="s">
        <v>845</v>
      </c>
      <c r="H945" s="197" t="s">
        <v>853</v>
      </c>
    </row>
    <row r="946" ht="15.75" customHeight="1">
      <c r="A946" s="197" t="s">
        <v>59</v>
      </c>
      <c r="B946" s="197" t="s">
        <v>22</v>
      </c>
      <c r="C946" s="198" t="s">
        <v>247</v>
      </c>
      <c r="D946" s="197" t="s">
        <v>248</v>
      </c>
      <c r="E946" s="199">
        <v>4.0</v>
      </c>
      <c r="F946" s="200">
        <v>45943.54166666667</v>
      </c>
      <c r="G946" s="197" t="s">
        <v>845</v>
      </c>
      <c r="H946" s="197" t="s">
        <v>853</v>
      </c>
    </row>
    <row r="947" ht="15.75" customHeight="1">
      <c r="A947" s="197" t="s">
        <v>59</v>
      </c>
      <c r="B947" s="197" t="s">
        <v>22</v>
      </c>
      <c r="C947" s="198" t="s">
        <v>247</v>
      </c>
      <c r="D947" s="197" t="s">
        <v>248</v>
      </c>
      <c r="E947" s="199">
        <v>5.0</v>
      </c>
      <c r="F947" s="200">
        <v>45950.58333333333</v>
      </c>
      <c r="G947" s="197" t="s">
        <v>845</v>
      </c>
      <c r="H947" s="197" t="s">
        <v>853</v>
      </c>
    </row>
    <row r="948" ht="15.75" customHeight="1">
      <c r="A948" s="197" t="s">
        <v>59</v>
      </c>
      <c r="B948" s="197" t="s">
        <v>22</v>
      </c>
      <c r="C948" s="198" t="s">
        <v>247</v>
      </c>
      <c r="D948" s="197" t="s">
        <v>248</v>
      </c>
      <c r="E948" s="199">
        <v>6.0</v>
      </c>
      <c r="F948" s="200">
        <v>45957.54166666667</v>
      </c>
      <c r="G948" s="197" t="s">
        <v>845</v>
      </c>
      <c r="H948" s="197" t="s">
        <v>853</v>
      </c>
    </row>
    <row r="949" ht="15.75" customHeight="1">
      <c r="A949" s="197" t="s">
        <v>59</v>
      </c>
      <c r="B949" s="197" t="s">
        <v>22</v>
      </c>
      <c r="C949" s="198" t="s">
        <v>247</v>
      </c>
      <c r="D949" s="197" t="s">
        <v>248</v>
      </c>
      <c r="E949" s="199">
        <v>7.0</v>
      </c>
      <c r="F949" s="200">
        <v>45972.58333333333</v>
      </c>
      <c r="G949" s="197" t="s">
        <v>845</v>
      </c>
      <c r="H949" s="197" t="s">
        <v>853</v>
      </c>
    </row>
    <row r="950" ht="15.75" customHeight="1">
      <c r="A950" s="197" t="s">
        <v>59</v>
      </c>
      <c r="B950" s="197" t="s">
        <v>22</v>
      </c>
      <c r="C950" s="198" t="s">
        <v>247</v>
      </c>
      <c r="D950" s="197" t="s">
        <v>248</v>
      </c>
      <c r="E950" s="199">
        <v>8.0</v>
      </c>
      <c r="F950" s="200">
        <v>45980.58333333333</v>
      </c>
      <c r="G950" s="197" t="s">
        <v>845</v>
      </c>
      <c r="H950" s="197" t="s">
        <v>853</v>
      </c>
    </row>
    <row r="951" ht="15.75" customHeight="1">
      <c r="A951" s="197" t="s">
        <v>59</v>
      </c>
      <c r="B951" s="197" t="s">
        <v>22</v>
      </c>
      <c r="C951" s="198" t="s">
        <v>247</v>
      </c>
      <c r="D951" s="197" t="s">
        <v>248</v>
      </c>
      <c r="E951" s="199">
        <v>9.0</v>
      </c>
      <c r="F951" s="200">
        <v>45981.58333333333</v>
      </c>
      <c r="G951" s="197" t="s">
        <v>845</v>
      </c>
      <c r="H951" s="197" t="s">
        <v>853</v>
      </c>
    </row>
    <row r="952" ht="15.75" customHeight="1">
      <c r="A952" s="197" t="s">
        <v>59</v>
      </c>
      <c r="B952" s="197" t="s">
        <v>22</v>
      </c>
      <c r="C952" s="198" t="s">
        <v>247</v>
      </c>
      <c r="D952" s="197" t="s">
        <v>248</v>
      </c>
      <c r="E952" s="199">
        <v>10.0</v>
      </c>
      <c r="F952" s="200">
        <v>45996.58333333333</v>
      </c>
      <c r="G952" s="197" t="s">
        <v>845</v>
      </c>
      <c r="H952" s="197" t="s">
        <v>853</v>
      </c>
    </row>
    <row r="953" ht="15.75" customHeight="1">
      <c r="A953" s="197" t="s">
        <v>59</v>
      </c>
      <c r="B953" s="197" t="s">
        <v>22</v>
      </c>
      <c r="C953" s="198" t="s">
        <v>247</v>
      </c>
      <c r="D953" s="197" t="s">
        <v>248</v>
      </c>
      <c r="E953" s="199">
        <v>11.0</v>
      </c>
      <c r="F953" s="200">
        <v>46006.58333333333</v>
      </c>
      <c r="G953" s="197" t="s">
        <v>843</v>
      </c>
      <c r="H953" s="197" t="s">
        <v>853</v>
      </c>
    </row>
    <row r="954" ht="15.75" customHeight="1">
      <c r="A954" s="197" t="s">
        <v>59</v>
      </c>
      <c r="B954" s="197" t="s">
        <v>22</v>
      </c>
      <c r="C954" s="198" t="s">
        <v>247</v>
      </c>
      <c r="D954" s="197" t="s">
        <v>248</v>
      </c>
      <c r="E954" s="199">
        <v>12.0</v>
      </c>
      <c r="F954" s="200">
        <v>46008.58333333333</v>
      </c>
      <c r="G954" s="197" t="s">
        <v>845</v>
      </c>
      <c r="H954" s="197" t="s">
        <v>853</v>
      </c>
    </row>
    <row r="955" ht="15.75" customHeight="1">
      <c r="A955" s="197" t="s">
        <v>59</v>
      </c>
      <c r="B955" s="197" t="s">
        <v>22</v>
      </c>
      <c r="C955" s="198" t="s">
        <v>247</v>
      </c>
      <c r="D955" s="197" t="s">
        <v>248</v>
      </c>
      <c r="E955" s="199">
        <v>13.0</v>
      </c>
      <c r="F955" s="200">
        <v>46017.54166666667</v>
      </c>
      <c r="G955" s="197" t="s">
        <v>843</v>
      </c>
      <c r="H955" s="197" t="s">
        <v>853</v>
      </c>
    </row>
    <row r="956" ht="15.75" customHeight="1">
      <c r="A956" s="197" t="s">
        <v>59</v>
      </c>
      <c r="B956" s="197" t="s">
        <v>22</v>
      </c>
      <c r="C956" s="198" t="s">
        <v>247</v>
      </c>
      <c r="D956" s="197" t="s">
        <v>248</v>
      </c>
      <c r="E956" s="199">
        <v>14.0</v>
      </c>
      <c r="F956" s="200">
        <v>46021.54166666667</v>
      </c>
      <c r="G956" s="197" t="s">
        <v>845</v>
      </c>
      <c r="H956" s="197" t="s">
        <v>853</v>
      </c>
    </row>
    <row r="957" ht="15.75" customHeight="1">
      <c r="A957" s="197" t="s">
        <v>59</v>
      </c>
      <c r="B957" s="197" t="s">
        <v>22</v>
      </c>
      <c r="C957" s="198" t="s">
        <v>247</v>
      </c>
      <c r="D957" s="197" t="s">
        <v>248</v>
      </c>
      <c r="E957" s="199">
        <v>15.0</v>
      </c>
      <c r="F957" s="200">
        <v>46041.54166666667</v>
      </c>
      <c r="G957" s="197" t="s">
        <v>845</v>
      </c>
      <c r="H957" s="197" t="s">
        <v>853</v>
      </c>
    </row>
    <row r="958" ht="15.75" customHeight="1">
      <c r="A958" s="197" t="s">
        <v>59</v>
      </c>
      <c r="B958" s="197" t="s">
        <v>22</v>
      </c>
      <c r="C958" s="198" t="s">
        <v>247</v>
      </c>
      <c r="D958" s="197" t="s">
        <v>248</v>
      </c>
      <c r="E958" s="199">
        <v>16.0</v>
      </c>
      <c r="F958" s="200">
        <v>46115.54166666667</v>
      </c>
      <c r="G958" s="197" t="s">
        <v>845</v>
      </c>
      <c r="H958" s="197" t="s">
        <v>853</v>
      </c>
    </row>
    <row r="959" ht="15.75" customHeight="1">
      <c r="A959" s="197" t="s">
        <v>59</v>
      </c>
      <c r="B959" s="197" t="s">
        <v>22</v>
      </c>
      <c r="C959" s="198" t="s">
        <v>294</v>
      </c>
      <c r="D959" s="197" t="s">
        <v>295</v>
      </c>
      <c r="E959" s="199">
        <v>1.0</v>
      </c>
      <c r="F959" s="200">
        <v>45915.54166666667</v>
      </c>
      <c r="G959" s="197" t="s">
        <v>845</v>
      </c>
      <c r="H959" s="197" t="s">
        <v>853</v>
      </c>
    </row>
    <row r="960" ht="15.75" customHeight="1">
      <c r="A960" s="197" t="s">
        <v>59</v>
      </c>
      <c r="B960" s="197" t="s">
        <v>22</v>
      </c>
      <c r="C960" s="198" t="s">
        <v>294</v>
      </c>
      <c r="D960" s="197" t="s">
        <v>295</v>
      </c>
      <c r="E960" s="199">
        <v>2.0</v>
      </c>
      <c r="F960" s="200">
        <v>45922.58333333333</v>
      </c>
      <c r="G960" s="197" t="s">
        <v>843</v>
      </c>
      <c r="H960" s="197" t="s">
        <v>853</v>
      </c>
    </row>
    <row r="961" ht="15.75" customHeight="1">
      <c r="A961" s="197" t="s">
        <v>59</v>
      </c>
      <c r="B961" s="197" t="s">
        <v>22</v>
      </c>
      <c r="C961" s="198" t="s">
        <v>294</v>
      </c>
      <c r="D961" s="197" t="s">
        <v>295</v>
      </c>
      <c r="E961" s="199">
        <v>3.0</v>
      </c>
      <c r="F961" s="200">
        <v>45929.54166666667</v>
      </c>
      <c r="G961" s="197" t="s">
        <v>845</v>
      </c>
      <c r="H961" s="197" t="s">
        <v>853</v>
      </c>
    </row>
    <row r="962" ht="15.75" customHeight="1">
      <c r="A962" s="197" t="s">
        <v>59</v>
      </c>
      <c r="B962" s="197" t="s">
        <v>22</v>
      </c>
      <c r="C962" s="198" t="s">
        <v>294</v>
      </c>
      <c r="D962" s="197" t="s">
        <v>295</v>
      </c>
      <c r="E962" s="199">
        <v>4.0</v>
      </c>
      <c r="F962" s="200">
        <v>45943.54166666667</v>
      </c>
      <c r="G962" s="197" t="s">
        <v>843</v>
      </c>
      <c r="H962" s="197" t="s">
        <v>853</v>
      </c>
    </row>
    <row r="963" ht="15.75" customHeight="1">
      <c r="A963" s="197" t="s">
        <v>59</v>
      </c>
      <c r="B963" s="197" t="s">
        <v>22</v>
      </c>
      <c r="C963" s="198" t="s">
        <v>294</v>
      </c>
      <c r="D963" s="197" t="s">
        <v>295</v>
      </c>
      <c r="E963" s="199">
        <v>5.0</v>
      </c>
      <c r="F963" s="200">
        <v>45950.58333333333</v>
      </c>
      <c r="G963" s="197" t="s">
        <v>845</v>
      </c>
      <c r="H963" s="197" t="s">
        <v>853</v>
      </c>
    </row>
    <row r="964" ht="15.75" customHeight="1">
      <c r="A964" s="197" t="s">
        <v>59</v>
      </c>
      <c r="B964" s="197" t="s">
        <v>22</v>
      </c>
      <c r="C964" s="198" t="s">
        <v>294</v>
      </c>
      <c r="D964" s="197" t="s">
        <v>295</v>
      </c>
      <c r="E964" s="199">
        <v>6.0</v>
      </c>
      <c r="F964" s="200">
        <v>45957.54166666667</v>
      </c>
      <c r="G964" s="197" t="s">
        <v>845</v>
      </c>
      <c r="H964" s="197" t="s">
        <v>853</v>
      </c>
    </row>
    <row r="965" ht="15.75" customHeight="1">
      <c r="A965" s="197" t="s">
        <v>59</v>
      </c>
      <c r="B965" s="197" t="s">
        <v>22</v>
      </c>
      <c r="C965" s="198" t="s">
        <v>294</v>
      </c>
      <c r="D965" s="197" t="s">
        <v>295</v>
      </c>
      <c r="E965" s="199">
        <v>7.0</v>
      </c>
      <c r="F965" s="200">
        <v>45972.58333333333</v>
      </c>
      <c r="G965" s="197" t="s">
        <v>845</v>
      </c>
      <c r="H965" s="197" t="s">
        <v>853</v>
      </c>
    </row>
    <row r="966" ht="15.75" customHeight="1">
      <c r="A966" s="197" t="s">
        <v>59</v>
      </c>
      <c r="B966" s="197" t="s">
        <v>22</v>
      </c>
      <c r="C966" s="198" t="s">
        <v>294</v>
      </c>
      <c r="D966" s="197" t="s">
        <v>295</v>
      </c>
      <c r="E966" s="199">
        <v>8.0</v>
      </c>
      <c r="F966" s="200">
        <v>45980.58333333333</v>
      </c>
      <c r="G966" s="197" t="s">
        <v>845</v>
      </c>
      <c r="H966" s="197" t="s">
        <v>853</v>
      </c>
    </row>
    <row r="967" ht="15.75" customHeight="1">
      <c r="A967" s="197" t="s">
        <v>59</v>
      </c>
      <c r="B967" s="197" t="s">
        <v>22</v>
      </c>
      <c r="C967" s="198" t="s">
        <v>294</v>
      </c>
      <c r="D967" s="197" t="s">
        <v>295</v>
      </c>
      <c r="E967" s="199">
        <v>9.0</v>
      </c>
      <c r="F967" s="200">
        <v>45981.58333333333</v>
      </c>
      <c r="G967" s="197" t="s">
        <v>845</v>
      </c>
      <c r="H967" s="197" t="s">
        <v>853</v>
      </c>
    </row>
    <row r="968" ht="15.75" customHeight="1">
      <c r="A968" s="197" t="s">
        <v>59</v>
      </c>
      <c r="B968" s="197" t="s">
        <v>22</v>
      </c>
      <c r="C968" s="198" t="s">
        <v>294</v>
      </c>
      <c r="D968" s="197" t="s">
        <v>295</v>
      </c>
      <c r="E968" s="199">
        <v>10.0</v>
      </c>
      <c r="F968" s="200">
        <v>45996.58333333333</v>
      </c>
      <c r="G968" s="197" t="s">
        <v>845</v>
      </c>
      <c r="H968" s="197" t="s">
        <v>853</v>
      </c>
    </row>
    <row r="969" ht="15.75" customHeight="1">
      <c r="A969" s="197" t="s">
        <v>59</v>
      </c>
      <c r="B969" s="197" t="s">
        <v>22</v>
      </c>
      <c r="C969" s="198" t="s">
        <v>294</v>
      </c>
      <c r="D969" s="197" t="s">
        <v>295</v>
      </c>
      <c r="E969" s="199">
        <v>11.0</v>
      </c>
      <c r="F969" s="200">
        <v>46006.58333333333</v>
      </c>
      <c r="G969" s="197" t="s">
        <v>845</v>
      </c>
      <c r="H969" s="197" t="s">
        <v>853</v>
      </c>
    </row>
    <row r="970" ht="15.75" customHeight="1">
      <c r="A970" s="197" t="s">
        <v>59</v>
      </c>
      <c r="B970" s="197" t="s">
        <v>22</v>
      </c>
      <c r="C970" s="198" t="s">
        <v>294</v>
      </c>
      <c r="D970" s="197" t="s">
        <v>295</v>
      </c>
      <c r="E970" s="199">
        <v>12.0</v>
      </c>
      <c r="F970" s="200">
        <v>46008.58333333333</v>
      </c>
      <c r="G970" s="197" t="s">
        <v>845</v>
      </c>
      <c r="H970" s="197" t="s">
        <v>853</v>
      </c>
    </row>
    <row r="971" ht="15.75" customHeight="1">
      <c r="A971" s="197" t="s">
        <v>59</v>
      </c>
      <c r="B971" s="197" t="s">
        <v>22</v>
      </c>
      <c r="C971" s="198" t="s">
        <v>294</v>
      </c>
      <c r="D971" s="197" t="s">
        <v>295</v>
      </c>
      <c r="E971" s="199">
        <v>13.0</v>
      </c>
      <c r="F971" s="200">
        <v>46017.54166666667</v>
      </c>
      <c r="G971" s="197" t="s">
        <v>845</v>
      </c>
      <c r="H971" s="197" t="s">
        <v>853</v>
      </c>
    </row>
    <row r="972" ht="15.75" customHeight="1">
      <c r="A972" s="197" t="s">
        <v>59</v>
      </c>
      <c r="B972" s="197" t="s">
        <v>22</v>
      </c>
      <c r="C972" s="198" t="s">
        <v>294</v>
      </c>
      <c r="D972" s="197" t="s">
        <v>295</v>
      </c>
      <c r="E972" s="199">
        <v>14.0</v>
      </c>
      <c r="F972" s="200">
        <v>46021.54166666667</v>
      </c>
      <c r="G972" s="197" t="s">
        <v>845</v>
      </c>
      <c r="H972" s="197" t="s">
        <v>853</v>
      </c>
    </row>
    <row r="973" ht="15.75" customHeight="1">
      <c r="A973" s="197" t="s">
        <v>59</v>
      </c>
      <c r="B973" s="197" t="s">
        <v>22</v>
      </c>
      <c r="C973" s="198" t="s">
        <v>294</v>
      </c>
      <c r="D973" s="197" t="s">
        <v>295</v>
      </c>
      <c r="E973" s="199">
        <v>15.0</v>
      </c>
      <c r="F973" s="200">
        <v>46041.54166666667</v>
      </c>
      <c r="G973" s="197" t="s">
        <v>845</v>
      </c>
      <c r="H973" s="197" t="s">
        <v>853</v>
      </c>
    </row>
    <row r="974" ht="15.75" customHeight="1">
      <c r="A974" s="197" t="s">
        <v>59</v>
      </c>
      <c r="B974" s="197" t="s">
        <v>22</v>
      </c>
      <c r="C974" s="198" t="s">
        <v>294</v>
      </c>
      <c r="D974" s="197" t="s">
        <v>295</v>
      </c>
      <c r="E974" s="199">
        <v>16.0</v>
      </c>
      <c r="F974" s="200">
        <v>46115.54166666667</v>
      </c>
      <c r="G974" s="197" t="s">
        <v>845</v>
      </c>
      <c r="H974" s="197" t="s">
        <v>853</v>
      </c>
    </row>
    <row r="975" ht="15.75" customHeight="1">
      <c r="A975" s="197" t="s">
        <v>59</v>
      </c>
      <c r="B975" s="197" t="s">
        <v>21</v>
      </c>
      <c r="C975" s="198" t="s">
        <v>313</v>
      </c>
      <c r="D975" s="197" t="s">
        <v>314</v>
      </c>
      <c r="E975" s="199">
        <v>1.0</v>
      </c>
      <c r="F975" s="200">
        <v>45663.58333333333</v>
      </c>
      <c r="G975" s="197" t="s">
        <v>845</v>
      </c>
      <c r="H975" s="197" t="s">
        <v>853</v>
      </c>
    </row>
    <row r="976" ht="15.75" customHeight="1">
      <c r="A976" s="197" t="s">
        <v>59</v>
      </c>
      <c r="B976" s="197" t="s">
        <v>21</v>
      </c>
      <c r="C976" s="198" t="s">
        <v>313</v>
      </c>
      <c r="D976" s="197" t="s">
        <v>314</v>
      </c>
      <c r="E976" s="199">
        <v>2.0</v>
      </c>
      <c r="F976" s="200">
        <v>45698.58333333333</v>
      </c>
      <c r="G976" s="197" t="s">
        <v>845</v>
      </c>
      <c r="H976" s="197" t="s">
        <v>853</v>
      </c>
    </row>
    <row r="977" ht="15.75" customHeight="1">
      <c r="A977" s="197" t="s">
        <v>59</v>
      </c>
      <c r="B977" s="197" t="s">
        <v>21</v>
      </c>
      <c r="C977" s="198" t="s">
        <v>313</v>
      </c>
      <c r="D977" s="197" t="s">
        <v>314</v>
      </c>
      <c r="E977" s="199">
        <v>3.0</v>
      </c>
      <c r="F977" s="200">
        <v>45716.58333333333</v>
      </c>
      <c r="G977" s="197" t="s">
        <v>845</v>
      </c>
      <c r="H977" s="197" t="s">
        <v>853</v>
      </c>
    </row>
    <row r="978" ht="15.75" customHeight="1">
      <c r="A978" s="197" t="s">
        <v>59</v>
      </c>
      <c r="B978" s="197" t="s">
        <v>21</v>
      </c>
      <c r="C978" s="198" t="s">
        <v>313</v>
      </c>
      <c r="D978" s="197" t="s">
        <v>314</v>
      </c>
      <c r="E978" s="199">
        <v>4.0</v>
      </c>
      <c r="F978" s="200">
        <v>45762.58333333333</v>
      </c>
      <c r="G978" s="197" t="s">
        <v>845</v>
      </c>
      <c r="H978" s="197" t="s">
        <v>853</v>
      </c>
    </row>
    <row r="979" ht="15.75" customHeight="1">
      <c r="A979" s="197" t="s">
        <v>59</v>
      </c>
      <c r="B979" s="197" t="s">
        <v>21</v>
      </c>
      <c r="C979" s="198" t="s">
        <v>313</v>
      </c>
      <c r="D979" s="197" t="s">
        <v>314</v>
      </c>
      <c r="E979" s="199">
        <v>5.0</v>
      </c>
      <c r="F979" s="200">
        <v>45768.58333333333</v>
      </c>
      <c r="G979" s="197" t="s">
        <v>845</v>
      </c>
      <c r="H979" s="197" t="s">
        <v>853</v>
      </c>
    </row>
    <row r="980" ht="15.75" customHeight="1">
      <c r="A980" s="197" t="s">
        <v>59</v>
      </c>
      <c r="B980" s="197" t="s">
        <v>21</v>
      </c>
      <c r="C980" s="198" t="s">
        <v>313</v>
      </c>
      <c r="D980" s="197" t="s">
        <v>314</v>
      </c>
      <c r="E980" s="199">
        <v>6.0</v>
      </c>
      <c r="F980" s="200">
        <v>45782.54166666667</v>
      </c>
      <c r="G980" s="197" t="s">
        <v>843</v>
      </c>
      <c r="H980" s="197" t="s">
        <v>853</v>
      </c>
    </row>
    <row r="981" ht="15.75" customHeight="1">
      <c r="A981" s="197" t="s">
        <v>59</v>
      </c>
      <c r="B981" s="197" t="s">
        <v>21</v>
      </c>
      <c r="C981" s="198" t="s">
        <v>313</v>
      </c>
      <c r="D981" s="197" t="s">
        <v>314</v>
      </c>
      <c r="E981" s="199">
        <v>7.0</v>
      </c>
      <c r="F981" s="200">
        <v>45806.58333333333</v>
      </c>
      <c r="G981" s="197" t="s">
        <v>845</v>
      </c>
      <c r="H981" s="197" t="s">
        <v>853</v>
      </c>
    </row>
    <row r="982" ht="15.75" customHeight="1">
      <c r="A982" s="197" t="s">
        <v>59</v>
      </c>
      <c r="B982" s="197" t="s">
        <v>21</v>
      </c>
      <c r="C982" s="198" t="s">
        <v>313</v>
      </c>
      <c r="D982" s="197" t="s">
        <v>314</v>
      </c>
      <c r="E982" s="199">
        <v>8.0</v>
      </c>
      <c r="F982" s="200">
        <v>45810.54166666667</v>
      </c>
      <c r="G982" s="197" t="s">
        <v>845</v>
      </c>
      <c r="H982" s="197" t="s">
        <v>853</v>
      </c>
    </row>
    <row r="983" ht="15.75" customHeight="1">
      <c r="A983" s="197" t="s">
        <v>59</v>
      </c>
      <c r="B983" s="197" t="s">
        <v>21</v>
      </c>
      <c r="C983" s="198" t="s">
        <v>313</v>
      </c>
      <c r="D983" s="197" t="s">
        <v>314</v>
      </c>
      <c r="E983" s="199">
        <v>9.0</v>
      </c>
      <c r="F983" s="200">
        <v>45824.58333333333</v>
      </c>
      <c r="G983" s="197" t="s">
        <v>845</v>
      </c>
      <c r="H983" s="197" t="s">
        <v>853</v>
      </c>
    </row>
    <row r="984" ht="15.75" customHeight="1">
      <c r="A984" s="197" t="s">
        <v>59</v>
      </c>
      <c r="B984" s="197" t="s">
        <v>21</v>
      </c>
      <c r="C984" s="198" t="s">
        <v>313</v>
      </c>
      <c r="D984" s="197" t="s">
        <v>314</v>
      </c>
      <c r="E984" s="199">
        <v>10.0</v>
      </c>
      <c r="F984" s="200">
        <v>45852.54166666667</v>
      </c>
      <c r="G984" s="197" t="s">
        <v>845</v>
      </c>
      <c r="H984" s="197" t="s">
        <v>853</v>
      </c>
    </row>
    <row r="985" ht="15.75" customHeight="1">
      <c r="A985" s="197" t="s">
        <v>59</v>
      </c>
      <c r="B985" s="197" t="s">
        <v>22</v>
      </c>
      <c r="C985" s="198" t="s">
        <v>313</v>
      </c>
      <c r="D985" s="197" t="s">
        <v>314</v>
      </c>
      <c r="E985" s="199">
        <v>1.0</v>
      </c>
      <c r="F985" s="200">
        <v>45915.54166666667</v>
      </c>
      <c r="G985" s="197" t="s">
        <v>845</v>
      </c>
      <c r="H985" s="197" t="s">
        <v>853</v>
      </c>
    </row>
    <row r="986" ht="15.75" customHeight="1">
      <c r="A986" s="197" t="s">
        <v>59</v>
      </c>
      <c r="B986" s="197" t="s">
        <v>22</v>
      </c>
      <c r="C986" s="198" t="s">
        <v>313</v>
      </c>
      <c r="D986" s="197" t="s">
        <v>314</v>
      </c>
      <c r="E986" s="199">
        <v>2.0</v>
      </c>
      <c r="F986" s="200">
        <v>45922.58333333333</v>
      </c>
      <c r="G986" s="197" t="s">
        <v>845</v>
      </c>
      <c r="H986" s="197" t="s">
        <v>853</v>
      </c>
    </row>
    <row r="987" ht="15.75" customHeight="1">
      <c r="A987" s="197" t="s">
        <v>59</v>
      </c>
      <c r="B987" s="197" t="s">
        <v>22</v>
      </c>
      <c r="C987" s="198" t="s">
        <v>313</v>
      </c>
      <c r="D987" s="197" t="s">
        <v>314</v>
      </c>
      <c r="E987" s="199">
        <v>3.0</v>
      </c>
      <c r="F987" s="200">
        <v>45929.54166666667</v>
      </c>
      <c r="G987" s="197" t="s">
        <v>845</v>
      </c>
      <c r="H987" s="197" t="s">
        <v>853</v>
      </c>
    </row>
    <row r="988" ht="15.75" customHeight="1">
      <c r="A988" s="197" t="s">
        <v>59</v>
      </c>
      <c r="B988" s="197" t="s">
        <v>22</v>
      </c>
      <c r="C988" s="198" t="s">
        <v>313</v>
      </c>
      <c r="D988" s="197" t="s">
        <v>314</v>
      </c>
      <c r="E988" s="199">
        <v>4.0</v>
      </c>
      <c r="F988" s="200">
        <v>45943.54166666667</v>
      </c>
      <c r="G988" s="197" t="s">
        <v>845</v>
      </c>
      <c r="H988" s="197" t="s">
        <v>853</v>
      </c>
    </row>
    <row r="989" ht="15.75" customHeight="1">
      <c r="A989" s="197" t="s">
        <v>59</v>
      </c>
      <c r="B989" s="197" t="s">
        <v>22</v>
      </c>
      <c r="C989" s="198" t="s">
        <v>313</v>
      </c>
      <c r="D989" s="197" t="s">
        <v>314</v>
      </c>
      <c r="E989" s="199">
        <v>5.0</v>
      </c>
      <c r="F989" s="200">
        <v>45950.58333333333</v>
      </c>
      <c r="G989" s="197" t="s">
        <v>845</v>
      </c>
      <c r="H989" s="197" t="s">
        <v>853</v>
      </c>
    </row>
    <row r="990" ht="15.75" customHeight="1">
      <c r="A990" s="197" t="s">
        <v>59</v>
      </c>
      <c r="B990" s="197" t="s">
        <v>22</v>
      </c>
      <c r="C990" s="198" t="s">
        <v>313</v>
      </c>
      <c r="D990" s="197" t="s">
        <v>314</v>
      </c>
      <c r="E990" s="199">
        <v>6.0</v>
      </c>
      <c r="F990" s="200">
        <v>45957.54166666667</v>
      </c>
      <c r="G990" s="197" t="s">
        <v>843</v>
      </c>
      <c r="H990" s="197" t="s">
        <v>853</v>
      </c>
    </row>
    <row r="991" ht="15.75" customHeight="1">
      <c r="A991" s="197" t="s">
        <v>59</v>
      </c>
      <c r="B991" s="197" t="s">
        <v>22</v>
      </c>
      <c r="C991" s="198" t="s">
        <v>313</v>
      </c>
      <c r="D991" s="197" t="s">
        <v>314</v>
      </c>
      <c r="E991" s="199">
        <v>7.0</v>
      </c>
      <c r="F991" s="200">
        <v>45972.58333333333</v>
      </c>
      <c r="G991" s="197" t="s">
        <v>843</v>
      </c>
      <c r="H991" s="197" t="s">
        <v>853</v>
      </c>
    </row>
    <row r="992" ht="15.75" customHeight="1">
      <c r="A992" s="197" t="s">
        <v>59</v>
      </c>
      <c r="B992" s="197" t="s">
        <v>22</v>
      </c>
      <c r="C992" s="198" t="s">
        <v>313</v>
      </c>
      <c r="D992" s="197" t="s">
        <v>314</v>
      </c>
      <c r="E992" s="199">
        <v>8.0</v>
      </c>
      <c r="F992" s="200">
        <v>45980.58333333333</v>
      </c>
      <c r="G992" s="197" t="s">
        <v>845</v>
      </c>
      <c r="H992" s="197" t="s">
        <v>853</v>
      </c>
    </row>
    <row r="993" ht="15.75" customHeight="1">
      <c r="A993" s="197" t="s">
        <v>59</v>
      </c>
      <c r="B993" s="197" t="s">
        <v>22</v>
      </c>
      <c r="C993" s="198" t="s">
        <v>313</v>
      </c>
      <c r="D993" s="197" t="s">
        <v>314</v>
      </c>
      <c r="E993" s="199">
        <v>9.0</v>
      </c>
      <c r="F993" s="200">
        <v>45981.58333333333</v>
      </c>
      <c r="G993" s="197" t="s">
        <v>845</v>
      </c>
      <c r="H993" s="197" t="s">
        <v>853</v>
      </c>
    </row>
    <row r="994" ht="15.75" customHeight="1">
      <c r="A994" s="197" t="s">
        <v>59</v>
      </c>
      <c r="B994" s="197" t="s">
        <v>22</v>
      </c>
      <c r="C994" s="198" t="s">
        <v>313</v>
      </c>
      <c r="D994" s="197" t="s">
        <v>314</v>
      </c>
      <c r="E994" s="199">
        <v>10.0</v>
      </c>
      <c r="F994" s="200">
        <v>45996.58333333333</v>
      </c>
      <c r="G994" s="197" t="s">
        <v>845</v>
      </c>
      <c r="H994" s="197" t="s">
        <v>853</v>
      </c>
    </row>
    <row r="995" ht="15.75" customHeight="1">
      <c r="A995" s="197" t="s">
        <v>59</v>
      </c>
      <c r="B995" s="197" t="s">
        <v>22</v>
      </c>
      <c r="C995" s="198" t="s">
        <v>313</v>
      </c>
      <c r="D995" s="197" t="s">
        <v>314</v>
      </c>
      <c r="E995" s="199">
        <v>11.0</v>
      </c>
      <c r="F995" s="200">
        <v>46006.58333333333</v>
      </c>
      <c r="G995" s="197" t="s">
        <v>845</v>
      </c>
      <c r="H995" s="197" t="s">
        <v>853</v>
      </c>
    </row>
    <row r="996" ht="15.75" customHeight="1">
      <c r="A996" s="197" t="s">
        <v>59</v>
      </c>
      <c r="B996" s="197" t="s">
        <v>22</v>
      </c>
      <c r="C996" s="198" t="s">
        <v>313</v>
      </c>
      <c r="D996" s="197" t="s">
        <v>314</v>
      </c>
      <c r="E996" s="199">
        <v>12.0</v>
      </c>
      <c r="F996" s="200">
        <v>46008.58333333333</v>
      </c>
      <c r="G996" s="197" t="s">
        <v>845</v>
      </c>
      <c r="H996" s="197" t="s">
        <v>853</v>
      </c>
    </row>
    <row r="997" ht="15.75" customHeight="1">
      <c r="A997" s="197" t="s">
        <v>59</v>
      </c>
      <c r="B997" s="197" t="s">
        <v>22</v>
      </c>
      <c r="C997" s="198" t="s">
        <v>313</v>
      </c>
      <c r="D997" s="197" t="s">
        <v>314</v>
      </c>
      <c r="E997" s="199">
        <v>13.0</v>
      </c>
      <c r="F997" s="200">
        <v>46017.54166666667</v>
      </c>
      <c r="G997" s="197" t="s">
        <v>845</v>
      </c>
      <c r="H997" s="197" t="s">
        <v>853</v>
      </c>
    </row>
    <row r="998" ht="15.75" customHeight="1">
      <c r="A998" s="197" t="s">
        <v>59</v>
      </c>
      <c r="B998" s="197" t="s">
        <v>22</v>
      </c>
      <c r="C998" s="198" t="s">
        <v>313</v>
      </c>
      <c r="D998" s="197" t="s">
        <v>314</v>
      </c>
      <c r="E998" s="199">
        <v>14.0</v>
      </c>
      <c r="F998" s="200">
        <v>46021.54166666667</v>
      </c>
      <c r="G998" s="197" t="s">
        <v>845</v>
      </c>
      <c r="H998" s="197" t="s">
        <v>853</v>
      </c>
    </row>
    <row r="999" ht="15.75" customHeight="1">
      <c r="A999" s="197" t="s">
        <v>59</v>
      </c>
      <c r="B999" s="197" t="s">
        <v>22</v>
      </c>
      <c r="C999" s="198" t="s">
        <v>313</v>
      </c>
      <c r="D999" s="197" t="s">
        <v>314</v>
      </c>
      <c r="E999" s="199">
        <v>15.0</v>
      </c>
      <c r="F999" s="200">
        <v>46041.54166666667</v>
      </c>
      <c r="G999" s="197" t="s">
        <v>845</v>
      </c>
      <c r="H999" s="197" t="s">
        <v>853</v>
      </c>
    </row>
    <row r="1000" ht="15.75" customHeight="1">
      <c r="A1000" s="197" t="s">
        <v>59</v>
      </c>
      <c r="B1000" s="197" t="s">
        <v>22</v>
      </c>
      <c r="C1000" s="198" t="s">
        <v>313</v>
      </c>
      <c r="D1000" s="197" t="s">
        <v>314</v>
      </c>
      <c r="E1000" s="199">
        <v>16.0</v>
      </c>
      <c r="F1000" s="200">
        <v>46115.54166666667</v>
      </c>
      <c r="G1000" s="197" t="s">
        <v>845</v>
      </c>
      <c r="H1000" s="197" t="s">
        <v>853</v>
      </c>
    </row>
    <row r="1001" ht="15.75" customHeight="1">
      <c r="A1001" s="197" t="s">
        <v>59</v>
      </c>
      <c r="B1001" s="197" t="s">
        <v>22</v>
      </c>
      <c r="C1001" s="198" t="s">
        <v>330</v>
      </c>
      <c r="D1001" s="197" t="s">
        <v>331</v>
      </c>
      <c r="E1001" s="199">
        <v>1.0</v>
      </c>
      <c r="F1001" s="200">
        <v>45915.54166666667</v>
      </c>
      <c r="G1001" s="197" t="s">
        <v>845</v>
      </c>
      <c r="H1001" s="197" t="s">
        <v>853</v>
      </c>
    </row>
    <row r="1002" ht="15.75" customHeight="1">
      <c r="A1002" s="197" t="s">
        <v>59</v>
      </c>
      <c r="B1002" s="197" t="s">
        <v>22</v>
      </c>
      <c r="C1002" s="198" t="s">
        <v>330</v>
      </c>
      <c r="D1002" s="197" t="s">
        <v>331</v>
      </c>
      <c r="E1002" s="199">
        <v>2.0</v>
      </c>
      <c r="F1002" s="200">
        <v>45922.58333333333</v>
      </c>
      <c r="G1002" s="197" t="s">
        <v>845</v>
      </c>
      <c r="H1002" s="197" t="s">
        <v>853</v>
      </c>
    </row>
    <row r="1003" ht="15.75" customHeight="1">
      <c r="A1003" s="197" t="s">
        <v>59</v>
      </c>
      <c r="B1003" s="197" t="s">
        <v>22</v>
      </c>
      <c r="C1003" s="198" t="s">
        <v>330</v>
      </c>
      <c r="D1003" s="197" t="s">
        <v>331</v>
      </c>
      <c r="E1003" s="199">
        <v>3.0</v>
      </c>
      <c r="F1003" s="200">
        <v>45929.54166666667</v>
      </c>
      <c r="G1003" s="197" t="s">
        <v>845</v>
      </c>
      <c r="H1003" s="197" t="s">
        <v>853</v>
      </c>
    </row>
    <row r="1004" ht="15.75" customHeight="1">
      <c r="A1004" s="197" t="s">
        <v>59</v>
      </c>
      <c r="B1004" s="197" t="s">
        <v>22</v>
      </c>
      <c r="C1004" s="198" t="s">
        <v>330</v>
      </c>
      <c r="D1004" s="197" t="s">
        <v>331</v>
      </c>
      <c r="E1004" s="199">
        <v>4.0</v>
      </c>
      <c r="F1004" s="200">
        <v>45943.54166666667</v>
      </c>
      <c r="G1004" s="197" t="s">
        <v>845</v>
      </c>
      <c r="H1004" s="197" t="s">
        <v>853</v>
      </c>
    </row>
    <row r="1005" ht="15.75" customHeight="1">
      <c r="A1005" s="197" t="s">
        <v>59</v>
      </c>
      <c r="B1005" s="197" t="s">
        <v>22</v>
      </c>
      <c r="C1005" s="198" t="s">
        <v>330</v>
      </c>
      <c r="D1005" s="197" t="s">
        <v>331</v>
      </c>
      <c r="E1005" s="199">
        <v>5.0</v>
      </c>
      <c r="F1005" s="200">
        <v>45950.58333333333</v>
      </c>
      <c r="G1005" s="197" t="s">
        <v>845</v>
      </c>
      <c r="H1005" s="197" t="s">
        <v>853</v>
      </c>
    </row>
    <row r="1006" ht="15.75" customHeight="1">
      <c r="A1006" s="197" t="s">
        <v>59</v>
      </c>
      <c r="B1006" s="197" t="s">
        <v>22</v>
      </c>
      <c r="C1006" s="198" t="s">
        <v>330</v>
      </c>
      <c r="D1006" s="197" t="s">
        <v>331</v>
      </c>
      <c r="E1006" s="199">
        <v>6.0</v>
      </c>
      <c r="F1006" s="200">
        <v>45957.54166666667</v>
      </c>
      <c r="G1006" s="197" t="s">
        <v>845</v>
      </c>
      <c r="H1006" s="197" t="s">
        <v>853</v>
      </c>
    </row>
    <row r="1007" ht="15.75" customHeight="1">
      <c r="A1007" s="197" t="s">
        <v>59</v>
      </c>
      <c r="B1007" s="197" t="s">
        <v>22</v>
      </c>
      <c r="C1007" s="198" t="s">
        <v>330</v>
      </c>
      <c r="D1007" s="197" t="s">
        <v>331</v>
      </c>
      <c r="E1007" s="199">
        <v>7.0</v>
      </c>
      <c r="F1007" s="200">
        <v>45972.58333333333</v>
      </c>
      <c r="G1007" s="197" t="s">
        <v>843</v>
      </c>
      <c r="H1007" s="197" t="s">
        <v>853</v>
      </c>
    </row>
    <row r="1008" ht="15.75" customHeight="1">
      <c r="A1008" s="197" t="s">
        <v>59</v>
      </c>
      <c r="B1008" s="197" t="s">
        <v>22</v>
      </c>
      <c r="C1008" s="198" t="s">
        <v>330</v>
      </c>
      <c r="D1008" s="197" t="s">
        <v>331</v>
      </c>
      <c r="E1008" s="199">
        <v>8.0</v>
      </c>
      <c r="F1008" s="200">
        <v>45980.58333333333</v>
      </c>
      <c r="G1008" s="197" t="s">
        <v>845</v>
      </c>
      <c r="H1008" s="197" t="s">
        <v>853</v>
      </c>
    </row>
    <row r="1009" ht="15.75" customHeight="1">
      <c r="A1009" s="197" t="s">
        <v>59</v>
      </c>
      <c r="B1009" s="197" t="s">
        <v>22</v>
      </c>
      <c r="C1009" s="198" t="s">
        <v>330</v>
      </c>
      <c r="D1009" s="197" t="s">
        <v>331</v>
      </c>
      <c r="E1009" s="199">
        <v>9.0</v>
      </c>
      <c r="F1009" s="200">
        <v>45981.58333333333</v>
      </c>
      <c r="G1009" s="197" t="s">
        <v>845</v>
      </c>
      <c r="H1009" s="197" t="s">
        <v>853</v>
      </c>
    </row>
    <row r="1010" ht="15.75" customHeight="1">
      <c r="A1010" s="197" t="s">
        <v>59</v>
      </c>
      <c r="B1010" s="197" t="s">
        <v>22</v>
      </c>
      <c r="C1010" s="198" t="s">
        <v>330</v>
      </c>
      <c r="D1010" s="197" t="s">
        <v>331</v>
      </c>
      <c r="E1010" s="199">
        <v>10.0</v>
      </c>
      <c r="F1010" s="200">
        <v>45996.58333333333</v>
      </c>
      <c r="G1010" s="197" t="s">
        <v>845</v>
      </c>
      <c r="H1010" s="197" t="s">
        <v>853</v>
      </c>
    </row>
    <row r="1011" ht="15.75" customHeight="1">
      <c r="A1011" s="197" t="s">
        <v>59</v>
      </c>
      <c r="B1011" s="197" t="s">
        <v>22</v>
      </c>
      <c r="C1011" s="198" t="s">
        <v>330</v>
      </c>
      <c r="D1011" s="197" t="s">
        <v>331</v>
      </c>
      <c r="E1011" s="199">
        <v>11.0</v>
      </c>
      <c r="F1011" s="200">
        <v>46006.58333333333</v>
      </c>
      <c r="G1011" s="197" t="s">
        <v>845</v>
      </c>
      <c r="H1011" s="197" t="s">
        <v>853</v>
      </c>
    </row>
    <row r="1012" ht="15.75" customHeight="1">
      <c r="A1012" s="197" t="s">
        <v>59</v>
      </c>
      <c r="B1012" s="197" t="s">
        <v>22</v>
      </c>
      <c r="C1012" s="198" t="s">
        <v>330</v>
      </c>
      <c r="D1012" s="197" t="s">
        <v>331</v>
      </c>
      <c r="E1012" s="199">
        <v>12.0</v>
      </c>
      <c r="F1012" s="200">
        <v>46008.58333333333</v>
      </c>
      <c r="G1012" s="197" t="s">
        <v>845</v>
      </c>
      <c r="H1012" s="197" t="s">
        <v>853</v>
      </c>
    </row>
    <row r="1013" ht="15.75" customHeight="1">
      <c r="A1013" s="197" t="s">
        <v>59</v>
      </c>
      <c r="B1013" s="197" t="s">
        <v>22</v>
      </c>
      <c r="C1013" s="198" t="s">
        <v>330</v>
      </c>
      <c r="D1013" s="197" t="s">
        <v>331</v>
      </c>
      <c r="E1013" s="199">
        <v>13.0</v>
      </c>
      <c r="F1013" s="200">
        <v>46017.54166666667</v>
      </c>
      <c r="G1013" s="197" t="s">
        <v>845</v>
      </c>
      <c r="H1013" s="197" t="s">
        <v>853</v>
      </c>
    </row>
    <row r="1014" ht="15.75" customHeight="1">
      <c r="A1014" s="197" t="s">
        <v>59</v>
      </c>
      <c r="B1014" s="197" t="s">
        <v>22</v>
      </c>
      <c r="C1014" s="198" t="s">
        <v>330</v>
      </c>
      <c r="D1014" s="197" t="s">
        <v>331</v>
      </c>
      <c r="E1014" s="199">
        <v>14.0</v>
      </c>
      <c r="F1014" s="200">
        <v>46021.54166666667</v>
      </c>
      <c r="G1014" s="197" t="s">
        <v>845</v>
      </c>
      <c r="H1014" s="197" t="s">
        <v>853</v>
      </c>
    </row>
    <row r="1015" ht="15.75" customHeight="1">
      <c r="A1015" s="197" t="s">
        <v>59</v>
      </c>
      <c r="B1015" s="197" t="s">
        <v>22</v>
      </c>
      <c r="C1015" s="198" t="s">
        <v>330</v>
      </c>
      <c r="D1015" s="197" t="s">
        <v>331</v>
      </c>
      <c r="E1015" s="199">
        <v>15.0</v>
      </c>
      <c r="F1015" s="200">
        <v>46041.54166666667</v>
      </c>
      <c r="G1015" s="197" t="s">
        <v>845</v>
      </c>
      <c r="H1015" s="197" t="s">
        <v>853</v>
      </c>
    </row>
    <row r="1016" ht="15.75" customHeight="1">
      <c r="A1016" s="197" t="s">
        <v>59</v>
      </c>
      <c r="B1016" s="197" t="s">
        <v>22</v>
      </c>
      <c r="C1016" s="198" t="s">
        <v>330</v>
      </c>
      <c r="D1016" s="197" t="s">
        <v>331</v>
      </c>
      <c r="E1016" s="199">
        <v>16.0</v>
      </c>
      <c r="F1016" s="200">
        <v>46115.54166666667</v>
      </c>
      <c r="G1016" s="197" t="s">
        <v>845</v>
      </c>
      <c r="H1016" s="197" t="s">
        <v>853</v>
      </c>
    </row>
    <row r="1017" ht="15.75" customHeight="1">
      <c r="A1017" s="197" t="s">
        <v>59</v>
      </c>
      <c r="B1017" s="197" t="s">
        <v>22</v>
      </c>
      <c r="C1017" s="198" t="s">
        <v>411</v>
      </c>
      <c r="D1017" s="197" t="s">
        <v>412</v>
      </c>
      <c r="E1017" s="199">
        <v>1.0</v>
      </c>
      <c r="F1017" s="200">
        <v>45915.54166666667</v>
      </c>
      <c r="G1017" s="197" t="s">
        <v>845</v>
      </c>
      <c r="H1017" s="197" t="s">
        <v>853</v>
      </c>
    </row>
    <row r="1018" ht="15.75" customHeight="1">
      <c r="A1018" s="197" t="s">
        <v>59</v>
      </c>
      <c r="B1018" s="197" t="s">
        <v>22</v>
      </c>
      <c r="C1018" s="198" t="s">
        <v>411</v>
      </c>
      <c r="D1018" s="197" t="s">
        <v>412</v>
      </c>
      <c r="E1018" s="199">
        <v>2.0</v>
      </c>
      <c r="F1018" s="200">
        <v>45922.58333333333</v>
      </c>
      <c r="G1018" s="197" t="s">
        <v>843</v>
      </c>
      <c r="H1018" s="197" t="s">
        <v>853</v>
      </c>
    </row>
    <row r="1019" ht="15.75" customHeight="1">
      <c r="A1019" s="197" t="s">
        <v>59</v>
      </c>
      <c r="B1019" s="197" t="s">
        <v>22</v>
      </c>
      <c r="C1019" s="198" t="s">
        <v>411</v>
      </c>
      <c r="D1019" s="197" t="s">
        <v>412</v>
      </c>
      <c r="E1019" s="199">
        <v>3.0</v>
      </c>
      <c r="F1019" s="200">
        <v>45929.54166666667</v>
      </c>
      <c r="G1019" s="197" t="s">
        <v>843</v>
      </c>
      <c r="H1019" s="197" t="s">
        <v>853</v>
      </c>
    </row>
    <row r="1020" ht="15.75" customHeight="1">
      <c r="A1020" s="197" t="s">
        <v>59</v>
      </c>
      <c r="B1020" s="197" t="s">
        <v>22</v>
      </c>
      <c r="C1020" s="198" t="s">
        <v>411</v>
      </c>
      <c r="D1020" s="197" t="s">
        <v>412</v>
      </c>
      <c r="E1020" s="199">
        <v>4.0</v>
      </c>
      <c r="F1020" s="200">
        <v>45943.54166666667</v>
      </c>
      <c r="G1020" s="197" t="s">
        <v>845</v>
      </c>
      <c r="H1020" s="197" t="s">
        <v>853</v>
      </c>
    </row>
    <row r="1021" ht="15.75" customHeight="1">
      <c r="A1021" s="197" t="s">
        <v>59</v>
      </c>
      <c r="B1021" s="197" t="s">
        <v>22</v>
      </c>
      <c r="C1021" s="198" t="s">
        <v>411</v>
      </c>
      <c r="D1021" s="197" t="s">
        <v>412</v>
      </c>
      <c r="E1021" s="199">
        <v>5.0</v>
      </c>
      <c r="F1021" s="200">
        <v>45950.58333333333</v>
      </c>
      <c r="G1021" s="197" t="s">
        <v>845</v>
      </c>
      <c r="H1021" s="197" t="s">
        <v>853</v>
      </c>
    </row>
    <row r="1022" ht="15.75" customHeight="1">
      <c r="A1022" s="197" t="s">
        <v>59</v>
      </c>
      <c r="B1022" s="197" t="s">
        <v>22</v>
      </c>
      <c r="C1022" s="198" t="s">
        <v>411</v>
      </c>
      <c r="D1022" s="197" t="s">
        <v>412</v>
      </c>
      <c r="E1022" s="199">
        <v>6.0</v>
      </c>
      <c r="F1022" s="200">
        <v>45957.54166666667</v>
      </c>
      <c r="G1022" s="197" t="s">
        <v>845</v>
      </c>
      <c r="H1022" s="197" t="s">
        <v>853</v>
      </c>
    </row>
    <row r="1023" ht="15.75" customHeight="1">
      <c r="A1023" s="197" t="s">
        <v>59</v>
      </c>
      <c r="B1023" s="197" t="s">
        <v>22</v>
      </c>
      <c r="C1023" s="198" t="s">
        <v>411</v>
      </c>
      <c r="D1023" s="197" t="s">
        <v>412</v>
      </c>
      <c r="E1023" s="199">
        <v>7.0</v>
      </c>
      <c r="F1023" s="200">
        <v>45972.58333333333</v>
      </c>
      <c r="G1023" s="197" t="s">
        <v>843</v>
      </c>
      <c r="H1023" s="197" t="s">
        <v>853</v>
      </c>
    </row>
    <row r="1024" ht="15.75" customHeight="1">
      <c r="A1024" s="197" t="s">
        <v>59</v>
      </c>
      <c r="B1024" s="197" t="s">
        <v>22</v>
      </c>
      <c r="C1024" s="198" t="s">
        <v>411</v>
      </c>
      <c r="D1024" s="197" t="s">
        <v>412</v>
      </c>
      <c r="E1024" s="199">
        <v>8.0</v>
      </c>
      <c r="F1024" s="200">
        <v>45980.58333333333</v>
      </c>
      <c r="G1024" s="197" t="s">
        <v>845</v>
      </c>
      <c r="H1024" s="197" t="s">
        <v>853</v>
      </c>
    </row>
    <row r="1025" ht="15.75" customHeight="1">
      <c r="A1025" s="197" t="s">
        <v>59</v>
      </c>
      <c r="B1025" s="197" t="s">
        <v>22</v>
      </c>
      <c r="C1025" s="198" t="s">
        <v>411</v>
      </c>
      <c r="D1025" s="197" t="s">
        <v>412</v>
      </c>
      <c r="E1025" s="199">
        <v>9.0</v>
      </c>
      <c r="F1025" s="200">
        <v>45981.58333333333</v>
      </c>
      <c r="G1025" s="197" t="s">
        <v>845</v>
      </c>
      <c r="H1025" s="197" t="s">
        <v>853</v>
      </c>
    </row>
    <row r="1026" ht="15.75" customHeight="1">
      <c r="A1026" s="197" t="s">
        <v>59</v>
      </c>
      <c r="B1026" s="197" t="s">
        <v>22</v>
      </c>
      <c r="C1026" s="198" t="s">
        <v>411</v>
      </c>
      <c r="D1026" s="197" t="s">
        <v>412</v>
      </c>
      <c r="E1026" s="199">
        <v>10.0</v>
      </c>
      <c r="F1026" s="200">
        <v>45996.58333333333</v>
      </c>
      <c r="G1026" s="197" t="s">
        <v>845</v>
      </c>
      <c r="H1026" s="197" t="s">
        <v>853</v>
      </c>
    </row>
    <row r="1027" ht="15.75" customHeight="1">
      <c r="A1027" s="197" t="s">
        <v>59</v>
      </c>
      <c r="B1027" s="197" t="s">
        <v>22</v>
      </c>
      <c r="C1027" s="198" t="s">
        <v>411</v>
      </c>
      <c r="D1027" s="197" t="s">
        <v>412</v>
      </c>
      <c r="E1027" s="199">
        <v>11.0</v>
      </c>
      <c r="F1027" s="200">
        <v>46006.58333333333</v>
      </c>
      <c r="G1027" s="197" t="s">
        <v>845</v>
      </c>
      <c r="H1027" s="197" t="s">
        <v>853</v>
      </c>
    </row>
    <row r="1028" ht="15.75" customHeight="1">
      <c r="A1028" s="197" t="s">
        <v>59</v>
      </c>
      <c r="B1028" s="197" t="s">
        <v>22</v>
      </c>
      <c r="C1028" s="198" t="s">
        <v>411</v>
      </c>
      <c r="D1028" s="197" t="s">
        <v>412</v>
      </c>
      <c r="E1028" s="199">
        <v>12.0</v>
      </c>
      <c r="F1028" s="200">
        <v>46008.58333333333</v>
      </c>
      <c r="G1028" s="197" t="s">
        <v>845</v>
      </c>
      <c r="H1028" s="197" t="s">
        <v>853</v>
      </c>
    </row>
    <row r="1029" ht="15.75" customHeight="1">
      <c r="A1029" s="197" t="s">
        <v>59</v>
      </c>
      <c r="B1029" s="197" t="s">
        <v>22</v>
      </c>
      <c r="C1029" s="198" t="s">
        <v>411</v>
      </c>
      <c r="D1029" s="197" t="s">
        <v>412</v>
      </c>
      <c r="E1029" s="199">
        <v>13.0</v>
      </c>
      <c r="F1029" s="200">
        <v>46017.54166666667</v>
      </c>
      <c r="G1029" s="197" t="s">
        <v>845</v>
      </c>
      <c r="H1029" s="197" t="s">
        <v>853</v>
      </c>
    </row>
    <row r="1030" ht="15.75" customHeight="1">
      <c r="A1030" s="197" t="s">
        <v>59</v>
      </c>
      <c r="B1030" s="197" t="s">
        <v>22</v>
      </c>
      <c r="C1030" s="198" t="s">
        <v>411</v>
      </c>
      <c r="D1030" s="197" t="s">
        <v>412</v>
      </c>
      <c r="E1030" s="199">
        <v>14.0</v>
      </c>
      <c r="F1030" s="200">
        <v>46021.54166666667</v>
      </c>
      <c r="G1030" s="197" t="s">
        <v>845</v>
      </c>
      <c r="H1030" s="197" t="s">
        <v>853</v>
      </c>
    </row>
    <row r="1031" ht="15.75" customHeight="1">
      <c r="A1031" s="197" t="s">
        <v>59</v>
      </c>
      <c r="B1031" s="197" t="s">
        <v>22</v>
      </c>
      <c r="C1031" s="198" t="s">
        <v>411</v>
      </c>
      <c r="D1031" s="197" t="s">
        <v>412</v>
      </c>
      <c r="E1031" s="199">
        <v>15.0</v>
      </c>
      <c r="F1031" s="200">
        <v>46041.54166666667</v>
      </c>
      <c r="G1031" s="197" t="s">
        <v>845</v>
      </c>
      <c r="H1031" s="197" t="s">
        <v>853</v>
      </c>
    </row>
    <row r="1032" ht="15.75" customHeight="1">
      <c r="A1032" s="197" t="s">
        <v>59</v>
      </c>
      <c r="B1032" s="197" t="s">
        <v>22</v>
      </c>
      <c r="C1032" s="198" t="s">
        <v>411</v>
      </c>
      <c r="D1032" s="197" t="s">
        <v>412</v>
      </c>
      <c r="E1032" s="199">
        <v>16.0</v>
      </c>
      <c r="F1032" s="200">
        <v>46115.54166666667</v>
      </c>
      <c r="G1032" s="197" t="s">
        <v>845</v>
      </c>
      <c r="H1032" s="197" t="s">
        <v>853</v>
      </c>
    </row>
    <row r="1033" ht="15.75" customHeight="1">
      <c r="A1033" s="197" t="s">
        <v>59</v>
      </c>
      <c r="B1033" s="197" t="s">
        <v>21</v>
      </c>
      <c r="C1033" s="198" t="s">
        <v>433</v>
      </c>
      <c r="D1033" s="197" t="s">
        <v>432</v>
      </c>
      <c r="E1033" s="199">
        <v>1.0</v>
      </c>
      <c r="F1033" s="200">
        <v>45663.58333333333</v>
      </c>
      <c r="G1033" s="197" t="s">
        <v>845</v>
      </c>
      <c r="H1033" s="197" t="s">
        <v>853</v>
      </c>
    </row>
    <row r="1034" ht="15.75" customHeight="1">
      <c r="A1034" s="197" t="s">
        <v>59</v>
      </c>
      <c r="B1034" s="197" t="s">
        <v>21</v>
      </c>
      <c r="C1034" s="198" t="s">
        <v>433</v>
      </c>
      <c r="D1034" s="197" t="s">
        <v>432</v>
      </c>
      <c r="E1034" s="199">
        <v>2.0</v>
      </c>
      <c r="F1034" s="200">
        <v>45698.58333333333</v>
      </c>
      <c r="G1034" s="197" t="s">
        <v>845</v>
      </c>
      <c r="H1034" s="197" t="s">
        <v>853</v>
      </c>
    </row>
    <row r="1035" ht="15.75" customHeight="1">
      <c r="A1035" s="197" t="s">
        <v>59</v>
      </c>
      <c r="B1035" s="197" t="s">
        <v>21</v>
      </c>
      <c r="C1035" s="198" t="s">
        <v>433</v>
      </c>
      <c r="D1035" s="197" t="s">
        <v>432</v>
      </c>
      <c r="E1035" s="199">
        <v>3.0</v>
      </c>
      <c r="F1035" s="200">
        <v>45716.58333333333</v>
      </c>
      <c r="G1035" s="197" t="s">
        <v>845</v>
      </c>
      <c r="H1035" s="197" t="s">
        <v>853</v>
      </c>
    </row>
    <row r="1036" ht="15.75" customHeight="1">
      <c r="A1036" s="197" t="s">
        <v>59</v>
      </c>
      <c r="B1036" s="197" t="s">
        <v>21</v>
      </c>
      <c r="C1036" s="198" t="s">
        <v>433</v>
      </c>
      <c r="D1036" s="197" t="s">
        <v>432</v>
      </c>
      <c r="E1036" s="199">
        <v>4.0</v>
      </c>
      <c r="F1036" s="200">
        <v>45762.58333333333</v>
      </c>
      <c r="G1036" s="197" t="s">
        <v>845</v>
      </c>
      <c r="H1036" s="197" t="s">
        <v>853</v>
      </c>
    </row>
    <row r="1037" ht="15.75" customHeight="1">
      <c r="A1037" s="197" t="s">
        <v>59</v>
      </c>
      <c r="B1037" s="197" t="s">
        <v>21</v>
      </c>
      <c r="C1037" s="198" t="s">
        <v>433</v>
      </c>
      <c r="D1037" s="197" t="s">
        <v>432</v>
      </c>
      <c r="E1037" s="199">
        <v>5.0</v>
      </c>
      <c r="F1037" s="200">
        <v>45768.58333333333</v>
      </c>
      <c r="G1037" s="197" t="s">
        <v>845</v>
      </c>
      <c r="H1037" s="197" t="s">
        <v>853</v>
      </c>
    </row>
    <row r="1038" ht="15.75" customHeight="1">
      <c r="A1038" s="197" t="s">
        <v>59</v>
      </c>
      <c r="B1038" s="197" t="s">
        <v>21</v>
      </c>
      <c r="C1038" s="198" t="s">
        <v>433</v>
      </c>
      <c r="D1038" s="197" t="s">
        <v>432</v>
      </c>
      <c r="E1038" s="199">
        <v>6.0</v>
      </c>
      <c r="F1038" s="200">
        <v>45782.54166666667</v>
      </c>
      <c r="G1038" s="197" t="s">
        <v>845</v>
      </c>
      <c r="H1038" s="197" t="s">
        <v>853</v>
      </c>
    </row>
    <row r="1039" ht="15.75" customHeight="1">
      <c r="A1039" s="197" t="s">
        <v>59</v>
      </c>
      <c r="B1039" s="197" t="s">
        <v>21</v>
      </c>
      <c r="C1039" s="198" t="s">
        <v>433</v>
      </c>
      <c r="D1039" s="197" t="s">
        <v>432</v>
      </c>
      <c r="E1039" s="199">
        <v>7.0</v>
      </c>
      <c r="F1039" s="200">
        <v>45806.58333333333</v>
      </c>
      <c r="G1039" s="197" t="s">
        <v>845</v>
      </c>
      <c r="H1039" s="197" t="s">
        <v>853</v>
      </c>
    </row>
    <row r="1040" ht="15.75" customHeight="1">
      <c r="A1040" s="197" t="s">
        <v>59</v>
      </c>
      <c r="B1040" s="197" t="s">
        <v>21</v>
      </c>
      <c r="C1040" s="198" t="s">
        <v>433</v>
      </c>
      <c r="D1040" s="197" t="s">
        <v>432</v>
      </c>
      <c r="E1040" s="199">
        <v>8.0</v>
      </c>
      <c r="F1040" s="200">
        <v>45810.54166666667</v>
      </c>
      <c r="G1040" s="197" t="s">
        <v>845</v>
      </c>
      <c r="H1040" s="197" t="s">
        <v>853</v>
      </c>
    </row>
    <row r="1041" ht="15.75" customHeight="1">
      <c r="A1041" s="197" t="s">
        <v>59</v>
      </c>
      <c r="B1041" s="197" t="s">
        <v>21</v>
      </c>
      <c r="C1041" s="198" t="s">
        <v>433</v>
      </c>
      <c r="D1041" s="197" t="s">
        <v>432</v>
      </c>
      <c r="E1041" s="199">
        <v>9.0</v>
      </c>
      <c r="F1041" s="200">
        <v>45824.58333333333</v>
      </c>
      <c r="G1041" s="197" t="s">
        <v>845</v>
      </c>
      <c r="H1041" s="197" t="s">
        <v>853</v>
      </c>
    </row>
    <row r="1042" ht="15.75" customHeight="1">
      <c r="A1042" s="197" t="s">
        <v>59</v>
      </c>
      <c r="B1042" s="197" t="s">
        <v>21</v>
      </c>
      <c r="C1042" s="198" t="s">
        <v>433</v>
      </c>
      <c r="D1042" s="197" t="s">
        <v>432</v>
      </c>
      <c r="E1042" s="199">
        <v>10.0</v>
      </c>
      <c r="F1042" s="200">
        <v>45852.54166666667</v>
      </c>
      <c r="G1042" s="197" t="s">
        <v>845</v>
      </c>
      <c r="H1042" s="197" t="s">
        <v>853</v>
      </c>
    </row>
    <row r="1043" ht="15.75" customHeight="1">
      <c r="A1043" s="197" t="s">
        <v>59</v>
      </c>
      <c r="B1043" s="197" t="s">
        <v>21</v>
      </c>
      <c r="C1043" s="198" t="s">
        <v>451</v>
      </c>
      <c r="D1043" s="197" t="s">
        <v>452</v>
      </c>
      <c r="E1043" s="199">
        <v>1.0</v>
      </c>
      <c r="F1043" s="200">
        <v>45663.58333333333</v>
      </c>
      <c r="G1043" s="197" t="s">
        <v>843</v>
      </c>
      <c r="H1043" s="197" t="s">
        <v>853</v>
      </c>
    </row>
    <row r="1044" ht="15.75" customHeight="1">
      <c r="A1044" s="197" t="s">
        <v>59</v>
      </c>
      <c r="B1044" s="197" t="s">
        <v>21</v>
      </c>
      <c r="C1044" s="198" t="s">
        <v>451</v>
      </c>
      <c r="D1044" s="197" t="s">
        <v>452</v>
      </c>
      <c r="E1044" s="199">
        <v>2.0</v>
      </c>
      <c r="F1044" s="200">
        <v>45698.58333333333</v>
      </c>
      <c r="G1044" s="197" t="s">
        <v>845</v>
      </c>
      <c r="H1044" s="197" t="s">
        <v>853</v>
      </c>
    </row>
    <row r="1045" ht="15.75" customHeight="1">
      <c r="A1045" s="197" t="s">
        <v>59</v>
      </c>
      <c r="B1045" s="197" t="s">
        <v>21</v>
      </c>
      <c r="C1045" s="198" t="s">
        <v>451</v>
      </c>
      <c r="D1045" s="197" t="s">
        <v>452</v>
      </c>
      <c r="E1045" s="199">
        <v>3.0</v>
      </c>
      <c r="F1045" s="200">
        <v>45716.58333333333</v>
      </c>
      <c r="G1045" s="197" t="s">
        <v>845</v>
      </c>
      <c r="H1045" s="197" t="s">
        <v>853</v>
      </c>
    </row>
    <row r="1046" ht="15.75" customHeight="1">
      <c r="A1046" s="197" t="s">
        <v>59</v>
      </c>
      <c r="B1046" s="197" t="s">
        <v>21</v>
      </c>
      <c r="C1046" s="198" t="s">
        <v>451</v>
      </c>
      <c r="D1046" s="197" t="s">
        <v>452</v>
      </c>
      <c r="E1046" s="199">
        <v>4.0</v>
      </c>
      <c r="F1046" s="200">
        <v>45762.58333333333</v>
      </c>
      <c r="G1046" s="197" t="s">
        <v>845</v>
      </c>
      <c r="H1046" s="197" t="s">
        <v>853</v>
      </c>
    </row>
    <row r="1047" ht="15.75" customHeight="1">
      <c r="A1047" s="197" t="s">
        <v>59</v>
      </c>
      <c r="B1047" s="197" t="s">
        <v>21</v>
      </c>
      <c r="C1047" s="198" t="s">
        <v>451</v>
      </c>
      <c r="D1047" s="197" t="s">
        <v>452</v>
      </c>
      <c r="E1047" s="199">
        <v>5.0</v>
      </c>
      <c r="F1047" s="200">
        <v>45768.58333333333</v>
      </c>
      <c r="G1047" s="197" t="s">
        <v>845</v>
      </c>
      <c r="H1047" s="197" t="s">
        <v>853</v>
      </c>
    </row>
    <row r="1048" ht="15.75" customHeight="1">
      <c r="A1048" s="197" t="s">
        <v>59</v>
      </c>
      <c r="B1048" s="197" t="s">
        <v>21</v>
      </c>
      <c r="C1048" s="198" t="s">
        <v>451</v>
      </c>
      <c r="D1048" s="197" t="s">
        <v>452</v>
      </c>
      <c r="E1048" s="199">
        <v>6.0</v>
      </c>
      <c r="F1048" s="200">
        <v>45782.54166666667</v>
      </c>
      <c r="G1048" s="197" t="s">
        <v>845</v>
      </c>
      <c r="H1048" s="197" t="s">
        <v>853</v>
      </c>
    </row>
    <row r="1049" ht="15.75" customHeight="1">
      <c r="A1049" s="197" t="s">
        <v>59</v>
      </c>
      <c r="B1049" s="197" t="s">
        <v>21</v>
      </c>
      <c r="C1049" s="198" t="s">
        <v>451</v>
      </c>
      <c r="D1049" s="197" t="s">
        <v>452</v>
      </c>
      <c r="E1049" s="199">
        <v>7.0</v>
      </c>
      <c r="F1049" s="200">
        <v>45806.58333333333</v>
      </c>
      <c r="G1049" s="197" t="s">
        <v>845</v>
      </c>
      <c r="H1049" s="197" t="s">
        <v>853</v>
      </c>
    </row>
    <row r="1050" ht="15.75" customHeight="1">
      <c r="A1050" s="197" t="s">
        <v>59</v>
      </c>
      <c r="B1050" s="197" t="s">
        <v>21</v>
      </c>
      <c r="C1050" s="198" t="s">
        <v>451</v>
      </c>
      <c r="D1050" s="197" t="s">
        <v>452</v>
      </c>
      <c r="E1050" s="199">
        <v>8.0</v>
      </c>
      <c r="F1050" s="200">
        <v>45810.54166666667</v>
      </c>
      <c r="G1050" s="197" t="s">
        <v>845</v>
      </c>
      <c r="H1050" s="197" t="s">
        <v>853</v>
      </c>
    </row>
    <row r="1051" ht="15.75" customHeight="1">
      <c r="A1051" s="197" t="s">
        <v>59</v>
      </c>
      <c r="B1051" s="197" t="s">
        <v>21</v>
      </c>
      <c r="C1051" s="198" t="s">
        <v>451</v>
      </c>
      <c r="D1051" s="197" t="s">
        <v>452</v>
      </c>
      <c r="E1051" s="199">
        <v>9.0</v>
      </c>
      <c r="F1051" s="200">
        <v>45824.58333333333</v>
      </c>
      <c r="G1051" s="197" t="s">
        <v>845</v>
      </c>
      <c r="H1051" s="197" t="s">
        <v>853</v>
      </c>
    </row>
    <row r="1052" ht="15.75" customHeight="1">
      <c r="A1052" s="197" t="s">
        <v>59</v>
      </c>
      <c r="B1052" s="197" t="s">
        <v>21</v>
      </c>
      <c r="C1052" s="198" t="s">
        <v>451</v>
      </c>
      <c r="D1052" s="197" t="s">
        <v>452</v>
      </c>
      <c r="E1052" s="199">
        <v>10.0</v>
      </c>
      <c r="F1052" s="200">
        <v>45852.54166666667</v>
      </c>
      <c r="G1052" s="197" t="s">
        <v>845</v>
      </c>
      <c r="H1052" s="197" t="s">
        <v>853</v>
      </c>
    </row>
    <row r="1053" ht="15.75" customHeight="1">
      <c r="A1053" s="197" t="s">
        <v>59</v>
      </c>
      <c r="B1053" s="197" t="s">
        <v>22</v>
      </c>
      <c r="C1053" s="198" t="s">
        <v>451</v>
      </c>
      <c r="D1053" s="197" t="s">
        <v>452</v>
      </c>
      <c r="E1053" s="199">
        <v>1.0</v>
      </c>
      <c r="F1053" s="200">
        <v>45915.54166666667</v>
      </c>
      <c r="G1053" s="197" t="s">
        <v>843</v>
      </c>
      <c r="H1053" s="197" t="s">
        <v>853</v>
      </c>
    </row>
    <row r="1054" ht="15.75" customHeight="1">
      <c r="A1054" s="197" t="s">
        <v>59</v>
      </c>
      <c r="B1054" s="197" t="s">
        <v>22</v>
      </c>
      <c r="C1054" s="198" t="s">
        <v>451</v>
      </c>
      <c r="D1054" s="197" t="s">
        <v>452</v>
      </c>
      <c r="E1054" s="199">
        <v>2.0</v>
      </c>
      <c r="F1054" s="200">
        <v>45922.58333333333</v>
      </c>
      <c r="G1054" s="197" t="s">
        <v>845</v>
      </c>
      <c r="H1054" s="197" t="s">
        <v>853</v>
      </c>
    </row>
    <row r="1055" ht="15.75" customHeight="1">
      <c r="A1055" s="197" t="s">
        <v>59</v>
      </c>
      <c r="B1055" s="197" t="s">
        <v>22</v>
      </c>
      <c r="C1055" s="198" t="s">
        <v>451</v>
      </c>
      <c r="D1055" s="197" t="s">
        <v>452</v>
      </c>
      <c r="E1055" s="199">
        <v>3.0</v>
      </c>
      <c r="F1055" s="200">
        <v>45929.54166666667</v>
      </c>
      <c r="G1055" s="197" t="s">
        <v>845</v>
      </c>
      <c r="H1055" s="197" t="s">
        <v>853</v>
      </c>
    </row>
    <row r="1056" ht="15.75" customHeight="1">
      <c r="A1056" s="197" t="s">
        <v>59</v>
      </c>
      <c r="B1056" s="197" t="s">
        <v>22</v>
      </c>
      <c r="C1056" s="198" t="s">
        <v>451</v>
      </c>
      <c r="D1056" s="197" t="s">
        <v>452</v>
      </c>
      <c r="E1056" s="199">
        <v>4.0</v>
      </c>
      <c r="F1056" s="200">
        <v>45943.54166666667</v>
      </c>
      <c r="G1056" s="197" t="s">
        <v>843</v>
      </c>
      <c r="H1056" s="197" t="s">
        <v>853</v>
      </c>
    </row>
    <row r="1057" ht="15.75" customHeight="1">
      <c r="A1057" s="197" t="s">
        <v>59</v>
      </c>
      <c r="B1057" s="197" t="s">
        <v>22</v>
      </c>
      <c r="C1057" s="198" t="s">
        <v>451</v>
      </c>
      <c r="D1057" s="197" t="s">
        <v>452</v>
      </c>
      <c r="E1057" s="199">
        <v>5.0</v>
      </c>
      <c r="F1057" s="200">
        <v>45950.58333333333</v>
      </c>
      <c r="G1057" s="197" t="s">
        <v>845</v>
      </c>
      <c r="H1057" s="197" t="s">
        <v>853</v>
      </c>
    </row>
    <row r="1058" ht="15.75" customHeight="1">
      <c r="A1058" s="197" t="s">
        <v>59</v>
      </c>
      <c r="B1058" s="197" t="s">
        <v>22</v>
      </c>
      <c r="C1058" s="198" t="s">
        <v>451</v>
      </c>
      <c r="D1058" s="197" t="s">
        <v>452</v>
      </c>
      <c r="E1058" s="199">
        <v>6.0</v>
      </c>
      <c r="F1058" s="200">
        <v>45957.54166666667</v>
      </c>
      <c r="G1058" s="197" t="s">
        <v>845</v>
      </c>
      <c r="H1058" s="197" t="s">
        <v>853</v>
      </c>
    </row>
    <row r="1059" ht="15.75" customHeight="1">
      <c r="A1059" s="197" t="s">
        <v>59</v>
      </c>
      <c r="B1059" s="197" t="s">
        <v>22</v>
      </c>
      <c r="C1059" s="198" t="s">
        <v>451</v>
      </c>
      <c r="D1059" s="197" t="s">
        <v>452</v>
      </c>
      <c r="E1059" s="199">
        <v>7.0</v>
      </c>
      <c r="F1059" s="200">
        <v>45972.58333333333</v>
      </c>
      <c r="G1059" s="197" t="s">
        <v>843</v>
      </c>
      <c r="H1059" s="197" t="s">
        <v>853</v>
      </c>
    </row>
    <row r="1060" ht="15.75" customHeight="1">
      <c r="A1060" s="197" t="s">
        <v>59</v>
      </c>
      <c r="B1060" s="197" t="s">
        <v>22</v>
      </c>
      <c r="C1060" s="198" t="s">
        <v>451</v>
      </c>
      <c r="D1060" s="197" t="s">
        <v>452</v>
      </c>
      <c r="E1060" s="199">
        <v>8.0</v>
      </c>
      <c r="F1060" s="200">
        <v>45980.58333333333</v>
      </c>
      <c r="G1060" s="197" t="s">
        <v>845</v>
      </c>
      <c r="H1060" s="197" t="s">
        <v>853</v>
      </c>
    </row>
    <row r="1061" ht="15.75" customHeight="1">
      <c r="A1061" s="197" t="s">
        <v>59</v>
      </c>
      <c r="B1061" s="197" t="s">
        <v>22</v>
      </c>
      <c r="C1061" s="198" t="s">
        <v>451</v>
      </c>
      <c r="D1061" s="197" t="s">
        <v>452</v>
      </c>
      <c r="E1061" s="199">
        <v>9.0</v>
      </c>
      <c r="F1061" s="200">
        <v>45981.58333333333</v>
      </c>
      <c r="G1061" s="197" t="s">
        <v>845</v>
      </c>
      <c r="H1061" s="197" t="s">
        <v>853</v>
      </c>
    </row>
    <row r="1062" ht="15.75" customHeight="1">
      <c r="A1062" s="197" t="s">
        <v>59</v>
      </c>
      <c r="B1062" s="197" t="s">
        <v>22</v>
      </c>
      <c r="C1062" s="198" t="s">
        <v>451</v>
      </c>
      <c r="D1062" s="197" t="s">
        <v>452</v>
      </c>
      <c r="E1062" s="199">
        <v>10.0</v>
      </c>
      <c r="F1062" s="200">
        <v>45996.58333333333</v>
      </c>
      <c r="G1062" s="197" t="s">
        <v>845</v>
      </c>
      <c r="H1062" s="197" t="s">
        <v>853</v>
      </c>
    </row>
    <row r="1063" ht="15.75" customHeight="1">
      <c r="A1063" s="197" t="s">
        <v>59</v>
      </c>
      <c r="B1063" s="197" t="s">
        <v>22</v>
      </c>
      <c r="C1063" s="198" t="s">
        <v>451</v>
      </c>
      <c r="D1063" s="197" t="s">
        <v>452</v>
      </c>
      <c r="E1063" s="199">
        <v>11.0</v>
      </c>
      <c r="F1063" s="200">
        <v>46006.58333333333</v>
      </c>
      <c r="G1063" s="197" t="s">
        <v>845</v>
      </c>
      <c r="H1063" s="197" t="s">
        <v>853</v>
      </c>
    </row>
    <row r="1064" ht="15.75" customHeight="1">
      <c r="A1064" s="197" t="s">
        <v>59</v>
      </c>
      <c r="B1064" s="197" t="s">
        <v>22</v>
      </c>
      <c r="C1064" s="198" t="s">
        <v>451</v>
      </c>
      <c r="D1064" s="197" t="s">
        <v>452</v>
      </c>
      <c r="E1064" s="199">
        <v>12.0</v>
      </c>
      <c r="F1064" s="200">
        <v>46008.58333333333</v>
      </c>
      <c r="G1064" s="197" t="s">
        <v>845</v>
      </c>
      <c r="H1064" s="197" t="s">
        <v>853</v>
      </c>
    </row>
    <row r="1065" ht="15.75" customHeight="1">
      <c r="A1065" s="197" t="s">
        <v>59</v>
      </c>
      <c r="B1065" s="197" t="s">
        <v>22</v>
      </c>
      <c r="C1065" s="198" t="s">
        <v>451</v>
      </c>
      <c r="D1065" s="197" t="s">
        <v>452</v>
      </c>
      <c r="E1065" s="199">
        <v>13.0</v>
      </c>
      <c r="F1065" s="200">
        <v>46017.54166666667</v>
      </c>
      <c r="G1065" s="197" t="s">
        <v>845</v>
      </c>
      <c r="H1065" s="197" t="s">
        <v>853</v>
      </c>
    </row>
    <row r="1066" ht="15.75" customHeight="1">
      <c r="A1066" s="197" t="s">
        <v>59</v>
      </c>
      <c r="B1066" s="197" t="s">
        <v>22</v>
      </c>
      <c r="C1066" s="198" t="s">
        <v>451</v>
      </c>
      <c r="D1066" s="197" t="s">
        <v>452</v>
      </c>
      <c r="E1066" s="199">
        <v>14.0</v>
      </c>
      <c r="F1066" s="200">
        <v>46021.54166666667</v>
      </c>
      <c r="G1066" s="197" t="s">
        <v>843</v>
      </c>
      <c r="H1066" s="197" t="s">
        <v>853</v>
      </c>
    </row>
    <row r="1067" ht="15.75" customHeight="1">
      <c r="A1067" s="197" t="s">
        <v>59</v>
      </c>
      <c r="B1067" s="197" t="s">
        <v>22</v>
      </c>
      <c r="C1067" s="198" t="s">
        <v>451</v>
      </c>
      <c r="D1067" s="197" t="s">
        <v>452</v>
      </c>
      <c r="E1067" s="199">
        <v>15.0</v>
      </c>
      <c r="F1067" s="200">
        <v>46041.54166666667</v>
      </c>
      <c r="G1067" s="197" t="s">
        <v>845</v>
      </c>
      <c r="H1067" s="197" t="s">
        <v>853</v>
      </c>
    </row>
    <row r="1068" ht="15.75" customHeight="1">
      <c r="A1068" s="197" t="s">
        <v>59</v>
      </c>
      <c r="B1068" s="197" t="s">
        <v>22</v>
      </c>
      <c r="C1068" s="198" t="s">
        <v>451</v>
      </c>
      <c r="D1068" s="197" t="s">
        <v>452</v>
      </c>
      <c r="E1068" s="199">
        <v>16.0</v>
      </c>
      <c r="F1068" s="200">
        <v>46115.54166666667</v>
      </c>
      <c r="G1068" s="197" t="s">
        <v>845</v>
      </c>
      <c r="H1068" s="197" t="s">
        <v>853</v>
      </c>
    </row>
    <row r="1069" ht="15.75" customHeight="1">
      <c r="A1069" s="197" t="s">
        <v>59</v>
      </c>
      <c r="B1069" s="197" t="s">
        <v>21</v>
      </c>
      <c r="C1069" s="198" t="s">
        <v>466</v>
      </c>
      <c r="D1069" s="197" t="s">
        <v>467</v>
      </c>
      <c r="E1069" s="199">
        <v>1.0</v>
      </c>
      <c r="F1069" s="200">
        <v>45663.58333333333</v>
      </c>
      <c r="G1069" s="197" t="s">
        <v>845</v>
      </c>
      <c r="H1069" s="197" t="s">
        <v>853</v>
      </c>
    </row>
    <row r="1070" ht="15.75" customHeight="1">
      <c r="A1070" s="197" t="s">
        <v>59</v>
      </c>
      <c r="B1070" s="197" t="s">
        <v>21</v>
      </c>
      <c r="C1070" s="198" t="s">
        <v>466</v>
      </c>
      <c r="D1070" s="197" t="s">
        <v>467</v>
      </c>
      <c r="E1070" s="199">
        <v>2.0</v>
      </c>
      <c r="F1070" s="200">
        <v>45698.58333333333</v>
      </c>
      <c r="G1070" s="197" t="s">
        <v>843</v>
      </c>
      <c r="H1070" s="197" t="s">
        <v>853</v>
      </c>
    </row>
    <row r="1071" ht="15.75" customHeight="1">
      <c r="A1071" s="197" t="s">
        <v>59</v>
      </c>
      <c r="B1071" s="197" t="s">
        <v>21</v>
      </c>
      <c r="C1071" s="198" t="s">
        <v>466</v>
      </c>
      <c r="D1071" s="197" t="s">
        <v>467</v>
      </c>
      <c r="E1071" s="199">
        <v>3.0</v>
      </c>
      <c r="F1071" s="200">
        <v>45716.58333333333</v>
      </c>
      <c r="G1071" s="197" t="s">
        <v>845</v>
      </c>
      <c r="H1071" s="197" t="s">
        <v>853</v>
      </c>
    </row>
    <row r="1072" ht="15.75" customHeight="1">
      <c r="A1072" s="197" t="s">
        <v>59</v>
      </c>
      <c r="B1072" s="197" t="s">
        <v>21</v>
      </c>
      <c r="C1072" s="198" t="s">
        <v>466</v>
      </c>
      <c r="D1072" s="197" t="s">
        <v>467</v>
      </c>
      <c r="E1072" s="199">
        <v>4.0</v>
      </c>
      <c r="F1072" s="200">
        <v>45762.58333333333</v>
      </c>
      <c r="G1072" s="197" t="s">
        <v>843</v>
      </c>
      <c r="H1072" s="197" t="s">
        <v>853</v>
      </c>
    </row>
    <row r="1073" ht="15.75" customHeight="1">
      <c r="A1073" s="197" t="s">
        <v>59</v>
      </c>
      <c r="B1073" s="197" t="s">
        <v>21</v>
      </c>
      <c r="C1073" s="198" t="s">
        <v>466</v>
      </c>
      <c r="D1073" s="197" t="s">
        <v>467</v>
      </c>
      <c r="E1073" s="199">
        <v>5.0</v>
      </c>
      <c r="F1073" s="200">
        <v>45768.58333333333</v>
      </c>
      <c r="G1073" s="197" t="s">
        <v>845</v>
      </c>
      <c r="H1073" s="197" t="s">
        <v>853</v>
      </c>
    </row>
    <row r="1074" ht="15.75" customHeight="1">
      <c r="A1074" s="197" t="s">
        <v>59</v>
      </c>
      <c r="B1074" s="197" t="s">
        <v>21</v>
      </c>
      <c r="C1074" s="198" t="s">
        <v>466</v>
      </c>
      <c r="D1074" s="197" t="s">
        <v>467</v>
      </c>
      <c r="E1074" s="199">
        <v>6.0</v>
      </c>
      <c r="F1074" s="200">
        <v>45782.54166666667</v>
      </c>
      <c r="G1074" s="197" t="s">
        <v>845</v>
      </c>
      <c r="H1074" s="197" t="s">
        <v>853</v>
      </c>
    </row>
    <row r="1075" ht="15.75" customHeight="1">
      <c r="A1075" s="197" t="s">
        <v>59</v>
      </c>
      <c r="B1075" s="197" t="s">
        <v>21</v>
      </c>
      <c r="C1075" s="198" t="s">
        <v>466</v>
      </c>
      <c r="D1075" s="197" t="s">
        <v>467</v>
      </c>
      <c r="E1075" s="199">
        <v>7.0</v>
      </c>
      <c r="F1075" s="200">
        <v>45806.58333333333</v>
      </c>
      <c r="G1075" s="197" t="s">
        <v>845</v>
      </c>
      <c r="H1075" s="197" t="s">
        <v>853</v>
      </c>
    </row>
    <row r="1076" ht="15.75" customHeight="1">
      <c r="A1076" s="197" t="s">
        <v>59</v>
      </c>
      <c r="B1076" s="197" t="s">
        <v>21</v>
      </c>
      <c r="C1076" s="198" t="s">
        <v>466</v>
      </c>
      <c r="D1076" s="197" t="s">
        <v>467</v>
      </c>
      <c r="E1076" s="199">
        <v>8.0</v>
      </c>
      <c r="F1076" s="200">
        <v>45810.54166666667</v>
      </c>
      <c r="G1076" s="197" t="s">
        <v>845</v>
      </c>
      <c r="H1076" s="197" t="s">
        <v>853</v>
      </c>
    </row>
    <row r="1077" ht="15.75" customHeight="1">
      <c r="A1077" s="197" t="s">
        <v>59</v>
      </c>
      <c r="B1077" s="197" t="s">
        <v>21</v>
      </c>
      <c r="C1077" s="198" t="s">
        <v>466</v>
      </c>
      <c r="D1077" s="197" t="s">
        <v>467</v>
      </c>
      <c r="E1077" s="199">
        <v>9.0</v>
      </c>
      <c r="F1077" s="200">
        <v>45824.58333333333</v>
      </c>
      <c r="G1077" s="197" t="s">
        <v>845</v>
      </c>
      <c r="H1077" s="197" t="s">
        <v>853</v>
      </c>
    </row>
    <row r="1078" ht="15.75" customHeight="1">
      <c r="A1078" s="197" t="s">
        <v>59</v>
      </c>
      <c r="B1078" s="197" t="s">
        <v>21</v>
      </c>
      <c r="C1078" s="198" t="s">
        <v>466</v>
      </c>
      <c r="D1078" s="197" t="s">
        <v>467</v>
      </c>
      <c r="E1078" s="199">
        <v>10.0</v>
      </c>
      <c r="F1078" s="200">
        <v>45852.54166666667</v>
      </c>
      <c r="G1078" s="197" t="s">
        <v>845</v>
      </c>
      <c r="H1078" s="197" t="s">
        <v>853</v>
      </c>
    </row>
    <row r="1079" ht="15.75" customHeight="1">
      <c r="A1079" s="197" t="s">
        <v>59</v>
      </c>
      <c r="B1079" s="197" t="s">
        <v>22</v>
      </c>
      <c r="C1079" s="198" t="s">
        <v>466</v>
      </c>
      <c r="D1079" s="197" t="s">
        <v>467</v>
      </c>
      <c r="E1079" s="199">
        <v>1.0</v>
      </c>
      <c r="F1079" s="200">
        <v>45915.54166666667</v>
      </c>
      <c r="G1079" s="197" t="s">
        <v>845</v>
      </c>
      <c r="H1079" s="197" t="s">
        <v>853</v>
      </c>
    </row>
    <row r="1080" ht="15.75" customHeight="1">
      <c r="A1080" s="197" t="s">
        <v>59</v>
      </c>
      <c r="B1080" s="197" t="s">
        <v>22</v>
      </c>
      <c r="C1080" s="198" t="s">
        <v>466</v>
      </c>
      <c r="D1080" s="197" t="s">
        <v>467</v>
      </c>
      <c r="E1080" s="199">
        <v>2.0</v>
      </c>
      <c r="F1080" s="200">
        <v>45922.58333333333</v>
      </c>
      <c r="G1080" s="197" t="s">
        <v>843</v>
      </c>
      <c r="H1080" s="197" t="s">
        <v>853</v>
      </c>
    </row>
    <row r="1081" ht="15.75" customHeight="1">
      <c r="A1081" s="197" t="s">
        <v>59</v>
      </c>
      <c r="B1081" s="197" t="s">
        <v>22</v>
      </c>
      <c r="C1081" s="198" t="s">
        <v>466</v>
      </c>
      <c r="D1081" s="197" t="s">
        <v>467</v>
      </c>
      <c r="E1081" s="199">
        <v>3.0</v>
      </c>
      <c r="F1081" s="200">
        <v>45929.54166666667</v>
      </c>
      <c r="G1081" s="197" t="s">
        <v>843</v>
      </c>
      <c r="H1081" s="197" t="s">
        <v>853</v>
      </c>
    </row>
    <row r="1082" ht="15.75" customHeight="1">
      <c r="A1082" s="197" t="s">
        <v>59</v>
      </c>
      <c r="B1082" s="197" t="s">
        <v>22</v>
      </c>
      <c r="C1082" s="198" t="s">
        <v>466</v>
      </c>
      <c r="D1082" s="197" t="s">
        <v>467</v>
      </c>
      <c r="E1082" s="199">
        <v>4.0</v>
      </c>
      <c r="F1082" s="200">
        <v>45943.54166666667</v>
      </c>
      <c r="G1082" s="197" t="s">
        <v>845</v>
      </c>
      <c r="H1082" s="197" t="s">
        <v>853</v>
      </c>
    </row>
    <row r="1083" ht="15.75" customHeight="1">
      <c r="A1083" s="197" t="s">
        <v>59</v>
      </c>
      <c r="B1083" s="197" t="s">
        <v>22</v>
      </c>
      <c r="C1083" s="198" t="s">
        <v>466</v>
      </c>
      <c r="D1083" s="197" t="s">
        <v>467</v>
      </c>
      <c r="E1083" s="199">
        <v>5.0</v>
      </c>
      <c r="F1083" s="200">
        <v>45950.58333333333</v>
      </c>
      <c r="G1083" s="197" t="s">
        <v>845</v>
      </c>
      <c r="H1083" s="197" t="s">
        <v>853</v>
      </c>
    </row>
    <row r="1084" ht="15.75" customHeight="1">
      <c r="A1084" s="197" t="s">
        <v>59</v>
      </c>
      <c r="B1084" s="197" t="s">
        <v>22</v>
      </c>
      <c r="C1084" s="198" t="s">
        <v>466</v>
      </c>
      <c r="D1084" s="197" t="s">
        <v>467</v>
      </c>
      <c r="E1084" s="199">
        <v>6.0</v>
      </c>
      <c r="F1084" s="200">
        <v>45957.54166666667</v>
      </c>
      <c r="G1084" s="197" t="s">
        <v>845</v>
      </c>
      <c r="H1084" s="197" t="s">
        <v>853</v>
      </c>
    </row>
    <row r="1085" ht="15.75" customHeight="1">
      <c r="A1085" s="197" t="s">
        <v>59</v>
      </c>
      <c r="B1085" s="197" t="s">
        <v>22</v>
      </c>
      <c r="C1085" s="198" t="s">
        <v>466</v>
      </c>
      <c r="D1085" s="197" t="s">
        <v>467</v>
      </c>
      <c r="E1085" s="199">
        <v>7.0</v>
      </c>
      <c r="F1085" s="200">
        <v>45972.58333333333</v>
      </c>
      <c r="G1085" s="197" t="s">
        <v>845</v>
      </c>
      <c r="H1085" s="197" t="s">
        <v>853</v>
      </c>
    </row>
    <row r="1086" ht="15.75" customHeight="1">
      <c r="A1086" s="197" t="s">
        <v>59</v>
      </c>
      <c r="B1086" s="197" t="s">
        <v>22</v>
      </c>
      <c r="C1086" s="198" t="s">
        <v>466</v>
      </c>
      <c r="D1086" s="197" t="s">
        <v>467</v>
      </c>
      <c r="E1086" s="199">
        <v>8.0</v>
      </c>
      <c r="F1086" s="200">
        <v>45980.58333333333</v>
      </c>
      <c r="G1086" s="197" t="s">
        <v>845</v>
      </c>
      <c r="H1086" s="197" t="s">
        <v>853</v>
      </c>
    </row>
    <row r="1087" ht="15.75" customHeight="1">
      <c r="A1087" s="197" t="s">
        <v>59</v>
      </c>
      <c r="B1087" s="197" t="s">
        <v>22</v>
      </c>
      <c r="C1087" s="198" t="s">
        <v>466</v>
      </c>
      <c r="D1087" s="197" t="s">
        <v>467</v>
      </c>
      <c r="E1087" s="199">
        <v>9.0</v>
      </c>
      <c r="F1087" s="200">
        <v>45981.58333333333</v>
      </c>
      <c r="G1087" s="197" t="s">
        <v>845</v>
      </c>
      <c r="H1087" s="197" t="s">
        <v>853</v>
      </c>
    </row>
    <row r="1088" ht="15.75" customHeight="1">
      <c r="A1088" s="197" t="s">
        <v>59</v>
      </c>
      <c r="B1088" s="197" t="s">
        <v>22</v>
      </c>
      <c r="C1088" s="198" t="s">
        <v>466</v>
      </c>
      <c r="D1088" s="197" t="s">
        <v>467</v>
      </c>
      <c r="E1088" s="199">
        <v>10.0</v>
      </c>
      <c r="F1088" s="200">
        <v>45996.58333333333</v>
      </c>
      <c r="G1088" s="197" t="s">
        <v>845</v>
      </c>
      <c r="H1088" s="197" t="s">
        <v>853</v>
      </c>
    </row>
    <row r="1089" ht="15.75" customHeight="1">
      <c r="A1089" s="197" t="s">
        <v>59</v>
      </c>
      <c r="B1089" s="197" t="s">
        <v>22</v>
      </c>
      <c r="C1089" s="198" t="s">
        <v>466</v>
      </c>
      <c r="D1089" s="197" t="s">
        <v>467</v>
      </c>
      <c r="E1089" s="199">
        <v>11.0</v>
      </c>
      <c r="F1089" s="200">
        <v>46006.58333333333</v>
      </c>
      <c r="G1089" s="197" t="s">
        <v>845</v>
      </c>
      <c r="H1089" s="197" t="s">
        <v>853</v>
      </c>
    </row>
    <row r="1090" ht="15.75" customHeight="1">
      <c r="A1090" s="197" t="s">
        <v>59</v>
      </c>
      <c r="B1090" s="197" t="s">
        <v>22</v>
      </c>
      <c r="C1090" s="198" t="s">
        <v>466</v>
      </c>
      <c r="D1090" s="197" t="s">
        <v>467</v>
      </c>
      <c r="E1090" s="199">
        <v>12.0</v>
      </c>
      <c r="F1090" s="200">
        <v>46008.58333333333</v>
      </c>
      <c r="G1090" s="197" t="s">
        <v>845</v>
      </c>
      <c r="H1090" s="197" t="s">
        <v>853</v>
      </c>
    </row>
    <row r="1091" ht="15.75" customHeight="1">
      <c r="A1091" s="197" t="s">
        <v>59</v>
      </c>
      <c r="B1091" s="197" t="s">
        <v>22</v>
      </c>
      <c r="C1091" s="198" t="s">
        <v>466</v>
      </c>
      <c r="D1091" s="197" t="s">
        <v>467</v>
      </c>
      <c r="E1091" s="199">
        <v>13.0</v>
      </c>
      <c r="F1091" s="200">
        <v>46017.54166666667</v>
      </c>
      <c r="G1091" s="197" t="s">
        <v>845</v>
      </c>
      <c r="H1091" s="197" t="s">
        <v>853</v>
      </c>
    </row>
    <row r="1092" ht="15.75" customHeight="1">
      <c r="A1092" s="197" t="s">
        <v>59</v>
      </c>
      <c r="B1092" s="197" t="s">
        <v>22</v>
      </c>
      <c r="C1092" s="198" t="s">
        <v>466</v>
      </c>
      <c r="D1092" s="197" t="s">
        <v>467</v>
      </c>
      <c r="E1092" s="199">
        <v>14.0</v>
      </c>
      <c r="F1092" s="200">
        <v>46021.54166666667</v>
      </c>
      <c r="G1092" s="197" t="s">
        <v>845</v>
      </c>
      <c r="H1092" s="197" t="s">
        <v>853</v>
      </c>
    </row>
    <row r="1093" ht="15.75" customHeight="1">
      <c r="A1093" s="197" t="s">
        <v>59</v>
      </c>
      <c r="B1093" s="197" t="s">
        <v>22</v>
      </c>
      <c r="C1093" s="198" t="s">
        <v>466</v>
      </c>
      <c r="D1093" s="197" t="s">
        <v>467</v>
      </c>
      <c r="E1093" s="199">
        <v>15.0</v>
      </c>
      <c r="F1093" s="200">
        <v>46041.54166666667</v>
      </c>
      <c r="G1093" s="197" t="s">
        <v>845</v>
      </c>
      <c r="H1093" s="197" t="s">
        <v>853</v>
      </c>
    </row>
    <row r="1094" ht="15.75" customHeight="1">
      <c r="A1094" s="197" t="s">
        <v>59</v>
      </c>
      <c r="B1094" s="197" t="s">
        <v>22</v>
      </c>
      <c r="C1094" s="198" t="s">
        <v>466</v>
      </c>
      <c r="D1094" s="197" t="s">
        <v>467</v>
      </c>
      <c r="E1094" s="199">
        <v>16.0</v>
      </c>
      <c r="F1094" s="200">
        <v>46115.54166666667</v>
      </c>
      <c r="G1094" s="197" t="s">
        <v>845</v>
      </c>
      <c r="H1094" s="197" t="s">
        <v>853</v>
      </c>
    </row>
    <row r="1095" ht="15.75" customHeight="1">
      <c r="A1095" s="197" t="s">
        <v>59</v>
      </c>
      <c r="B1095" s="197" t="s">
        <v>21</v>
      </c>
      <c r="C1095" s="198" t="s">
        <v>484</v>
      </c>
      <c r="D1095" s="197" t="s">
        <v>485</v>
      </c>
      <c r="E1095" s="199">
        <v>1.0</v>
      </c>
      <c r="F1095" s="200">
        <v>45663.58333333333</v>
      </c>
      <c r="G1095" s="197" t="s">
        <v>845</v>
      </c>
      <c r="H1095" s="197" t="s">
        <v>853</v>
      </c>
    </row>
    <row r="1096" ht="15.75" customHeight="1">
      <c r="A1096" s="197" t="s">
        <v>59</v>
      </c>
      <c r="B1096" s="197" t="s">
        <v>21</v>
      </c>
      <c r="C1096" s="198" t="s">
        <v>484</v>
      </c>
      <c r="D1096" s="197" t="s">
        <v>485</v>
      </c>
      <c r="E1096" s="199">
        <v>2.0</v>
      </c>
      <c r="F1096" s="200">
        <v>45698.58333333333</v>
      </c>
      <c r="G1096" s="197" t="s">
        <v>845</v>
      </c>
      <c r="H1096" s="197" t="s">
        <v>853</v>
      </c>
    </row>
    <row r="1097" ht="15.75" customHeight="1">
      <c r="A1097" s="197" t="s">
        <v>59</v>
      </c>
      <c r="B1097" s="197" t="s">
        <v>21</v>
      </c>
      <c r="C1097" s="198" t="s">
        <v>484</v>
      </c>
      <c r="D1097" s="197" t="s">
        <v>485</v>
      </c>
      <c r="E1097" s="199">
        <v>3.0</v>
      </c>
      <c r="F1097" s="200">
        <v>45716.58333333333</v>
      </c>
      <c r="G1097" s="197" t="s">
        <v>843</v>
      </c>
      <c r="H1097" s="197" t="s">
        <v>853</v>
      </c>
    </row>
    <row r="1098" ht="15.75" customHeight="1">
      <c r="A1098" s="197" t="s">
        <v>59</v>
      </c>
      <c r="B1098" s="197" t="s">
        <v>21</v>
      </c>
      <c r="C1098" s="198" t="s">
        <v>484</v>
      </c>
      <c r="D1098" s="197" t="s">
        <v>485</v>
      </c>
      <c r="E1098" s="199">
        <v>4.0</v>
      </c>
      <c r="F1098" s="200">
        <v>45762.58333333333</v>
      </c>
      <c r="G1098" s="197" t="s">
        <v>845</v>
      </c>
      <c r="H1098" s="197" t="s">
        <v>853</v>
      </c>
    </row>
    <row r="1099" ht="15.75" customHeight="1">
      <c r="A1099" s="197" t="s">
        <v>59</v>
      </c>
      <c r="B1099" s="197" t="s">
        <v>21</v>
      </c>
      <c r="C1099" s="198" t="s">
        <v>484</v>
      </c>
      <c r="D1099" s="197" t="s">
        <v>485</v>
      </c>
      <c r="E1099" s="199">
        <v>5.0</v>
      </c>
      <c r="F1099" s="200">
        <v>45768.58333333333</v>
      </c>
      <c r="G1099" s="197" t="s">
        <v>845</v>
      </c>
      <c r="H1099" s="197" t="s">
        <v>853</v>
      </c>
    </row>
    <row r="1100" ht="15.75" customHeight="1">
      <c r="A1100" s="197" t="s">
        <v>59</v>
      </c>
      <c r="B1100" s="197" t="s">
        <v>21</v>
      </c>
      <c r="C1100" s="198" t="s">
        <v>484</v>
      </c>
      <c r="D1100" s="197" t="s">
        <v>485</v>
      </c>
      <c r="E1100" s="199">
        <v>6.0</v>
      </c>
      <c r="F1100" s="200">
        <v>45782.54166666667</v>
      </c>
      <c r="G1100" s="197" t="s">
        <v>845</v>
      </c>
      <c r="H1100" s="197" t="s">
        <v>853</v>
      </c>
    </row>
    <row r="1101" ht="15.75" customHeight="1">
      <c r="A1101" s="197" t="s">
        <v>59</v>
      </c>
      <c r="B1101" s="197" t="s">
        <v>21</v>
      </c>
      <c r="C1101" s="198" t="s">
        <v>484</v>
      </c>
      <c r="D1101" s="197" t="s">
        <v>485</v>
      </c>
      <c r="E1101" s="199">
        <v>7.0</v>
      </c>
      <c r="F1101" s="200">
        <v>45806.58333333333</v>
      </c>
      <c r="G1101" s="197" t="s">
        <v>845</v>
      </c>
      <c r="H1101" s="197" t="s">
        <v>853</v>
      </c>
    </row>
    <row r="1102" ht="15.75" customHeight="1">
      <c r="A1102" s="197" t="s">
        <v>59</v>
      </c>
      <c r="B1102" s="197" t="s">
        <v>21</v>
      </c>
      <c r="C1102" s="198" t="s">
        <v>484</v>
      </c>
      <c r="D1102" s="197" t="s">
        <v>485</v>
      </c>
      <c r="E1102" s="199">
        <v>8.0</v>
      </c>
      <c r="F1102" s="200">
        <v>45810.54166666667</v>
      </c>
      <c r="G1102" s="197" t="s">
        <v>845</v>
      </c>
      <c r="H1102" s="197" t="s">
        <v>853</v>
      </c>
    </row>
    <row r="1103" ht="15.75" customHeight="1">
      <c r="A1103" s="197" t="s">
        <v>59</v>
      </c>
      <c r="B1103" s="197" t="s">
        <v>21</v>
      </c>
      <c r="C1103" s="198" t="s">
        <v>484</v>
      </c>
      <c r="D1103" s="197" t="s">
        <v>485</v>
      </c>
      <c r="E1103" s="199">
        <v>9.0</v>
      </c>
      <c r="F1103" s="200">
        <v>45824.58333333333</v>
      </c>
      <c r="G1103" s="197" t="s">
        <v>845</v>
      </c>
      <c r="H1103" s="197" t="s">
        <v>853</v>
      </c>
    </row>
    <row r="1104" ht="15.75" customHeight="1">
      <c r="A1104" s="197" t="s">
        <v>59</v>
      </c>
      <c r="B1104" s="197" t="s">
        <v>21</v>
      </c>
      <c r="C1104" s="198" t="s">
        <v>484</v>
      </c>
      <c r="D1104" s="197" t="s">
        <v>485</v>
      </c>
      <c r="E1104" s="199">
        <v>10.0</v>
      </c>
      <c r="F1104" s="200">
        <v>45852.54166666667</v>
      </c>
      <c r="G1104" s="197" t="s">
        <v>845</v>
      </c>
      <c r="H1104" s="197" t="s">
        <v>853</v>
      </c>
    </row>
    <row r="1105" ht="15.75" customHeight="1">
      <c r="A1105" s="197" t="s">
        <v>59</v>
      </c>
      <c r="B1105" s="197" t="s">
        <v>22</v>
      </c>
      <c r="C1105" s="198" t="s">
        <v>484</v>
      </c>
      <c r="D1105" s="197" t="s">
        <v>485</v>
      </c>
      <c r="E1105" s="199">
        <v>1.0</v>
      </c>
      <c r="F1105" s="200">
        <v>45915.54166666667</v>
      </c>
      <c r="G1105" s="197" t="s">
        <v>845</v>
      </c>
      <c r="H1105" s="197" t="s">
        <v>853</v>
      </c>
    </row>
    <row r="1106" ht="15.75" customHeight="1">
      <c r="A1106" s="197" t="s">
        <v>59</v>
      </c>
      <c r="B1106" s="197" t="s">
        <v>22</v>
      </c>
      <c r="C1106" s="198" t="s">
        <v>484</v>
      </c>
      <c r="D1106" s="197" t="s">
        <v>485</v>
      </c>
      <c r="E1106" s="199">
        <v>2.0</v>
      </c>
      <c r="F1106" s="200">
        <v>45922.58333333333</v>
      </c>
      <c r="G1106" s="197" t="s">
        <v>845</v>
      </c>
      <c r="H1106" s="197" t="s">
        <v>853</v>
      </c>
    </row>
    <row r="1107" ht="15.75" customHeight="1">
      <c r="A1107" s="197" t="s">
        <v>59</v>
      </c>
      <c r="B1107" s="197" t="s">
        <v>22</v>
      </c>
      <c r="C1107" s="198" t="s">
        <v>484</v>
      </c>
      <c r="D1107" s="197" t="s">
        <v>485</v>
      </c>
      <c r="E1107" s="199">
        <v>3.0</v>
      </c>
      <c r="F1107" s="200">
        <v>45929.54166666667</v>
      </c>
      <c r="G1107" s="197" t="s">
        <v>845</v>
      </c>
      <c r="H1107" s="197" t="s">
        <v>853</v>
      </c>
    </row>
    <row r="1108" ht="15.75" customHeight="1">
      <c r="A1108" s="197" t="s">
        <v>59</v>
      </c>
      <c r="B1108" s="197" t="s">
        <v>22</v>
      </c>
      <c r="C1108" s="198" t="s">
        <v>484</v>
      </c>
      <c r="D1108" s="197" t="s">
        <v>485</v>
      </c>
      <c r="E1108" s="199">
        <v>4.0</v>
      </c>
      <c r="F1108" s="200">
        <v>45943.54166666667</v>
      </c>
      <c r="G1108" s="197" t="s">
        <v>843</v>
      </c>
      <c r="H1108" s="197" t="s">
        <v>853</v>
      </c>
    </row>
    <row r="1109" ht="15.75" customHeight="1">
      <c r="A1109" s="197" t="s">
        <v>59</v>
      </c>
      <c r="B1109" s="197" t="s">
        <v>22</v>
      </c>
      <c r="C1109" s="198" t="s">
        <v>484</v>
      </c>
      <c r="D1109" s="197" t="s">
        <v>485</v>
      </c>
      <c r="E1109" s="199">
        <v>5.0</v>
      </c>
      <c r="F1109" s="200">
        <v>45950.58333333333</v>
      </c>
      <c r="G1109" s="197" t="s">
        <v>845</v>
      </c>
      <c r="H1109" s="197" t="s">
        <v>853</v>
      </c>
    </row>
    <row r="1110" ht="15.75" customHeight="1">
      <c r="A1110" s="197" t="s">
        <v>59</v>
      </c>
      <c r="B1110" s="197" t="s">
        <v>22</v>
      </c>
      <c r="C1110" s="198" t="s">
        <v>484</v>
      </c>
      <c r="D1110" s="197" t="s">
        <v>485</v>
      </c>
      <c r="E1110" s="199">
        <v>6.0</v>
      </c>
      <c r="F1110" s="200">
        <v>45957.54166666667</v>
      </c>
      <c r="G1110" s="197" t="s">
        <v>845</v>
      </c>
      <c r="H1110" s="197" t="s">
        <v>853</v>
      </c>
    </row>
    <row r="1111" ht="15.75" customHeight="1">
      <c r="A1111" s="197" t="s">
        <v>59</v>
      </c>
      <c r="B1111" s="197" t="s">
        <v>22</v>
      </c>
      <c r="C1111" s="198" t="s">
        <v>484</v>
      </c>
      <c r="D1111" s="197" t="s">
        <v>485</v>
      </c>
      <c r="E1111" s="199">
        <v>7.0</v>
      </c>
      <c r="F1111" s="200">
        <v>45972.58333333333</v>
      </c>
      <c r="G1111" s="197" t="s">
        <v>845</v>
      </c>
      <c r="H1111" s="197" t="s">
        <v>853</v>
      </c>
    </row>
    <row r="1112" ht="15.75" customHeight="1">
      <c r="A1112" s="197" t="s">
        <v>59</v>
      </c>
      <c r="B1112" s="197" t="s">
        <v>22</v>
      </c>
      <c r="C1112" s="198" t="s">
        <v>484</v>
      </c>
      <c r="D1112" s="197" t="s">
        <v>485</v>
      </c>
      <c r="E1112" s="199">
        <v>8.0</v>
      </c>
      <c r="F1112" s="200">
        <v>45980.58333333333</v>
      </c>
      <c r="G1112" s="197" t="s">
        <v>845</v>
      </c>
      <c r="H1112" s="197" t="s">
        <v>853</v>
      </c>
    </row>
    <row r="1113" ht="15.75" customHeight="1">
      <c r="A1113" s="197" t="s">
        <v>59</v>
      </c>
      <c r="B1113" s="197" t="s">
        <v>22</v>
      </c>
      <c r="C1113" s="198" t="s">
        <v>484</v>
      </c>
      <c r="D1113" s="197" t="s">
        <v>485</v>
      </c>
      <c r="E1113" s="199">
        <v>9.0</v>
      </c>
      <c r="F1113" s="200">
        <v>45981.58333333333</v>
      </c>
      <c r="G1113" s="197" t="s">
        <v>845</v>
      </c>
      <c r="H1113" s="197" t="s">
        <v>853</v>
      </c>
    </row>
    <row r="1114" ht="15.75" customHeight="1">
      <c r="A1114" s="197" t="s">
        <v>59</v>
      </c>
      <c r="B1114" s="197" t="s">
        <v>22</v>
      </c>
      <c r="C1114" s="198" t="s">
        <v>484</v>
      </c>
      <c r="D1114" s="197" t="s">
        <v>485</v>
      </c>
      <c r="E1114" s="199">
        <v>10.0</v>
      </c>
      <c r="F1114" s="200">
        <v>45996.58333333333</v>
      </c>
      <c r="G1114" s="197" t="s">
        <v>845</v>
      </c>
      <c r="H1114" s="197" t="s">
        <v>853</v>
      </c>
    </row>
    <row r="1115" ht="15.75" customHeight="1">
      <c r="A1115" s="197" t="s">
        <v>59</v>
      </c>
      <c r="B1115" s="197" t="s">
        <v>22</v>
      </c>
      <c r="C1115" s="198" t="s">
        <v>484</v>
      </c>
      <c r="D1115" s="197" t="s">
        <v>485</v>
      </c>
      <c r="E1115" s="199">
        <v>11.0</v>
      </c>
      <c r="F1115" s="200">
        <v>46006.58333333333</v>
      </c>
      <c r="G1115" s="197" t="s">
        <v>845</v>
      </c>
      <c r="H1115" s="197" t="s">
        <v>853</v>
      </c>
    </row>
    <row r="1116" ht="15.75" customHeight="1">
      <c r="A1116" s="197" t="s">
        <v>59</v>
      </c>
      <c r="B1116" s="197" t="s">
        <v>22</v>
      </c>
      <c r="C1116" s="198" t="s">
        <v>484</v>
      </c>
      <c r="D1116" s="197" t="s">
        <v>485</v>
      </c>
      <c r="E1116" s="199">
        <v>12.0</v>
      </c>
      <c r="F1116" s="200">
        <v>46008.58333333333</v>
      </c>
      <c r="G1116" s="197" t="s">
        <v>845</v>
      </c>
      <c r="H1116" s="197" t="s">
        <v>853</v>
      </c>
    </row>
    <row r="1117" ht="15.75" customHeight="1">
      <c r="A1117" s="197" t="s">
        <v>59</v>
      </c>
      <c r="B1117" s="197" t="s">
        <v>22</v>
      </c>
      <c r="C1117" s="198" t="s">
        <v>484</v>
      </c>
      <c r="D1117" s="197" t="s">
        <v>485</v>
      </c>
      <c r="E1117" s="199">
        <v>13.0</v>
      </c>
      <c r="F1117" s="200">
        <v>46017.54166666667</v>
      </c>
      <c r="G1117" s="197" t="s">
        <v>845</v>
      </c>
      <c r="H1117" s="197" t="s">
        <v>853</v>
      </c>
    </row>
    <row r="1118" ht="15.75" customHeight="1">
      <c r="A1118" s="197" t="s">
        <v>59</v>
      </c>
      <c r="B1118" s="197" t="s">
        <v>22</v>
      </c>
      <c r="C1118" s="198" t="s">
        <v>484</v>
      </c>
      <c r="D1118" s="197" t="s">
        <v>485</v>
      </c>
      <c r="E1118" s="199">
        <v>14.0</v>
      </c>
      <c r="F1118" s="200">
        <v>46021.54166666667</v>
      </c>
      <c r="G1118" s="197" t="s">
        <v>843</v>
      </c>
      <c r="H1118" s="197" t="s">
        <v>853</v>
      </c>
    </row>
    <row r="1119" ht="15.75" customHeight="1">
      <c r="A1119" s="197" t="s">
        <v>59</v>
      </c>
      <c r="B1119" s="197" t="s">
        <v>22</v>
      </c>
      <c r="C1119" s="198" t="s">
        <v>484</v>
      </c>
      <c r="D1119" s="197" t="s">
        <v>485</v>
      </c>
      <c r="E1119" s="199">
        <v>15.0</v>
      </c>
      <c r="F1119" s="200">
        <v>46041.54166666667</v>
      </c>
      <c r="G1119" s="197" t="s">
        <v>843</v>
      </c>
      <c r="H1119" s="197" t="s">
        <v>853</v>
      </c>
    </row>
    <row r="1120" ht="15.75" customHeight="1">
      <c r="A1120" s="197" t="s">
        <v>59</v>
      </c>
      <c r="B1120" s="197" t="s">
        <v>22</v>
      </c>
      <c r="C1120" s="198" t="s">
        <v>484</v>
      </c>
      <c r="D1120" s="197" t="s">
        <v>485</v>
      </c>
      <c r="E1120" s="199">
        <v>16.0</v>
      </c>
      <c r="F1120" s="200">
        <v>46115.54166666667</v>
      </c>
      <c r="G1120" s="197" t="s">
        <v>843</v>
      </c>
      <c r="H1120" s="197" t="s">
        <v>853</v>
      </c>
    </row>
    <row r="1121" ht="15.75" customHeight="1">
      <c r="A1121" s="197" t="s">
        <v>59</v>
      </c>
      <c r="B1121" s="197" t="s">
        <v>22</v>
      </c>
      <c r="C1121" s="198" t="s">
        <v>547</v>
      </c>
      <c r="D1121" s="197" t="s">
        <v>548</v>
      </c>
      <c r="E1121" s="199">
        <v>1.0</v>
      </c>
      <c r="F1121" s="200">
        <v>45915.54166666667</v>
      </c>
      <c r="G1121" s="197" t="s">
        <v>845</v>
      </c>
      <c r="H1121" s="197" t="s">
        <v>853</v>
      </c>
    </row>
    <row r="1122" ht="15.75" customHeight="1">
      <c r="A1122" s="197" t="s">
        <v>59</v>
      </c>
      <c r="B1122" s="197" t="s">
        <v>22</v>
      </c>
      <c r="C1122" s="198" t="s">
        <v>547</v>
      </c>
      <c r="D1122" s="197" t="s">
        <v>548</v>
      </c>
      <c r="E1122" s="199">
        <v>2.0</v>
      </c>
      <c r="F1122" s="200">
        <v>45922.58333333333</v>
      </c>
      <c r="G1122" s="197" t="s">
        <v>845</v>
      </c>
      <c r="H1122" s="197" t="s">
        <v>853</v>
      </c>
    </row>
    <row r="1123" ht="15.75" customHeight="1">
      <c r="A1123" s="197" t="s">
        <v>59</v>
      </c>
      <c r="B1123" s="197" t="s">
        <v>22</v>
      </c>
      <c r="C1123" s="198" t="s">
        <v>547</v>
      </c>
      <c r="D1123" s="197" t="s">
        <v>548</v>
      </c>
      <c r="E1123" s="199">
        <v>3.0</v>
      </c>
      <c r="F1123" s="200">
        <v>45929.54166666667</v>
      </c>
      <c r="G1123" s="197" t="s">
        <v>845</v>
      </c>
      <c r="H1123" s="197" t="s">
        <v>853</v>
      </c>
    </row>
    <row r="1124" ht="15.75" customHeight="1">
      <c r="A1124" s="197" t="s">
        <v>59</v>
      </c>
      <c r="B1124" s="197" t="s">
        <v>22</v>
      </c>
      <c r="C1124" s="198" t="s">
        <v>547</v>
      </c>
      <c r="D1124" s="197" t="s">
        <v>548</v>
      </c>
      <c r="E1124" s="199">
        <v>4.0</v>
      </c>
      <c r="F1124" s="200">
        <v>45943.54166666667</v>
      </c>
      <c r="G1124" s="197" t="s">
        <v>843</v>
      </c>
      <c r="H1124" s="197" t="s">
        <v>853</v>
      </c>
    </row>
    <row r="1125" ht="15.75" customHeight="1">
      <c r="A1125" s="197" t="s">
        <v>59</v>
      </c>
      <c r="B1125" s="197" t="s">
        <v>22</v>
      </c>
      <c r="C1125" s="198" t="s">
        <v>547</v>
      </c>
      <c r="D1125" s="197" t="s">
        <v>548</v>
      </c>
      <c r="E1125" s="199">
        <v>5.0</v>
      </c>
      <c r="F1125" s="200">
        <v>45950.58333333333</v>
      </c>
      <c r="G1125" s="197" t="s">
        <v>845</v>
      </c>
      <c r="H1125" s="197" t="s">
        <v>853</v>
      </c>
    </row>
    <row r="1126" ht="15.75" customHeight="1">
      <c r="A1126" s="197" t="s">
        <v>59</v>
      </c>
      <c r="B1126" s="197" t="s">
        <v>22</v>
      </c>
      <c r="C1126" s="198" t="s">
        <v>547</v>
      </c>
      <c r="D1126" s="197" t="s">
        <v>548</v>
      </c>
      <c r="E1126" s="199">
        <v>6.0</v>
      </c>
      <c r="F1126" s="200">
        <v>45957.54166666667</v>
      </c>
      <c r="G1126" s="197" t="s">
        <v>845</v>
      </c>
      <c r="H1126" s="197" t="s">
        <v>853</v>
      </c>
    </row>
    <row r="1127" ht="15.75" customHeight="1">
      <c r="A1127" s="197" t="s">
        <v>59</v>
      </c>
      <c r="B1127" s="197" t="s">
        <v>22</v>
      </c>
      <c r="C1127" s="198" t="s">
        <v>547</v>
      </c>
      <c r="D1127" s="197" t="s">
        <v>548</v>
      </c>
      <c r="E1127" s="199">
        <v>7.0</v>
      </c>
      <c r="F1127" s="200">
        <v>45972.58333333333</v>
      </c>
      <c r="G1127" s="197" t="s">
        <v>845</v>
      </c>
      <c r="H1127" s="197" t="s">
        <v>853</v>
      </c>
    </row>
    <row r="1128" ht="15.75" customHeight="1">
      <c r="A1128" s="197" t="s">
        <v>59</v>
      </c>
      <c r="B1128" s="197" t="s">
        <v>22</v>
      </c>
      <c r="C1128" s="198" t="s">
        <v>547</v>
      </c>
      <c r="D1128" s="197" t="s">
        <v>548</v>
      </c>
      <c r="E1128" s="199">
        <v>8.0</v>
      </c>
      <c r="F1128" s="200">
        <v>45980.58333333333</v>
      </c>
      <c r="G1128" s="197" t="s">
        <v>845</v>
      </c>
      <c r="H1128" s="197" t="s">
        <v>853</v>
      </c>
    </row>
    <row r="1129" ht="15.75" customHeight="1">
      <c r="A1129" s="197" t="s">
        <v>59</v>
      </c>
      <c r="B1129" s="197" t="s">
        <v>22</v>
      </c>
      <c r="C1129" s="198" t="s">
        <v>547</v>
      </c>
      <c r="D1129" s="197" t="s">
        <v>548</v>
      </c>
      <c r="E1129" s="199">
        <v>9.0</v>
      </c>
      <c r="F1129" s="200">
        <v>45981.58333333333</v>
      </c>
      <c r="G1129" s="197" t="s">
        <v>845</v>
      </c>
      <c r="H1129" s="197" t="s">
        <v>853</v>
      </c>
    </row>
    <row r="1130" ht="15.75" customHeight="1">
      <c r="A1130" s="197" t="s">
        <v>59</v>
      </c>
      <c r="B1130" s="197" t="s">
        <v>22</v>
      </c>
      <c r="C1130" s="198" t="s">
        <v>547</v>
      </c>
      <c r="D1130" s="197" t="s">
        <v>548</v>
      </c>
      <c r="E1130" s="199">
        <v>10.0</v>
      </c>
      <c r="F1130" s="200">
        <v>45996.58333333333</v>
      </c>
      <c r="G1130" s="197" t="s">
        <v>845</v>
      </c>
      <c r="H1130" s="197" t="s">
        <v>853</v>
      </c>
    </row>
    <row r="1131" ht="15.75" customHeight="1">
      <c r="A1131" s="197" t="s">
        <v>59</v>
      </c>
      <c r="B1131" s="197" t="s">
        <v>22</v>
      </c>
      <c r="C1131" s="198" t="s">
        <v>547</v>
      </c>
      <c r="D1131" s="197" t="s">
        <v>548</v>
      </c>
      <c r="E1131" s="199">
        <v>11.0</v>
      </c>
      <c r="F1131" s="200">
        <v>46006.58333333333</v>
      </c>
      <c r="G1131" s="197" t="s">
        <v>845</v>
      </c>
      <c r="H1131" s="197" t="s">
        <v>853</v>
      </c>
    </row>
    <row r="1132" ht="15.75" customHeight="1">
      <c r="A1132" s="197" t="s">
        <v>59</v>
      </c>
      <c r="B1132" s="197" t="s">
        <v>22</v>
      </c>
      <c r="C1132" s="198" t="s">
        <v>547</v>
      </c>
      <c r="D1132" s="197" t="s">
        <v>548</v>
      </c>
      <c r="E1132" s="199">
        <v>12.0</v>
      </c>
      <c r="F1132" s="200">
        <v>46008.58333333333</v>
      </c>
      <c r="G1132" s="197" t="s">
        <v>845</v>
      </c>
      <c r="H1132" s="197" t="s">
        <v>853</v>
      </c>
    </row>
    <row r="1133" ht="15.75" customHeight="1">
      <c r="A1133" s="197" t="s">
        <v>59</v>
      </c>
      <c r="B1133" s="197" t="s">
        <v>22</v>
      </c>
      <c r="C1133" s="198" t="s">
        <v>547</v>
      </c>
      <c r="D1133" s="197" t="s">
        <v>548</v>
      </c>
      <c r="E1133" s="199">
        <v>13.0</v>
      </c>
      <c r="F1133" s="200">
        <v>46017.54166666667</v>
      </c>
      <c r="G1133" s="197" t="s">
        <v>843</v>
      </c>
      <c r="H1133" s="197" t="s">
        <v>853</v>
      </c>
    </row>
    <row r="1134" ht="15.75" customHeight="1">
      <c r="A1134" s="197" t="s">
        <v>59</v>
      </c>
      <c r="B1134" s="197" t="s">
        <v>22</v>
      </c>
      <c r="C1134" s="198" t="s">
        <v>547</v>
      </c>
      <c r="D1134" s="197" t="s">
        <v>548</v>
      </c>
      <c r="E1134" s="199">
        <v>14.0</v>
      </c>
      <c r="F1134" s="200">
        <v>46021.54166666667</v>
      </c>
      <c r="G1134" s="197" t="s">
        <v>845</v>
      </c>
      <c r="H1134" s="197" t="s">
        <v>853</v>
      </c>
    </row>
    <row r="1135" ht="15.75" customHeight="1">
      <c r="A1135" s="197" t="s">
        <v>59</v>
      </c>
      <c r="B1135" s="197" t="s">
        <v>22</v>
      </c>
      <c r="C1135" s="198" t="s">
        <v>547</v>
      </c>
      <c r="D1135" s="197" t="s">
        <v>548</v>
      </c>
      <c r="E1135" s="199">
        <v>15.0</v>
      </c>
      <c r="F1135" s="200">
        <v>46041.54166666667</v>
      </c>
      <c r="G1135" s="197" t="s">
        <v>845</v>
      </c>
      <c r="H1135" s="197" t="s">
        <v>853</v>
      </c>
    </row>
    <row r="1136" ht="15.75" customHeight="1">
      <c r="A1136" s="197" t="s">
        <v>59</v>
      </c>
      <c r="B1136" s="197" t="s">
        <v>22</v>
      </c>
      <c r="C1136" s="198" t="s">
        <v>547</v>
      </c>
      <c r="D1136" s="197" t="s">
        <v>548</v>
      </c>
      <c r="E1136" s="199">
        <v>16.0</v>
      </c>
      <c r="F1136" s="200">
        <v>46115.54166666667</v>
      </c>
      <c r="G1136" s="197" t="s">
        <v>845</v>
      </c>
      <c r="H1136" s="197" t="s">
        <v>853</v>
      </c>
    </row>
    <row r="1137" ht="15.75" customHeight="1">
      <c r="A1137" s="197" t="s">
        <v>60</v>
      </c>
      <c r="B1137" s="197" t="s">
        <v>22</v>
      </c>
      <c r="C1137" s="198" t="s">
        <v>140</v>
      </c>
      <c r="D1137" s="197" t="s">
        <v>141</v>
      </c>
      <c r="E1137" s="199">
        <v>1.0</v>
      </c>
      <c r="F1137" s="200">
        <v>45853.375</v>
      </c>
      <c r="G1137" s="197" t="s">
        <v>845</v>
      </c>
      <c r="H1137" s="197" t="s">
        <v>854</v>
      </c>
    </row>
    <row r="1138" ht="15.75" customHeight="1">
      <c r="A1138" s="197" t="s">
        <v>60</v>
      </c>
      <c r="B1138" s="197" t="s">
        <v>22</v>
      </c>
      <c r="C1138" s="198" t="s">
        <v>140</v>
      </c>
      <c r="D1138" s="197" t="s">
        <v>141</v>
      </c>
      <c r="E1138" s="199">
        <v>2.0</v>
      </c>
      <c r="F1138" s="200">
        <v>45853.45833333333</v>
      </c>
      <c r="G1138" s="197" t="s">
        <v>845</v>
      </c>
      <c r="H1138" s="197" t="s">
        <v>854</v>
      </c>
    </row>
    <row r="1139" ht="15.75" customHeight="1">
      <c r="A1139" s="197" t="s">
        <v>60</v>
      </c>
      <c r="B1139" s="197" t="s">
        <v>22</v>
      </c>
      <c r="C1139" s="198" t="s">
        <v>140</v>
      </c>
      <c r="D1139" s="197" t="s">
        <v>141</v>
      </c>
      <c r="E1139" s="199">
        <v>3.0</v>
      </c>
      <c r="F1139" s="200">
        <v>45888.375</v>
      </c>
      <c r="G1139" s="197" t="s">
        <v>845</v>
      </c>
      <c r="H1139" s="197" t="s">
        <v>854</v>
      </c>
    </row>
    <row r="1140" ht="15.75" customHeight="1">
      <c r="A1140" s="197" t="s">
        <v>60</v>
      </c>
      <c r="B1140" s="197" t="s">
        <v>22</v>
      </c>
      <c r="C1140" s="198" t="s">
        <v>140</v>
      </c>
      <c r="D1140" s="197" t="s">
        <v>141</v>
      </c>
      <c r="E1140" s="199">
        <v>4.0</v>
      </c>
      <c r="F1140" s="200">
        <v>45895.45833333333</v>
      </c>
      <c r="G1140" s="197" t="s">
        <v>845</v>
      </c>
      <c r="H1140" s="197" t="s">
        <v>854</v>
      </c>
    </row>
    <row r="1141" ht="15.75" customHeight="1">
      <c r="A1141" s="197" t="s">
        <v>60</v>
      </c>
      <c r="B1141" s="197" t="s">
        <v>21</v>
      </c>
      <c r="C1141" s="198" t="s">
        <v>216</v>
      </c>
      <c r="D1141" s="197" t="s">
        <v>217</v>
      </c>
      <c r="E1141" s="199">
        <v>1.0</v>
      </c>
      <c r="F1141" s="200">
        <v>45644.375</v>
      </c>
      <c r="G1141" s="197" t="s">
        <v>845</v>
      </c>
      <c r="H1141" s="197" t="s">
        <v>854</v>
      </c>
    </row>
    <row r="1142" ht="15.75" customHeight="1">
      <c r="A1142" s="197" t="s">
        <v>60</v>
      </c>
      <c r="B1142" s="197" t="s">
        <v>21</v>
      </c>
      <c r="C1142" s="198" t="s">
        <v>216</v>
      </c>
      <c r="D1142" s="197" t="s">
        <v>217</v>
      </c>
      <c r="E1142" s="199">
        <v>2.0</v>
      </c>
      <c r="F1142" s="200">
        <v>45652.375</v>
      </c>
      <c r="G1142" s="197" t="s">
        <v>845</v>
      </c>
      <c r="H1142" s="197" t="s">
        <v>854</v>
      </c>
    </row>
    <row r="1143" ht="15.75" customHeight="1">
      <c r="A1143" s="197" t="s">
        <v>60</v>
      </c>
      <c r="B1143" s="197" t="s">
        <v>21</v>
      </c>
      <c r="C1143" s="198" t="s">
        <v>216</v>
      </c>
      <c r="D1143" s="197" t="s">
        <v>217</v>
      </c>
      <c r="E1143" s="199">
        <v>3.0</v>
      </c>
      <c r="F1143" s="200">
        <v>45659.375</v>
      </c>
      <c r="G1143" s="197" t="s">
        <v>845</v>
      </c>
      <c r="H1143" s="197" t="s">
        <v>854</v>
      </c>
    </row>
    <row r="1144" ht="15.75" customHeight="1">
      <c r="A1144" s="197" t="s">
        <v>60</v>
      </c>
      <c r="B1144" s="197" t="s">
        <v>21</v>
      </c>
      <c r="C1144" s="198" t="s">
        <v>216</v>
      </c>
      <c r="D1144" s="197" t="s">
        <v>217</v>
      </c>
      <c r="E1144" s="199">
        <v>4.0</v>
      </c>
      <c r="F1144" s="200">
        <v>45671.375</v>
      </c>
      <c r="G1144" s="197" t="s">
        <v>845</v>
      </c>
      <c r="H1144" s="197" t="s">
        <v>854</v>
      </c>
    </row>
    <row r="1145" ht="15.75" customHeight="1">
      <c r="A1145" s="197" t="s">
        <v>60</v>
      </c>
      <c r="B1145" s="197" t="s">
        <v>21</v>
      </c>
      <c r="C1145" s="198" t="s">
        <v>216</v>
      </c>
      <c r="D1145" s="197" t="s">
        <v>217</v>
      </c>
      <c r="E1145" s="199">
        <v>5.0</v>
      </c>
      <c r="F1145" s="200">
        <v>45694.375</v>
      </c>
      <c r="G1145" s="197" t="s">
        <v>845</v>
      </c>
      <c r="H1145" s="197" t="s">
        <v>854</v>
      </c>
    </row>
    <row r="1146" ht="15.75" customHeight="1">
      <c r="A1146" s="197" t="s">
        <v>60</v>
      </c>
      <c r="B1146" s="197" t="s">
        <v>21</v>
      </c>
      <c r="C1146" s="198" t="s">
        <v>216</v>
      </c>
      <c r="D1146" s="197" t="s">
        <v>217</v>
      </c>
      <c r="E1146" s="199">
        <v>6.0</v>
      </c>
      <c r="F1146" s="200">
        <v>45701.375</v>
      </c>
      <c r="G1146" s="197" t="s">
        <v>845</v>
      </c>
      <c r="H1146" s="197" t="s">
        <v>854</v>
      </c>
    </row>
    <row r="1147" ht="15.75" customHeight="1">
      <c r="A1147" s="197" t="s">
        <v>60</v>
      </c>
      <c r="B1147" s="197" t="s">
        <v>21</v>
      </c>
      <c r="C1147" s="198" t="s">
        <v>216</v>
      </c>
      <c r="D1147" s="197" t="s">
        <v>217</v>
      </c>
      <c r="E1147" s="199">
        <v>7.0</v>
      </c>
      <c r="F1147" s="200">
        <v>45707.45833333333</v>
      </c>
      <c r="G1147" s="197" t="s">
        <v>845</v>
      </c>
      <c r="H1147" s="197" t="s">
        <v>854</v>
      </c>
    </row>
    <row r="1148" ht="15.75" customHeight="1">
      <c r="A1148" s="197" t="s">
        <v>60</v>
      </c>
      <c r="B1148" s="197" t="s">
        <v>21</v>
      </c>
      <c r="C1148" s="198" t="s">
        <v>216</v>
      </c>
      <c r="D1148" s="197" t="s">
        <v>217</v>
      </c>
      <c r="E1148" s="199">
        <v>8.0</v>
      </c>
      <c r="F1148" s="200">
        <v>45715.375</v>
      </c>
      <c r="G1148" s="197" t="s">
        <v>843</v>
      </c>
      <c r="H1148" s="197" t="s">
        <v>854</v>
      </c>
    </row>
    <row r="1149" ht="15.75" customHeight="1">
      <c r="A1149" s="197" t="s">
        <v>60</v>
      </c>
      <c r="B1149" s="197" t="s">
        <v>21</v>
      </c>
      <c r="C1149" s="198" t="s">
        <v>216</v>
      </c>
      <c r="D1149" s="197" t="s">
        <v>217</v>
      </c>
      <c r="E1149" s="199">
        <v>9.0</v>
      </c>
      <c r="F1149" s="200">
        <v>45762.45833333333</v>
      </c>
      <c r="G1149" s="197" t="s">
        <v>845</v>
      </c>
      <c r="H1149" s="197" t="s">
        <v>854</v>
      </c>
    </row>
    <row r="1150" ht="15.75" customHeight="1">
      <c r="A1150" s="197" t="s">
        <v>60</v>
      </c>
      <c r="B1150" s="197" t="s">
        <v>21</v>
      </c>
      <c r="C1150" s="198" t="s">
        <v>216</v>
      </c>
      <c r="D1150" s="197" t="s">
        <v>217</v>
      </c>
      <c r="E1150" s="199">
        <v>10.0</v>
      </c>
      <c r="F1150" s="200">
        <v>45799.375</v>
      </c>
      <c r="G1150" s="197" t="s">
        <v>845</v>
      </c>
      <c r="H1150" s="197" t="s">
        <v>854</v>
      </c>
    </row>
    <row r="1151" ht="15.75" customHeight="1">
      <c r="A1151" s="197" t="s">
        <v>60</v>
      </c>
      <c r="B1151" s="197" t="s">
        <v>22</v>
      </c>
      <c r="C1151" s="198" t="s">
        <v>216</v>
      </c>
      <c r="D1151" s="197" t="s">
        <v>217</v>
      </c>
      <c r="E1151" s="199">
        <v>1.0</v>
      </c>
      <c r="F1151" s="200">
        <v>45853.375</v>
      </c>
      <c r="G1151" s="197" t="s">
        <v>845</v>
      </c>
      <c r="H1151" s="197" t="s">
        <v>854</v>
      </c>
    </row>
    <row r="1152" ht="15.75" customHeight="1">
      <c r="A1152" s="197" t="s">
        <v>60</v>
      </c>
      <c r="B1152" s="197" t="s">
        <v>22</v>
      </c>
      <c r="C1152" s="198" t="s">
        <v>216</v>
      </c>
      <c r="D1152" s="197" t="s">
        <v>217</v>
      </c>
      <c r="E1152" s="199">
        <v>2.0</v>
      </c>
      <c r="F1152" s="200">
        <v>45853.45833333333</v>
      </c>
      <c r="G1152" s="197" t="s">
        <v>845</v>
      </c>
      <c r="H1152" s="197" t="s">
        <v>854</v>
      </c>
    </row>
    <row r="1153" ht="15.75" customHeight="1">
      <c r="A1153" s="197" t="s">
        <v>60</v>
      </c>
      <c r="B1153" s="197" t="s">
        <v>22</v>
      </c>
      <c r="C1153" s="198" t="s">
        <v>216</v>
      </c>
      <c r="D1153" s="197" t="s">
        <v>217</v>
      </c>
      <c r="E1153" s="199">
        <v>3.0</v>
      </c>
      <c r="F1153" s="200">
        <v>45888.375</v>
      </c>
      <c r="G1153" s="197" t="s">
        <v>845</v>
      </c>
      <c r="H1153" s="197" t="s">
        <v>854</v>
      </c>
    </row>
    <row r="1154" ht="15.75" customHeight="1">
      <c r="A1154" s="197" t="s">
        <v>60</v>
      </c>
      <c r="B1154" s="197" t="s">
        <v>22</v>
      </c>
      <c r="C1154" s="198" t="s">
        <v>216</v>
      </c>
      <c r="D1154" s="197" t="s">
        <v>217</v>
      </c>
      <c r="E1154" s="199">
        <v>4.0</v>
      </c>
      <c r="F1154" s="200">
        <v>45895.45833333333</v>
      </c>
      <c r="G1154" s="197" t="s">
        <v>845</v>
      </c>
      <c r="H1154" s="197" t="s">
        <v>854</v>
      </c>
    </row>
    <row r="1155" ht="15.75" customHeight="1">
      <c r="A1155" s="197" t="s">
        <v>60</v>
      </c>
      <c r="B1155" s="197" t="s">
        <v>21</v>
      </c>
      <c r="C1155" s="198" t="s">
        <v>232</v>
      </c>
      <c r="D1155" s="197" t="s">
        <v>233</v>
      </c>
      <c r="E1155" s="199">
        <v>1.0</v>
      </c>
      <c r="F1155" s="200">
        <v>45644.375</v>
      </c>
      <c r="G1155" s="197" t="s">
        <v>845</v>
      </c>
      <c r="H1155" s="197" t="s">
        <v>854</v>
      </c>
    </row>
    <row r="1156" ht="15.75" customHeight="1">
      <c r="A1156" s="197" t="s">
        <v>60</v>
      </c>
      <c r="B1156" s="197" t="s">
        <v>21</v>
      </c>
      <c r="C1156" s="198" t="s">
        <v>232</v>
      </c>
      <c r="D1156" s="197" t="s">
        <v>233</v>
      </c>
      <c r="E1156" s="199">
        <v>2.0</v>
      </c>
      <c r="F1156" s="200">
        <v>45652.375</v>
      </c>
      <c r="G1156" s="197" t="s">
        <v>845</v>
      </c>
      <c r="H1156" s="197" t="s">
        <v>854</v>
      </c>
    </row>
    <row r="1157" ht="15.75" customHeight="1">
      <c r="A1157" s="197" t="s">
        <v>60</v>
      </c>
      <c r="B1157" s="197" t="s">
        <v>21</v>
      </c>
      <c r="C1157" s="198" t="s">
        <v>232</v>
      </c>
      <c r="D1157" s="197" t="s">
        <v>233</v>
      </c>
      <c r="E1157" s="199">
        <v>3.0</v>
      </c>
      <c r="F1157" s="200">
        <v>45659.375</v>
      </c>
      <c r="G1157" s="197" t="s">
        <v>845</v>
      </c>
      <c r="H1157" s="197" t="s">
        <v>854</v>
      </c>
    </row>
    <row r="1158" ht="15.75" customHeight="1">
      <c r="A1158" s="197" t="s">
        <v>60</v>
      </c>
      <c r="B1158" s="197" t="s">
        <v>21</v>
      </c>
      <c r="C1158" s="198" t="s">
        <v>232</v>
      </c>
      <c r="D1158" s="197" t="s">
        <v>233</v>
      </c>
      <c r="E1158" s="199">
        <v>4.0</v>
      </c>
      <c r="F1158" s="200">
        <v>45671.375</v>
      </c>
      <c r="G1158" s="197" t="s">
        <v>845</v>
      </c>
      <c r="H1158" s="197" t="s">
        <v>854</v>
      </c>
    </row>
    <row r="1159" ht="15.75" customHeight="1">
      <c r="A1159" s="197" t="s">
        <v>60</v>
      </c>
      <c r="B1159" s="197" t="s">
        <v>21</v>
      </c>
      <c r="C1159" s="198" t="s">
        <v>232</v>
      </c>
      <c r="D1159" s="197" t="s">
        <v>233</v>
      </c>
      <c r="E1159" s="199">
        <v>5.0</v>
      </c>
      <c r="F1159" s="200">
        <v>45694.375</v>
      </c>
      <c r="G1159" s="197" t="s">
        <v>845</v>
      </c>
      <c r="H1159" s="197" t="s">
        <v>854</v>
      </c>
    </row>
    <row r="1160" ht="15.75" customHeight="1">
      <c r="A1160" s="197" t="s">
        <v>60</v>
      </c>
      <c r="B1160" s="197" t="s">
        <v>21</v>
      </c>
      <c r="C1160" s="198" t="s">
        <v>232</v>
      </c>
      <c r="D1160" s="197" t="s">
        <v>233</v>
      </c>
      <c r="E1160" s="199">
        <v>6.0</v>
      </c>
      <c r="F1160" s="200">
        <v>45701.375</v>
      </c>
      <c r="G1160" s="197" t="s">
        <v>845</v>
      </c>
      <c r="H1160" s="197" t="s">
        <v>854</v>
      </c>
    </row>
    <row r="1161" ht="15.75" customHeight="1">
      <c r="A1161" s="197" t="s">
        <v>60</v>
      </c>
      <c r="B1161" s="197" t="s">
        <v>21</v>
      </c>
      <c r="C1161" s="198" t="s">
        <v>232</v>
      </c>
      <c r="D1161" s="197" t="s">
        <v>233</v>
      </c>
      <c r="E1161" s="199">
        <v>7.0</v>
      </c>
      <c r="F1161" s="200">
        <v>45707.45833333333</v>
      </c>
      <c r="G1161" s="197" t="s">
        <v>845</v>
      </c>
      <c r="H1161" s="197" t="s">
        <v>854</v>
      </c>
    </row>
    <row r="1162" ht="15.75" customHeight="1">
      <c r="A1162" s="197" t="s">
        <v>60</v>
      </c>
      <c r="B1162" s="197" t="s">
        <v>21</v>
      </c>
      <c r="C1162" s="198" t="s">
        <v>232</v>
      </c>
      <c r="D1162" s="197" t="s">
        <v>233</v>
      </c>
      <c r="E1162" s="199">
        <v>8.0</v>
      </c>
      <c r="F1162" s="200">
        <v>45715.375</v>
      </c>
      <c r="G1162" s="197" t="s">
        <v>845</v>
      </c>
      <c r="H1162" s="197" t="s">
        <v>854</v>
      </c>
    </row>
    <row r="1163" ht="15.75" customHeight="1">
      <c r="A1163" s="197" t="s">
        <v>60</v>
      </c>
      <c r="B1163" s="197" t="s">
        <v>21</v>
      </c>
      <c r="C1163" s="198" t="s">
        <v>232</v>
      </c>
      <c r="D1163" s="197" t="s">
        <v>233</v>
      </c>
      <c r="E1163" s="199">
        <v>9.0</v>
      </c>
      <c r="F1163" s="200">
        <v>45762.45833333333</v>
      </c>
      <c r="G1163" s="197" t="s">
        <v>845</v>
      </c>
      <c r="H1163" s="197" t="s">
        <v>854</v>
      </c>
    </row>
    <row r="1164" ht="15.75" customHeight="1">
      <c r="A1164" s="197" t="s">
        <v>60</v>
      </c>
      <c r="B1164" s="197" t="s">
        <v>21</v>
      </c>
      <c r="C1164" s="198" t="s">
        <v>232</v>
      </c>
      <c r="D1164" s="197" t="s">
        <v>233</v>
      </c>
      <c r="E1164" s="199">
        <v>10.0</v>
      </c>
      <c r="F1164" s="200">
        <v>45799.375</v>
      </c>
      <c r="G1164" s="197" t="s">
        <v>845</v>
      </c>
      <c r="H1164" s="197" t="s">
        <v>854</v>
      </c>
    </row>
    <row r="1165" ht="15.75" customHeight="1">
      <c r="A1165" s="197" t="s">
        <v>60</v>
      </c>
      <c r="B1165" s="197" t="s">
        <v>22</v>
      </c>
      <c r="C1165" s="198" t="s">
        <v>232</v>
      </c>
      <c r="D1165" s="197" t="s">
        <v>233</v>
      </c>
      <c r="E1165" s="199">
        <v>1.0</v>
      </c>
      <c r="F1165" s="200">
        <v>45853.375</v>
      </c>
      <c r="G1165" s="197" t="s">
        <v>845</v>
      </c>
      <c r="H1165" s="197" t="s">
        <v>854</v>
      </c>
    </row>
    <row r="1166" ht="15.75" customHeight="1">
      <c r="A1166" s="197" t="s">
        <v>60</v>
      </c>
      <c r="B1166" s="197" t="s">
        <v>22</v>
      </c>
      <c r="C1166" s="198" t="s">
        <v>232</v>
      </c>
      <c r="D1166" s="197" t="s">
        <v>233</v>
      </c>
      <c r="E1166" s="199">
        <v>2.0</v>
      </c>
      <c r="F1166" s="200">
        <v>45853.45833333333</v>
      </c>
      <c r="G1166" s="197" t="s">
        <v>845</v>
      </c>
      <c r="H1166" s="197" t="s">
        <v>854</v>
      </c>
    </row>
    <row r="1167" ht="15.75" customHeight="1">
      <c r="A1167" s="197" t="s">
        <v>60</v>
      </c>
      <c r="B1167" s="197" t="s">
        <v>22</v>
      </c>
      <c r="C1167" s="198" t="s">
        <v>232</v>
      </c>
      <c r="D1167" s="197" t="s">
        <v>233</v>
      </c>
      <c r="E1167" s="199">
        <v>3.0</v>
      </c>
      <c r="F1167" s="200">
        <v>45888.375</v>
      </c>
      <c r="G1167" s="197" t="s">
        <v>845</v>
      </c>
      <c r="H1167" s="197" t="s">
        <v>854</v>
      </c>
    </row>
    <row r="1168" ht="15.75" customHeight="1">
      <c r="A1168" s="197" t="s">
        <v>60</v>
      </c>
      <c r="B1168" s="197" t="s">
        <v>22</v>
      </c>
      <c r="C1168" s="198" t="s">
        <v>232</v>
      </c>
      <c r="D1168" s="197" t="s">
        <v>233</v>
      </c>
      <c r="E1168" s="199">
        <v>4.0</v>
      </c>
      <c r="F1168" s="200">
        <v>45895.45833333333</v>
      </c>
      <c r="G1168" s="197" t="s">
        <v>845</v>
      </c>
      <c r="H1168" s="197" t="s">
        <v>854</v>
      </c>
    </row>
    <row r="1169" ht="15.75" customHeight="1">
      <c r="A1169" s="197" t="s">
        <v>60</v>
      </c>
      <c r="B1169" s="197" t="s">
        <v>21</v>
      </c>
      <c r="C1169" s="198" t="s">
        <v>321</v>
      </c>
      <c r="D1169" s="197" t="s">
        <v>322</v>
      </c>
      <c r="E1169" s="199">
        <v>1.0</v>
      </c>
      <c r="F1169" s="200">
        <v>45644.375</v>
      </c>
      <c r="G1169" s="197" t="s">
        <v>845</v>
      </c>
      <c r="H1169" s="197" t="s">
        <v>854</v>
      </c>
    </row>
    <row r="1170" ht="15.75" customHeight="1">
      <c r="A1170" s="197" t="s">
        <v>60</v>
      </c>
      <c r="B1170" s="197" t="s">
        <v>21</v>
      </c>
      <c r="C1170" s="198" t="s">
        <v>321</v>
      </c>
      <c r="D1170" s="197" t="s">
        <v>322</v>
      </c>
      <c r="E1170" s="199">
        <v>2.0</v>
      </c>
      <c r="F1170" s="200">
        <v>45652.375</v>
      </c>
      <c r="G1170" s="197" t="s">
        <v>843</v>
      </c>
      <c r="H1170" s="197" t="s">
        <v>854</v>
      </c>
    </row>
    <row r="1171" ht="15.75" customHeight="1">
      <c r="A1171" s="197" t="s">
        <v>60</v>
      </c>
      <c r="B1171" s="197" t="s">
        <v>21</v>
      </c>
      <c r="C1171" s="198" t="s">
        <v>321</v>
      </c>
      <c r="D1171" s="197" t="s">
        <v>322</v>
      </c>
      <c r="E1171" s="199">
        <v>3.0</v>
      </c>
      <c r="F1171" s="200">
        <v>45659.375</v>
      </c>
      <c r="G1171" s="197" t="s">
        <v>845</v>
      </c>
      <c r="H1171" s="197" t="s">
        <v>854</v>
      </c>
    </row>
    <row r="1172" ht="15.75" customHeight="1">
      <c r="A1172" s="197" t="s">
        <v>60</v>
      </c>
      <c r="B1172" s="197" t="s">
        <v>21</v>
      </c>
      <c r="C1172" s="198" t="s">
        <v>321</v>
      </c>
      <c r="D1172" s="197" t="s">
        <v>322</v>
      </c>
      <c r="E1172" s="199">
        <v>4.0</v>
      </c>
      <c r="F1172" s="200">
        <v>45671.375</v>
      </c>
      <c r="G1172" s="197" t="s">
        <v>845</v>
      </c>
      <c r="H1172" s="197" t="s">
        <v>854</v>
      </c>
    </row>
    <row r="1173" ht="15.75" customHeight="1">
      <c r="A1173" s="197" t="s">
        <v>60</v>
      </c>
      <c r="B1173" s="197" t="s">
        <v>21</v>
      </c>
      <c r="C1173" s="198" t="s">
        <v>321</v>
      </c>
      <c r="D1173" s="197" t="s">
        <v>322</v>
      </c>
      <c r="E1173" s="199">
        <v>5.0</v>
      </c>
      <c r="F1173" s="200">
        <v>45694.375</v>
      </c>
      <c r="G1173" s="197" t="s">
        <v>845</v>
      </c>
      <c r="H1173" s="197" t="s">
        <v>854</v>
      </c>
    </row>
    <row r="1174" ht="15.75" customHeight="1">
      <c r="A1174" s="197" t="s">
        <v>60</v>
      </c>
      <c r="B1174" s="197" t="s">
        <v>21</v>
      </c>
      <c r="C1174" s="198" t="s">
        <v>321</v>
      </c>
      <c r="D1174" s="197" t="s">
        <v>322</v>
      </c>
      <c r="E1174" s="199">
        <v>6.0</v>
      </c>
      <c r="F1174" s="200">
        <v>45701.375</v>
      </c>
      <c r="G1174" s="197" t="s">
        <v>845</v>
      </c>
      <c r="H1174" s="197" t="s">
        <v>854</v>
      </c>
    </row>
    <row r="1175" ht="15.75" customHeight="1">
      <c r="A1175" s="197" t="s">
        <v>60</v>
      </c>
      <c r="B1175" s="197" t="s">
        <v>21</v>
      </c>
      <c r="C1175" s="198" t="s">
        <v>321</v>
      </c>
      <c r="D1175" s="197" t="s">
        <v>322</v>
      </c>
      <c r="E1175" s="199">
        <v>7.0</v>
      </c>
      <c r="F1175" s="200">
        <v>45707.45833333333</v>
      </c>
      <c r="G1175" s="197" t="s">
        <v>845</v>
      </c>
      <c r="H1175" s="197" t="s">
        <v>854</v>
      </c>
    </row>
    <row r="1176" ht="15.75" customHeight="1">
      <c r="A1176" s="197" t="s">
        <v>60</v>
      </c>
      <c r="B1176" s="197" t="s">
        <v>21</v>
      </c>
      <c r="C1176" s="198" t="s">
        <v>321</v>
      </c>
      <c r="D1176" s="197" t="s">
        <v>322</v>
      </c>
      <c r="E1176" s="199">
        <v>8.0</v>
      </c>
      <c r="F1176" s="200">
        <v>45715.375</v>
      </c>
      <c r="G1176" s="197" t="s">
        <v>845</v>
      </c>
      <c r="H1176" s="197" t="s">
        <v>854</v>
      </c>
    </row>
    <row r="1177" ht="15.75" customHeight="1">
      <c r="A1177" s="197" t="s">
        <v>60</v>
      </c>
      <c r="B1177" s="197" t="s">
        <v>21</v>
      </c>
      <c r="C1177" s="198" t="s">
        <v>321</v>
      </c>
      <c r="D1177" s="197" t="s">
        <v>322</v>
      </c>
      <c r="E1177" s="199">
        <v>9.0</v>
      </c>
      <c r="F1177" s="200">
        <v>45762.45833333333</v>
      </c>
      <c r="G1177" s="197" t="s">
        <v>845</v>
      </c>
      <c r="H1177" s="197" t="s">
        <v>854</v>
      </c>
    </row>
    <row r="1178" ht="15.75" customHeight="1">
      <c r="A1178" s="197" t="s">
        <v>60</v>
      </c>
      <c r="B1178" s="197" t="s">
        <v>21</v>
      </c>
      <c r="C1178" s="198" t="s">
        <v>321</v>
      </c>
      <c r="D1178" s="197" t="s">
        <v>322</v>
      </c>
      <c r="E1178" s="199">
        <v>10.0</v>
      </c>
      <c r="F1178" s="200">
        <v>45799.375</v>
      </c>
      <c r="G1178" s="197" t="s">
        <v>845</v>
      </c>
      <c r="H1178" s="197" t="s">
        <v>854</v>
      </c>
    </row>
    <row r="1179" ht="15.75" customHeight="1">
      <c r="A1179" s="197" t="s">
        <v>60</v>
      </c>
      <c r="B1179" s="197" t="s">
        <v>22</v>
      </c>
      <c r="C1179" s="198" t="s">
        <v>321</v>
      </c>
      <c r="D1179" s="197" t="s">
        <v>322</v>
      </c>
      <c r="E1179" s="199">
        <v>1.0</v>
      </c>
      <c r="F1179" s="200">
        <v>45853.375</v>
      </c>
      <c r="G1179" s="197" t="s">
        <v>845</v>
      </c>
      <c r="H1179" s="197" t="s">
        <v>854</v>
      </c>
    </row>
    <row r="1180" ht="15.75" customHeight="1">
      <c r="A1180" s="197" t="s">
        <v>60</v>
      </c>
      <c r="B1180" s="197" t="s">
        <v>22</v>
      </c>
      <c r="C1180" s="198" t="s">
        <v>321</v>
      </c>
      <c r="D1180" s="197" t="s">
        <v>322</v>
      </c>
      <c r="E1180" s="199">
        <v>2.0</v>
      </c>
      <c r="F1180" s="200">
        <v>45853.45833333333</v>
      </c>
      <c r="G1180" s="197" t="s">
        <v>845</v>
      </c>
      <c r="H1180" s="197" t="s">
        <v>854</v>
      </c>
    </row>
    <row r="1181" ht="15.75" customHeight="1">
      <c r="A1181" s="197" t="s">
        <v>60</v>
      </c>
      <c r="B1181" s="197" t="s">
        <v>22</v>
      </c>
      <c r="C1181" s="198" t="s">
        <v>321</v>
      </c>
      <c r="D1181" s="197" t="s">
        <v>322</v>
      </c>
      <c r="E1181" s="199">
        <v>3.0</v>
      </c>
      <c r="F1181" s="200">
        <v>45888.375</v>
      </c>
      <c r="G1181" s="197" t="s">
        <v>845</v>
      </c>
      <c r="H1181" s="197" t="s">
        <v>854</v>
      </c>
    </row>
    <row r="1182" ht="15.75" customHeight="1">
      <c r="A1182" s="197" t="s">
        <v>60</v>
      </c>
      <c r="B1182" s="197" t="s">
        <v>22</v>
      </c>
      <c r="C1182" s="198" t="s">
        <v>321</v>
      </c>
      <c r="D1182" s="197" t="s">
        <v>322</v>
      </c>
      <c r="E1182" s="199">
        <v>4.0</v>
      </c>
      <c r="F1182" s="200">
        <v>45895.45833333333</v>
      </c>
      <c r="G1182" s="197" t="s">
        <v>845</v>
      </c>
      <c r="H1182" s="197" t="s">
        <v>854</v>
      </c>
    </row>
    <row r="1183" ht="15.75" customHeight="1">
      <c r="A1183" s="197" t="s">
        <v>60</v>
      </c>
      <c r="B1183" s="197" t="s">
        <v>22</v>
      </c>
      <c r="C1183" s="198" t="s">
        <v>340</v>
      </c>
      <c r="D1183" s="197" t="s">
        <v>341</v>
      </c>
      <c r="E1183" s="199">
        <v>1.0</v>
      </c>
      <c r="F1183" s="200">
        <v>45853.375</v>
      </c>
      <c r="G1183" s="197" t="s">
        <v>845</v>
      </c>
      <c r="H1183" s="197" t="s">
        <v>854</v>
      </c>
    </row>
    <row r="1184" ht="15.75" customHeight="1">
      <c r="A1184" s="197" t="s">
        <v>60</v>
      </c>
      <c r="B1184" s="197" t="s">
        <v>22</v>
      </c>
      <c r="C1184" s="198" t="s">
        <v>340</v>
      </c>
      <c r="D1184" s="197" t="s">
        <v>341</v>
      </c>
      <c r="E1184" s="199">
        <v>2.0</v>
      </c>
      <c r="F1184" s="200">
        <v>45853.45833333333</v>
      </c>
      <c r="G1184" s="197" t="s">
        <v>845</v>
      </c>
      <c r="H1184" s="197" t="s">
        <v>854</v>
      </c>
    </row>
    <row r="1185" ht="15.75" customHeight="1">
      <c r="A1185" s="197" t="s">
        <v>60</v>
      </c>
      <c r="B1185" s="197" t="s">
        <v>22</v>
      </c>
      <c r="C1185" s="198" t="s">
        <v>340</v>
      </c>
      <c r="D1185" s="197" t="s">
        <v>341</v>
      </c>
      <c r="E1185" s="199">
        <v>3.0</v>
      </c>
      <c r="F1185" s="200">
        <v>45888.375</v>
      </c>
      <c r="G1185" s="197" t="s">
        <v>845</v>
      </c>
      <c r="H1185" s="197" t="s">
        <v>854</v>
      </c>
    </row>
    <row r="1186" ht="15.75" customHeight="1">
      <c r="A1186" s="197" t="s">
        <v>60</v>
      </c>
      <c r="B1186" s="197" t="s">
        <v>22</v>
      </c>
      <c r="C1186" s="198" t="s">
        <v>340</v>
      </c>
      <c r="D1186" s="197" t="s">
        <v>341</v>
      </c>
      <c r="E1186" s="199">
        <v>4.0</v>
      </c>
      <c r="F1186" s="200">
        <v>45895.45833333333</v>
      </c>
      <c r="G1186" s="197" t="s">
        <v>845</v>
      </c>
      <c r="H1186" s="197" t="s">
        <v>854</v>
      </c>
    </row>
    <row r="1187" ht="15.75" customHeight="1">
      <c r="A1187" s="197" t="s">
        <v>60</v>
      </c>
      <c r="B1187" s="197" t="s">
        <v>22</v>
      </c>
      <c r="C1187" s="198" t="s">
        <v>395</v>
      </c>
      <c r="D1187" s="197" t="s">
        <v>396</v>
      </c>
      <c r="E1187" s="199">
        <v>1.0</v>
      </c>
      <c r="F1187" s="200">
        <v>45853.375</v>
      </c>
      <c r="G1187" s="197" t="s">
        <v>845</v>
      </c>
      <c r="H1187" s="197" t="s">
        <v>854</v>
      </c>
    </row>
    <row r="1188" ht="15.75" customHeight="1">
      <c r="A1188" s="197" t="s">
        <v>60</v>
      </c>
      <c r="B1188" s="197" t="s">
        <v>22</v>
      </c>
      <c r="C1188" s="198" t="s">
        <v>395</v>
      </c>
      <c r="D1188" s="197" t="s">
        <v>396</v>
      </c>
      <c r="E1188" s="199">
        <v>2.0</v>
      </c>
      <c r="F1188" s="200">
        <v>45853.45833333333</v>
      </c>
      <c r="G1188" s="197" t="s">
        <v>845</v>
      </c>
      <c r="H1188" s="197" t="s">
        <v>854</v>
      </c>
    </row>
    <row r="1189" ht="15.75" customHeight="1">
      <c r="A1189" s="197" t="s">
        <v>60</v>
      </c>
      <c r="B1189" s="197" t="s">
        <v>22</v>
      </c>
      <c r="C1189" s="198" t="s">
        <v>395</v>
      </c>
      <c r="D1189" s="197" t="s">
        <v>396</v>
      </c>
      <c r="E1189" s="199">
        <v>3.0</v>
      </c>
      <c r="F1189" s="200">
        <v>45888.375</v>
      </c>
      <c r="G1189" s="197" t="s">
        <v>845</v>
      </c>
      <c r="H1189" s="197" t="s">
        <v>854</v>
      </c>
    </row>
    <row r="1190" ht="15.75" customHeight="1">
      <c r="A1190" s="197" t="s">
        <v>60</v>
      </c>
      <c r="B1190" s="197" t="s">
        <v>22</v>
      </c>
      <c r="C1190" s="198" t="s">
        <v>395</v>
      </c>
      <c r="D1190" s="197" t="s">
        <v>396</v>
      </c>
      <c r="E1190" s="199">
        <v>4.0</v>
      </c>
      <c r="F1190" s="200">
        <v>45895.45833333333</v>
      </c>
      <c r="G1190" s="197" t="s">
        <v>845</v>
      </c>
      <c r="H1190" s="197" t="s">
        <v>854</v>
      </c>
    </row>
    <row r="1191" ht="15.75" customHeight="1">
      <c r="A1191" s="197" t="s">
        <v>60</v>
      </c>
      <c r="B1191" s="197" t="s">
        <v>22</v>
      </c>
      <c r="C1191" s="198" t="s">
        <v>504</v>
      </c>
      <c r="D1191" s="197" t="s">
        <v>505</v>
      </c>
      <c r="E1191" s="199">
        <v>1.0</v>
      </c>
      <c r="F1191" s="200">
        <v>45853.375</v>
      </c>
      <c r="G1191" s="197" t="s">
        <v>845</v>
      </c>
      <c r="H1191" s="197" t="s">
        <v>854</v>
      </c>
    </row>
    <row r="1192" ht="15.75" customHeight="1">
      <c r="A1192" s="197" t="s">
        <v>60</v>
      </c>
      <c r="B1192" s="197" t="s">
        <v>22</v>
      </c>
      <c r="C1192" s="198" t="s">
        <v>504</v>
      </c>
      <c r="D1192" s="197" t="s">
        <v>505</v>
      </c>
      <c r="E1192" s="199">
        <v>2.0</v>
      </c>
      <c r="F1192" s="200">
        <v>45853.45833333333</v>
      </c>
      <c r="G1192" s="197" t="s">
        <v>843</v>
      </c>
      <c r="H1192" s="197" t="s">
        <v>854</v>
      </c>
    </row>
    <row r="1193" ht="15.75" customHeight="1">
      <c r="A1193" s="197" t="s">
        <v>60</v>
      </c>
      <c r="B1193" s="197" t="s">
        <v>22</v>
      </c>
      <c r="C1193" s="198" t="s">
        <v>504</v>
      </c>
      <c r="D1193" s="197" t="s">
        <v>505</v>
      </c>
      <c r="E1193" s="199">
        <v>3.0</v>
      </c>
      <c r="F1193" s="200">
        <v>45888.375</v>
      </c>
      <c r="G1193" s="197" t="s">
        <v>843</v>
      </c>
      <c r="H1193" s="197" t="s">
        <v>854</v>
      </c>
    </row>
    <row r="1194" ht="15.75" customHeight="1">
      <c r="A1194" s="197" t="s">
        <v>60</v>
      </c>
      <c r="B1194" s="197" t="s">
        <v>22</v>
      </c>
      <c r="C1194" s="198" t="s">
        <v>504</v>
      </c>
      <c r="D1194" s="197" t="s">
        <v>505</v>
      </c>
      <c r="E1194" s="199">
        <v>4.0</v>
      </c>
      <c r="F1194" s="200">
        <v>45895.45833333333</v>
      </c>
      <c r="G1194" s="197" t="s">
        <v>843</v>
      </c>
      <c r="H1194" s="197" t="s">
        <v>854</v>
      </c>
    </row>
    <row r="1195" ht="15.75" customHeight="1">
      <c r="A1195" s="197" t="s">
        <v>60</v>
      </c>
      <c r="B1195" s="197" t="s">
        <v>22</v>
      </c>
      <c r="C1195" s="198" t="s">
        <v>583</v>
      </c>
      <c r="D1195" s="197" t="s">
        <v>584</v>
      </c>
      <c r="E1195" s="199">
        <v>1.0</v>
      </c>
      <c r="F1195" s="200">
        <v>45853.375</v>
      </c>
      <c r="G1195" s="197" t="s">
        <v>845</v>
      </c>
      <c r="H1195" s="197" t="s">
        <v>854</v>
      </c>
    </row>
    <row r="1196" ht="15.75" customHeight="1">
      <c r="A1196" s="197" t="s">
        <v>60</v>
      </c>
      <c r="B1196" s="197" t="s">
        <v>22</v>
      </c>
      <c r="C1196" s="198" t="s">
        <v>583</v>
      </c>
      <c r="D1196" s="197" t="s">
        <v>584</v>
      </c>
      <c r="E1196" s="199">
        <v>2.0</v>
      </c>
      <c r="F1196" s="200">
        <v>45853.45833333333</v>
      </c>
      <c r="G1196" s="197" t="s">
        <v>845</v>
      </c>
      <c r="H1196" s="197" t="s">
        <v>854</v>
      </c>
    </row>
    <row r="1197" ht="15.75" customHeight="1">
      <c r="A1197" s="197" t="s">
        <v>60</v>
      </c>
      <c r="B1197" s="197" t="s">
        <v>22</v>
      </c>
      <c r="C1197" s="198" t="s">
        <v>583</v>
      </c>
      <c r="D1197" s="197" t="s">
        <v>584</v>
      </c>
      <c r="E1197" s="199">
        <v>3.0</v>
      </c>
      <c r="F1197" s="200">
        <v>45888.375</v>
      </c>
      <c r="G1197" s="197" t="s">
        <v>845</v>
      </c>
      <c r="H1197" s="197" t="s">
        <v>854</v>
      </c>
    </row>
    <row r="1198" ht="15.75" customHeight="1">
      <c r="A1198" s="197" t="s">
        <v>60</v>
      </c>
      <c r="B1198" s="197" t="s">
        <v>22</v>
      </c>
      <c r="C1198" s="198" t="s">
        <v>583</v>
      </c>
      <c r="D1198" s="197" t="s">
        <v>584</v>
      </c>
      <c r="E1198" s="199">
        <v>4.0</v>
      </c>
      <c r="F1198" s="200">
        <v>45895.45833333333</v>
      </c>
      <c r="G1198" s="197" t="s">
        <v>845</v>
      </c>
      <c r="H1198" s="197" t="s">
        <v>854</v>
      </c>
    </row>
    <row r="1199" ht="15.75" customHeight="1">
      <c r="A1199" s="197" t="s">
        <v>60</v>
      </c>
      <c r="B1199" s="197" t="s">
        <v>21</v>
      </c>
      <c r="C1199" s="198" t="s">
        <v>627</v>
      </c>
      <c r="D1199" s="197" t="s">
        <v>628</v>
      </c>
      <c r="E1199" s="199">
        <v>1.0</v>
      </c>
      <c r="F1199" s="200">
        <v>45644.375</v>
      </c>
      <c r="G1199" s="197" t="s">
        <v>845</v>
      </c>
      <c r="H1199" s="197" t="s">
        <v>854</v>
      </c>
    </row>
    <row r="1200" ht="15.75" customHeight="1">
      <c r="A1200" s="197" t="s">
        <v>60</v>
      </c>
      <c r="B1200" s="197" t="s">
        <v>21</v>
      </c>
      <c r="C1200" s="198" t="s">
        <v>627</v>
      </c>
      <c r="D1200" s="197" t="s">
        <v>628</v>
      </c>
      <c r="E1200" s="199">
        <v>2.0</v>
      </c>
      <c r="F1200" s="200">
        <v>45652.375</v>
      </c>
      <c r="G1200" s="197" t="s">
        <v>845</v>
      </c>
      <c r="H1200" s="197" t="s">
        <v>854</v>
      </c>
    </row>
    <row r="1201" ht="15.75" customHeight="1">
      <c r="A1201" s="197" t="s">
        <v>60</v>
      </c>
      <c r="B1201" s="197" t="s">
        <v>21</v>
      </c>
      <c r="C1201" s="198" t="s">
        <v>627</v>
      </c>
      <c r="D1201" s="197" t="s">
        <v>628</v>
      </c>
      <c r="E1201" s="199">
        <v>3.0</v>
      </c>
      <c r="F1201" s="200">
        <v>45659.375</v>
      </c>
      <c r="G1201" s="197" t="s">
        <v>845</v>
      </c>
      <c r="H1201" s="197" t="s">
        <v>854</v>
      </c>
    </row>
    <row r="1202" ht="15.75" customHeight="1">
      <c r="A1202" s="197" t="s">
        <v>60</v>
      </c>
      <c r="B1202" s="197" t="s">
        <v>21</v>
      </c>
      <c r="C1202" s="198" t="s">
        <v>627</v>
      </c>
      <c r="D1202" s="197" t="s">
        <v>628</v>
      </c>
      <c r="E1202" s="199">
        <v>4.0</v>
      </c>
      <c r="F1202" s="200">
        <v>45671.375</v>
      </c>
      <c r="G1202" s="197" t="s">
        <v>845</v>
      </c>
      <c r="H1202" s="197" t="s">
        <v>854</v>
      </c>
    </row>
    <row r="1203" ht="15.75" customHeight="1">
      <c r="A1203" s="197" t="s">
        <v>60</v>
      </c>
      <c r="B1203" s="197" t="s">
        <v>21</v>
      </c>
      <c r="C1203" s="198" t="s">
        <v>627</v>
      </c>
      <c r="D1203" s="197" t="s">
        <v>628</v>
      </c>
      <c r="E1203" s="199">
        <v>5.0</v>
      </c>
      <c r="F1203" s="200">
        <v>45694.375</v>
      </c>
      <c r="G1203" s="197" t="s">
        <v>845</v>
      </c>
      <c r="H1203" s="197" t="s">
        <v>854</v>
      </c>
    </row>
    <row r="1204" ht="15.75" customHeight="1">
      <c r="A1204" s="197" t="s">
        <v>60</v>
      </c>
      <c r="B1204" s="197" t="s">
        <v>21</v>
      </c>
      <c r="C1204" s="198" t="s">
        <v>627</v>
      </c>
      <c r="D1204" s="197" t="s">
        <v>628</v>
      </c>
      <c r="E1204" s="199">
        <v>6.0</v>
      </c>
      <c r="F1204" s="200">
        <v>45701.375</v>
      </c>
      <c r="G1204" s="197" t="s">
        <v>845</v>
      </c>
      <c r="H1204" s="197" t="s">
        <v>854</v>
      </c>
    </row>
    <row r="1205" ht="15.75" customHeight="1">
      <c r="A1205" s="197" t="s">
        <v>60</v>
      </c>
      <c r="B1205" s="197" t="s">
        <v>21</v>
      </c>
      <c r="C1205" s="198" t="s">
        <v>627</v>
      </c>
      <c r="D1205" s="197" t="s">
        <v>628</v>
      </c>
      <c r="E1205" s="199">
        <v>7.0</v>
      </c>
      <c r="F1205" s="200">
        <v>45707.45833333333</v>
      </c>
      <c r="G1205" s="197" t="s">
        <v>845</v>
      </c>
      <c r="H1205" s="197" t="s">
        <v>854</v>
      </c>
    </row>
    <row r="1206" ht="15.75" customHeight="1">
      <c r="A1206" s="197" t="s">
        <v>60</v>
      </c>
      <c r="B1206" s="197" t="s">
        <v>21</v>
      </c>
      <c r="C1206" s="198" t="s">
        <v>627</v>
      </c>
      <c r="D1206" s="197" t="s">
        <v>628</v>
      </c>
      <c r="E1206" s="199">
        <v>8.0</v>
      </c>
      <c r="F1206" s="200">
        <v>45715.375</v>
      </c>
      <c r="G1206" s="197" t="s">
        <v>845</v>
      </c>
      <c r="H1206" s="197" t="s">
        <v>854</v>
      </c>
    </row>
    <row r="1207" ht="15.75" customHeight="1">
      <c r="A1207" s="197" t="s">
        <v>60</v>
      </c>
      <c r="B1207" s="197" t="s">
        <v>21</v>
      </c>
      <c r="C1207" s="198" t="s">
        <v>627</v>
      </c>
      <c r="D1207" s="197" t="s">
        <v>628</v>
      </c>
      <c r="E1207" s="199">
        <v>9.0</v>
      </c>
      <c r="F1207" s="200">
        <v>45762.45833333333</v>
      </c>
      <c r="G1207" s="197" t="s">
        <v>845</v>
      </c>
      <c r="H1207" s="197" t="s">
        <v>854</v>
      </c>
    </row>
    <row r="1208" ht="15.75" customHeight="1">
      <c r="A1208" s="197" t="s">
        <v>60</v>
      </c>
      <c r="B1208" s="197" t="s">
        <v>21</v>
      </c>
      <c r="C1208" s="198" t="s">
        <v>627</v>
      </c>
      <c r="D1208" s="197" t="s">
        <v>628</v>
      </c>
      <c r="E1208" s="199">
        <v>10.0</v>
      </c>
      <c r="F1208" s="200">
        <v>45799.375</v>
      </c>
      <c r="G1208" s="197" t="s">
        <v>845</v>
      </c>
      <c r="H1208" s="197" t="s">
        <v>854</v>
      </c>
    </row>
    <row r="1209" ht="15.75" customHeight="1">
      <c r="A1209" s="197" t="s">
        <v>60</v>
      </c>
      <c r="B1209" s="197" t="s">
        <v>21</v>
      </c>
      <c r="C1209" s="198" t="s">
        <v>689</v>
      </c>
      <c r="D1209" s="197" t="s">
        <v>690</v>
      </c>
      <c r="E1209" s="199">
        <v>1.0</v>
      </c>
      <c r="F1209" s="200">
        <v>45644.375</v>
      </c>
      <c r="G1209" s="197" t="s">
        <v>845</v>
      </c>
      <c r="H1209" s="197" t="s">
        <v>854</v>
      </c>
    </row>
    <row r="1210" ht="15.75" customHeight="1">
      <c r="A1210" s="197" t="s">
        <v>60</v>
      </c>
      <c r="B1210" s="197" t="s">
        <v>21</v>
      </c>
      <c r="C1210" s="198" t="s">
        <v>689</v>
      </c>
      <c r="D1210" s="197" t="s">
        <v>690</v>
      </c>
      <c r="E1210" s="199">
        <v>2.0</v>
      </c>
      <c r="F1210" s="200">
        <v>45652.375</v>
      </c>
      <c r="G1210" s="197" t="s">
        <v>845</v>
      </c>
      <c r="H1210" s="197" t="s">
        <v>854</v>
      </c>
    </row>
    <row r="1211" ht="15.75" customHeight="1">
      <c r="A1211" s="197" t="s">
        <v>60</v>
      </c>
      <c r="B1211" s="197" t="s">
        <v>21</v>
      </c>
      <c r="C1211" s="198" t="s">
        <v>689</v>
      </c>
      <c r="D1211" s="197" t="s">
        <v>690</v>
      </c>
      <c r="E1211" s="199">
        <v>3.0</v>
      </c>
      <c r="F1211" s="200">
        <v>45659.375</v>
      </c>
      <c r="G1211" s="197" t="s">
        <v>845</v>
      </c>
      <c r="H1211" s="197" t="s">
        <v>854</v>
      </c>
    </row>
    <row r="1212" ht="15.75" customHeight="1">
      <c r="A1212" s="197" t="s">
        <v>60</v>
      </c>
      <c r="B1212" s="197" t="s">
        <v>21</v>
      </c>
      <c r="C1212" s="198" t="s">
        <v>689</v>
      </c>
      <c r="D1212" s="197" t="s">
        <v>690</v>
      </c>
      <c r="E1212" s="199">
        <v>4.0</v>
      </c>
      <c r="F1212" s="200">
        <v>45671.375</v>
      </c>
      <c r="G1212" s="197" t="s">
        <v>845</v>
      </c>
      <c r="H1212" s="197" t="s">
        <v>854</v>
      </c>
    </row>
    <row r="1213" ht="15.75" customHeight="1">
      <c r="A1213" s="197" t="s">
        <v>60</v>
      </c>
      <c r="B1213" s="197" t="s">
        <v>21</v>
      </c>
      <c r="C1213" s="198" t="s">
        <v>689</v>
      </c>
      <c r="D1213" s="197" t="s">
        <v>690</v>
      </c>
      <c r="E1213" s="199">
        <v>5.0</v>
      </c>
      <c r="F1213" s="200">
        <v>45694.375</v>
      </c>
      <c r="G1213" s="197" t="s">
        <v>845</v>
      </c>
      <c r="H1213" s="197" t="s">
        <v>854</v>
      </c>
    </row>
    <row r="1214" ht="15.75" customHeight="1">
      <c r="A1214" s="197" t="s">
        <v>60</v>
      </c>
      <c r="B1214" s="197" t="s">
        <v>21</v>
      </c>
      <c r="C1214" s="198" t="s">
        <v>689</v>
      </c>
      <c r="D1214" s="197" t="s">
        <v>690</v>
      </c>
      <c r="E1214" s="199">
        <v>6.0</v>
      </c>
      <c r="F1214" s="200">
        <v>45701.375</v>
      </c>
      <c r="G1214" s="197" t="s">
        <v>845</v>
      </c>
      <c r="H1214" s="197" t="s">
        <v>854</v>
      </c>
    </row>
    <row r="1215" ht="15.75" customHeight="1">
      <c r="A1215" s="197" t="s">
        <v>60</v>
      </c>
      <c r="B1215" s="197" t="s">
        <v>21</v>
      </c>
      <c r="C1215" s="198" t="s">
        <v>689</v>
      </c>
      <c r="D1215" s="197" t="s">
        <v>690</v>
      </c>
      <c r="E1215" s="199">
        <v>7.0</v>
      </c>
      <c r="F1215" s="200">
        <v>45707.45833333333</v>
      </c>
      <c r="G1215" s="197" t="s">
        <v>845</v>
      </c>
      <c r="H1215" s="197" t="s">
        <v>854</v>
      </c>
    </row>
    <row r="1216" ht="15.75" customHeight="1">
      <c r="A1216" s="197" t="s">
        <v>60</v>
      </c>
      <c r="B1216" s="197" t="s">
        <v>21</v>
      </c>
      <c r="C1216" s="198" t="s">
        <v>689</v>
      </c>
      <c r="D1216" s="197" t="s">
        <v>690</v>
      </c>
      <c r="E1216" s="199">
        <v>8.0</v>
      </c>
      <c r="F1216" s="200">
        <v>45715.375</v>
      </c>
      <c r="G1216" s="197" t="s">
        <v>845</v>
      </c>
      <c r="H1216" s="197" t="s">
        <v>854</v>
      </c>
    </row>
    <row r="1217" ht="15.75" customHeight="1">
      <c r="A1217" s="197" t="s">
        <v>60</v>
      </c>
      <c r="B1217" s="197" t="s">
        <v>21</v>
      </c>
      <c r="C1217" s="198" t="s">
        <v>689</v>
      </c>
      <c r="D1217" s="197" t="s">
        <v>690</v>
      </c>
      <c r="E1217" s="199">
        <v>9.0</v>
      </c>
      <c r="F1217" s="200">
        <v>45762.45833333333</v>
      </c>
      <c r="G1217" s="197" t="s">
        <v>845</v>
      </c>
      <c r="H1217" s="197" t="s">
        <v>854</v>
      </c>
    </row>
    <row r="1218" ht="15.75" customHeight="1">
      <c r="A1218" s="197" t="s">
        <v>60</v>
      </c>
      <c r="B1218" s="197" t="s">
        <v>21</v>
      </c>
      <c r="C1218" s="198" t="s">
        <v>689</v>
      </c>
      <c r="D1218" s="197" t="s">
        <v>690</v>
      </c>
      <c r="E1218" s="199">
        <v>10.0</v>
      </c>
      <c r="F1218" s="200">
        <v>45799.375</v>
      </c>
      <c r="G1218" s="197" t="s">
        <v>845</v>
      </c>
      <c r="H1218" s="197" t="s">
        <v>854</v>
      </c>
    </row>
    <row r="1219" ht="15.75" customHeight="1">
      <c r="A1219" s="197" t="s">
        <v>61</v>
      </c>
      <c r="B1219" s="197" t="s">
        <v>21</v>
      </c>
      <c r="C1219" s="198" t="s">
        <v>140</v>
      </c>
      <c r="D1219" s="197" t="s">
        <v>141</v>
      </c>
      <c r="E1219" s="199">
        <v>1.0</v>
      </c>
      <c r="F1219" s="200">
        <v>45644.375</v>
      </c>
      <c r="G1219" s="197" t="s">
        <v>845</v>
      </c>
      <c r="H1219" s="197" t="s">
        <v>855</v>
      </c>
    </row>
    <row r="1220" ht="15.75" customHeight="1">
      <c r="A1220" s="197" t="s">
        <v>61</v>
      </c>
      <c r="B1220" s="197" t="s">
        <v>21</v>
      </c>
      <c r="C1220" s="198" t="s">
        <v>140</v>
      </c>
      <c r="D1220" s="197" t="s">
        <v>141</v>
      </c>
      <c r="E1220" s="199">
        <v>2.0</v>
      </c>
      <c r="F1220" s="200">
        <v>45652.375</v>
      </c>
      <c r="G1220" s="197" t="s">
        <v>845</v>
      </c>
      <c r="H1220" s="197" t="s">
        <v>855</v>
      </c>
    </row>
    <row r="1221" ht="15.75" customHeight="1">
      <c r="A1221" s="197" t="s">
        <v>61</v>
      </c>
      <c r="B1221" s="197" t="s">
        <v>21</v>
      </c>
      <c r="C1221" s="198" t="s">
        <v>140</v>
      </c>
      <c r="D1221" s="197" t="s">
        <v>141</v>
      </c>
      <c r="E1221" s="199">
        <v>3.0</v>
      </c>
      <c r="F1221" s="200">
        <v>45666.375</v>
      </c>
      <c r="G1221" s="197" t="s">
        <v>845</v>
      </c>
      <c r="H1221" s="197" t="s">
        <v>855</v>
      </c>
    </row>
    <row r="1222" ht="15.75" customHeight="1">
      <c r="A1222" s="197" t="s">
        <v>61</v>
      </c>
      <c r="B1222" s="197" t="s">
        <v>21</v>
      </c>
      <c r="C1222" s="198" t="s">
        <v>140</v>
      </c>
      <c r="D1222" s="197" t="s">
        <v>141</v>
      </c>
      <c r="E1222" s="199">
        <v>4.0</v>
      </c>
      <c r="F1222" s="200">
        <v>45692.375</v>
      </c>
      <c r="G1222" s="197" t="s">
        <v>845</v>
      </c>
      <c r="H1222" s="197" t="s">
        <v>855</v>
      </c>
    </row>
    <row r="1223" ht="15.75" customHeight="1">
      <c r="A1223" s="197" t="s">
        <v>61</v>
      </c>
      <c r="B1223" s="197" t="s">
        <v>21</v>
      </c>
      <c r="C1223" s="198" t="s">
        <v>140</v>
      </c>
      <c r="D1223" s="197" t="s">
        <v>141</v>
      </c>
      <c r="E1223" s="199">
        <v>5.0</v>
      </c>
      <c r="F1223" s="200">
        <v>45700.45833333333</v>
      </c>
      <c r="G1223" s="197" t="s">
        <v>845</v>
      </c>
      <c r="H1223" s="197" t="s">
        <v>855</v>
      </c>
    </row>
    <row r="1224" ht="15.75" customHeight="1">
      <c r="A1224" s="197" t="s">
        <v>61</v>
      </c>
      <c r="B1224" s="197" t="s">
        <v>21</v>
      </c>
      <c r="C1224" s="198" t="s">
        <v>140</v>
      </c>
      <c r="D1224" s="197" t="s">
        <v>141</v>
      </c>
      <c r="E1224" s="199">
        <v>6.0</v>
      </c>
      <c r="F1224" s="200">
        <v>45708.375</v>
      </c>
      <c r="G1224" s="197" t="s">
        <v>845</v>
      </c>
      <c r="H1224" s="197" t="s">
        <v>855</v>
      </c>
    </row>
    <row r="1225" ht="15.75" customHeight="1">
      <c r="A1225" s="197" t="s">
        <v>61</v>
      </c>
      <c r="B1225" s="197" t="s">
        <v>21</v>
      </c>
      <c r="C1225" s="198" t="s">
        <v>140</v>
      </c>
      <c r="D1225" s="197" t="s">
        <v>141</v>
      </c>
      <c r="E1225" s="199">
        <v>7.0</v>
      </c>
      <c r="F1225" s="200">
        <v>45714.45833333333</v>
      </c>
      <c r="G1225" s="197" t="s">
        <v>845</v>
      </c>
      <c r="H1225" s="197" t="s">
        <v>855</v>
      </c>
    </row>
    <row r="1226" ht="15.75" customHeight="1">
      <c r="A1226" s="197" t="s">
        <v>61</v>
      </c>
      <c r="B1226" s="197" t="s">
        <v>21</v>
      </c>
      <c r="C1226" s="198" t="s">
        <v>140</v>
      </c>
      <c r="D1226" s="197" t="s">
        <v>141</v>
      </c>
      <c r="E1226" s="199">
        <v>8.0</v>
      </c>
      <c r="F1226" s="200">
        <v>45756.45833333333</v>
      </c>
      <c r="G1226" s="197" t="s">
        <v>845</v>
      </c>
      <c r="H1226" s="197" t="s">
        <v>855</v>
      </c>
    </row>
    <row r="1227" ht="15.75" customHeight="1">
      <c r="A1227" s="197" t="s">
        <v>61</v>
      </c>
      <c r="B1227" s="197" t="s">
        <v>21</v>
      </c>
      <c r="C1227" s="198" t="s">
        <v>140</v>
      </c>
      <c r="D1227" s="197" t="s">
        <v>141</v>
      </c>
      <c r="E1227" s="199">
        <v>9.0</v>
      </c>
      <c r="F1227" s="200">
        <v>45762.375</v>
      </c>
      <c r="G1227" s="197" t="s">
        <v>845</v>
      </c>
      <c r="H1227" s="197" t="s">
        <v>855</v>
      </c>
    </row>
    <row r="1228" ht="15.75" customHeight="1">
      <c r="A1228" s="197" t="s">
        <v>61</v>
      </c>
      <c r="B1228" s="197" t="s">
        <v>21</v>
      </c>
      <c r="C1228" s="198" t="s">
        <v>140</v>
      </c>
      <c r="D1228" s="197" t="s">
        <v>141</v>
      </c>
      <c r="E1228" s="199">
        <v>10.0</v>
      </c>
      <c r="F1228" s="200">
        <v>45799.375</v>
      </c>
      <c r="G1228" s="197" t="s">
        <v>845</v>
      </c>
      <c r="H1228" s="197" t="s">
        <v>855</v>
      </c>
    </row>
    <row r="1229" ht="15.75" customHeight="1">
      <c r="A1229" s="197" t="s">
        <v>61</v>
      </c>
      <c r="B1229" s="197" t="s">
        <v>21</v>
      </c>
      <c r="C1229" s="198" t="s">
        <v>340</v>
      </c>
      <c r="D1229" s="197" t="s">
        <v>341</v>
      </c>
      <c r="E1229" s="199">
        <v>1.0</v>
      </c>
      <c r="F1229" s="200">
        <v>45644.375</v>
      </c>
      <c r="G1229" s="197" t="s">
        <v>845</v>
      </c>
      <c r="H1229" s="197" t="s">
        <v>855</v>
      </c>
    </row>
    <row r="1230" ht="15.75" customHeight="1">
      <c r="A1230" s="197" t="s">
        <v>61</v>
      </c>
      <c r="B1230" s="197" t="s">
        <v>21</v>
      </c>
      <c r="C1230" s="198" t="s">
        <v>340</v>
      </c>
      <c r="D1230" s="197" t="s">
        <v>341</v>
      </c>
      <c r="E1230" s="199">
        <v>2.0</v>
      </c>
      <c r="F1230" s="200">
        <v>45652.375</v>
      </c>
      <c r="G1230" s="197" t="s">
        <v>845</v>
      </c>
      <c r="H1230" s="197" t="s">
        <v>855</v>
      </c>
    </row>
    <row r="1231" ht="15.75" customHeight="1">
      <c r="A1231" s="197" t="s">
        <v>61</v>
      </c>
      <c r="B1231" s="197" t="s">
        <v>21</v>
      </c>
      <c r="C1231" s="198" t="s">
        <v>340</v>
      </c>
      <c r="D1231" s="197" t="s">
        <v>341</v>
      </c>
      <c r="E1231" s="199">
        <v>3.0</v>
      </c>
      <c r="F1231" s="200">
        <v>45666.375</v>
      </c>
      <c r="G1231" s="197" t="s">
        <v>845</v>
      </c>
      <c r="H1231" s="197" t="s">
        <v>855</v>
      </c>
    </row>
    <row r="1232" ht="15.75" customHeight="1">
      <c r="A1232" s="197" t="s">
        <v>61</v>
      </c>
      <c r="B1232" s="197" t="s">
        <v>21</v>
      </c>
      <c r="C1232" s="198" t="s">
        <v>340</v>
      </c>
      <c r="D1232" s="197" t="s">
        <v>341</v>
      </c>
      <c r="E1232" s="199">
        <v>4.0</v>
      </c>
      <c r="F1232" s="200">
        <v>45692.375</v>
      </c>
      <c r="G1232" s="197" t="s">
        <v>845</v>
      </c>
      <c r="H1232" s="197" t="s">
        <v>855</v>
      </c>
    </row>
    <row r="1233" ht="15.75" customHeight="1">
      <c r="A1233" s="197" t="s">
        <v>61</v>
      </c>
      <c r="B1233" s="197" t="s">
        <v>21</v>
      </c>
      <c r="C1233" s="198" t="s">
        <v>340</v>
      </c>
      <c r="D1233" s="197" t="s">
        <v>341</v>
      </c>
      <c r="E1233" s="199">
        <v>5.0</v>
      </c>
      <c r="F1233" s="200">
        <v>45700.45833333333</v>
      </c>
      <c r="G1233" s="197" t="s">
        <v>845</v>
      </c>
      <c r="H1233" s="197" t="s">
        <v>855</v>
      </c>
    </row>
    <row r="1234" ht="15.75" customHeight="1">
      <c r="A1234" s="197" t="s">
        <v>61</v>
      </c>
      <c r="B1234" s="197" t="s">
        <v>21</v>
      </c>
      <c r="C1234" s="198" t="s">
        <v>340</v>
      </c>
      <c r="D1234" s="197" t="s">
        <v>341</v>
      </c>
      <c r="E1234" s="199">
        <v>6.0</v>
      </c>
      <c r="F1234" s="200">
        <v>45708.375</v>
      </c>
      <c r="G1234" s="197" t="s">
        <v>845</v>
      </c>
      <c r="H1234" s="197" t="s">
        <v>855</v>
      </c>
    </row>
    <row r="1235" ht="15.75" customHeight="1">
      <c r="A1235" s="197" t="s">
        <v>61</v>
      </c>
      <c r="B1235" s="197" t="s">
        <v>21</v>
      </c>
      <c r="C1235" s="198" t="s">
        <v>340</v>
      </c>
      <c r="D1235" s="197" t="s">
        <v>341</v>
      </c>
      <c r="E1235" s="199">
        <v>7.0</v>
      </c>
      <c r="F1235" s="200">
        <v>45714.45833333333</v>
      </c>
      <c r="G1235" s="197" t="s">
        <v>845</v>
      </c>
      <c r="H1235" s="197" t="s">
        <v>855</v>
      </c>
    </row>
    <row r="1236" ht="15.75" customHeight="1">
      <c r="A1236" s="197" t="s">
        <v>61</v>
      </c>
      <c r="B1236" s="197" t="s">
        <v>21</v>
      </c>
      <c r="C1236" s="198" t="s">
        <v>340</v>
      </c>
      <c r="D1236" s="197" t="s">
        <v>341</v>
      </c>
      <c r="E1236" s="199">
        <v>8.0</v>
      </c>
      <c r="F1236" s="200">
        <v>45756.45833333333</v>
      </c>
      <c r="G1236" s="197" t="s">
        <v>845</v>
      </c>
      <c r="H1236" s="197" t="s">
        <v>855</v>
      </c>
    </row>
    <row r="1237" ht="15.75" customHeight="1">
      <c r="A1237" s="197" t="s">
        <v>61</v>
      </c>
      <c r="B1237" s="197" t="s">
        <v>21</v>
      </c>
      <c r="C1237" s="198" t="s">
        <v>340</v>
      </c>
      <c r="D1237" s="197" t="s">
        <v>341</v>
      </c>
      <c r="E1237" s="199">
        <v>9.0</v>
      </c>
      <c r="F1237" s="200">
        <v>45762.375</v>
      </c>
      <c r="G1237" s="197" t="s">
        <v>845</v>
      </c>
      <c r="H1237" s="197" t="s">
        <v>855</v>
      </c>
    </row>
    <row r="1238" ht="15.75" customHeight="1">
      <c r="A1238" s="197" t="s">
        <v>61</v>
      </c>
      <c r="B1238" s="197" t="s">
        <v>21</v>
      </c>
      <c r="C1238" s="198" t="s">
        <v>340</v>
      </c>
      <c r="D1238" s="197" t="s">
        <v>341</v>
      </c>
      <c r="E1238" s="199">
        <v>10.0</v>
      </c>
      <c r="F1238" s="200">
        <v>45799.375</v>
      </c>
      <c r="G1238" s="197" t="s">
        <v>845</v>
      </c>
      <c r="H1238" s="197" t="s">
        <v>855</v>
      </c>
    </row>
    <row r="1239" ht="15.75" customHeight="1">
      <c r="A1239" s="197" t="s">
        <v>61</v>
      </c>
      <c r="B1239" s="197" t="s">
        <v>21</v>
      </c>
      <c r="C1239" s="198" t="s">
        <v>395</v>
      </c>
      <c r="D1239" s="197" t="s">
        <v>396</v>
      </c>
      <c r="E1239" s="199">
        <v>1.0</v>
      </c>
      <c r="F1239" s="200">
        <v>45644.375</v>
      </c>
      <c r="G1239" s="197" t="s">
        <v>845</v>
      </c>
      <c r="H1239" s="197" t="s">
        <v>855</v>
      </c>
    </row>
    <row r="1240" ht="15.75" customHeight="1">
      <c r="A1240" s="197" t="s">
        <v>61</v>
      </c>
      <c r="B1240" s="197" t="s">
        <v>21</v>
      </c>
      <c r="C1240" s="198" t="s">
        <v>395</v>
      </c>
      <c r="D1240" s="197" t="s">
        <v>396</v>
      </c>
      <c r="E1240" s="199">
        <v>2.0</v>
      </c>
      <c r="F1240" s="200">
        <v>45652.375</v>
      </c>
      <c r="G1240" s="197" t="s">
        <v>843</v>
      </c>
      <c r="H1240" s="197" t="s">
        <v>855</v>
      </c>
    </row>
    <row r="1241" ht="15.75" customHeight="1">
      <c r="A1241" s="197" t="s">
        <v>61</v>
      </c>
      <c r="B1241" s="197" t="s">
        <v>21</v>
      </c>
      <c r="C1241" s="198" t="s">
        <v>395</v>
      </c>
      <c r="D1241" s="197" t="s">
        <v>396</v>
      </c>
      <c r="E1241" s="199">
        <v>3.0</v>
      </c>
      <c r="F1241" s="200">
        <v>45666.375</v>
      </c>
      <c r="G1241" s="197" t="s">
        <v>845</v>
      </c>
      <c r="H1241" s="197" t="s">
        <v>855</v>
      </c>
    </row>
    <row r="1242" ht="15.75" customHeight="1">
      <c r="A1242" s="197" t="s">
        <v>61</v>
      </c>
      <c r="B1242" s="197" t="s">
        <v>21</v>
      </c>
      <c r="C1242" s="198" t="s">
        <v>395</v>
      </c>
      <c r="D1242" s="197" t="s">
        <v>396</v>
      </c>
      <c r="E1242" s="199">
        <v>4.0</v>
      </c>
      <c r="F1242" s="200">
        <v>45692.375</v>
      </c>
      <c r="G1242" s="197" t="s">
        <v>845</v>
      </c>
      <c r="H1242" s="197" t="s">
        <v>855</v>
      </c>
    </row>
    <row r="1243" ht="15.75" customHeight="1">
      <c r="A1243" s="197" t="s">
        <v>61</v>
      </c>
      <c r="B1243" s="197" t="s">
        <v>21</v>
      </c>
      <c r="C1243" s="198" t="s">
        <v>395</v>
      </c>
      <c r="D1243" s="197" t="s">
        <v>396</v>
      </c>
      <c r="E1243" s="199">
        <v>5.0</v>
      </c>
      <c r="F1243" s="200">
        <v>45700.45833333333</v>
      </c>
      <c r="G1243" s="197" t="s">
        <v>845</v>
      </c>
      <c r="H1243" s="197" t="s">
        <v>855</v>
      </c>
    </row>
    <row r="1244" ht="15.75" customHeight="1">
      <c r="A1244" s="197" t="s">
        <v>61</v>
      </c>
      <c r="B1244" s="197" t="s">
        <v>21</v>
      </c>
      <c r="C1244" s="198" t="s">
        <v>395</v>
      </c>
      <c r="D1244" s="197" t="s">
        <v>396</v>
      </c>
      <c r="E1244" s="199">
        <v>6.0</v>
      </c>
      <c r="F1244" s="200">
        <v>45708.375</v>
      </c>
      <c r="G1244" s="197" t="s">
        <v>845</v>
      </c>
      <c r="H1244" s="197" t="s">
        <v>855</v>
      </c>
    </row>
    <row r="1245" ht="15.75" customHeight="1">
      <c r="A1245" s="197" t="s">
        <v>61</v>
      </c>
      <c r="B1245" s="197" t="s">
        <v>21</v>
      </c>
      <c r="C1245" s="198" t="s">
        <v>395</v>
      </c>
      <c r="D1245" s="197" t="s">
        <v>396</v>
      </c>
      <c r="E1245" s="199">
        <v>7.0</v>
      </c>
      <c r="F1245" s="200">
        <v>45714.45833333333</v>
      </c>
      <c r="G1245" s="197" t="s">
        <v>845</v>
      </c>
      <c r="H1245" s="197" t="s">
        <v>855</v>
      </c>
    </row>
    <row r="1246" ht="15.75" customHeight="1">
      <c r="A1246" s="197" t="s">
        <v>61</v>
      </c>
      <c r="B1246" s="197" t="s">
        <v>21</v>
      </c>
      <c r="C1246" s="198" t="s">
        <v>395</v>
      </c>
      <c r="D1246" s="197" t="s">
        <v>396</v>
      </c>
      <c r="E1246" s="199">
        <v>8.0</v>
      </c>
      <c r="F1246" s="200">
        <v>45756.45833333333</v>
      </c>
      <c r="G1246" s="197" t="s">
        <v>845</v>
      </c>
      <c r="H1246" s="197" t="s">
        <v>855</v>
      </c>
    </row>
    <row r="1247" ht="15.75" customHeight="1">
      <c r="A1247" s="197" t="s">
        <v>61</v>
      </c>
      <c r="B1247" s="197" t="s">
        <v>21</v>
      </c>
      <c r="C1247" s="198" t="s">
        <v>395</v>
      </c>
      <c r="D1247" s="197" t="s">
        <v>396</v>
      </c>
      <c r="E1247" s="199">
        <v>9.0</v>
      </c>
      <c r="F1247" s="200">
        <v>45762.375</v>
      </c>
      <c r="G1247" s="197" t="s">
        <v>845</v>
      </c>
      <c r="H1247" s="197" t="s">
        <v>855</v>
      </c>
    </row>
    <row r="1248" ht="15.75" customHeight="1">
      <c r="A1248" s="197" t="s">
        <v>61</v>
      </c>
      <c r="B1248" s="197" t="s">
        <v>21</v>
      </c>
      <c r="C1248" s="198" t="s">
        <v>395</v>
      </c>
      <c r="D1248" s="197" t="s">
        <v>396</v>
      </c>
      <c r="E1248" s="199">
        <v>10.0</v>
      </c>
      <c r="F1248" s="200">
        <v>45799.375</v>
      </c>
      <c r="G1248" s="197" t="s">
        <v>845</v>
      </c>
      <c r="H1248" s="197" t="s">
        <v>855</v>
      </c>
    </row>
    <row r="1249" ht="15.75" customHeight="1">
      <c r="A1249" s="197" t="s">
        <v>61</v>
      </c>
      <c r="B1249" s="197" t="s">
        <v>21</v>
      </c>
      <c r="C1249" s="198" t="s">
        <v>504</v>
      </c>
      <c r="D1249" s="197" t="s">
        <v>505</v>
      </c>
      <c r="E1249" s="199">
        <v>1.0</v>
      </c>
      <c r="F1249" s="200">
        <v>45644.375</v>
      </c>
      <c r="G1249" s="197" t="s">
        <v>845</v>
      </c>
      <c r="H1249" s="197" t="s">
        <v>855</v>
      </c>
    </row>
    <row r="1250" ht="15.75" customHeight="1">
      <c r="A1250" s="197" t="s">
        <v>61</v>
      </c>
      <c r="B1250" s="197" t="s">
        <v>21</v>
      </c>
      <c r="C1250" s="198" t="s">
        <v>504</v>
      </c>
      <c r="D1250" s="197" t="s">
        <v>505</v>
      </c>
      <c r="E1250" s="199">
        <v>2.0</v>
      </c>
      <c r="F1250" s="200">
        <v>45652.375</v>
      </c>
      <c r="G1250" s="197" t="s">
        <v>845</v>
      </c>
      <c r="H1250" s="197" t="s">
        <v>855</v>
      </c>
    </row>
    <row r="1251" ht="15.75" customHeight="1">
      <c r="A1251" s="197" t="s">
        <v>61</v>
      </c>
      <c r="B1251" s="197" t="s">
        <v>21</v>
      </c>
      <c r="C1251" s="198" t="s">
        <v>504</v>
      </c>
      <c r="D1251" s="197" t="s">
        <v>505</v>
      </c>
      <c r="E1251" s="199">
        <v>3.0</v>
      </c>
      <c r="F1251" s="200">
        <v>45666.375</v>
      </c>
      <c r="G1251" s="197" t="s">
        <v>845</v>
      </c>
      <c r="H1251" s="197" t="s">
        <v>855</v>
      </c>
    </row>
    <row r="1252" ht="15.75" customHeight="1">
      <c r="A1252" s="197" t="s">
        <v>61</v>
      </c>
      <c r="B1252" s="197" t="s">
        <v>21</v>
      </c>
      <c r="C1252" s="198" t="s">
        <v>504</v>
      </c>
      <c r="D1252" s="197" t="s">
        <v>505</v>
      </c>
      <c r="E1252" s="199">
        <v>4.0</v>
      </c>
      <c r="F1252" s="200">
        <v>45692.375</v>
      </c>
      <c r="G1252" s="197" t="s">
        <v>845</v>
      </c>
      <c r="H1252" s="197" t="s">
        <v>855</v>
      </c>
    </row>
    <row r="1253" ht="15.75" customHeight="1">
      <c r="A1253" s="197" t="s">
        <v>61</v>
      </c>
      <c r="B1253" s="197" t="s">
        <v>21</v>
      </c>
      <c r="C1253" s="198" t="s">
        <v>504</v>
      </c>
      <c r="D1253" s="197" t="s">
        <v>505</v>
      </c>
      <c r="E1253" s="199">
        <v>5.0</v>
      </c>
      <c r="F1253" s="200">
        <v>45700.45833333333</v>
      </c>
      <c r="G1253" s="197" t="s">
        <v>845</v>
      </c>
      <c r="H1253" s="197" t="s">
        <v>855</v>
      </c>
    </row>
    <row r="1254" ht="15.75" customHeight="1">
      <c r="A1254" s="197" t="s">
        <v>61</v>
      </c>
      <c r="B1254" s="197" t="s">
        <v>21</v>
      </c>
      <c r="C1254" s="198" t="s">
        <v>504</v>
      </c>
      <c r="D1254" s="197" t="s">
        <v>505</v>
      </c>
      <c r="E1254" s="199">
        <v>6.0</v>
      </c>
      <c r="F1254" s="200">
        <v>45708.375</v>
      </c>
      <c r="G1254" s="197" t="s">
        <v>843</v>
      </c>
      <c r="H1254" s="197" t="s">
        <v>855</v>
      </c>
    </row>
    <row r="1255" ht="15.75" customHeight="1">
      <c r="A1255" s="197" t="s">
        <v>61</v>
      </c>
      <c r="B1255" s="197" t="s">
        <v>21</v>
      </c>
      <c r="C1255" s="198" t="s">
        <v>504</v>
      </c>
      <c r="D1255" s="197" t="s">
        <v>505</v>
      </c>
      <c r="E1255" s="199">
        <v>7.0</v>
      </c>
      <c r="F1255" s="200">
        <v>45714.45833333333</v>
      </c>
      <c r="G1255" s="197" t="s">
        <v>845</v>
      </c>
      <c r="H1255" s="197" t="s">
        <v>855</v>
      </c>
    </row>
    <row r="1256" ht="15.75" customHeight="1">
      <c r="A1256" s="197" t="s">
        <v>61</v>
      </c>
      <c r="B1256" s="197" t="s">
        <v>21</v>
      </c>
      <c r="C1256" s="198" t="s">
        <v>504</v>
      </c>
      <c r="D1256" s="197" t="s">
        <v>505</v>
      </c>
      <c r="E1256" s="199">
        <v>8.0</v>
      </c>
      <c r="F1256" s="200">
        <v>45756.45833333333</v>
      </c>
      <c r="G1256" s="197" t="s">
        <v>845</v>
      </c>
      <c r="H1256" s="197" t="s">
        <v>855</v>
      </c>
    </row>
    <row r="1257" ht="15.75" customHeight="1">
      <c r="A1257" s="197" t="s">
        <v>61</v>
      </c>
      <c r="B1257" s="197" t="s">
        <v>21</v>
      </c>
      <c r="C1257" s="198" t="s">
        <v>504</v>
      </c>
      <c r="D1257" s="197" t="s">
        <v>505</v>
      </c>
      <c r="E1257" s="199">
        <v>9.0</v>
      </c>
      <c r="F1257" s="200">
        <v>45762.375</v>
      </c>
      <c r="G1257" s="197" t="s">
        <v>845</v>
      </c>
      <c r="H1257" s="197" t="s">
        <v>855</v>
      </c>
    </row>
    <row r="1258" ht="15.75" customHeight="1">
      <c r="A1258" s="197" t="s">
        <v>61</v>
      </c>
      <c r="B1258" s="197" t="s">
        <v>21</v>
      </c>
      <c r="C1258" s="198" t="s">
        <v>504</v>
      </c>
      <c r="D1258" s="197" t="s">
        <v>505</v>
      </c>
      <c r="E1258" s="199">
        <v>10.0</v>
      </c>
      <c r="F1258" s="200">
        <v>45799.375</v>
      </c>
      <c r="G1258" s="197" t="s">
        <v>845</v>
      </c>
      <c r="H1258" s="197" t="s">
        <v>855</v>
      </c>
    </row>
    <row r="1259" ht="15.75" customHeight="1">
      <c r="A1259" s="197" t="s">
        <v>61</v>
      </c>
      <c r="B1259" s="197" t="s">
        <v>21</v>
      </c>
      <c r="C1259" s="198" t="s">
        <v>583</v>
      </c>
      <c r="D1259" s="197" t="s">
        <v>584</v>
      </c>
      <c r="E1259" s="199">
        <v>1.0</v>
      </c>
      <c r="F1259" s="200">
        <v>45644.375</v>
      </c>
      <c r="G1259" s="197" t="s">
        <v>845</v>
      </c>
      <c r="H1259" s="197" t="s">
        <v>855</v>
      </c>
    </row>
    <row r="1260" ht="15.75" customHeight="1">
      <c r="A1260" s="197" t="s">
        <v>61</v>
      </c>
      <c r="B1260" s="197" t="s">
        <v>21</v>
      </c>
      <c r="C1260" s="198" t="s">
        <v>583</v>
      </c>
      <c r="D1260" s="197" t="s">
        <v>584</v>
      </c>
      <c r="E1260" s="199">
        <v>2.0</v>
      </c>
      <c r="F1260" s="200">
        <v>45652.375</v>
      </c>
      <c r="G1260" s="197" t="s">
        <v>845</v>
      </c>
      <c r="H1260" s="197" t="s">
        <v>855</v>
      </c>
    </row>
    <row r="1261" ht="15.75" customHeight="1">
      <c r="A1261" s="197" t="s">
        <v>61</v>
      </c>
      <c r="B1261" s="197" t="s">
        <v>21</v>
      </c>
      <c r="C1261" s="198" t="s">
        <v>583</v>
      </c>
      <c r="D1261" s="197" t="s">
        <v>584</v>
      </c>
      <c r="E1261" s="199">
        <v>3.0</v>
      </c>
      <c r="F1261" s="200">
        <v>45666.375</v>
      </c>
      <c r="G1261" s="197" t="s">
        <v>845</v>
      </c>
      <c r="H1261" s="197" t="s">
        <v>855</v>
      </c>
    </row>
    <row r="1262" ht="15.75" customHeight="1">
      <c r="A1262" s="197" t="s">
        <v>61</v>
      </c>
      <c r="B1262" s="197" t="s">
        <v>21</v>
      </c>
      <c r="C1262" s="198" t="s">
        <v>583</v>
      </c>
      <c r="D1262" s="197" t="s">
        <v>584</v>
      </c>
      <c r="E1262" s="199">
        <v>4.0</v>
      </c>
      <c r="F1262" s="200">
        <v>45692.375</v>
      </c>
      <c r="G1262" s="197" t="s">
        <v>845</v>
      </c>
      <c r="H1262" s="197" t="s">
        <v>855</v>
      </c>
    </row>
    <row r="1263" ht="15.75" customHeight="1">
      <c r="A1263" s="197" t="s">
        <v>61</v>
      </c>
      <c r="B1263" s="197" t="s">
        <v>21</v>
      </c>
      <c r="C1263" s="198" t="s">
        <v>583</v>
      </c>
      <c r="D1263" s="197" t="s">
        <v>584</v>
      </c>
      <c r="E1263" s="199">
        <v>5.0</v>
      </c>
      <c r="F1263" s="200">
        <v>45700.45833333333</v>
      </c>
      <c r="G1263" s="197" t="s">
        <v>845</v>
      </c>
      <c r="H1263" s="197" t="s">
        <v>855</v>
      </c>
    </row>
    <row r="1264" ht="15.75" customHeight="1">
      <c r="A1264" s="197" t="s">
        <v>61</v>
      </c>
      <c r="B1264" s="197" t="s">
        <v>21</v>
      </c>
      <c r="C1264" s="198" t="s">
        <v>583</v>
      </c>
      <c r="D1264" s="197" t="s">
        <v>584</v>
      </c>
      <c r="E1264" s="199">
        <v>6.0</v>
      </c>
      <c r="F1264" s="200">
        <v>45708.375</v>
      </c>
      <c r="G1264" s="197" t="s">
        <v>845</v>
      </c>
      <c r="H1264" s="197" t="s">
        <v>855</v>
      </c>
    </row>
    <row r="1265" ht="15.75" customHeight="1">
      <c r="A1265" s="197" t="s">
        <v>61</v>
      </c>
      <c r="B1265" s="197" t="s">
        <v>21</v>
      </c>
      <c r="C1265" s="198" t="s">
        <v>583</v>
      </c>
      <c r="D1265" s="197" t="s">
        <v>584</v>
      </c>
      <c r="E1265" s="199">
        <v>7.0</v>
      </c>
      <c r="F1265" s="200">
        <v>45714.45833333333</v>
      </c>
      <c r="G1265" s="197" t="s">
        <v>845</v>
      </c>
      <c r="H1265" s="197" t="s">
        <v>855</v>
      </c>
    </row>
    <row r="1266" ht="15.75" customHeight="1">
      <c r="A1266" s="197" t="s">
        <v>61</v>
      </c>
      <c r="B1266" s="197" t="s">
        <v>21</v>
      </c>
      <c r="C1266" s="198" t="s">
        <v>583</v>
      </c>
      <c r="D1266" s="197" t="s">
        <v>584</v>
      </c>
      <c r="E1266" s="199">
        <v>8.0</v>
      </c>
      <c r="F1266" s="200">
        <v>45756.45833333333</v>
      </c>
      <c r="G1266" s="197" t="s">
        <v>845</v>
      </c>
      <c r="H1266" s="197" t="s">
        <v>855</v>
      </c>
    </row>
    <row r="1267" ht="15.75" customHeight="1">
      <c r="A1267" s="197" t="s">
        <v>61</v>
      </c>
      <c r="B1267" s="197" t="s">
        <v>21</v>
      </c>
      <c r="C1267" s="198" t="s">
        <v>583</v>
      </c>
      <c r="D1267" s="197" t="s">
        <v>584</v>
      </c>
      <c r="E1267" s="199">
        <v>9.0</v>
      </c>
      <c r="F1267" s="200">
        <v>45762.375</v>
      </c>
      <c r="G1267" s="197" t="s">
        <v>845</v>
      </c>
      <c r="H1267" s="197" t="s">
        <v>855</v>
      </c>
    </row>
    <row r="1268" ht="15.75" customHeight="1">
      <c r="A1268" s="197" t="s">
        <v>61</v>
      </c>
      <c r="B1268" s="197" t="s">
        <v>21</v>
      </c>
      <c r="C1268" s="198" t="s">
        <v>583</v>
      </c>
      <c r="D1268" s="197" t="s">
        <v>584</v>
      </c>
      <c r="E1268" s="199">
        <v>10.0</v>
      </c>
      <c r="F1268" s="200">
        <v>45799.375</v>
      </c>
      <c r="G1268" s="197" t="s">
        <v>845</v>
      </c>
      <c r="H1268" s="197" t="s">
        <v>855</v>
      </c>
    </row>
    <row r="1269" ht="15.75" customHeight="1">
      <c r="A1269" s="197" t="s">
        <v>62</v>
      </c>
      <c r="B1269" s="197" t="s">
        <v>21</v>
      </c>
      <c r="C1269" s="198" t="s">
        <v>190</v>
      </c>
      <c r="D1269" s="197" t="s">
        <v>191</v>
      </c>
      <c r="E1269" s="199">
        <v>1.0</v>
      </c>
      <c r="F1269" s="200">
        <v>45646.375</v>
      </c>
      <c r="G1269" s="197" t="s">
        <v>845</v>
      </c>
      <c r="H1269" s="197" t="s">
        <v>856</v>
      </c>
    </row>
    <row r="1270" ht="15.75" customHeight="1">
      <c r="A1270" s="197" t="s">
        <v>62</v>
      </c>
      <c r="B1270" s="197" t="s">
        <v>21</v>
      </c>
      <c r="C1270" s="198" t="s">
        <v>190</v>
      </c>
      <c r="D1270" s="197" t="s">
        <v>191</v>
      </c>
      <c r="E1270" s="199">
        <v>2.0</v>
      </c>
      <c r="F1270" s="200">
        <v>45653.375</v>
      </c>
      <c r="G1270" s="197" t="s">
        <v>845</v>
      </c>
      <c r="H1270" s="197" t="s">
        <v>856</v>
      </c>
    </row>
    <row r="1271" ht="15.75" customHeight="1">
      <c r="A1271" s="197" t="s">
        <v>62</v>
      </c>
      <c r="B1271" s="197" t="s">
        <v>21</v>
      </c>
      <c r="C1271" s="198" t="s">
        <v>190</v>
      </c>
      <c r="D1271" s="197" t="s">
        <v>191</v>
      </c>
      <c r="E1271" s="199">
        <v>3.0</v>
      </c>
      <c r="F1271" s="200">
        <v>45673.41666666667</v>
      </c>
      <c r="G1271" s="197" t="s">
        <v>845</v>
      </c>
      <c r="H1271" s="197" t="s">
        <v>856</v>
      </c>
    </row>
    <row r="1272" ht="15.75" customHeight="1">
      <c r="A1272" s="197" t="s">
        <v>62</v>
      </c>
      <c r="B1272" s="197" t="s">
        <v>21</v>
      </c>
      <c r="C1272" s="198" t="s">
        <v>190</v>
      </c>
      <c r="D1272" s="197" t="s">
        <v>191</v>
      </c>
      <c r="E1272" s="199">
        <v>4.0</v>
      </c>
      <c r="F1272" s="200">
        <v>45680.375</v>
      </c>
      <c r="G1272" s="197" t="s">
        <v>843</v>
      </c>
      <c r="H1272" s="197" t="s">
        <v>856</v>
      </c>
    </row>
    <row r="1273" ht="15.75" customHeight="1">
      <c r="A1273" s="197" t="s">
        <v>62</v>
      </c>
      <c r="B1273" s="197" t="s">
        <v>21</v>
      </c>
      <c r="C1273" s="198" t="s">
        <v>190</v>
      </c>
      <c r="D1273" s="197" t="s">
        <v>191</v>
      </c>
      <c r="E1273" s="199">
        <v>5.0</v>
      </c>
      <c r="F1273" s="200">
        <v>45700.58333333333</v>
      </c>
      <c r="G1273" s="197" t="s">
        <v>845</v>
      </c>
      <c r="H1273" s="197" t="s">
        <v>856</v>
      </c>
    </row>
    <row r="1274" ht="15.75" customHeight="1">
      <c r="A1274" s="197" t="s">
        <v>62</v>
      </c>
      <c r="B1274" s="197" t="s">
        <v>21</v>
      </c>
      <c r="C1274" s="198" t="s">
        <v>190</v>
      </c>
      <c r="D1274" s="197" t="s">
        <v>191</v>
      </c>
      <c r="E1274" s="199">
        <v>6.0</v>
      </c>
      <c r="F1274" s="200">
        <v>45707.58333333333</v>
      </c>
      <c r="G1274" s="197" t="s">
        <v>845</v>
      </c>
      <c r="H1274" s="197" t="s">
        <v>856</v>
      </c>
    </row>
    <row r="1275" ht="15.75" customHeight="1">
      <c r="A1275" s="197" t="s">
        <v>62</v>
      </c>
      <c r="B1275" s="197" t="s">
        <v>21</v>
      </c>
      <c r="C1275" s="198" t="s">
        <v>190</v>
      </c>
      <c r="D1275" s="197" t="s">
        <v>191</v>
      </c>
      <c r="E1275" s="199">
        <v>7.0</v>
      </c>
      <c r="F1275" s="200">
        <v>45714.58333333333</v>
      </c>
      <c r="G1275" s="197" t="s">
        <v>845</v>
      </c>
      <c r="H1275" s="197" t="s">
        <v>856</v>
      </c>
    </row>
    <row r="1276" ht="15.75" customHeight="1">
      <c r="A1276" s="197" t="s">
        <v>62</v>
      </c>
      <c r="B1276" s="197" t="s">
        <v>21</v>
      </c>
      <c r="C1276" s="198" t="s">
        <v>190</v>
      </c>
      <c r="D1276" s="197" t="s">
        <v>191</v>
      </c>
      <c r="E1276" s="199">
        <v>8.0</v>
      </c>
      <c r="F1276" s="200">
        <v>45756.375</v>
      </c>
      <c r="G1276" s="197" t="s">
        <v>845</v>
      </c>
      <c r="H1276" s="197" t="s">
        <v>856</v>
      </c>
    </row>
    <row r="1277" ht="15.75" customHeight="1">
      <c r="A1277" s="197" t="s">
        <v>62</v>
      </c>
      <c r="B1277" s="197" t="s">
        <v>21</v>
      </c>
      <c r="C1277" s="198" t="s">
        <v>190</v>
      </c>
      <c r="D1277" s="197" t="s">
        <v>191</v>
      </c>
      <c r="E1277" s="199">
        <v>9.0</v>
      </c>
      <c r="F1277" s="200">
        <v>45784.375</v>
      </c>
      <c r="G1277" s="197" t="s">
        <v>845</v>
      </c>
      <c r="H1277" s="197" t="s">
        <v>856</v>
      </c>
    </row>
    <row r="1278" ht="15.75" customHeight="1">
      <c r="A1278" s="197" t="s">
        <v>62</v>
      </c>
      <c r="B1278" s="197" t="s">
        <v>21</v>
      </c>
      <c r="C1278" s="198" t="s">
        <v>198</v>
      </c>
      <c r="D1278" s="197" t="s">
        <v>199</v>
      </c>
      <c r="E1278" s="199">
        <v>1.0</v>
      </c>
      <c r="F1278" s="200">
        <v>45646.375</v>
      </c>
      <c r="G1278" s="197" t="s">
        <v>845</v>
      </c>
      <c r="H1278" s="197" t="s">
        <v>856</v>
      </c>
    </row>
    <row r="1279" ht="15.75" customHeight="1">
      <c r="A1279" s="197" t="s">
        <v>62</v>
      </c>
      <c r="B1279" s="197" t="s">
        <v>21</v>
      </c>
      <c r="C1279" s="198" t="s">
        <v>198</v>
      </c>
      <c r="D1279" s="197" t="s">
        <v>199</v>
      </c>
      <c r="E1279" s="199">
        <v>2.0</v>
      </c>
      <c r="F1279" s="200">
        <v>45653.375</v>
      </c>
      <c r="G1279" s="197" t="s">
        <v>845</v>
      </c>
      <c r="H1279" s="197" t="s">
        <v>856</v>
      </c>
    </row>
    <row r="1280" ht="15.75" customHeight="1">
      <c r="A1280" s="197" t="s">
        <v>62</v>
      </c>
      <c r="B1280" s="197" t="s">
        <v>21</v>
      </c>
      <c r="C1280" s="198" t="s">
        <v>198</v>
      </c>
      <c r="D1280" s="197" t="s">
        <v>199</v>
      </c>
      <c r="E1280" s="199">
        <v>3.0</v>
      </c>
      <c r="F1280" s="200">
        <v>45673.375</v>
      </c>
      <c r="G1280" s="197" t="s">
        <v>845</v>
      </c>
      <c r="H1280" s="197" t="s">
        <v>856</v>
      </c>
    </row>
    <row r="1281" ht="15.75" customHeight="1">
      <c r="A1281" s="197" t="s">
        <v>62</v>
      </c>
      <c r="B1281" s="197" t="s">
        <v>21</v>
      </c>
      <c r="C1281" s="198" t="s">
        <v>198</v>
      </c>
      <c r="D1281" s="197" t="s">
        <v>199</v>
      </c>
      <c r="E1281" s="199">
        <v>4.0</v>
      </c>
      <c r="F1281" s="200">
        <v>45680.375</v>
      </c>
      <c r="G1281" s="197" t="s">
        <v>845</v>
      </c>
      <c r="H1281" s="197" t="s">
        <v>856</v>
      </c>
    </row>
    <row r="1282" ht="15.75" customHeight="1">
      <c r="A1282" s="197" t="s">
        <v>62</v>
      </c>
      <c r="B1282" s="197" t="s">
        <v>21</v>
      </c>
      <c r="C1282" s="198" t="s">
        <v>198</v>
      </c>
      <c r="D1282" s="197" t="s">
        <v>199</v>
      </c>
      <c r="E1282" s="199">
        <v>5.0</v>
      </c>
      <c r="F1282" s="200">
        <v>45700.58333333333</v>
      </c>
      <c r="G1282" s="197" t="s">
        <v>845</v>
      </c>
      <c r="H1282" s="197" t="s">
        <v>856</v>
      </c>
    </row>
    <row r="1283" ht="15.75" customHeight="1">
      <c r="A1283" s="197" t="s">
        <v>62</v>
      </c>
      <c r="B1283" s="197" t="s">
        <v>21</v>
      </c>
      <c r="C1283" s="198" t="s">
        <v>198</v>
      </c>
      <c r="D1283" s="197" t="s">
        <v>199</v>
      </c>
      <c r="E1283" s="199">
        <v>6.0</v>
      </c>
      <c r="F1283" s="200">
        <v>45707.58333333333</v>
      </c>
      <c r="G1283" s="197" t="s">
        <v>845</v>
      </c>
      <c r="H1283" s="197" t="s">
        <v>856</v>
      </c>
    </row>
    <row r="1284" ht="15.75" customHeight="1">
      <c r="A1284" s="197" t="s">
        <v>62</v>
      </c>
      <c r="B1284" s="197" t="s">
        <v>21</v>
      </c>
      <c r="C1284" s="198" t="s">
        <v>198</v>
      </c>
      <c r="D1284" s="197" t="s">
        <v>199</v>
      </c>
      <c r="E1284" s="199">
        <v>7.0</v>
      </c>
      <c r="F1284" s="200">
        <v>45714.58333333333</v>
      </c>
      <c r="G1284" s="197" t="s">
        <v>845</v>
      </c>
      <c r="H1284" s="197" t="s">
        <v>856</v>
      </c>
    </row>
    <row r="1285" ht="15.75" customHeight="1">
      <c r="A1285" s="197" t="s">
        <v>62</v>
      </c>
      <c r="B1285" s="197" t="s">
        <v>21</v>
      </c>
      <c r="C1285" s="198" t="s">
        <v>198</v>
      </c>
      <c r="D1285" s="197" t="s">
        <v>199</v>
      </c>
      <c r="E1285" s="199">
        <v>8.0</v>
      </c>
      <c r="F1285" s="200">
        <v>45756.375</v>
      </c>
      <c r="G1285" s="197" t="s">
        <v>845</v>
      </c>
      <c r="H1285" s="197" t="s">
        <v>856</v>
      </c>
    </row>
    <row r="1286" ht="15.75" customHeight="1">
      <c r="A1286" s="197" t="s">
        <v>62</v>
      </c>
      <c r="B1286" s="197" t="s">
        <v>21</v>
      </c>
      <c r="C1286" s="198" t="s">
        <v>198</v>
      </c>
      <c r="D1286" s="197" t="s">
        <v>199</v>
      </c>
      <c r="E1286" s="199">
        <v>9.0</v>
      </c>
      <c r="F1286" s="200">
        <v>45784.375</v>
      </c>
      <c r="G1286" s="197" t="s">
        <v>843</v>
      </c>
      <c r="H1286" s="197" t="s">
        <v>856</v>
      </c>
    </row>
    <row r="1287" ht="15.75" customHeight="1">
      <c r="A1287" s="197" t="s">
        <v>62</v>
      </c>
      <c r="B1287" s="197" t="s">
        <v>21</v>
      </c>
      <c r="C1287" s="198" t="s">
        <v>237</v>
      </c>
      <c r="D1287" s="197" t="s">
        <v>238</v>
      </c>
      <c r="E1287" s="199">
        <v>1.0</v>
      </c>
      <c r="F1287" s="200">
        <v>45646.375</v>
      </c>
      <c r="G1287" s="197" t="s">
        <v>845</v>
      </c>
      <c r="H1287" s="197" t="s">
        <v>856</v>
      </c>
    </row>
    <row r="1288" ht="15.75" customHeight="1">
      <c r="A1288" s="197" t="s">
        <v>62</v>
      </c>
      <c r="B1288" s="197" t="s">
        <v>21</v>
      </c>
      <c r="C1288" s="198" t="s">
        <v>237</v>
      </c>
      <c r="D1288" s="197" t="s">
        <v>238</v>
      </c>
      <c r="E1288" s="199">
        <v>2.0</v>
      </c>
      <c r="F1288" s="200">
        <v>45653.375</v>
      </c>
      <c r="G1288" s="197" t="s">
        <v>845</v>
      </c>
      <c r="H1288" s="197" t="s">
        <v>856</v>
      </c>
    </row>
    <row r="1289" ht="15.75" customHeight="1">
      <c r="A1289" s="197" t="s">
        <v>62</v>
      </c>
      <c r="B1289" s="197" t="s">
        <v>21</v>
      </c>
      <c r="C1289" s="198" t="s">
        <v>237</v>
      </c>
      <c r="D1289" s="197" t="s">
        <v>238</v>
      </c>
      <c r="E1289" s="199">
        <v>3.0</v>
      </c>
      <c r="F1289" s="200">
        <v>45673.41666666667</v>
      </c>
      <c r="G1289" s="197" t="s">
        <v>845</v>
      </c>
      <c r="H1289" s="197" t="s">
        <v>856</v>
      </c>
    </row>
    <row r="1290" ht="15.75" customHeight="1">
      <c r="A1290" s="197" t="s">
        <v>62</v>
      </c>
      <c r="B1290" s="197" t="s">
        <v>21</v>
      </c>
      <c r="C1290" s="198" t="s">
        <v>237</v>
      </c>
      <c r="D1290" s="197" t="s">
        <v>238</v>
      </c>
      <c r="E1290" s="199">
        <v>4.0</v>
      </c>
      <c r="F1290" s="200">
        <v>45680.41666666667</v>
      </c>
      <c r="G1290" s="197" t="s">
        <v>845</v>
      </c>
      <c r="H1290" s="197" t="s">
        <v>856</v>
      </c>
    </row>
    <row r="1291" ht="15.75" customHeight="1">
      <c r="A1291" s="197" t="s">
        <v>62</v>
      </c>
      <c r="B1291" s="197" t="s">
        <v>21</v>
      </c>
      <c r="C1291" s="198" t="s">
        <v>237</v>
      </c>
      <c r="D1291" s="197" t="s">
        <v>238</v>
      </c>
      <c r="E1291" s="199">
        <v>5.0</v>
      </c>
      <c r="F1291" s="200">
        <v>45700.58333333333</v>
      </c>
      <c r="G1291" s="197" t="s">
        <v>845</v>
      </c>
      <c r="H1291" s="197" t="s">
        <v>856</v>
      </c>
    </row>
    <row r="1292" ht="15.75" customHeight="1">
      <c r="A1292" s="197" t="s">
        <v>62</v>
      </c>
      <c r="B1292" s="197" t="s">
        <v>21</v>
      </c>
      <c r="C1292" s="198" t="s">
        <v>237</v>
      </c>
      <c r="D1292" s="197" t="s">
        <v>238</v>
      </c>
      <c r="E1292" s="199">
        <v>6.0</v>
      </c>
      <c r="F1292" s="200">
        <v>45707.58333333333</v>
      </c>
      <c r="G1292" s="197" t="s">
        <v>845</v>
      </c>
      <c r="H1292" s="197" t="s">
        <v>856</v>
      </c>
    </row>
    <row r="1293" ht="15.75" customHeight="1">
      <c r="A1293" s="197" t="s">
        <v>62</v>
      </c>
      <c r="B1293" s="197" t="s">
        <v>21</v>
      </c>
      <c r="C1293" s="198" t="s">
        <v>237</v>
      </c>
      <c r="D1293" s="197" t="s">
        <v>238</v>
      </c>
      <c r="E1293" s="199">
        <v>7.0</v>
      </c>
      <c r="F1293" s="200">
        <v>45714.58333333333</v>
      </c>
      <c r="G1293" s="197" t="s">
        <v>843</v>
      </c>
      <c r="H1293" s="197" t="s">
        <v>856</v>
      </c>
    </row>
    <row r="1294" ht="15.75" customHeight="1">
      <c r="A1294" s="197" t="s">
        <v>62</v>
      </c>
      <c r="B1294" s="197" t="s">
        <v>21</v>
      </c>
      <c r="C1294" s="198" t="s">
        <v>237</v>
      </c>
      <c r="D1294" s="197" t="s">
        <v>238</v>
      </c>
      <c r="E1294" s="199">
        <v>8.0</v>
      </c>
      <c r="F1294" s="200">
        <v>45756.375</v>
      </c>
      <c r="G1294" s="197" t="s">
        <v>845</v>
      </c>
      <c r="H1294" s="197" t="s">
        <v>856</v>
      </c>
    </row>
    <row r="1295" ht="15.75" customHeight="1">
      <c r="A1295" s="197" t="s">
        <v>62</v>
      </c>
      <c r="B1295" s="197" t="s">
        <v>21</v>
      </c>
      <c r="C1295" s="198" t="s">
        <v>237</v>
      </c>
      <c r="D1295" s="197" t="s">
        <v>238</v>
      </c>
      <c r="E1295" s="199">
        <v>9.0</v>
      </c>
      <c r="F1295" s="200">
        <v>45784.375</v>
      </c>
      <c r="G1295" s="197" t="s">
        <v>843</v>
      </c>
      <c r="H1295" s="197" t="s">
        <v>856</v>
      </c>
    </row>
    <row r="1296" ht="15.75" customHeight="1">
      <c r="A1296" s="197" t="s">
        <v>62</v>
      </c>
      <c r="B1296" s="197" t="s">
        <v>21</v>
      </c>
      <c r="C1296" s="198" t="s">
        <v>249</v>
      </c>
      <c r="D1296" s="197" t="s">
        <v>250</v>
      </c>
      <c r="E1296" s="199">
        <v>1.0</v>
      </c>
      <c r="F1296" s="200">
        <v>45646.375</v>
      </c>
      <c r="G1296" s="197" t="s">
        <v>845</v>
      </c>
      <c r="H1296" s="197" t="s">
        <v>856</v>
      </c>
    </row>
    <row r="1297" ht="15.75" customHeight="1">
      <c r="A1297" s="197" t="s">
        <v>62</v>
      </c>
      <c r="B1297" s="197" t="s">
        <v>21</v>
      </c>
      <c r="C1297" s="198" t="s">
        <v>249</v>
      </c>
      <c r="D1297" s="197" t="s">
        <v>250</v>
      </c>
      <c r="E1297" s="199">
        <v>2.0</v>
      </c>
      <c r="F1297" s="200">
        <v>45653.375</v>
      </c>
      <c r="G1297" s="197" t="s">
        <v>845</v>
      </c>
      <c r="H1297" s="197" t="s">
        <v>856</v>
      </c>
    </row>
    <row r="1298" ht="15.75" customHeight="1">
      <c r="A1298" s="197" t="s">
        <v>62</v>
      </c>
      <c r="B1298" s="197" t="s">
        <v>21</v>
      </c>
      <c r="C1298" s="198" t="s">
        <v>249</v>
      </c>
      <c r="D1298" s="197" t="s">
        <v>250</v>
      </c>
      <c r="E1298" s="199">
        <v>3.0</v>
      </c>
      <c r="F1298" s="200">
        <v>45673.375</v>
      </c>
      <c r="G1298" s="197" t="s">
        <v>845</v>
      </c>
      <c r="H1298" s="197" t="s">
        <v>856</v>
      </c>
    </row>
    <row r="1299" ht="15.75" customHeight="1">
      <c r="A1299" s="197" t="s">
        <v>62</v>
      </c>
      <c r="B1299" s="197" t="s">
        <v>21</v>
      </c>
      <c r="C1299" s="198" t="s">
        <v>249</v>
      </c>
      <c r="D1299" s="197" t="s">
        <v>250</v>
      </c>
      <c r="E1299" s="199">
        <v>4.0</v>
      </c>
      <c r="F1299" s="200">
        <v>45680.375</v>
      </c>
      <c r="G1299" s="197" t="s">
        <v>843</v>
      </c>
      <c r="H1299" s="197" t="s">
        <v>856</v>
      </c>
    </row>
    <row r="1300" ht="15.75" customHeight="1">
      <c r="A1300" s="197" t="s">
        <v>62</v>
      </c>
      <c r="B1300" s="197" t="s">
        <v>21</v>
      </c>
      <c r="C1300" s="198" t="s">
        <v>249</v>
      </c>
      <c r="D1300" s="197" t="s">
        <v>250</v>
      </c>
      <c r="E1300" s="199">
        <v>5.0</v>
      </c>
      <c r="F1300" s="200">
        <v>45700.58333333333</v>
      </c>
      <c r="G1300" s="197" t="s">
        <v>845</v>
      </c>
      <c r="H1300" s="197" t="s">
        <v>856</v>
      </c>
    </row>
    <row r="1301" ht="15.75" customHeight="1">
      <c r="A1301" s="197" t="s">
        <v>62</v>
      </c>
      <c r="B1301" s="197" t="s">
        <v>21</v>
      </c>
      <c r="C1301" s="198" t="s">
        <v>249</v>
      </c>
      <c r="D1301" s="197" t="s">
        <v>250</v>
      </c>
      <c r="E1301" s="199">
        <v>6.0</v>
      </c>
      <c r="F1301" s="200">
        <v>45707.58333333333</v>
      </c>
      <c r="G1301" s="197" t="s">
        <v>845</v>
      </c>
      <c r="H1301" s="197" t="s">
        <v>856</v>
      </c>
    </row>
    <row r="1302" ht="15.75" customHeight="1">
      <c r="A1302" s="197" t="s">
        <v>62</v>
      </c>
      <c r="B1302" s="197" t="s">
        <v>21</v>
      </c>
      <c r="C1302" s="198" t="s">
        <v>249</v>
      </c>
      <c r="D1302" s="197" t="s">
        <v>250</v>
      </c>
      <c r="E1302" s="199">
        <v>7.0</v>
      </c>
      <c r="F1302" s="200">
        <v>45714.58333333333</v>
      </c>
      <c r="G1302" s="197" t="s">
        <v>845</v>
      </c>
      <c r="H1302" s="197" t="s">
        <v>856</v>
      </c>
    </row>
    <row r="1303" ht="15.75" customHeight="1">
      <c r="A1303" s="197" t="s">
        <v>62</v>
      </c>
      <c r="B1303" s="197" t="s">
        <v>21</v>
      </c>
      <c r="C1303" s="198" t="s">
        <v>249</v>
      </c>
      <c r="D1303" s="197" t="s">
        <v>250</v>
      </c>
      <c r="E1303" s="199">
        <v>8.0</v>
      </c>
      <c r="F1303" s="200">
        <v>45756.375</v>
      </c>
      <c r="G1303" s="197" t="s">
        <v>845</v>
      </c>
      <c r="H1303" s="197" t="s">
        <v>856</v>
      </c>
    </row>
    <row r="1304" ht="15.75" customHeight="1">
      <c r="A1304" s="197" t="s">
        <v>62</v>
      </c>
      <c r="B1304" s="197" t="s">
        <v>21</v>
      </c>
      <c r="C1304" s="198" t="s">
        <v>249</v>
      </c>
      <c r="D1304" s="197" t="s">
        <v>250</v>
      </c>
      <c r="E1304" s="199">
        <v>9.0</v>
      </c>
      <c r="F1304" s="200">
        <v>45784.375</v>
      </c>
      <c r="G1304" s="197" t="s">
        <v>845</v>
      </c>
      <c r="H1304" s="197" t="s">
        <v>856</v>
      </c>
    </row>
    <row r="1305" ht="15.75" customHeight="1">
      <c r="A1305" s="197" t="s">
        <v>62</v>
      </c>
      <c r="B1305" s="197" t="s">
        <v>21</v>
      </c>
      <c r="C1305" s="198" t="s">
        <v>307</v>
      </c>
      <c r="D1305" s="197" t="s">
        <v>308</v>
      </c>
      <c r="E1305" s="199">
        <v>1.0</v>
      </c>
      <c r="F1305" s="200">
        <v>45646.375</v>
      </c>
      <c r="G1305" s="197" t="s">
        <v>845</v>
      </c>
      <c r="H1305" s="197" t="s">
        <v>856</v>
      </c>
    </row>
    <row r="1306" ht="15.75" customHeight="1">
      <c r="A1306" s="197" t="s">
        <v>62</v>
      </c>
      <c r="B1306" s="197" t="s">
        <v>21</v>
      </c>
      <c r="C1306" s="198" t="s">
        <v>307</v>
      </c>
      <c r="D1306" s="197" t="s">
        <v>308</v>
      </c>
      <c r="E1306" s="199">
        <v>2.0</v>
      </c>
      <c r="F1306" s="200">
        <v>45653.375</v>
      </c>
      <c r="G1306" s="197" t="s">
        <v>845</v>
      </c>
      <c r="H1306" s="197" t="s">
        <v>856</v>
      </c>
    </row>
    <row r="1307" ht="15.75" customHeight="1">
      <c r="A1307" s="197" t="s">
        <v>62</v>
      </c>
      <c r="B1307" s="197" t="s">
        <v>21</v>
      </c>
      <c r="C1307" s="198" t="s">
        <v>307</v>
      </c>
      <c r="D1307" s="197" t="s">
        <v>308</v>
      </c>
      <c r="E1307" s="199">
        <v>3.0</v>
      </c>
      <c r="F1307" s="200">
        <v>45673.41666666667</v>
      </c>
      <c r="G1307" s="197" t="s">
        <v>845</v>
      </c>
      <c r="H1307" s="197" t="s">
        <v>856</v>
      </c>
    </row>
    <row r="1308" ht="15.75" customHeight="1">
      <c r="A1308" s="197" t="s">
        <v>62</v>
      </c>
      <c r="B1308" s="197" t="s">
        <v>21</v>
      </c>
      <c r="C1308" s="198" t="s">
        <v>307</v>
      </c>
      <c r="D1308" s="197" t="s">
        <v>308</v>
      </c>
      <c r="E1308" s="199">
        <v>4.0</v>
      </c>
      <c r="F1308" s="200">
        <v>45680.41666666667</v>
      </c>
      <c r="G1308" s="197" t="s">
        <v>845</v>
      </c>
      <c r="H1308" s="197" t="s">
        <v>856</v>
      </c>
    </row>
    <row r="1309" ht="15.75" customHeight="1">
      <c r="A1309" s="197" t="s">
        <v>62</v>
      </c>
      <c r="B1309" s="197" t="s">
        <v>21</v>
      </c>
      <c r="C1309" s="198" t="s">
        <v>307</v>
      </c>
      <c r="D1309" s="197" t="s">
        <v>308</v>
      </c>
      <c r="E1309" s="199">
        <v>5.0</v>
      </c>
      <c r="F1309" s="200">
        <v>45694.375</v>
      </c>
      <c r="G1309" s="197" t="s">
        <v>845</v>
      </c>
      <c r="H1309" s="197" t="s">
        <v>856</v>
      </c>
    </row>
    <row r="1310" ht="15.75" customHeight="1">
      <c r="A1310" s="197" t="s">
        <v>62</v>
      </c>
      <c r="B1310" s="197" t="s">
        <v>21</v>
      </c>
      <c r="C1310" s="198" t="s">
        <v>307</v>
      </c>
      <c r="D1310" s="197" t="s">
        <v>308</v>
      </c>
      <c r="E1310" s="199">
        <v>6.0</v>
      </c>
      <c r="F1310" s="200">
        <v>45701.375</v>
      </c>
      <c r="G1310" s="197" t="s">
        <v>845</v>
      </c>
      <c r="H1310" s="197" t="s">
        <v>856</v>
      </c>
    </row>
    <row r="1311" ht="15.75" customHeight="1">
      <c r="A1311" s="197" t="s">
        <v>62</v>
      </c>
      <c r="B1311" s="197" t="s">
        <v>21</v>
      </c>
      <c r="C1311" s="198" t="s">
        <v>307</v>
      </c>
      <c r="D1311" s="197" t="s">
        <v>308</v>
      </c>
      <c r="E1311" s="199">
        <v>7.0</v>
      </c>
      <c r="F1311" s="200">
        <v>45708.375</v>
      </c>
      <c r="G1311" s="197" t="s">
        <v>845</v>
      </c>
      <c r="H1311" s="197" t="s">
        <v>856</v>
      </c>
    </row>
    <row r="1312" ht="15.75" customHeight="1">
      <c r="A1312" s="197" t="s">
        <v>62</v>
      </c>
      <c r="B1312" s="197" t="s">
        <v>21</v>
      </c>
      <c r="C1312" s="198" t="s">
        <v>307</v>
      </c>
      <c r="D1312" s="197" t="s">
        <v>308</v>
      </c>
      <c r="E1312" s="199">
        <v>8.0</v>
      </c>
      <c r="F1312" s="200">
        <v>45756.375</v>
      </c>
      <c r="G1312" s="197" t="s">
        <v>845</v>
      </c>
      <c r="H1312" s="197" t="s">
        <v>856</v>
      </c>
    </row>
    <row r="1313" ht="15.75" customHeight="1">
      <c r="A1313" s="197" t="s">
        <v>62</v>
      </c>
      <c r="B1313" s="197" t="s">
        <v>21</v>
      </c>
      <c r="C1313" s="198" t="s">
        <v>307</v>
      </c>
      <c r="D1313" s="197" t="s">
        <v>308</v>
      </c>
      <c r="E1313" s="199">
        <v>9.0</v>
      </c>
      <c r="F1313" s="200">
        <v>45784.375</v>
      </c>
      <c r="G1313" s="197" t="s">
        <v>845</v>
      </c>
      <c r="H1313" s="197" t="s">
        <v>856</v>
      </c>
    </row>
    <row r="1314" ht="15.75" customHeight="1">
      <c r="A1314" s="197" t="s">
        <v>62</v>
      </c>
      <c r="B1314" s="197" t="s">
        <v>21</v>
      </c>
      <c r="C1314" s="198" t="s">
        <v>376</v>
      </c>
      <c r="D1314" s="197" t="s">
        <v>377</v>
      </c>
      <c r="E1314" s="199">
        <v>1.0</v>
      </c>
      <c r="F1314" s="200">
        <v>45646.375</v>
      </c>
      <c r="G1314" s="197" t="s">
        <v>845</v>
      </c>
      <c r="H1314" s="197" t="s">
        <v>856</v>
      </c>
    </row>
    <row r="1315" ht="15.75" customHeight="1">
      <c r="A1315" s="197" t="s">
        <v>62</v>
      </c>
      <c r="B1315" s="197" t="s">
        <v>21</v>
      </c>
      <c r="C1315" s="198" t="s">
        <v>376</v>
      </c>
      <c r="D1315" s="197" t="s">
        <v>377</v>
      </c>
      <c r="E1315" s="199">
        <v>2.0</v>
      </c>
      <c r="F1315" s="200">
        <v>45653.375</v>
      </c>
      <c r="G1315" s="197" t="s">
        <v>845</v>
      </c>
      <c r="H1315" s="197" t="s">
        <v>856</v>
      </c>
    </row>
    <row r="1316" ht="15.75" customHeight="1">
      <c r="A1316" s="197" t="s">
        <v>62</v>
      </c>
      <c r="B1316" s="197" t="s">
        <v>21</v>
      </c>
      <c r="C1316" s="198" t="s">
        <v>376</v>
      </c>
      <c r="D1316" s="197" t="s">
        <v>377</v>
      </c>
      <c r="E1316" s="199">
        <v>3.0</v>
      </c>
      <c r="F1316" s="200">
        <v>45673.41666666667</v>
      </c>
      <c r="G1316" s="197" t="s">
        <v>843</v>
      </c>
      <c r="H1316" s="197" t="s">
        <v>856</v>
      </c>
    </row>
    <row r="1317" ht="15.75" customHeight="1">
      <c r="A1317" s="197" t="s">
        <v>62</v>
      </c>
      <c r="B1317" s="197" t="s">
        <v>21</v>
      </c>
      <c r="C1317" s="198" t="s">
        <v>376</v>
      </c>
      <c r="D1317" s="197" t="s">
        <v>377</v>
      </c>
      <c r="E1317" s="199">
        <v>4.0</v>
      </c>
      <c r="F1317" s="200">
        <v>45680.375</v>
      </c>
      <c r="G1317" s="197" t="s">
        <v>843</v>
      </c>
      <c r="H1317" s="197" t="s">
        <v>856</v>
      </c>
    </row>
    <row r="1318" ht="15.75" customHeight="1">
      <c r="A1318" s="197" t="s">
        <v>62</v>
      </c>
      <c r="B1318" s="197" t="s">
        <v>21</v>
      </c>
      <c r="C1318" s="198" t="s">
        <v>376</v>
      </c>
      <c r="D1318" s="197" t="s">
        <v>377</v>
      </c>
      <c r="E1318" s="199">
        <v>5.0</v>
      </c>
      <c r="F1318" s="200">
        <v>45700.58333333333</v>
      </c>
      <c r="G1318" s="197" t="s">
        <v>845</v>
      </c>
      <c r="H1318" s="197" t="s">
        <v>856</v>
      </c>
    </row>
    <row r="1319" ht="15.75" customHeight="1">
      <c r="A1319" s="197" t="s">
        <v>62</v>
      </c>
      <c r="B1319" s="197" t="s">
        <v>21</v>
      </c>
      <c r="C1319" s="198" t="s">
        <v>376</v>
      </c>
      <c r="D1319" s="197" t="s">
        <v>377</v>
      </c>
      <c r="E1319" s="199">
        <v>6.0</v>
      </c>
      <c r="F1319" s="200">
        <v>45707.58333333333</v>
      </c>
      <c r="G1319" s="197" t="s">
        <v>845</v>
      </c>
      <c r="H1319" s="197" t="s">
        <v>856</v>
      </c>
    </row>
    <row r="1320" ht="15.75" customHeight="1">
      <c r="A1320" s="197" t="s">
        <v>62</v>
      </c>
      <c r="B1320" s="197" t="s">
        <v>21</v>
      </c>
      <c r="C1320" s="198" t="s">
        <v>376</v>
      </c>
      <c r="D1320" s="197" t="s">
        <v>377</v>
      </c>
      <c r="E1320" s="199">
        <v>7.0</v>
      </c>
      <c r="F1320" s="200">
        <v>45714.58333333333</v>
      </c>
      <c r="G1320" s="197" t="s">
        <v>843</v>
      </c>
      <c r="H1320" s="197" t="s">
        <v>856</v>
      </c>
    </row>
    <row r="1321" ht="15.75" customHeight="1">
      <c r="A1321" s="197" t="s">
        <v>62</v>
      </c>
      <c r="B1321" s="197" t="s">
        <v>21</v>
      </c>
      <c r="C1321" s="198" t="s">
        <v>376</v>
      </c>
      <c r="D1321" s="197" t="s">
        <v>377</v>
      </c>
      <c r="E1321" s="199">
        <v>8.0</v>
      </c>
      <c r="F1321" s="200">
        <v>45756.375</v>
      </c>
      <c r="G1321" s="197" t="s">
        <v>843</v>
      </c>
      <c r="H1321" s="197" t="s">
        <v>856</v>
      </c>
    </row>
    <row r="1322" ht="15.75" customHeight="1">
      <c r="A1322" s="197" t="s">
        <v>62</v>
      </c>
      <c r="B1322" s="197" t="s">
        <v>21</v>
      </c>
      <c r="C1322" s="198" t="s">
        <v>376</v>
      </c>
      <c r="D1322" s="197" t="s">
        <v>377</v>
      </c>
      <c r="E1322" s="199">
        <v>9.0</v>
      </c>
      <c r="F1322" s="200">
        <v>45784.375</v>
      </c>
      <c r="G1322" s="197" t="s">
        <v>845</v>
      </c>
      <c r="H1322" s="197" t="s">
        <v>856</v>
      </c>
    </row>
    <row r="1323" ht="15.75" customHeight="1">
      <c r="A1323" s="197" t="s">
        <v>62</v>
      </c>
      <c r="B1323" s="197" t="s">
        <v>21</v>
      </c>
      <c r="C1323" s="198" t="s">
        <v>387</v>
      </c>
      <c r="D1323" s="197" t="s">
        <v>388</v>
      </c>
      <c r="E1323" s="199">
        <v>1.0</v>
      </c>
      <c r="F1323" s="200">
        <v>45646.375</v>
      </c>
      <c r="G1323" s="197" t="s">
        <v>843</v>
      </c>
      <c r="H1323" s="197" t="s">
        <v>856</v>
      </c>
    </row>
    <row r="1324" ht="15.75" customHeight="1">
      <c r="A1324" s="197" t="s">
        <v>62</v>
      </c>
      <c r="B1324" s="197" t="s">
        <v>21</v>
      </c>
      <c r="C1324" s="198" t="s">
        <v>387</v>
      </c>
      <c r="D1324" s="197" t="s">
        <v>388</v>
      </c>
      <c r="E1324" s="199">
        <v>2.0</v>
      </c>
      <c r="F1324" s="200">
        <v>45653.375</v>
      </c>
      <c r="G1324" s="197" t="s">
        <v>845</v>
      </c>
      <c r="H1324" s="197" t="s">
        <v>856</v>
      </c>
    </row>
    <row r="1325" ht="15.75" customHeight="1">
      <c r="A1325" s="197" t="s">
        <v>62</v>
      </c>
      <c r="B1325" s="197" t="s">
        <v>21</v>
      </c>
      <c r="C1325" s="198" t="s">
        <v>387</v>
      </c>
      <c r="D1325" s="197" t="s">
        <v>388</v>
      </c>
      <c r="E1325" s="199">
        <v>3.0</v>
      </c>
      <c r="F1325" s="200">
        <v>45673.375</v>
      </c>
      <c r="G1325" s="197" t="s">
        <v>845</v>
      </c>
      <c r="H1325" s="197" t="s">
        <v>856</v>
      </c>
    </row>
    <row r="1326" ht="15.75" customHeight="1">
      <c r="A1326" s="197" t="s">
        <v>62</v>
      </c>
      <c r="B1326" s="197" t="s">
        <v>21</v>
      </c>
      <c r="C1326" s="198" t="s">
        <v>387</v>
      </c>
      <c r="D1326" s="197" t="s">
        <v>388</v>
      </c>
      <c r="E1326" s="199">
        <v>4.0</v>
      </c>
      <c r="F1326" s="200">
        <v>45680.375</v>
      </c>
      <c r="G1326" s="197" t="s">
        <v>845</v>
      </c>
      <c r="H1326" s="197" t="s">
        <v>856</v>
      </c>
    </row>
    <row r="1327" ht="15.75" customHeight="1">
      <c r="A1327" s="197" t="s">
        <v>62</v>
      </c>
      <c r="B1327" s="197" t="s">
        <v>21</v>
      </c>
      <c r="C1327" s="198" t="s">
        <v>387</v>
      </c>
      <c r="D1327" s="197" t="s">
        <v>388</v>
      </c>
      <c r="E1327" s="199">
        <v>5.0</v>
      </c>
      <c r="F1327" s="200">
        <v>45700.58333333333</v>
      </c>
      <c r="G1327" s="197" t="s">
        <v>845</v>
      </c>
      <c r="H1327" s="197" t="s">
        <v>856</v>
      </c>
    </row>
    <row r="1328" ht="15.75" customHeight="1">
      <c r="A1328" s="197" t="s">
        <v>62</v>
      </c>
      <c r="B1328" s="197" t="s">
        <v>21</v>
      </c>
      <c r="C1328" s="198" t="s">
        <v>387</v>
      </c>
      <c r="D1328" s="197" t="s">
        <v>388</v>
      </c>
      <c r="E1328" s="199">
        <v>6.0</v>
      </c>
      <c r="F1328" s="200">
        <v>45707.58333333333</v>
      </c>
      <c r="G1328" s="197" t="s">
        <v>845</v>
      </c>
      <c r="H1328" s="197" t="s">
        <v>856</v>
      </c>
    </row>
    <row r="1329" ht="15.75" customHeight="1">
      <c r="A1329" s="197" t="s">
        <v>62</v>
      </c>
      <c r="B1329" s="197" t="s">
        <v>21</v>
      </c>
      <c r="C1329" s="198" t="s">
        <v>387</v>
      </c>
      <c r="D1329" s="197" t="s">
        <v>388</v>
      </c>
      <c r="E1329" s="199">
        <v>7.0</v>
      </c>
      <c r="F1329" s="200">
        <v>45714.58333333333</v>
      </c>
      <c r="G1329" s="197" t="s">
        <v>845</v>
      </c>
      <c r="H1329" s="197" t="s">
        <v>856</v>
      </c>
    </row>
    <row r="1330" ht="15.75" customHeight="1">
      <c r="A1330" s="197" t="s">
        <v>62</v>
      </c>
      <c r="B1330" s="197" t="s">
        <v>21</v>
      </c>
      <c r="C1330" s="198" t="s">
        <v>387</v>
      </c>
      <c r="D1330" s="197" t="s">
        <v>388</v>
      </c>
      <c r="E1330" s="199">
        <v>8.0</v>
      </c>
      <c r="F1330" s="200">
        <v>45756.375</v>
      </c>
      <c r="G1330" s="197" t="s">
        <v>845</v>
      </c>
      <c r="H1330" s="197" t="s">
        <v>856</v>
      </c>
    </row>
    <row r="1331" ht="15.75" customHeight="1">
      <c r="A1331" s="197" t="s">
        <v>62</v>
      </c>
      <c r="B1331" s="197" t="s">
        <v>21</v>
      </c>
      <c r="C1331" s="198" t="s">
        <v>387</v>
      </c>
      <c r="D1331" s="197" t="s">
        <v>388</v>
      </c>
      <c r="E1331" s="199">
        <v>9.0</v>
      </c>
      <c r="F1331" s="200">
        <v>45784.375</v>
      </c>
      <c r="G1331" s="197" t="s">
        <v>845</v>
      </c>
      <c r="H1331" s="197" t="s">
        <v>856</v>
      </c>
    </row>
    <row r="1332" ht="15.75" customHeight="1">
      <c r="A1332" s="197" t="s">
        <v>63</v>
      </c>
      <c r="B1332" s="197" t="s">
        <v>21</v>
      </c>
      <c r="C1332" s="198" t="s">
        <v>220</v>
      </c>
      <c r="D1332" s="197" t="s">
        <v>221</v>
      </c>
      <c r="E1332" s="199">
        <v>1.0</v>
      </c>
      <c r="F1332" s="200">
        <v>45637.375</v>
      </c>
      <c r="G1332" s="197" t="s">
        <v>845</v>
      </c>
      <c r="H1332" s="197" t="s">
        <v>857</v>
      </c>
    </row>
    <row r="1333" ht="15.75" customHeight="1">
      <c r="A1333" s="197" t="s">
        <v>63</v>
      </c>
      <c r="B1333" s="197" t="s">
        <v>21</v>
      </c>
      <c r="C1333" s="198" t="s">
        <v>220</v>
      </c>
      <c r="D1333" s="197" t="s">
        <v>221</v>
      </c>
      <c r="E1333" s="199">
        <v>2.0</v>
      </c>
      <c r="F1333" s="200">
        <v>45645.375</v>
      </c>
      <c r="G1333" s="197" t="s">
        <v>845</v>
      </c>
      <c r="H1333" s="197" t="s">
        <v>857</v>
      </c>
    </row>
    <row r="1334" ht="15.75" customHeight="1">
      <c r="A1334" s="197" t="s">
        <v>63</v>
      </c>
      <c r="B1334" s="197" t="s">
        <v>21</v>
      </c>
      <c r="C1334" s="198" t="s">
        <v>220</v>
      </c>
      <c r="D1334" s="197" t="s">
        <v>221</v>
      </c>
      <c r="E1334" s="199">
        <v>3.0</v>
      </c>
      <c r="F1334" s="200">
        <v>45667.41666666667</v>
      </c>
      <c r="G1334" s="197" t="s">
        <v>845</v>
      </c>
      <c r="H1334" s="197" t="s">
        <v>857</v>
      </c>
    </row>
    <row r="1335" ht="15.75" customHeight="1">
      <c r="A1335" s="197" t="s">
        <v>63</v>
      </c>
      <c r="B1335" s="197" t="s">
        <v>21</v>
      </c>
      <c r="C1335" s="198" t="s">
        <v>220</v>
      </c>
      <c r="D1335" s="197" t="s">
        <v>221</v>
      </c>
      <c r="E1335" s="199">
        <v>4.0</v>
      </c>
      <c r="F1335" s="200">
        <v>45674.41666666667</v>
      </c>
      <c r="G1335" s="197" t="s">
        <v>845</v>
      </c>
      <c r="H1335" s="197" t="s">
        <v>857</v>
      </c>
    </row>
    <row r="1336" ht="15.75" customHeight="1">
      <c r="A1336" s="197" t="s">
        <v>63</v>
      </c>
      <c r="B1336" s="197" t="s">
        <v>21</v>
      </c>
      <c r="C1336" s="198" t="s">
        <v>220</v>
      </c>
      <c r="D1336" s="197" t="s">
        <v>221</v>
      </c>
      <c r="E1336" s="199">
        <v>5.0</v>
      </c>
      <c r="F1336" s="200">
        <v>45695.41666666667</v>
      </c>
      <c r="G1336" s="197" t="s">
        <v>845</v>
      </c>
      <c r="H1336" s="197" t="s">
        <v>857</v>
      </c>
    </row>
    <row r="1337" ht="15.75" customHeight="1">
      <c r="A1337" s="197" t="s">
        <v>63</v>
      </c>
      <c r="B1337" s="197" t="s">
        <v>21</v>
      </c>
      <c r="C1337" s="198" t="s">
        <v>220</v>
      </c>
      <c r="D1337" s="197" t="s">
        <v>221</v>
      </c>
      <c r="E1337" s="199">
        <v>6.0</v>
      </c>
      <c r="F1337" s="200">
        <v>45702.41666666667</v>
      </c>
      <c r="G1337" s="197" t="s">
        <v>845</v>
      </c>
      <c r="H1337" s="197" t="s">
        <v>857</v>
      </c>
    </row>
    <row r="1338" ht="15.75" customHeight="1">
      <c r="A1338" s="197" t="s">
        <v>63</v>
      </c>
      <c r="B1338" s="197" t="s">
        <v>21</v>
      </c>
      <c r="C1338" s="198" t="s">
        <v>220</v>
      </c>
      <c r="D1338" s="197" t="s">
        <v>221</v>
      </c>
      <c r="E1338" s="199">
        <v>7.0</v>
      </c>
      <c r="F1338" s="200">
        <v>45709.58333333333</v>
      </c>
      <c r="G1338" s="197" t="s">
        <v>845</v>
      </c>
      <c r="H1338" s="197" t="s">
        <v>857</v>
      </c>
    </row>
    <row r="1339" ht="15.75" customHeight="1">
      <c r="A1339" s="197" t="s">
        <v>63</v>
      </c>
      <c r="B1339" s="197" t="s">
        <v>21</v>
      </c>
      <c r="C1339" s="198" t="s">
        <v>220</v>
      </c>
      <c r="D1339" s="197" t="s">
        <v>221</v>
      </c>
      <c r="E1339" s="199">
        <v>8.0</v>
      </c>
      <c r="F1339" s="200">
        <v>45716.54166666667</v>
      </c>
      <c r="G1339" s="197" t="s">
        <v>845</v>
      </c>
      <c r="H1339" s="197" t="s">
        <v>857</v>
      </c>
    </row>
    <row r="1340" ht="15.75" customHeight="1">
      <c r="A1340" s="197" t="s">
        <v>63</v>
      </c>
      <c r="B1340" s="197" t="s">
        <v>21</v>
      </c>
      <c r="C1340" s="198" t="s">
        <v>220</v>
      </c>
      <c r="D1340" s="197" t="s">
        <v>221</v>
      </c>
      <c r="E1340" s="199">
        <v>9.0</v>
      </c>
      <c r="F1340" s="200">
        <v>45765.625</v>
      </c>
      <c r="G1340" s="197" t="s">
        <v>845</v>
      </c>
      <c r="H1340" s="197" t="s">
        <v>857</v>
      </c>
    </row>
    <row r="1341" ht="15.75" customHeight="1">
      <c r="A1341" s="197" t="s">
        <v>63</v>
      </c>
      <c r="B1341" s="197" t="s">
        <v>21</v>
      </c>
      <c r="C1341" s="198" t="s">
        <v>220</v>
      </c>
      <c r="D1341" s="197" t="s">
        <v>221</v>
      </c>
      <c r="E1341" s="199">
        <v>10.0</v>
      </c>
      <c r="F1341" s="200">
        <v>45806.41666666667</v>
      </c>
      <c r="G1341" s="197" t="s">
        <v>845</v>
      </c>
      <c r="H1341" s="197" t="s">
        <v>857</v>
      </c>
    </row>
    <row r="1342" ht="15.75" customHeight="1">
      <c r="A1342" s="197" t="s">
        <v>63</v>
      </c>
      <c r="B1342" s="197" t="s">
        <v>22</v>
      </c>
      <c r="C1342" s="198" t="s">
        <v>220</v>
      </c>
      <c r="D1342" s="197" t="s">
        <v>221</v>
      </c>
      <c r="E1342" s="199">
        <v>1.0</v>
      </c>
      <c r="F1342" s="200">
        <v>45841.375</v>
      </c>
      <c r="G1342" s="197" t="s">
        <v>845</v>
      </c>
      <c r="H1342" s="197" t="s">
        <v>857</v>
      </c>
    </row>
    <row r="1343" ht="15.75" customHeight="1">
      <c r="A1343" s="197" t="s">
        <v>63</v>
      </c>
      <c r="B1343" s="197" t="s">
        <v>22</v>
      </c>
      <c r="C1343" s="198" t="s">
        <v>220</v>
      </c>
      <c r="D1343" s="197" t="s">
        <v>221</v>
      </c>
      <c r="E1343" s="199">
        <v>2.0</v>
      </c>
      <c r="F1343" s="200">
        <v>45849.375</v>
      </c>
      <c r="G1343" s="197" t="s">
        <v>845</v>
      </c>
      <c r="H1343" s="197" t="s">
        <v>857</v>
      </c>
    </row>
    <row r="1344" ht="15.75" customHeight="1">
      <c r="A1344" s="197" t="s">
        <v>63</v>
      </c>
      <c r="B1344" s="197" t="s">
        <v>22</v>
      </c>
      <c r="C1344" s="198" t="s">
        <v>220</v>
      </c>
      <c r="D1344" s="197" t="s">
        <v>221</v>
      </c>
      <c r="E1344" s="199">
        <v>3.0</v>
      </c>
      <c r="F1344" s="200">
        <v>45862.375</v>
      </c>
      <c r="G1344" s="197" t="s">
        <v>845</v>
      </c>
      <c r="H1344" s="197" t="s">
        <v>857</v>
      </c>
    </row>
    <row r="1345" ht="15.75" customHeight="1">
      <c r="A1345" s="197" t="s">
        <v>63</v>
      </c>
      <c r="B1345" s="197" t="s">
        <v>22</v>
      </c>
      <c r="C1345" s="198" t="s">
        <v>220</v>
      </c>
      <c r="D1345" s="197" t="s">
        <v>221</v>
      </c>
      <c r="E1345" s="199">
        <v>4.0</v>
      </c>
      <c r="F1345" s="200">
        <v>45881.41666666667</v>
      </c>
      <c r="G1345" s="197" t="s">
        <v>843</v>
      </c>
      <c r="H1345" s="197" t="s">
        <v>857</v>
      </c>
    </row>
    <row r="1346" ht="15.75" customHeight="1">
      <c r="A1346" s="197" t="s">
        <v>63</v>
      </c>
      <c r="B1346" s="197" t="s">
        <v>22</v>
      </c>
      <c r="C1346" s="198" t="s">
        <v>220</v>
      </c>
      <c r="D1346" s="197" t="s">
        <v>221</v>
      </c>
      <c r="E1346" s="199">
        <v>5.0</v>
      </c>
      <c r="F1346" s="200">
        <v>45888.41666666667</v>
      </c>
      <c r="G1346" s="197" t="s">
        <v>845</v>
      </c>
      <c r="H1346" s="197" t="s">
        <v>857</v>
      </c>
    </row>
    <row r="1347" ht="15.75" customHeight="1">
      <c r="A1347" s="197" t="s">
        <v>63</v>
      </c>
      <c r="B1347" s="197" t="s">
        <v>22</v>
      </c>
      <c r="C1347" s="198" t="s">
        <v>220</v>
      </c>
      <c r="D1347" s="197" t="s">
        <v>221</v>
      </c>
      <c r="E1347" s="199">
        <v>6.0</v>
      </c>
      <c r="F1347" s="200">
        <v>45895.41666666667</v>
      </c>
      <c r="G1347" s="197" t="s">
        <v>845</v>
      </c>
      <c r="H1347" s="197" t="s">
        <v>857</v>
      </c>
    </row>
    <row r="1348" ht="15.75" customHeight="1">
      <c r="A1348" s="197" t="s">
        <v>63</v>
      </c>
      <c r="B1348" s="197" t="s">
        <v>22</v>
      </c>
      <c r="C1348" s="198" t="s">
        <v>220</v>
      </c>
      <c r="D1348" s="197" t="s">
        <v>221</v>
      </c>
      <c r="E1348" s="199">
        <v>7.0</v>
      </c>
      <c r="F1348" s="200">
        <v>45911.45833333333</v>
      </c>
      <c r="G1348" s="197" t="s">
        <v>845</v>
      </c>
      <c r="H1348" s="197" t="s">
        <v>857</v>
      </c>
    </row>
    <row r="1349" ht="15.75" customHeight="1">
      <c r="A1349" s="197" t="s">
        <v>63</v>
      </c>
      <c r="B1349" s="197" t="s">
        <v>22</v>
      </c>
      <c r="C1349" s="198" t="s">
        <v>220</v>
      </c>
      <c r="D1349" s="197" t="s">
        <v>221</v>
      </c>
      <c r="E1349" s="199">
        <v>8.0</v>
      </c>
      <c r="F1349" s="200">
        <v>45925.41666666667</v>
      </c>
      <c r="G1349" s="197" t="s">
        <v>845</v>
      </c>
      <c r="H1349" s="197" t="s">
        <v>857</v>
      </c>
    </row>
    <row r="1350" ht="15.75" customHeight="1">
      <c r="A1350" s="197" t="s">
        <v>63</v>
      </c>
      <c r="B1350" s="197" t="s">
        <v>22</v>
      </c>
      <c r="C1350" s="198" t="s">
        <v>220</v>
      </c>
      <c r="D1350" s="197" t="s">
        <v>221</v>
      </c>
      <c r="E1350" s="199">
        <v>9.0</v>
      </c>
      <c r="F1350" s="200">
        <v>45932.45833333333</v>
      </c>
      <c r="G1350" s="197" t="s">
        <v>843</v>
      </c>
      <c r="H1350" s="197" t="s">
        <v>857</v>
      </c>
    </row>
    <row r="1351" ht="15.75" customHeight="1">
      <c r="A1351" s="197" t="s">
        <v>63</v>
      </c>
      <c r="B1351" s="197" t="s">
        <v>22</v>
      </c>
      <c r="C1351" s="198" t="s">
        <v>220</v>
      </c>
      <c r="D1351" s="197" t="s">
        <v>221</v>
      </c>
      <c r="E1351" s="199">
        <v>10.0</v>
      </c>
      <c r="F1351" s="200">
        <v>45939.45833333333</v>
      </c>
      <c r="G1351" s="197" t="s">
        <v>845</v>
      </c>
      <c r="H1351" s="197" t="s">
        <v>857</v>
      </c>
    </row>
    <row r="1352" ht="15.75" customHeight="1">
      <c r="A1352" s="197" t="s">
        <v>63</v>
      </c>
      <c r="B1352" s="197" t="s">
        <v>22</v>
      </c>
      <c r="C1352" s="198" t="s">
        <v>220</v>
      </c>
      <c r="D1352" s="197" t="s">
        <v>221</v>
      </c>
      <c r="E1352" s="199">
        <v>11.0</v>
      </c>
      <c r="F1352" s="200">
        <v>45946.375</v>
      </c>
      <c r="G1352" s="197" t="s">
        <v>845</v>
      </c>
      <c r="H1352" s="197" t="s">
        <v>857</v>
      </c>
    </row>
    <row r="1353" ht="15.75" customHeight="1">
      <c r="A1353" s="197" t="s">
        <v>63</v>
      </c>
      <c r="B1353" s="197" t="s">
        <v>22</v>
      </c>
      <c r="C1353" s="198" t="s">
        <v>220</v>
      </c>
      <c r="D1353" s="197" t="s">
        <v>221</v>
      </c>
      <c r="E1353" s="199">
        <v>12.0</v>
      </c>
      <c r="F1353" s="200">
        <v>45961.45833333333</v>
      </c>
      <c r="G1353" s="197" t="s">
        <v>845</v>
      </c>
      <c r="H1353" s="197" t="s">
        <v>857</v>
      </c>
    </row>
    <row r="1354" ht="15.75" customHeight="1">
      <c r="A1354" s="197" t="s">
        <v>63</v>
      </c>
      <c r="B1354" s="197" t="s">
        <v>22</v>
      </c>
      <c r="C1354" s="198" t="s">
        <v>220</v>
      </c>
      <c r="D1354" s="197" t="s">
        <v>221</v>
      </c>
      <c r="E1354" s="199">
        <v>13.0</v>
      </c>
      <c r="F1354" s="200">
        <v>45967.625</v>
      </c>
      <c r="G1354" s="197" t="s">
        <v>845</v>
      </c>
      <c r="H1354" s="197" t="s">
        <v>857</v>
      </c>
    </row>
    <row r="1355" ht="15.75" customHeight="1">
      <c r="A1355" s="197" t="s">
        <v>63</v>
      </c>
      <c r="B1355" s="197" t="s">
        <v>22</v>
      </c>
      <c r="C1355" s="198" t="s">
        <v>220</v>
      </c>
      <c r="D1355" s="197" t="s">
        <v>221</v>
      </c>
      <c r="E1355" s="199">
        <v>14.0</v>
      </c>
      <c r="F1355" s="200">
        <v>45974.625</v>
      </c>
      <c r="G1355" s="197" t="s">
        <v>845</v>
      </c>
      <c r="H1355" s="197" t="s">
        <v>857</v>
      </c>
    </row>
    <row r="1356" ht="15.75" customHeight="1">
      <c r="A1356" s="197" t="s">
        <v>63</v>
      </c>
      <c r="B1356" s="197" t="s">
        <v>22</v>
      </c>
      <c r="C1356" s="198" t="s">
        <v>220</v>
      </c>
      <c r="D1356" s="197" t="s">
        <v>221</v>
      </c>
      <c r="E1356" s="199">
        <v>15.0</v>
      </c>
      <c r="F1356" s="200">
        <v>46006.41666666667</v>
      </c>
      <c r="G1356" s="197" t="s">
        <v>845</v>
      </c>
      <c r="H1356" s="197" t="s">
        <v>857</v>
      </c>
    </row>
    <row r="1357" ht="15.75" customHeight="1">
      <c r="A1357" s="197" t="s">
        <v>63</v>
      </c>
      <c r="B1357" s="197" t="s">
        <v>22</v>
      </c>
      <c r="C1357" s="198" t="s">
        <v>220</v>
      </c>
      <c r="D1357" s="197" t="s">
        <v>221</v>
      </c>
      <c r="E1357" s="199">
        <v>16.0</v>
      </c>
      <c r="F1357" s="200">
        <v>46045.41666666667</v>
      </c>
      <c r="G1357" s="197" t="s">
        <v>845</v>
      </c>
      <c r="H1357" s="197" t="s">
        <v>857</v>
      </c>
    </row>
    <row r="1358" ht="15.75" customHeight="1">
      <c r="A1358" s="197" t="s">
        <v>63</v>
      </c>
      <c r="B1358" s="197" t="s">
        <v>23</v>
      </c>
      <c r="C1358" s="198" t="s">
        <v>220</v>
      </c>
      <c r="D1358" s="197" t="s">
        <v>221</v>
      </c>
      <c r="E1358" s="199">
        <v>1.0</v>
      </c>
      <c r="F1358" s="200">
        <v>45729.45833333333</v>
      </c>
      <c r="G1358" s="197" t="s">
        <v>845</v>
      </c>
      <c r="H1358" s="197" t="s">
        <v>857</v>
      </c>
    </row>
    <row r="1359" ht="15.75" customHeight="1">
      <c r="A1359" s="197" t="s">
        <v>63</v>
      </c>
      <c r="B1359" s="197" t="s">
        <v>23</v>
      </c>
      <c r="C1359" s="198" t="s">
        <v>220</v>
      </c>
      <c r="D1359" s="197" t="s">
        <v>221</v>
      </c>
      <c r="E1359" s="199">
        <v>2.0</v>
      </c>
      <c r="F1359" s="200">
        <v>45743.45833333333</v>
      </c>
      <c r="G1359" s="197" t="s">
        <v>845</v>
      </c>
      <c r="H1359" s="197" t="s">
        <v>857</v>
      </c>
    </row>
    <row r="1360" ht="15.75" customHeight="1">
      <c r="A1360" s="197" t="s">
        <v>63</v>
      </c>
      <c r="B1360" s="197" t="s">
        <v>23</v>
      </c>
      <c r="C1360" s="198" t="s">
        <v>220</v>
      </c>
      <c r="D1360" s="197" t="s">
        <v>221</v>
      </c>
      <c r="E1360" s="199">
        <v>3.0</v>
      </c>
      <c r="F1360" s="200">
        <v>46113.45833333333</v>
      </c>
      <c r="G1360" s="197" t="s">
        <v>845</v>
      </c>
      <c r="H1360" s="197" t="s">
        <v>857</v>
      </c>
    </row>
    <row r="1361" ht="15.75" customHeight="1">
      <c r="A1361" s="197" t="s">
        <v>63</v>
      </c>
      <c r="B1361" s="197" t="s">
        <v>21</v>
      </c>
      <c r="C1361" s="198" t="s">
        <v>234</v>
      </c>
      <c r="D1361" s="197" t="s">
        <v>235</v>
      </c>
      <c r="E1361" s="199">
        <v>1.0</v>
      </c>
      <c r="F1361" s="200">
        <v>45637.375</v>
      </c>
      <c r="G1361" s="197" t="s">
        <v>845</v>
      </c>
      <c r="H1361" s="197" t="s">
        <v>857</v>
      </c>
    </row>
    <row r="1362" ht="15.75" customHeight="1">
      <c r="A1362" s="197" t="s">
        <v>63</v>
      </c>
      <c r="B1362" s="197" t="s">
        <v>21</v>
      </c>
      <c r="C1362" s="198" t="s">
        <v>234</v>
      </c>
      <c r="D1362" s="197" t="s">
        <v>235</v>
      </c>
      <c r="E1362" s="199">
        <v>2.0</v>
      </c>
      <c r="F1362" s="200">
        <v>45645.375</v>
      </c>
      <c r="G1362" s="197" t="s">
        <v>845</v>
      </c>
      <c r="H1362" s="197" t="s">
        <v>857</v>
      </c>
    </row>
    <row r="1363" ht="15.75" customHeight="1">
      <c r="A1363" s="197" t="s">
        <v>63</v>
      </c>
      <c r="B1363" s="197" t="s">
        <v>21</v>
      </c>
      <c r="C1363" s="198" t="s">
        <v>234</v>
      </c>
      <c r="D1363" s="197" t="s">
        <v>235</v>
      </c>
      <c r="E1363" s="199">
        <v>3.0</v>
      </c>
      <c r="F1363" s="200">
        <v>45667.41666666667</v>
      </c>
      <c r="G1363" s="197" t="s">
        <v>845</v>
      </c>
      <c r="H1363" s="197" t="s">
        <v>857</v>
      </c>
    </row>
    <row r="1364" ht="15.75" customHeight="1">
      <c r="A1364" s="197" t="s">
        <v>63</v>
      </c>
      <c r="B1364" s="197" t="s">
        <v>21</v>
      </c>
      <c r="C1364" s="198" t="s">
        <v>234</v>
      </c>
      <c r="D1364" s="197" t="s">
        <v>235</v>
      </c>
      <c r="E1364" s="199">
        <v>4.0</v>
      </c>
      <c r="F1364" s="200">
        <v>45674.41666666667</v>
      </c>
      <c r="G1364" s="197" t="s">
        <v>845</v>
      </c>
      <c r="H1364" s="197" t="s">
        <v>857</v>
      </c>
    </row>
    <row r="1365" ht="15.75" customHeight="1">
      <c r="A1365" s="197" t="s">
        <v>63</v>
      </c>
      <c r="B1365" s="197" t="s">
        <v>21</v>
      </c>
      <c r="C1365" s="198" t="s">
        <v>234</v>
      </c>
      <c r="D1365" s="197" t="s">
        <v>235</v>
      </c>
      <c r="E1365" s="199">
        <v>5.0</v>
      </c>
      <c r="F1365" s="200">
        <v>45695.41666666667</v>
      </c>
      <c r="G1365" s="197" t="s">
        <v>845</v>
      </c>
      <c r="H1365" s="197" t="s">
        <v>857</v>
      </c>
    </row>
    <row r="1366" ht="15.75" customHeight="1">
      <c r="A1366" s="197" t="s">
        <v>63</v>
      </c>
      <c r="B1366" s="197" t="s">
        <v>21</v>
      </c>
      <c r="C1366" s="198" t="s">
        <v>234</v>
      </c>
      <c r="D1366" s="197" t="s">
        <v>235</v>
      </c>
      <c r="E1366" s="199">
        <v>6.0</v>
      </c>
      <c r="F1366" s="200">
        <v>45702.41666666667</v>
      </c>
      <c r="G1366" s="197" t="s">
        <v>845</v>
      </c>
      <c r="H1366" s="197" t="s">
        <v>857</v>
      </c>
    </row>
    <row r="1367" ht="15.75" customHeight="1">
      <c r="A1367" s="197" t="s">
        <v>63</v>
      </c>
      <c r="B1367" s="197" t="s">
        <v>21</v>
      </c>
      <c r="C1367" s="198" t="s">
        <v>234</v>
      </c>
      <c r="D1367" s="197" t="s">
        <v>235</v>
      </c>
      <c r="E1367" s="199">
        <v>7.0</v>
      </c>
      <c r="F1367" s="200">
        <v>45709.58333333333</v>
      </c>
      <c r="G1367" s="197" t="s">
        <v>845</v>
      </c>
      <c r="H1367" s="197" t="s">
        <v>857</v>
      </c>
    </row>
    <row r="1368" ht="15.75" customHeight="1">
      <c r="A1368" s="197" t="s">
        <v>63</v>
      </c>
      <c r="B1368" s="197" t="s">
        <v>21</v>
      </c>
      <c r="C1368" s="198" t="s">
        <v>234</v>
      </c>
      <c r="D1368" s="197" t="s">
        <v>235</v>
      </c>
      <c r="E1368" s="199">
        <v>8.0</v>
      </c>
      <c r="F1368" s="200">
        <v>45716.54166666667</v>
      </c>
      <c r="G1368" s="197" t="s">
        <v>845</v>
      </c>
      <c r="H1368" s="197" t="s">
        <v>857</v>
      </c>
    </row>
    <row r="1369" ht="15.75" customHeight="1">
      <c r="A1369" s="197" t="s">
        <v>63</v>
      </c>
      <c r="B1369" s="197" t="s">
        <v>21</v>
      </c>
      <c r="C1369" s="198" t="s">
        <v>234</v>
      </c>
      <c r="D1369" s="197" t="s">
        <v>235</v>
      </c>
      <c r="E1369" s="199">
        <v>9.0</v>
      </c>
      <c r="F1369" s="200">
        <v>45765.625</v>
      </c>
      <c r="G1369" s="197" t="s">
        <v>845</v>
      </c>
      <c r="H1369" s="197" t="s">
        <v>857</v>
      </c>
    </row>
    <row r="1370" ht="15.75" customHeight="1">
      <c r="A1370" s="197" t="s">
        <v>63</v>
      </c>
      <c r="B1370" s="197" t="s">
        <v>21</v>
      </c>
      <c r="C1370" s="198" t="s">
        <v>234</v>
      </c>
      <c r="D1370" s="197" t="s">
        <v>235</v>
      </c>
      <c r="E1370" s="199">
        <v>10.0</v>
      </c>
      <c r="F1370" s="200">
        <v>45806.41666666667</v>
      </c>
      <c r="G1370" s="197" t="s">
        <v>845</v>
      </c>
      <c r="H1370" s="197" t="s">
        <v>857</v>
      </c>
    </row>
    <row r="1371" ht="15.75" customHeight="1">
      <c r="A1371" s="197" t="s">
        <v>63</v>
      </c>
      <c r="B1371" s="197" t="s">
        <v>22</v>
      </c>
      <c r="C1371" s="198" t="s">
        <v>234</v>
      </c>
      <c r="D1371" s="197" t="s">
        <v>235</v>
      </c>
      <c r="E1371" s="199">
        <v>1.0</v>
      </c>
      <c r="F1371" s="200">
        <v>45841.375</v>
      </c>
      <c r="G1371" s="197" t="s">
        <v>845</v>
      </c>
      <c r="H1371" s="197" t="s">
        <v>857</v>
      </c>
    </row>
    <row r="1372" ht="15.75" customHeight="1">
      <c r="A1372" s="197" t="s">
        <v>63</v>
      </c>
      <c r="B1372" s="197" t="s">
        <v>22</v>
      </c>
      <c r="C1372" s="198" t="s">
        <v>234</v>
      </c>
      <c r="D1372" s="197" t="s">
        <v>235</v>
      </c>
      <c r="E1372" s="199">
        <v>2.0</v>
      </c>
      <c r="F1372" s="200">
        <v>45849.375</v>
      </c>
      <c r="G1372" s="197" t="s">
        <v>845</v>
      </c>
      <c r="H1372" s="197" t="s">
        <v>857</v>
      </c>
    </row>
    <row r="1373" ht="15.75" customHeight="1">
      <c r="A1373" s="197" t="s">
        <v>63</v>
      </c>
      <c r="B1373" s="197" t="s">
        <v>22</v>
      </c>
      <c r="C1373" s="198" t="s">
        <v>234</v>
      </c>
      <c r="D1373" s="197" t="s">
        <v>235</v>
      </c>
      <c r="E1373" s="199">
        <v>3.0</v>
      </c>
      <c r="F1373" s="200">
        <v>45862.375</v>
      </c>
      <c r="G1373" s="197" t="s">
        <v>845</v>
      </c>
      <c r="H1373" s="197" t="s">
        <v>857</v>
      </c>
    </row>
    <row r="1374" ht="15.75" customHeight="1">
      <c r="A1374" s="197" t="s">
        <v>63</v>
      </c>
      <c r="B1374" s="197" t="s">
        <v>22</v>
      </c>
      <c r="C1374" s="198" t="s">
        <v>234</v>
      </c>
      <c r="D1374" s="197" t="s">
        <v>235</v>
      </c>
      <c r="E1374" s="199">
        <v>4.0</v>
      </c>
      <c r="F1374" s="200">
        <v>45881.41666666667</v>
      </c>
      <c r="G1374" s="197" t="s">
        <v>845</v>
      </c>
      <c r="H1374" s="197" t="s">
        <v>857</v>
      </c>
    </row>
    <row r="1375" ht="15.75" customHeight="1">
      <c r="A1375" s="197" t="s">
        <v>63</v>
      </c>
      <c r="B1375" s="197" t="s">
        <v>22</v>
      </c>
      <c r="C1375" s="198" t="s">
        <v>234</v>
      </c>
      <c r="D1375" s="197" t="s">
        <v>235</v>
      </c>
      <c r="E1375" s="199">
        <v>5.0</v>
      </c>
      <c r="F1375" s="200">
        <v>45888.41666666667</v>
      </c>
      <c r="G1375" s="197" t="s">
        <v>845</v>
      </c>
      <c r="H1375" s="197" t="s">
        <v>857</v>
      </c>
    </row>
    <row r="1376" ht="15.75" customHeight="1">
      <c r="A1376" s="197" t="s">
        <v>63</v>
      </c>
      <c r="B1376" s="197" t="s">
        <v>22</v>
      </c>
      <c r="C1376" s="198" t="s">
        <v>234</v>
      </c>
      <c r="D1376" s="197" t="s">
        <v>235</v>
      </c>
      <c r="E1376" s="199">
        <v>6.0</v>
      </c>
      <c r="F1376" s="200">
        <v>45895.41666666667</v>
      </c>
      <c r="G1376" s="197" t="s">
        <v>845</v>
      </c>
      <c r="H1376" s="197" t="s">
        <v>857</v>
      </c>
    </row>
    <row r="1377" ht="15.75" customHeight="1">
      <c r="A1377" s="197" t="s">
        <v>63</v>
      </c>
      <c r="B1377" s="197" t="s">
        <v>22</v>
      </c>
      <c r="C1377" s="198" t="s">
        <v>234</v>
      </c>
      <c r="D1377" s="197" t="s">
        <v>235</v>
      </c>
      <c r="E1377" s="199">
        <v>7.0</v>
      </c>
      <c r="F1377" s="200">
        <v>45911.45833333333</v>
      </c>
      <c r="G1377" s="197" t="s">
        <v>845</v>
      </c>
      <c r="H1377" s="197" t="s">
        <v>857</v>
      </c>
    </row>
    <row r="1378" ht="15.75" customHeight="1">
      <c r="A1378" s="197" t="s">
        <v>63</v>
      </c>
      <c r="B1378" s="197" t="s">
        <v>22</v>
      </c>
      <c r="C1378" s="198" t="s">
        <v>234</v>
      </c>
      <c r="D1378" s="197" t="s">
        <v>235</v>
      </c>
      <c r="E1378" s="199">
        <v>8.0</v>
      </c>
      <c r="F1378" s="200">
        <v>45925.41666666667</v>
      </c>
      <c r="G1378" s="197" t="s">
        <v>845</v>
      </c>
      <c r="H1378" s="197" t="s">
        <v>857</v>
      </c>
    </row>
    <row r="1379" ht="15.75" customHeight="1">
      <c r="A1379" s="197" t="s">
        <v>63</v>
      </c>
      <c r="B1379" s="197" t="s">
        <v>22</v>
      </c>
      <c r="C1379" s="198" t="s">
        <v>234</v>
      </c>
      <c r="D1379" s="197" t="s">
        <v>235</v>
      </c>
      <c r="E1379" s="199">
        <v>9.0</v>
      </c>
      <c r="F1379" s="200">
        <v>45932.45833333333</v>
      </c>
      <c r="G1379" s="197" t="s">
        <v>845</v>
      </c>
      <c r="H1379" s="197" t="s">
        <v>857</v>
      </c>
    </row>
    <row r="1380" ht="15.75" customHeight="1">
      <c r="A1380" s="197" t="s">
        <v>63</v>
      </c>
      <c r="B1380" s="197" t="s">
        <v>22</v>
      </c>
      <c r="C1380" s="198" t="s">
        <v>234</v>
      </c>
      <c r="D1380" s="197" t="s">
        <v>235</v>
      </c>
      <c r="E1380" s="199">
        <v>10.0</v>
      </c>
      <c r="F1380" s="200">
        <v>45939.45833333333</v>
      </c>
      <c r="G1380" s="197" t="s">
        <v>845</v>
      </c>
      <c r="H1380" s="197" t="s">
        <v>857</v>
      </c>
    </row>
    <row r="1381" ht="15.75" customHeight="1">
      <c r="A1381" s="197" t="s">
        <v>63</v>
      </c>
      <c r="B1381" s="197" t="s">
        <v>22</v>
      </c>
      <c r="C1381" s="198" t="s">
        <v>234</v>
      </c>
      <c r="D1381" s="197" t="s">
        <v>235</v>
      </c>
      <c r="E1381" s="199">
        <v>11.0</v>
      </c>
      <c r="F1381" s="200">
        <v>45946.375</v>
      </c>
      <c r="G1381" s="197" t="s">
        <v>845</v>
      </c>
      <c r="H1381" s="197" t="s">
        <v>857</v>
      </c>
    </row>
    <row r="1382" ht="15.75" customHeight="1">
      <c r="A1382" s="197" t="s">
        <v>63</v>
      </c>
      <c r="B1382" s="197" t="s">
        <v>22</v>
      </c>
      <c r="C1382" s="198" t="s">
        <v>234</v>
      </c>
      <c r="D1382" s="197" t="s">
        <v>235</v>
      </c>
      <c r="E1382" s="199">
        <v>12.0</v>
      </c>
      <c r="F1382" s="200">
        <v>45961.45833333333</v>
      </c>
      <c r="G1382" s="197" t="s">
        <v>845</v>
      </c>
      <c r="H1382" s="197" t="s">
        <v>857</v>
      </c>
    </row>
    <row r="1383" ht="15.75" customHeight="1">
      <c r="A1383" s="197" t="s">
        <v>63</v>
      </c>
      <c r="B1383" s="197" t="s">
        <v>22</v>
      </c>
      <c r="C1383" s="198" t="s">
        <v>234</v>
      </c>
      <c r="D1383" s="197" t="s">
        <v>235</v>
      </c>
      <c r="E1383" s="199">
        <v>13.0</v>
      </c>
      <c r="F1383" s="200">
        <v>45967.625</v>
      </c>
      <c r="G1383" s="197" t="s">
        <v>845</v>
      </c>
      <c r="H1383" s="197" t="s">
        <v>857</v>
      </c>
    </row>
    <row r="1384" ht="15.75" customHeight="1">
      <c r="A1384" s="197" t="s">
        <v>63</v>
      </c>
      <c r="B1384" s="197" t="s">
        <v>22</v>
      </c>
      <c r="C1384" s="198" t="s">
        <v>234</v>
      </c>
      <c r="D1384" s="197" t="s">
        <v>235</v>
      </c>
      <c r="E1384" s="199">
        <v>14.0</v>
      </c>
      <c r="F1384" s="200">
        <v>45974.625</v>
      </c>
      <c r="G1384" s="197" t="s">
        <v>845</v>
      </c>
      <c r="H1384" s="197" t="s">
        <v>857</v>
      </c>
    </row>
    <row r="1385" ht="15.75" customHeight="1">
      <c r="A1385" s="197" t="s">
        <v>63</v>
      </c>
      <c r="B1385" s="197" t="s">
        <v>22</v>
      </c>
      <c r="C1385" s="198" t="s">
        <v>234</v>
      </c>
      <c r="D1385" s="197" t="s">
        <v>235</v>
      </c>
      <c r="E1385" s="199">
        <v>15.0</v>
      </c>
      <c r="F1385" s="200">
        <v>46006.41666666667</v>
      </c>
      <c r="G1385" s="197" t="s">
        <v>845</v>
      </c>
      <c r="H1385" s="197" t="s">
        <v>857</v>
      </c>
    </row>
    <row r="1386" ht="15.75" customHeight="1">
      <c r="A1386" s="197" t="s">
        <v>63</v>
      </c>
      <c r="B1386" s="197" t="s">
        <v>22</v>
      </c>
      <c r="C1386" s="198" t="s">
        <v>234</v>
      </c>
      <c r="D1386" s="197" t="s">
        <v>235</v>
      </c>
      <c r="E1386" s="199">
        <v>16.0</v>
      </c>
      <c r="F1386" s="200">
        <v>46045.41666666667</v>
      </c>
      <c r="G1386" s="197" t="s">
        <v>845</v>
      </c>
      <c r="H1386" s="197" t="s">
        <v>857</v>
      </c>
    </row>
    <row r="1387" ht="15.75" customHeight="1">
      <c r="A1387" s="197" t="s">
        <v>63</v>
      </c>
      <c r="B1387" s="197" t="s">
        <v>23</v>
      </c>
      <c r="C1387" s="198" t="s">
        <v>234</v>
      </c>
      <c r="D1387" s="197" t="s">
        <v>235</v>
      </c>
      <c r="E1387" s="199">
        <v>1.0</v>
      </c>
      <c r="F1387" s="200">
        <v>45729.45833333333</v>
      </c>
      <c r="G1387" s="197" t="s">
        <v>845</v>
      </c>
      <c r="H1387" s="197" t="s">
        <v>857</v>
      </c>
    </row>
    <row r="1388" ht="15.75" customHeight="1">
      <c r="A1388" s="197" t="s">
        <v>63</v>
      </c>
      <c r="B1388" s="197" t="s">
        <v>23</v>
      </c>
      <c r="C1388" s="198" t="s">
        <v>234</v>
      </c>
      <c r="D1388" s="197" t="s">
        <v>235</v>
      </c>
      <c r="E1388" s="199">
        <v>2.0</v>
      </c>
      <c r="F1388" s="200">
        <v>45743.45833333333</v>
      </c>
      <c r="G1388" s="197" t="s">
        <v>845</v>
      </c>
      <c r="H1388" s="197" t="s">
        <v>857</v>
      </c>
    </row>
    <row r="1389" ht="15.75" customHeight="1">
      <c r="A1389" s="197" t="s">
        <v>63</v>
      </c>
      <c r="B1389" s="197" t="s">
        <v>23</v>
      </c>
      <c r="C1389" s="198" t="s">
        <v>234</v>
      </c>
      <c r="D1389" s="197" t="s">
        <v>235</v>
      </c>
      <c r="E1389" s="199">
        <v>3.0</v>
      </c>
      <c r="F1389" s="200">
        <v>46113.45833333333</v>
      </c>
      <c r="G1389" s="197" t="s">
        <v>845</v>
      </c>
      <c r="H1389" s="197" t="s">
        <v>857</v>
      </c>
    </row>
    <row r="1390" ht="15.75" customHeight="1">
      <c r="A1390" s="197" t="s">
        <v>63</v>
      </c>
      <c r="B1390" s="197" t="s">
        <v>21</v>
      </c>
      <c r="C1390" s="198" t="s">
        <v>298</v>
      </c>
      <c r="D1390" s="197" t="s">
        <v>299</v>
      </c>
      <c r="E1390" s="199">
        <v>1.0</v>
      </c>
      <c r="F1390" s="200">
        <v>45639.375</v>
      </c>
      <c r="G1390" s="197" t="s">
        <v>845</v>
      </c>
      <c r="H1390" s="197" t="s">
        <v>857</v>
      </c>
    </row>
    <row r="1391" ht="15.75" customHeight="1">
      <c r="A1391" s="197" t="s">
        <v>63</v>
      </c>
      <c r="B1391" s="197" t="s">
        <v>21</v>
      </c>
      <c r="C1391" s="198" t="s">
        <v>298</v>
      </c>
      <c r="D1391" s="197" t="s">
        <v>299</v>
      </c>
      <c r="E1391" s="199">
        <v>2.0</v>
      </c>
      <c r="F1391" s="200">
        <v>45645.375</v>
      </c>
      <c r="G1391" s="197" t="s">
        <v>845</v>
      </c>
      <c r="H1391" s="197" t="s">
        <v>857</v>
      </c>
    </row>
    <row r="1392" ht="15.75" customHeight="1">
      <c r="A1392" s="197" t="s">
        <v>63</v>
      </c>
      <c r="B1392" s="197" t="s">
        <v>21</v>
      </c>
      <c r="C1392" s="198" t="s">
        <v>298</v>
      </c>
      <c r="D1392" s="197" t="s">
        <v>299</v>
      </c>
      <c r="E1392" s="199">
        <v>3.0</v>
      </c>
      <c r="F1392" s="200">
        <v>45667.41666666667</v>
      </c>
      <c r="G1392" s="197" t="s">
        <v>845</v>
      </c>
      <c r="H1392" s="197" t="s">
        <v>857</v>
      </c>
    </row>
    <row r="1393" ht="15.75" customHeight="1">
      <c r="A1393" s="197" t="s">
        <v>63</v>
      </c>
      <c r="B1393" s="197" t="s">
        <v>21</v>
      </c>
      <c r="C1393" s="198" t="s">
        <v>298</v>
      </c>
      <c r="D1393" s="197" t="s">
        <v>299</v>
      </c>
      <c r="E1393" s="199">
        <v>4.0</v>
      </c>
      <c r="F1393" s="200">
        <v>45674.41666666667</v>
      </c>
      <c r="G1393" s="197" t="s">
        <v>845</v>
      </c>
      <c r="H1393" s="197" t="s">
        <v>857</v>
      </c>
    </row>
    <row r="1394" ht="15.75" customHeight="1">
      <c r="A1394" s="197" t="s">
        <v>63</v>
      </c>
      <c r="B1394" s="197" t="s">
        <v>21</v>
      </c>
      <c r="C1394" s="198" t="s">
        <v>298</v>
      </c>
      <c r="D1394" s="197" t="s">
        <v>299</v>
      </c>
      <c r="E1394" s="199">
        <v>5.0</v>
      </c>
      <c r="F1394" s="200">
        <v>45695.41666666667</v>
      </c>
      <c r="G1394" s="197" t="s">
        <v>845</v>
      </c>
      <c r="H1394" s="197" t="s">
        <v>857</v>
      </c>
    </row>
    <row r="1395" ht="15.75" customHeight="1">
      <c r="A1395" s="197" t="s">
        <v>63</v>
      </c>
      <c r="B1395" s="197" t="s">
        <v>21</v>
      </c>
      <c r="C1395" s="198" t="s">
        <v>298</v>
      </c>
      <c r="D1395" s="197" t="s">
        <v>299</v>
      </c>
      <c r="E1395" s="199">
        <v>6.0</v>
      </c>
      <c r="F1395" s="200">
        <v>45702.41666666667</v>
      </c>
      <c r="G1395" s="197" t="s">
        <v>845</v>
      </c>
      <c r="H1395" s="197" t="s">
        <v>857</v>
      </c>
    </row>
    <row r="1396" ht="15.75" customHeight="1">
      <c r="A1396" s="197" t="s">
        <v>63</v>
      </c>
      <c r="B1396" s="197" t="s">
        <v>21</v>
      </c>
      <c r="C1396" s="198" t="s">
        <v>298</v>
      </c>
      <c r="D1396" s="197" t="s">
        <v>299</v>
      </c>
      <c r="E1396" s="199">
        <v>7.0</v>
      </c>
      <c r="F1396" s="200">
        <v>45709.58333333333</v>
      </c>
      <c r="G1396" s="197" t="s">
        <v>843</v>
      </c>
      <c r="H1396" s="197" t="s">
        <v>857</v>
      </c>
    </row>
    <row r="1397" ht="15.75" customHeight="1">
      <c r="A1397" s="197" t="s">
        <v>63</v>
      </c>
      <c r="B1397" s="197" t="s">
        <v>21</v>
      </c>
      <c r="C1397" s="198" t="s">
        <v>298</v>
      </c>
      <c r="D1397" s="197" t="s">
        <v>299</v>
      </c>
      <c r="E1397" s="199">
        <v>8.0</v>
      </c>
      <c r="F1397" s="200">
        <v>45716.54166666667</v>
      </c>
      <c r="G1397" s="197" t="s">
        <v>845</v>
      </c>
      <c r="H1397" s="197" t="s">
        <v>857</v>
      </c>
    </row>
    <row r="1398" ht="15.75" customHeight="1">
      <c r="A1398" s="197" t="s">
        <v>63</v>
      </c>
      <c r="B1398" s="197" t="s">
        <v>21</v>
      </c>
      <c r="C1398" s="198" t="s">
        <v>298</v>
      </c>
      <c r="D1398" s="197" t="s">
        <v>299</v>
      </c>
      <c r="E1398" s="199">
        <v>9.0</v>
      </c>
      <c r="F1398" s="200">
        <v>45765.625</v>
      </c>
      <c r="G1398" s="197" t="s">
        <v>845</v>
      </c>
      <c r="H1398" s="197" t="s">
        <v>857</v>
      </c>
    </row>
    <row r="1399" ht="15.75" customHeight="1">
      <c r="A1399" s="197" t="s">
        <v>63</v>
      </c>
      <c r="B1399" s="197" t="s">
        <v>21</v>
      </c>
      <c r="C1399" s="198" t="s">
        <v>298</v>
      </c>
      <c r="D1399" s="197" t="s">
        <v>299</v>
      </c>
      <c r="E1399" s="199">
        <v>10.0</v>
      </c>
      <c r="F1399" s="200">
        <v>45806.41666666667</v>
      </c>
      <c r="G1399" s="197" t="s">
        <v>845</v>
      </c>
      <c r="H1399" s="197" t="s">
        <v>857</v>
      </c>
    </row>
    <row r="1400" ht="15.75" customHeight="1">
      <c r="A1400" s="197" t="s">
        <v>63</v>
      </c>
      <c r="B1400" s="197" t="s">
        <v>22</v>
      </c>
      <c r="C1400" s="198" t="s">
        <v>298</v>
      </c>
      <c r="D1400" s="197" t="s">
        <v>299</v>
      </c>
      <c r="E1400" s="199">
        <v>1.0</v>
      </c>
      <c r="F1400" s="200">
        <v>45841.375</v>
      </c>
      <c r="G1400" s="197" t="s">
        <v>845</v>
      </c>
      <c r="H1400" s="197" t="s">
        <v>857</v>
      </c>
    </row>
    <row r="1401" ht="15.75" customHeight="1">
      <c r="A1401" s="197" t="s">
        <v>63</v>
      </c>
      <c r="B1401" s="197" t="s">
        <v>22</v>
      </c>
      <c r="C1401" s="198" t="s">
        <v>298</v>
      </c>
      <c r="D1401" s="197" t="s">
        <v>299</v>
      </c>
      <c r="E1401" s="199">
        <v>2.0</v>
      </c>
      <c r="F1401" s="200">
        <v>45849.375</v>
      </c>
      <c r="G1401" s="197" t="s">
        <v>843</v>
      </c>
      <c r="H1401" s="197" t="s">
        <v>857</v>
      </c>
    </row>
    <row r="1402" ht="15.75" customHeight="1">
      <c r="A1402" s="197" t="s">
        <v>63</v>
      </c>
      <c r="B1402" s="197" t="s">
        <v>22</v>
      </c>
      <c r="C1402" s="198" t="s">
        <v>298</v>
      </c>
      <c r="D1402" s="197" t="s">
        <v>299</v>
      </c>
      <c r="E1402" s="199">
        <v>3.0</v>
      </c>
      <c r="F1402" s="200">
        <v>45862.375</v>
      </c>
      <c r="G1402" s="197" t="s">
        <v>845</v>
      </c>
      <c r="H1402" s="197" t="s">
        <v>857</v>
      </c>
    </row>
    <row r="1403" ht="15.75" customHeight="1">
      <c r="A1403" s="197" t="s">
        <v>63</v>
      </c>
      <c r="B1403" s="197" t="s">
        <v>22</v>
      </c>
      <c r="C1403" s="198" t="s">
        <v>298</v>
      </c>
      <c r="D1403" s="197" t="s">
        <v>299</v>
      </c>
      <c r="E1403" s="199">
        <v>4.0</v>
      </c>
      <c r="F1403" s="200">
        <v>45881.41666666667</v>
      </c>
      <c r="G1403" s="197" t="s">
        <v>845</v>
      </c>
      <c r="H1403" s="197" t="s">
        <v>857</v>
      </c>
    </row>
    <row r="1404" ht="15.75" customHeight="1">
      <c r="A1404" s="197" t="s">
        <v>63</v>
      </c>
      <c r="B1404" s="197" t="s">
        <v>22</v>
      </c>
      <c r="C1404" s="198" t="s">
        <v>298</v>
      </c>
      <c r="D1404" s="197" t="s">
        <v>299</v>
      </c>
      <c r="E1404" s="199">
        <v>5.0</v>
      </c>
      <c r="F1404" s="200">
        <v>45888.41666666667</v>
      </c>
      <c r="G1404" s="197" t="s">
        <v>845</v>
      </c>
      <c r="H1404" s="197" t="s">
        <v>857</v>
      </c>
    </row>
    <row r="1405" ht="15.75" customHeight="1">
      <c r="A1405" s="197" t="s">
        <v>63</v>
      </c>
      <c r="B1405" s="197" t="s">
        <v>22</v>
      </c>
      <c r="C1405" s="198" t="s">
        <v>298</v>
      </c>
      <c r="D1405" s="197" t="s">
        <v>299</v>
      </c>
      <c r="E1405" s="199">
        <v>6.0</v>
      </c>
      <c r="F1405" s="200">
        <v>45895.41666666667</v>
      </c>
      <c r="G1405" s="197" t="s">
        <v>845</v>
      </c>
      <c r="H1405" s="197" t="s">
        <v>857</v>
      </c>
    </row>
    <row r="1406" ht="15.75" customHeight="1">
      <c r="A1406" s="197" t="s">
        <v>63</v>
      </c>
      <c r="B1406" s="197" t="s">
        <v>22</v>
      </c>
      <c r="C1406" s="198" t="s">
        <v>298</v>
      </c>
      <c r="D1406" s="197" t="s">
        <v>299</v>
      </c>
      <c r="E1406" s="199">
        <v>7.0</v>
      </c>
      <c r="F1406" s="200">
        <v>45911.45833333333</v>
      </c>
      <c r="G1406" s="197" t="s">
        <v>845</v>
      </c>
      <c r="H1406" s="197" t="s">
        <v>857</v>
      </c>
    </row>
    <row r="1407" ht="15.75" customHeight="1">
      <c r="A1407" s="197" t="s">
        <v>63</v>
      </c>
      <c r="B1407" s="197" t="s">
        <v>22</v>
      </c>
      <c r="C1407" s="198" t="s">
        <v>298</v>
      </c>
      <c r="D1407" s="197" t="s">
        <v>299</v>
      </c>
      <c r="E1407" s="199">
        <v>8.0</v>
      </c>
      <c r="F1407" s="200">
        <v>45925.41666666667</v>
      </c>
      <c r="G1407" s="197" t="s">
        <v>843</v>
      </c>
      <c r="H1407" s="197" t="s">
        <v>857</v>
      </c>
    </row>
    <row r="1408" ht="15.75" customHeight="1">
      <c r="A1408" s="197" t="s">
        <v>63</v>
      </c>
      <c r="B1408" s="197" t="s">
        <v>22</v>
      </c>
      <c r="C1408" s="198" t="s">
        <v>298</v>
      </c>
      <c r="D1408" s="197" t="s">
        <v>299</v>
      </c>
      <c r="E1408" s="199">
        <v>9.0</v>
      </c>
      <c r="F1408" s="200">
        <v>45932.45833333333</v>
      </c>
      <c r="G1408" s="197" t="s">
        <v>845</v>
      </c>
      <c r="H1408" s="197" t="s">
        <v>857</v>
      </c>
    </row>
    <row r="1409" ht="15.75" customHeight="1">
      <c r="A1409" s="197" t="s">
        <v>63</v>
      </c>
      <c r="B1409" s="197" t="s">
        <v>22</v>
      </c>
      <c r="C1409" s="198" t="s">
        <v>298</v>
      </c>
      <c r="D1409" s="197" t="s">
        <v>299</v>
      </c>
      <c r="E1409" s="199">
        <v>10.0</v>
      </c>
      <c r="F1409" s="200">
        <v>45939.45833333333</v>
      </c>
      <c r="G1409" s="197" t="s">
        <v>845</v>
      </c>
      <c r="H1409" s="197" t="s">
        <v>857</v>
      </c>
    </row>
    <row r="1410" ht="15.75" customHeight="1">
      <c r="A1410" s="197" t="s">
        <v>63</v>
      </c>
      <c r="B1410" s="197" t="s">
        <v>22</v>
      </c>
      <c r="C1410" s="198" t="s">
        <v>298</v>
      </c>
      <c r="D1410" s="197" t="s">
        <v>299</v>
      </c>
      <c r="E1410" s="199">
        <v>11.0</v>
      </c>
      <c r="F1410" s="200">
        <v>45946.375</v>
      </c>
      <c r="G1410" s="197" t="s">
        <v>845</v>
      </c>
      <c r="H1410" s="197" t="s">
        <v>857</v>
      </c>
    </row>
    <row r="1411" ht="15.75" customHeight="1">
      <c r="A1411" s="197" t="s">
        <v>63</v>
      </c>
      <c r="B1411" s="197" t="s">
        <v>22</v>
      </c>
      <c r="C1411" s="198" t="s">
        <v>298</v>
      </c>
      <c r="D1411" s="197" t="s">
        <v>299</v>
      </c>
      <c r="E1411" s="199">
        <v>12.0</v>
      </c>
      <c r="F1411" s="200">
        <v>45961.45833333333</v>
      </c>
      <c r="G1411" s="197" t="s">
        <v>845</v>
      </c>
      <c r="H1411" s="197" t="s">
        <v>857</v>
      </c>
    </row>
    <row r="1412" ht="15.75" customHeight="1">
      <c r="A1412" s="197" t="s">
        <v>63</v>
      </c>
      <c r="B1412" s="197" t="s">
        <v>22</v>
      </c>
      <c r="C1412" s="198" t="s">
        <v>298</v>
      </c>
      <c r="D1412" s="197" t="s">
        <v>299</v>
      </c>
      <c r="E1412" s="199">
        <v>13.0</v>
      </c>
      <c r="F1412" s="200">
        <v>45967.625</v>
      </c>
      <c r="G1412" s="197" t="s">
        <v>845</v>
      </c>
      <c r="H1412" s="197" t="s">
        <v>857</v>
      </c>
    </row>
    <row r="1413" ht="15.75" customHeight="1">
      <c r="A1413" s="197" t="s">
        <v>63</v>
      </c>
      <c r="B1413" s="197" t="s">
        <v>22</v>
      </c>
      <c r="C1413" s="198" t="s">
        <v>298</v>
      </c>
      <c r="D1413" s="197" t="s">
        <v>299</v>
      </c>
      <c r="E1413" s="199">
        <v>14.0</v>
      </c>
      <c r="F1413" s="200">
        <v>45974.625</v>
      </c>
      <c r="G1413" s="197" t="s">
        <v>845</v>
      </c>
      <c r="H1413" s="197" t="s">
        <v>857</v>
      </c>
    </row>
    <row r="1414" ht="15.75" customHeight="1">
      <c r="A1414" s="197" t="s">
        <v>63</v>
      </c>
      <c r="B1414" s="197" t="s">
        <v>22</v>
      </c>
      <c r="C1414" s="198" t="s">
        <v>298</v>
      </c>
      <c r="D1414" s="197" t="s">
        <v>299</v>
      </c>
      <c r="E1414" s="199">
        <v>15.0</v>
      </c>
      <c r="F1414" s="200">
        <v>46006.41666666667</v>
      </c>
      <c r="G1414" s="197" t="s">
        <v>845</v>
      </c>
      <c r="H1414" s="197" t="s">
        <v>857</v>
      </c>
    </row>
    <row r="1415" ht="15.75" customHeight="1">
      <c r="A1415" s="197" t="s">
        <v>63</v>
      </c>
      <c r="B1415" s="197" t="s">
        <v>22</v>
      </c>
      <c r="C1415" s="198" t="s">
        <v>298</v>
      </c>
      <c r="D1415" s="197" t="s">
        <v>299</v>
      </c>
      <c r="E1415" s="199">
        <v>16.0</v>
      </c>
      <c r="F1415" s="200">
        <v>46045.41666666667</v>
      </c>
      <c r="G1415" s="197" t="s">
        <v>845</v>
      </c>
      <c r="H1415" s="197" t="s">
        <v>857</v>
      </c>
    </row>
    <row r="1416" ht="15.75" customHeight="1">
      <c r="A1416" s="197" t="s">
        <v>63</v>
      </c>
      <c r="B1416" s="197" t="s">
        <v>23</v>
      </c>
      <c r="C1416" s="198" t="s">
        <v>298</v>
      </c>
      <c r="D1416" s="197" t="s">
        <v>299</v>
      </c>
      <c r="E1416" s="199">
        <v>1.0</v>
      </c>
      <c r="F1416" s="200">
        <v>45729.45833333333</v>
      </c>
      <c r="G1416" s="197" t="s">
        <v>845</v>
      </c>
      <c r="H1416" s="197" t="s">
        <v>857</v>
      </c>
    </row>
    <row r="1417" ht="15.75" customHeight="1">
      <c r="A1417" s="197" t="s">
        <v>63</v>
      </c>
      <c r="B1417" s="197" t="s">
        <v>23</v>
      </c>
      <c r="C1417" s="198" t="s">
        <v>298</v>
      </c>
      <c r="D1417" s="197" t="s">
        <v>299</v>
      </c>
      <c r="E1417" s="199">
        <v>2.0</v>
      </c>
      <c r="F1417" s="200">
        <v>45743.45833333333</v>
      </c>
      <c r="G1417" s="197" t="s">
        <v>845</v>
      </c>
      <c r="H1417" s="197" t="s">
        <v>857</v>
      </c>
    </row>
    <row r="1418" ht="15.75" customHeight="1">
      <c r="A1418" s="197" t="s">
        <v>63</v>
      </c>
      <c r="B1418" s="197" t="s">
        <v>23</v>
      </c>
      <c r="C1418" s="198" t="s">
        <v>298</v>
      </c>
      <c r="D1418" s="197" t="s">
        <v>299</v>
      </c>
      <c r="E1418" s="199">
        <v>3.0</v>
      </c>
      <c r="F1418" s="200">
        <v>46113.45833333333</v>
      </c>
      <c r="G1418" s="197" t="s">
        <v>845</v>
      </c>
      <c r="H1418" s="197" t="s">
        <v>857</v>
      </c>
    </row>
    <row r="1419" ht="15.75" customHeight="1">
      <c r="A1419" s="197" t="s">
        <v>63</v>
      </c>
      <c r="B1419" s="197" t="s">
        <v>21</v>
      </c>
      <c r="C1419" s="198" t="s">
        <v>438</v>
      </c>
      <c r="D1419" s="197" t="s">
        <v>439</v>
      </c>
      <c r="E1419" s="199">
        <v>1.0</v>
      </c>
      <c r="F1419" s="200">
        <v>45637.375</v>
      </c>
      <c r="G1419" s="197" t="s">
        <v>843</v>
      </c>
      <c r="H1419" s="197" t="s">
        <v>857</v>
      </c>
    </row>
    <row r="1420" ht="15.75" customHeight="1">
      <c r="A1420" s="197" t="s">
        <v>63</v>
      </c>
      <c r="B1420" s="197" t="s">
        <v>21</v>
      </c>
      <c r="C1420" s="198" t="s">
        <v>438</v>
      </c>
      <c r="D1420" s="197" t="s">
        <v>439</v>
      </c>
      <c r="E1420" s="199">
        <v>2.0</v>
      </c>
      <c r="F1420" s="200">
        <v>45645.375</v>
      </c>
      <c r="G1420" s="197" t="s">
        <v>845</v>
      </c>
      <c r="H1420" s="197" t="s">
        <v>857</v>
      </c>
    </row>
    <row r="1421" ht="15.75" customHeight="1">
      <c r="A1421" s="197" t="s">
        <v>63</v>
      </c>
      <c r="B1421" s="197" t="s">
        <v>21</v>
      </c>
      <c r="C1421" s="198" t="s">
        <v>438</v>
      </c>
      <c r="D1421" s="197" t="s">
        <v>439</v>
      </c>
      <c r="E1421" s="199">
        <v>3.0</v>
      </c>
      <c r="F1421" s="200">
        <v>45667.41666666667</v>
      </c>
      <c r="G1421" s="197" t="s">
        <v>845</v>
      </c>
      <c r="H1421" s="197" t="s">
        <v>857</v>
      </c>
    </row>
    <row r="1422" ht="15.75" customHeight="1">
      <c r="A1422" s="197" t="s">
        <v>63</v>
      </c>
      <c r="B1422" s="197" t="s">
        <v>21</v>
      </c>
      <c r="C1422" s="198" t="s">
        <v>438</v>
      </c>
      <c r="D1422" s="197" t="s">
        <v>439</v>
      </c>
      <c r="E1422" s="199">
        <v>4.0</v>
      </c>
      <c r="F1422" s="200">
        <v>45674.41666666667</v>
      </c>
      <c r="G1422" s="197" t="s">
        <v>843</v>
      </c>
      <c r="H1422" s="197" t="s">
        <v>857</v>
      </c>
    </row>
    <row r="1423" ht="15.75" customHeight="1">
      <c r="A1423" s="197" t="s">
        <v>63</v>
      </c>
      <c r="B1423" s="197" t="s">
        <v>21</v>
      </c>
      <c r="C1423" s="198" t="s">
        <v>438</v>
      </c>
      <c r="D1423" s="197" t="s">
        <v>439</v>
      </c>
      <c r="E1423" s="199">
        <v>5.0</v>
      </c>
      <c r="F1423" s="200">
        <v>45695.41666666667</v>
      </c>
      <c r="G1423" s="197" t="s">
        <v>845</v>
      </c>
      <c r="H1423" s="197" t="s">
        <v>857</v>
      </c>
    </row>
    <row r="1424" ht="15.75" customHeight="1">
      <c r="A1424" s="197" t="s">
        <v>63</v>
      </c>
      <c r="B1424" s="197" t="s">
        <v>21</v>
      </c>
      <c r="C1424" s="198" t="s">
        <v>438</v>
      </c>
      <c r="D1424" s="197" t="s">
        <v>439</v>
      </c>
      <c r="E1424" s="199">
        <v>6.0</v>
      </c>
      <c r="F1424" s="200">
        <v>45702.41666666667</v>
      </c>
      <c r="G1424" s="197" t="s">
        <v>845</v>
      </c>
      <c r="H1424" s="197" t="s">
        <v>857</v>
      </c>
    </row>
    <row r="1425" ht="15.75" customHeight="1">
      <c r="A1425" s="197" t="s">
        <v>63</v>
      </c>
      <c r="B1425" s="197" t="s">
        <v>21</v>
      </c>
      <c r="C1425" s="198" t="s">
        <v>438</v>
      </c>
      <c r="D1425" s="197" t="s">
        <v>439</v>
      </c>
      <c r="E1425" s="199">
        <v>7.0</v>
      </c>
      <c r="F1425" s="200">
        <v>45709.58333333333</v>
      </c>
      <c r="G1425" s="197" t="s">
        <v>845</v>
      </c>
      <c r="H1425" s="197" t="s">
        <v>857</v>
      </c>
    </row>
    <row r="1426" ht="15.75" customHeight="1">
      <c r="A1426" s="197" t="s">
        <v>63</v>
      </c>
      <c r="B1426" s="197" t="s">
        <v>21</v>
      </c>
      <c r="C1426" s="198" t="s">
        <v>438</v>
      </c>
      <c r="D1426" s="197" t="s">
        <v>439</v>
      </c>
      <c r="E1426" s="199">
        <v>8.0</v>
      </c>
      <c r="F1426" s="200">
        <v>45716.54166666667</v>
      </c>
      <c r="G1426" s="197" t="s">
        <v>845</v>
      </c>
      <c r="H1426" s="197" t="s">
        <v>857</v>
      </c>
    </row>
    <row r="1427" ht="15.75" customHeight="1">
      <c r="A1427" s="197" t="s">
        <v>63</v>
      </c>
      <c r="B1427" s="197" t="s">
        <v>21</v>
      </c>
      <c r="C1427" s="198" t="s">
        <v>438</v>
      </c>
      <c r="D1427" s="197" t="s">
        <v>439</v>
      </c>
      <c r="E1427" s="199">
        <v>9.0</v>
      </c>
      <c r="F1427" s="200">
        <v>45765.625</v>
      </c>
      <c r="G1427" s="197" t="s">
        <v>845</v>
      </c>
      <c r="H1427" s="197" t="s">
        <v>857</v>
      </c>
    </row>
    <row r="1428" ht="15.75" customHeight="1">
      <c r="A1428" s="197" t="s">
        <v>63</v>
      </c>
      <c r="B1428" s="197" t="s">
        <v>21</v>
      </c>
      <c r="C1428" s="198" t="s">
        <v>438</v>
      </c>
      <c r="D1428" s="197" t="s">
        <v>439</v>
      </c>
      <c r="E1428" s="199">
        <v>10.0</v>
      </c>
      <c r="F1428" s="200">
        <v>45806.41666666667</v>
      </c>
      <c r="G1428" s="197" t="s">
        <v>845</v>
      </c>
      <c r="H1428" s="197" t="s">
        <v>857</v>
      </c>
    </row>
    <row r="1429" ht="15.75" customHeight="1">
      <c r="A1429" s="197" t="s">
        <v>63</v>
      </c>
      <c r="B1429" s="197" t="s">
        <v>22</v>
      </c>
      <c r="C1429" s="198" t="s">
        <v>438</v>
      </c>
      <c r="D1429" s="197" t="s">
        <v>439</v>
      </c>
      <c r="E1429" s="199">
        <v>1.0</v>
      </c>
      <c r="F1429" s="200">
        <v>45841.375</v>
      </c>
      <c r="G1429" s="197" t="s">
        <v>843</v>
      </c>
      <c r="H1429" s="197" t="s">
        <v>857</v>
      </c>
    </row>
    <row r="1430" ht="15.75" customHeight="1">
      <c r="A1430" s="197" t="s">
        <v>63</v>
      </c>
      <c r="B1430" s="197" t="s">
        <v>22</v>
      </c>
      <c r="C1430" s="198" t="s">
        <v>438</v>
      </c>
      <c r="D1430" s="197" t="s">
        <v>439</v>
      </c>
      <c r="E1430" s="199">
        <v>2.0</v>
      </c>
      <c r="F1430" s="200">
        <v>45849.375</v>
      </c>
      <c r="G1430" s="197" t="s">
        <v>845</v>
      </c>
      <c r="H1430" s="197" t="s">
        <v>857</v>
      </c>
    </row>
    <row r="1431" ht="15.75" customHeight="1">
      <c r="A1431" s="197" t="s">
        <v>63</v>
      </c>
      <c r="B1431" s="197" t="s">
        <v>22</v>
      </c>
      <c r="C1431" s="198" t="s">
        <v>438</v>
      </c>
      <c r="D1431" s="197" t="s">
        <v>439</v>
      </c>
      <c r="E1431" s="199">
        <v>3.0</v>
      </c>
      <c r="F1431" s="200">
        <v>45862.375</v>
      </c>
      <c r="G1431" s="197" t="s">
        <v>845</v>
      </c>
      <c r="H1431" s="197" t="s">
        <v>857</v>
      </c>
    </row>
    <row r="1432" ht="15.75" customHeight="1">
      <c r="A1432" s="197" t="s">
        <v>63</v>
      </c>
      <c r="B1432" s="197" t="s">
        <v>22</v>
      </c>
      <c r="C1432" s="198" t="s">
        <v>438</v>
      </c>
      <c r="D1432" s="197" t="s">
        <v>439</v>
      </c>
      <c r="E1432" s="199">
        <v>4.0</v>
      </c>
      <c r="F1432" s="200">
        <v>45881.41666666667</v>
      </c>
      <c r="G1432" s="197" t="s">
        <v>845</v>
      </c>
      <c r="H1432" s="197" t="s">
        <v>857</v>
      </c>
    </row>
    <row r="1433" ht="15.75" customHeight="1">
      <c r="A1433" s="197" t="s">
        <v>63</v>
      </c>
      <c r="B1433" s="197" t="s">
        <v>22</v>
      </c>
      <c r="C1433" s="198" t="s">
        <v>438</v>
      </c>
      <c r="D1433" s="197" t="s">
        <v>439</v>
      </c>
      <c r="E1433" s="199">
        <v>5.0</v>
      </c>
      <c r="F1433" s="200">
        <v>45888.41666666667</v>
      </c>
      <c r="G1433" s="197" t="s">
        <v>845</v>
      </c>
      <c r="H1433" s="197" t="s">
        <v>857</v>
      </c>
    </row>
    <row r="1434" ht="15.75" customHeight="1">
      <c r="A1434" s="197" t="s">
        <v>63</v>
      </c>
      <c r="B1434" s="197" t="s">
        <v>22</v>
      </c>
      <c r="C1434" s="198" t="s">
        <v>438</v>
      </c>
      <c r="D1434" s="197" t="s">
        <v>439</v>
      </c>
      <c r="E1434" s="199">
        <v>6.0</v>
      </c>
      <c r="F1434" s="200">
        <v>45895.41666666667</v>
      </c>
      <c r="G1434" s="197" t="s">
        <v>845</v>
      </c>
      <c r="H1434" s="197" t="s">
        <v>857</v>
      </c>
    </row>
    <row r="1435" ht="15.75" customHeight="1">
      <c r="A1435" s="197" t="s">
        <v>63</v>
      </c>
      <c r="B1435" s="197" t="s">
        <v>22</v>
      </c>
      <c r="C1435" s="198" t="s">
        <v>438</v>
      </c>
      <c r="D1435" s="197" t="s">
        <v>439</v>
      </c>
      <c r="E1435" s="199">
        <v>7.0</v>
      </c>
      <c r="F1435" s="200">
        <v>45911.45833333333</v>
      </c>
      <c r="G1435" s="197" t="s">
        <v>843</v>
      </c>
      <c r="H1435" s="197" t="s">
        <v>857</v>
      </c>
    </row>
    <row r="1436" ht="15.75" customHeight="1">
      <c r="A1436" s="197" t="s">
        <v>63</v>
      </c>
      <c r="B1436" s="197" t="s">
        <v>22</v>
      </c>
      <c r="C1436" s="198" t="s">
        <v>438</v>
      </c>
      <c r="D1436" s="197" t="s">
        <v>439</v>
      </c>
      <c r="E1436" s="199">
        <v>8.0</v>
      </c>
      <c r="F1436" s="200">
        <v>45925.41666666667</v>
      </c>
      <c r="G1436" s="197" t="s">
        <v>843</v>
      </c>
      <c r="H1436" s="197" t="s">
        <v>857</v>
      </c>
    </row>
    <row r="1437" ht="15.75" customHeight="1">
      <c r="A1437" s="197" t="s">
        <v>63</v>
      </c>
      <c r="B1437" s="197" t="s">
        <v>22</v>
      </c>
      <c r="C1437" s="198" t="s">
        <v>438</v>
      </c>
      <c r="D1437" s="197" t="s">
        <v>439</v>
      </c>
      <c r="E1437" s="199">
        <v>9.0</v>
      </c>
      <c r="F1437" s="200">
        <v>45932.45833333333</v>
      </c>
      <c r="G1437" s="197" t="s">
        <v>843</v>
      </c>
      <c r="H1437" s="197" t="s">
        <v>857</v>
      </c>
    </row>
    <row r="1438" ht="15.75" customHeight="1">
      <c r="A1438" s="197" t="s">
        <v>63</v>
      </c>
      <c r="B1438" s="197" t="s">
        <v>22</v>
      </c>
      <c r="C1438" s="198" t="s">
        <v>438</v>
      </c>
      <c r="D1438" s="197" t="s">
        <v>439</v>
      </c>
      <c r="E1438" s="199">
        <v>10.0</v>
      </c>
      <c r="F1438" s="200">
        <v>45939.45833333333</v>
      </c>
      <c r="G1438" s="197" t="s">
        <v>843</v>
      </c>
      <c r="H1438" s="197" t="s">
        <v>857</v>
      </c>
    </row>
    <row r="1439" ht="15.75" customHeight="1">
      <c r="A1439" s="197" t="s">
        <v>63</v>
      </c>
      <c r="B1439" s="197" t="s">
        <v>22</v>
      </c>
      <c r="C1439" s="198" t="s">
        <v>438</v>
      </c>
      <c r="D1439" s="197" t="s">
        <v>439</v>
      </c>
      <c r="E1439" s="199">
        <v>11.0</v>
      </c>
      <c r="F1439" s="200">
        <v>45946.375</v>
      </c>
      <c r="G1439" s="197" t="s">
        <v>843</v>
      </c>
      <c r="H1439" s="197" t="s">
        <v>857</v>
      </c>
    </row>
    <row r="1440" ht="15.75" customHeight="1">
      <c r="A1440" s="197" t="s">
        <v>63</v>
      </c>
      <c r="B1440" s="197" t="s">
        <v>22</v>
      </c>
      <c r="C1440" s="198" t="s">
        <v>438</v>
      </c>
      <c r="D1440" s="197" t="s">
        <v>439</v>
      </c>
      <c r="E1440" s="199">
        <v>12.0</v>
      </c>
      <c r="F1440" s="200">
        <v>45961.45833333333</v>
      </c>
      <c r="G1440" s="197" t="s">
        <v>843</v>
      </c>
      <c r="H1440" s="197" t="s">
        <v>857</v>
      </c>
    </row>
    <row r="1441" ht="15.75" customHeight="1">
      <c r="A1441" s="197" t="s">
        <v>63</v>
      </c>
      <c r="B1441" s="197" t="s">
        <v>22</v>
      </c>
      <c r="C1441" s="198" t="s">
        <v>438</v>
      </c>
      <c r="D1441" s="197" t="s">
        <v>439</v>
      </c>
      <c r="E1441" s="199">
        <v>13.0</v>
      </c>
      <c r="F1441" s="200">
        <v>45967.625</v>
      </c>
      <c r="G1441" s="197" t="s">
        <v>845</v>
      </c>
      <c r="H1441" s="197" t="s">
        <v>857</v>
      </c>
    </row>
    <row r="1442" ht="15.75" customHeight="1">
      <c r="A1442" s="197" t="s">
        <v>63</v>
      </c>
      <c r="B1442" s="197" t="s">
        <v>22</v>
      </c>
      <c r="C1442" s="198" t="s">
        <v>438</v>
      </c>
      <c r="D1442" s="197" t="s">
        <v>439</v>
      </c>
      <c r="E1442" s="199">
        <v>14.0</v>
      </c>
      <c r="F1442" s="200">
        <v>45974.625</v>
      </c>
      <c r="G1442" s="197" t="s">
        <v>843</v>
      </c>
      <c r="H1442" s="197" t="s">
        <v>857</v>
      </c>
    </row>
    <row r="1443" ht="15.75" customHeight="1">
      <c r="A1443" s="197" t="s">
        <v>63</v>
      </c>
      <c r="B1443" s="197" t="s">
        <v>22</v>
      </c>
      <c r="C1443" s="198" t="s">
        <v>438</v>
      </c>
      <c r="D1443" s="197" t="s">
        <v>439</v>
      </c>
      <c r="E1443" s="199">
        <v>15.0</v>
      </c>
      <c r="F1443" s="200">
        <v>46006.41666666667</v>
      </c>
      <c r="G1443" s="197" t="s">
        <v>843</v>
      </c>
      <c r="H1443" s="197" t="s">
        <v>857</v>
      </c>
    </row>
    <row r="1444" ht="15.75" customHeight="1">
      <c r="A1444" s="197" t="s">
        <v>63</v>
      </c>
      <c r="B1444" s="197" t="s">
        <v>22</v>
      </c>
      <c r="C1444" s="198" t="s">
        <v>438</v>
      </c>
      <c r="D1444" s="197" t="s">
        <v>439</v>
      </c>
      <c r="E1444" s="199">
        <v>16.0</v>
      </c>
      <c r="F1444" s="200">
        <v>46045.41666666667</v>
      </c>
      <c r="G1444" s="197" t="s">
        <v>843</v>
      </c>
      <c r="H1444" s="197" t="s">
        <v>857</v>
      </c>
    </row>
    <row r="1445" ht="15.75" customHeight="1">
      <c r="A1445" s="197" t="s">
        <v>63</v>
      </c>
      <c r="B1445" s="197" t="s">
        <v>23</v>
      </c>
      <c r="C1445" s="198" t="s">
        <v>553</v>
      </c>
      <c r="D1445" s="197" t="s">
        <v>554</v>
      </c>
      <c r="E1445" s="199">
        <v>1.0</v>
      </c>
      <c r="F1445" s="200">
        <v>45729.45833333333</v>
      </c>
      <c r="G1445" s="197" t="s">
        <v>845</v>
      </c>
      <c r="H1445" s="197" t="s">
        <v>857</v>
      </c>
    </row>
    <row r="1446" ht="15.75" customHeight="1">
      <c r="A1446" s="197" t="s">
        <v>63</v>
      </c>
      <c r="B1446" s="197" t="s">
        <v>23</v>
      </c>
      <c r="C1446" s="198" t="s">
        <v>553</v>
      </c>
      <c r="D1446" s="197" t="s">
        <v>554</v>
      </c>
      <c r="E1446" s="199">
        <v>2.0</v>
      </c>
      <c r="F1446" s="200">
        <v>45743.45833333333</v>
      </c>
      <c r="G1446" s="197" t="s">
        <v>845</v>
      </c>
      <c r="H1446" s="197" t="s">
        <v>857</v>
      </c>
    </row>
    <row r="1447" ht="15.75" customHeight="1">
      <c r="A1447" s="197" t="s">
        <v>63</v>
      </c>
      <c r="B1447" s="197" t="s">
        <v>23</v>
      </c>
      <c r="C1447" s="198" t="s">
        <v>553</v>
      </c>
      <c r="D1447" s="197" t="s">
        <v>554</v>
      </c>
      <c r="E1447" s="199">
        <v>3.0</v>
      </c>
      <c r="F1447" s="200">
        <v>46113.45833333333</v>
      </c>
      <c r="G1447" s="197" t="s">
        <v>845</v>
      </c>
      <c r="H1447" s="197" t="s">
        <v>857</v>
      </c>
    </row>
    <row r="1448" ht="15.75" customHeight="1">
      <c r="A1448" s="197" t="s">
        <v>63</v>
      </c>
      <c r="B1448" s="197" t="s">
        <v>21</v>
      </c>
      <c r="C1448" s="198" t="s">
        <v>599</v>
      </c>
      <c r="D1448" s="197" t="s">
        <v>600</v>
      </c>
      <c r="E1448" s="199">
        <v>1.0</v>
      </c>
      <c r="F1448" s="200">
        <v>45636.45833333333</v>
      </c>
      <c r="G1448" s="197" t="s">
        <v>845</v>
      </c>
      <c r="H1448" s="197" t="s">
        <v>857</v>
      </c>
    </row>
    <row r="1449" ht="15.75" customHeight="1">
      <c r="A1449" s="197" t="s">
        <v>63</v>
      </c>
      <c r="B1449" s="197" t="s">
        <v>21</v>
      </c>
      <c r="C1449" s="198" t="s">
        <v>599</v>
      </c>
      <c r="D1449" s="197" t="s">
        <v>600</v>
      </c>
      <c r="E1449" s="199">
        <v>2.0</v>
      </c>
      <c r="F1449" s="200">
        <v>45653.45833333333</v>
      </c>
      <c r="G1449" s="197" t="s">
        <v>845</v>
      </c>
      <c r="H1449" s="197" t="s">
        <v>857</v>
      </c>
    </row>
    <row r="1450" ht="15.75" customHeight="1">
      <c r="A1450" s="197" t="s">
        <v>63</v>
      </c>
      <c r="B1450" s="197" t="s">
        <v>21</v>
      </c>
      <c r="C1450" s="198" t="s">
        <v>599</v>
      </c>
      <c r="D1450" s="197" t="s">
        <v>600</v>
      </c>
      <c r="E1450" s="199">
        <v>3.0</v>
      </c>
      <c r="F1450" s="200">
        <v>45667.41666666667</v>
      </c>
      <c r="G1450" s="197" t="s">
        <v>845</v>
      </c>
      <c r="H1450" s="197" t="s">
        <v>857</v>
      </c>
    </row>
    <row r="1451" ht="15.75" customHeight="1">
      <c r="A1451" s="197" t="s">
        <v>63</v>
      </c>
      <c r="B1451" s="197" t="s">
        <v>21</v>
      </c>
      <c r="C1451" s="198" t="s">
        <v>599</v>
      </c>
      <c r="D1451" s="197" t="s">
        <v>600</v>
      </c>
      <c r="E1451" s="199">
        <v>4.0</v>
      </c>
      <c r="F1451" s="200">
        <v>45674.41666666667</v>
      </c>
      <c r="G1451" s="197" t="s">
        <v>845</v>
      </c>
      <c r="H1451" s="197" t="s">
        <v>857</v>
      </c>
    </row>
    <row r="1452" ht="15.75" customHeight="1">
      <c r="A1452" s="197" t="s">
        <v>63</v>
      </c>
      <c r="B1452" s="197" t="s">
        <v>21</v>
      </c>
      <c r="C1452" s="198" t="s">
        <v>599</v>
      </c>
      <c r="D1452" s="197" t="s">
        <v>600</v>
      </c>
      <c r="E1452" s="199">
        <v>5.0</v>
      </c>
      <c r="F1452" s="200">
        <v>45695.41666666667</v>
      </c>
      <c r="G1452" s="197" t="s">
        <v>843</v>
      </c>
      <c r="H1452" s="197" t="s">
        <v>857</v>
      </c>
    </row>
    <row r="1453" ht="15.75" customHeight="1">
      <c r="A1453" s="197" t="s">
        <v>63</v>
      </c>
      <c r="B1453" s="197" t="s">
        <v>21</v>
      </c>
      <c r="C1453" s="198" t="s">
        <v>599</v>
      </c>
      <c r="D1453" s="197" t="s">
        <v>600</v>
      </c>
      <c r="E1453" s="199">
        <v>6.0</v>
      </c>
      <c r="F1453" s="200">
        <v>45702.41666666667</v>
      </c>
      <c r="G1453" s="197" t="s">
        <v>845</v>
      </c>
      <c r="H1453" s="197" t="s">
        <v>857</v>
      </c>
    </row>
    <row r="1454" ht="15.75" customHeight="1">
      <c r="A1454" s="197" t="s">
        <v>63</v>
      </c>
      <c r="B1454" s="197" t="s">
        <v>21</v>
      </c>
      <c r="C1454" s="198" t="s">
        <v>599</v>
      </c>
      <c r="D1454" s="197" t="s">
        <v>600</v>
      </c>
      <c r="E1454" s="199">
        <v>7.0</v>
      </c>
      <c r="F1454" s="200">
        <v>45709.58333333333</v>
      </c>
      <c r="G1454" s="197" t="s">
        <v>845</v>
      </c>
      <c r="H1454" s="197" t="s">
        <v>857</v>
      </c>
    </row>
    <row r="1455" ht="15.75" customHeight="1">
      <c r="A1455" s="197" t="s">
        <v>63</v>
      </c>
      <c r="B1455" s="197" t="s">
        <v>21</v>
      </c>
      <c r="C1455" s="198" t="s">
        <v>599</v>
      </c>
      <c r="D1455" s="197" t="s">
        <v>600</v>
      </c>
      <c r="E1455" s="199">
        <v>8.0</v>
      </c>
      <c r="F1455" s="200">
        <v>45716.54166666667</v>
      </c>
      <c r="G1455" s="197" t="s">
        <v>843</v>
      </c>
      <c r="H1455" s="197" t="s">
        <v>857</v>
      </c>
    </row>
    <row r="1456" ht="15.75" customHeight="1">
      <c r="A1456" s="197" t="s">
        <v>63</v>
      </c>
      <c r="B1456" s="197" t="s">
        <v>21</v>
      </c>
      <c r="C1456" s="198" t="s">
        <v>599</v>
      </c>
      <c r="D1456" s="197" t="s">
        <v>600</v>
      </c>
      <c r="E1456" s="199">
        <v>9.0</v>
      </c>
      <c r="F1456" s="200">
        <v>45765.625</v>
      </c>
      <c r="G1456" s="197" t="s">
        <v>843</v>
      </c>
      <c r="H1456" s="197" t="s">
        <v>857</v>
      </c>
    </row>
    <row r="1457" ht="15.75" customHeight="1">
      <c r="A1457" s="197" t="s">
        <v>63</v>
      </c>
      <c r="B1457" s="197" t="s">
        <v>21</v>
      </c>
      <c r="C1457" s="198" t="s">
        <v>599</v>
      </c>
      <c r="D1457" s="197" t="s">
        <v>600</v>
      </c>
      <c r="E1457" s="199">
        <v>10.0</v>
      </c>
      <c r="F1457" s="200">
        <v>45806.41666666667</v>
      </c>
      <c r="G1457" s="197" t="s">
        <v>845</v>
      </c>
      <c r="H1457" s="197" t="s">
        <v>857</v>
      </c>
    </row>
    <row r="1458" ht="15.75" customHeight="1">
      <c r="A1458" s="197" t="s">
        <v>63</v>
      </c>
      <c r="B1458" s="197" t="s">
        <v>22</v>
      </c>
      <c r="C1458" s="198" t="s">
        <v>599</v>
      </c>
      <c r="D1458" s="197" t="s">
        <v>600</v>
      </c>
      <c r="E1458" s="199">
        <v>1.0</v>
      </c>
      <c r="F1458" s="200">
        <v>45841.375</v>
      </c>
      <c r="G1458" s="197" t="s">
        <v>845</v>
      </c>
      <c r="H1458" s="197" t="s">
        <v>857</v>
      </c>
    </row>
    <row r="1459" ht="15.75" customHeight="1">
      <c r="A1459" s="197" t="s">
        <v>63</v>
      </c>
      <c r="B1459" s="197" t="s">
        <v>22</v>
      </c>
      <c r="C1459" s="198" t="s">
        <v>599</v>
      </c>
      <c r="D1459" s="197" t="s">
        <v>600</v>
      </c>
      <c r="E1459" s="199">
        <v>2.0</v>
      </c>
      <c r="F1459" s="200">
        <v>45849.375</v>
      </c>
      <c r="G1459" s="197" t="s">
        <v>845</v>
      </c>
      <c r="H1459" s="197" t="s">
        <v>857</v>
      </c>
    </row>
    <row r="1460" ht="15.75" customHeight="1">
      <c r="A1460" s="197" t="s">
        <v>63</v>
      </c>
      <c r="B1460" s="197" t="s">
        <v>22</v>
      </c>
      <c r="C1460" s="198" t="s">
        <v>599</v>
      </c>
      <c r="D1460" s="197" t="s">
        <v>600</v>
      </c>
      <c r="E1460" s="199">
        <v>3.0</v>
      </c>
      <c r="F1460" s="200">
        <v>45862.375</v>
      </c>
      <c r="G1460" s="197" t="s">
        <v>845</v>
      </c>
      <c r="H1460" s="197" t="s">
        <v>857</v>
      </c>
    </row>
    <row r="1461" ht="15.75" customHeight="1">
      <c r="A1461" s="197" t="s">
        <v>63</v>
      </c>
      <c r="B1461" s="197" t="s">
        <v>22</v>
      </c>
      <c r="C1461" s="198" t="s">
        <v>599</v>
      </c>
      <c r="D1461" s="197" t="s">
        <v>600</v>
      </c>
      <c r="E1461" s="199">
        <v>4.0</v>
      </c>
      <c r="F1461" s="200">
        <v>45881.41666666667</v>
      </c>
      <c r="G1461" s="197" t="s">
        <v>845</v>
      </c>
      <c r="H1461" s="197" t="s">
        <v>857</v>
      </c>
    </row>
    <row r="1462" ht="15.75" customHeight="1">
      <c r="A1462" s="197" t="s">
        <v>63</v>
      </c>
      <c r="B1462" s="197" t="s">
        <v>22</v>
      </c>
      <c r="C1462" s="198" t="s">
        <v>599</v>
      </c>
      <c r="D1462" s="197" t="s">
        <v>600</v>
      </c>
      <c r="E1462" s="199">
        <v>5.0</v>
      </c>
      <c r="F1462" s="200">
        <v>45888.41666666667</v>
      </c>
      <c r="G1462" s="197" t="s">
        <v>845</v>
      </c>
      <c r="H1462" s="197" t="s">
        <v>857</v>
      </c>
    </row>
    <row r="1463" ht="15.75" customHeight="1">
      <c r="A1463" s="197" t="s">
        <v>63</v>
      </c>
      <c r="B1463" s="197" t="s">
        <v>22</v>
      </c>
      <c r="C1463" s="198" t="s">
        <v>599</v>
      </c>
      <c r="D1463" s="197" t="s">
        <v>600</v>
      </c>
      <c r="E1463" s="199">
        <v>6.0</v>
      </c>
      <c r="F1463" s="200">
        <v>45895.41666666667</v>
      </c>
      <c r="G1463" s="197" t="s">
        <v>845</v>
      </c>
      <c r="H1463" s="197" t="s">
        <v>857</v>
      </c>
    </row>
    <row r="1464" ht="15.75" customHeight="1">
      <c r="A1464" s="197" t="s">
        <v>63</v>
      </c>
      <c r="B1464" s="197" t="s">
        <v>22</v>
      </c>
      <c r="C1464" s="198" t="s">
        <v>599</v>
      </c>
      <c r="D1464" s="197" t="s">
        <v>600</v>
      </c>
      <c r="E1464" s="199">
        <v>7.0</v>
      </c>
      <c r="F1464" s="200">
        <v>45911.45833333333</v>
      </c>
      <c r="G1464" s="197" t="s">
        <v>845</v>
      </c>
      <c r="H1464" s="197" t="s">
        <v>857</v>
      </c>
    </row>
    <row r="1465" ht="15.75" customHeight="1">
      <c r="A1465" s="197" t="s">
        <v>63</v>
      </c>
      <c r="B1465" s="197" t="s">
        <v>22</v>
      </c>
      <c r="C1465" s="198" t="s">
        <v>599</v>
      </c>
      <c r="D1465" s="197" t="s">
        <v>600</v>
      </c>
      <c r="E1465" s="199">
        <v>8.0</v>
      </c>
      <c r="F1465" s="200">
        <v>45925.41666666667</v>
      </c>
      <c r="G1465" s="197" t="s">
        <v>845</v>
      </c>
      <c r="H1465" s="197" t="s">
        <v>857</v>
      </c>
    </row>
    <row r="1466" ht="15.75" customHeight="1">
      <c r="A1466" s="197" t="s">
        <v>63</v>
      </c>
      <c r="B1466" s="197" t="s">
        <v>22</v>
      </c>
      <c r="C1466" s="198" t="s">
        <v>599</v>
      </c>
      <c r="D1466" s="197" t="s">
        <v>600</v>
      </c>
      <c r="E1466" s="199">
        <v>9.0</v>
      </c>
      <c r="F1466" s="200">
        <v>45932.45833333333</v>
      </c>
      <c r="G1466" s="197" t="s">
        <v>845</v>
      </c>
      <c r="H1466" s="197" t="s">
        <v>857</v>
      </c>
    </row>
    <row r="1467" ht="15.75" customHeight="1">
      <c r="A1467" s="197" t="s">
        <v>63</v>
      </c>
      <c r="B1467" s="197" t="s">
        <v>22</v>
      </c>
      <c r="C1467" s="198" t="s">
        <v>599</v>
      </c>
      <c r="D1467" s="197" t="s">
        <v>600</v>
      </c>
      <c r="E1467" s="199">
        <v>10.0</v>
      </c>
      <c r="F1467" s="200">
        <v>45939.45833333333</v>
      </c>
      <c r="G1467" s="197" t="s">
        <v>843</v>
      </c>
      <c r="H1467" s="197" t="s">
        <v>857</v>
      </c>
    </row>
    <row r="1468" ht="15.75" customHeight="1">
      <c r="A1468" s="197" t="s">
        <v>63</v>
      </c>
      <c r="B1468" s="197" t="s">
        <v>22</v>
      </c>
      <c r="C1468" s="198" t="s">
        <v>599</v>
      </c>
      <c r="D1468" s="197" t="s">
        <v>600</v>
      </c>
      <c r="E1468" s="199">
        <v>11.0</v>
      </c>
      <c r="F1468" s="200">
        <v>45946.375</v>
      </c>
      <c r="G1468" s="197" t="s">
        <v>845</v>
      </c>
      <c r="H1468" s="197" t="s">
        <v>857</v>
      </c>
    </row>
    <row r="1469" ht="15.75" customHeight="1">
      <c r="A1469" s="197" t="s">
        <v>63</v>
      </c>
      <c r="B1469" s="197" t="s">
        <v>22</v>
      </c>
      <c r="C1469" s="198" t="s">
        <v>599</v>
      </c>
      <c r="D1469" s="197" t="s">
        <v>600</v>
      </c>
      <c r="E1469" s="199">
        <v>12.0</v>
      </c>
      <c r="F1469" s="200">
        <v>45961.45833333333</v>
      </c>
      <c r="G1469" s="197" t="s">
        <v>845</v>
      </c>
      <c r="H1469" s="197" t="s">
        <v>857</v>
      </c>
    </row>
    <row r="1470" ht="15.75" customHeight="1">
      <c r="A1470" s="197" t="s">
        <v>63</v>
      </c>
      <c r="B1470" s="197" t="s">
        <v>22</v>
      </c>
      <c r="C1470" s="198" t="s">
        <v>599</v>
      </c>
      <c r="D1470" s="197" t="s">
        <v>600</v>
      </c>
      <c r="E1470" s="199">
        <v>13.0</v>
      </c>
      <c r="F1470" s="200">
        <v>45967.625</v>
      </c>
      <c r="G1470" s="197" t="s">
        <v>845</v>
      </c>
      <c r="H1470" s="197" t="s">
        <v>857</v>
      </c>
    </row>
    <row r="1471" ht="15.75" customHeight="1">
      <c r="A1471" s="197" t="s">
        <v>63</v>
      </c>
      <c r="B1471" s="197" t="s">
        <v>22</v>
      </c>
      <c r="C1471" s="198" t="s">
        <v>599</v>
      </c>
      <c r="D1471" s="197" t="s">
        <v>600</v>
      </c>
      <c r="E1471" s="199">
        <v>14.0</v>
      </c>
      <c r="F1471" s="200">
        <v>45974.625</v>
      </c>
      <c r="G1471" s="197" t="s">
        <v>845</v>
      </c>
      <c r="H1471" s="197" t="s">
        <v>857</v>
      </c>
    </row>
    <row r="1472" ht="15.75" customHeight="1">
      <c r="A1472" s="197" t="s">
        <v>63</v>
      </c>
      <c r="B1472" s="197" t="s">
        <v>22</v>
      </c>
      <c r="C1472" s="198" t="s">
        <v>599</v>
      </c>
      <c r="D1472" s="197" t="s">
        <v>600</v>
      </c>
      <c r="E1472" s="199">
        <v>15.0</v>
      </c>
      <c r="F1472" s="200">
        <v>46006.41666666667</v>
      </c>
      <c r="G1472" s="197" t="s">
        <v>845</v>
      </c>
      <c r="H1472" s="197" t="s">
        <v>857</v>
      </c>
    </row>
    <row r="1473" ht="15.75" customHeight="1">
      <c r="A1473" s="197" t="s">
        <v>63</v>
      </c>
      <c r="B1473" s="197" t="s">
        <v>22</v>
      </c>
      <c r="C1473" s="198" t="s">
        <v>599</v>
      </c>
      <c r="D1473" s="197" t="s">
        <v>600</v>
      </c>
      <c r="E1473" s="199">
        <v>16.0</v>
      </c>
      <c r="F1473" s="200">
        <v>46045.41666666667</v>
      </c>
      <c r="G1473" s="197" t="s">
        <v>845</v>
      </c>
      <c r="H1473" s="197" t="s">
        <v>857</v>
      </c>
    </row>
    <row r="1474" ht="15.75" customHeight="1">
      <c r="A1474" s="197" t="s">
        <v>63</v>
      </c>
      <c r="B1474" s="197" t="s">
        <v>23</v>
      </c>
      <c r="C1474" s="198" t="s">
        <v>599</v>
      </c>
      <c r="D1474" s="197" t="s">
        <v>600</v>
      </c>
      <c r="E1474" s="199">
        <v>1.0</v>
      </c>
      <c r="F1474" s="200">
        <v>45729.45833333333</v>
      </c>
      <c r="G1474" s="197" t="s">
        <v>845</v>
      </c>
      <c r="H1474" s="197" t="s">
        <v>857</v>
      </c>
    </row>
    <row r="1475" ht="15.75" customHeight="1">
      <c r="A1475" s="197" t="s">
        <v>63</v>
      </c>
      <c r="B1475" s="197" t="s">
        <v>23</v>
      </c>
      <c r="C1475" s="198" t="s">
        <v>599</v>
      </c>
      <c r="D1475" s="197" t="s">
        <v>600</v>
      </c>
      <c r="E1475" s="199">
        <v>2.0</v>
      </c>
      <c r="F1475" s="200">
        <v>45743.45833333333</v>
      </c>
      <c r="G1475" s="197" t="s">
        <v>845</v>
      </c>
      <c r="H1475" s="197" t="s">
        <v>857</v>
      </c>
    </row>
    <row r="1476" ht="15.75" customHeight="1">
      <c r="A1476" s="197" t="s">
        <v>63</v>
      </c>
      <c r="B1476" s="197" t="s">
        <v>23</v>
      </c>
      <c r="C1476" s="198" t="s">
        <v>599</v>
      </c>
      <c r="D1476" s="197" t="s">
        <v>600</v>
      </c>
      <c r="E1476" s="199">
        <v>3.0</v>
      </c>
      <c r="F1476" s="200">
        <v>46113.45833333333</v>
      </c>
      <c r="G1476" s="197" t="s">
        <v>845</v>
      </c>
      <c r="H1476" s="197" t="s">
        <v>857</v>
      </c>
    </row>
    <row r="1477" ht="15.75" customHeight="1">
      <c r="A1477" s="197" t="s">
        <v>63</v>
      </c>
      <c r="B1477" s="197" t="s">
        <v>21</v>
      </c>
      <c r="C1477" s="198" t="s">
        <v>611</v>
      </c>
      <c r="D1477" s="197" t="s">
        <v>612</v>
      </c>
      <c r="E1477" s="199">
        <v>1.0</v>
      </c>
      <c r="F1477" s="200">
        <v>45639.375</v>
      </c>
      <c r="G1477" s="197" t="s">
        <v>845</v>
      </c>
      <c r="H1477" s="197" t="s">
        <v>857</v>
      </c>
    </row>
    <row r="1478" ht="15.75" customHeight="1">
      <c r="A1478" s="197" t="s">
        <v>63</v>
      </c>
      <c r="B1478" s="197" t="s">
        <v>21</v>
      </c>
      <c r="C1478" s="198" t="s">
        <v>611</v>
      </c>
      <c r="D1478" s="197" t="s">
        <v>612</v>
      </c>
      <c r="E1478" s="199">
        <v>2.0</v>
      </c>
      <c r="F1478" s="200">
        <v>45645.375</v>
      </c>
      <c r="G1478" s="197" t="s">
        <v>845</v>
      </c>
      <c r="H1478" s="197" t="s">
        <v>857</v>
      </c>
    </row>
    <row r="1479" ht="15.75" customHeight="1">
      <c r="A1479" s="197" t="s">
        <v>63</v>
      </c>
      <c r="B1479" s="197" t="s">
        <v>21</v>
      </c>
      <c r="C1479" s="198" t="s">
        <v>611</v>
      </c>
      <c r="D1479" s="197" t="s">
        <v>612</v>
      </c>
      <c r="E1479" s="199">
        <v>3.0</v>
      </c>
      <c r="F1479" s="200">
        <v>45667.41666666667</v>
      </c>
      <c r="G1479" s="197" t="s">
        <v>845</v>
      </c>
      <c r="H1479" s="197" t="s">
        <v>857</v>
      </c>
    </row>
    <row r="1480" ht="15.75" customHeight="1">
      <c r="A1480" s="197" t="s">
        <v>63</v>
      </c>
      <c r="B1480" s="197" t="s">
        <v>21</v>
      </c>
      <c r="C1480" s="198" t="s">
        <v>611</v>
      </c>
      <c r="D1480" s="197" t="s">
        <v>612</v>
      </c>
      <c r="E1480" s="199">
        <v>4.0</v>
      </c>
      <c r="F1480" s="200">
        <v>45674.41666666667</v>
      </c>
      <c r="G1480" s="197" t="s">
        <v>845</v>
      </c>
      <c r="H1480" s="197" t="s">
        <v>857</v>
      </c>
    </row>
    <row r="1481" ht="15.75" customHeight="1">
      <c r="A1481" s="197" t="s">
        <v>63</v>
      </c>
      <c r="B1481" s="197" t="s">
        <v>21</v>
      </c>
      <c r="C1481" s="198" t="s">
        <v>611</v>
      </c>
      <c r="D1481" s="197" t="s">
        <v>612</v>
      </c>
      <c r="E1481" s="199">
        <v>5.0</v>
      </c>
      <c r="F1481" s="200">
        <v>45695.41666666667</v>
      </c>
      <c r="G1481" s="197" t="s">
        <v>845</v>
      </c>
      <c r="H1481" s="197" t="s">
        <v>857</v>
      </c>
    </row>
    <row r="1482" ht="15.75" customHeight="1">
      <c r="A1482" s="197" t="s">
        <v>63</v>
      </c>
      <c r="B1482" s="197" t="s">
        <v>21</v>
      </c>
      <c r="C1482" s="198" t="s">
        <v>611</v>
      </c>
      <c r="D1482" s="197" t="s">
        <v>612</v>
      </c>
      <c r="E1482" s="199">
        <v>6.0</v>
      </c>
      <c r="F1482" s="200">
        <v>45702.41666666667</v>
      </c>
      <c r="G1482" s="197" t="s">
        <v>845</v>
      </c>
      <c r="H1482" s="197" t="s">
        <v>857</v>
      </c>
    </row>
    <row r="1483" ht="15.75" customHeight="1">
      <c r="A1483" s="197" t="s">
        <v>63</v>
      </c>
      <c r="B1483" s="197" t="s">
        <v>21</v>
      </c>
      <c r="C1483" s="198" t="s">
        <v>611</v>
      </c>
      <c r="D1483" s="197" t="s">
        <v>612</v>
      </c>
      <c r="E1483" s="199">
        <v>7.0</v>
      </c>
      <c r="F1483" s="200">
        <v>45709.58333333333</v>
      </c>
      <c r="G1483" s="197" t="s">
        <v>845</v>
      </c>
      <c r="H1483" s="197" t="s">
        <v>857</v>
      </c>
    </row>
    <row r="1484" ht="15.75" customHeight="1">
      <c r="A1484" s="197" t="s">
        <v>63</v>
      </c>
      <c r="B1484" s="197" t="s">
        <v>21</v>
      </c>
      <c r="C1484" s="198" t="s">
        <v>611</v>
      </c>
      <c r="D1484" s="197" t="s">
        <v>612</v>
      </c>
      <c r="E1484" s="199">
        <v>8.0</v>
      </c>
      <c r="F1484" s="200">
        <v>45716.54166666667</v>
      </c>
      <c r="G1484" s="197" t="s">
        <v>845</v>
      </c>
      <c r="H1484" s="197" t="s">
        <v>857</v>
      </c>
    </row>
    <row r="1485" ht="15.75" customHeight="1">
      <c r="A1485" s="197" t="s">
        <v>63</v>
      </c>
      <c r="B1485" s="197" t="s">
        <v>21</v>
      </c>
      <c r="C1485" s="198" t="s">
        <v>611</v>
      </c>
      <c r="D1485" s="197" t="s">
        <v>612</v>
      </c>
      <c r="E1485" s="199">
        <v>9.0</v>
      </c>
      <c r="F1485" s="200">
        <v>45765.625</v>
      </c>
      <c r="G1485" s="197" t="s">
        <v>845</v>
      </c>
      <c r="H1485" s="197" t="s">
        <v>857</v>
      </c>
    </row>
    <row r="1486" ht="15.75" customHeight="1">
      <c r="A1486" s="197" t="s">
        <v>63</v>
      </c>
      <c r="B1486" s="197" t="s">
        <v>21</v>
      </c>
      <c r="C1486" s="198" t="s">
        <v>611</v>
      </c>
      <c r="D1486" s="197" t="s">
        <v>612</v>
      </c>
      <c r="E1486" s="199">
        <v>10.0</v>
      </c>
      <c r="F1486" s="200">
        <v>45806.41666666667</v>
      </c>
      <c r="G1486" s="197" t="s">
        <v>845</v>
      </c>
      <c r="H1486" s="197" t="s">
        <v>857</v>
      </c>
    </row>
    <row r="1487" ht="15.75" customHeight="1">
      <c r="A1487" s="197" t="s">
        <v>63</v>
      </c>
      <c r="B1487" s="197" t="s">
        <v>22</v>
      </c>
      <c r="C1487" s="198" t="s">
        <v>611</v>
      </c>
      <c r="D1487" s="197" t="s">
        <v>612</v>
      </c>
      <c r="E1487" s="199">
        <v>1.0</v>
      </c>
      <c r="F1487" s="200">
        <v>45841.375</v>
      </c>
      <c r="G1487" s="197" t="s">
        <v>845</v>
      </c>
      <c r="H1487" s="197" t="s">
        <v>857</v>
      </c>
    </row>
    <row r="1488" ht="15.75" customHeight="1">
      <c r="A1488" s="197" t="s">
        <v>63</v>
      </c>
      <c r="B1488" s="197" t="s">
        <v>22</v>
      </c>
      <c r="C1488" s="198" t="s">
        <v>611</v>
      </c>
      <c r="D1488" s="197" t="s">
        <v>612</v>
      </c>
      <c r="E1488" s="199">
        <v>2.0</v>
      </c>
      <c r="F1488" s="200">
        <v>45849.375</v>
      </c>
      <c r="G1488" s="197" t="s">
        <v>845</v>
      </c>
      <c r="H1488" s="197" t="s">
        <v>857</v>
      </c>
    </row>
    <row r="1489" ht="15.75" customHeight="1">
      <c r="A1489" s="197" t="s">
        <v>63</v>
      </c>
      <c r="B1489" s="197" t="s">
        <v>22</v>
      </c>
      <c r="C1489" s="198" t="s">
        <v>611</v>
      </c>
      <c r="D1489" s="197" t="s">
        <v>612</v>
      </c>
      <c r="E1489" s="199">
        <v>3.0</v>
      </c>
      <c r="F1489" s="200">
        <v>45862.375</v>
      </c>
      <c r="G1489" s="197" t="s">
        <v>845</v>
      </c>
      <c r="H1489" s="197" t="s">
        <v>857</v>
      </c>
    </row>
    <row r="1490" ht="15.75" customHeight="1">
      <c r="A1490" s="197" t="s">
        <v>63</v>
      </c>
      <c r="B1490" s="197" t="s">
        <v>22</v>
      </c>
      <c r="C1490" s="198" t="s">
        <v>611</v>
      </c>
      <c r="D1490" s="197" t="s">
        <v>612</v>
      </c>
      <c r="E1490" s="199">
        <v>4.0</v>
      </c>
      <c r="F1490" s="200">
        <v>45881.41666666667</v>
      </c>
      <c r="G1490" s="197" t="s">
        <v>845</v>
      </c>
      <c r="H1490" s="197" t="s">
        <v>857</v>
      </c>
    </row>
    <row r="1491" ht="15.75" customHeight="1">
      <c r="A1491" s="197" t="s">
        <v>63</v>
      </c>
      <c r="B1491" s="197" t="s">
        <v>22</v>
      </c>
      <c r="C1491" s="198" t="s">
        <v>611</v>
      </c>
      <c r="D1491" s="197" t="s">
        <v>612</v>
      </c>
      <c r="E1491" s="199">
        <v>5.0</v>
      </c>
      <c r="F1491" s="200">
        <v>45888.41666666667</v>
      </c>
      <c r="G1491" s="197" t="s">
        <v>845</v>
      </c>
      <c r="H1491" s="197" t="s">
        <v>857</v>
      </c>
    </row>
    <row r="1492" ht="15.75" customHeight="1">
      <c r="A1492" s="197" t="s">
        <v>63</v>
      </c>
      <c r="B1492" s="197" t="s">
        <v>22</v>
      </c>
      <c r="C1492" s="198" t="s">
        <v>611</v>
      </c>
      <c r="D1492" s="197" t="s">
        <v>612</v>
      </c>
      <c r="E1492" s="199">
        <v>6.0</v>
      </c>
      <c r="F1492" s="200">
        <v>45895.41666666667</v>
      </c>
      <c r="G1492" s="197" t="s">
        <v>845</v>
      </c>
      <c r="H1492" s="197" t="s">
        <v>857</v>
      </c>
    </row>
    <row r="1493" ht="15.75" customHeight="1">
      <c r="A1493" s="197" t="s">
        <v>63</v>
      </c>
      <c r="B1493" s="197" t="s">
        <v>22</v>
      </c>
      <c r="C1493" s="198" t="s">
        <v>611</v>
      </c>
      <c r="D1493" s="197" t="s">
        <v>612</v>
      </c>
      <c r="E1493" s="199">
        <v>7.0</v>
      </c>
      <c r="F1493" s="200">
        <v>45911.45833333333</v>
      </c>
      <c r="G1493" s="197" t="s">
        <v>845</v>
      </c>
      <c r="H1493" s="197" t="s">
        <v>857</v>
      </c>
    </row>
    <row r="1494" ht="15.75" customHeight="1">
      <c r="A1494" s="197" t="s">
        <v>63</v>
      </c>
      <c r="B1494" s="197" t="s">
        <v>22</v>
      </c>
      <c r="C1494" s="198" t="s">
        <v>611</v>
      </c>
      <c r="D1494" s="197" t="s">
        <v>612</v>
      </c>
      <c r="E1494" s="199">
        <v>8.0</v>
      </c>
      <c r="F1494" s="200">
        <v>45925.41666666667</v>
      </c>
      <c r="G1494" s="197" t="s">
        <v>845</v>
      </c>
      <c r="H1494" s="197" t="s">
        <v>857</v>
      </c>
    </row>
    <row r="1495" ht="15.75" customHeight="1">
      <c r="A1495" s="197" t="s">
        <v>63</v>
      </c>
      <c r="B1495" s="197" t="s">
        <v>22</v>
      </c>
      <c r="C1495" s="198" t="s">
        <v>611</v>
      </c>
      <c r="D1495" s="197" t="s">
        <v>612</v>
      </c>
      <c r="E1495" s="199">
        <v>9.0</v>
      </c>
      <c r="F1495" s="200">
        <v>45932.45833333333</v>
      </c>
      <c r="G1495" s="197" t="s">
        <v>843</v>
      </c>
      <c r="H1495" s="197" t="s">
        <v>857</v>
      </c>
    </row>
    <row r="1496" ht="15.75" customHeight="1">
      <c r="A1496" s="197" t="s">
        <v>63</v>
      </c>
      <c r="B1496" s="197" t="s">
        <v>22</v>
      </c>
      <c r="C1496" s="198" t="s">
        <v>611</v>
      </c>
      <c r="D1496" s="197" t="s">
        <v>612</v>
      </c>
      <c r="E1496" s="199">
        <v>10.0</v>
      </c>
      <c r="F1496" s="200">
        <v>45939.45833333333</v>
      </c>
      <c r="G1496" s="197" t="s">
        <v>845</v>
      </c>
      <c r="H1496" s="197" t="s">
        <v>857</v>
      </c>
    </row>
    <row r="1497" ht="15.75" customHeight="1">
      <c r="A1497" s="197" t="s">
        <v>63</v>
      </c>
      <c r="B1497" s="197" t="s">
        <v>22</v>
      </c>
      <c r="C1497" s="198" t="s">
        <v>611</v>
      </c>
      <c r="D1497" s="197" t="s">
        <v>612</v>
      </c>
      <c r="E1497" s="199">
        <v>11.0</v>
      </c>
      <c r="F1497" s="200">
        <v>45946.375</v>
      </c>
      <c r="G1497" s="197" t="s">
        <v>845</v>
      </c>
      <c r="H1497" s="197" t="s">
        <v>857</v>
      </c>
    </row>
    <row r="1498" ht="15.75" customHeight="1">
      <c r="A1498" s="197" t="s">
        <v>63</v>
      </c>
      <c r="B1498" s="197" t="s">
        <v>22</v>
      </c>
      <c r="C1498" s="198" t="s">
        <v>611</v>
      </c>
      <c r="D1498" s="197" t="s">
        <v>612</v>
      </c>
      <c r="E1498" s="199">
        <v>12.0</v>
      </c>
      <c r="F1498" s="200">
        <v>45961.45833333333</v>
      </c>
      <c r="G1498" s="197" t="s">
        <v>843</v>
      </c>
      <c r="H1498" s="197" t="s">
        <v>857</v>
      </c>
    </row>
    <row r="1499" ht="15.75" customHeight="1">
      <c r="A1499" s="197" t="s">
        <v>63</v>
      </c>
      <c r="B1499" s="197" t="s">
        <v>22</v>
      </c>
      <c r="C1499" s="198" t="s">
        <v>611</v>
      </c>
      <c r="D1499" s="197" t="s">
        <v>612</v>
      </c>
      <c r="E1499" s="199">
        <v>13.0</v>
      </c>
      <c r="F1499" s="200">
        <v>45967.625</v>
      </c>
      <c r="G1499" s="197" t="s">
        <v>845</v>
      </c>
      <c r="H1499" s="197" t="s">
        <v>857</v>
      </c>
    </row>
    <row r="1500" ht="15.75" customHeight="1">
      <c r="A1500" s="197" t="s">
        <v>63</v>
      </c>
      <c r="B1500" s="197" t="s">
        <v>22</v>
      </c>
      <c r="C1500" s="198" t="s">
        <v>611</v>
      </c>
      <c r="D1500" s="197" t="s">
        <v>612</v>
      </c>
      <c r="E1500" s="199">
        <v>14.0</v>
      </c>
      <c r="F1500" s="200">
        <v>45974.625</v>
      </c>
      <c r="G1500" s="197" t="s">
        <v>845</v>
      </c>
      <c r="H1500" s="197" t="s">
        <v>857</v>
      </c>
    </row>
    <row r="1501" ht="15.75" customHeight="1">
      <c r="A1501" s="197" t="s">
        <v>63</v>
      </c>
      <c r="B1501" s="197" t="s">
        <v>22</v>
      </c>
      <c r="C1501" s="198" t="s">
        <v>611</v>
      </c>
      <c r="D1501" s="197" t="s">
        <v>612</v>
      </c>
      <c r="E1501" s="199">
        <v>15.0</v>
      </c>
      <c r="F1501" s="200">
        <v>46006.41666666667</v>
      </c>
      <c r="G1501" s="197" t="s">
        <v>845</v>
      </c>
      <c r="H1501" s="197" t="s">
        <v>857</v>
      </c>
    </row>
    <row r="1502" ht="15.75" customHeight="1">
      <c r="A1502" s="197" t="s">
        <v>63</v>
      </c>
      <c r="B1502" s="197" t="s">
        <v>22</v>
      </c>
      <c r="C1502" s="198" t="s">
        <v>611</v>
      </c>
      <c r="D1502" s="197" t="s">
        <v>612</v>
      </c>
      <c r="E1502" s="199">
        <v>16.0</v>
      </c>
      <c r="F1502" s="200">
        <v>46045.41666666667</v>
      </c>
      <c r="G1502" s="197" t="s">
        <v>845</v>
      </c>
      <c r="H1502" s="197" t="s">
        <v>857</v>
      </c>
    </row>
    <row r="1503" ht="15.75" customHeight="1">
      <c r="A1503" s="197" t="s">
        <v>63</v>
      </c>
      <c r="B1503" s="197" t="s">
        <v>23</v>
      </c>
      <c r="C1503" s="198" t="s">
        <v>611</v>
      </c>
      <c r="D1503" s="197" t="s">
        <v>612</v>
      </c>
      <c r="E1503" s="199">
        <v>1.0</v>
      </c>
      <c r="F1503" s="200">
        <v>45729.45833333333</v>
      </c>
      <c r="G1503" s="197" t="s">
        <v>845</v>
      </c>
      <c r="H1503" s="197" t="s">
        <v>857</v>
      </c>
    </row>
    <row r="1504" ht="15.75" customHeight="1">
      <c r="A1504" s="197" t="s">
        <v>63</v>
      </c>
      <c r="B1504" s="197" t="s">
        <v>23</v>
      </c>
      <c r="C1504" s="198" t="s">
        <v>611</v>
      </c>
      <c r="D1504" s="197" t="s">
        <v>612</v>
      </c>
      <c r="E1504" s="199">
        <v>2.0</v>
      </c>
      <c r="F1504" s="200">
        <v>45743.45833333333</v>
      </c>
      <c r="G1504" s="197" t="s">
        <v>845</v>
      </c>
      <c r="H1504" s="197" t="s">
        <v>857</v>
      </c>
    </row>
    <row r="1505" ht="15.75" customHeight="1">
      <c r="A1505" s="197" t="s">
        <v>63</v>
      </c>
      <c r="B1505" s="197" t="s">
        <v>23</v>
      </c>
      <c r="C1505" s="198" t="s">
        <v>611</v>
      </c>
      <c r="D1505" s="197" t="s">
        <v>612</v>
      </c>
      <c r="E1505" s="199">
        <v>3.0</v>
      </c>
      <c r="F1505" s="200">
        <v>46113.45833333333</v>
      </c>
      <c r="G1505" s="197" t="s">
        <v>845</v>
      </c>
      <c r="H1505" s="197" t="s">
        <v>857</v>
      </c>
    </row>
    <row r="1506" ht="15.75" customHeight="1">
      <c r="A1506" s="197" t="s">
        <v>64</v>
      </c>
      <c r="B1506" s="197" t="s">
        <v>21</v>
      </c>
      <c r="C1506" s="198" t="s">
        <v>317</v>
      </c>
      <c r="D1506" s="197" t="s">
        <v>318</v>
      </c>
      <c r="E1506" s="199">
        <v>1.0</v>
      </c>
      <c r="F1506" s="200">
        <v>45637.375</v>
      </c>
      <c r="G1506" s="197" t="s">
        <v>845</v>
      </c>
      <c r="H1506" s="197" t="s">
        <v>829</v>
      </c>
    </row>
    <row r="1507" ht="15.75" customHeight="1">
      <c r="A1507" s="197" t="s">
        <v>64</v>
      </c>
      <c r="B1507" s="197" t="s">
        <v>21</v>
      </c>
      <c r="C1507" s="198" t="s">
        <v>317</v>
      </c>
      <c r="D1507" s="197" t="s">
        <v>318</v>
      </c>
      <c r="E1507" s="199">
        <v>2.0</v>
      </c>
      <c r="F1507" s="200">
        <v>45660.375</v>
      </c>
      <c r="G1507" s="197" t="s">
        <v>845</v>
      </c>
      <c r="H1507" s="197" t="s">
        <v>829</v>
      </c>
    </row>
    <row r="1508" ht="15.75" customHeight="1">
      <c r="A1508" s="197" t="s">
        <v>64</v>
      </c>
      <c r="B1508" s="197" t="s">
        <v>21</v>
      </c>
      <c r="C1508" s="198" t="s">
        <v>317</v>
      </c>
      <c r="D1508" s="197" t="s">
        <v>318</v>
      </c>
      <c r="E1508" s="199">
        <v>3.0</v>
      </c>
      <c r="F1508" s="200">
        <v>45664.41666666667</v>
      </c>
      <c r="G1508" s="197" t="s">
        <v>845</v>
      </c>
      <c r="H1508" s="197" t="s">
        <v>829</v>
      </c>
    </row>
    <row r="1509" ht="15.75" customHeight="1">
      <c r="A1509" s="197" t="s">
        <v>64</v>
      </c>
      <c r="B1509" s="197" t="s">
        <v>21</v>
      </c>
      <c r="C1509" s="198" t="s">
        <v>317</v>
      </c>
      <c r="D1509" s="197" t="s">
        <v>318</v>
      </c>
      <c r="E1509" s="199">
        <v>4.0</v>
      </c>
      <c r="F1509" s="200">
        <v>45671.45833333333</v>
      </c>
      <c r="G1509" s="197" t="s">
        <v>845</v>
      </c>
      <c r="H1509" s="197" t="s">
        <v>829</v>
      </c>
    </row>
    <row r="1510" ht="15.75" customHeight="1">
      <c r="A1510" s="197" t="s">
        <v>64</v>
      </c>
      <c r="B1510" s="197" t="s">
        <v>21</v>
      </c>
      <c r="C1510" s="198" t="s">
        <v>317</v>
      </c>
      <c r="D1510" s="197" t="s">
        <v>318</v>
      </c>
      <c r="E1510" s="199">
        <v>5.0</v>
      </c>
      <c r="F1510" s="200">
        <v>45678.45833333333</v>
      </c>
      <c r="G1510" s="197" t="s">
        <v>845</v>
      </c>
      <c r="H1510" s="197" t="s">
        <v>829</v>
      </c>
    </row>
    <row r="1511" ht="15.75" customHeight="1">
      <c r="A1511" s="197" t="s">
        <v>64</v>
      </c>
      <c r="B1511" s="197" t="s">
        <v>21</v>
      </c>
      <c r="C1511" s="198" t="s">
        <v>317</v>
      </c>
      <c r="D1511" s="197" t="s">
        <v>318</v>
      </c>
      <c r="E1511" s="199">
        <v>6.0</v>
      </c>
      <c r="F1511" s="200">
        <v>45692.41666666667</v>
      </c>
      <c r="G1511" s="197" t="s">
        <v>845</v>
      </c>
      <c r="H1511" s="197" t="s">
        <v>829</v>
      </c>
    </row>
    <row r="1512" ht="15.75" customHeight="1">
      <c r="A1512" s="197" t="s">
        <v>64</v>
      </c>
      <c r="B1512" s="197" t="s">
        <v>21</v>
      </c>
      <c r="C1512" s="198" t="s">
        <v>317</v>
      </c>
      <c r="D1512" s="197" t="s">
        <v>318</v>
      </c>
      <c r="E1512" s="199">
        <v>7.0</v>
      </c>
      <c r="F1512" s="200">
        <v>45699.45833333333</v>
      </c>
      <c r="G1512" s="197" t="s">
        <v>845</v>
      </c>
      <c r="H1512" s="197" t="s">
        <v>829</v>
      </c>
    </row>
    <row r="1513" ht="15.75" customHeight="1">
      <c r="A1513" s="197" t="s">
        <v>64</v>
      </c>
      <c r="B1513" s="197" t="s">
        <v>21</v>
      </c>
      <c r="C1513" s="198" t="s">
        <v>317</v>
      </c>
      <c r="D1513" s="197" t="s">
        <v>318</v>
      </c>
      <c r="E1513" s="199">
        <v>8.0</v>
      </c>
      <c r="F1513" s="200">
        <v>45706.41666666667</v>
      </c>
      <c r="G1513" s="197" t="s">
        <v>845</v>
      </c>
      <c r="H1513" s="197" t="s">
        <v>829</v>
      </c>
    </row>
    <row r="1514" ht="15.75" customHeight="1">
      <c r="A1514" s="197" t="s">
        <v>64</v>
      </c>
      <c r="B1514" s="197" t="s">
        <v>21</v>
      </c>
      <c r="C1514" s="198" t="s">
        <v>317</v>
      </c>
      <c r="D1514" s="197" t="s">
        <v>318</v>
      </c>
      <c r="E1514" s="199">
        <v>9.0</v>
      </c>
      <c r="F1514" s="200">
        <v>45706.54166666667</v>
      </c>
      <c r="G1514" s="197" t="s">
        <v>845</v>
      </c>
      <c r="H1514" s="197" t="s">
        <v>829</v>
      </c>
    </row>
    <row r="1515" ht="15.75" customHeight="1">
      <c r="A1515" s="197" t="s">
        <v>64</v>
      </c>
      <c r="B1515" s="197" t="s">
        <v>21</v>
      </c>
      <c r="C1515" s="198" t="s">
        <v>317</v>
      </c>
      <c r="D1515" s="197" t="s">
        <v>318</v>
      </c>
      <c r="E1515" s="199">
        <v>10.0</v>
      </c>
      <c r="F1515" s="200">
        <v>45801.41666666667</v>
      </c>
      <c r="G1515" s="197" t="s">
        <v>845</v>
      </c>
      <c r="H1515" s="197" t="s">
        <v>829</v>
      </c>
    </row>
    <row r="1516" ht="15.75" customHeight="1">
      <c r="A1516" s="197" t="s">
        <v>64</v>
      </c>
      <c r="B1516" s="197" t="s">
        <v>21</v>
      </c>
      <c r="C1516" s="198" t="s">
        <v>342</v>
      </c>
      <c r="D1516" s="197" t="s">
        <v>343</v>
      </c>
      <c r="E1516" s="199">
        <v>1.0</v>
      </c>
      <c r="F1516" s="200">
        <v>45635.4375</v>
      </c>
      <c r="G1516" s="197" t="s">
        <v>845</v>
      </c>
      <c r="H1516" s="197" t="s">
        <v>829</v>
      </c>
    </row>
    <row r="1517" ht="15.75" customHeight="1">
      <c r="A1517" s="197" t="s">
        <v>64</v>
      </c>
      <c r="B1517" s="197" t="s">
        <v>21</v>
      </c>
      <c r="C1517" s="198" t="s">
        <v>342</v>
      </c>
      <c r="D1517" s="197" t="s">
        <v>343</v>
      </c>
      <c r="E1517" s="199">
        <v>2.0</v>
      </c>
      <c r="F1517" s="200">
        <v>45660.375</v>
      </c>
      <c r="G1517" s="197" t="s">
        <v>845</v>
      </c>
      <c r="H1517" s="197" t="s">
        <v>829</v>
      </c>
    </row>
    <row r="1518" ht="15.75" customHeight="1">
      <c r="A1518" s="197" t="s">
        <v>64</v>
      </c>
      <c r="B1518" s="197" t="s">
        <v>21</v>
      </c>
      <c r="C1518" s="198" t="s">
        <v>342</v>
      </c>
      <c r="D1518" s="197" t="s">
        <v>343</v>
      </c>
      <c r="E1518" s="199">
        <v>3.0</v>
      </c>
      <c r="F1518" s="200">
        <v>45664.41666666667</v>
      </c>
      <c r="G1518" s="197" t="s">
        <v>845</v>
      </c>
      <c r="H1518" s="197" t="s">
        <v>829</v>
      </c>
    </row>
    <row r="1519" ht="15.75" customHeight="1">
      <c r="A1519" s="197" t="s">
        <v>64</v>
      </c>
      <c r="B1519" s="197" t="s">
        <v>21</v>
      </c>
      <c r="C1519" s="198" t="s">
        <v>342</v>
      </c>
      <c r="D1519" s="197" t="s">
        <v>343</v>
      </c>
      <c r="E1519" s="199">
        <v>4.0</v>
      </c>
      <c r="F1519" s="200">
        <v>45671.45833333333</v>
      </c>
      <c r="G1519" s="197" t="s">
        <v>845</v>
      </c>
      <c r="H1519" s="197" t="s">
        <v>829</v>
      </c>
    </row>
    <row r="1520" ht="15.75" customHeight="1">
      <c r="A1520" s="197" t="s">
        <v>64</v>
      </c>
      <c r="B1520" s="197" t="s">
        <v>21</v>
      </c>
      <c r="C1520" s="198" t="s">
        <v>342</v>
      </c>
      <c r="D1520" s="197" t="s">
        <v>343</v>
      </c>
      <c r="E1520" s="199">
        <v>5.0</v>
      </c>
      <c r="F1520" s="200">
        <v>45678.45833333333</v>
      </c>
      <c r="G1520" s="197" t="s">
        <v>845</v>
      </c>
      <c r="H1520" s="197" t="s">
        <v>829</v>
      </c>
    </row>
    <row r="1521" ht="15.75" customHeight="1">
      <c r="A1521" s="197" t="s">
        <v>64</v>
      </c>
      <c r="B1521" s="197" t="s">
        <v>21</v>
      </c>
      <c r="C1521" s="198" t="s">
        <v>342</v>
      </c>
      <c r="D1521" s="197" t="s">
        <v>343</v>
      </c>
      <c r="E1521" s="199">
        <v>6.0</v>
      </c>
      <c r="F1521" s="200">
        <v>45692.41666666667</v>
      </c>
      <c r="G1521" s="197" t="s">
        <v>845</v>
      </c>
      <c r="H1521" s="197" t="s">
        <v>829</v>
      </c>
    </row>
    <row r="1522" ht="15.75" customHeight="1">
      <c r="A1522" s="197" t="s">
        <v>64</v>
      </c>
      <c r="B1522" s="197" t="s">
        <v>21</v>
      </c>
      <c r="C1522" s="198" t="s">
        <v>342</v>
      </c>
      <c r="D1522" s="197" t="s">
        <v>343</v>
      </c>
      <c r="E1522" s="199">
        <v>7.0</v>
      </c>
      <c r="F1522" s="200">
        <v>45699.375</v>
      </c>
      <c r="G1522" s="197" t="s">
        <v>845</v>
      </c>
      <c r="H1522" s="197" t="s">
        <v>829</v>
      </c>
    </row>
    <row r="1523" ht="15.75" customHeight="1">
      <c r="A1523" s="197" t="s">
        <v>64</v>
      </c>
      <c r="B1523" s="197" t="s">
        <v>21</v>
      </c>
      <c r="C1523" s="198" t="s">
        <v>342</v>
      </c>
      <c r="D1523" s="197" t="s">
        <v>343</v>
      </c>
      <c r="E1523" s="199">
        <v>8.0</v>
      </c>
      <c r="F1523" s="200">
        <v>45706.41666666667</v>
      </c>
      <c r="G1523" s="197" t="s">
        <v>845</v>
      </c>
      <c r="H1523" s="197" t="s">
        <v>829</v>
      </c>
    </row>
    <row r="1524" ht="15.75" customHeight="1">
      <c r="A1524" s="197" t="s">
        <v>64</v>
      </c>
      <c r="B1524" s="197" t="s">
        <v>21</v>
      </c>
      <c r="C1524" s="198" t="s">
        <v>342</v>
      </c>
      <c r="D1524" s="197" t="s">
        <v>343</v>
      </c>
      <c r="E1524" s="199">
        <v>9.0</v>
      </c>
      <c r="F1524" s="200">
        <v>45713.41666666667</v>
      </c>
      <c r="G1524" s="197" t="s">
        <v>845</v>
      </c>
      <c r="H1524" s="197" t="s">
        <v>829</v>
      </c>
    </row>
    <row r="1525" ht="15.75" customHeight="1">
      <c r="A1525" s="197" t="s">
        <v>64</v>
      </c>
      <c r="B1525" s="197" t="s">
        <v>21</v>
      </c>
      <c r="C1525" s="198" t="s">
        <v>342</v>
      </c>
      <c r="D1525" s="197" t="s">
        <v>343</v>
      </c>
      <c r="E1525" s="199">
        <v>10.0</v>
      </c>
      <c r="F1525" s="200">
        <v>45801.41666666667</v>
      </c>
      <c r="G1525" s="197" t="s">
        <v>845</v>
      </c>
      <c r="H1525" s="197" t="s">
        <v>829</v>
      </c>
    </row>
    <row r="1526" ht="15.75" customHeight="1">
      <c r="A1526" s="197" t="s">
        <v>64</v>
      </c>
      <c r="B1526" s="197" t="s">
        <v>21</v>
      </c>
      <c r="C1526" s="198" t="s">
        <v>370</v>
      </c>
      <c r="D1526" s="197" t="s">
        <v>371</v>
      </c>
      <c r="E1526" s="199">
        <v>1.0</v>
      </c>
      <c r="F1526" s="200">
        <v>45635.4375</v>
      </c>
      <c r="G1526" s="197" t="s">
        <v>845</v>
      </c>
      <c r="H1526" s="197" t="s">
        <v>829</v>
      </c>
    </row>
    <row r="1527" ht="15.75" customHeight="1">
      <c r="A1527" s="197" t="s">
        <v>64</v>
      </c>
      <c r="B1527" s="197" t="s">
        <v>21</v>
      </c>
      <c r="C1527" s="198" t="s">
        <v>370</v>
      </c>
      <c r="D1527" s="197" t="s">
        <v>371</v>
      </c>
      <c r="E1527" s="199">
        <v>2.0</v>
      </c>
      <c r="F1527" s="200">
        <v>45660.375</v>
      </c>
      <c r="G1527" s="197" t="s">
        <v>845</v>
      </c>
      <c r="H1527" s="197" t="s">
        <v>829</v>
      </c>
    </row>
    <row r="1528" ht="15.75" customHeight="1">
      <c r="A1528" s="197" t="s">
        <v>64</v>
      </c>
      <c r="B1528" s="197" t="s">
        <v>21</v>
      </c>
      <c r="C1528" s="198" t="s">
        <v>370</v>
      </c>
      <c r="D1528" s="197" t="s">
        <v>371</v>
      </c>
      <c r="E1528" s="199">
        <v>3.0</v>
      </c>
      <c r="F1528" s="200">
        <v>45664.41666666667</v>
      </c>
      <c r="G1528" s="197" t="s">
        <v>845</v>
      </c>
      <c r="H1528" s="197" t="s">
        <v>829</v>
      </c>
    </row>
    <row r="1529" ht="15.75" customHeight="1">
      <c r="A1529" s="197" t="s">
        <v>64</v>
      </c>
      <c r="B1529" s="197" t="s">
        <v>21</v>
      </c>
      <c r="C1529" s="198" t="s">
        <v>370</v>
      </c>
      <c r="D1529" s="197" t="s">
        <v>371</v>
      </c>
      <c r="E1529" s="199">
        <v>4.0</v>
      </c>
      <c r="F1529" s="200">
        <v>45671.45833333333</v>
      </c>
      <c r="G1529" s="197" t="s">
        <v>843</v>
      </c>
      <c r="H1529" s="197" t="s">
        <v>829</v>
      </c>
    </row>
    <row r="1530" ht="15.75" customHeight="1">
      <c r="A1530" s="197" t="s">
        <v>64</v>
      </c>
      <c r="B1530" s="197" t="s">
        <v>21</v>
      </c>
      <c r="C1530" s="198" t="s">
        <v>370</v>
      </c>
      <c r="D1530" s="197" t="s">
        <v>371</v>
      </c>
      <c r="E1530" s="199">
        <v>5.0</v>
      </c>
      <c r="F1530" s="200">
        <v>45678.45833333333</v>
      </c>
      <c r="G1530" s="197" t="s">
        <v>845</v>
      </c>
      <c r="H1530" s="197" t="s">
        <v>829</v>
      </c>
    </row>
    <row r="1531" ht="15.75" customHeight="1">
      <c r="A1531" s="197" t="s">
        <v>64</v>
      </c>
      <c r="B1531" s="197" t="s">
        <v>21</v>
      </c>
      <c r="C1531" s="198" t="s">
        <v>370</v>
      </c>
      <c r="D1531" s="197" t="s">
        <v>371</v>
      </c>
      <c r="E1531" s="199">
        <v>6.0</v>
      </c>
      <c r="F1531" s="200">
        <v>45699.375</v>
      </c>
      <c r="G1531" s="197" t="s">
        <v>845</v>
      </c>
      <c r="H1531" s="197" t="s">
        <v>829</v>
      </c>
    </row>
    <row r="1532" ht="15.75" customHeight="1">
      <c r="A1532" s="197" t="s">
        <v>64</v>
      </c>
      <c r="B1532" s="197" t="s">
        <v>21</v>
      </c>
      <c r="C1532" s="198" t="s">
        <v>370</v>
      </c>
      <c r="D1532" s="197" t="s">
        <v>371</v>
      </c>
      <c r="E1532" s="199">
        <v>7.0</v>
      </c>
      <c r="F1532" s="200">
        <v>45699.45833333333</v>
      </c>
      <c r="G1532" s="197" t="s">
        <v>843</v>
      </c>
      <c r="H1532" s="197" t="s">
        <v>829</v>
      </c>
    </row>
    <row r="1533" ht="15.75" customHeight="1">
      <c r="A1533" s="197" t="s">
        <v>64</v>
      </c>
      <c r="B1533" s="197" t="s">
        <v>21</v>
      </c>
      <c r="C1533" s="198" t="s">
        <v>370</v>
      </c>
      <c r="D1533" s="197" t="s">
        <v>371</v>
      </c>
      <c r="E1533" s="199">
        <v>8.0</v>
      </c>
      <c r="F1533" s="200">
        <v>45706.41666666667</v>
      </c>
      <c r="G1533" s="197" t="s">
        <v>845</v>
      </c>
      <c r="H1533" s="197" t="s">
        <v>829</v>
      </c>
    </row>
    <row r="1534" ht="15.75" customHeight="1">
      <c r="A1534" s="197" t="s">
        <v>64</v>
      </c>
      <c r="B1534" s="197" t="s">
        <v>21</v>
      </c>
      <c r="C1534" s="198" t="s">
        <v>370</v>
      </c>
      <c r="D1534" s="197" t="s">
        <v>371</v>
      </c>
      <c r="E1534" s="199">
        <v>9.0</v>
      </c>
      <c r="F1534" s="200">
        <v>45713.41666666667</v>
      </c>
      <c r="G1534" s="197" t="s">
        <v>845</v>
      </c>
      <c r="H1534" s="197" t="s">
        <v>829</v>
      </c>
    </row>
    <row r="1535" ht="15.75" customHeight="1">
      <c r="A1535" s="197" t="s">
        <v>64</v>
      </c>
      <c r="B1535" s="197" t="s">
        <v>21</v>
      </c>
      <c r="C1535" s="198" t="s">
        <v>370</v>
      </c>
      <c r="D1535" s="197" t="s">
        <v>371</v>
      </c>
      <c r="E1535" s="199">
        <v>10.0</v>
      </c>
      <c r="F1535" s="200">
        <v>45801.41666666667</v>
      </c>
      <c r="G1535" s="197" t="s">
        <v>845</v>
      </c>
      <c r="H1535" s="197" t="s">
        <v>829</v>
      </c>
    </row>
    <row r="1536" ht="15.75" customHeight="1">
      <c r="A1536" s="197" t="s">
        <v>64</v>
      </c>
      <c r="B1536" s="197" t="s">
        <v>21</v>
      </c>
      <c r="C1536" s="198" t="s">
        <v>717</v>
      </c>
      <c r="D1536" s="197" t="s">
        <v>718</v>
      </c>
      <c r="E1536" s="199">
        <v>1.0</v>
      </c>
      <c r="F1536" s="200">
        <v>45635.4375</v>
      </c>
      <c r="G1536" s="197" t="s">
        <v>845</v>
      </c>
      <c r="H1536" s="197" t="s">
        <v>829</v>
      </c>
    </row>
    <row r="1537" ht="15.75" customHeight="1">
      <c r="A1537" s="197" t="s">
        <v>64</v>
      </c>
      <c r="B1537" s="197" t="s">
        <v>21</v>
      </c>
      <c r="C1537" s="198" t="s">
        <v>717</v>
      </c>
      <c r="D1537" s="197" t="s">
        <v>718</v>
      </c>
      <c r="E1537" s="199">
        <v>2.0</v>
      </c>
      <c r="F1537" s="200">
        <v>45660.375</v>
      </c>
      <c r="G1537" s="197" t="s">
        <v>845</v>
      </c>
      <c r="H1537" s="197" t="s">
        <v>829</v>
      </c>
    </row>
    <row r="1538" ht="15.75" customHeight="1">
      <c r="A1538" s="197" t="s">
        <v>64</v>
      </c>
      <c r="B1538" s="197" t="s">
        <v>21</v>
      </c>
      <c r="C1538" s="198" t="s">
        <v>717</v>
      </c>
      <c r="D1538" s="197" t="s">
        <v>718</v>
      </c>
      <c r="E1538" s="199">
        <v>3.0</v>
      </c>
      <c r="F1538" s="200">
        <v>45664.41666666667</v>
      </c>
      <c r="G1538" s="197" t="s">
        <v>845</v>
      </c>
      <c r="H1538" s="197" t="s">
        <v>829</v>
      </c>
    </row>
    <row r="1539" ht="15.75" customHeight="1">
      <c r="A1539" s="197" t="s">
        <v>64</v>
      </c>
      <c r="B1539" s="197" t="s">
        <v>21</v>
      </c>
      <c r="C1539" s="198" t="s">
        <v>717</v>
      </c>
      <c r="D1539" s="197" t="s">
        <v>718</v>
      </c>
      <c r="E1539" s="199">
        <v>4.0</v>
      </c>
      <c r="F1539" s="200">
        <v>45671.45833333333</v>
      </c>
      <c r="G1539" s="197" t="s">
        <v>845</v>
      </c>
      <c r="H1539" s="197" t="s">
        <v>829</v>
      </c>
    </row>
    <row r="1540" ht="15.75" customHeight="1">
      <c r="A1540" s="197" t="s">
        <v>64</v>
      </c>
      <c r="B1540" s="197" t="s">
        <v>21</v>
      </c>
      <c r="C1540" s="198" t="s">
        <v>717</v>
      </c>
      <c r="D1540" s="197" t="s">
        <v>718</v>
      </c>
      <c r="E1540" s="199">
        <v>5.0</v>
      </c>
      <c r="F1540" s="200">
        <v>45678.45833333333</v>
      </c>
      <c r="G1540" s="197" t="s">
        <v>845</v>
      </c>
      <c r="H1540" s="197" t="s">
        <v>829</v>
      </c>
    </row>
    <row r="1541" ht="15.75" customHeight="1">
      <c r="A1541" s="197" t="s">
        <v>64</v>
      </c>
      <c r="B1541" s="197" t="s">
        <v>21</v>
      </c>
      <c r="C1541" s="198" t="s">
        <v>717</v>
      </c>
      <c r="D1541" s="197" t="s">
        <v>718</v>
      </c>
      <c r="E1541" s="199">
        <v>6.0</v>
      </c>
      <c r="F1541" s="200">
        <v>45692.41666666667</v>
      </c>
      <c r="G1541" s="197" t="s">
        <v>845</v>
      </c>
      <c r="H1541" s="197" t="s">
        <v>829</v>
      </c>
    </row>
    <row r="1542" ht="15.75" customHeight="1">
      <c r="A1542" s="197" t="s">
        <v>64</v>
      </c>
      <c r="B1542" s="197" t="s">
        <v>21</v>
      </c>
      <c r="C1542" s="198" t="s">
        <v>717</v>
      </c>
      <c r="D1542" s="197" t="s">
        <v>718</v>
      </c>
      <c r="E1542" s="199">
        <v>7.0</v>
      </c>
      <c r="F1542" s="200">
        <v>45699.375</v>
      </c>
      <c r="G1542" s="197" t="s">
        <v>845</v>
      </c>
      <c r="H1542" s="197" t="s">
        <v>829</v>
      </c>
    </row>
    <row r="1543" ht="15.75" customHeight="1">
      <c r="A1543" s="197" t="s">
        <v>64</v>
      </c>
      <c r="B1543" s="197" t="s">
        <v>21</v>
      </c>
      <c r="C1543" s="198" t="s">
        <v>717</v>
      </c>
      <c r="D1543" s="197" t="s">
        <v>718</v>
      </c>
      <c r="E1543" s="199">
        <v>8.0</v>
      </c>
      <c r="F1543" s="200">
        <v>45706.41666666667</v>
      </c>
      <c r="G1543" s="197" t="s">
        <v>845</v>
      </c>
      <c r="H1543" s="197" t="s">
        <v>829</v>
      </c>
    </row>
    <row r="1544" ht="15.75" customHeight="1">
      <c r="A1544" s="197" t="s">
        <v>64</v>
      </c>
      <c r="B1544" s="197" t="s">
        <v>21</v>
      </c>
      <c r="C1544" s="198" t="s">
        <v>717</v>
      </c>
      <c r="D1544" s="197" t="s">
        <v>718</v>
      </c>
      <c r="E1544" s="199">
        <v>9.0</v>
      </c>
      <c r="F1544" s="200">
        <v>45713.41666666667</v>
      </c>
      <c r="G1544" s="197" t="s">
        <v>845</v>
      </c>
      <c r="H1544" s="197" t="s">
        <v>829</v>
      </c>
    </row>
    <row r="1545" ht="15.75" customHeight="1">
      <c r="A1545" s="197" t="s">
        <v>64</v>
      </c>
      <c r="B1545" s="197" t="s">
        <v>21</v>
      </c>
      <c r="C1545" s="198" t="s">
        <v>717</v>
      </c>
      <c r="D1545" s="197" t="s">
        <v>718</v>
      </c>
      <c r="E1545" s="199">
        <v>10.0</v>
      </c>
      <c r="F1545" s="200">
        <v>45801.41666666667</v>
      </c>
      <c r="G1545" s="197" t="s">
        <v>845</v>
      </c>
      <c r="H1545" s="197" t="s">
        <v>829</v>
      </c>
    </row>
    <row r="1546" ht="15.75" customHeight="1">
      <c r="A1546" s="197" t="s">
        <v>64</v>
      </c>
      <c r="B1546" s="197" t="s">
        <v>21</v>
      </c>
      <c r="C1546" s="198">
        <v>213820.0</v>
      </c>
      <c r="D1546" s="197" t="s">
        <v>723</v>
      </c>
      <c r="E1546" s="199">
        <v>1.0</v>
      </c>
      <c r="F1546" s="200">
        <v>45635.4375</v>
      </c>
      <c r="G1546" s="197" t="s">
        <v>845</v>
      </c>
      <c r="H1546" s="197" t="s">
        <v>829</v>
      </c>
    </row>
    <row r="1547" ht="15.75" customHeight="1">
      <c r="A1547" s="197" t="s">
        <v>64</v>
      </c>
      <c r="B1547" s="197" t="s">
        <v>21</v>
      </c>
      <c r="C1547" s="198">
        <v>213820.0</v>
      </c>
      <c r="D1547" s="197" t="s">
        <v>723</v>
      </c>
      <c r="E1547" s="199">
        <v>2.0</v>
      </c>
      <c r="F1547" s="200">
        <v>45660.375</v>
      </c>
      <c r="G1547" s="197" t="s">
        <v>845</v>
      </c>
      <c r="H1547" s="197" t="s">
        <v>829</v>
      </c>
    </row>
    <row r="1548" ht="15.75" customHeight="1">
      <c r="A1548" s="197" t="s">
        <v>64</v>
      </c>
      <c r="B1548" s="197" t="s">
        <v>21</v>
      </c>
      <c r="C1548" s="198">
        <v>213820.0</v>
      </c>
      <c r="D1548" s="197" t="s">
        <v>723</v>
      </c>
      <c r="E1548" s="199">
        <v>3.0</v>
      </c>
      <c r="F1548" s="200">
        <v>45664.41666666667</v>
      </c>
      <c r="G1548" s="197" t="s">
        <v>845</v>
      </c>
      <c r="H1548" s="197" t="s">
        <v>829</v>
      </c>
    </row>
    <row r="1549" ht="15.75" customHeight="1">
      <c r="A1549" s="197" t="s">
        <v>64</v>
      </c>
      <c r="B1549" s="197" t="s">
        <v>21</v>
      </c>
      <c r="C1549" s="198">
        <v>213820.0</v>
      </c>
      <c r="D1549" s="197" t="s">
        <v>723</v>
      </c>
      <c r="E1549" s="199">
        <v>4.0</v>
      </c>
      <c r="F1549" s="200">
        <v>45671.45833333333</v>
      </c>
      <c r="G1549" s="197" t="s">
        <v>845</v>
      </c>
      <c r="H1549" s="197" t="s">
        <v>829</v>
      </c>
    </row>
    <row r="1550" ht="15.75" customHeight="1">
      <c r="A1550" s="197" t="s">
        <v>64</v>
      </c>
      <c r="B1550" s="197" t="s">
        <v>21</v>
      </c>
      <c r="C1550" s="198">
        <v>213820.0</v>
      </c>
      <c r="D1550" s="197" t="s">
        <v>723</v>
      </c>
      <c r="E1550" s="199">
        <v>5.0</v>
      </c>
      <c r="F1550" s="200">
        <v>45678.45833333333</v>
      </c>
      <c r="G1550" s="197" t="s">
        <v>845</v>
      </c>
      <c r="H1550" s="197" t="s">
        <v>829</v>
      </c>
    </row>
    <row r="1551" ht="15.75" customHeight="1">
      <c r="A1551" s="197" t="s">
        <v>64</v>
      </c>
      <c r="B1551" s="197" t="s">
        <v>21</v>
      </c>
      <c r="C1551" s="198">
        <v>213820.0</v>
      </c>
      <c r="D1551" s="197" t="s">
        <v>723</v>
      </c>
      <c r="E1551" s="199">
        <v>6.0</v>
      </c>
      <c r="F1551" s="200">
        <v>45692.41666666667</v>
      </c>
      <c r="G1551" s="197" t="s">
        <v>845</v>
      </c>
      <c r="H1551" s="197" t="s">
        <v>829</v>
      </c>
    </row>
    <row r="1552" ht="15.75" customHeight="1">
      <c r="A1552" s="197" t="s">
        <v>64</v>
      </c>
      <c r="B1552" s="197" t="s">
        <v>21</v>
      </c>
      <c r="C1552" s="198">
        <v>213820.0</v>
      </c>
      <c r="D1552" s="197" t="s">
        <v>723</v>
      </c>
      <c r="E1552" s="199">
        <v>7.0</v>
      </c>
      <c r="F1552" s="200">
        <v>45699.375</v>
      </c>
      <c r="G1552" s="197" t="s">
        <v>845</v>
      </c>
      <c r="H1552" s="197" t="s">
        <v>829</v>
      </c>
    </row>
    <row r="1553" ht="15.75" customHeight="1">
      <c r="A1553" s="197" t="s">
        <v>64</v>
      </c>
      <c r="B1553" s="197" t="s">
        <v>21</v>
      </c>
      <c r="C1553" s="198">
        <v>213820.0</v>
      </c>
      <c r="D1553" s="197" t="s">
        <v>723</v>
      </c>
      <c r="E1553" s="199">
        <v>8.0</v>
      </c>
      <c r="F1553" s="200">
        <v>45706.41666666667</v>
      </c>
      <c r="G1553" s="197" t="s">
        <v>845</v>
      </c>
      <c r="H1553" s="197" t="s">
        <v>829</v>
      </c>
    </row>
    <row r="1554" ht="15.75" customHeight="1">
      <c r="A1554" s="197" t="s">
        <v>64</v>
      </c>
      <c r="B1554" s="197" t="s">
        <v>21</v>
      </c>
      <c r="C1554" s="198">
        <v>213820.0</v>
      </c>
      <c r="D1554" s="197" t="s">
        <v>723</v>
      </c>
      <c r="E1554" s="199">
        <v>9.0</v>
      </c>
      <c r="F1554" s="200">
        <v>45713.41666666667</v>
      </c>
      <c r="G1554" s="197" t="s">
        <v>845</v>
      </c>
      <c r="H1554" s="197" t="s">
        <v>829</v>
      </c>
    </row>
    <row r="1555" ht="15.75" customHeight="1">
      <c r="A1555" s="197" t="s">
        <v>64</v>
      </c>
      <c r="B1555" s="197" t="s">
        <v>21</v>
      </c>
      <c r="C1555" s="198">
        <v>213820.0</v>
      </c>
      <c r="D1555" s="197" t="s">
        <v>723</v>
      </c>
      <c r="E1555" s="199">
        <v>10.0</v>
      </c>
      <c r="F1555" s="200">
        <v>45801.41666666667</v>
      </c>
      <c r="G1555" s="197" t="s">
        <v>845</v>
      </c>
      <c r="H1555" s="197" t="s">
        <v>829</v>
      </c>
    </row>
    <row r="1556" ht="15.75" customHeight="1">
      <c r="A1556" s="197" t="s">
        <v>65</v>
      </c>
      <c r="B1556" s="197" t="s">
        <v>21</v>
      </c>
      <c r="C1556" s="198" t="s">
        <v>149</v>
      </c>
      <c r="D1556" s="197" t="s">
        <v>150</v>
      </c>
      <c r="E1556" s="199">
        <v>1.0</v>
      </c>
      <c r="F1556" s="200">
        <v>45644.45833333333</v>
      </c>
      <c r="G1556" s="197" t="s">
        <v>843</v>
      </c>
      <c r="H1556" s="197" t="s">
        <v>858</v>
      </c>
    </row>
    <row r="1557" ht="15.75" customHeight="1">
      <c r="A1557" s="197" t="s">
        <v>65</v>
      </c>
      <c r="B1557" s="197" t="s">
        <v>21</v>
      </c>
      <c r="C1557" s="198" t="s">
        <v>149</v>
      </c>
      <c r="D1557" s="197" t="s">
        <v>150</v>
      </c>
      <c r="E1557" s="199">
        <v>2.0</v>
      </c>
      <c r="F1557" s="200">
        <v>45656.375</v>
      </c>
      <c r="G1557" s="197" t="s">
        <v>845</v>
      </c>
      <c r="H1557" s="197" t="s">
        <v>858</v>
      </c>
    </row>
    <row r="1558" ht="15.75" customHeight="1">
      <c r="A1558" s="197" t="s">
        <v>65</v>
      </c>
      <c r="B1558" s="197" t="s">
        <v>21</v>
      </c>
      <c r="C1558" s="198" t="s">
        <v>149</v>
      </c>
      <c r="D1558" s="197" t="s">
        <v>150</v>
      </c>
      <c r="E1558" s="199">
        <v>3.0</v>
      </c>
      <c r="F1558" s="200">
        <v>45665.45833333333</v>
      </c>
      <c r="G1558" s="197" t="s">
        <v>845</v>
      </c>
      <c r="H1558" s="197" t="s">
        <v>858</v>
      </c>
    </row>
    <row r="1559" ht="15.75" customHeight="1">
      <c r="A1559" s="197" t="s">
        <v>65</v>
      </c>
      <c r="B1559" s="197" t="s">
        <v>21</v>
      </c>
      <c r="C1559" s="198" t="s">
        <v>149</v>
      </c>
      <c r="D1559" s="197" t="s">
        <v>150</v>
      </c>
      <c r="E1559" s="199">
        <v>4.0</v>
      </c>
      <c r="F1559" s="200">
        <v>45672.45833333333</v>
      </c>
      <c r="G1559" s="197" t="s">
        <v>845</v>
      </c>
      <c r="H1559" s="197" t="s">
        <v>858</v>
      </c>
    </row>
    <row r="1560" ht="15.75" customHeight="1">
      <c r="A1560" s="197" t="s">
        <v>65</v>
      </c>
      <c r="B1560" s="197" t="s">
        <v>21</v>
      </c>
      <c r="C1560" s="198" t="s">
        <v>149</v>
      </c>
      <c r="D1560" s="197" t="s">
        <v>150</v>
      </c>
      <c r="E1560" s="199">
        <v>5.0</v>
      </c>
      <c r="F1560" s="200">
        <v>45679.45833333333</v>
      </c>
      <c r="G1560" s="197" t="s">
        <v>843</v>
      </c>
      <c r="H1560" s="197" t="s">
        <v>858</v>
      </c>
    </row>
    <row r="1561" ht="15.75" customHeight="1">
      <c r="A1561" s="197" t="s">
        <v>65</v>
      </c>
      <c r="B1561" s="197" t="s">
        <v>21</v>
      </c>
      <c r="C1561" s="198" t="s">
        <v>149</v>
      </c>
      <c r="D1561" s="197" t="s">
        <v>150</v>
      </c>
      <c r="E1561" s="199">
        <v>6.0</v>
      </c>
      <c r="F1561" s="200">
        <v>45694.45833333333</v>
      </c>
      <c r="G1561" s="197" t="s">
        <v>845</v>
      </c>
      <c r="H1561" s="197" t="s">
        <v>858</v>
      </c>
    </row>
    <row r="1562" ht="15.75" customHeight="1">
      <c r="A1562" s="197" t="s">
        <v>65</v>
      </c>
      <c r="B1562" s="197" t="s">
        <v>21</v>
      </c>
      <c r="C1562" s="198" t="s">
        <v>149</v>
      </c>
      <c r="D1562" s="197" t="s">
        <v>150</v>
      </c>
      <c r="E1562" s="199">
        <v>7.0</v>
      </c>
      <c r="F1562" s="200">
        <v>45699.45833333333</v>
      </c>
      <c r="G1562" s="197" t="s">
        <v>845</v>
      </c>
      <c r="H1562" s="197" t="s">
        <v>858</v>
      </c>
    </row>
    <row r="1563" ht="15.75" customHeight="1">
      <c r="A1563" s="197" t="s">
        <v>65</v>
      </c>
      <c r="B1563" s="197" t="s">
        <v>21</v>
      </c>
      <c r="C1563" s="198" t="s">
        <v>149</v>
      </c>
      <c r="D1563" s="197" t="s">
        <v>150</v>
      </c>
      <c r="E1563" s="199">
        <v>8.0</v>
      </c>
      <c r="F1563" s="200">
        <v>45706.54166666667</v>
      </c>
      <c r="G1563" s="197" t="s">
        <v>845</v>
      </c>
      <c r="H1563" s="197" t="s">
        <v>858</v>
      </c>
    </row>
    <row r="1564" ht="15.75" customHeight="1">
      <c r="A1564" s="197" t="s">
        <v>65</v>
      </c>
      <c r="B1564" s="197" t="s">
        <v>21</v>
      </c>
      <c r="C1564" s="198" t="s">
        <v>149</v>
      </c>
      <c r="D1564" s="197" t="s">
        <v>150</v>
      </c>
      <c r="E1564" s="199">
        <v>9.0</v>
      </c>
      <c r="F1564" s="200">
        <v>45713.54166666667</v>
      </c>
      <c r="G1564" s="197" t="s">
        <v>845</v>
      </c>
      <c r="H1564" s="197" t="s">
        <v>858</v>
      </c>
    </row>
    <row r="1565" ht="15.75" customHeight="1">
      <c r="A1565" s="197" t="s">
        <v>65</v>
      </c>
      <c r="B1565" s="197" t="s">
        <v>21</v>
      </c>
      <c r="C1565" s="198" t="s">
        <v>149</v>
      </c>
      <c r="D1565" s="197" t="s">
        <v>150</v>
      </c>
      <c r="E1565" s="199">
        <v>10.0</v>
      </c>
      <c r="F1565" s="200">
        <v>45801.41666666667</v>
      </c>
      <c r="G1565" s="197" t="s">
        <v>845</v>
      </c>
      <c r="H1565" s="197" t="s">
        <v>858</v>
      </c>
    </row>
    <row r="1566" ht="15.75" customHeight="1">
      <c r="A1566" s="197" t="s">
        <v>65</v>
      </c>
      <c r="B1566" s="197" t="s">
        <v>21</v>
      </c>
      <c r="C1566" s="198" t="s">
        <v>212</v>
      </c>
      <c r="D1566" s="197" t="s">
        <v>213</v>
      </c>
      <c r="E1566" s="199">
        <v>1.0</v>
      </c>
      <c r="F1566" s="200">
        <v>45644.45833333333</v>
      </c>
      <c r="G1566" s="197" t="s">
        <v>843</v>
      </c>
      <c r="H1566" s="197" t="s">
        <v>858</v>
      </c>
    </row>
    <row r="1567" ht="15.75" customHeight="1">
      <c r="A1567" s="197" t="s">
        <v>65</v>
      </c>
      <c r="B1567" s="197" t="s">
        <v>21</v>
      </c>
      <c r="C1567" s="198" t="s">
        <v>212</v>
      </c>
      <c r="D1567" s="197" t="s">
        <v>213</v>
      </c>
      <c r="E1567" s="199">
        <v>2.0</v>
      </c>
      <c r="F1567" s="200">
        <v>45656.375</v>
      </c>
      <c r="G1567" s="197" t="s">
        <v>845</v>
      </c>
      <c r="H1567" s="197" t="s">
        <v>858</v>
      </c>
    </row>
    <row r="1568" ht="15.75" customHeight="1">
      <c r="A1568" s="197" t="s">
        <v>65</v>
      </c>
      <c r="B1568" s="197" t="s">
        <v>21</v>
      </c>
      <c r="C1568" s="198" t="s">
        <v>212</v>
      </c>
      <c r="D1568" s="197" t="s">
        <v>213</v>
      </c>
      <c r="E1568" s="199">
        <v>3.0</v>
      </c>
      <c r="F1568" s="200">
        <v>45665.45833333333</v>
      </c>
      <c r="G1568" s="197" t="s">
        <v>845</v>
      </c>
      <c r="H1568" s="197" t="s">
        <v>858</v>
      </c>
    </row>
    <row r="1569" ht="15.75" customHeight="1">
      <c r="A1569" s="197" t="s">
        <v>65</v>
      </c>
      <c r="B1569" s="197" t="s">
        <v>21</v>
      </c>
      <c r="C1569" s="198" t="s">
        <v>212</v>
      </c>
      <c r="D1569" s="197" t="s">
        <v>213</v>
      </c>
      <c r="E1569" s="199">
        <v>4.0</v>
      </c>
      <c r="F1569" s="200">
        <v>45672.45833333333</v>
      </c>
      <c r="G1569" s="197" t="s">
        <v>845</v>
      </c>
      <c r="H1569" s="197" t="s">
        <v>858</v>
      </c>
    </row>
    <row r="1570" ht="15.75" customHeight="1">
      <c r="A1570" s="197" t="s">
        <v>65</v>
      </c>
      <c r="B1570" s="197" t="s">
        <v>21</v>
      </c>
      <c r="C1570" s="198" t="s">
        <v>212</v>
      </c>
      <c r="D1570" s="197" t="s">
        <v>213</v>
      </c>
      <c r="E1570" s="199">
        <v>5.0</v>
      </c>
      <c r="F1570" s="200">
        <v>45679.45833333333</v>
      </c>
      <c r="G1570" s="197" t="s">
        <v>845</v>
      </c>
      <c r="H1570" s="197" t="s">
        <v>858</v>
      </c>
    </row>
    <row r="1571" ht="15.75" customHeight="1">
      <c r="A1571" s="197" t="s">
        <v>65</v>
      </c>
      <c r="B1571" s="197" t="s">
        <v>21</v>
      </c>
      <c r="C1571" s="198" t="s">
        <v>212</v>
      </c>
      <c r="D1571" s="197" t="s">
        <v>213</v>
      </c>
      <c r="E1571" s="199">
        <v>6.0</v>
      </c>
      <c r="F1571" s="200">
        <v>45694.45833333333</v>
      </c>
      <c r="G1571" s="197" t="s">
        <v>845</v>
      </c>
      <c r="H1571" s="197" t="s">
        <v>858</v>
      </c>
    </row>
    <row r="1572" ht="15.75" customHeight="1">
      <c r="A1572" s="197" t="s">
        <v>65</v>
      </c>
      <c r="B1572" s="197" t="s">
        <v>21</v>
      </c>
      <c r="C1572" s="198" t="s">
        <v>212</v>
      </c>
      <c r="D1572" s="197" t="s">
        <v>213</v>
      </c>
      <c r="E1572" s="199">
        <v>7.0</v>
      </c>
      <c r="F1572" s="200">
        <v>45699.45833333333</v>
      </c>
      <c r="G1572" s="197" t="s">
        <v>845</v>
      </c>
      <c r="H1572" s="197" t="s">
        <v>858</v>
      </c>
    </row>
    <row r="1573" ht="15.75" customHeight="1">
      <c r="A1573" s="197" t="s">
        <v>65</v>
      </c>
      <c r="B1573" s="197" t="s">
        <v>21</v>
      </c>
      <c r="C1573" s="198" t="s">
        <v>212</v>
      </c>
      <c r="D1573" s="197" t="s">
        <v>213</v>
      </c>
      <c r="E1573" s="199">
        <v>8.0</v>
      </c>
      <c r="F1573" s="200">
        <v>45706.54166666667</v>
      </c>
      <c r="G1573" s="197" t="s">
        <v>845</v>
      </c>
      <c r="H1573" s="197" t="s">
        <v>858</v>
      </c>
    </row>
    <row r="1574" ht="15.75" customHeight="1">
      <c r="A1574" s="197" t="s">
        <v>65</v>
      </c>
      <c r="B1574" s="197" t="s">
        <v>21</v>
      </c>
      <c r="C1574" s="198" t="s">
        <v>212</v>
      </c>
      <c r="D1574" s="197" t="s">
        <v>213</v>
      </c>
      <c r="E1574" s="199">
        <v>9.0</v>
      </c>
      <c r="F1574" s="200">
        <v>45713.54166666667</v>
      </c>
      <c r="G1574" s="197" t="s">
        <v>845</v>
      </c>
      <c r="H1574" s="197" t="s">
        <v>858</v>
      </c>
    </row>
    <row r="1575" ht="15.75" customHeight="1">
      <c r="A1575" s="197" t="s">
        <v>65</v>
      </c>
      <c r="B1575" s="197" t="s">
        <v>21</v>
      </c>
      <c r="C1575" s="198" t="s">
        <v>212</v>
      </c>
      <c r="D1575" s="197" t="s">
        <v>213</v>
      </c>
      <c r="E1575" s="199">
        <v>10.0</v>
      </c>
      <c r="F1575" s="200">
        <v>45801.41666666667</v>
      </c>
      <c r="G1575" s="197" t="s">
        <v>845</v>
      </c>
      <c r="H1575" s="197" t="s">
        <v>858</v>
      </c>
    </row>
    <row r="1576" ht="15.75" customHeight="1">
      <c r="A1576" s="197" t="s">
        <v>65</v>
      </c>
      <c r="B1576" s="197" t="s">
        <v>22</v>
      </c>
      <c r="C1576" s="198" t="s">
        <v>212</v>
      </c>
      <c r="D1576" s="197" t="s">
        <v>213</v>
      </c>
      <c r="E1576" s="199">
        <v>1.0</v>
      </c>
      <c r="F1576" s="200">
        <v>45839.375</v>
      </c>
      <c r="G1576" s="197" t="s">
        <v>845</v>
      </c>
      <c r="H1576" s="197" t="s">
        <v>858</v>
      </c>
    </row>
    <row r="1577" ht="15.75" customHeight="1">
      <c r="A1577" s="197" t="s">
        <v>65</v>
      </c>
      <c r="B1577" s="197" t="s">
        <v>22</v>
      </c>
      <c r="C1577" s="198" t="s">
        <v>212</v>
      </c>
      <c r="D1577" s="197" t="s">
        <v>213</v>
      </c>
      <c r="E1577" s="199">
        <v>2.0</v>
      </c>
      <c r="F1577" s="200">
        <v>45846.375</v>
      </c>
      <c r="G1577" s="197" t="s">
        <v>845</v>
      </c>
      <c r="H1577" s="197" t="s">
        <v>858</v>
      </c>
    </row>
    <row r="1578" ht="15.75" customHeight="1">
      <c r="A1578" s="197" t="s">
        <v>65</v>
      </c>
      <c r="B1578" s="197" t="s">
        <v>22</v>
      </c>
      <c r="C1578" s="198" t="s">
        <v>212</v>
      </c>
      <c r="D1578" s="197" t="s">
        <v>213</v>
      </c>
      <c r="E1578" s="199">
        <v>3.0</v>
      </c>
      <c r="F1578" s="200">
        <v>45852.41666666667</v>
      </c>
      <c r="G1578" s="197" t="s">
        <v>845</v>
      </c>
      <c r="H1578" s="197" t="s">
        <v>858</v>
      </c>
    </row>
    <row r="1579" ht="15.75" customHeight="1">
      <c r="A1579" s="197" t="s">
        <v>65</v>
      </c>
      <c r="B1579" s="197" t="s">
        <v>22</v>
      </c>
      <c r="C1579" s="198" t="s">
        <v>212</v>
      </c>
      <c r="D1579" s="197" t="s">
        <v>213</v>
      </c>
      <c r="E1579" s="199">
        <v>4.0</v>
      </c>
      <c r="F1579" s="200">
        <v>45859.41666666667</v>
      </c>
      <c r="G1579" s="197" t="s">
        <v>845</v>
      </c>
      <c r="H1579" s="197" t="s">
        <v>858</v>
      </c>
    </row>
    <row r="1580" ht="15.75" customHeight="1">
      <c r="A1580" s="197" t="s">
        <v>65</v>
      </c>
      <c r="B1580" s="197" t="s">
        <v>21</v>
      </c>
      <c r="C1580" s="198" t="s">
        <v>267</v>
      </c>
      <c r="D1580" s="197" t="s">
        <v>268</v>
      </c>
      <c r="E1580" s="199">
        <v>1.0</v>
      </c>
      <c r="F1580" s="200">
        <v>45644.45833333333</v>
      </c>
      <c r="G1580" s="197" t="s">
        <v>845</v>
      </c>
      <c r="H1580" s="197" t="s">
        <v>858</v>
      </c>
    </row>
    <row r="1581" ht="15.75" customHeight="1">
      <c r="A1581" s="197" t="s">
        <v>65</v>
      </c>
      <c r="B1581" s="197" t="s">
        <v>21</v>
      </c>
      <c r="C1581" s="198" t="s">
        <v>267</v>
      </c>
      <c r="D1581" s="197" t="s">
        <v>268</v>
      </c>
      <c r="E1581" s="199">
        <v>2.0</v>
      </c>
      <c r="F1581" s="200">
        <v>45656.375</v>
      </c>
      <c r="G1581" s="197" t="s">
        <v>845</v>
      </c>
      <c r="H1581" s="197" t="s">
        <v>858</v>
      </c>
    </row>
    <row r="1582" ht="15.75" customHeight="1">
      <c r="A1582" s="197" t="s">
        <v>65</v>
      </c>
      <c r="B1582" s="197" t="s">
        <v>21</v>
      </c>
      <c r="C1582" s="198" t="s">
        <v>267</v>
      </c>
      <c r="D1582" s="197" t="s">
        <v>268</v>
      </c>
      <c r="E1582" s="199">
        <v>3.0</v>
      </c>
      <c r="F1582" s="200">
        <v>45665.45833333333</v>
      </c>
      <c r="G1582" s="197" t="s">
        <v>845</v>
      </c>
      <c r="H1582" s="197" t="s">
        <v>858</v>
      </c>
    </row>
    <row r="1583" ht="15.75" customHeight="1">
      <c r="A1583" s="197" t="s">
        <v>65</v>
      </c>
      <c r="B1583" s="197" t="s">
        <v>21</v>
      </c>
      <c r="C1583" s="198" t="s">
        <v>267</v>
      </c>
      <c r="D1583" s="197" t="s">
        <v>268</v>
      </c>
      <c r="E1583" s="199">
        <v>4.0</v>
      </c>
      <c r="F1583" s="200">
        <v>45672.45833333333</v>
      </c>
      <c r="G1583" s="197" t="s">
        <v>845</v>
      </c>
      <c r="H1583" s="197" t="s">
        <v>858</v>
      </c>
    </row>
    <row r="1584" ht="15.75" customHeight="1">
      <c r="A1584" s="197" t="s">
        <v>65</v>
      </c>
      <c r="B1584" s="197" t="s">
        <v>21</v>
      </c>
      <c r="C1584" s="198" t="s">
        <v>267</v>
      </c>
      <c r="D1584" s="197" t="s">
        <v>268</v>
      </c>
      <c r="E1584" s="199">
        <v>5.0</v>
      </c>
      <c r="F1584" s="200">
        <v>45679.45833333333</v>
      </c>
      <c r="G1584" s="197" t="s">
        <v>845</v>
      </c>
      <c r="H1584" s="197" t="s">
        <v>858</v>
      </c>
    </row>
    <row r="1585" ht="15.75" customHeight="1">
      <c r="A1585" s="197" t="s">
        <v>65</v>
      </c>
      <c r="B1585" s="197" t="s">
        <v>21</v>
      </c>
      <c r="C1585" s="198" t="s">
        <v>267</v>
      </c>
      <c r="D1585" s="197" t="s">
        <v>268</v>
      </c>
      <c r="E1585" s="199">
        <v>6.0</v>
      </c>
      <c r="F1585" s="200">
        <v>45694.45833333333</v>
      </c>
      <c r="G1585" s="197" t="s">
        <v>845</v>
      </c>
      <c r="H1585" s="197" t="s">
        <v>858</v>
      </c>
    </row>
    <row r="1586" ht="15.75" customHeight="1">
      <c r="A1586" s="197" t="s">
        <v>65</v>
      </c>
      <c r="B1586" s="197" t="s">
        <v>21</v>
      </c>
      <c r="C1586" s="198" t="s">
        <v>267</v>
      </c>
      <c r="D1586" s="197" t="s">
        <v>268</v>
      </c>
      <c r="E1586" s="199">
        <v>7.0</v>
      </c>
      <c r="F1586" s="200">
        <v>45699.45833333333</v>
      </c>
      <c r="G1586" s="197" t="s">
        <v>843</v>
      </c>
      <c r="H1586" s="197" t="s">
        <v>858</v>
      </c>
    </row>
    <row r="1587" ht="15.75" customHeight="1">
      <c r="A1587" s="197" t="s">
        <v>65</v>
      </c>
      <c r="B1587" s="197" t="s">
        <v>21</v>
      </c>
      <c r="C1587" s="198" t="s">
        <v>267</v>
      </c>
      <c r="D1587" s="197" t="s">
        <v>268</v>
      </c>
      <c r="E1587" s="199">
        <v>8.0</v>
      </c>
      <c r="F1587" s="200">
        <v>45706.54166666667</v>
      </c>
      <c r="G1587" s="197" t="s">
        <v>845</v>
      </c>
      <c r="H1587" s="197" t="s">
        <v>858</v>
      </c>
    </row>
    <row r="1588" ht="15.75" customHeight="1">
      <c r="A1588" s="197" t="s">
        <v>65</v>
      </c>
      <c r="B1588" s="197" t="s">
        <v>21</v>
      </c>
      <c r="C1588" s="198" t="s">
        <v>267</v>
      </c>
      <c r="D1588" s="197" t="s">
        <v>268</v>
      </c>
      <c r="E1588" s="199">
        <v>9.0</v>
      </c>
      <c r="F1588" s="200">
        <v>45713.54166666667</v>
      </c>
      <c r="G1588" s="197" t="s">
        <v>845</v>
      </c>
      <c r="H1588" s="197" t="s">
        <v>858</v>
      </c>
    </row>
    <row r="1589" ht="15.75" customHeight="1">
      <c r="A1589" s="197" t="s">
        <v>65</v>
      </c>
      <c r="B1589" s="197" t="s">
        <v>21</v>
      </c>
      <c r="C1589" s="198" t="s">
        <v>267</v>
      </c>
      <c r="D1589" s="197" t="s">
        <v>268</v>
      </c>
      <c r="E1589" s="199">
        <v>10.0</v>
      </c>
      <c r="F1589" s="200">
        <v>45801.41666666667</v>
      </c>
      <c r="G1589" s="197" t="s">
        <v>845</v>
      </c>
      <c r="H1589" s="197" t="s">
        <v>858</v>
      </c>
    </row>
    <row r="1590" ht="15.75" customHeight="1">
      <c r="A1590" s="197" t="s">
        <v>65</v>
      </c>
      <c r="B1590" s="197" t="s">
        <v>22</v>
      </c>
      <c r="C1590" s="198" t="s">
        <v>267</v>
      </c>
      <c r="D1590" s="197" t="s">
        <v>268</v>
      </c>
      <c r="E1590" s="199">
        <v>1.0</v>
      </c>
      <c r="F1590" s="200">
        <v>45839.375</v>
      </c>
      <c r="G1590" s="197" t="s">
        <v>845</v>
      </c>
      <c r="H1590" s="197" t="s">
        <v>858</v>
      </c>
    </row>
    <row r="1591" ht="15.75" customHeight="1">
      <c r="A1591" s="197" t="s">
        <v>65</v>
      </c>
      <c r="B1591" s="197" t="s">
        <v>22</v>
      </c>
      <c r="C1591" s="198" t="s">
        <v>267</v>
      </c>
      <c r="D1591" s="197" t="s">
        <v>268</v>
      </c>
      <c r="E1591" s="199">
        <v>2.0</v>
      </c>
      <c r="F1591" s="200">
        <v>45846.375</v>
      </c>
      <c r="G1591" s="197" t="s">
        <v>845</v>
      </c>
      <c r="H1591" s="197" t="s">
        <v>858</v>
      </c>
    </row>
    <row r="1592" ht="15.75" customHeight="1">
      <c r="A1592" s="197" t="s">
        <v>65</v>
      </c>
      <c r="B1592" s="197" t="s">
        <v>22</v>
      </c>
      <c r="C1592" s="198" t="s">
        <v>267</v>
      </c>
      <c r="D1592" s="197" t="s">
        <v>268</v>
      </c>
      <c r="E1592" s="199">
        <v>3.0</v>
      </c>
      <c r="F1592" s="200">
        <v>45852.41666666667</v>
      </c>
      <c r="G1592" s="197" t="s">
        <v>845</v>
      </c>
      <c r="H1592" s="197" t="s">
        <v>858</v>
      </c>
    </row>
    <row r="1593" ht="15.75" customHeight="1">
      <c r="A1593" s="197" t="s">
        <v>65</v>
      </c>
      <c r="B1593" s="197" t="s">
        <v>22</v>
      </c>
      <c r="C1593" s="198" t="s">
        <v>267</v>
      </c>
      <c r="D1593" s="197" t="s">
        <v>268</v>
      </c>
      <c r="E1593" s="199">
        <v>4.0</v>
      </c>
      <c r="F1593" s="200">
        <v>45859.41666666667</v>
      </c>
      <c r="G1593" s="197" t="s">
        <v>845</v>
      </c>
      <c r="H1593" s="197" t="s">
        <v>858</v>
      </c>
    </row>
    <row r="1594" ht="15.75" customHeight="1">
      <c r="A1594" s="197" t="s">
        <v>65</v>
      </c>
      <c r="B1594" s="197" t="s">
        <v>21</v>
      </c>
      <c r="C1594" s="198" t="s">
        <v>413</v>
      </c>
      <c r="D1594" s="197" t="s">
        <v>414</v>
      </c>
      <c r="E1594" s="199">
        <v>1.0</v>
      </c>
      <c r="F1594" s="200">
        <v>45637.375</v>
      </c>
      <c r="G1594" s="197" t="s">
        <v>845</v>
      </c>
      <c r="H1594" s="197" t="s">
        <v>858</v>
      </c>
    </row>
    <row r="1595" ht="15.75" customHeight="1">
      <c r="A1595" s="197" t="s">
        <v>65</v>
      </c>
      <c r="B1595" s="197" t="s">
        <v>21</v>
      </c>
      <c r="C1595" s="198" t="s">
        <v>413</v>
      </c>
      <c r="D1595" s="197" t="s">
        <v>414</v>
      </c>
      <c r="E1595" s="199">
        <v>2.0</v>
      </c>
      <c r="F1595" s="200">
        <v>45656.375</v>
      </c>
      <c r="G1595" s="197" t="s">
        <v>845</v>
      </c>
      <c r="H1595" s="197" t="s">
        <v>858</v>
      </c>
    </row>
    <row r="1596" ht="15.75" customHeight="1">
      <c r="A1596" s="197" t="s">
        <v>65</v>
      </c>
      <c r="B1596" s="197" t="s">
        <v>21</v>
      </c>
      <c r="C1596" s="198" t="s">
        <v>413</v>
      </c>
      <c r="D1596" s="197" t="s">
        <v>414</v>
      </c>
      <c r="E1596" s="199">
        <v>3.0</v>
      </c>
      <c r="F1596" s="200">
        <v>45665.45833333333</v>
      </c>
      <c r="G1596" s="197" t="s">
        <v>845</v>
      </c>
      <c r="H1596" s="197" t="s">
        <v>858</v>
      </c>
    </row>
    <row r="1597" ht="15.75" customHeight="1">
      <c r="A1597" s="197" t="s">
        <v>65</v>
      </c>
      <c r="B1597" s="197" t="s">
        <v>21</v>
      </c>
      <c r="C1597" s="198" t="s">
        <v>413</v>
      </c>
      <c r="D1597" s="197" t="s">
        <v>414</v>
      </c>
      <c r="E1597" s="199">
        <v>4.0</v>
      </c>
      <c r="F1597" s="200">
        <v>45672.45833333333</v>
      </c>
      <c r="G1597" s="197" t="s">
        <v>845</v>
      </c>
      <c r="H1597" s="197" t="s">
        <v>858</v>
      </c>
    </row>
    <row r="1598" ht="15.75" customHeight="1">
      <c r="A1598" s="197" t="s">
        <v>65</v>
      </c>
      <c r="B1598" s="197" t="s">
        <v>21</v>
      </c>
      <c r="C1598" s="198" t="s">
        <v>413</v>
      </c>
      <c r="D1598" s="197" t="s">
        <v>414</v>
      </c>
      <c r="E1598" s="199">
        <v>5.0</v>
      </c>
      <c r="F1598" s="200">
        <v>45679.45833333333</v>
      </c>
      <c r="G1598" s="197" t="s">
        <v>845</v>
      </c>
      <c r="H1598" s="197" t="s">
        <v>858</v>
      </c>
    </row>
    <row r="1599" ht="15.75" customHeight="1">
      <c r="A1599" s="197" t="s">
        <v>65</v>
      </c>
      <c r="B1599" s="197" t="s">
        <v>21</v>
      </c>
      <c r="C1599" s="198" t="s">
        <v>413</v>
      </c>
      <c r="D1599" s="197" t="s">
        <v>414</v>
      </c>
      <c r="E1599" s="199">
        <v>6.0</v>
      </c>
      <c r="F1599" s="200">
        <v>45694.45833333333</v>
      </c>
      <c r="G1599" s="197" t="s">
        <v>845</v>
      </c>
      <c r="H1599" s="197" t="s">
        <v>858</v>
      </c>
    </row>
    <row r="1600" ht="15.75" customHeight="1">
      <c r="A1600" s="197" t="s">
        <v>65</v>
      </c>
      <c r="B1600" s="197" t="s">
        <v>21</v>
      </c>
      <c r="C1600" s="198" t="s">
        <v>413</v>
      </c>
      <c r="D1600" s="197" t="s">
        <v>414</v>
      </c>
      <c r="E1600" s="199">
        <v>7.0</v>
      </c>
      <c r="F1600" s="200">
        <v>45699.45833333333</v>
      </c>
      <c r="G1600" s="197" t="s">
        <v>845</v>
      </c>
      <c r="H1600" s="197" t="s">
        <v>858</v>
      </c>
    </row>
    <row r="1601" ht="15.75" customHeight="1">
      <c r="A1601" s="197" t="s">
        <v>65</v>
      </c>
      <c r="B1601" s="197" t="s">
        <v>21</v>
      </c>
      <c r="C1601" s="198" t="s">
        <v>413</v>
      </c>
      <c r="D1601" s="197" t="s">
        <v>414</v>
      </c>
      <c r="E1601" s="199">
        <v>8.0</v>
      </c>
      <c r="F1601" s="200">
        <v>45706.54166666667</v>
      </c>
      <c r="G1601" s="197" t="s">
        <v>845</v>
      </c>
      <c r="H1601" s="197" t="s">
        <v>858</v>
      </c>
    </row>
    <row r="1602" ht="15.75" customHeight="1">
      <c r="A1602" s="197" t="s">
        <v>65</v>
      </c>
      <c r="B1602" s="197" t="s">
        <v>21</v>
      </c>
      <c r="C1602" s="198" t="s">
        <v>413</v>
      </c>
      <c r="D1602" s="197" t="s">
        <v>414</v>
      </c>
      <c r="E1602" s="199">
        <v>9.0</v>
      </c>
      <c r="F1602" s="200">
        <v>45713.54166666667</v>
      </c>
      <c r="G1602" s="197" t="s">
        <v>845</v>
      </c>
      <c r="H1602" s="197" t="s">
        <v>858</v>
      </c>
    </row>
    <row r="1603" ht="15.75" customHeight="1">
      <c r="A1603" s="197" t="s">
        <v>65</v>
      </c>
      <c r="B1603" s="197" t="s">
        <v>21</v>
      </c>
      <c r="C1603" s="198" t="s">
        <v>413</v>
      </c>
      <c r="D1603" s="197" t="s">
        <v>414</v>
      </c>
      <c r="E1603" s="199">
        <v>10.0</v>
      </c>
      <c r="F1603" s="200">
        <v>45801.41666666667</v>
      </c>
      <c r="G1603" s="197" t="s">
        <v>845</v>
      </c>
      <c r="H1603" s="197" t="s">
        <v>858</v>
      </c>
    </row>
    <row r="1604" ht="15.75" customHeight="1">
      <c r="A1604" s="197" t="s">
        <v>65</v>
      </c>
      <c r="B1604" s="197" t="s">
        <v>22</v>
      </c>
      <c r="C1604" s="198" t="s">
        <v>413</v>
      </c>
      <c r="D1604" s="197" t="s">
        <v>414</v>
      </c>
      <c r="E1604" s="199">
        <v>1.0</v>
      </c>
      <c r="F1604" s="200">
        <v>45839.375</v>
      </c>
      <c r="G1604" s="197" t="s">
        <v>845</v>
      </c>
      <c r="H1604" s="197" t="s">
        <v>858</v>
      </c>
    </row>
    <row r="1605" ht="15.75" customHeight="1">
      <c r="A1605" s="197" t="s">
        <v>65</v>
      </c>
      <c r="B1605" s="197" t="s">
        <v>22</v>
      </c>
      <c r="C1605" s="198" t="s">
        <v>413</v>
      </c>
      <c r="D1605" s="197" t="s">
        <v>414</v>
      </c>
      <c r="E1605" s="199">
        <v>2.0</v>
      </c>
      <c r="F1605" s="200">
        <v>45846.375</v>
      </c>
      <c r="G1605" s="197" t="s">
        <v>845</v>
      </c>
      <c r="H1605" s="197" t="s">
        <v>858</v>
      </c>
    </row>
    <row r="1606" ht="15.75" customHeight="1">
      <c r="A1606" s="197" t="s">
        <v>65</v>
      </c>
      <c r="B1606" s="197" t="s">
        <v>22</v>
      </c>
      <c r="C1606" s="198" t="s">
        <v>413</v>
      </c>
      <c r="D1606" s="197" t="s">
        <v>414</v>
      </c>
      <c r="E1606" s="199">
        <v>3.0</v>
      </c>
      <c r="F1606" s="200">
        <v>45852.41666666667</v>
      </c>
      <c r="G1606" s="197" t="s">
        <v>845</v>
      </c>
      <c r="H1606" s="197" t="s">
        <v>858</v>
      </c>
    </row>
    <row r="1607" ht="15.75" customHeight="1">
      <c r="A1607" s="197" t="s">
        <v>65</v>
      </c>
      <c r="B1607" s="197" t="s">
        <v>22</v>
      </c>
      <c r="C1607" s="198" t="s">
        <v>413</v>
      </c>
      <c r="D1607" s="197" t="s">
        <v>414</v>
      </c>
      <c r="E1607" s="199">
        <v>4.0</v>
      </c>
      <c r="F1607" s="200">
        <v>45859.41666666667</v>
      </c>
      <c r="G1607" s="197" t="s">
        <v>845</v>
      </c>
      <c r="H1607" s="197" t="s">
        <v>858</v>
      </c>
    </row>
    <row r="1608" ht="15.75" customHeight="1">
      <c r="A1608" s="197" t="s">
        <v>65</v>
      </c>
      <c r="B1608" s="197" t="s">
        <v>21</v>
      </c>
      <c r="C1608" s="198" t="s">
        <v>601</v>
      </c>
      <c r="D1608" s="197" t="s">
        <v>602</v>
      </c>
      <c r="E1608" s="199">
        <v>1.0</v>
      </c>
      <c r="F1608" s="200">
        <v>45637.375</v>
      </c>
      <c r="G1608" s="197" t="s">
        <v>845</v>
      </c>
      <c r="H1608" s="197" t="s">
        <v>858</v>
      </c>
    </row>
    <row r="1609" ht="15.75" customHeight="1">
      <c r="A1609" s="197" t="s">
        <v>65</v>
      </c>
      <c r="B1609" s="197" t="s">
        <v>21</v>
      </c>
      <c r="C1609" s="198" t="s">
        <v>601</v>
      </c>
      <c r="D1609" s="197" t="s">
        <v>602</v>
      </c>
      <c r="E1609" s="199">
        <v>2.0</v>
      </c>
      <c r="F1609" s="200">
        <v>45656.375</v>
      </c>
      <c r="G1609" s="197" t="s">
        <v>845</v>
      </c>
      <c r="H1609" s="197" t="s">
        <v>858</v>
      </c>
    </row>
    <row r="1610" ht="15.75" customHeight="1">
      <c r="A1610" s="197" t="s">
        <v>65</v>
      </c>
      <c r="B1610" s="197" t="s">
        <v>21</v>
      </c>
      <c r="C1610" s="198" t="s">
        <v>601</v>
      </c>
      <c r="D1610" s="197" t="s">
        <v>602</v>
      </c>
      <c r="E1610" s="199">
        <v>3.0</v>
      </c>
      <c r="F1610" s="200">
        <v>45665.45833333333</v>
      </c>
      <c r="G1610" s="197" t="s">
        <v>845</v>
      </c>
      <c r="H1610" s="197" t="s">
        <v>858</v>
      </c>
    </row>
    <row r="1611" ht="15.75" customHeight="1">
      <c r="A1611" s="197" t="s">
        <v>65</v>
      </c>
      <c r="B1611" s="197" t="s">
        <v>21</v>
      </c>
      <c r="C1611" s="198" t="s">
        <v>601</v>
      </c>
      <c r="D1611" s="197" t="s">
        <v>602</v>
      </c>
      <c r="E1611" s="199">
        <v>4.0</v>
      </c>
      <c r="F1611" s="200">
        <v>45671.45833333333</v>
      </c>
      <c r="G1611" s="197" t="s">
        <v>845</v>
      </c>
      <c r="H1611" s="197" t="s">
        <v>858</v>
      </c>
    </row>
    <row r="1612" ht="15.75" customHeight="1">
      <c r="A1612" s="197" t="s">
        <v>65</v>
      </c>
      <c r="B1612" s="197" t="s">
        <v>21</v>
      </c>
      <c r="C1612" s="198" t="s">
        <v>601</v>
      </c>
      <c r="D1612" s="197" t="s">
        <v>602</v>
      </c>
      <c r="E1612" s="199">
        <v>5.0</v>
      </c>
      <c r="F1612" s="200">
        <v>45678.45833333333</v>
      </c>
      <c r="G1612" s="197" t="s">
        <v>845</v>
      </c>
      <c r="H1612" s="197" t="s">
        <v>858</v>
      </c>
    </row>
    <row r="1613" ht="15.75" customHeight="1">
      <c r="A1613" s="197" t="s">
        <v>65</v>
      </c>
      <c r="B1613" s="197" t="s">
        <v>21</v>
      </c>
      <c r="C1613" s="198" t="s">
        <v>601</v>
      </c>
      <c r="D1613" s="197" t="s">
        <v>602</v>
      </c>
      <c r="E1613" s="199">
        <v>6.0</v>
      </c>
      <c r="F1613" s="200">
        <v>45692.41666666667</v>
      </c>
      <c r="G1613" s="197" t="s">
        <v>845</v>
      </c>
      <c r="H1613" s="197" t="s">
        <v>858</v>
      </c>
    </row>
    <row r="1614" ht="15.75" customHeight="1">
      <c r="A1614" s="197" t="s">
        <v>65</v>
      </c>
      <c r="B1614" s="197" t="s">
        <v>21</v>
      </c>
      <c r="C1614" s="198" t="s">
        <v>601</v>
      </c>
      <c r="D1614" s="197" t="s">
        <v>602</v>
      </c>
      <c r="E1614" s="199">
        <v>7.0</v>
      </c>
      <c r="F1614" s="200">
        <v>45699.45833333333</v>
      </c>
      <c r="G1614" s="197" t="s">
        <v>845</v>
      </c>
      <c r="H1614" s="197" t="s">
        <v>858</v>
      </c>
    </row>
    <row r="1615" ht="15.75" customHeight="1">
      <c r="A1615" s="197" t="s">
        <v>65</v>
      </c>
      <c r="B1615" s="197" t="s">
        <v>21</v>
      </c>
      <c r="C1615" s="198" t="s">
        <v>601</v>
      </c>
      <c r="D1615" s="197" t="s">
        <v>602</v>
      </c>
      <c r="E1615" s="199">
        <v>8.0</v>
      </c>
      <c r="F1615" s="200">
        <v>45706.54166666667</v>
      </c>
      <c r="G1615" s="197" t="s">
        <v>845</v>
      </c>
      <c r="H1615" s="197" t="s">
        <v>858</v>
      </c>
    </row>
    <row r="1616" ht="15.75" customHeight="1">
      <c r="A1616" s="197" t="s">
        <v>65</v>
      </c>
      <c r="B1616" s="197" t="s">
        <v>21</v>
      </c>
      <c r="C1616" s="198" t="s">
        <v>601</v>
      </c>
      <c r="D1616" s="197" t="s">
        <v>602</v>
      </c>
      <c r="E1616" s="199">
        <v>9.0</v>
      </c>
      <c r="F1616" s="200">
        <v>45713.54166666667</v>
      </c>
      <c r="G1616" s="197" t="s">
        <v>845</v>
      </c>
      <c r="H1616" s="197" t="s">
        <v>858</v>
      </c>
    </row>
    <row r="1617" ht="15.75" customHeight="1">
      <c r="A1617" s="197" t="s">
        <v>65</v>
      </c>
      <c r="B1617" s="197" t="s">
        <v>21</v>
      </c>
      <c r="C1617" s="198" t="s">
        <v>601</v>
      </c>
      <c r="D1617" s="197" t="s">
        <v>602</v>
      </c>
      <c r="E1617" s="199">
        <v>10.0</v>
      </c>
      <c r="F1617" s="200">
        <v>45801.41666666667</v>
      </c>
      <c r="G1617" s="197" t="s">
        <v>845</v>
      </c>
      <c r="H1617" s="197" t="s">
        <v>858</v>
      </c>
    </row>
    <row r="1618" ht="15.75" customHeight="1">
      <c r="A1618" s="197" t="s">
        <v>65</v>
      </c>
      <c r="B1618" s="197" t="s">
        <v>21</v>
      </c>
      <c r="C1618" s="198" t="s">
        <v>699</v>
      </c>
      <c r="D1618" s="197" t="s">
        <v>700</v>
      </c>
      <c r="E1618" s="199">
        <v>1.0</v>
      </c>
      <c r="F1618" s="200">
        <v>45644.45833333333</v>
      </c>
      <c r="G1618" s="197" t="s">
        <v>845</v>
      </c>
      <c r="H1618" s="197" t="s">
        <v>858</v>
      </c>
    </row>
    <row r="1619" ht="15.75" customHeight="1">
      <c r="A1619" s="197" t="s">
        <v>65</v>
      </c>
      <c r="B1619" s="197" t="s">
        <v>21</v>
      </c>
      <c r="C1619" s="198" t="s">
        <v>699</v>
      </c>
      <c r="D1619" s="197" t="s">
        <v>700</v>
      </c>
      <c r="E1619" s="199">
        <v>2.0</v>
      </c>
      <c r="F1619" s="200">
        <v>45656.375</v>
      </c>
      <c r="G1619" s="197" t="s">
        <v>845</v>
      </c>
      <c r="H1619" s="197" t="s">
        <v>858</v>
      </c>
    </row>
    <row r="1620" ht="15.75" customHeight="1">
      <c r="A1620" s="197" t="s">
        <v>65</v>
      </c>
      <c r="B1620" s="197" t="s">
        <v>21</v>
      </c>
      <c r="C1620" s="198" t="s">
        <v>699</v>
      </c>
      <c r="D1620" s="197" t="s">
        <v>700</v>
      </c>
      <c r="E1620" s="199">
        <v>3.0</v>
      </c>
      <c r="F1620" s="200">
        <v>45665.45833333333</v>
      </c>
      <c r="G1620" s="197" t="s">
        <v>845</v>
      </c>
      <c r="H1620" s="197" t="s">
        <v>858</v>
      </c>
    </row>
    <row r="1621" ht="15.75" customHeight="1">
      <c r="A1621" s="197" t="s">
        <v>65</v>
      </c>
      <c r="B1621" s="197" t="s">
        <v>21</v>
      </c>
      <c r="C1621" s="198" t="s">
        <v>699</v>
      </c>
      <c r="D1621" s="197" t="s">
        <v>700</v>
      </c>
      <c r="E1621" s="199">
        <v>4.0</v>
      </c>
      <c r="F1621" s="200">
        <v>45672.45833333333</v>
      </c>
      <c r="G1621" s="197" t="s">
        <v>845</v>
      </c>
      <c r="H1621" s="197" t="s">
        <v>858</v>
      </c>
    </row>
    <row r="1622" ht="15.75" customHeight="1">
      <c r="A1622" s="197" t="s">
        <v>65</v>
      </c>
      <c r="B1622" s="197" t="s">
        <v>21</v>
      </c>
      <c r="C1622" s="198" t="s">
        <v>699</v>
      </c>
      <c r="D1622" s="197" t="s">
        <v>700</v>
      </c>
      <c r="E1622" s="199">
        <v>5.0</v>
      </c>
      <c r="F1622" s="200">
        <v>45679.45833333333</v>
      </c>
      <c r="G1622" s="197" t="s">
        <v>845</v>
      </c>
      <c r="H1622" s="197" t="s">
        <v>858</v>
      </c>
    </row>
    <row r="1623" ht="15.75" customHeight="1">
      <c r="A1623" s="197" t="s">
        <v>65</v>
      </c>
      <c r="B1623" s="197" t="s">
        <v>21</v>
      </c>
      <c r="C1623" s="198" t="s">
        <v>699</v>
      </c>
      <c r="D1623" s="197" t="s">
        <v>700</v>
      </c>
      <c r="E1623" s="199">
        <v>6.0</v>
      </c>
      <c r="F1623" s="200">
        <v>45694.45833333333</v>
      </c>
      <c r="G1623" s="197" t="s">
        <v>845</v>
      </c>
      <c r="H1623" s="197" t="s">
        <v>858</v>
      </c>
    </row>
    <row r="1624" ht="15.75" customHeight="1">
      <c r="A1624" s="197" t="s">
        <v>65</v>
      </c>
      <c r="B1624" s="197" t="s">
        <v>21</v>
      </c>
      <c r="C1624" s="198" t="s">
        <v>699</v>
      </c>
      <c r="D1624" s="197" t="s">
        <v>700</v>
      </c>
      <c r="E1624" s="199">
        <v>7.0</v>
      </c>
      <c r="F1624" s="200">
        <v>45699.45833333333</v>
      </c>
      <c r="G1624" s="197" t="s">
        <v>845</v>
      </c>
      <c r="H1624" s="197" t="s">
        <v>858</v>
      </c>
    </row>
    <row r="1625" ht="15.75" customHeight="1">
      <c r="A1625" s="197" t="s">
        <v>65</v>
      </c>
      <c r="B1625" s="197" t="s">
        <v>21</v>
      </c>
      <c r="C1625" s="198" t="s">
        <v>699</v>
      </c>
      <c r="D1625" s="197" t="s">
        <v>700</v>
      </c>
      <c r="E1625" s="199">
        <v>8.0</v>
      </c>
      <c r="F1625" s="200">
        <v>45706.54166666667</v>
      </c>
      <c r="G1625" s="197" t="s">
        <v>845</v>
      </c>
      <c r="H1625" s="197" t="s">
        <v>858</v>
      </c>
    </row>
    <row r="1626" ht="15.75" customHeight="1">
      <c r="A1626" s="197" t="s">
        <v>65</v>
      </c>
      <c r="B1626" s="197" t="s">
        <v>21</v>
      </c>
      <c r="C1626" s="198" t="s">
        <v>699</v>
      </c>
      <c r="D1626" s="197" t="s">
        <v>700</v>
      </c>
      <c r="E1626" s="199">
        <v>9.0</v>
      </c>
      <c r="F1626" s="200">
        <v>45713.54166666667</v>
      </c>
      <c r="G1626" s="197" t="s">
        <v>845</v>
      </c>
      <c r="H1626" s="197" t="s">
        <v>858</v>
      </c>
    </row>
    <row r="1627" ht="15.75" customHeight="1">
      <c r="A1627" s="197" t="s">
        <v>65</v>
      </c>
      <c r="B1627" s="197" t="s">
        <v>21</v>
      </c>
      <c r="C1627" s="198" t="s">
        <v>699</v>
      </c>
      <c r="D1627" s="197" t="s">
        <v>700</v>
      </c>
      <c r="E1627" s="199">
        <v>10.0</v>
      </c>
      <c r="F1627" s="200">
        <v>45801.41666666667</v>
      </c>
      <c r="G1627" s="197" t="s">
        <v>845</v>
      </c>
      <c r="H1627" s="197" t="s">
        <v>858</v>
      </c>
    </row>
    <row r="1628" ht="15.75" customHeight="1">
      <c r="A1628" s="197" t="s">
        <v>65</v>
      </c>
      <c r="B1628" s="197" t="s">
        <v>22</v>
      </c>
      <c r="C1628" s="198" t="s">
        <v>699</v>
      </c>
      <c r="D1628" s="197" t="s">
        <v>700</v>
      </c>
      <c r="E1628" s="199">
        <v>1.0</v>
      </c>
      <c r="F1628" s="200">
        <v>45839.375</v>
      </c>
      <c r="G1628" s="197" t="s">
        <v>845</v>
      </c>
      <c r="H1628" s="197" t="s">
        <v>858</v>
      </c>
    </row>
    <row r="1629" ht="15.75" customHeight="1">
      <c r="A1629" s="197" t="s">
        <v>65</v>
      </c>
      <c r="B1629" s="197" t="s">
        <v>22</v>
      </c>
      <c r="C1629" s="198" t="s">
        <v>699</v>
      </c>
      <c r="D1629" s="197" t="s">
        <v>700</v>
      </c>
      <c r="E1629" s="199">
        <v>2.0</v>
      </c>
      <c r="F1629" s="200">
        <v>45846.375</v>
      </c>
      <c r="G1629" s="197" t="s">
        <v>845</v>
      </c>
      <c r="H1629" s="197" t="s">
        <v>858</v>
      </c>
    </row>
    <row r="1630" ht="15.75" customHeight="1">
      <c r="A1630" s="197" t="s">
        <v>65</v>
      </c>
      <c r="B1630" s="197" t="s">
        <v>22</v>
      </c>
      <c r="C1630" s="198" t="s">
        <v>699</v>
      </c>
      <c r="D1630" s="197" t="s">
        <v>700</v>
      </c>
      <c r="E1630" s="199">
        <v>3.0</v>
      </c>
      <c r="F1630" s="200">
        <v>45852.41666666667</v>
      </c>
      <c r="G1630" s="197" t="s">
        <v>845</v>
      </c>
      <c r="H1630" s="197" t="s">
        <v>858</v>
      </c>
    </row>
    <row r="1631" ht="15.75" customHeight="1">
      <c r="A1631" s="197" t="s">
        <v>65</v>
      </c>
      <c r="B1631" s="197" t="s">
        <v>22</v>
      </c>
      <c r="C1631" s="198" t="s">
        <v>699</v>
      </c>
      <c r="D1631" s="197" t="s">
        <v>700</v>
      </c>
      <c r="E1631" s="199">
        <v>4.0</v>
      </c>
      <c r="F1631" s="200">
        <v>45859.41666666667</v>
      </c>
      <c r="G1631" s="197" t="s">
        <v>845</v>
      </c>
      <c r="H1631" s="197" t="s">
        <v>858</v>
      </c>
    </row>
    <row r="1632" ht="15.75" customHeight="1">
      <c r="A1632" s="197" t="s">
        <v>66</v>
      </c>
      <c r="B1632" s="197" t="s">
        <v>21</v>
      </c>
      <c r="C1632" s="198" t="s">
        <v>346</v>
      </c>
      <c r="D1632" s="197" t="s">
        <v>347</v>
      </c>
      <c r="E1632" s="199">
        <v>1.0</v>
      </c>
      <c r="F1632" s="200">
        <v>45693.45833333333</v>
      </c>
      <c r="G1632" s="197" t="s">
        <v>845</v>
      </c>
      <c r="H1632" s="197" t="s">
        <v>859</v>
      </c>
    </row>
    <row r="1633" ht="15.75" customHeight="1">
      <c r="A1633" s="197" t="s">
        <v>66</v>
      </c>
      <c r="B1633" s="197" t="s">
        <v>21</v>
      </c>
      <c r="C1633" s="198" t="s">
        <v>346</v>
      </c>
      <c r="D1633" s="197" t="s">
        <v>347</v>
      </c>
      <c r="E1633" s="199">
        <v>2.0</v>
      </c>
      <c r="F1633" s="200">
        <v>45705.58333333333</v>
      </c>
      <c r="G1633" s="197" t="s">
        <v>845</v>
      </c>
      <c r="H1633" s="197" t="s">
        <v>859</v>
      </c>
    </row>
    <row r="1634" ht="15.75" customHeight="1">
      <c r="A1634" s="197" t="s">
        <v>66</v>
      </c>
      <c r="B1634" s="197" t="s">
        <v>21</v>
      </c>
      <c r="C1634" s="198" t="s">
        <v>346</v>
      </c>
      <c r="D1634" s="197" t="s">
        <v>347</v>
      </c>
      <c r="E1634" s="199">
        <v>3.0</v>
      </c>
      <c r="F1634" s="200">
        <v>45712.58333333333</v>
      </c>
      <c r="G1634" s="197" t="s">
        <v>845</v>
      </c>
      <c r="H1634" s="197" t="s">
        <v>859</v>
      </c>
    </row>
    <row r="1635" ht="15.75" customHeight="1">
      <c r="A1635" s="197" t="s">
        <v>66</v>
      </c>
      <c r="B1635" s="197" t="s">
        <v>21</v>
      </c>
      <c r="C1635" s="198" t="s">
        <v>514</v>
      </c>
      <c r="D1635" s="197" t="s">
        <v>515</v>
      </c>
      <c r="E1635" s="199">
        <v>1.0</v>
      </c>
      <c r="F1635" s="200">
        <v>45693.45833333333</v>
      </c>
      <c r="G1635" s="197" t="s">
        <v>845</v>
      </c>
      <c r="H1635" s="197" t="s">
        <v>859</v>
      </c>
    </row>
    <row r="1636" ht="15.75" customHeight="1">
      <c r="A1636" s="197" t="s">
        <v>66</v>
      </c>
      <c r="B1636" s="197" t="s">
        <v>21</v>
      </c>
      <c r="C1636" s="198" t="s">
        <v>514</v>
      </c>
      <c r="D1636" s="197" t="s">
        <v>515</v>
      </c>
      <c r="E1636" s="199">
        <v>2.0</v>
      </c>
      <c r="F1636" s="200">
        <v>45705.58333333333</v>
      </c>
      <c r="G1636" s="197" t="s">
        <v>845</v>
      </c>
      <c r="H1636" s="197" t="s">
        <v>859</v>
      </c>
    </row>
    <row r="1637" ht="15.75" customHeight="1">
      <c r="A1637" s="197" t="s">
        <v>66</v>
      </c>
      <c r="B1637" s="197" t="s">
        <v>21</v>
      </c>
      <c r="C1637" s="198" t="s">
        <v>514</v>
      </c>
      <c r="D1637" s="197" t="s">
        <v>515</v>
      </c>
      <c r="E1637" s="199">
        <v>3.0</v>
      </c>
      <c r="F1637" s="200">
        <v>45712.58333333333</v>
      </c>
      <c r="G1637" s="197" t="s">
        <v>843</v>
      </c>
      <c r="H1637" s="197" t="s">
        <v>859</v>
      </c>
    </row>
    <row r="1638" ht="15.75" customHeight="1">
      <c r="A1638" s="197" t="s">
        <v>66</v>
      </c>
      <c r="B1638" s="197" t="s">
        <v>21</v>
      </c>
      <c r="C1638" s="198" t="s">
        <v>518</v>
      </c>
      <c r="D1638" s="197" t="s">
        <v>519</v>
      </c>
      <c r="E1638" s="199">
        <v>1.0</v>
      </c>
      <c r="F1638" s="200">
        <v>45693.45833333333</v>
      </c>
      <c r="G1638" s="197" t="s">
        <v>845</v>
      </c>
      <c r="H1638" s="197" t="s">
        <v>859</v>
      </c>
    </row>
    <row r="1639" ht="15.75" customHeight="1">
      <c r="A1639" s="197" t="s">
        <v>66</v>
      </c>
      <c r="B1639" s="197" t="s">
        <v>21</v>
      </c>
      <c r="C1639" s="198" t="s">
        <v>518</v>
      </c>
      <c r="D1639" s="197" t="s">
        <v>519</v>
      </c>
      <c r="E1639" s="199">
        <v>2.0</v>
      </c>
      <c r="F1639" s="200">
        <v>45705.58333333333</v>
      </c>
      <c r="G1639" s="197" t="s">
        <v>845</v>
      </c>
      <c r="H1639" s="197" t="s">
        <v>859</v>
      </c>
    </row>
    <row r="1640" ht="15.75" customHeight="1">
      <c r="A1640" s="197" t="s">
        <v>66</v>
      </c>
      <c r="B1640" s="197" t="s">
        <v>21</v>
      </c>
      <c r="C1640" s="198" t="s">
        <v>518</v>
      </c>
      <c r="D1640" s="197" t="s">
        <v>519</v>
      </c>
      <c r="E1640" s="199">
        <v>3.0</v>
      </c>
      <c r="F1640" s="200">
        <v>45712.58333333333</v>
      </c>
      <c r="G1640" s="197" t="s">
        <v>843</v>
      </c>
      <c r="H1640" s="197" t="s">
        <v>859</v>
      </c>
    </row>
    <row r="1641" ht="15.75" customHeight="1">
      <c r="A1641" s="197" t="s">
        <v>66</v>
      </c>
      <c r="B1641" s="197" t="s">
        <v>21</v>
      </c>
      <c r="C1641" s="198" t="s">
        <v>522</v>
      </c>
      <c r="D1641" s="197" t="s">
        <v>523</v>
      </c>
      <c r="E1641" s="199">
        <v>1.0</v>
      </c>
      <c r="F1641" s="200">
        <v>45693.45833333333</v>
      </c>
      <c r="G1641" s="197" t="s">
        <v>845</v>
      </c>
      <c r="H1641" s="197" t="s">
        <v>859</v>
      </c>
    </row>
    <row r="1642" ht="15.75" customHeight="1">
      <c r="A1642" s="197" t="s">
        <v>66</v>
      </c>
      <c r="B1642" s="197" t="s">
        <v>21</v>
      </c>
      <c r="C1642" s="198" t="s">
        <v>522</v>
      </c>
      <c r="D1642" s="197" t="s">
        <v>523</v>
      </c>
      <c r="E1642" s="199">
        <v>2.0</v>
      </c>
      <c r="F1642" s="200">
        <v>45705.58333333333</v>
      </c>
      <c r="G1642" s="197" t="s">
        <v>845</v>
      </c>
      <c r="H1642" s="197" t="s">
        <v>859</v>
      </c>
    </row>
    <row r="1643" ht="15.75" customHeight="1">
      <c r="A1643" s="197" t="s">
        <v>66</v>
      </c>
      <c r="B1643" s="197" t="s">
        <v>21</v>
      </c>
      <c r="C1643" s="198" t="s">
        <v>522</v>
      </c>
      <c r="D1643" s="197" t="s">
        <v>523</v>
      </c>
      <c r="E1643" s="199">
        <v>3.0</v>
      </c>
      <c r="F1643" s="200">
        <v>45712.58333333333</v>
      </c>
      <c r="G1643" s="197" t="s">
        <v>845</v>
      </c>
      <c r="H1643" s="197" t="s">
        <v>859</v>
      </c>
    </row>
    <row r="1644" ht="15.75" customHeight="1">
      <c r="A1644" s="197" t="s">
        <v>66</v>
      </c>
      <c r="B1644" s="197" t="s">
        <v>21</v>
      </c>
      <c r="C1644" s="198" t="s">
        <v>589</v>
      </c>
      <c r="D1644" s="197" t="s">
        <v>590</v>
      </c>
      <c r="E1644" s="199">
        <v>1.0</v>
      </c>
      <c r="F1644" s="200">
        <v>45693.45833333333</v>
      </c>
      <c r="G1644" s="197" t="s">
        <v>845</v>
      </c>
      <c r="H1644" s="197" t="s">
        <v>859</v>
      </c>
    </row>
    <row r="1645" ht="15.75" customHeight="1">
      <c r="A1645" s="197" t="s">
        <v>66</v>
      </c>
      <c r="B1645" s="197" t="s">
        <v>21</v>
      </c>
      <c r="C1645" s="198" t="s">
        <v>589</v>
      </c>
      <c r="D1645" s="197" t="s">
        <v>590</v>
      </c>
      <c r="E1645" s="199">
        <v>2.0</v>
      </c>
      <c r="F1645" s="200">
        <v>45705.58333333333</v>
      </c>
      <c r="G1645" s="197" t="s">
        <v>845</v>
      </c>
      <c r="H1645" s="197" t="s">
        <v>859</v>
      </c>
    </row>
    <row r="1646" ht="15.75" customHeight="1">
      <c r="A1646" s="197" t="s">
        <v>66</v>
      </c>
      <c r="B1646" s="197" t="s">
        <v>21</v>
      </c>
      <c r="C1646" s="198" t="s">
        <v>589</v>
      </c>
      <c r="D1646" s="197" t="s">
        <v>590</v>
      </c>
      <c r="E1646" s="199">
        <v>3.0</v>
      </c>
      <c r="F1646" s="200">
        <v>45712.58333333333</v>
      </c>
      <c r="G1646" s="197" t="s">
        <v>843</v>
      </c>
      <c r="H1646" s="197" t="s">
        <v>859</v>
      </c>
    </row>
    <row r="1647" ht="15.75" customHeight="1">
      <c r="A1647" s="197" t="s">
        <v>66</v>
      </c>
      <c r="B1647" s="197" t="s">
        <v>21</v>
      </c>
      <c r="C1647" s="198" t="s">
        <v>645</v>
      </c>
      <c r="D1647" s="197" t="s">
        <v>646</v>
      </c>
      <c r="E1647" s="199">
        <v>1.0</v>
      </c>
      <c r="F1647" s="200">
        <v>45693.45833333333</v>
      </c>
      <c r="G1647" s="197" t="s">
        <v>845</v>
      </c>
      <c r="H1647" s="197" t="s">
        <v>859</v>
      </c>
    </row>
    <row r="1648" ht="15.75" customHeight="1">
      <c r="A1648" s="197" t="s">
        <v>66</v>
      </c>
      <c r="B1648" s="197" t="s">
        <v>21</v>
      </c>
      <c r="C1648" s="198" t="s">
        <v>645</v>
      </c>
      <c r="D1648" s="197" t="s">
        <v>646</v>
      </c>
      <c r="E1648" s="199">
        <v>2.0</v>
      </c>
      <c r="F1648" s="200">
        <v>45705.58333333333</v>
      </c>
      <c r="G1648" s="197" t="s">
        <v>845</v>
      </c>
      <c r="H1648" s="197" t="s">
        <v>859</v>
      </c>
    </row>
    <row r="1649" ht="15.75" customHeight="1">
      <c r="A1649" s="197" t="s">
        <v>66</v>
      </c>
      <c r="B1649" s="197" t="s">
        <v>21</v>
      </c>
      <c r="C1649" s="198" t="s">
        <v>645</v>
      </c>
      <c r="D1649" s="197" t="s">
        <v>646</v>
      </c>
      <c r="E1649" s="199">
        <v>3.0</v>
      </c>
      <c r="F1649" s="200">
        <v>45712.58333333333</v>
      </c>
      <c r="G1649" s="197" t="s">
        <v>845</v>
      </c>
      <c r="H1649" s="197" t="s">
        <v>859</v>
      </c>
    </row>
    <row r="1650" ht="15.75" customHeight="1">
      <c r="A1650" s="197" t="s">
        <v>67</v>
      </c>
      <c r="B1650" s="197" t="s">
        <v>21</v>
      </c>
      <c r="C1650" s="198" t="s">
        <v>142</v>
      </c>
      <c r="D1650" s="197" t="s">
        <v>143</v>
      </c>
      <c r="E1650" s="199">
        <v>1.0</v>
      </c>
      <c r="F1650" s="200">
        <v>45639.45833333333</v>
      </c>
      <c r="G1650" s="197" t="s">
        <v>845</v>
      </c>
      <c r="H1650" s="197" t="s">
        <v>860</v>
      </c>
    </row>
    <row r="1651" ht="15.75" customHeight="1">
      <c r="A1651" s="197" t="s">
        <v>67</v>
      </c>
      <c r="B1651" s="197" t="s">
        <v>21</v>
      </c>
      <c r="C1651" s="198" t="s">
        <v>142</v>
      </c>
      <c r="D1651" s="197" t="s">
        <v>143</v>
      </c>
      <c r="E1651" s="199">
        <v>2.0</v>
      </c>
      <c r="F1651" s="200">
        <v>45643.39583333333</v>
      </c>
      <c r="G1651" s="197" t="s">
        <v>845</v>
      </c>
      <c r="H1651" s="197" t="s">
        <v>860</v>
      </c>
    </row>
    <row r="1652" ht="15.75" customHeight="1">
      <c r="A1652" s="197" t="s">
        <v>67</v>
      </c>
      <c r="B1652" s="197" t="s">
        <v>21</v>
      </c>
      <c r="C1652" s="198" t="s">
        <v>142</v>
      </c>
      <c r="D1652" s="197" t="s">
        <v>143</v>
      </c>
      <c r="E1652" s="199">
        <v>3.0</v>
      </c>
      <c r="F1652" s="200">
        <v>45653.41666666667</v>
      </c>
      <c r="G1652" s="197" t="s">
        <v>845</v>
      </c>
      <c r="H1652" s="197" t="s">
        <v>860</v>
      </c>
    </row>
    <row r="1653" ht="15.75" customHeight="1">
      <c r="A1653" s="197" t="s">
        <v>67</v>
      </c>
      <c r="B1653" s="197" t="s">
        <v>21</v>
      </c>
      <c r="C1653" s="198" t="s">
        <v>142</v>
      </c>
      <c r="D1653" s="197" t="s">
        <v>143</v>
      </c>
      <c r="E1653" s="199">
        <v>4.0</v>
      </c>
      <c r="F1653" s="200">
        <v>45667.375</v>
      </c>
      <c r="G1653" s="197" t="s">
        <v>845</v>
      </c>
      <c r="H1653" s="197" t="s">
        <v>860</v>
      </c>
    </row>
    <row r="1654" ht="15.75" customHeight="1">
      <c r="A1654" s="197" t="s">
        <v>67</v>
      </c>
      <c r="B1654" s="197" t="s">
        <v>21</v>
      </c>
      <c r="C1654" s="198" t="s">
        <v>142</v>
      </c>
      <c r="D1654" s="197" t="s">
        <v>143</v>
      </c>
      <c r="E1654" s="199">
        <v>5.0</v>
      </c>
      <c r="F1654" s="200">
        <v>45674.375</v>
      </c>
      <c r="G1654" s="197" t="s">
        <v>845</v>
      </c>
      <c r="H1654" s="197" t="s">
        <v>860</v>
      </c>
    </row>
    <row r="1655" ht="15.75" customHeight="1">
      <c r="A1655" s="197" t="s">
        <v>67</v>
      </c>
      <c r="B1655" s="197" t="s">
        <v>21</v>
      </c>
      <c r="C1655" s="198" t="s">
        <v>142</v>
      </c>
      <c r="D1655" s="197" t="s">
        <v>143</v>
      </c>
      <c r="E1655" s="199">
        <v>6.0</v>
      </c>
      <c r="F1655" s="200">
        <v>45693.58333333333</v>
      </c>
      <c r="G1655" s="197" t="s">
        <v>845</v>
      </c>
      <c r="H1655" s="197" t="s">
        <v>860</v>
      </c>
    </row>
    <row r="1656" ht="15.75" customHeight="1">
      <c r="A1656" s="197" t="s">
        <v>67</v>
      </c>
      <c r="B1656" s="197" t="s">
        <v>21</v>
      </c>
      <c r="C1656" s="198" t="s">
        <v>142</v>
      </c>
      <c r="D1656" s="197" t="s">
        <v>143</v>
      </c>
      <c r="E1656" s="199">
        <v>7.0</v>
      </c>
      <c r="F1656" s="200">
        <v>45698.54166666667</v>
      </c>
      <c r="G1656" s="197" t="s">
        <v>843</v>
      </c>
      <c r="H1656" s="197" t="s">
        <v>860</v>
      </c>
    </row>
    <row r="1657" ht="15.75" customHeight="1">
      <c r="A1657" s="197" t="s">
        <v>67</v>
      </c>
      <c r="B1657" s="197" t="s">
        <v>21</v>
      </c>
      <c r="C1657" s="198" t="s">
        <v>142</v>
      </c>
      <c r="D1657" s="197" t="s">
        <v>143</v>
      </c>
      <c r="E1657" s="199">
        <v>8.0</v>
      </c>
      <c r="F1657" s="200">
        <v>45707.41666666667</v>
      </c>
      <c r="G1657" s="197" t="s">
        <v>845</v>
      </c>
      <c r="H1657" s="197" t="s">
        <v>860</v>
      </c>
    </row>
    <row r="1658" ht="15.75" customHeight="1">
      <c r="A1658" s="197" t="s">
        <v>67</v>
      </c>
      <c r="B1658" s="197" t="s">
        <v>21</v>
      </c>
      <c r="C1658" s="198" t="s">
        <v>142</v>
      </c>
      <c r="D1658" s="197" t="s">
        <v>143</v>
      </c>
      <c r="E1658" s="199">
        <v>9.0</v>
      </c>
      <c r="F1658" s="200">
        <v>45714.41666666667</v>
      </c>
      <c r="G1658" s="197" t="s">
        <v>845</v>
      </c>
      <c r="H1658" s="197" t="s">
        <v>860</v>
      </c>
    </row>
    <row r="1659" ht="15.75" customHeight="1">
      <c r="A1659" s="197" t="s">
        <v>67</v>
      </c>
      <c r="B1659" s="197" t="s">
        <v>21</v>
      </c>
      <c r="C1659" s="198" t="s">
        <v>142</v>
      </c>
      <c r="D1659" s="197" t="s">
        <v>143</v>
      </c>
      <c r="E1659" s="199">
        <v>10.0</v>
      </c>
      <c r="F1659" s="200">
        <v>45769.58333333333</v>
      </c>
      <c r="G1659" s="197" t="s">
        <v>845</v>
      </c>
      <c r="H1659" s="197" t="s">
        <v>860</v>
      </c>
    </row>
    <row r="1660" ht="15.75" customHeight="1">
      <c r="A1660" s="197" t="s">
        <v>67</v>
      </c>
      <c r="B1660" s="197" t="s">
        <v>21</v>
      </c>
      <c r="C1660" s="198" t="s">
        <v>204</v>
      </c>
      <c r="D1660" s="197" t="s">
        <v>205</v>
      </c>
      <c r="E1660" s="199">
        <v>1.0</v>
      </c>
      <c r="F1660" s="200">
        <v>45639.45833333333</v>
      </c>
      <c r="G1660" s="197" t="s">
        <v>845</v>
      </c>
      <c r="H1660" s="197" t="s">
        <v>860</v>
      </c>
    </row>
    <row r="1661" ht="15.75" customHeight="1">
      <c r="A1661" s="197" t="s">
        <v>67</v>
      </c>
      <c r="B1661" s="197" t="s">
        <v>21</v>
      </c>
      <c r="C1661" s="198" t="s">
        <v>204</v>
      </c>
      <c r="D1661" s="197" t="s">
        <v>205</v>
      </c>
      <c r="E1661" s="199">
        <v>2.0</v>
      </c>
      <c r="F1661" s="200">
        <v>45643.39583333333</v>
      </c>
      <c r="G1661" s="197" t="s">
        <v>843</v>
      </c>
      <c r="H1661" s="197" t="s">
        <v>860</v>
      </c>
    </row>
    <row r="1662" ht="15.75" customHeight="1">
      <c r="A1662" s="197" t="s">
        <v>67</v>
      </c>
      <c r="B1662" s="197" t="s">
        <v>21</v>
      </c>
      <c r="C1662" s="198" t="s">
        <v>204</v>
      </c>
      <c r="D1662" s="197" t="s">
        <v>205</v>
      </c>
      <c r="E1662" s="199">
        <v>3.0</v>
      </c>
      <c r="F1662" s="200">
        <v>45653.41666666667</v>
      </c>
      <c r="G1662" s="197" t="s">
        <v>845</v>
      </c>
      <c r="H1662" s="197" t="s">
        <v>860</v>
      </c>
    </row>
    <row r="1663" ht="15.75" customHeight="1">
      <c r="A1663" s="197" t="s">
        <v>67</v>
      </c>
      <c r="B1663" s="197" t="s">
        <v>21</v>
      </c>
      <c r="C1663" s="198" t="s">
        <v>204</v>
      </c>
      <c r="D1663" s="197" t="s">
        <v>205</v>
      </c>
      <c r="E1663" s="199">
        <v>4.0</v>
      </c>
      <c r="F1663" s="200">
        <v>45667.375</v>
      </c>
      <c r="G1663" s="197" t="s">
        <v>843</v>
      </c>
      <c r="H1663" s="197" t="s">
        <v>860</v>
      </c>
    </row>
    <row r="1664" ht="15.75" customHeight="1">
      <c r="A1664" s="197" t="s">
        <v>67</v>
      </c>
      <c r="B1664" s="197" t="s">
        <v>21</v>
      </c>
      <c r="C1664" s="198" t="s">
        <v>204</v>
      </c>
      <c r="D1664" s="197" t="s">
        <v>205</v>
      </c>
      <c r="E1664" s="199">
        <v>5.0</v>
      </c>
      <c r="F1664" s="200">
        <v>45674.375</v>
      </c>
      <c r="G1664" s="197" t="s">
        <v>845</v>
      </c>
      <c r="H1664" s="197" t="s">
        <v>860</v>
      </c>
    </row>
    <row r="1665" ht="15.75" customHeight="1">
      <c r="A1665" s="197" t="s">
        <v>67</v>
      </c>
      <c r="B1665" s="197" t="s">
        <v>21</v>
      </c>
      <c r="C1665" s="198" t="s">
        <v>204</v>
      </c>
      <c r="D1665" s="197" t="s">
        <v>205</v>
      </c>
      <c r="E1665" s="199">
        <v>6.0</v>
      </c>
      <c r="F1665" s="200">
        <v>45693.58333333333</v>
      </c>
      <c r="G1665" s="197" t="s">
        <v>845</v>
      </c>
      <c r="H1665" s="197" t="s">
        <v>860</v>
      </c>
    </row>
    <row r="1666" ht="15.75" customHeight="1">
      <c r="A1666" s="197" t="s">
        <v>67</v>
      </c>
      <c r="B1666" s="197" t="s">
        <v>21</v>
      </c>
      <c r="C1666" s="198" t="s">
        <v>204</v>
      </c>
      <c r="D1666" s="197" t="s">
        <v>205</v>
      </c>
      <c r="E1666" s="199">
        <v>7.0</v>
      </c>
      <c r="F1666" s="200">
        <v>45698.54166666667</v>
      </c>
      <c r="G1666" s="197" t="s">
        <v>845</v>
      </c>
      <c r="H1666" s="197" t="s">
        <v>860</v>
      </c>
    </row>
    <row r="1667" ht="15.75" customHeight="1">
      <c r="A1667" s="197" t="s">
        <v>67</v>
      </c>
      <c r="B1667" s="197" t="s">
        <v>21</v>
      </c>
      <c r="C1667" s="198" t="s">
        <v>204</v>
      </c>
      <c r="D1667" s="197" t="s">
        <v>205</v>
      </c>
      <c r="E1667" s="199">
        <v>8.0</v>
      </c>
      <c r="F1667" s="200">
        <v>45707.41666666667</v>
      </c>
      <c r="G1667" s="197" t="s">
        <v>845</v>
      </c>
      <c r="H1667" s="197" t="s">
        <v>860</v>
      </c>
    </row>
    <row r="1668" ht="15.75" customHeight="1">
      <c r="A1668" s="197" t="s">
        <v>67</v>
      </c>
      <c r="B1668" s="197" t="s">
        <v>21</v>
      </c>
      <c r="C1668" s="198" t="s">
        <v>204</v>
      </c>
      <c r="D1668" s="197" t="s">
        <v>205</v>
      </c>
      <c r="E1668" s="199">
        <v>9.0</v>
      </c>
      <c r="F1668" s="200">
        <v>45714.41666666667</v>
      </c>
      <c r="G1668" s="197" t="s">
        <v>845</v>
      </c>
      <c r="H1668" s="197" t="s">
        <v>860</v>
      </c>
    </row>
    <row r="1669" ht="15.75" customHeight="1">
      <c r="A1669" s="197" t="s">
        <v>67</v>
      </c>
      <c r="B1669" s="197" t="s">
        <v>21</v>
      </c>
      <c r="C1669" s="198" t="s">
        <v>204</v>
      </c>
      <c r="D1669" s="197" t="s">
        <v>205</v>
      </c>
      <c r="E1669" s="199">
        <v>10.0</v>
      </c>
      <c r="F1669" s="200">
        <v>45769.58333333333</v>
      </c>
      <c r="G1669" s="197" t="s">
        <v>845</v>
      </c>
      <c r="H1669" s="197" t="s">
        <v>860</v>
      </c>
    </row>
    <row r="1670" ht="15.75" customHeight="1">
      <c r="A1670" s="197" t="s">
        <v>67</v>
      </c>
      <c r="B1670" s="197" t="s">
        <v>21</v>
      </c>
      <c r="C1670" s="198" t="s">
        <v>222</v>
      </c>
      <c r="D1670" s="197" t="s">
        <v>223</v>
      </c>
      <c r="E1670" s="199">
        <v>1.0</v>
      </c>
      <c r="F1670" s="200">
        <v>45639.45833333333</v>
      </c>
      <c r="G1670" s="197" t="s">
        <v>845</v>
      </c>
      <c r="H1670" s="197" t="s">
        <v>860</v>
      </c>
    </row>
    <row r="1671" ht="15.75" customHeight="1">
      <c r="A1671" s="197" t="s">
        <v>67</v>
      </c>
      <c r="B1671" s="197" t="s">
        <v>21</v>
      </c>
      <c r="C1671" s="198" t="s">
        <v>222</v>
      </c>
      <c r="D1671" s="197" t="s">
        <v>223</v>
      </c>
      <c r="E1671" s="199">
        <v>2.0</v>
      </c>
      <c r="F1671" s="200">
        <v>45643.39583333333</v>
      </c>
      <c r="G1671" s="197" t="s">
        <v>845</v>
      </c>
      <c r="H1671" s="197" t="s">
        <v>860</v>
      </c>
    </row>
    <row r="1672" ht="15.75" customHeight="1">
      <c r="A1672" s="197" t="s">
        <v>67</v>
      </c>
      <c r="B1672" s="197" t="s">
        <v>21</v>
      </c>
      <c r="C1672" s="198" t="s">
        <v>222</v>
      </c>
      <c r="D1672" s="197" t="s">
        <v>223</v>
      </c>
      <c r="E1672" s="199">
        <v>3.0</v>
      </c>
      <c r="F1672" s="200">
        <v>45653.41666666667</v>
      </c>
      <c r="G1672" s="197" t="s">
        <v>845</v>
      </c>
      <c r="H1672" s="197" t="s">
        <v>860</v>
      </c>
    </row>
    <row r="1673" ht="15.75" customHeight="1">
      <c r="A1673" s="197" t="s">
        <v>67</v>
      </c>
      <c r="B1673" s="197" t="s">
        <v>21</v>
      </c>
      <c r="C1673" s="198" t="s">
        <v>222</v>
      </c>
      <c r="D1673" s="197" t="s">
        <v>223</v>
      </c>
      <c r="E1673" s="199">
        <v>4.0</v>
      </c>
      <c r="F1673" s="200">
        <v>45667.375</v>
      </c>
      <c r="G1673" s="197" t="s">
        <v>843</v>
      </c>
      <c r="H1673" s="197" t="s">
        <v>860</v>
      </c>
    </row>
    <row r="1674" ht="15.75" customHeight="1">
      <c r="A1674" s="197" t="s">
        <v>67</v>
      </c>
      <c r="B1674" s="197" t="s">
        <v>21</v>
      </c>
      <c r="C1674" s="198" t="s">
        <v>222</v>
      </c>
      <c r="D1674" s="197" t="s">
        <v>223</v>
      </c>
      <c r="E1674" s="199">
        <v>5.0</v>
      </c>
      <c r="F1674" s="200">
        <v>45674.375</v>
      </c>
      <c r="G1674" s="197" t="s">
        <v>843</v>
      </c>
      <c r="H1674" s="197" t="s">
        <v>860</v>
      </c>
    </row>
    <row r="1675" ht="15.75" customHeight="1">
      <c r="A1675" s="197" t="s">
        <v>67</v>
      </c>
      <c r="B1675" s="197" t="s">
        <v>21</v>
      </c>
      <c r="C1675" s="198" t="s">
        <v>222</v>
      </c>
      <c r="D1675" s="197" t="s">
        <v>223</v>
      </c>
      <c r="E1675" s="199">
        <v>6.0</v>
      </c>
      <c r="F1675" s="200">
        <v>45693.58333333333</v>
      </c>
      <c r="G1675" s="197" t="s">
        <v>845</v>
      </c>
      <c r="H1675" s="197" t="s">
        <v>860</v>
      </c>
    </row>
    <row r="1676" ht="15.75" customHeight="1">
      <c r="A1676" s="197" t="s">
        <v>67</v>
      </c>
      <c r="B1676" s="197" t="s">
        <v>21</v>
      </c>
      <c r="C1676" s="198" t="s">
        <v>222</v>
      </c>
      <c r="D1676" s="197" t="s">
        <v>223</v>
      </c>
      <c r="E1676" s="199">
        <v>7.0</v>
      </c>
      <c r="F1676" s="200">
        <v>45698.54166666667</v>
      </c>
      <c r="G1676" s="197" t="s">
        <v>845</v>
      </c>
      <c r="H1676" s="197" t="s">
        <v>860</v>
      </c>
    </row>
    <row r="1677" ht="15.75" customHeight="1">
      <c r="A1677" s="197" t="s">
        <v>67</v>
      </c>
      <c r="B1677" s="197" t="s">
        <v>21</v>
      </c>
      <c r="C1677" s="198" t="s">
        <v>222</v>
      </c>
      <c r="D1677" s="197" t="s">
        <v>223</v>
      </c>
      <c r="E1677" s="199">
        <v>8.0</v>
      </c>
      <c r="F1677" s="200">
        <v>45707.41666666667</v>
      </c>
      <c r="G1677" s="197" t="s">
        <v>845</v>
      </c>
      <c r="H1677" s="197" t="s">
        <v>860</v>
      </c>
    </row>
    <row r="1678" ht="15.75" customHeight="1">
      <c r="A1678" s="197" t="s">
        <v>67</v>
      </c>
      <c r="B1678" s="197" t="s">
        <v>21</v>
      </c>
      <c r="C1678" s="198" t="s">
        <v>222</v>
      </c>
      <c r="D1678" s="197" t="s">
        <v>223</v>
      </c>
      <c r="E1678" s="199">
        <v>9.0</v>
      </c>
      <c r="F1678" s="200">
        <v>45714.41666666667</v>
      </c>
      <c r="G1678" s="197" t="s">
        <v>845</v>
      </c>
      <c r="H1678" s="197" t="s">
        <v>860</v>
      </c>
    </row>
    <row r="1679" ht="15.75" customHeight="1">
      <c r="A1679" s="197" t="s">
        <v>67</v>
      </c>
      <c r="B1679" s="197" t="s">
        <v>21</v>
      </c>
      <c r="C1679" s="198" t="s">
        <v>222</v>
      </c>
      <c r="D1679" s="197" t="s">
        <v>223</v>
      </c>
      <c r="E1679" s="199">
        <v>10.0</v>
      </c>
      <c r="F1679" s="200">
        <v>45769.58333333333</v>
      </c>
      <c r="G1679" s="197" t="s">
        <v>845</v>
      </c>
      <c r="H1679" s="197" t="s">
        <v>860</v>
      </c>
    </row>
    <row r="1680" ht="15.75" customHeight="1">
      <c r="A1680" s="197" t="s">
        <v>67</v>
      </c>
      <c r="B1680" s="197" t="s">
        <v>21</v>
      </c>
      <c r="C1680" s="198" t="s">
        <v>292</v>
      </c>
      <c r="D1680" s="197" t="s">
        <v>293</v>
      </c>
      <c r="E1680" s="199">
        <v>1.0</v>
      </c>
      <c r="F1680" s="200">
        <v>45639.45833333333</v>
      </c>
      <c r="G1680" s="197" t="s">
        <v>845</v>
      </c>
      <c r="H1680" s="197" t="s">
        <v>860</v>
      </c>
    </row>
    <row r="1681" ht="15.75" customHeight="1">
      <c r="A1681" s="197" t="s">
        <v>67</v>
      </c>
      <c r="B1681" s="197" t="s">
        <v>21</v>
      </c>
      <c r="C1681" s="198" t="s">
        <v>292</v>
      </c>
      <c r="D1681" s="197" t="s">
        <v>293</v>
      </c>
      <c r="E1681" s="199">
        <v>2.0</v>
      </c>
      <c r="F1681" s="200">
        <v>45643.39583333333</v>
      </c>
      <c r="G1681" s="197" t="s">
        <v>843</v>
      </c>
      <c r="H1681" s="197" t="s">
        <v>860</v>
      </c>
    </row>
    <row r="1682" ht="15.75" customHeight="1">
      <c r="A1682" s="197" t="s">
        <v>67</v>
      </c>
      <c r="B1682" s="197" t="s">
        <v>21</v>
      </c>
      <c r="C1682" s="198" t="s">
        <v>292</v>
      </c>
      <c r="D1682" s="197" t="s">
        <v>293</v>
      </c>
      <c r="E1682" s="199">
        <v>3.0</v>
      </c>
      <c r="F1682" s="200">
        <v>45653.41666666667</v>
      </c>
      <c r="G1682" s="197" t="s">
        <v>843</v>
      </c>
      <c r="H1682" s="197" t="s">
        <v>860</v>
      </c>
    </row>
    <row r="1683" ht="15.75" customHeight="1">
      <c r="A1683" s="197" t="s">
        <v>67</v>
      </c>
      <c r="B1683" s="197" t="s">
        <v>21</v>
      </c>
      <c r="C1683" s="198" t="s">
        <v>292</v>
      </c>
      <c r="D1683" s="197" t="s">
        <v>293</v>
      </c>
      <c r="E1683" s="199">
        <v>4.0</v>
      </c>
      <c r="F1683" s="200">
        <v>45667.375</v>
      </c>
      <c r="G1683" s="197" t="s">
        <v>845</v>
      </c>
      <c r="H1683" s="197" t="s">
        <v>860</v>
      </c>
    </row>
    <row r="1684" ht="15.75" customHeight="1">
      <c r="A1684" s="197" t="s">
        <v>67</v>
      </c>
      <c r="B1684" s="197" t="s">
        <v>21</v>
      </c>
      <c r="C1684" s="198" t="s">
        <v>292</v>
      </c>
      <c r="D1684" s="197" t="s">
        <v>293</v>
      </c>
      <c r="E1684" s="199">
        <v>5.0</v>
      </c>
      <c r="F1684" s="200">
        <v>45674.375</v>
      </c>
      <c r="G1684" s="197" t="s">
        <v>845</v>
      </c>
      <c r="H1684" s="197" t="s">
        <v>860</v>
      </c>
    </row>
    <row r="1685" ht="15.75" customHeight="1">
      <c r="A1685" s="197" t="s">
        <v>67</v>
      </c>
      <c r="B1685" s="197" t="s">
        <v>21</v>
      </c>
      <c r="C1685" s="198" t="s">
        <v>292</v>
      </c>
      <c r="D1685" s="197" t="s">
        <v>293</v>
      </c>
      <c r="E1685" s="199">
        <v>6.0</v>
      </c>
      <c r="F1685" s="200">
        <v>45693.58333333333</v>
      </c>
      <c r="G1685" s="197" t="s">
        <v>845</v>
      </c>
      <c r="H1685" s="197" t="s">
        <v>860</v>
      </c>
    </row>
    <row r="1686" ht="15.75" customHeight="1">
      <c r="A1686" s="197" t="s">
        <v>67</v>
      </c>
      <c r="B1686" s="197" t="s">
        <v>21</v>
      </c>
      <c r="C1686" s="198" t="s">
        <v>292</v>
      </c>
      <c r="D1686" s="197" t="s">
        <v>293</v>
      </c>
      <c r="E1686" s="199">
        <v>7.0</v>
      </c>
      <c r="F1686" s="200">
        <v>45698.54166666667</v>
      </c>
      <c r="G1686" s="197" t="s">
        <v>845</v>
      </c>
      <c r="H1686" s="197" t="s">
        <v>860</v>
      </c>
    </row>
    <row r="1687" ht="15.75" customHeight="1">
      <c r="A1687" s="197" t="s">
        <v>67</v>
      </c>
      <c r="B1687" s="197" t="s">
        <v>21</v>
      </c>
      <c r="C1687" s="198" t="s">
        <v>292</v>
      </c>
      <c r="D1687" s="197" t="s">
        <v>293</v>
      </c>
      <c r="E1687" s="199">
        <v>8.0</v>
      </c>
      <c r="F1687" s="200">
        <v>45707.41666666667</v>
      </c>
      <c r="G1687" s="197" t="s">
        <v>845</v>
      </c>
      <c r="H1687" s="197" t="s">
        <v>860</v>
      </c>
    </row>
    <row r="1688" ht="15.75" customHeight="1">
      <c r="A1688" s="197" t="s">
        <v>67</v>
      </c>
      <c r="B1688" s="197" t="s">
        <v>21</v>
      </c>
      <c r="C1688" s="198" t="s">
        <v>292</v>
      </c>
      <c r="D1688" s="197" t="s">
        <v>293</v>
      </c>
      <c r="E1688" s="199">
        <v>9.0</v>
      </c>
      <c r="F1688" s="200">
        <v>45714.41666666667</v>
      </c>
      <c r="G1688" s="197" t="s">
        <v>843</v>
      </c>
      <c r="H1688" s="197" t="s">
        <v>860</v>
      </c>
    </row>
    <row r="1689" ht="15.75" customHeight="1">
      <c r="A1689" s="197" t="s">
        <v>67</v>
      </c>
      <c r="B1689" s="197" t="s">
        <v>21</v>
      </c>
      <c r="C1689" s="198" t="s">
        <v>292</v>
      </c>
      <c r="D1689" s="197" t="s">
        <v>293</v>
      </c>
      <c r="E1689" s="199">
        <v>10.0</v>
      </c>
      <c r="F1689" s="200">
        <v>45769.58333333333</v>
      </c>
      <c r="G1689" s="197" t="s">
        <v>845</v>
      </c>
      <c r="H1689" s="197" t="s">
        <v>860</v>
      </c>
    </row>
    <row r="1690" ht="15.75" customHeight="1">
      <c r="A1690" s="197" t="s">
        <v>67</v>
      </c>
      <c r="B1690" s="197" t="s">
        <v>21</v>
      </c>
      <c r="C1690" s="198" t="s">
        <v>348</v>
      </c>
      <c r="D1690" s="197" t="s">
        <v>349</v>
      </c>
      <c r="E1690" s="199">
        <v>1.0</v>
      </c>
      <c r="F1690" s="200">
        <v>45639.45833333333</v>
      </c>
      <c r="G1690" s="197" t="s">
        <v>845</v>
      </c>
      <c r="H1690" s="197" t="s">
        <v>860</v>
      </c>
    </row>
    <row r="1691" ht="15.75" customHeight="1">
      <c r="A1691" s="197" t="s">
        <v>67</v>
      </c>
      <c r="B1691" s="197" t="s">
        <v>21</v>
      </c>
      <c r="C1691" s="198" t="s">
        <v>348</v>
      </c>
      <c r="D1691" s="197" t="s">
        <v>349</v>
      </c>
      <c r="E1691" s="199">
        <v>2.0</v>
      </c>
      <c r="F1691" s="200">
        <v>45643.39583333333</v>
      </c>
      <c r="G1691" s="197" t="s">
        <v>845</v>
      </c>
      <c r="H1691" s="197" t="s">
        <v>860</v>
      </c>
    </row>
    <row r="1692" ht="15.75" customHeight="1">
      <c r="A1692" s="197" t="s">
        <v>67</v>
      </c>
      <c r="B1692" s="197" t="s">
        <v>21</v>
      </c>
      <c r="C1692" s="198" t="s">
        <v>348</v>
      </c>
      <c r="D1692" s="197" t="s">
        <v>349</v>
      </c>
      <c r="E1692" s="199">
        <v>3.0</v>
      </c>
      <c r="F1692" s="200">
        <v>45653.41666666667</v>
      </c>
      <c r="G1692" s="197" t="s">
        <v>845</v>
      </c>
      <c r="H1692" s="197" t="s">
        <v>860</v>
      </c>
    </row>
    <row r="1693" ht="15.75" customHeight="1">
      <c r="A1693" s="197" t="s">
        <v>67</v>
      </c>
      <c r="B1693" s="197" t="s">
        <v>21</v>
      </c>
      <c r="C1693" s="198" t="s">
        <v>348</v>
      </c>
      <c r="D1693" s="197" t="s">
        <v>349</v>
      </c>
      <c r="E1693" s="199">
        <v>4.0</v>
      </c>
      <c r="F1693" s="200">
        <v>45667.375</v>
      </c>
      <c r="G1693" s="197" t="s">
        <v>845</v>
      </c>
      <c r="H1693" s="197" t="s">
        <v>860</v>
      </c>
    </row>
    <row r="1694" ht="15.75" customHeight="1">
      <c r="A1694" s="197" t="s">
        <v>67</v>
      </c>
      <c r="B1694" s="197" t="s">
        <v>21</v>
      </c>
      <c r="C1694" s="198" t="s">
        <v>348</v>
      </c>
      <c r="D1694" s="197" t="s">
        <v>349</v>
      </c>
      <c r="E1694" s="199">
        <v>5.0</v>
      </c>
      <c r="F1694" s="200">
        <v>45674.375</v>
      </c>
      <c r="G1694" s="197" t="s">
        <v>845</v>
      </c>
      <c r="H1694" s="197" t="s">
        <v>860</v>
      </c>
    </row>
    <row r="1695" ht="15.75" customHeight="1">
      <c r="A1695" s="197" t="s">
        <v>67</v>
      </c>
      <c r="B1695" s="197" t="s">
        <v>21</v>
      </c>
      <c r="C1695" s="198" t="s">
        <v>348</v>
      </c>
      <c r="D1695" s="197" t="s">
        <v>349</v>
      </c>
      <c r="E1695" s="199">
        <v>6.0</v>
      </c>
      <c r="F1695" s="200">
        <v>45693.58333333333</v>
      </c>
      <c r="G1695" s="197" t="s">
        <v>845</v>
      </c>
      <c r="H1695" s="197" t="s">
        <v>860</v>
      </c>
    </row>
    <row r="1696" ht="15.75" customHeight="1">
      <c r="A1696" s="197" t="s">
        <v>67</v>
      </c>
      <c r="B1696" s="197" t="s">
        <v>21</v>
      </c>
      <c r="C1696" s="198" t="s">
        <v>348</v>
      </c>
      <c r="D1696" s="197" t="s">
        <v>349</v>
      </c>
      <c r="E1696" s="199">
        <v>7.0</v>
      </c>
      <c r="F1696" s="200">
        <v>45698.54166666667</v>
      </c>
      <c r="G1696" s="197" t="s">
        <v>845</v>
      </c>
      <c r="H1696" s="197" t="s">
        <v>860</v>
      </c>
    </row>
    <row r="1697" ht="15.75" customHeight="1">
      <c r="A1697" s="197" t="s">
        <v>67</v>
      </c>
      <c r="B1697" s="197" t="s">
        <v>21</v>
      </c>
      <c r="C1697" s="198" t="s">
        <v>348</v>
      </c>
      <c r="D1697" s="197" t="s">
        <v>349</v>
      </c>
      <c r="E1697" s="199">
        <v>8.0</v>
      </c>
      <c r="F1697" s="200">
        <v>45707.41666666667</v>
      </c>
      <c r="G1697" s="197" t="s">
        <v>845</v>
      </c>
      <c r="H1697" s="197" t="s">
        <v>860</v>
      </c>
    </row>
    <row r="1698" ht="15.75" customHeight="1">
      <c r="A1698" s="197" t="s">
        <v>67</v>
      </c>
      <c r="B1698" s="197" t="s">
        <v>21</v>
      </c>
      <c r="C1698" s="198" t="s">
        <v>348</v>
      </c>
      <c r="D1698" s="197" t="s">
        <v>349</v>
      </c>
      <c r="E1698" s="199">
        <v>9.0</v>
      </c>
      <c r="F1698" s="200">
        <v>45714.41666666667</v>
      </c>
      <c r="G1698" s="197" t="s">
        <v>845</v>
      </c>
      <c r="H1698" s="197" t="s">
        <v>860</v>
      </c>
    </row>
    <row r="1699" ht="15.75" customHeight="1">
      <c r="A1699" s="197" t="s">
        <v>67</v>
      </c>
      <c r="B1699" s="197" t="s">
        <v>21</v>
      </c>
      <c r="C1699" s="198" t="s">
        <v>348</v>
      </c>
      <c r="D1699" s="197" t="s">
        <v>349</v>
      </c>
      <c r="E1699" s="199">
        <v>10.0</v>
      </c>
      <c r="F1699" s="200">
        <v>45769.58333333333</v>
      </c>
      <c r="G1699" s="197" t="s">
        <v>845</v>
      </c>
      <c r="H1699" s="197" t="s">
        <v>860</v>
      </c>
    </row>
    <row r="1700" ht="15.75" customHeight="1">
      <c r="A1700" s="197" t="s">
        <v>67</v>
      </c>
      <c r="B1700" s="197" t="s">
        <v>21</v>
      </c>
      <c r="C1700" s="198" t="s">
        <v>480</v>
      </c>
      <c r="D1700" s="197" t="s">
        <v>481</v>
      </c>
      <c r="E1700" s="199">
        <v>1.0</v>
      </c>
      <c r="F1700" s="200">
        <v>45639.45833333333</v>
      </c>
      <c r="G1700" s="197" t="s">
        <v>845</v>
      </c>
      <c r="H1700" s="197" t="s">
        <v>860</v>
      </c>
    </row>
    <row r="1701" ht="15.75" customHeight="1">
      <c r="A1701" s="197" t="s">
        <v>67</v>
      </c>
      <c r="B1701" s="197" t="s">
        <v>21</v>
      </c>
      <c r="C1701" s="198" t="s">
        <v>480</v>
      </c>
      <c r="D1701" s="197" t="s">
        <v>481</v>
      </c>
      <c r="E1701" s="199">
        <v>2.0</v>
      </c>
      <c r="F1701" s="200">
        <v>45643.39583333333</v>
      </c>
      <c r="G1701" s="197" t="s">
        <v>845</v>
      </c>
      <c r="H1701" s="197" t="s">
        <v>860</v>
      </c>
    </row>
    <row r="1702" ht="15.75" customHeight="1">
      <c r="A1702" s="197" t="s">
        <v>67</v>
      </c>
      <c r="B1702" s="197" t="s">
        <v>21</v>
      </c>
      <c r="C1702" s="198" t="s">
        <v>480</v>
      </c>
      <c r="D1702" s="197" t="s">
        <v>481</v>
      </c>
      <c r="E1702" s="199">
        <v>3.0</v>
      </c>
      <c r="F1702" s="200">
        <v>45653.41666666667</v>
      </c>
      <c r="G1702" s="197" t="s">
        <v>845</v>
      </c>
      <c r="H1702" s="197" t="s">
        <v>860</v>
      </c>
    </row>
    <row r="1703" ht="15.75" customHeight="1">
      <c r="A1703" s="197" t="s">
        <v>67</v>
      </c>
      <c r="B1703" s="197" t="s">
        <v>21</v>
      </c>
      <c r="C1703" s="198" t="s">
        <v>480</v>
      </c>
      <c r="D1703" s="197" t="s">
        <v>481</v>
      </c>
      <c r="E1703" s="199">
        <v>4.0</v>
      </c>
      <c r="F1703" s="200">
        <v>45667.375</v>
      </c>
      <c r="G1703" s="197" t="s">
        <v>845</v>
      </c>
      <c r="H1703" s="197" t="s">
        <v>860</v>
      </c>
    </row>
    <row r="1704" ht="15.75" customHeight="1">
      <c r="A1704" s="197" t="s">
        <v>67</v>
      </c>
      <c r="B1704" s="197" t="s">
        <v>21</v>
      </c>
      <c r="C1704" s="198" t="s">
        <v>480</v>
      </c>
      <c r="D1704" s="197" t="s">
        <v>481</v>
      </c>
      <c r="E1704" s="199">
        <v>5.0</v>
      </c>
      <c r="F1704" s="200">
        <v>45674.375</v>
      </c>
      <c r="G1704" s="197" t="s">
        <v>845</v>
      </c>
      <c r="H1704" s="197" t="s">
        <v>860</v>
      </c>
    </row>
    <row r="1705" ht="15.75" customHeight="1">
      <c r="A1705" s="197" t="s">
        <v>67</v>
      </c>
      <c r="B1705" s="197" t="s">
        <v>21</v>
      </c>
      <c r="C1705" s="198" t="s">
        <v>480</v>
      </c>
      <c r="D1705" s="197" t="s">
        <v>481</v>
      </c>
      <c r="E1705" s="199">
        <v>6.0</v>
      </c>
      <c r="F1705" s="200">
        <v>45693.58333333333</v>
      </c>
      <c r="G1705" s="197" t="s">
        <v>845</v>
      </c>
      <c r="H1705" s="197" t="s">
        <v>860</v>
      </c>
    </row>
    <row r="1706" ht="15.75" customHeight="1">
      <c r="A1706" s="197" t="s">
        <v>67</v>
      </c>
      <c r="B1706" s="197" t="s">
        <v>21</v>
      </c>
      <c r="C1706" s="198" t="s">
        <v>480</v>
      </c>
      <c r="D1706" s="197" t="s">
        <v>481</v>
      </c>
      <c r="E1706" s="199">
        <v>7.0</v>
      </c>
      <c r="F1706" s="200">
        <v>45698.54166666667</v>
      </c>
      <c r="G1706" s="197" t="s">
        <v>845</v>
      </c>
      <c r="H1706" s="197" t="s">
        <v>860</v>
      </c>
    </row>
    <row r="1707" ht="15.75" customHeight="1">
      <c r="A1707" s="197" t="s">
        <v>67</v>
      </c>
      <c r="B1707" s="197" t="s">
        <v>21</v>
      </c>
      <c r="C1707" s="198" t="s">
        <v>480</v>
      </c>
      <c r="D1707" s="197" t="s">
        <v>481</v>
      </c>
      <c r="E1707" s="199">
        <v>8.0</v>
      </c>
      <c r="F1707" s="200">
        <v>45707.41666666667</v>
      </c>
      <c r="G1707" s="197" t="s">
        <v>845</v>
      </c>
      <c r="H1707" s="197" t="s">
        <v>860</v>
      </c>
    </row>
    <row r="1708" ht="15.75" customHeight="1">
      <c r="A1708" s="197" t="s">
        <v>67</v>
      </c>
      <c r="B1708" s="197" t="s">
        <v>21</v>
      </c>
      <c r="C1708" s="198" t="s">
        <v>480</v>
      </c>
      <c r="D1708" s="197" t="s">
        <v>481</v>
      </c>
      <c r="E1708" s="199">
        <v>9.0</v>
      </c>
      <c r="F1708" s="200">
        <v>45714.41666666667</v>
      </c>
      <c r="G1708" s="197" t="s">
        <v>845</v>
      </c>
      <c r="H1708" s="197" t="s">
        <v>860</v>
      </c>
    </row>
    <row r="1709" ht="15.75" customHeight="1">
      <c r="A1709" s="197" t="s">
        <v>67</v>
      </c>
      <c r="B1709" s="197" t="s">
        <v>21</v>
      </c>
      <c r="C1709" s="198" t="s">
        <v>480</v>
      </c>
      <c r="D1709" s="197" t="s">
        <v>481</v>
      </c>
      <c r="E1709" s="199">
        <v>10.0</v>
      </c>
      <c r="F1709" s="200">
        <v>45769.58333333333</v>
      </c>
      <c r="G1709" s="197" t="s">
        <v>845</v>
      </c>
      <c r="H1709" s="197" t="s">
        <v>860</v>
      </c>
    </row>
    <row r="1710" ht="15.75" customHeight="1">
      <c r="A1710" s="197" t="s">
        <v>67</v>
      </c>
      <c r="B1710" s="197" t="s">
        <v>21</v>
      </c>
      <c r="C1710" s="198" t="s">
        <v>564</v>
      </c>
      <c r="D1710" s="197" t="s">
        <v>565</v>
      </c>
      <c r="E1710" s="199">
        <v>1.0</v>
      </c>
      <c r="F1710" s="200">
        <v>45639.45833333333</v>
      </c>
      <c r="G1710" s="197" t="s">
        <v>845</v>
      </c>
      <c r="H1710" s="197" t="s">
        <v>860</v>
      </c>
    </row>
    <row r="1711" ht="15.75" customHeight="1">
      <c r="A1711" s="197" t="s">
        <v>67</v>
      </c>
      <c r="B1711" s="197" t="s">
        <v>21</v>
      </c>
      <c r="C1711" s="198" t="s">
        <v>564</v>
      </c>
      <c r="D1711" s="197" t="s">
        <v>565</v>
      </c>
      <c r="E1711" s="199">
        <v>2.0</v>
      </c>
      <c r="F1711" s="200">
        <v>45643.39583333333</v>
      </c>
      <c r="G1711" s="197" t="s">
        <v>845</v>
      </c>
      <c r="H1711" s="197" t="s">
        <v>860</v>
      </c>
    </row>
    <row r="1712" ht="15.75" customHeight="1">
      <c r="A1712" s="197" t="s">
        <v>67</v>
      </c>
      <c r="B1712" s="197" t="s">
        <v>21</v>
      </c>
      <c r="C1712" s="198" t="s">
        <v>564</v>
      </c>
      <c r="D1712" s="197" t="s">
        <v>565</v>
      </c>
      <c r="E1712" s="199">
        <v>3.0</v>
      </c>
      <c r="F1712" s="200">
        <v>45653.41666666667</v>
      </c>
      <c r="G1712" s="197" t="s">
        <v>845</v>
      </c>
      <c r="H1712" s="197" t="s">
        <v>860</v>
      </c>
    </row>
    <row r="1713" ht="15.75" customHeight="1">
      <c r="A1713" s="197" t="s">
        <v>67</v>
      </c>
      <c r="B1713" s="197" t="s">
        <v>21</v>
      </c>
      <c r="C1713" s="198" t="s">
        <v>564</v>
      </c>
      <c r="D1713" s="197" t="s">
        <v>565</v>
      </c>
      <c r="E1713" s="199">
        <v>4.0</v>
      </c>
      <c r="F1713" s="200">
        <v>45667.375</v>
      </c>
      <c r="G1713" s="197" t="s">
        <v>843</v>
      </c>
      <c r="H1713" s="197" t="s">
        <v>860</v>
      </c>
    </row>
    <row r="1714" ht="15.75" customHeight="1">
      <c r="A1714" s="197" t="s">
        <v>67</v>
      </c>
      <c r="B1714" s="197" t="s">
        <v>21</v>
      </c>
      <c r="C1714" s="198" t="s">
        <v>564</v>
      </c>
      <c r="D1714" s="197" t="s">
        <v>565</v>
      </c>
      <c r="E1714" s="199">
        <v>5.0</v>
      </c>
      <c r="F1714" s="200">
        <v>45674.375</v>
      </c>
      <c r="G1714" s="197" t="s">
        <v>843</v>
      </c>
      <c r="H1714" s="197" t="s">
        <v>860</v>
      </c>
    </row>
    <row r="1715" ht="15.75" customHeight="1">
      <c r="A1715" s="197" t="s">
        <v>67</v>
      </c>
      <c r="B1715" s="197" t="s">
        <v>21</v>
      </c>
      <c r="C1715" s="198" t="s">
        <v>564</v>
      </c>
      <c r="D1715" s="197" t="s">
        <v>565</v>
      </c>
      <c r="E1715" s="199">
        <v>6.0</v>
      </c>
      <c r="F1715" s="200">
        <v>45693.58333333333</v>
      </c>
      <c r="G1715" s="197" t="s">
        <v>843</v>
      </c>
      <c r="H1715" s="197" t="s">
        <v>860</v>
      </c>
    </row>
    <row r="1716" ht="15.75" customHeight="1">
      <c r="A1716" s="197" t="s">
        <v>67</v>
      </c>
      <c r="B1716" s="197" t="s">
        <v>21</v>
      </c>
      <c r="C1716" s="198" t="s">
        <v>564</v>
      </c>
      <c r="D1716" s="197" t="s">
        <v>565</v>
      </c>
      <c r="E1716" s="199">
        <v>7.0</v>
      </c>
      <c r="F1716" s="200">
        <v>45698.54166666667</v>
      </c>
      <c r="G1716" s="197" t="s">
        <v>843</v>
      </c>
      <c r="H1716" s="197" t="s">
        <v>860</v>
      </c>
    </row>
    <row r="1717" ht="15.75" customHeight="1">
      <c r="A1717" s="197" t="s">
        <v>67</v>
      </c>
      <c r="B1717" s="197" t="s">
        <v>21</v>
      </c>
      <c r="C1717" s="198" t="s">
        <v>564</v>
      </c>
      <c r="D1717" s="197" t="s">
        <v>565</v>
      </c>
      <c r="E1717" s="199">
        <v>8.0</v>
      </c>
      <c r="F1717" s="200">
        <v>45707.41666666667</v>
      </c>
      <c r="G1717" s="197" t="s">
        <v>843</v>
      </c>
      <c r="H1717" s="197" t="s">
        <v>860</v>
      </c>
    </row>
    <row r="1718" ht="15.75" customHeight="1">
      <c r="A1718" s="197" t="s">
        <v>67</v>
      </c>
      <c r="B1718" s="197" t="s">
        <v>21</v>
      </c>
      <c r="C1718" s="198" t="s">
        <v>564</v>
      </c>
      <c r="D1718" s="197" t="s">
        <v>565</v>
      </c>
      <c r="E1718" s="199">
        <v>9.0</v>
      </c>
      <c r="F1718" s="200">
        <v>45714.41666666667</v>
      </c>
      <c r="G1718" s="197" t="s">
        <v>843</v>
      </c>
      <c r="H1718" s="197" t="s">
        <v>860</v>
      </c>
    </row>
    <row r="1719" ht="15.75" customHeight="1">
      <c r="A1719" s="197" t="s">
        <v>67</v>
      </c>
      <c r="B1719" s="197" t="s">
        <v>21</v>
      </c>
      <c r="C1719" s="198" t="s">
        <v>564</v>
      </c>
      <c r="D1719" s="197" t="s">
        <v>565</v>
      </c>
      <c r="E1719" s="199">
        <v>10.0</v>
      </c>
      <c r="F1719" s="200">
        <v>45769.58333333333</v>
      </c>
      <c r="G1719" s="197" t="s">
        <v>843</v>
      </c>
      <c r="H1719" s="197" t="s">
        <v>860</v>
      </c>
    </row>
    <row r="1720" ht="15.75" customHeight="1">
      <c r="A1720" s="197" t="s">
        <v>67</v>
      </c>
      <c r="B1720" s="197" t="s">
        <v>21</v>
      </c>
      <c r="C1720" s="198" t="s">
        <v>647</v>
      </c>
      <c r="D1720" s="197" t="s">
        <v>648</v>
      </c>
      <c r="E1720" s="199">
        <v>1.0</v>
      </c>
      <c r="F1720" s="200">
        <v>45639.45833333333</v>
      </c>
      <c r="G1720" s="197" t="s">
        <v>845</v>
      </c>
      <c r="H1720" s="197" t="s">
        <v>860</v>
      </c>
    </row>
    <row r="1721" ht="15.75" customHeight="1">
      <c r="A1721" s="197" t="s">
        <v>67</v>
      </c>
      <c r="B1721" s="197" t="s">
        <v>21</v>
      </c>
      <c r="C1721" s="198" t="s">
        <v>647</v>
      </c>
      <c r="D1721" s="197" t="s">
        <v>648</v>
      </c>
      <c r="E1721" s="199">
        <v>2.0</v>
      </c>
      <c r="F1721" s="200">
        <v>45643.39583333333</v>
      </c>
      <c r="G1721" s="197" t="s">
        <v>845</v>
      </c>
      <c r="H1721" s="197" t="s">
        <v>860</v>
      </c>
    </row>
    <row r="1722" ht="15.75" customHeight="1">
      <c r="A1722" s="197" t="s">
        <v>67</v>
      </c>
      <c r="B1722" s="197" t="s">
        <v>21</v>
      </c>
      <c r="C1722" s="198" t="s">
        <v>647</v>
      </c>
      <c r="D1722" s="197" t="s">
        <v>648</v>
      </c>
      <c r="E1722" s="199">
        <v>3.0</v>
      </c>
      <c r="F1722" s="200">
        <v>45653.41666666667</v>
      </c>
      <c r="G1722" s="197" t="s">
        <v>845</v>
      </c>
      <c r="H1722" s="197" t="s">
        <v>860</v>
      </c>
    </row>
    <row r="1723" ht="15.75" customHeight="1">
      <c r="A1723" s="197" t="s">
        <v>67</v>
      </c>
      <c r="B1723" s="197" t="s">
        <v>21</v>
      </c>
      <c r="C1723" s="198" t="s">
        <v>647</v>
      </c>
      <c r="D1723" s="197" t="s">
        <v>648</v>
      </c>
      <c r="E1723" s="199">
        <v>4.0</v>
      </c>
      <c r="F1723" s="200">
        <v>45667.375</v>
      </c>
      <c r="G1723" s="197" t="s">
        <v>845</v>
      </c>
      <c r="H1723" s="197" t="s">
        <v>860</v>
      </c>
    </row>
    <row r="1724" ht="15.75" customHeight="1">
      <c r="A1724" s="197" t="s">
        <v>67</v>
      </c>
      <c r="B1724" s="197" t="s">
        <v>21</v>
      </c>
      <c r="C1724" s="198" t="s">
        <v>647</v>
      </c>
      <c r="D1724" s="197" t="s">
        <v>648</v>
      </c>
      <c r="E1724" s="199">
        <v>5.0</v>
      </c>
      <c r="F1724" s="200">
        <v>45674.375</v>
      </c>
      <c r="G1724" s="197" t="s">
        <v>845</v>
      </c>
      <c r="H1724" s="197" t="s">
        <v>860</v>
      </c>
    </row>
    <row r="1725" ht="15.75" customHeight="1">
      <c r="A1725" s="197" t="s">
        <v>67</v>
      </c>
      <c r="B1725" s="197" t="s">
        <v>21</v>
      </c>
      <c r="C1725" s="198" t="s">
        <v>647</v>
      </c>
      <c r="D1725" s="197" t="s">
        <v>648</v>
      </c>
      <c r="E1725" s="199">
        <v>6.0</v>
      </c>
      <c r="F1725" s="200">
        <v>45693.58333333333</v>
      </c>
      <c r="G1725" s="197" t="s">
        <v>843</v>
      </c>
      <c r="H1725" s="197" t="s">
        <v>860</v>
      </c>
    </row>
    <row r="1726" ht="15.75" customHeight="1">
      <c r="A1726" s="197" t="s">
        <v>67</v>
      </c>
      <c r="B1726" s="197" t="s">
        <v>21</v>
      </c>
      <c r="C1726" s="198" t="s">
        <v>647</v>
      </c>
      <c r="D1726" s="197" t="s">
        <v>648</v>
      </c>
      <c r="E1726" s="199">
        <v>7.0</v>
      </c>
      <c r="F1726" s="200">
        <v>45698.54166666667</v>
      </c>
      <c r="G1726" s="197" t="s">
        <v>845</v>
      </c>
      <c r="H1726" s="197" t="s">
        <v>860</v>
      </c>
    </row>
    <row r="1727" ht="15.75" customHeight="1">
      <c r="A1727" s="197" t="s">
        <v>67</v>
      </c>
      <c r="B1727" s="197" t="s">
        <v>21</v>
      </c>
      <c r="C1727" s="198" t="s">
        <v>647</v>
      </c>
      <c r="D1727" s="197" t="s">
        <v>648</v>
      </c>
      <c r="E1727" s="199">
        <v>8.0</v>
      </c>
      <c r="F1727" s="200">
        <v>45707.41666666667</v>
      </c>
      <c r="G1727" s="197" t="s">
        <v>843</v>
      </c>
      <c r="H1727" s="197" t="s">
        <v>860</v>
      </c>
    </row>
    <row r="1728" ht="15.75" customHeight="1">
      <c r="A1728" s="197" t="s">
        <v>67</v>
      </c>
      <c r="B1728" s="197" t="s">
        <v>21</v>
      </c>
      <c r="C1728" s="198" t="s">
        <v>647</v>
      </c>
      <c r="D1728" s="197" t="s">
        <v>648</v>
      </c>
      <c r="E1728" s="199">
        <v>9.0</v>
      </c>
      <c r="F1728" s="200">
        <v>45714.41666666667</v>
      </c>
      <c r="G1728" s="197" t="s">
        <v>843</v>
      </c>
      <c r="H1728" s="197" t="s">
        <v>860</v>
      </c>
    </row>
    <row r="1729" ht="15.75" customHeight="1">
      <c r="A1729" s="197" t="s">
        <v>67</v>
      </c>
      <c r="B1729" s="197" t="s">
        <v>21</v>
      </c>
      <c r="C1729" s="198" t="s">
        <v>647</v>
      </c>
      <c r="D1729" s="197" t="s">
        <v>648</v>
      </c>
      <c r="E1729" s="199">
        <v>10.0</v>
      </c>
      <c r="F1729" s="200">
        <v>45769.58333333333</v>
      </c>
      <c r="G1729" s="197" t="s">
        <v>843</v>
      </c>
      <c r="H1729" s="197" t="s">
        <v>860</v>
      </c>
    </row>
    <row r="1730" ht="15.75" customHeight="1">
      <c r="A1730" s="197" t="s">
        <v>68</v>
      </c>
      <c r="B1730" s="197" t="s">
        <v>21</v>
      </c>
      <c r="C1730" s="198" t="s">
        <v>218</v>
      </c>
      <c r="D1730" s="197" t="s">
        <v>219</v>
      </c>
      <c r="E1730" s="199">
        <v>1.0</v>
      </c>
      <c r="F1730" s="200">
        <v>45645.41666666667</v>
      </c>
      <c r="G1730" s="197" t="s">
        <v>845</v>
      </c>
      <c r="H1730" s="197" t="s">
        <v>861</v>
      </c>
    </row>
    <row r="1731" ht="15.75" customHeight="1">
      <c r="A1731" s="197" t="s">
        <v>68</v>
      </c>
      <c r="B1731" s="197" t="s">
        <v>21</v>
      </c>
      <c r="C1731" s="198" t="s">
        <v>218</v>
      </c>
      <c r="D1731" s="197" t="s">
        <v>219</v>
      </c>
      <c r="E1731" s="199">
        <v>2.0</v>
      </c>
      <c r="F1731" s="200">
        <v>45665.41666666667</v>
      </c>
      <c r="G1731" s="197" t="s">
        <v>845</v>
      </c>
      <c r="H1731" s="197" t="s">
        <v>861</v>
      </c>
    </row>
    <row r="1732" ht="15.75" customHeight="1">
      <c r="A1732" s="197" t="s">
        <v>68</v>
      </c>
      <c r="B1732" s="197" t="s">
        <v>21</v>
      </c>
      <c r="C1732" s="198" t="s">
        <v>218</v>
      </c>
      <c r="D1732" s="197" t="s">
        <v>219</v>
      </c>
      <c r="E1732" s="199">
        <v>3.0</v>
      </c>
      <c r="F1732" s="200">
        <v>45707.375</v>
      </c>
      <c r="G1732" s="197" t="s">
        <v>843</v>
      </c>
      <c r="H1732" s="197" t="s">
        <v>861</v>
      </c>
    </row>
    <row r="1733" ht="15.75" customHeight="1">
      <c r="A1733" s="197" t="s">
        <v>68</v>
      </c>
      <c r="B1733" s="197" t="s">
        <v>21</v>
      </c>
      <c r="C1733" s="198" t="s">
        <v>218</v>
      </c>
      <c r="D1733" s="197" t="s">
        <v>219</v>
      </c>
      <c r="E1733" s="199">
        <v>4.0</v>
      </c>
      <c r="F1733" s="200">
        <v>45714.375</v>
      </c>
      <c r="G1733" s="197" t="s">
        <v>843</v>
      </c>
      <c r="H1733" s="197" t="s">
        <v>861</v>
      </c>
    </row>
    <row r="1734" ht="15.75" customHeight="1">
      <c r="A1734" s="197" t="s">
        <v>68</v>
      </c>
      <c r="B1734" s="197" t="s">
        <v>21</v>
      </c>
      <c r="C1734" s="198" t="s">
        <v>218</v>
      </c>
      <c r="D1734" s="197" t="s">
        <v>219</v>
      </c>
      <c r="E1734" s="199">
        <v>5.0</v>
      </c>
      <c r="F1734" s="200">
        <v>45756.41666666667</v>
      </c>
      <c r="G1734" s="197" t="s">
        <v>845</v>
      </c>
      <c r="H1734" s="197" t="s">
        <v>861</v>
      </c>
    </row>
    <row r="1735" ht="15.75" customHeight="1">
      <c r="A1735" s="197" t="s">
        <v>68</v>
      </c>
      <c r="B1735" s="197" t="s">
        <v>21</v>
      </c>
      <c r="C1735" s="198" t="s">
        <v>218</v>
      </c>
      <c r="D1735" s="197" t="s">
        <v>219</v>
      </c>
      <c r="E1735" s="199">
        <v>6.0</v>
      </c>
      <c r="F1735" s="200">
        <v>45763.41666666667</v>
      </c>
      <c r="G1735" s="197" t="s">
        <v>845</v>
      </c>
      <c r="H1735" s="197" t="s">
        <v>861</v>
      </c>
    </row>
    <row r="1736" ht="15.75" customHeight="1">
      <c r="A1736" s="197" t="s">
        <v>68</v>
      </c>
      <c r="B1736" s="197" t="s">
        <v>21</v>
      </c>
      <c r="C1736" s="198" t="s">
        <v>218</v>
      </c>
      <c r="D1736" s="197" t="s">
        <v>219</v>
      </c>
      <c r="E1736" s="199">
        <v>7.0</v>
      </c>
      <c r="F1736" s="200">
        <v>45789.41666666667</v>
      </c>
      <c r="G1736" s="197" t="s">
        <v>845</v>
      </c>
      <c r="H1736" s="197" t="s">
        <v>861</v>
      </c>
    </row>
    <row r="1737" ht="15.75" customHeight="1">
      <c r="A1737" s="197" t="s">
        <v>68</v>
      </c>
      <c r="B1737" s="197" t="s">
        <v>21</v>
      </c>
      <c r="C1737" s="198" t="s">
        <v>218</v>
      </c>
      <c r="D1737" s="197" t="s">
        <v>219</v>
      </c>
      <c r="E1737" s="199">
        <v>8.0</v>
      </c>
      <c r="F1737" s="200">
        <v>45800.41666666667</v>
      </c>
      <c r="G1737" s="197" t="s">
        <v>845</v>
      </c>
      <c r="H1737" s="197" t="s">
        <v>861</v>
      </c>
    </row>
    <row r="1738" ht="15.75" customHeight="1">
      <c r="A1738" s="197" t="s">
        <v>68</v>
      </c>
      <c r="B1738" s="197" t="s">
        <v>21</v>
      </c>
      <c r="C1738" s="198" t="s">
        <v>218</v>
      </c>
      <c r="D1738" s="197" t="s">
        <v>219</v>
      </c>
      <c r="E1738" s="199">
        <v>9.0</v>
      </c>
      <c r="F1738" s="200">
        <v>45803.375</v>
      </c>
      <c r="G1738" s="197" t="s">
        <v>845</v>
      </c>
      <c r="H1738" s="197" t="s">
        <v>861</v>
      </c>
    </row>
    <row r="1739" ht="15.75" customHeight="1">
      <c r="A1739" s="197" t="s">
        <v>68</v>
      </c>
      <c r="B1739" s="197" t="s">
        <v>21</v>
      </c>
      <c r="C1739" s="198" t="s">
        <v>218</v>
      </c>
      <c r="D1739" s="197" t="s">
        <v>219</v>
      </c>
      <c r="E1739" s="199">
        <v>10.0</v>
      </c>
      <c r="F1739" s="200">
        <v>45819.41666666667</v>
      </c>
      <c r="G1739" s="197" t="s">
        <v>845</v>
      </c>
      <c r="H1739" s="197" t="s">
        <v>861</v>
      </c>
    </row>
    <row r="1740" ht="15.75" customHeight="1">
      <c r="A1740" s="197" t="s">
        <v>68</v>
      </c>
      <c r="B1740" s="197" t="s">
        <v>21</v>
      </c>
      <c r="C1740" s="198" t="s">
        <v>218</v>
      </c>
      <c r="D1740" s="197" t="s">
        <v>219</v>
      </c>
      <c r="E1740" s="199">
        <v>11.0</v>
      </c>
      <c r="F1740" s="200">
        <v>45826.41666666667</v>
      </c>
      <c r="G1740" s="197" t="s">
        <v>845</v>
      </c>
      <c r="H1740" s="197" t="s">
        <v>861</v>
      </c>
    </row>
    <row r="1741" ht="15.75" customHeight="1">
      <c r="A1741" s="197" t="s">
        <v>68</v>
      </c>
      <c r="B1741" s="197" t="s">
        <v>21</v>
      </c>
      <c r="C1741" s="198" t="s">
        <v>218</v>
      </c>
      <c r="D1741" s="197" t="s">
        <v>219</v>
      </c>
      <c r="E1741" s="199">
        <v>12.0</v>
      </c>
      <c r="F1741" s="200">
        <v>45853.41666666667</v>
      </c>
      <c r="G1741" s="197" t="s">
        <v>845</v>
      </c>
      <c r="H1741" s="197" t="s">
        <v>861</v>
      </c>
    </row>
    <row r="1742" ht="15.75" customHeight="1">
      <c r="A1742" s="197" t="s">
        <v>68</v>
      </c>
      <c r="B1742" s="197" t="s">
        <v>22</v>
      </c>
      <c r="C1742" s="198" t="s">
        <v>218</v>
      </c>
      <c r="D1742" s="197" t="s">
        <v>219</v>
      </c>
      <c r="E1742" s="199">
        <v>1.0</v>
      </c>
      <c r="F1742" s="200">
        <v>45887.375</v>
      </c>
      <c r="G1742" s="197" t="s">
        <v>845</v>
      </c>
      <c r="H1742" s="197" t="s">
        <v>861</v>
      </c>
    </row>
    <row r="1743" ht="15.75" customHeight="1">
      <c r="A1743" s="197" t="s">
        <v>68</v>
      </c>
      <c r="B1743" s="197" t="s">
        <v>22</v>
      </c>
      <c r="C1743" s="198" t="s">
        <v>218</v>
      </c>
      <c r="D1743" s="197" t="s">
        <v>219</v>
      </c>
      <c r="E1743" s="199">
        <v>2.0</v>
      </c>
      <c r="F1743" s="200">
        <v>45894.45833333333</v>
      </c>
      <c r="G1743" s="197" t="s">
        <v>843</v>
      </c>
      <c r="H1743" s="197" t="s">
        <v>861</v>
      </c>
    </row>
    <row r="1744" ht="15.75" customHeight="1">
      <c r="A1744" s="197" t="s">
        <v>68</v>
      </c>
      <c r="B1744" s="197" t="s">
        <v>22</v>
      </c>
      <c r="C1744" s="198" t="s">
        <v>218</v>
      </c>
      <c r="D1744" s="197" t="s">
        <v>219</v>
      </c>
      <c r="E1744" s="199">
        <v>3.0</v>
      </c>
      <c r="F1744" s="200">
        <v>45912.58333333333</v>
      </c>
      <c r="G1744" s="197" t="s">
        <v>845</v>
      </c>
      <c r="H1744" s="197" t="s">
        <v>861</v>
      </c>
    </row>
    <row r="1745" ht="15.75" customHeight="1">
      <c r="A1745" s="197" t="s">
        <v>68</v>
      </c>
      <c r="B1745" s="197" t="s">
        <v>22</v>
      </c>
      <c r="C1745" s="198" t="s">
        <v>218</v>
      </c>
      <c r="D1745" s="197" t="s">
        <v>219</v>
      </c>
      <c r="E1745" s="199">
        <v>4.0</v>
      </c>
      <c r="F1745" s="200">
        <v>45915.58333333333</v>
      </c>
      <c r="G1745" s="197" t="s">
        <v>845</v>
      </c>
      <c r="H1745" s="197" t="s">
        <v>861</v>
      </c>
    </row>
    <row r="1746" ht="15.75" customHeight="1">
      <c r="A1746" s="197" t="s">
        <v>68</v>
      </c>
      <c r="B1746" s="197" t="s">
        <v>22</v>
      </c>
      <c r="C1746" s="198" t="s">
        <v>218</v>
      </c>
      <c r="D1746" s="197" t="s">
        <v>219</v>
      </c>
      <c r="E1746" s="199">
        <v>5.0</v>
      </c>
      <c r="F1746" s="200">
        <v>45922.625</v>
      </c>
      <c r="G1746" s="197" t="s">
        <v>845</v>
      </c>
      <c r="H1746" s="197" t="s">
        <v>861</v>
      </c>
    </row>
    <row r="1747" ht="15.75" customHeight="1">
      <c r="A1747" s="197" t="s">
        <v>68</v>
      </c>
      <c r="B1747" s="197" t="s">
        <v>22</v>
      </c>
      <c r="C1747" s="198" t="s">
        <v>218</v>
      </c>
      <c r="D1747" s="197" t="s">
        <v>219</v>
      </c>
      <c r="E1747" s="199">
        <v>6.0</v>
      </c>
      <c r="F1747" s="200">
        <v>45926.58333333333</v>
      </c>
      <c r="G1747" s="197" t="s">
        <v>845</v>
      </c>
      <c r="H1747" s="197" t="s">
        <v>861</v>
      </c>
    </row>
    <row r="1748" ht="15.75" customHeight="1">
      <c r="A1748" s="197" t="s">
        <v>68</v>
      </c>
      <c r="B1748" s="197" t="s">
        <v>22</v>
      </c>
      <c r="C1748" s="198" t="s">
        <v>218</v>
      </c>
      <c r="D1748" s="197" t="s">
        <v>219</v>
      </c>
      <c r="E1748" s="199">
        <v>7.0</v>
      </c>
      <c r="F1748" s="200">
        <v>45940.625</v>
      </c>
      <c r="G1748" s="197" t="s">
        <v>845</v>
      </c>
      <c r="H1748" s="197" t="s">
        <v>861</v>
      </c>
    </row>
    <row r="1749" ht="15.75" customHeight="1">
      <c r="A1749" s="197" t="s">
        <v>68</v>
      </c>
      <c r="B1749" s="197" t="s">
        <v>22</v>
      </c>
      <c r="C1749" s="198" t="s">
        <v>218</v>
      </c>
      <c r="D1749" s="197" t="s">
        <v>219</v>
      </c>
      <c r="E1749" s="199">
        <v>8.0</v>
      </c>
      <c r="F1749" s="200">
        <v>45943.625</v>
      </c>
      <c r="G1749" s="197" t="s">
        <v>845</v>
      </c>
      <c r="H1749" s="197" t="s">
        <v>861</v>
      </c>
    </row>
    <row r="1750" ht="15.75" customHeight="1">
      <c r="A1750" s="197" t="s">
        <v>68</v>
      </c>
      <c r="B1750" s="197" t="s">
        <v>22</v>
      </c>
      <c r="C1750" s="198" t="s">
        <v>218</v>
      </c>
      <c r="D1750" s="197" t="s">
        <v>219</v>
      </c>
      <c r="E1750" s="199">
        <v>9.0</v>
      </c>
      <c r="F1750" s="200">
        <v>45950.625</v>
      </c>
      <c r="G1750" s="197" t="s">
        <v>845</v>
      </c>
      <c r="H1750" s="197" t="s">
        <v>861</v>
      </c>
    </row>
    <row r="1751" ht="15.75" customHeight="1">
      <c r="A1751" s="197" t="s">
        <v>68</v>
      </c>
      <c r="B1751" s="197" t="s">
        <v>22</v>
      </c>
      <c r="C1751" s="198" t="s">
        <v>218</v>
      </c>
      <c r="D1751" s="197" t="s">
        <v>219</v>
      </c>
      <c r="E1751" s="199">
        <v>10.0</v>
      </c>
      <c r="F1751" s="200">
        <v>45957.625</v>
      </c>
      <c r="G1751" s="197" t="s">
        <v>845</v>
      </c>
      <c r="H1751" s="197" t="s">
        <v>861</v>
      </c>
    </row>
    <row r="1752" ht="15.75" customHeight="1">
      <c r="A1752" s="197" t="s">
        <v>68</v>
      </c>
      <c r="B1752" s="197" t="s">
        <v>22</v>
      </c>
      <c r="C1752" s="198" t="s">
        <v>218</v>
      </c>
      <c r="D1752" s="197" t="s">
        <v>219</v>
      </c>
      <c r="E1752" s="199">
        <v>11.0</v>
      </c>
      <c r="F1752" s="200">
        <v>46007.625</v>
      </c>
      <c r="G1752" s="197" t="s">
        <v>845</v>
      </c>
      <c r="H1752" s="197" t="s">
        <v>861</v>
      </c>
    </row>
    <row r="1753" ht="15.75" customHeight="1">
      <c r="A1753" s="197" t="s">
        <v>68</v>
      </c>
      <c r="B1753" s="197" t="s">
        <v>22</v>
      </c>
      <c r="C1753" s="198" t="s">
        <v>218</v>
      </c>
      <c r="D1753" s="197" t="s">
        <v>219</v>
      </c>
      <c r="E1753" s="199">
        <v>12.0</v>
      </c>
      <c r="F1753" s="200">
        <v>46021.58333333333</v>
      </c>
      <c r="G1753" s="197" t="s">
        <v>845</v>
      </c>
      <c r="H1753" s="197" t="s">
        <v>861</v>
      </c>
    </row>
    <row r="1754" ht="15.75" customHeight="1">
      <c r="A1754" s="197" t="s">
        <v>68</v>
      </c>
      <c r="B1754" s="197" t="s">
        <v>22</v>
      </c>
      <c r="C1754" s="198" t="s">
        <v>323</v>
      </c>
      <c r="D1754" s="197" t="s">
        <v>324</v>
      </c>
      <c r="E1754" s="199">
        <v>1.0</v>
      </c>
      <c r="F1754" s="200">
        <v>45887.375</v>
      </c>
      <c r="G1754" s="197" t="s">
        <v>845</v>
      </c>
      <c r="H1754" s="197" t="s">
        <v>861</v>
      </c>
    </row>
    <row r="1755" ht="15.75" customHeight="1">
      <c r="A1755" s="197" t="s">
        <v>68</v>
      </c>
      <c r="B1755" s="197" t="s">
        <v>22</v>
      </c>
      <c r="C1755" s="198" t="s">
        <v>323</v>
      </c>
      <c r="D1755" s="197" t="s">
        <v>324</v>
      </c>
      <c r="E1755" s="199">
        <v>2.0</v>
      </c>
      <c r="F1755" s="200">
        <v>45894.45833333333</v>
      </c>
      <c r="G1755" s="197" t="s">
        <v>845</v>
      </c>
      <c r="H1755" s="197" t="s">
        <v>861</v>
      </c>
    </row>
    <row r="1756" ht="15.75" customHeight="1">
      <c r="A1756" s="197" t="s">
        <v>68</v>
      </c>
      <c r="B1756" s="197" t="s">
        <v>22</v>
      </c>
      <c r="C1756" s="198" t="s">
        <v>323</v>
      </c>
      <c r="D1756" s="197" t="s">
        <v>324</v>
      </c>
      <c r="E1756" s="199">
        <v>3.0</v>
      </c>
      <c r="F1756" s="200">
        <v>45912.58333333333</v>
      </c>
      <c r="G1756" s="197" t="s">
        <v>845</v>
      </c>
      <c r="H1756" s="197" t="s">
        <v>861</v>
      </c>
    </row>
    <row r="1757" ht="15.75" customHeight="1">
      <c r="A1757" s="197" t="s">
        <v>68</v>
      </c>
      <c r="B1757" s="197" t="s">
        <v>22</v>
      </c>
      <c r="C1757" s="198" t="s">
        <v>323</v>
      </c>
      <c r="D1757" s="197" t="s">
        <v>324</v>
      </c>
      <c r="E1757" s="199">
        <v>4.0</v>
      </c>
      <c r="F1757" s="200">
        <v>45915.58333333333</v>
      </c>
      <c r="G1757" s="197" t="s">
        <v>845</v>
      </c>
      <c r="H1757" s="197" t="s">
        <v>861</v>
      </c>
    </row>
    <row r="1758" ht="15.75" customHeight="1">
      <c r="A1758" s="197" t="s">
        <v>68</v>
      </c>
      <c r="B1758" s="197" t="s">
        <v>22</v>
      </c>
      <c r="C1758" s="198" t="s">
        <v>323</v>
      </c>
      <c r="D1758" s="197" t="s">
        <v>324</v>
      </c>
      <c r="E1758" s="199">
        <v>5.0</v>
      </c>
      <c r="F1758" s="200">
        <v>45922.625</v>
      </c>
      <c r="G1758" s="197" t="s">
        <v>845</v>
      </c>
      <c r="H1758" s="197" t="s">
        <v>861</v>
      </c>
    </row>
    <row r="1759" ht="15.75" customHeight="1">
      <c r="A1759" s="197" t="s">
        <v>68</v>
      </c>
      <c r="B1759" s="197" t="s">
        <v>22</v>
      </c>
      <c r="C1759" s="198" t="s">
        <v>323</v>
      </c>
      <c r="D1759" s="197" t="s">
        <v>324</v>
      </c>
      <c r="E1759" s="199">
        <v>6.0</v>
      </c>
      <c r="F1759" s="200">
        <v>45926.58333333333</v>
      </c>
      <c r="G1759" s="197" t="s">
        <v>845</v>
      </c>
      <c r="H1759" s="197" t="s">
        <v>861</v>
      </c>
    </row>
    <row r="1760" ht="15.75" customHeight="1">
      <c r="A1760" s="197" t="s">
        <v>68</v>
      </c>
      <c r="B1760" s="197" t="s">
        <v>22</v>
      </c>
      <c r="C1760" s="198" t="s">
        <v>323</v>
      </c>
      <c r="D1760" s="197" t="s">
        <v>324</v>
      </c>
      <c r="E1760" s="199">
        <v>7.0</v>
      </c>
      <c r="F1760" s="200">
        <v>45940.625</v>
      </c>
      <c r="G1760" s="197" t="s">
        <v>843</v>
      </c>
      <c r="H1760" s="197" t="s">
        <v>861</v>
      </c>
    </row>
    <row r="1761" ht="15.75" customHeight="1">
      <c r="A1761" s="197" t="s">
        <v>68</v>
      </c>
      <c r="B1761" s="197" t="s">
        <v>22</v>
      </c>
      <c r="C1761" s="198" t="s">
        <v>323</v>
      </c>
      <c r="D1761" s="197" t="s">
        <v>324</v>
      </c>
      <c r="E1761" s="199">
        <v>8.0</v>
      </c>
      <c r="F1761" s="200">
        <v>45943.625</v>
      </c>
      <c r="G1761" s="197" t="s">
        <v>845</v>
      </c>
      <c r="H1761" s="197" t="s">
        <v>861</v>
      </c>
    </row>
    <row r="1762" ht="15.75" customHeight="1">
      <c r="A1762" s="197" t="s">
        <v>68</v>
      </c>
      <c r="B1762" s="197" t="s">
        <v>22</v>
      </c>
      <c r="C1762" s="198" t="s">
        <v>323</v>
      </c>
      <c r="D1762" s="197" t="s">
        <v>324</v>
      </c>
      <c r="E1762" s="199">
        <v>9.0</v>
      </c>
      <c r="F1762" s="200">
        <v>45950.625</v>
      </c>
      <c r="G1762" s="197" t="s">
        <v>845</v>
      </c>
      <c r="H1762" s="197" t="s">
        <v>861</v>
      </c>
    </row>
    <row r="1763" ht="15.75" customHeight="1">
      <c r="A1763" s="197" t="s">
        <v>68</v>
      </c>
      <c r="B1763" s="197" t="s">
        <v>22</v>
      </c>
      <c r="C1763" s="198" t="s">
        <v>323</v>
      </c>
      <c r="D1763" s="197" t="s">
        <v>324</v>
      </c>
      <c r="E1763" s="199">
        <v>10.0</v>
      </c>
      <c r="F1763" s="200">
        <v>45957.625</v>
      </c>
      <c r="G1763" s="197" t="s">
        <v>845</v>
      </c>
      <c r="H1763" s="197" t="s">
        <v>861</v>
      </c>
    </row>
    <row r="1764" ht="15.75" customHeight="1">
      <c r="A1764" s="197" t="s">
        <v>68</v>
      </c>
      <c r="B1764" s="197" t="s">
        <v>22</v>
      </c>
      <c r="C1764" s="198" t="s">
        <v>323</v>
      </c>
      <c r="D1764" s="197" t="s">
        <v>324</v>
      </c>
      <c r="E1764" s="199">
        <v>11.0</v>
      </c>
      <c r="F1764" s="200">
        <v>46007.625</v>
      </c>
      <c r="G1764" s="197" t="s">
        <v>845</v>
      </c>
      <c r="H1764" s="197" t="s">
        <v>861</v>
      </c>
    </row>
    <row r="1765" ht="15.75" customHeight="1">
      <c r="A1765" s="197" t="s">
        <v>68</v>
      </c>
      <c r="B1765" s="197" t="s">
        <v>22</v>
      </c>
      <c r="C1765" s="198" t="s">
        <v>323</v>
      </c>
      <c r="D1765" s="197" t="s">
        <v>324</v>
      </c>
      <c r="E1765" s="199">
        <v>12.0</v>
      </c>
      <c r="F1765" s="200">
        <v>46021.58333333333</v>
      </c>
      <c r="G1765" s="197" t="s">
        <v>845</v>
      </c>
      <c r="H1765" s="197" t="s">
        <v>861</v>
      </c>
    </row>
    <row r="1766" ht="15.75" customHeight="1">
      <c r="A1766" s="197" t="s">
        <v>68</v>
      </c>
      <c r="B1766" s="197" t="s">
        <v>21</v>
      </c>
      <c r="C1766" s="198" t="s">
        <v>374</v>
      </c>
      <c r="D1766" s="197" t="s">
        <v>375</v>
      </c>
      <c r="E1766" s="199">
        <v>1.0</v>
      </c>
      <c r="F1766" s="200">
        <v>45645.41666666667</v>
      </c>
      <c r="G1766" s="197" t="s">
        <v>845</v>
      </c>
      <c r="H1766" s="197" t="s">
        <v>861</v>
      </c>
    </row>
    <row r="1767" ht="15.75" customHeight="1">
      <c r="A1767" s="197" t="s">
        <v>68</v>
      </c>
      <c r="B1767" s="197" t="s">
        <v>21</v>
      </c>
      <c r="C1767" s="198" t="s">
        <v>374</v>
      </c>
      <c r="D1767" s="197" t="s">
        <v>375</v>
      </c>
      <c r="E1767" s="199">
        <v>2.0</v>
      </c>
      <c r="F1767" s="200">
        <v>45665.41666666667</v>
      </c>
      <c r="G1767" s="197" t="s">
        <v>845</v>
      </c>
      <c r="H1767" s="197" t="s">
        <v>861</v>
      </c>
    </row>
    <row r="1768" ht="15.75" customHeight="1">
      <c r="A1768" s="197" t="s">
        <v>68</v>
      </c>
      <c r="B1768" s="197" t="s">
        <v>21</v>
      </c>
      <c r="C1768" s="198" t="s">
        <v>374</v>
      </c>
      <c r="D1768" s="197" t="s">
        <v>375</v>
      </c>
      <c r="E1768" s="199">
        <v>3.0</v>
      </c>
      <c r="F1768" s="200">
        <v>45707.375</v>
      </c>
      <c r="G1768" s="197" t="s">
        <v>845</v>
      </c>
      <c r="H1768" s="197" t="s">
        <v>861</v>
      </c>
    </row>
    <row r="1769" ht="15.75" customHeight="1">
      <c r="A1769" s="197" t="s">
        <v>68</v>
      </c>
      <c r="B1769" s="197" t="s">
        <v>21</v>
      </c>
      <c r="C1769" s="198" t="s">
        <v>374</v>
      </c>
      <c r="D1769" s="197" t="s">
        <v>375</v>
      </c>
      <c r="E1769" s="199">
        <v>4.0</v>
      </c>
      <c r="F1769" s="200">
        <v>45714.375</v>
      </c>
      <c r="G1769" s="197" t="s">
        <v>845</v>
      </c>
      <c r="H1769" s="197" t="s">
        <v>861</v>
      </c>
    </row>
    <row r="1770" ht="15.75" customHeight="1">
      <c r="A1770" s="197" t="s">
        <v>68</v>
      </c>
      <c r="B1770" s="197" t="s">
        <v>21</v>
      </c>
      <c r="C1770" s="198" t="s">
        <v>374</v>
      </c>
      <c r="D1770" s="197" t="s">
        <v>375</v>
      </c>
      <c r="E1770" s="199">
        <v>5.0</v>
      </c>
      <c r="F1770" s="200">
        <v>45756.41666666667</v>
      </c>
      <c r="G1770" s="197" t="s">
        <v>845</v>
      </c>
      <c r="H1770" s="197" t="s">
        <v>861</v>
      </c>
    </row>
    <row r="1771" ht="15.75" customHeight="1">
      <c r="A1771" s="197" t="s">
        <v>68</v>
      </c>
      <c r="B1771" s="197" t="s">
        <v>21</v>
      </c>
      <c r="C1771" s="198" t="s">
        <v>374</v>
      </c>
      <c r="D1771" s="197" t="s">
        <v>375</v>
      </c>
      <c r="E1771" s="199">
        <v>6.0</v>
      </c>
      <c r="F1771" s="200">
        <v>45763.41666666667</v>
      </c>
      <c r="G1771" s="197" t="s">
        <v>845</v>
      </c>
      <c r="H1771" s="197" t="s">
        <v>861</v>
      </c>
    </row>
    <row r="1772" ht="15.75" customHeight="1">
      <c r="A1772" s="197" t="s">
        <v>68</v>
      </c>
      <c r="B1772" s="197" t="s">
        <v>21</v>
      </c>
      <c r="C1772" s="198" t="s">
        <v>374</v>
      </c>
      <c r="D1772" s="197" t="s">
        <v>375</v>
      </c>
      <c r="E1772" s="199">
        <v>7.0</v>
      </c>
      <c r="F1772" s="200">
        <v>45789.41666666667</v>
      </c>
      <c r="G1772" s="197" t="s">
        <v>845</v>
      </c>
      <c r="H1772" s="197" t="s">
        <v>861</v>
      </c>
    </row>
    <row r="1773" ht="15.75" customHeight="1">
      <c r="A1773" s="197" t="s">
        <v>68</v>
      </c>
      <c r="B1773" s="197" t="s">
        <v>21</v>
      </c>
      <c r="C1773" s="198" t="s">
        <v>374</v>
      </c>
      <c r="D1773" s="197" t="s">
        <v>375</v>
      </c>
      <c r="E1773" s="199">
        <v>8.0</v>
      </c>
      <c r="F1773" s="200">
        <v>45800.41666666667</v>
      </c>
      <c r="G1773" s="197" t="s">
        <v>845</v>
      </c>
      <c r="H1773" s="197" t="s">
        <v>861</v>
      </c>
    </row>
    <row r="1774" ht="15.75" customHeight="1">
      <c r="A1774" s="197" t="s">
        <v>68</v>
      </c>
      <c r="B1774" s="197" t="s">
        <v>21</v>
      </c>
      <c r="C1774" s="198" t="s">
        <v>374</v>
      </c>
      <c r="D1774" s="197" t="s">
        <v>375</v>
      </c>
      <c r="E1774" s="199">
        <v>9.0</v>
      </c>
      <c r="F1774" s="200">
        <v>45803.375</v>
      </c>
      <c r="G1774" s="197" t="s">
        <v>845</v>
      </c>
      <c r="H1774" s="197" t="s">
        <v>861</v>
      </c>
    </row>
    <row r="1775" ht="15.75" customHeight="1">
      <c r="A1775" s="197" t="s">
        <v>68</v>
      </c>
      <c r="B1775" s="197" t="s">
        <v>21</v>
      </c>
      <c r="C1775" s="198" t="s">
        <v>374</v>
      </c>
      <c r="D1775" s="197" t="s">
        <v>375</v>
      </c>
      <c r="E1775" s="199">
        <v>10.0</v>
      </c>
      <c r="F1775" s="200">
        <v>45819.41666666667</v>
      </c>
      <c r="G1775" s="197" t="s">
        <v>845</v>
      </c>
      <c r="H1775" s="197" t="s">
        <v>861</v>
      </c>
    </row>
    <row r="1776" ht="15.75" customHeight="1">
      <c r="A1776" s="197" t="s">
        <v>68</v>
      </c>
      <c r="B1776" s="197" t="s">
        <v>21</v>
      </c>
      <c r="C1776" s="198" t="s">
        <v>374</v>
      </c>
      <c r="D1776" s="197" t="s">
        <v>375</v>
      </c>
      <c r="E1776" s="199">
        <v>11.0</v>
      </c>
      <c r="F1776" s="200">
        <v>45826.41666666667</v>
      </c>
      <c r="G1776" s="197" t="s">
        <v>843</v>
      </c>
      <c r="H1776" s="197" t="s">
        <v>861</v>
      </c>
    </row>
    <row r="1777" ht="15.75" customHeight="1">
      <c r="A1777" s="197" t="s">
        <v>68</v>
      </c>
      <c r="B1777" s="197" t="s">
        <v>21</v>
      </c>
      <c r="C1777" s="198" t="s">
        <v>374</v>
      </c>
      <c r="D1777" s="197" t="s">
        <v>375</v>
      </c>
      <c r="E1777" s="199">
        <v>12.0</v>
      </c>
      <c r="F1777" s="200">
        <v>45853.41666666667</v>
      </c>
      <c r="G1777" s="197" t="s">
        <v>843</v>
      </c>
      <c r="H1777" s="197" t="s">
        <v>861</v>
      </c>
    </row>
    <row r="1778" ht="15.75" customHeight="1">
      <c r="A1778" s="197" t="s">
        <v>68</v>
      </c>
      <c r="B1778" s="197" t="s">
        <v>21</v>
      </c>
      <c r="C1778" s="198" t="s">
        <v>556</v>
      </c>
      <c r="D1778" s="197" t="s">
        <v>557</v>
      </c>
      <c r="E1778" s="199">
        <v>2.0</v>
      </c>
      <c r="F1778" s="200">
        <v>45665.41666666667</v>
      </c>
      <c r="G1778" s="197" t="s">
        <v>845</v>
      </c>
      <c r="H1778" s="197" t="s">
        <v>861</v>
      </c>
    </row>
    <row r="1779" ht="15.75" customHeight="1">
      <c r="A1779" s="197" t="s">
        <v>68</v>
      </c>
      <c r="B1779" s="197" t="s">
        <v>21</v>
      </c>
      <c r="C1779" s="198" t="s">
        <v>556</v>
      </c>
      <c r="D1779" s="197" t="s">
        <v>557</v>
      </c>
      <c r="E1779" s="199">
        <v>3.0</v>
      </c>
      <c r="F1779" s="200">
        <v>45707.375</v>
      </c>
      <c r="G1779" s="197" t="s">
        <v>845</v>
      </c>
      <c r="H1779" s="197" t="s">
        <v>861</v>
      </c>
    </row>
    <row r="1780" ht="15.75" customHeight="1">
      <c r="A1780" s="197" t="s">
        <v>68</v>
      </c>
      <c r="B1780" s="197" t="s">
        <v>21</v>
      </c>
      <c r="C1780" s="198" t="s">
        <v>556</v>
      </c>
      <c r="D1780" s="197" t="s">
        <v>557</v>
      </c>
      <c r="E1780" s="199">
        <v>4.0</v>
      </c>
      <c r="F1780" s="200">
        <v>45714.375</v>
      </c>
      <c r="G1780" s="197" t="s">
        <v>845</v>
      </c>
      <c r="H1780" s="197" t="s">
        <v>861</v>
      </c>
    </row>
    <row r="1781" ht="15.75" customHeight="1">
      <c r="A1781" s="197" t="s">
        <v>68</v>
      </c>
      <c r="B1781" s="197" t="s">
        <v>21</v>
      </c>
      <c r="C1781" s="198" t="s">
        <v>556</v>
      </c>
      <c r="D1781" s="197" t="s">
        <v>557</v>
      </c>
      <c r="E1781" s="199">
        <v>5.0</v>
      </c>
      <c r="F1781" s="200">
        <v>45756.41666666667</v>
      </c>
      <c r="G1781" s="197" t="s">
        <v>843</v>
      </c>
      <c r="H1781" s="197" t="s">
        <v>861</v>
      </c>
    </row>
    <row r="1782" ht="15.75" customHeight="1">
      <c r="A1782" s="197" t="s">
        <v>68</v>
      </c>
      <c r="B1782" s="197" t="s">
        <v>21</v>
      </c>
      <c r="C1782" s="198" t="s">
        <v>556</v>
      </c>
      <c r="D1782" s="197" t="s">
        <v>557</v>
      </c>
      <c r="E1782" s="199">
        <v>6.0</v>
      </c>
      <c r="F1782" s="200">
        <v>45763.41666666667</v>
      </c>
      <c r="G1782" s="197" t="s">
        <v>845</v>
      </c>
      <c r="H1782" s="197" t="s">
        <v>861</v>
      </c>
    </row>
    <row r="1783" ht="15.75" customHeight="1">
      <c r="A1783" s="197" t="s">
        <v>68</v>
      </c>
      <c r="B1783" s="197" t="s">
        <v>21</v>
      </c>
      <c r="C1783" s="198" t="s">
        <v>556</v>
      </c>
      <c r="D1783" s="197" t="s">
        <v>557</v>
      </c>
      <c r="E1783" s="199">
        <v>7.0</v>
      </c>
      <c r="F1783" s="200">
        <v>45789.41666666667</v>
      </c>
      <c r="G1783" s="197" t="s">
        <v>845</v>
      </c>
      <c r="H1783" s="197" t="s">
        <v>861</v>
      </c>
    </row>
    <row r="1784" ht="15.75" customHeight="1">
      <c r="A1784" s="197" t="s">
        <v>68</v>
      </c>
      <c r="B1784" s="197" t="s">
        <v>21</v>
      </c>
      <c r="C1784" s="198" t="s">
        <v>556</v>
      </c>
      <c r="D1784" s="197" t="s">
        <v>557</v>
      </c>
      <c r="E1784" s="199">
        <v>8.0</v>
      </c>
      <c r="F1784" s="200">
        <v>45800.41666666667</v>
      </c>
      <c r="G1784" s="197" t="s">
        <v>845</v>
      </c>
      <c r="H1784" s="197" t="s">
        <v>861</v>
      </c>
    </row>
    <row r="1785" ht="15.75" customHeight="1">
      <c r="A1785" s="197" t="s">
        <v>68</v>
      </c>
      <c r="B1785" s="197" t="s">
        <v>21</v>
      </c>
      <c r="C1785" s="198" t="s">
        <v>556</v>
      </c>
      <c r="D1785" s="197" t="s">
        <v>557</v>
      </c>
      <c r="E1785" s="199">
        <v>9.0</v>
      </c>
      <c r="F1785" s="200">
        <v>45803.375</v>
      </c>
      <c r="G1785" s="197" t="s">
        <v>845</v>
      </c>
      <c r="H1785" s="197" t="s">
        <v>861</v>
      </c>
    </row>
    <row r="1786" ht="15.75" customHeight="1">
      <c r="A1786" s="197" t="s">
        <v>68</v>
      </c>
      <c r="B1786" s="197" t="s">
        <v>21</v>
      </c>
      <c r="C1786" s="198" t="s">
        <v>556</v>
      </c>
      <c r="D1786" s="197" t="s">
        <v>557</v>
      </c>
      <c r="E1786" s="199">
        <v>10.0</v>
      </c>
      <c r="F1786" s="200">
        <v>45819.41666666667</v>
      </c>
      <c r="G1786" s="197" t="s">
        <v>845</v>
      </c>
      <c r="H1786" s="197" t="s">
        <v>861</v>
      </c>
    </row>
    <row r="1787" ht="15.75" customHeight="1">
      <c r="A1787" s="197" t="s">
        <v>68</v>
      </c>
      <c r="B1787" s="197" t="s">
        <v>21</v>
      </c>
      <c r="C1787" s="198" t="s">
        <v>556</v>
      </c>
      <c r="D1787" s="197" t="s">
        <v>557</v>
      </c>
      <c r="E1787" s="199">
        <v>11.0</v>
      </c>
      <c r="F1787" s="200">
        <v>45826.41666666667</v>
      </c>
      <c r="G1787" s="197" t="s">
        <v>845</v>
      </c>
      <c r="H1787" s="197" t="s">
        <v>861</v>
      </c>
    </row>
    <row r="1788" ht="15.75" customHeight="1">
      <c r="A1788" s="197" t="s">
        <v>68</v>
      </c>
      <c r="B1788" s="197" t="s">
        <v>21</v>
      </c>
      <c r="C1788" s="198" t="s">
        <v>556</v>
      </c>
      <c r="D1788" s="197" t="s">
        <v>557</v>
      </c>
      <c r="E1788" s="199">
        <v>12.0</v>
      </c>
      <c r="F1788" s="200">
        <v>45853.41666666667</v>
      </c>
      <c r="G1788" s="197" t="s">
        <v>845</v>
      </c>
      <c r="H1788" s="197" t="s">
        <v>861</v>
      </c>
    </row>
    <row r="1789" ht="15.75" customHeight="1">
      <c r="A1789" s="197" t="s">
        <v>68</v>
      </c>
      <c r="B1789" s="197" t="s">
        <v>22</v>
      </c>
      <c r="C1789" s="198" t="s">
        <v>556</v>
      </c>
      <c r="D1789" s="197" t="s">
        <v>557</v>
      </c>
      <c r="E1789" s="199">
        <v>1.0</v>
      </c>
      <c r="F1789" s="200">
        <v>45887.375</v>
      </c>
      <c r="G1789" s="197" t="s">
        <v>845</v>
      </c>
      <c r="H1789" s="197" t="s">
        <v>861</v>
      </c>
    </row>
    <row r="1790" ht="15.75" customHeight="1">
      <c r="A1790" s="197" t="s">
        <v>68</v>
      </c>
      <c r="B1790" s="197" t="s">
        <v>22</v>
      </c>
      <c r="C1790" s="198" t="s">
        <v>556</v>
      </c>
      <c r="D1790" s="197" t="s">
        <v>557</v>
      </c>
      <c r="E1790" s="199">
        <v>2.0</v>
      </c>
      <c r="F1790" s="200">
        <v>45894.45833333333</v>
      </c>
      <c r="G1790" s="197" t="s">
        <v>845</v>
      </c>
      <c r="H1790" s="197" t="s">
        <v>861</v>
      </c>
    </row>
    <row r="1791" ht="15.75" customHeight="1">
      <c r="A1791" s="197" t="s">
        <v>68</v>
      </c>
      <c r="B1791" s="197" t="s">
        <v>22</v>
      </c>
      <c r="C1791" s="198" t="s">
        <v>556</v>
      </c>
      <c r="D1791" s="197" t="s">
        <v>557</v>
      </c>
      <c r="E1791" s="199">
        <v>3.0</v>
      </c>
      <c r="F1791" s="200">
        <v>45912.58333333333</v>
      </c>
      <c r="G1791" s="197" t="s">
        <v>845</v>
      </c>
      <c r="H1791" s="197" t="s">
        <v>861</v>
      </c>
    </row>
    <row r="1792" ht="15.75" customHeight="1">
      <c r="A1792" s="197" t="s">
        <v>68</v>
      </c>
      <c r="B1792" s="197" t="s">
        <v>22</v>
      </c>
      <c r="C1792" s="198" t="s">
        <v>556</v>
      </c>
      <c r="D1792" s="197" t="s">
        <v>557</v>
      </c>
      <c r="E1792" s="199">
        <v>4.0</v>
      </c>
      <c r="F1792" s="200">
        <v>45915.58333333333</v>
      </c>
      <c r="G1792" s="197" t="s">
        <v>845</v>
      </c>
      <c r="H1792" s="197" t="s">
        <v>861</v>
      </c>
    </row>
    <row r="1793" ht="15.75" customHeight="1">
      <c r="A1793" s="197" t="s">
        <v>68</v>
      </c>
      <c r="B1793" s="197" t="s">
        <v>22</v>
      </c>
      <c r="C1793" s="198" t="s">
        <v>556</v>
      </c>
      <c r="D1793" s="197" t="s">
        <v>557</v>
      </c>
      <c r="E1793" s="199">
        <v>5.0</v>
      </c>
      <c r="F1793" s="200">
        <v>45922.625</v>
      </c>
      <c r="G1793" s="197" t="s">
        <v>845</v>
      </c>
      <c r="H1793" s="197" t="s">
        <v>861</v>
      </c>
    </row>
    <row r="1794" ht="15.75" customHeight="1">
      <c r="A1794" s="197" t="s">
        <v>68</v>
      </c>
      <c r="B1794" s="197" t="s">
        <v>22</v>
      </c>
      <c r="C1794" s="198" t="s">
        <v>556</v>
      </c>
      <c r="D1794" s="197" t="s">
        <v>557</v>
      </c>
      <c r="E1794" s="199">
        <v>6.0</v>
      </c>
      <c r="F1794" s="200">
        <v>45926.58333333333</v>
      </c>
      <c r="G1794" s="197" t="s">
        <v>845</v>
      </c>
      <c r="H1794" s="197" t="s">
        <v>861</v>
      </c>
    </row>
    <row r="1795" ht="15.75" customHeight="1">
      <c r="A1795" s="197" t="s">
        <v>68</v>
      </c>
      <c r="B1795" s="197" t="s">
        <v>22</v>
      </c>
      <c r="C1795" s="198" t="s">
        <v>556</v>
      </c>
      <c r="D1795" s="197" t="s">
        <v>557</v>
      </c>
      <c r="E1795" s="199">
        <v>7.0</v>
      </c>
      <c r="F1795" s="200">
        <v>45940.625</v>
      </c>
      <c r="G1795" s="197" t="s">
        <v>845</v>
      </c>
      <c r="H1795" s="197" t="s">
        <v>861</v>
      </c>
    </row>
    <row r="1796" ht="15.75" customHeight="1">
      <c r="A1796" s="197" t="s">
        <v>68</v>
      </c>
      <c r="B1796" s="197" t="s">
        <v>22</v>
      </c>
      <c r="C1796" s="198" t="s">
        <v>556</v>
      </c>
      <c r="D1796" s="197" t="s">
        <v>557</v>
      </c>
      <c r="E1796" s="199">
        <v>8.0</v>
      </c>
      <c r="F1796" s="200">
        <v>45943.625</v>
      </c>
      <c r="G1796" s="197" t="s">
        <v>845</v>
      </c>
      <c r="H1796" s="197" t="s">
        <v>861</v>
      </c>
    </row>
    <row r="1797" ht="15.75" customHeight="1">
      <c r="A1797" s="197" t="s">
        <v>68</v>
      </c>
      <c r="B1797" s="197" t="s">
        <v>22</v>
      </c>
      <c r="C1797" s="198" t="s">
        <v>556</v>
      </c>
      <c r="D1797" s="197" t="s">
        <v>557</v>
      </c>
      <c r="E1797" s="199">
        <v>9.0</v>
      </c>
      <c r="F1797" s="200">
        <v>45950.625</v>
      </c>
      <c r="G1797" s="197" t="s">
        <v>845</v>
      </c>
      <c r="H1797" s="197" t="s">
        <v>861</v>
      </c>
    </row>
    <row r="1798" ht="15.75" customHeight="1">
      <c r="A1798" s="197" t="s">
        <v>68</v>
      </c>
      <c r="B1798" s="197" t="s">
        <v>22</v>
      </c>
      <c r="C1798" s="198" t="s">
        <v>556</v>
      </c>
      <c r="D1798" s="197" t="s">
        <v>557</v>
      </c>
      <c r="E1798" s="199">
        <v>10.0</v>
      </c>
      <c r="F1798" s="200">
        <v>45957.625</v>
      </c>
      <c r="G1798" s="197" t="s">
        <v>845</v>
      </c>
      <c r="H1798" s="197" t="s">
        <v>861</v>
      </c>
    </row>
    <row r="1799" ht="15.75" customHeight="1">
      <c r="A1799" s="197" t="s">
        <v>68</v>
      </c>
      <c r="B1799" s="197" t="s">
        <v>22</v>
      </c>
      <c r="C1799" s="198" t="s">
        <v>556</v>
      </c>
      <c r="D1799" s="197" t="s">
        <v>557</v>
      </c>
      <c r="E1799" s="199">
        <v>11.0</v>
      </c>
      <c r="F1799" s="200">
        <v>46007.625</v>
      </c>
      <c r="G1799" s="197" t="s">
        <v>843</v>
      </c>
      <c r="H1799" s="197" t="s">
        <v>861</v>
      </c>
    </row>
    <row r="1800" ht="15.75" customHeight="1">
      <c r="A1800" s="197" t="s">
        <v>68</v>
      </c>
      <c r="B1800" s="197" t="s">
        <v>22</v>
      </c>
      <c r="C1800" s="198" t="s">
        <v>556</v>
      </c>
      <c r="D1800" s="197" t="s">
        <v>557</v>
      </c>
      <c r="E1800" s="199">
        <v>12.0</v>
      </c>
      <c r="F1800" s="200">
        <v>46021.58333333333</v>
      </c>
      <c r="G1800" s="197" t="s">
        <v>845</v>
      </c>
      <c r="H1800" s="197" t="s">
        <v>861</v>
      </c>
    </row>
    <row r="1801" ht="15.75" customHeight="1">
      <c r="A1801" s="197" t="s">
        <v>68</v>
      </c>
      <c r="B1801" s="197" t="s">
        <v>22</v>
      </c>
      <c r="C1801" s="198" t="s">
        <v>639</v>
      </c>
      <c r="D1801" s="197" t="s">
        <v>640</v>
      </c>
      <c r="E1801" s="199">
        <v>1.0</v>
      </c>
      <c r="F1801" s="200">
        <v>45887.375</v>
      </c>
      <c r="G1801" s="197" t="s">
        <v>845</v>
      </c>
      <c r="H1801" s="197" t="s">
        <v>861</v>
      </c>
    </row>
    <row r="1802" ht="15.75" customHeight="1">
      <c r="A1802" s="197" t="s">
        <v>68</v>
      </c>
      <c r="B1802" s="197" t="s">
        <v>22</v>
      </c>
      <c r="C1802" s="198" t="s">
        <v>639</v>
      </c>
      <c r="D1802" s="197" t="s">
        <v>640</v>
      </c>
      <c r="E1802" s="199">
        <v>2.0</v>
      </c>
      <c r="F1802" s="200">
        <v>45894.45833333333</v>
      </c>
      <c r="G1802" s="197" t="s">
        <v>845</v>
      </c>
      <c r="H1802" s="197" t="s">
        <v>861</v>
      </c>
    </row>
    <row r="1803" ht="15.75" customHeight="1">
      <c r="A1803" s="197" t="s">
        <v>68</v>
      </c>
      <c r="B1803" s="197" t="s">
        <v>22</v>
      </c>
      <c r="C1803" s="198" t="s">
        <v>639</v>
      </c>
      <c r="D1803" s="197" t="s">
        <v>640</v>
      </c>
      <c r="E1803" s="199">
        <v>3.0</v>
      </c>
      <c r="F1803" s="200">
        <v>45912.58333333333</v>
      </c>
      <c r="G1803" s="197" t="s">
        <v>845</v>
      </c>
      <c r="H1803" s="197" t="s">
        <v>861</v>
      </c>
    </row>
    <row r="1804" ht="15.75" customHeight="1">
      <c r="A1804" s="197" t="s">
        <v>68</v>
      </c>
      <c r="B1804" s="197" t="s">
        <v>22</v>
      </c>
      <c r="C1804" s="198" t="s">
        <v>639</v>
      </c>
      <c r="D1804" s="197" t="s">
        <v>640</v>
      </c>
      <c r="E1804" s="199">
        <v>4.0</v>
      </c>
      <c r="F1804" s="200">
        <v>45915.58333333333</v>
      </c>
      <c r="G1804" s="197" t="s">
        <v>845</v>
      </c>
      <c r="H1804" s="197" t="s">
        <v>861</v>
      </c>
    </row>
    <row r="1805" ht="15.75" customHeight="1">
      <c r="A1805" s="197" t="s">
        <v>68</v>
      </c>
      <c r="B1805" s="197" t="s">
        <v>22</v>
      </c>
      <c r="C1805" s="198" t="s">
        <v>639</v>
      </c>
      <c r="D1805" s="197" t="s">
        <v>640</v>
      </c>
      <c r="E1805" s="199">
        <v>5.0</v>
      </c>
      <c r="F1805" s="200">
        <v>45922.625</v>
      </c>
      <c r="G1805" s="197" t="s">
        <v>845</v>
      </c>
      <c r="H1805" s="197" t="s">
        <v>861</v>
      </c>
    </row>
    <row r="1806" ht="15.75" customHeight="1">
      <c r="A1806" s="197" t="s">
        <v>68</v>
      </c>
      <c r="B1806" s="197" t="s">
        <v>22</v>
      </c>
      <c r="C1806" s="198" t="s">
        <v>639</v>
      </c>
      <c r="D1806" s="197" t="s">
        <v>640</v>
      </c>
      <c r="E1806" s="199">
        <v>6.0</v>
      </c>
      <c r="F1806" s="200">
        <v>45926.58333333333</v>
      </c>
      <c r="G1806" s="197" t="s">
        <v>845</v>
      </c>
      <c r="H1806" s="197" t="s">
        <v>861</v>
      </c>
    </row>
    <row r="1807" ht="15.75" customHeight="1">
      <c r="A1807" s="197" t="s">
        <v>68</v>
      </c>
      <c r="B1807" s="197" t="s">
        <v>22</v>
      </c>
      <c r="C1807" s="198" t="s">
        <v>639</v>
      </c>
      <c r="D1807" s="197" t="s">
        <v>640</v>
      </c>
      <c r="E1807" s="199">
        <v>7.0</v>
      </c>
      <c r="F1807" s="200">
        <v>45940.625</v>
      </c>
      <c r="G1807" s="197" t="s">
        <v>845</v>
      </c>
      <c r="H1807" s="197" t="s">
        <v>861</v>
      </c>
    </row>
    <row r="1808" ht="15.75" customHeight="1">
      <c r="A1808" s="197" t="s">
        <v>68</v>
      </c>
      <c r="B1808" s="197" t="s">
        <v>22</v>
      </c>
      <c r="C1808" s="198" t="s">
        <v>639</v>
      </c>
      <c r="D1808" s="197" t="s">
        <v>640</v>
      </c>
      <c r="E1808" s="199">
        <v>8.0</v>
      </c>
      <c r="F1808" s="200">
        <v>45943.625</v>
      </c>
      <c r="G1808" s="197" t="s">
        <v>845</v>
      </c>
      <c r="H1808" s="197" t="s">
        <v>861</v>
      </c>
    </row>
    <row r="1809" ht="15.75" customHeight="1">
      <c r="A1809" s="197" t="s">
        <v>68</v>
      </c>
      <c r="B1809" s="197" t="s">
        <v>22</v>
      </c>
      <c r="C1809" s="198" t="s">
        <v>639</v>
      </c>
      <c r="D1809" s="197" t="s">
        <v>640</v>
      </c>
      <c r="E1809" s="199">
        <v>9.0</v>
      </c>
      <c r="F1809" s="200">
        <v>45950.625</v>
      </c>
      <c r="G1809" s="197" t="s">
        <v>845</v>
      </c>
      <c r="H1809" s="197" t="s">
        <v>861</v>
      </c>
    </row>
    <row r="1810" ht="15.75" customHeight="1">
      <c r="A1810" s="197" t="s">
        <v>68</v>
      </c>
      <c r="B1810" s="197" t="s">
        <v>22</v>
      </c>
      <c r="C1810" s="198" t="s">
        <v>639</v>
      </c>
      <c r="D1810" s="197" t="s">
        <v>640</v>
      </c>
      <c r="E1810" s="199">
        <v>10.0</v>
      </c>
      <c r="F1810" s="200">
        <v>45957.625</v>
      </c>
      <c r="G1810" s="197" t="s">
        <v>845</v>
      </c>
      <c r="H1810" s="197" t="s">
        <v>861</v>
      </c>
    </row>
    <row r="1811" ht="15.75" customHeight="1">
      <c r="A1811" s="197" t="s">
        <v>68</v>
      </c>
      <c r="B1811" s="197" t="s">
        <v>22</v>
      </c>
      <c r="C1811" s="198" t="s">
        <v>639</v>
      </c>
      <c r="D1811" s="197" t="s">
        <v>640</v>
      </c>
      <c r="E1811" s="199">
        <v>11.0</v>
      </c>
      <c r="F1811" s="200">
        <v>46007.625</v>
      </c>
      <c r="G1811" s="197" t="s">
        <v>845</v>
      </c>
      <c r="H1811" s="197" t="s">
        <v>861</v>
      </c>
    </row>
    <row r="1812" ht="15.75" customHeight="1">
      <c r="A1812" s="197" t="s">
        <v>68</v>
      </c>
      <c r="B1812" s="197" t="s">
        <v>22</v>
      </c>
      <c r="C1812" s="198" t="s">
        <v>639</v>
      </c>
      <c r="D1812" s="197" t="s">
        <v>640</v>
      </c>
      <c r="E1812" s="199">
        <v>12.0</v>
      </c>
      <c r="F1812" s="200">
        <v>46021.58333333333</v>
      </c>
      <c r="G1812" s="197" t="s">
        <v>845</v>
      </c>
      <c r="H1812" s="197" t="s">
        <v>861</v>
      </c>
    </row>
    <row r="1813" ht="15.75" customHeight="1">
      <c r="A1813" s="197" t="s">
        <v>68</v>
      </c>
      <c r="B1813" s="197" t="s">
        <v>21</v>
      </c>
      <c r="C1813" s="198" t="s">
        <v>643</v>
      </c>
      <c r="D1813" s="197" t="s">
        <v>644</v>
      </c>
      <c r="E1813" s="199">
        <v>1.0</v>
      </c>
      <c r="F1813" s="200">
        <v>45645.41666666667</v>
      </c>
      <c r="G1813" s="197" t="s">
        <v>845</v>
      </c>
      <c r="H1813" s="197" t="s">
        <v>861</v>
      </c>
    </row>
    <row r="1814" ht="15.75" customHeight="1">
      <c r="A1814" s="197" t="s">
        <v>68</v>
      </c>
      <c r="B1814" s="197" t="s">
        <v>21</v>
      </c>
      <c r="C1814" s="198" t="s">
        <v>643</v>
      </c>
      <c r="D1814" s="197" t="s">
        <v>644</v>
      </c>
      <c r="E1814" s="199">
        <v>2.0</v>
      </c>
      <c r="F1814" s="200">
        <v>45665.41666666667</v>
      </c>
      <c r="G1814" s="197" t="s">
        <v>845</v>
      </c>
      <c r="H1814" s="197" t="s">
        <v>861</v>
      </c>
    </row>
    <row r="1815" ht="15.75" customHeight="1">
      <c r="A1815" s="197" t="s">
        <v>68</v>
      </c>
      <c r="B1815" s="197" t="s">
        <v>21</v>
      </c>
      <c r="C1815" s="198" t="s">
        <v>643</v>
      </c>
      <c r="D1815" s="197" t="s">
        <v>644</v>
      </c>
      <c r="E1815" s="199">
        <v>3.0</v>
      </c>
      <c r="F1815" s="200">
        <v>45707.375</v>
      </c>
      <c r="G1815" s="197" t="s">
        <v>845</v>
      </c>
      <c r="H1815" s="197" t="s">
        <v>861</v>
      </c>
    </row>
    <row r="1816" ht="15.75" customHeight="1">
      <c r="A1816" s="197" t="s">
        <v>68</v>
      </c>
      <c r="B1816" s="197" t="s">
        <v>21</v>
      </c>
      <c r="C1816" s="198" t="s">
        <v>643</v>
      </c>
      <c r="D1816" s="197" t="s">
        <v>644</v>
      </c>
      <c r="E1816" s="199">
        <v>4.0</v>
      </c>
      <c r="F1816" s="200">
        <v>45714.375</v>
      </c>
      <c r="G1816" s="197" t="s">
        <v>845</v>
      </c>
      <c r="H1816" s="197" t="s">
        <v>861</v>
      </c>
    </row>
    <row r="1817" ht="15.75" customHeight="1">
      <c r="A1817" s="197" t="s">
        <v>68</v>
      </c>
      <c r="B1817" s="197" t="s">
        <v>21</v>
      </c>
      <c r="C1817" s="198" t="s">
        <v>643</v>
      </c>
      <c r="D1817" s="197" t="s">
        <v>644</v>
      </c>
      <c r="E1817" s="199">
        <v>5.0</v>
      </c>
      <c r="F1817" s="200">
        <v>45756.41666666667</v>
      </c>
      <c r="G1817" s="197" t="s">
        <v>845</v>
      </c>
      <c r="H1817" s="197" t="s">
        <v>861</v>
      </c>
    </row>
    <row r="1818" ht="15.75" customHeight="1">
      <c r="A1818" s="197" t="s">
        <v>68</v>
      </c>
      <c r="B1818" s="197" t="s">
        <v>21</v>
      </c>
      <c r="C1818" s="198" t="s">
        <v>643</v>
      </c>
      <c r="D1818" s="197" t="s">
        <v>644</v>
      </c>
      <c r="E1818" s="199">
        <v>6.0</v>
      </c>
      <c r="F1818" s="200">
        <v>45763.41666666667</v>
      </c>
      <c r="G1818" s="197" t="s">
        <v>845</v>
      </c>
      <c r="H1818" s="197" t="s">
        <v>861</v>
      </c>
    </row>
    <row r="1819" ht="15.75" customHeight="1">
      <c r="A1819" s="197" t="s">
        <v>68</v>
      </c>
      <c r="B1819" s="197" t="s">
        <v>21</v>
      </c>
      <c r="C1819" s="198" t="s">
        <v>643</v>
      </c>
      <c r="D1819" s="197" t="s">
        <v>644</v>
      </c>
      <c r="E1819" s="199">
        <v>7.0</v>
      </c>
      <c r="F1819" s="200">
        <v>45789.41666666667</v>
      </c>
      <c r="G1819" s="197" t="s">
        <v>845</v>
      </c>
      <c r="H1819" s="197" t="s">
        <v>861</v>
      </c>
    </row>
    <row r="1820" ht="15.75" customHeight="1">
      <c r="A1820" s="197" t="s">
        <v>68</v>
      </c>
      <c r="B1820" s="197" t="s">
        <v>21</v>
      </c>
      <c r="C1820" s="198" t="s">
        <v>643</v>
      </c>
      <c r="D1820" s="197" t="s">
        <v>644</v>
      </c>
      <c r="E1820" s="199">
        <v>8.0</v>
      </c>
      <c r="F1820" s="200">
        <v>45800.41666666667</v>
      </c>
      <c r="G1820" s="197" t="s">
        <v>845</v>
      </c>
      <c r="H1820" s="197" t="s">
        <v>861</v>
      </c>
    </row>
    <row r="1821" ht="15.75" customHeight="1">
      <c r="A1821" s="197" t="s">
        <v>68</v>
      </c>
      <c r="B1821" s="197" t="s">
        <v>21</v>
      </c>
      <c r="C1821" s="198" t="s">
        <v>643</v>
      </c>
      <c r="D1821" s="197" t="s">
        <v>644</v>
      </c>
      <c r="E1821" s="199">
        <v>9.0</v>
      </c>
      <c r="F1821" s="200">
        <v>45803.375</v>
      </c>
      <c r="G1821" s="197" t="s">
        <v>845</v>
      </c>
      <c r="H1821" s="197" t="s">
        <v>861</v>
      </c>
    </row>
    <row r="1822" ht="15.75" customHeight="1">
      <c r="A1822" s="197" t="s">
        <v>68</v>
      </c>
      <c r="B1822" s="197" t="s">
        <v>21</v>
      </c>
      <c r="C1822" s="198" t="s">
        <v>643</v>
      </c>
      <c r="D1822" s="197" t="s">
        <v>644</v>
      </c>
      <c r="E1822" s="199">
        <v>10.0</v>
      </c>
      <c r="F1822" s="200">
        <v>45819.41666666667</v>
      </c>
      <c r="G1822" s="197" t="s">
        <v>845</v>
      </c>
      <c r="H1822" s="197" t="s">
        <v>861</v>
      </c>
    </row>
    <row r="1823" ht="15.75" customHeight="1">
      <c r="A1823" s="197" t="s">
        <v>68</v>
      </c>
      <c r="B1823" s="197" t="s">
        <v>21</v>
      </c>
      <c r="C1823" s="198" t="s">
        <v>643</v>
      </c>
      <c r="D1823" s="197" t="s">
        <v>644</v>
      </c>
      <c r="E1823" s="199">
        <v>11.0</v>
      </c>
      <c r="F1823" s="200">
        <v>45826.41666666667</v>
      </c>
      <c r="G1823" s="197" t="s">
        <v>845</v>
      </c>
      <c r="H1823" s="197" t="s">
        <v>861</v>
      </c>
    </row>
    <row r="1824" ht="15.75" customHeight="1">
      <c r="A1824" s="197" t="s">
        <v>68</v>
      </c>
      <c r="B1824" s="197" t="s">
        <v>21</v>
      </c>
      <c r="C1824" s="198" t="s">
        <v>643</v>
      </c>
      <c r="D1824" s="197" t="s">
        <v>644</v>
      </c>
      <c r="E1824" s="199">
        <v>12.0</v>
      </c>
      <c r="F1824" s="200">
        <v>45853.41666666667</v>
      </c>
      <c r="G1824" s="197" t="s">
        <v>845</v>
      </c>
      <c r="H1824" s="197" t="s">
        <v>861</v>
      </c>
    </row>
    <row r="1825" ht="15.75" customHeight="1">
      <c r="A1825" s="197" t="s">
        <v>68</v>
      </c>
      <c r="B1825" s="197" t="s">
        <v>22</v>
      </c>
      <c r="C1825" s="198" t="s">
        <v>643</v>
      </c>
      <c r="D1825" s="197" t="s">
        <v>644</v>
      </c>
      <c r="E1825" s="199">
        <v>1.0</v>
      </c>
      <c r="F1825" s="200">
        <v>45887.375</v>
      </c>
      <c r="G1825" s="197" t="s">
        <v>845</v>
      </c>
      <c r="H1825" s="197" t="s">
        <v>861</v>
      </c>
    </row>
    <row r="1826" ht="15.75" customHeight="1">
      <c r="A1826" s="197" t="s">
        <v>68</v>
      </c>
      <c r="B1826" s="197" t="s">
        <v>22</v>
      </c>
      <c r="C1826" s="198" t="s">
        <v>643</v>
      </c>
      <c r="D1826" s="197" t="s">
        <v>644</v>
      </c>
      <c r="E1826" s="199">
        <v>2.0</v>
      </c>
      <c r="F1826" s="200">
        <v>45894.45833333333</v>
      </c>
      <c r="G1826" s="197" t="s">
        <v>845</v>
      </c>
      <c r="H1826" s="197" t="s">
        <v>861</v>
      </c>
    </row>
    <row r="1827" ht="15.75" customHeight="1">
      <c r="A1827" s="197" t="s">
        <v>68</v>
      </c>
      <c r="B1827" s="197" t="s">
        <v>22</v>
      </c>
      <c r="C1827" s="198" t="s">
        <v>643</v>
      </c>
      <c r="D1827" s="197" t="s">
        <v>644</v>
      </c>
      <c r="E1827" s="199">
        <v>3.0</v>
      </c>
      <c r="F1827" s="200">
        <v>45912.58333333333</v>
      </c>
      <c r="G1827" s="197" t="s">
        <v>845</v>
      </c>
      <c r="H1827" s="197" t="s">
        <v>861</v>
      </c>
    </row>
    <row r="1828" ht="15.75" customHeight="1">
      <c r="A1828" s="197" t="s">
        <v>68</v>
      </c>
      <c r="B1828" s="197" t="s">
        <v>22</v>
      </c>
      <c r="C1828" s="198" t="s">
        <v>643</v>
      </c>
      <c r="D1828" s="197" t="s">
        <v>644</v>
      </c>
      <c r="E1828" s="199">
        <v>4.0</v>
      </c>
      <c r="F1828" s="200">
        <v>45915.58333333333</v>
      </c>
      <c r="G1828" s="197" t="s">
        <v>843</v>
      </c>
      <c r="H1828" s="197" t="s">
        <v>861</v>
      </c>
    </row>
    <row r="1829" ht="15.75" customHeight="1">
      <c r="A1829" s="197" t="s">
        <v>68</v>
      </c>
      <c r="B1829" s="197" t="s">
        <v>22</v>
      </c>
      <c r="C1829" s="198" t="s">
        <v>643</v>
      </c>
      <c r="D1829" s="197" t="s">
        <v>644</v>
      </c>
      <c r="E1829" s="199">
        <v>5.0</v>
      </c>
      <c r="F1829" s="200">
        <v>45922.625</v>
      </c>
      <c r="G1829" s="197" t="s">
        <v>845</v>
      </c>
      <c r="H1829" s="197" t="s">
        <v>861</v>
      </c>
    </row>
    <row r="1830" ht="15.75" customHeight="1">
      <c r="A1830" s="197" t="s">
        <v>68</v>
      </c>
      <c r="B1830" s="197" t="s">
        <v>22</v>
      </c>
      <c r="C1830" s="198" t="s">
        <v>643</v>
      </c>
      <c r="D1830" s="197" t="s">
        <v>644</v>
      </c>
      <c r="E1830" s="199">
        <v>6.0</v>
      </c>
      <c r="F1830" s="200">
        <v>45926.58333333333</v>
      </c>
      <c r="G1830" s="197" t="s">
        <v>845</v>
      </c>
      <c r="H1830" s="197" t="s">
        <v>861</v>
      </c>
    </row>
    <row r="1831" ht="15.75" customHeight="1">
      <c r="A1831" s="197" t="s">
        <v>68</v>
      </c>
      <c r="B1831" s="197" t="s">
        <v>22</v>
      </c>
      <c r="C1831" s="198" t="s">
        <v>643</v>
      </c>
      <c r="D1831" s="197" t="s">
        <v>644</v>
      </c>
      <c r="E1831" s="199">
        <v>7.0</v>
      </c>
      <c r="F1831" s="200">
        <v>45940.625</v>
      </c>
      <c r="G1831" s="197" t="s">
        <v>845</v>
      </c>
      <c r="H1831" s="197" t="s">
        <v>861</v>
      </c>
    </row>
    <row r="1832" ht="15.75" customHeight="1">
      <c r="A1832" s="197" t="s">
        <v>68</v>
      </c>
      <c r="B1832" s="197" t="s">
        <v>22</v>
      </c>
      <c r="C1832" s="198" t="s">
        <v>643</v>
      </c>
      <c r="D1832" s="197" t="s">
        <v>644</v>
      </c>
      <c r="E1832" s="199">
        <v>8.0</v>
      </c>
      <c r="F1832" s="200">
        <v>45943.625</v>
      </c>
      <c r="G1832" s="197" t="s">
        <v>845</v>
      </c>
      <c r="H1832" s="197" t="s">
        <v>861</v>
      </c>
    </row>
    <row r="1833" ht="15.75" customHeight="1">
      <c r="A1833" s="197" t="s">
        <v>68</v>
      </c>
      <c r="B1833" s="197" t="s">
        <v>22</v>
      </c>
      <c r="C1833" s="198" t="s">
        <v>643</v>
      </c>
      <c r="D1833" s="197" t="s">
        <v>644</v>
      </c>
      <c r="E1833" s="199">
        <v>9.0</v>
      </c>
      <c r="F1833" s="200">
        <v>45950.625</v>
      </c>
      <c r="G1833" s="197" t="s">
        <v>845</v>
      </c>
      <c r="H1833" s="197" t="s">
        <v>861</v>
      </c>
    </row>
    <row r="1834" ht="15.75" customHeight="1">
      <c r="A1834" s="197" t="s">
        <v>68</v>
      </c>
      <c r="B1834" s="197" t="s">
        <v>22</v>
      </c>
      <c r="C1834" s="198" t="s">
        <v>643</v>
      </c>
      <c r="D1834" s="197" t="s">
        <v>644</v>
      </c>
      <c r="E1834" s="199">
        <v>10.0</v>
      </c>
      <c r="F1834" s="200">
        <v>45957.625</v>
      </c>
      <c r="G1834" s="197" t="s">
        <v>845</v>
      </c>
      <c r="H1834" s="197" t="s">
        <v>861</v>
      </c>
    </row>
    <row r="1835" ht="15.75" customHeight="1">
      <c r="A1835" s="197" t="s">
        <v>68</v>
      </c>
      <c r="B1835" s="197" t="s">
        <v>22</v>
      </c>
      <c r="C1835" s="198" t="s">
        <v>643</v>
      </c>
      <c r="D1835" s="197" t="s">
        <v>644</v>
      </c>
      <c r="E1835" s="199">
        <v>11.0</v>
      </c>
      <c r="F1835" s="200">
        <v>46007.625</v>
      </c>
      <c r="G1835" s="197" t="s">
        <v>845</v>
      </c>
      <c r="H1835" s="197" t="s">
        <v>861</v>
      </c>
    </row>
    <row r="1836" ht="15.75" customHeight="1">
      <c r="A1836" s="197" t="s">
        <v>68</v>
      </c>
      <c r="B1836" s="197" t="s">
        <v>22</v>
      </c>
      <c r="C1836" s="198" t="s">
        <v>643</v>
      </c>
      <c r="D1836" s="197" t="s">
        <v>644</v>
      </c>
      <c r="E1836" s="199">
        <v>12.0</v>
      </c>
      <c r="F1836" s="200">
        <v>46021.58333333333</v>
      </c>
      <c r="G1836" s="197" t="s">
        <v>845</v>
      </c>
      <c r="H1836" s="197" t="s">
        <v>861</v>
      </c>
    </row>
    <row r="1837" ht="15.75" customHeight="1">
      <c r="A1837" s="197" t="s">
        <v>68</v>
      </c>
      <c r="B1837" s="197" t="s">
        <v>22</v>
      </c>
      <c r="C1837" s="198" t="s">
        <v>715</v>
      </c>
      <c r="D1837" s="197" t="s">
        <v>716</v>
      </c>
      <c r="E1837" s="199">
        <v>1.0</v>
      </c>
      <c r="F1837" s="200">
        <v>45887.375</v>
      </c>
      <c r="G1837" s="197" t="s">
        <v>845</v>
      </c>
      <c r="H1837" s="197" t="s">
        <v>861</v>
      </c>
    </row>
    <row r="1838" ht="15.75" customHeight="1">
      <c r="A1838" s="197" t="s">
        <v>68</v>
      </c>
      <c r="B1838" s="197" t="s">
        <v>22</v>
      </c>
      <c r="C1838" s="198" t="s">
        <v>715</v>
      </c>
      <c r="D1838" s="197" t="s">
        <v>716</v>
      </c>
      <c r="E1838" s="199">
        <v>2.0</v>
      </c>
      <c r="F1838" s="200">
        <v>45894.45833333333</v>
      </c>
      <c r="G1838" s="197" t="s">
        <v>845</v>
      </c>
      <c r="H1838" s="197" t="s">
        <v>861</v>
      </c>
    </row>
    <row r="1839" ht="15.75" customHeight="1">
      <c r="A1839" s="197" t="s">
        <v>68</v>
      </c>
      <c r="B1839" s="197" t="s">
        <v>22</v>
      </c>
      <c r="C1839" s="198" t="s">
        <v>715</v>
      </c>
      <c r="D1839" s="197" t="s">
        <v>716</v>
      </c>
      <c r="E1839" s="199">
        <v>3.0</v>
      </c>
      <c r="F1839" s="200">
        <v>45912.58333333333</v>
      </c>
      <c r="G1839" s="197" t="s">
        <v>845</v>
      </c>
      <c r="H1839" s="197" t="s">
        <v>861</v>
      </c>
    </row>
    <row r="1840" ht="15.75" customHeight="1">
      <c r="A1840" s="197" t="s">
        <v>68</v>
      </c>
      <c r="B1840" s="197" t="s">
        <v>22</v>
      </c>
      <c r="C1840" s="198" t="s">
        <v>715</v>
      </c>
      <c r="D1840" s="197" t="s">
        <v>716</v>
      </c>
      <c r="E1840" s="199">
        <v>4.0</v>
      </c>
      <c r="F1840" s="200">
        <v>45915.58333333333</v>
      </c>
      <c r="G1840" s="197" t="s">
        <v>843</v>
      </c>
      <c r="H1840" s="197" t="s">
        <v>861</v>
      </c>
    </row>
    <row r="1841" ht="15.75" customHeight="1">
      <c r="A1841" s="197" t="s">
        <v>68</v>
      </c>
      <c r="B1841" s="197" t="s">
        <v>22</v>
      </c>
      <c r="C1841" s="198" t="s">
        <v>715</v>
      </c>
      <c r="D1841" s="197" t="s">
        <v>716</v>
      </c>
      <c r="E1841" s="199">
        <v>5.0</v>
      </c>
      <c r="F1841" s="200">
        <v>45922.625</v>
      </c>
      <c r="G1841" s="197" t="s">
        <v>845</v>
      </c>
      <c r="H1841" s="197" t="s">
        <v>861</v>
      </c>
    </row>
    <row r="1842" ht="15.75" customHeight="1">
      <c r="A1842" s="197" t="s">
        <v>68</v>
      </c>
      <c r="B1842" s="197" t="s">
        <v>22</v>
      </c>
      <c r="C1842" s="198" t="s">
        <v>715</v>
      </c>
      <c r="D1842" s="197" t="s">
        <v>716</v>
      </c>
      <c r="E1842" s="199">
        <v>6.0</v>
      </c>
      <c r="F1842" s="200">
        <v>45926.58333333333</v>
      </c>
      <c r="G1842" s="197" t="s">
        <v>845</v>
      </c>
      <c r="H1842" s="197" t="s">
        <v>861</v>
      </c>
    </row>
    <row r="1843" ht="15.75" customHeight="1">
      <c r="A1843" s="197" t="s">
        <v>68</v>
      </c>
      <c r="B1843" s="197" t="s">
        <v>22</v>
      </c>
      <c r="C1843" s="198" t="s">
        <v>715</v>
      </c>
      <c r="D1843" s="197" t="s">
        <v>716</v>
      </c>
      <c r="E1843" s="199">
        <v>7.0</v>
      </c>
      <c r="F1843" s="200">
        <v>45940.625</v>
      </c>
      <c r="G1843" s="197" t="s">
        <v>845</v>
      </c>
      <c r="H1843" s="197" t="s">
        <v>861</v>
      </c>
    </row>
    <row r="1844" ht="15.75" customHeight="1">
      <c r="A1844" s="197" t="s">
        <v>68</v>
      </c>
      <c r="B1844" s="197" t="s">
        <v>22</v>
      </c>
      <c r="C1844" s="198" t="s">
        <v>715</v>
      </c>
      <c r="D1844" s="197" t="s">
        <v>716</v>
      </c>
      <c r="E1844" s="199">
        <v>8.0</v>
      </c>
      <c r="F1844" s="200">
        <v>45943.625</v>
      </c>
      <c r="G1844" s="197" t="s">
        <v>845</v>
      </c>
      <c r="H1844" s="197" t="s">
        <v>861</v>
      </c>
    </row>
    <row r="1845" ht="15.75" customHeight="1">
      <c r="A1845" s="197" t="s">
        <v>68</v>
      </c>
      <c r="B1845" s="197" t="s">
        <v>22</v>
      </c>
      <c r="C1845" s="198" t="s">
        <v>715</v>
      </c>
      <c r="D1845" s="197" t="s">
        <v>716</v>
      </c>
      <c r="E1845" s="199">
        <v>9.0</v>
      </c>
      <c r="F1845" s="200">
        <v>45950.625</v>
      </c>
      <c r="G1845" s="197" t="s">
        <v>845</v>
      </c>
      <c r="H1845" s="197" t="s">
        <v>861</v>
      </c>
    </row>
    <row r="1846" ht="15.75" customHeight="1">
      <c r="A1846" s="197" t="s">
        <v>68</v>
      </c>
      <c r="B1846" s="197" t="s">
        <v>22</v>
      </c>
      <c r="C1846" s="198" t="s">
        <v>715</v>
      </c>
      <c r="D1846" s="197" t="s">
        <v>716</v>
      </c>
      <c r="E1846" s="199">
        <v>10.0</v>
      </c>
      <c r="F1846" s="200">
        <v>45957.625</v>
      </c>
      <c r="G1846" s="197" t="s">
        <v>845</v>
      </c>
      <c r="H1846" s="197" t="s">
        <v>861</v>
      </c>
    </row>
    <row r="1847" ht="15.75" customHeight="1">
      <c r="A1847" s="197" t="s">
        <v>68</v>
      </c>
      <c r="B1847" s="197" t="s">
        <v>22</v>
      </c>
      <c r="C1847" s="198" t="s">
        <v>715</v>
      </c>
      <c r="D1847" s="197" t="s">
        <v>716</v>
      </c>
      <c r="E1847" s="199">
        <v>11.0</v>
      </c>
      <c r="F1847" s="200">
        <v>46007.625</v>
      </c>
      <c r="G1847" s="197" t="s">
        <v>845</v>
      </c>
      <c r="H1847" s="197" t="s">
        <v>861</v>
      </c>
    </row>
    <row r="1848" ht="15.75" customHeight="1">
      <c r="A1848" s="197" t="s">
        <v>68</v>
      </c>
      <c r="B1848" s="197" t="s">
        <v>22</v>
      </c>
      <c r="C1848" s="198" t="s">
        <v>715</v>
      </c>
      <c r="D1848" s="197" t="s">
        <v>716</v>
      </c>
      <c r="E1848" s="199">
        <v>12.0</v>
      </c>
      <c r="F1848" s="200">
        <v>46021.58333333333</v>
      </c>
      <c r="G1848" s="197" t="s">
        <v>845</v>
      </c>
      <c r="H1848" s="197" t="s">
        <v>861</v>
      </c>
    </row>
    <row r="1849" ht="15.75" customHeight="1">
      <c r="A1849" s="197" t="s">
        <v>69</v>
      </c>
      <c r="B1849" s="197" t="s">
        <v>21</v>
      </c>
      <c r="C1849" s="198" t="s">
        <v>257</v>
      </c>
      <c r="D1849" s="197" t="s">
        <v>258</v>
      </c>
      <c r="E1849" s="199">
        <v>1.0</v>
      </c>
      <c r="F1849" s="200">
        <v>45663.41666666667</v>
      </c>
      <c r="G1849" s="197" t="s">
        <v>845</v>
      </c>
      <c r="H1849" s="197" t="s">
        <v>862</v>
      </c>
    </row>
    <row r="1850" ht="15.75" customHeight="1">
      <c r="A1850" s="197" t="s">
        <v>69</v>
      </c>
      <c r="B1850" s="197" t="s">
        <v>21</v>
      </c>
      <c r="C1850" s="198" t="s">
        <v>257</v>
      </c>
      <c r="D1850" s="197" t="s">
        <v>258</v>
      </c>
      <c r="E1850" s="199">
        <v>2.0</v>
      </c>
      <c r="F1850" s="200">
        <v>45671.41666666667</v>
      </c>
      <c r="G1850" s="197" t="s">
        <v>845</v>
      </c>
      <c r="H1850" s="197" t="s">
        <v>862</v>
      </c>
    </row>
    <row r="1851" ht="15.75" customHeight="1">
      <c r="A1851" s="197" t="s">
        <v>69</v>
      </c>
      <c r="B1851" s="197" t="s">
        <v>21</v>
      </c>
      <c r="C1851" s="198" t="s">
        <v>257</v>
      </c>
      <c r="D1851" s="197" t="s">
        <v>258</v>
      </c>
      <c r="E1851" s="199">
        <v>3.0</v>
      </c>
      <c r="F1851" s="200">
        <v>45677.41666666667</v>
      </c>
      <c r="G1851" s="197" t="s">
        <v>845</v>
      </c>
      <c r="H1851" s="197" t="s">
        <v>862</v>
      </c>
    </row>
    <row r="1852" ht="15.75" customHeight="1">
      <c r="A1852" s="197" t="s">
        <v>69</v>
      </c>
      <c r="B1852" s="197" t="s">
        <v>21</v>
      </c>
      <c r="C1852" s="198" t="s">
        <v>257</v>
      </c>
      <c r="D1852" s="197" t="s">
        <v>258</v>
      </c>
      <c r="E1852" s="199">
        <v>4.0</v>
      </c>
      <c r="F1852" s="200">
        <v>45695.45833333333</v>
      </c>
      <c r="G1852" s="197" t="s">
        <v>845</v>
      </c>
      <c r="H1852" s="197" t="s">
        <v>862</v>
      </c>
    </row>
    <row r="1853" ht="15.75" customHeight="1">
      <c r="A1853" s="197" t="s">
        <v>69</v>
      </c>
      <c r="B1853" s="197" t="s">
        <v>21</v>
      </c>
      <c r="C1853" s="198" t="s">
        <v>257</v>
      </c>
      <c r="D1853" s="197" t="s">
        <v>258</v>
      </c>
      <c r="E1853" s="199">
        <v>5.0</v>
      </c>
      <c r="F1853" s="200">
        <v>45702.54166666667</v>
      </c>
      <c r="G1853" s="197" t="s">
        <v>845</v>
      </c>
      <c r="H1853" s="197" t="s">
        <v>862</v>
      </c>
    </row>
    <row r="1854" ht="15.75" customHeight="1">
      <c r="A1854" s="197" t="s">
        <v>69</v>
      </c>
      <c r="B1854" s="197" t="s">
        <v>21</v>
      </c>
      <c r="C1854" s="198" t="s">
        <v>257</v>
      </c>
      <c r="D1854" s="197" t="s">
        <v>258</v>
      </c>
      <c r="E1854" s="199">
        <v>6.0</v>
      </c>
      <c r="F1854" s="200">
        <v>45706.45833333333</v>
      </c>
      <c r="G1854" s="197" t="s">
        <v>845</v>
      </c>
      <c r="H1854" s="197" t="s">
        <v>862</v>
      </c>
    </row>
    <row r="1855" ht="15.75" customHeight="1">
      <c r="A1855" s="197" t="s">
        <v>69</v>
      </c>
      <c r="B1855" s="197" t="s">
        <v>21</v>
      </c>
      <c r="C1855" s="198" t="s">
        <v>257</v>
      </c>
      <c r="D1855" s="197" t="s">
        <v>258</v>
      </c>
      <c r="E1855" s="199">
        <v>7.0</v>
      </c>
      <c r="F1855" s="200">
        <v>45709.41666666667</v>
      </c>
      <c r="G1855" s="197" t="s">
        <v>845</v>
      </c>
      <c r="H1855" s="197" t="s">
        <v>862</v>
      </c>
    </row>
    <row r="1856" ht="15.75" customHeight="1">
      <c r="A1856" s="197" t="s">
        <v>69</v>
      </c>
      <c r="B1856" s="197" t="s">
        <v>21</v>
      </c>
      <c r="C1856" s="198" t="s">
        <v>257</v>
      </c>
      <c r="D1856" s="197" t="s">
        <v>258</v>
      </c>
      <c r="E1856" s="199">
        <v>8.0</v>
      </c>
      <c r="F1856" s="200">
        <v>45713.45833333333</v>
      </c>
      <c r="G1856" s="197" t="s">
        <v>845</v>
      </c>
      <c r="H1856" s="197" t="s">
        <v>862</v>
      </c>
    </row>
    <row r="1857" ht="15.75" customHeight="1">
      <c r="A1857" s="197" t="s">
        <v>69</v>
      </c>
      <c r="B1857" s="197" t="s">
        <v>21</v>
      </c>
      <c r="C1857" s="198" t="s">
        <v>257</v>
      </c>
      <c r="D1857" s="197" t="s">
        <v>258</v>
      </c>
      <c r="E1857" s="199">
        <v>9.0</v>
      </c>
      <c r="F1857" s="200">
        <v>45716.41666666667</v>
      </c>
      <c r="G1857" s="197" t="s">
        <v>845</v>
      </c>
      <c r="H1857" s="197" t="s">
        <v>862</v>
      </c>
    </row>
    <row r="1858" ht="15.75" customHeight="1">
      <c r="A1858" s="197" t="s">
        <v>69</v>
      </c>
      <c r="B1858" s="197" t="s">
        <v>21</v>
      </c>
      <c r="C1858" s="198" t="s">
        <v>257</v>
      </c>
      <c r="D1858" s="197" t="s">
        <v>258</v>
      </c>
      <c r="E1858" s="199">
        <v>10.0</v>
      </c>
      <c r="F1858" s="200">
        <v>45758.41666666667</v>
      </c>
      <c r="G1858" s="197" t="s">
        <v>845</v>
      </c>
      <c r="H1858" s="197" t="s">
        <v>862</v>
      </c>
    </row>
    <row r="1859" ht="15.75" customHeight="1">
      <c r="A1859" s="197" t="s">
        <v>69</v>
      </c>
      <c r="B1859" s="197" t="s">
        <v>21</v>
      </c>
      <c r="C1859" s="198" t="s">
        <v>257</v>
      </c>
      <c r="D1859" s="197" t="s">
        <v>258</v>
      </c>
      <c r="E1859" s="199">
        <v>11.0</v>
      </c>
      <c r="F1859" s="200">
        <v>45765.41666666667</v>
      </c>
      <c r="G1859" s="197" t="s">
        <v>845</v>
      </c>
      <c r="H1859" s="197" t="s">
        <v>862</v>
      </c>
    </row>
    <row r="1860" ht="15.75" customHeight="1">
      <c r="A1860" s="197" t="s">
        <v>69</v>
      </c>
      <c r="B1860" s="197" t="s">
        <v>21</v>
      </c>
      <c r="C1860" s="198" t="s">
        <v>257</v>
      </c>
      <c r="D1860" s="197" t="s">
        <v>258</v>
      </c>
      <c r="E1860" s="199">
        <v>12.0</v>
      </c>
      <c r="F1860" s="200">
        <v>45772.41666666667</v>
      </c>
      <c r="G1860" s="197" t="s">
        <v>845</v>
      </c>
      <c r="H1860" s="197" t="s">
        <v>862</v>
      </c>
    </row>
    <row r="1861" ht="15.75" customHeight="1">
      <c r="A1861" s="197" t="s">
        <v>69</v>
      </c>
      <c r="B1861" s="197" t="s">
        <v>21</v>
      </c>
      <c r="C1861" s="198" t="s">
        <v>311</v>
      </c>
      <c r="D1861" s="197" t="s">
        <v>312</v>
      </c>
      <c r="E1861" s="199">
        <v>1.0</v>
      </c>
      <c r="F1861" s="200">
        <v>45663.41666666667</v>
      </c>
      <c r="G1861" s="197" t="s">
        <v>845</v>
      </c>
      <c r="H1861" s="197" t="s">
        <v>862</v>
      </c>
    </row>
    <row r="1862" ht="15.75" customHeight="1">
      <c r="A1862" s="197" t="s">
        <v>69</v>
      </c>
      <c r="B1862" s="197" t="s">
        <v>21</v>
      </c>
      <c r="C1862" s="198" t="s">
        <v>311</v>
      </c>
      <c r="D1862" s="197" t="s">
        <v>312</v>
      </c>
      <c r="E1862" s="199">
        <v>2.0</v>
      </c>
      <c r="F1862" s="200">
        <v>45671.41666666667</v>
      </c>
      <c r="G1862" s="197" t="s">
        <v>845</v>
      </c>
      <c r="H1862" s="197" t="s">
        <v>862</v>
      </c>
    </row>
    <row r="1863" ht="15.75" customHeight="1">
      <c r="A1863" s="197" t="s">
        <v>69</v>
      </c>
      <c r="B1863" s="197" t="s">
        <v>21</v>
      </c>
      <c r="C1863" s="198" t="s">
        <v>311</v>
      </c>
      <c r="D1863" s="197" t="s">
        <v>312</v>
      </c>
      <c r="E1863" s="199">
        <v>3.0</v>
      </c>
      <c r="F1863" s="200">
        <v>45677.41666666667</v>
      </c>
      <c r="G1863" s="197" t="s">
        <v>845</v>
      </c>
      <c r="H1863" s="197" t="s">
        <v>862</v>
      </c>
    </row>
    <row r="1864" ht="15.75" customHeight="1">
      <c r="A1864" s="197" t="s">
        <v>69</v>
      </c>
      <c r="B1864" s="197" t="s">
        <v>21</v>
      </c>
      <c r="C1864" s="198" t="s">
        <v>311</v>
      </c>
      <c r="D1864" s="197" t="s">
        <v>312</v>
      </c>
      <c r="E1864" s="199">
        <v>4.0</v>
      </c>
      <c r="F1864" s="200">
        <v>45695.45833333333</v>
      </c>
      <c r="G1864" s="197" t="s">
        <v>845</v>
      </c>
      <c r="H1864" s="197" t="s">
        <v>862</v>
      </c>
    </row>
    <row r="1865" ht="15.75" customHeight="1">
      <c r="A1865" s="197" t="s">
        <v>69</v>
      </c>
      <c r="B1865" s="197" t="s">
        <v>21</v>
      </c>
      <c r="C1865" s="198" t="s">
        <v>311</v>
      </c>
      <c r="D1865" s="197" t="s">
        <v>312</v>
      </c>
      <c r="E1865" s="199">
        <v>5.0</v>
      </c>
      <c r="F1865" s="200">
        <v>45702.54166666667</v>
      </c>
      <c r="G1865" s="197" t="s">
        <v>845</v>
      </c>
      <c r="H1865" s="197" t="s">
        <v>862</v>
      </c>
    </row>
    <row r="1866" ht="15.75" customHeight="1">
      <c r="A1866" s="197" t="s">
        <v>69</v>
      </c>
      <c r="B1866" s="197" t="s">
        <v>21</v>
      </c>
      <c r="C1866" s="198" t="s">
        <v>311</v>
      </c>
      <c r="D1866" s="197" t="s">
        <v>312</v>
      </c>
      <c r="E1866" s="199">
        <v>6.0</v>
      </c>
      <c r="F1866" s="200">
        <v>45706.45833333333</v>
      </c>
      <c r="G1866" s="197" t="s">
        <v>845</v>
      </c>
      <c r="H1866" s="197" t="s">
        <v>862</v>
      </c>
    </row>
    <row r="1867" ht="15.75" customHeight="1">
      <c r="A1867" s="197" t="s">
        <v>69</v>
      </c>
      <c r="B1867" s="197" t="s">
        <v>21</v>
      </c>
      <c r="C1867" s="198" t="s">
        <v>311</v>
      </c>
      <c r="D1867" s="197" t="s">
        <v>312</v>
      </c>
      <c r="E1867" s="199">
        <v>7.0</v>
      </c>
      <c r="F1867" s="200">
        <v>45709.41666666667</v>
      </c>
      <c r="G1867" s="197" t="s">
        <v>843</v>
      </c>
      <c r="H1867" s="197" t="s">
        <v>862</v>
      </c>
    </row>
    <row r="1868" ht="15.75" customHeight="1">
      <c r="A1868" s="197" t="s">
        <v>69</v>
      </c>
      <c r="B1868" s="197" t="s">
        <v>21</v>
      </c>
      <c r="C1868" s="198" t="s">
        <v>311</v>
      </c>
      <c r="D1868" s="197" t="s">
        <v>312</v>
      </c>
      <c r="E1868" s="199">
        <v>8.0</v>
      </c>
      <c r="F1868" s="200">
        <v>45713.45833333333</v>
      </c>
      <c r="G1868" s="197" t="s">
        <v>845</v>
      </c>
      <c r="H1868" s="197" t="s">
        <v>862</v>
      </c>
    </row>
    <row r="1869" ht="15.75" customHeight="1">
      <c r="A1869" s="197" t="s">
        <v>69</v>
      </c>
      <c r="B1869" s="197" t="s">
        <v>21</v>
      </c>
      <c r="C1869" s="198" t="s">
        <v>311</v>
      </c>
      <c r="D1869" s="197" t="s">
        <v>312</v>
      </c>
      <c r="E1869" s="199">
        <v>9.0</v>
      </c>
      <c r="F1869" s="200">
        <v>45716.41666666667</v>
      </c>
      <c r="G1869" s="197" t="s">
        <v>845</v>
      </c>
      <c r="H1869" s="197" t="s">
        <v>862</v>
      </c>
    </row>
    <row r="1870" ht="15.75" customHeight="1">
      <c r="A1870" s="197" t="s">
        <v>69</v>
      </c>
      <c r="B1870" s="197" t="s">
        <v>21</v>
      </c>
      <c r="C1870" s="198" t="s">
        <v>311</v>
      </c>
      <c r="D1870" s="197" t="s">
        <v>312</v>
      </c>
      <c r="E1870" s="199">
        <v>10.0</v>
      </c>
      <c r="F1870" s="200">
        <v>45758.41666666667</v>
      </c>
      <c r="G1870" s="197" t="s">
        <v>845</v>
      </c>
      <c r="H1870" s="197" t="s">
        <v>862</v>
      </c>
    </row>
    <row r="1871" ht="15.75" customHeight="1">
      <c r="A1871" s="197" t="s">
        <v>69</v>
      </c>
      <c r="B1871" s="197" t="s">
        <v>21</v>
      </c>
      <c r="C1871" s="198" t="s">
        <v>311</v>
      </c>
      <c r="D1871" s="197" t="s">
        <v>312</v>
      </c>
      <c r="E1871" s="199">
        <v>11.0</v>
      </c>
      <c r="F1871" s="200">
        <v>45765.41666666667</v>
      </c>
      <c r="G1871" s="197" t="s">
        <v>845</v>
      </c>
      <c r="H1871" s="197" t="s">
        <v>862</v>
      </c>
    </row>
    <row r="1872" ht="15.75" customHeight="1">
      <c r="A1872" s="197" t="s">
        <v>69</v>
      </c>
      <c r="B1872" s="197" t="s">
        <v>21</v>
      </c>
      <c r="C1872" s="198" t="s">
        <v>311</v>
      </c>
      <c r="D1872" s="197" t="s">
        <v>312</v>
      </c>
      <c r="E1872" s="199">
        <v>12.0</v>
      </c>
      <c r="F1872" s="200">
        <v>45772.41666666667</v>
      </c>
      <c r="G1872" s="197" t="s">
        <v>845</v>
      </c>
      <c r="H1872" s="197" t="s">
        <v>862</v>
      </c>
    </row>
    <row r="1873" ht="15.75" customHeight="1">
      <c r="A1873" s="197" t="s">
        <v>69</v>
      </c>
      <c r="B1873" s="197" t="s">
        <v>21</v>
      </c>
      <c r="C1873" s="198" t="s">
        <v>323</v>
      </c>
      <c r="D1873" s="197" t="s">
        <v>324</v>
      </c>
      <c r="E1873" s="199">
        <v>1.0</v>
      </c>
      <c r="F1873" s="200">
        <v>45663.41666666667</v>
      </c>
      <c r="G1873" s="197" t="s">
        <v>845</v>
      </c>
      <c r="H1873" s="197" t="s">
        <v>862</v>
      </c>
    </row>
    <row r="1874" ht="15.75" customHeight="1">
      <c r="A1874" s="197" t="s">
        <v>69</v>
      </c>
      <c r="B1874" s="197" t="s">
        <v>21</v>
      </c>
      <c r="C1874" s="198" t="s">
        <v>323</v>
      </c>
      <c r="D1874" s="197" t="s">
        <v>324</v>
      </c>
      <c r="E1874" s="199">
        <v>2.0</v>
      </c>
      <c r="F1874" s="200">
        <v>45671.41666666667</v>
      </c>
      <c r="G1874" s="197" t="s">
        <v>845</v>
      </c>
      <c r="H1874" s="197" t="s">
        <v>862</v>
      </c>
    </row>
    <row r="1875" ht="15.75" customHeight="1">
      <c r="A1875" s="197" t="s">
        <v>69</v>
      </c>
      <c r="B1875" s="197" t="s">
        <v>21</v>
      </c>
      <c r="C1875" s="198" t="s">
        <v>323</v>
      </c>
      <c r="D1875" s="197" t="s">
        <v>324</v>
      </c>
      <c r="E1875" s="199">
        <v>3.0</v>
      </c>
      <c r="F1875" s="200">
        <v>45677.41666666667</v>
      </c>
      <c r="G1875" s="197" t="s">
        <v>845</v>
      </c>
      <c r="H1875" s="197" t="s">
        <v>862</v>
      </c>
    </row>
    <row r="1876" ht="15.75" customHeight="1">
      <c r="A1876" s="197" t="s">
        <v>69</v>
      </c>
      <c r="B1876" s="197" t="s">
        <v>21</v>
      </c>
      <c r="C1876" s="198" t="s">
        <v>323</v>
      </c>
      <c r="D1876" s="197" t="s">
        <v>324</v>
      </c>
      <c r="E1876" s="199">
        <v>4.0</v>
      </c>
      <c r="F1876" s="200">
        <v>45695.45833333333</v>
      </c>
      <c r="G1876" s="197" t="s">
        <v>845</v>
      </c>
      <c r="H1876" s="197" t="s">
        <v>862</v>
      </c>
    </row>
    <row r="1877" ht="15.75" customHeight="1">
      <c r="A1877" s="197" t="s">
        <v>69</v>
      </c>
      <c r="B1877" s="197" t="s">
        <v>21</v>
      </c>
      <c r="C1877" s="198" t="s">
        <v>323</v>
      </c>
      <c r="D1877" s="197" t="s">
        <v>324</v>
      </c>
      <c r="E1877" s="199">
        <v>5.0</v>
      </c>
      <c r="F1877" s="200">
        <v>45702.54166666667</v>
      </c>
      <c r="G1877" s="197" t="s">
        <v>845</v>
      </c>
      <c r="H1877" s="197" t="s">
        <v>862</v>
      </c>
    </row>
    <row r="1878" ht="15.75" customHeight="1">
      <c r="A1878" s="197" t="s">
        <v>69</v>
      </c>
      <c r="B1878" s="197" t="s">
        <v>21</v>
      </c>
      <c r="C1878" s="198" t="s">
        <v>323</v>
      </c>
      <c r="D1878" s="197" t="s">
        <v>324</v>
      </c>
      <c r="E1878" s="199">
        <v>6.0</v>
      </c>
      <c r="F1878" s="200">
        <v>45706.45833333333</v>
      </c>
      <c r="G1878" s="197" t="s">
        <v>845</v>
      </c>
      <c r="H1878" s="197" t="s">
        <v>862</v>
      </c>
    </row>
    <row r="1879" ht="15.75" customHeight="1">
      <c r="A1879" s="197" t="s">
        <v>69</v>
      </c>
      <c r="B1879" s="197" t="s">
        <v>21</v>
      </c>
      <c r="C1879" s="198" t="s">
        <v>323</v>
      </c>
      <c r="D1879" s="197" t="s">
        <v>324</v>
      </c>
      <c r="E1879" s="199">
        <v>7.0</v>
      </c>
      <c r="F1879" s="200">
        <v>45709.41666666667</v>
      </c>
      <c r="G1879" s="197" t="s">
        <v>845</v>
      </c>
      <c r="H1879" s="197" t="s">
        <v>862</v>
      </c>
    </row>
    <row r="1880" ht="15.75" customHeight="1">
      <c r="A1880" s="197" t="s">
        <v>69</v>
      </c>
      <c r="B1880" s="197" t="s">
        <v>21</v>
      </c>
      <c r="C1880" s="198" t="s">
        <v>323</v>
      </c>
      <c r="D1880" s="197" t="s">
        <v>324</v>
      </c>
      <c r="E1880" s="199">
        <v>8.0</v>
      </c>
      <c r="F1880" s="200">
        <v>45713.45833333333</v>
      </c>
      <c r="G1880" s="197" t="s">
        <v>845</v>
      </c>
      <c r="H1880" s="197" t="s">
        <v>862</v>
      </c>
    </row>
    <row r="1881" ht="15.75" customHeight="1">
      <c r="A1881" s="197" t="s">
        <v>69</v>
      </c>
      <c r="B1881" s="197" t="s">
        <v>21</v>
      </c>
      <c r="C1881" s="198" t="s">
        <v>323</v>
      </c>
      <c r="D1881" s="197" t="s">
        <v>324</v>
      </c>
      <c r="E1881" s="199">
        <v>9.0</v>
      </c>
      <c r="F1881" s="200">
        <v>45716.41666666667</v>
      </c>
      <c r="G1881" s="197" t="s">
        <v>845</v>
      </c>
      <c r="H1881" s="197" t="s">
        <v>862</v>
      </c>
    </row>
    <row r="1882" ht="15.75" customHeight="1">
      <c r="A1882" s="197" t="s">
        <v>69</v>
      </c>
      <c r="B1882" s="197" t="s">
        <v>21</v>
      </c>
      <c r="C1882" s="198" t="s">
        <v>323</v>
      </c>
      <c r="D1882" s="197" t="s">
        <v>324</v>
      </c>
      <c r="E1882" s="199">
        <v>10.0</v>
      </c>
      <c r="F1882" s="200">
        <v>45758.41666666667</v>
      </c>
      <c r="G1882" s="197" t="s">
        <v>843</v>
      </c>
      <c r="H1882" s="197" t="s">
        <v>862</v>
      </c>
    </row>
    <row r="1883" ht="15.75" customHeight="1">
      <c r="A1883" s="197" t="s">
        <v>69</v>
      </c>
      <c r="B1883" s="197" t="s">
        <v>21</v>
      </c>
      <c r="C1883" s="198" t="s">
        <v>323</v>
      </c>
      <c r="D1883" s="197" t="s">
        <v>324</v>
      </c>
      <c r="E1883" s="199">
        <v>11.0</v>
      </c>
      <c r="F1883" s="200">
        <v>45765.41666666667</v>
      </c>
      <c r="G1883" s="197" t="s">
        <v>845</v>
      </c>
      <c r="H1883" s="197" t="s">
        <v>862</v>
      </c>
    </row>
    <row r="1884" ht="15.75" customHeight="1">
      <c r="A1884" s="197" t="s">
        <v>69</v>
      </c>
      <c r="B1884" s="197" t="s">
        <v>21</v>
      </c>
      <c r="C1884" s="198" t="s">
        <v>323</v>
      </c>
      <c r="D1884" s="197" t="s">
        <v>324</v>
      </c>
      <c r="E1884" s="199">
        <v>12.0</v>
      </c>
      <c r="F1884" s="200">
        <v>45772.41666666667</v>
      </c>
      <c r="G1884" s="197" t="s">
        <v>845</v>
      </c>
      <c r="H1884" s="197" t="s">
        <v>862</v>
      </c>
    </row>
    <row r="1885" ht="15.75" customHeight="1">
      <c r="A1885" s="197" t="s">
        <v>69</v>
      </c>
      <c r="B1885" s="197" t="s">
        <v>21</v>
      </c>
      <c r="C1885" s="198" t="s">
        <v>403</v>
      </c>
      <c r="D1885" s="197" t="s">
        <v>404</v>
      </c>
      <c r="E1885" s="199">
        <v>1.0</v>
      </c>
      <c r="F1885" s="200">
        <v>45663.41666666667</v>
      </c>
      <c r="G1885" s="197" t="s">
        <v>845</v>
      </c>
      <c r="H1885" s="197" t="s">
        <v>862</v>
      </c>
    </row>
    <row r="1886" ht="15.75" customHeight="1">
      <c r="A1886" s="197" t="s">
        <v>69</v>
      </c>
      <c r="B1886" s="197" t="s">
        <v>21</v>
      </c>
      <c r="C1886" s="198" t="s">
        <v>403</v>
      </c>
      <c r="D1886" s="197" t="s">
        <v>404</v>
      </c>
      <c r="E1886" s="199">
        <v>2.0</v>
      </c>
      <c r="F1886" s="200">
        <v>45671.41666666667</v>
      </c>
      <c r="G1886" s="197" t="s">
        <v>845</v>
      </c>
      <c r="H1886" s="197" t="s">
        <v>862</v>
      </c>
    </row>
    <row r="1887" ht="15.75" customHeight="1">
      <c r="A1887" s="197" t="s">
        <v>69</v>
      </c>
      <c r="B1887" s="197" t="s">
        <v>21</v>
      </c>
      <c r="C1887" s="198" t="s">
        <v>403</v>
      </c>
      <c r="D1887" s="197" t="s">
        <v>404</v>
      </c>
      <c r="E1887" s="199">
        <v>3.0</v>
      </c>
      <c r="F1887" s="200">
        <v>45677.41666666667</v>
      </c>
      <c r="G1887" s="197" t="s">
        <v>845</v>
      </c>
      <c r="H1887" s="197" t="s">
        <v>862</v>
      </c>
    </row>
    <row r="1888" ht="15.75" customHeight="1">
      <c r="A1888" s="197" t="s">
        <v>69</v>
      </c>
      <c r="B1888" s="197" t="s">
        <v>21</v>
      </c>
      <c r="C1888" s="198" t="s">
        <v>403</v>
      </c>
      <c r="D1888" s="197" t="s">
        <v>404</v>
      </c>
      <c r="E1888" s="199">
        <v>4.0</v>
      </c>
      <c r="F1888" s="200">
        <v>45695.45833333333</v>
      </c>
      <c r="G1888" s="197" t="s">
        <v>845</v>
      </c>
      <c r="H1888" s="197" t="s">
        <v>862</v>
      </c>
    </row>
    <row r="1889" ht="15.75" customHeight="1">
      <c r="A1889" s="197" t="s">
        <v>69</v>
      </c>
      <c r="B1889" s="197" t="s">
        <v>21</v>
      </c>
      <c r="C1889" s="198" t="s">
        <v>403</v>
      </c>
      <c r="D1889" s="197" t="s">
        <v>404</v>
      </c>
      <c r="E1889" s="199">
        <v>5.0</v>
      </c>
      <c r="F1889" s="200">
        <v>45702.54166666667</v>
      </c>
      <c r="G1889" s="197" t="s">
        <v>843</v>
      </c>
      <c r="H1889" s="197" t="s">
        <v>862</v>
      </c>
    </row>
    <row r="1890" ht="15.75" customHeight="1">
      <c r="A1890" s="197" t="s">
        <v>69</v>
      </c>
      <c r="B1890" s="197" t="s">
        <v>21</v>
      </c>
      <c r="C1890" s="198" t="s">
        <v>403</v>
      </c>
      <c r="D1890" s="197" t="s">
        <v>404</v>
      </c>
      <c r="E1890" s="199">
        <v>6.0</v>
      </c>
      <c r="F1890" s="200">
        <v>45706.45833333333</v>
      </c>
      <c r="G1890" s="197" t="s">
        <v>845</v>
      </c>
      <c r="H1890" s="197" t="s">
        <v>862</v>
      </c>
    </row>
    <row r="1891" ht="15.75" customHeight="1">
      <c r="A1891" s="197" t="s">
        <v>69</v>
      </c>
      <c r="B1891" s="197" t="s">
        <v>21</v>
      </c>
      <c r="C1891" s="198" t="s">
        <v>403</v>
      </c>
      <c r="D1891" s="197" t="s">
        <v>404</v>
      </c>
      <c r="E1891" s="199">
        <v>7.0</v>
      </c>
      <c r="F1891" s="200">
        <v>45709.41666666667</v>
      </c>
      <c r="G1891" s="197" t="s">
        <v>845</v>
      </c>
      <c r="H1891" s="197" t="s">
        <v>862</v>
      </c>
    </row>
    <row r="1892" ht="15.75" customHeight="1">
      <c r="A1892" s="197" t="s">
        <v>69</v>
      </c>
      <c r="B1892" s="197" t="s">
        <v>21</v>
      </c>
      <c r="C1892" s="198" t="s">
        <v>403</v>
      </c>
      <c r="D1892" s="197" t="s">
        <v>404</v>
      </c>
      <c r="E1892" s="199">
        <v>8.0</v>
      </c>
      <c r="F1892" s="200">
        <v>45713.45833333333</v>
      </c>
      <c r="G1892" s="197" t="s">
        <v>845</v>
      </c>
      <c r="H1892" s="197" t="s">
        <v>862</v>
      </c>
    </row>
    <row r="1893" ht="15.75" customHeight="1">
      <c r="A1893" s="197" t="s">
        <v>69</v>
      </c>
      <c r="B1893" s="197" t="s">
        <v>21</v>
      </c>
      <c r="C1893" s="198" t="s">
        <v>403</v>
      </c>
      <c r="D1893" s="197" t="s">
        <v>404</v>
      </c>
      <c r="E1893" s="199">
        <v>9.0</v>
      </c>
      <c r="F1893" s="200">
        <v>45716.41666666667</v>
      </c>
      <c r="G1893" s="197" t="s">
        <v>845</v>
      </c>
      <c r="H1893" s="197" t="s">
        <v>862</v>
      </c>
    </row>
    <row r="1894" ht="15.75" customHeight="1">
      <c r="A1894" s="197" t="s">
        <v>69</v>
      </c>
      <c r="B1894" s="197" t="s">
        <v>21</v>
      </c>
      <c r="C1894" s="198" t="s">
        <v>403</v>
      </c>
      <c r="D1894" s="197" t="s">
        <v>404</v>
      </c>
      <c r="E1894" s="199">
        <v>10.0</v>
      </c>
      <c r="F1894" s="200">
        <v>45758.41666666667</v>
      </c>
      <c r="G1894" s="197" t="s">
        <v>845</v>
      </c>
      <c r="H1894" s="197" t="s">
        <v>862</v>
      </c>
    </row>
    <row r="1895" ht="15.75" customHeight="1">
      <c r="A1895" s="197" t="s">
        <v>69</v>
      </c>
      <c r="B1895" s="197" t="s">
        <v>21</v>
      </c>
      <c r="C1895" s="198" t="s">
        <v>403</v>
      </c>
      <c r="D1895" s="197" t="s">
        <v>404</v>
      </c>
      <c r="E1895" s="199">
        <v>11.0</v>
      </c>
      <c r="F1895" s="200">
        <v>45765.41666666667</v>
      </c>
      <c r="G1895" s="197" t="s">
        <v>843</v>
      </c>
      <c r="H1895" s="197" t="s">
        <v>862</v>
      </c>
    </row>
    <row r="1896" ht="15.75" customHeight="1">
      <c r="A1896" s="197" t="s">
        <v>69</v>
      </c>
      <c r="B1896" s="197" t="s">
        <v>21</v>
      </c>
      <c r="C1896" s="198" t="s">
        <v>403</v>
      </c>
      <c r="D1896" s="197" t="s">
        <v>404</v>
      </c>
      <c r="E1896" s="199">
        <v>12.0</v>
      </c>
      <c r="F1896" s="200">
        <v>45772.41666666667</v>
      </c>
      <c r="G1896" s="197" t="s">
        <v>845</v>
      </c>
      <c r="H1896" s="197" t="s">
        <v>862</v>
      </c>
    </row>
    <row r="1897" ht="15.75" customHeight="1">
      <c r="A1897" s="197" t="s">
        <v>69</v>
      </c>
      <c r="B1897" s="197" t="s">
        <v>21</v>
      </c>
      <c r="C1897" s="198" t="s">
        <v>639</v>
      </c>
      <c r="D1897" s="197" t="s">
        <v>640</v>
      </c>
      <c r="E1897" s="199">
        <v>1.0</v>
      </c>
      <c r="F1897" s="200">
        <v>45663.41666666667</v>
      </c>
      <c r="G1897" s="197" t="s">
        <v>845</v>
      </c>
      <c r="H1897" s="197" t="s">
        <v>862</v>
      </c>
    </row>
    <row r="1898" ht="15.75" customHeight="1">
      <c r="A1898" s="197" t="s">
        <v>69</v>
      </c>
      <c r="B1898" s="197" t="s">
        <v>21</v>
      </c>
      <c r="C1898" s="198" t="s">
        <v>639</v>
      </c>
      <c r="D1898" s="197" t="s">
        <v>640</v>
      </c>
      <c r="E1898" s="199">
        <v>2.0</v>
      </c>
      <c r="F1898" s="200">
        <v>45671.41666666667</v>
      </c>
      <c r="G1898" s="197" t="s">
        <v>845</v>
      </c>
      <c r="H1898" s="197" t="s">
        <v>862</v>
      </c>
    </row>
    <row r="1899" ht="15.75" customHeight="1">
      <c r="A1899" s="197" t="s">
        <v>69</v>
      </c>
      <c r="B1899" s="197" t="s">
        <v>21</v>
      </c>
      <c r="C1899" s="198" t="s">
        <v>639</v>
      </c>
      <c r="D1899" s="197" t="s">
        <v>640</v>
      </c>
      <c r="E1899" s="199">
        <v>3.0</v>
      </c>
      <c r="F1899" s="200">
        <v>45677.41666666667</v>
      </c>
      <c r="G1899" s="197" t="s">
        <v>845</v>
      </c>
      <c r="H1899" s="197" t="s">
        <v>862</v>
      </c>
    </row>
    <row r="1900" ht="15.75" customHeight="1">
      <c r="A1900" s="197" t="s">
        <v>69</v>
      </c>
      <c r="B1900" s="197" t="s">
        <v>21</v>
      </c>
      <c r="C1900" s="198" t="s">
        <v>639</v>
      </c>
      <c r="D1900" s="197" t="s">
        <v>640</v>
      </c>
      <c r="E1900" s="199">
        <v>4.0</v>
      </c>
      <c r="F1900" s="200">
        <v>45695.45833333333</v>
      </c>
      <c r="G1900" s="197" t="s">
        <v>845</v>
      </c>
      <c r="H1900" s="197" t="s">
        <v>862</v>
      </c>
    </row>
    <row r="1901" ht="15.75" customHeight="1">
      <c r="A1901" s="197" t="s">
        <v>69</v>
      </c>
      <c r="B1901" s="197" t="s">
        <v>21</v>
      </c>
      <c r="C1901" s="198" t="s">
        <v>639</v>
      </c>
      <c r="D1901" s="197" t="s">
        <v>640</v>
      </c>
      <c r="E1901" s="199">
        <v>5.0</v>
      </c>
      <c r="F1901" s="200">
        <v>45702.54166666667</v>
      </c>
      <c r="G1901" s="197" t="s">
        <v>845</v>
      </c>
      <c r="H1901" s="197" t="s">
        <v>862</v>
      </c>
    </row>
    <row r="1902" ht="15.75" customHeight="1">
      <c r="A1902" s="197" t="s">
        <v>69</v>
      </c>
      <c r="B1902" s="197" t="s">
        <v>21</v>
      </c>
      <c r="C1902" s="198" t="s">
        <v>639</v>
      </c>
      <c r="D1902" s="197" t="s">
        <v>640</v>
      </c>
      <c r="E1902" s="199">
        <v>6.0</v>
      </c>
      <c r="F1902" s="200">
        <v>45706.45833333333</v>
      </c>
      <c r="G1902" s="197" t="s">
        <v>845</v>
      </c>
      <c r="H1902" s="197" t="s">
        <v>862</v>
      </c>
    </row>
    <row r="1903" ht="15.75" customHeight="1">
      <c r="A1903" s="197" t="s">
        <v>69</v>
      </c>
      <c r="B1903" s="197" t="s">
        <v>21</v>
      </c>
      <c r="C1903" s="198" t="s">
        <v>639</v>
      </c>
      <c r="D1903" s="197" t="s">
        <v>640</v>
      </c>
      <c r="E1903" s="199">
        <v>7.0</v>
      </c>
      <c r="F1903" s="200">
        <v>45709.41666666667</v>
      </c>
      <c r="G1903" s="197" t="s">
        <v>845</v>
      </c>
      <c r="H1903" s="197" t="s">
        <v>862</v>
      </c>
    </row>
    <row r="1904" ht="15.75" customHeight="1">
      <c r="A1904" s="197" t="s">
        <v>69</v>
      </c>
      <c r="B1904" s="197" t="s">
        <v>21</v>
      </c>
      <c r="C1904" s="198" t="s">
        <v>639</v>
      </c>
      <c r="D1904" s="197" t="s">
        <v>640</v>
      </c>
      <c r="E1904" s="199">
        <v>8.0</v>
      </c>
      <c r="F1904" s="200">
        <v>45713.45833333333</v>
      </c>
      <c r="G1904" s="197" t="s">
        <v>845</v>
      </c>
      <c r="H1904" s="197" t="s">
        <v>862</v>
      </c>
    </row>
    <row r="1905" ht="15.75" customHeight="1">
      <c r="A1905" s="197" t="s">
        <v>69</v>
      </c>
      <c r="B1905" s="197" t="s">
        <v>21</v>
      </c>
      <c r="C1905" s="198" t="s">
        <v>639</v>
      </c>
      <c r="D1905" s="197" t="s">
        <v>640</v>
      </c>
      <c r="E1905" s="199">
        <v>9.0</v>
      </c>
      <c r="F1905" s="200">
        <v>45716.41666666667</v>
      </c>
      <c r="G1905" s="197" t="s">
        <v>845</v>
      </c>
      <c r="H1905" s="197" t="s">
        <v>862</v>
      </c>
    </row>
    <row r="1906" ht="15.75" customHeight="1">
      <c r="A1906" s="197" t="s">
        <v>69</v>
      </c>
      <c r="B1906" s="197" t="s">
        <v>21</v>
      </c>
      <c r="C1906" s="198" t="s">
        <v>639</v>
      </c>
      <c r="D1906" s="197" t="s">
        <v>640</v>
      </c>
      <c r="E1906" s="199">
        <v>10.0</v>
      </c>
      <c r="F1906" s="200">
        <v>45758.41666666667</v>
      </c>
      <c r="G1906" s="197" t="s">
        <v>845</v>
      </c>
      <c r="H1906" s="197" t="s">
        <v>862</v>
      </c>
    </row>
    <row r="1907" ht="15.75" customHeight="1">
      <c r="A1907" s="197" t="s">
        <v>69</v>
      </c>
      <c r="B1907" s="197" t="s">
        <v>21</v>
      </c>
      <c r="C1907" s="198" t="s">
        <v>639</v>
      </c>
      <c r="D1907" s="197" t="s">
        <v>640</v>
      </c>
      <c r="E1907" s="199">
        <v>11.0</v>
      </c>
      <c r="F1907" s="200">
        <v>45765.41666666667</v>
      </c>
      <c r="G1907" s="197" t="s">
        <v>845</v>
      </c>
      <c r="H1907" s="197" t="s">
        <v>862</v>
      </c>
    </row>
    <row r="1908" ht="15.75" customHeight="1">
      <c r="A1908" s="197" t="s">
        <v>69</v>
      </c>
      <c r="B1908" s="197" t="s">
        <v>21</v>
      </c>
      <c r="C1908" s="198" t="s">
        <v>639</v>
      </c>
      <c r="D1908" s="197" t="s">
        <v>640</v>
      </c>
      <c r="E1908" s="199">
        <v>12.0</v>
      </c>
      <c r="F1908" s="200">
        <v>45772.41666666667</v>
      </c>
      <c r="G1908" s="197" t="s">
        <v>845</v>
      </c>
      <c r="H1908" s="197" t="s">
        <v>862</v>
      </c>
    </row>
    <row r="1909" ht="15.75" customHeight="1">
      <c r="A1909" s="197" t="s">
        <v>69</v>
      </c>
      <c r="B1909" s="197" t="s">
        <v>21</v>
      </c>
      <c r="C1909" s="198" t="s">
        <v>715</v>
      </c>
      <c r="D1909" s="197" t="s">
        <v>716</v>
      </c>
      <c r="E1909" s="199">
        <v>1.0</v>
      </c>
      <c r="F1909" s="200">
        <v>45663.41666666667</v>
      </c>
      <c r="G1909" s="197" t="s">
        <v>845</v>
      </c>
      <c r="H1909" s="197" t="s">
        <v>862</v>
      </c>
    </row>
    <row r="1910" ht="15.75" customHeight="1">
      <c r="A1910" s="197" t="s">
        <v>69</v>
      </c>
      <c r="B1910" s="197" t="s">
        <v>21</v>
      </c>
      <c r="C1910" s="198" t="s">
        <v>715</v>
      </c>
      <c r="D1910" s="197" t="s">
        <v>716</v>
      </c>
      <c r="E1910" s="199">
        <v>2.0</v>
      </c>
      <c r="F1910" s="200">
        <v>45671.41666666667</v>
      </c>
      <c r="G1910" s="197" t="s">
        <v>845</v>
      </c>
      <c r="H1910" s="197" t="s">
        <v>862</v>
      </c>
    </row>
    <row r="1911" ht="15.75" customHeight="1">
      <c r="A1911" s="197" t="s">
        <v>69</v>
      </c>
      <c r="B1911" s="197" t="s">
        <v>21</v>
      </c>
      <c r="C1911" s="198" t="s">
        <v>715</v>
      </c>
      <c r="D1911" s="197" t="s">
        <v>716</v>
      </c>
      <c r="E1911" s="199">
        <v>3.0</v>
      </c>
      <c r="F1911" s="200">
        <v>45677.41666666667</v>
      </c>
      <c r="G1911" s="197" t="s">
        <v>845</v>
      </c>
      <c r="H1911" s="197" t="s">
        <v>862</v>
      </c>
    </row>
    <row r="1912" ht="15.75" customHeight="1">
      <c r="A1912" s="197" t="s">
        <v>69</v>
      </c>
      <c r="B1912" s="197" t="s">
        <v>21</v>
      </c>
      <c r="C1912" s="198" t="s">
        <v>715</v>
      </c>
      <c r="D1912" s="197" t="s">
        <v>716</v>
      </c>
      <c r="E1912" s="199">
        <v>4.0</v>
      </c>
      <c r="F1912" s="200">
        <v>45695.45833333333</v>
      </c>
      <c r="G1912" s="197" t="s">
        <v>845</v>
      </c>
      <c r="H1912" s="197" t="s">
        <v>862</v>
      </c>
    </row>
    <row r="1913" ht="15.75" customHeight="1">
      <c r="A1913" s="197" t="s">
        <v>69</v>
      </c>
      <c r="B1913" s="197" t="s">
        <v>21</v>
      </c>
      <c r="C1913" s="198" t="s">
        <v>715</v>
      </c>
      <c r="D1913" s="197" t="s">
        <v>716</v>
      </c>
      <c r="E1913" s="199">
        <v>5.0</v>
      </c>
      <c r="F1913" s="200">
        <v>45702.54166666667</v>
      </c>
      <c r="G1913" s="197" t="s">
        <v>845</v>
      </c>
      <c r="H1913" s="197" t="s">
        <v>862</v>
      </c>
    </row>
    <row r="1914" ht="15.75" customHeight="1">
      <c r="A1914" s="197" t="s">
        <v>69</v>
      </c>
      <c r="B1914" s="197" t="s">
        <v>21</v>
      </c>
      <c r="C1914" s="198" t="s">
        <v>715</v>
      </c>
      <c r="D1914" s="197" t="s">
        <v>716</v>
      </c>
      <c r="E1914" s="199">
        <v>6.0</v>
      </c>
      <c r="F1914" s="200">
        <v>45706.45833333333</v>
      </c>
      <c r="G1914" s="197" t="s">
        <v>845</v>
      </c>
      <c r="H1914" s="197" t="s">
        <v>862</v>
      </c>
    </row>
    <row r="1915" ht="15.75" customHeight="1">
      <c r="A1915" s="197" t="s">
        <v>69</v>
      </c>
      <c r="B1915" s="197" t="s">
        <v>21</v>
      </c>
      <c r="C1915" s="198" t="s">
        <v>715</v>
      </c>
      <c r="D1915" s="197" t="s">
        <v>716</v>
      </c>
      <c r="E1915" s="199">
        <v>7.0</v>
      </c>
      <c r="F1915" s="200">
        <v>45709.41666666667</v>
      </c>
      <c r="G1915" s="197" t="s">
        <v>845</v>
      </c>
      <c r="H1915" s="197" t="s">
        <v>862</v>
      </c>
    </row>
    <row r="1916" ht="15.75" customHeight="1">
      <c r="A1916" s="197" t="s">
        <v>69</v>
      </c>
      <c r="B1916" s="197" t="s">
        <v>21</v>
      </c>
      <c r="C1916" s="198" t="s">
        <v>715</v>
      </c>
      <c r="D1916" s="197" t="s">
        <v>716</v>
      </c>
      <c r="E1916" s="199">
        <v>8.0</v>
      </c>
      <c r="F1916" s="200">
        <v>45713.45833333333</v>
      </c>
      <c r="G1916" s="197" t="s">
        <v>845</v>
      </c>
      <c r="H1916" s="197" t="s">
        <v>862</v>
      </c>
    </row>
    <row r="1917" ht="15.75" customHeight="1">
      <c r="A1917" s="197" t="s">
        <v>69</v>
      </c>
      <c r="B1917" s="197" t="s">
        <v>21</v>
      </c>
      <c r="C1917" s="198" t="s">
        <v>715</v>
      </c>
      <c r="D1917" s="197" t="s">
        <v>716</v>
      </c>
      <c r="E1917" s="199">
        <v>9.0</v>
      </c>
      <c r="F1917" s="200">
        <v>45716.41666666667</v>
      </c>
      <c r="G1917" s="197" t="s">
        <v>845</v>
      </c>
      <c r="H1917" s="197" t="s">
        <v>862</v>
      </c>
    </row>
    <row r="1918" ht="15.75" customHeight="1">
      <c r="A1918" s="197" t="s">
        <v>69</v>
      </c>
      <c r="B1918" s="197" t="s">
        <v>21</v>
      </c>
      <c r="C1918" s="198" t="s">
        <v>715</v>
      </c>
      <c r="D1918" s="197" t="s">
        <v>716</v>
      </c>
      <c r="E1918" s="199">
        <v>10.0</v>
      </c>
      <c r="F1918" s="200">
        <v>45758.41666666667</v>
      </c>
      <c r="G1918" s="197" t="s">
        <v>843</v>
      </c>
      <c r="H1918" s="197" t="s">
        <v>862</v>
      </c>
    </row>
    <row r="1919" ht="15.75" customHeight="1">
      <c r="A1919" s="197" t="s">
        <v>69</v>
      </c>
      <c r="B1919" s="197" t="s">
        <v>21</v>
      </c>
      <c r="C1919" s="198" t="s">
        <v>715</v>
      </c>
      <c r="D1919" s="197" t="s">
        <v>716</v>
      </c>
      <c r="E1919" s="199">
        <v>11.0</v>
      </c>
      <c r="F1919" s="200">
        <v>45765.41666666667</v>
      </c>
      <c r="G1919" s="197" t="s">
        <v>845</v>
      </c>
      <c r="H1919" s="197" t="s">
        <v>862</v>
      </c>
    </row>
    <row r="1920" ht="15.75" customHeight="1">
      <c r="A1920" s="197" t="s">
        <v>69</v>
      </c>
      <c r="B1920" s="197" t="s">
        <v>21</v>
      </c>
      <c r="C1920" s="198" t="s">
        <v>715</v>
      </c>
      <c r="D1920" s="197" t="s">
        <v>716</v>
      </c>
      <c r="E1920" s="199">
        <v>12.0</v>
      </c>
      <c r="F1920" s="200">
        <v>45772.41666666667</v>
      </c>
      <c r="G1920" s="197" t="s">
        <v>845</v>
      </c>
      <c r="H1920" s="197" t="s">
        <v>862</v>
      </c>
    </row>
    <row r="1921" ht="15.75" customHeight="1">
      <c r="A1921" s="197" t="s">
        <v>70</v>
      </c>
      <c r="B1921" s="197" t="s">
        <v>21</v>
      </c>
      <c r="C1921" s="198" t="s">
        <v>167</v>
      </c>
      <c r="D1921" s="197" t="s">
        <v>168</v>
      </c>
      <c r="E1921" s="199">
        <v>1.0</v>
      </c>
      <c r="F1921" s="200">
        <v>45638.41666666667</v>
      </c>
      <c r="G1921" s="197" t="s">
        <v>845</v>
      </c>
      <c r="H1921" s="197" t="s">
        <v>863</v>
      </c>
    </row>
    <row r="1922" ht="15.75" customHeight="1">
      <c r="A1922" s="197" t="s">
        <v>70</v>
      </c>
      <c r="B1922" s="197" t="s">
        <v>21</v>
      </c>
      <c r="C1922" s="198" t="s">
        <v>167</v>
      </c>
      <c r="D1922" s="197" t="s">
        <v>168</v>
      </c>
      <c r="E1922" s="199">
        <v>2.0</v>
      </c>
      <c r="F1922" s="200">
        <v>45649.41666666667</v>
      </c>
      <c r="G1922" s="197" t="s">
        <v>845</v>
      </c>
      <c r="H1922" s="197" t="s">
        <v>863</v>
      </c>
    </row>
    <row r="1923" ht="15.75" customHeight="1">
      <c r="A1923" s="197" t="s">
        <v>70</v>
      </c>
      <c r="B1923" s="197" t="s">
        <v>21</v>
      </c>
      <c r="C1923" s="198" t="s">
        <v>167</v>
      </c>
      <c r="D1923" s="197" t="s">
        <v>168</v>
      </c>
      <c r="E1923" s="199">
        <v>3.0</v>
      </c>
      <c r="F1923" s="200">
        <v>45666.41666666667</v>
      </c>
      <c r="G1923" s="197" t="s">
        <v>845</v>
      </c>
      <c r="H1923" s="197" t="s">
        <v>863</v>
      </c>
    </row>
    <row r="1924" ht="15.75" customHeight="1">
      <c r="A1924" s="197" t="s">
        <v>70</v>
      </c>
      <c r="B1924" s="197" t="s">
        <v>21</v>
      </c>
      <c r="C1924" s="198" t="s">
        <v>167</v>
      </c>
      <c r="D1924" s="197" t="s">
        <v>168</v>
      </c>
      <c r="E1924" s="199">
        <v>4.0</v>
      </c>
      <c r="F1924" s="200">
        <v>45678.41666666667</v>
      </c>
      <c r="G1924" s="197" t="s">
        <v>845</v>
      </c>
      <c r="H1924" s="197" t="s">
        <v>863</v>
      </c>
    </row>
    <row r="1925" ht="15.75" customHeight="1">
      <c r="A1925" s="197" t="s">
        <v>70</v>
      </c>
      <c r="B1925" s="197" t="s">
        <v>21</v>
      </c>
      <c r="C1925" s="198" t="s">
        <v>167</v>
      </c>
      <c r="D1925" s="197" t="s">
        <v>168</v>
      </c>
      <c r="E1925" s="199">
        <v>5.0</v>
      </c>
      <c r="F1925" s="200">
        <v>45694.41666666667</v>
      </c>
      <c r="G1925" s="197" t="s">
        <v>845</v>
      </c>
      <c r="H1925" s="197" t="s">
        <v>863</v>
      </c>
    </row>
    <row r="1926" ht="15.75" customHeight="1">
      <c r="A1926" s="197" t="s">
        <v>70</v>
      </c>
      <c r="B1926" s="197" t="s">
        <v>21</v>
      </c>
      <c r="C1926" s="198" t="s">
        <v>167</v>
      </c>
      <c r="D1926" s="197" t="s">
        <v>168</v>
      </c>
      <c r="E1926" s="199">
        <v>6.0</v>
      </c>
      <c r="F1926" s="200">
        <v>45705.41666666667</v>
      </c>
      <c r="G1926" s="197" t="s">
        <v>843</v>
      </c>
      <c r="H1926" s="197" t="s">
        <v>863</v>
      </c>
    </row>
    <row r="1927" ht="15.75" customHeight="1">
      <c r="A1927" s="197" t="s">
        <v>70</v>
      </c>
      <c r="B1927" s="197" t="s">
        <v>21</v>
      </c>
      <c r="C1927" s="198" t="s">
        <v>167</v>
      </c>
      <c r="D1927" s="197" t="s">
        <v>168</v>
      </c>
      <c r="E1927" s="199">
        <v>7.0</v>
      </c>
      <c r="F1927" s="200">
        <v>45712.41666666667</v>
      </c>
      <c r="G1927" s="197" t="s">
        <v>843</v>
      </c>
      <c r="H1927" s="197" t="s">
        <v>863</v>
      </c>
    </row>
    <row r="1928" ht="15.75" customHeight="1">
      <c r="A1928" s="197" t="s">
        <v>70</v>
      </c>
      <c r="B1928" s="197" t="s">
        <v>21</v>
      </c>
      <c r="C1928" s="198" t="s">
        <v>167</v>
      </c>
      <c r="D1928" s="197" t="s">
        <v>168</v>
      </c>
      <c r="E1928" s="199">
        <v>8.0</v>
      </c>
      <c r="F1928" s="200">
        <v>45756.54166666667</v>
      </c>
      <c r="G1928" s="197" t="s">
        <v>843</v>
      </c>
      <c r="H1928" s="197" t="s">
        <v>863</v>
      </c>
    </row>
    <row r="1929" ht="15.75" customHeight="1">
      <c r="A1929" s="197" t="s">
        <v>70</v>
      </c>
      <c r="B1929" s="197" t="s">
        <v>21</v>
      </c>
      <c r="C1929" s="198" t="s">
        <v>167</v>
      </c>
      <c r="D1929" s="197" t="s">
        <v>168</v>
      </c>
      <c r="E1929" s="199">
        <v>9.0</v>
      </c>
      <c r="F1929" s="200">
        <v>45772.45833333333</v>
      </c>
      <c r="G1929" s="197" t="s">
        <v>845</v>
      </c>
      <c r="H1929" s="197" t="s">
        <v>863</v>
      </c>
    </row>
    <row r="1930" ht="15.75" customHeight="1">
      <c r="A1930" s="197" t="s">
        <v>70</v>
      </c>
      <c r="B1930" s="197" t="s">
        <v>21</v>
      </c>
      <c r="C1930" s="198" t="s">
        <v>167</v>
      </c>
      <c r="D1930" s="197" t="s">
        <v>168</v>
      </c>
      <c r="E1930" s="199">
        <v>10.0</v>
      </c>
      <c r="F1930" s="200">
        <v>45807.41666666667</v>
      </c>
      <c r="G1930" s="197" t="s">
        <v>845</v>
      </c>
      <c r="H1930" s="197" t="s">
        <v>863</v>
      </c>
    </row>
    <row r="1931" ht="15.75" customHeight="1">
      <c r="A1931" s="197" t="s">
        <v>70</v>
      </c>
      <c r="B1931" s="197" t="s">
        <v>22</v>
      </c>
      <c r="C1931" s="198" t="s">
        <v>167</v>
      </c>
      <c r="D1931" s="197" t="s">
        <v>168</v>
      </c>
      <c r="E1931" s="199">
        <v>1.0</v>
      </c>
      <c r="F1931" s="200">
        <v>45841.58333333333</v>
      </c>
      <c r="G1931" s="197" t="s">
        <v>845</v>
      </c>
      <c r="H1931" s="197" t="s">
        <v>863</v>
      </c>
    </row>
    <row r="1932" ht="15.75" customHeight="1">
      <c r="A1932" s="197" t="s">
        <v>70</v>
      </c>
      <c r="B1932" s="197" t="s">
        <v>22</v>
      </c>
      <c r="C1932" s="198" t="s">
        <v>167</v>
      </c>
      <c r="D1932" s="197" t="s">
        <v>168</v>
      </c>
      <c r="E1932" s="199">
        <v>2.0</v>
      </c>
      <c r="F1932" s="200">
        <v>45853.41666666667</v>
      </c>
      <c r="G1932" s="197" t="s">
        <v>845</v>
      </c>
      <c r="H1932" s="197" t="s">
        <v>863</v>
      </c>
    </row>
    <row r="1933" ht="15.75" customHeight="1">
      <c r="A1933" s="197" t="s">
        <v>70</v>
      </c>
      <c r="B1933" s="197" t="s">
        <v>22</v>
      </c>
      <c r="C1933" s="198" t="s">
        <v>167</v>
      </c>
      <c r="D1933" s="197" t="s">
        <v>168</v>
      </c>
      <c r="E1933" s="199">
        <v>3.0</v>
      </c>
      <c r="F1933" s="200">
        <v>45882.625</v>
      </c>
      <c r="G1933" s="197" t="s">
        <v>843</v>
      </c>
      <c r="H1933" s="197" t="s">
        <v>863</v>
      </c>
    </row>
    <row r="1934" ht="15.75" customHeight="1">
      <c r="A1934" s="197" t="s">
        <v>70</v>
      </c>
      <c r="B1934" s="197" t="s">
        <v>22</v>
      </c>
      <c r="C1934" s="198" t="s">
        <v>167</v>
      </c>
      <c r="D1934" s="197" t="s">
        <v>168</v>
      </c>
      <c r="E1934" s="199">
        <v>4.0</v>
      </c>
      <c r="F1934" s="200">
        <v>45889.625</v>
      </c>
      <c r="G1934" s="197" t="s">
        <v>845</v>
      </c>
      <c r="H1934" s="197" t="s">
        <v>863</v>
      </c>
    </row>
    <row r="1935" ht="15.75" customHeight="1">
      <c r="A1935" s="197" t="s">
        <v>70</v>
      </c>
      <c r="B1935" s="197" t="s">
        <v>22</v>
      </c>
      <c r="C1935" s="198" t="s">
        <v>167</v>
      </c>
      <c r="D1935" s="197" t="s">
        <v>168</v>
      </c>
      <c r="E1935" s="199">
        <v>5.0</v>
      </c>
      <c r="F1935" s="200">
        <v>45917.625</v>
      </c>
      <c r="G1935" s="197" t="s">
        <v>843</v>
      </c>
      <c r="H1935" s="197" t="s">
        <v>863</v>
      </c>
    </row>
    <row r="1936" ht="15.75" customHeight="1">
      <c r="A1936" s="197" t="s">
        <v>70</v>
      </c>
      <c r="B1936" s="197" t="s">
        <v>22</v>
      </c>
      <c r="C1936" s="198" t="s">
        <v>167</v>
      </c>
      <c r="D1936" s="197" t="s">
        <v>168</v>
      </c>
      <c r="E1936" s="199">
        <v>6.0</v>
      </c>
      <c r="F1936" s="200">
        <v>45924.625</v>
      </c>
      <c r="G1936" s="197" t="s">
        <v>845</v>
      </c>
      <c r="H1936" s="197" t="s">
        <v>863</v>
      </c>
    </row>
    <row r="1937" ht="15.75" customHeight="1">
      <c r="A1937" s="197" t="s">
        <v>70</v>
      </c>
      <c r="B1937" s="197" t="s">
        <v>22</v>
      </c>
      <c r="C1937" s="198" t="s">
        <v>167</v>
      </c>
      <c r="D1937" s="197" t="s">
        <v>168</v>
      </c>
      <c r="E1937" s="199">
        <v>7.0</v>
      </c>
      <c r="F1937" s="200">
        <v>45931.625</v>
      </c>
      <c r="G1937" s="197" t="s">
        <v>845</v>
      </c>
      <c r="H1937" s="197" t="s">
        <v>863</v>
      </c>
    </row>
    <row r="1938" ht="15.75" customHeight="1">
      <c r="A1938" s="197" t="s">
        <v>70</v>
      </c>
      <c r="B1938" s="197" t="s">
        <v>21</v>
      </c>
      <c r="C1938" s="198" t="s">
        <v>184</v>
      </c>
      <c r="D1938" s="197" t="s">
        <v>185</v>
      </c>
      <c r="E1938" s="199">
        <v>2.0</v>
      </c>
      <c r="F1938" s="200">
        <v>45649.41666666667</v>
      </c>
      <c r="G1938" s="197" t="s">
        <v>845</v>
      </c>
      <c r="H1938" s="197" t="s">
        <v>863</v>
      </c>
    </row>
    <row r="1939" ht="15.75" customHeight="1">
      <c r="A1939" s="197" t="s">
        <v>70</v>
      </c>
      <c r="B1939" s="197" t="s">
        <v>21</v>
      </c>
      <c r="C1939" s="198" t="s">
        <v>184</v>
      </c>
      <c r="D1939" s="197" t="s">
        <v>185</v>
      </c>
      <c r="E1939" s="199">
        <v>3.0</v>
      </c>
      <c r="F1939" s="200">
        <v>45656.41666666667</v>
      </c>
      <c r="G1939" s="197" t="s">
        <v>845</v>
      </c>
      <c r="H1939" s="197" t="s">
        <v>863</v>
      </c>
    </row>
    <row r="1940" ht="15.75" customHeight="1">
      <c r="A1940" s="197" t="s">
        <v>70</v>
      </c>
      <c r="B1940" s="197" t="s">
        <v>21</v>
      </c>
      <c r="C1940" s="198" t="s">
        <v>184</v>
      </c>
      <c r="D1940" s="197" t="s">
        <v>185</v>
      </c>
      <c r="E1940" s="199">
        <v>4.0</v>
      </c>
      <c r="F1940" s="200">
        <v>45678.41666666667</v>
      </c>
      <c r="G1940" s="197" t="s">
        <v>843</v>
      </c>
      <c r="H1940" s="197" t="s">
        <v>863</v>
      </c>
    </row>
    <row r="1941" ht="15.75" customHeight="1">
      <c r="A1941" s="197" t="s">
        <v>70</v>
      </c>
      <c r="B1941" s="197" t="s">
        <v>21</v>
      </c>
      <c r="C1941" s="198" t="s">
        <v>184</v>
      </c>
      <c r="D1941" s="197" t="s">
        <v>185</v>
      </c>
      <c r="E1941" s="199">
        <v>5.0</v>
      </c>
      <c r="F1941" s="200">
        <v>45701.41666666667</v>
      </c>
      <c r="G1941" s="197" t="s">
        <v>845</v>
      </c>
      <c r="H1941" s="197" t="s">
        <v>863</v>
      </c>
    </row>
    <row r="1942" ht="15.75" customHeight="1">
      <c r="A1942" s="197" t="s">
        <v>70</v>
      </c>
      <c r="B1942" s="197" t="s">
        <v>21</v>
      </c>
      <c r="C1942" s="198" t="s">
        <v>184</v>
      </c>
      <c r="D1942" s="197" t="s">
        <v>185</v>
      </c>
      <c r="E1942" s="199">
        <v>6.0</v>
      </c>
      <c r="F1942" s="200">
        <v>45705.41666666667</v>
      </c>
      <c r="G1942" s="197" t="s">
        <v>845</v>
      </c>
      <c r="H1942" s="197" t="s">
        <v>863</v>
      </c>
    </row>
    <row r="1943" ht="15.75" customHeight="1">
      <c r="A1943" s="197" t="s">
        <v>70</v>
      </c>
      <c r="B1943" s="197" t="s">
        <v>21</v>
      </c>
      <c r="C1943" s="198" t="s">
        <v>184</v>
      </c>
      <c r="D1943" s="197" t="s">
        <v>185</v>
      </c>
      <c r="E1943" s="199">
        <v>7.0</v>
      </c>
      <c r="F1943" s="200">
        <v>45712.41666666667</v>
      </c>
      <c r="G1943" s="197" t="s">
        <v>845</v>
      </c>
      <c r="H1943" s="197" t="s">
        <v>863</v>
      </c>
    </row>
    <row r="1944" ht="15.75" customHeight="1">
      <c r="A1944" s="197" t="s">
        <v>70</v>
      </c>
      <c r="B1944" s="197" t="s">
        <v>21</v>
      </c>
      <c r="C1944" s="198" t="s">
        <v>184</v>
      </c>
      <c r="D1944" s="197" t="s">
        <v>185</v>
      </c>
      <c r="E1944" s="199">
        <v>8.0</v>
      </c>
      <c r="F1944" s="200">
        <v>45756.54166666667</v>
      </c>
      <c r="G1944" s="197" t="s">
        <v>845</v>
      </c>
      <c r="H1944" s="197" t="s">
        <v>863</v>
      </c>
    </row>
    <row r="1945" ht="15.75" customHeight="1">
      <c r="A1945" s="197" t="s">
        <v>70</v>
      </c>
      <c r="B1945" s="197" t="s">
        <v>21</v>
      </c>
      <c r="C1945" s="198" t="s">
        <v>184</v>
      </c>
      <c r="D1945" s="197" t="s">
        <v>185</v>
      </c>
      <c r="E1945" s="199">
        <v>9.0</v>
      </c>
      <c r="F1945" s="200">
        <v>45772.45833333333</v>
      </c>
      <c r="G1945" s="197" t="s">
        <v>845</v>
      </c>
      <c r="H1945" s="197" t="s">
        <v>863</v>
      </c>
    </row>
    <row r="1946" ht="15.75" customHeight="1">
      <c r="A1946" s="197" t="s">
        <v>70</v>
      </c>
      <c r="B1946" s="197" t="s">
        <v>21</v>
      </c>
      <c r="C1946" s="198" t="s">
        <v>184</v>
      </c>
      <c r="D1946" s="197" t="s">
        <v>185</v>
      </c>
      <c r="E1946" s="199">
        <v>10.0</v>
      </c>
      <c r="F1946" s="200">
        <v>45807.41666666667</v>
      </c>
      <c r="G1946" s="197" t="s">
        <v>845</v>
      </c>
      <c r="H1946" s="197" t="s">
        <v>863</v>
      </c>
    </row>
    <row r="1947" ht="15.75" customHeight="1">
      <c r="A1947" s="197" t="s">
        <v>70</v>
      </c>
      <c r="B1947" s="197" t="s">
        <v>22</v>
      </c>
      <c r="C1947" s="198" t="s">
        <v>184</v>
      </c>
      <c r="D1947" s="197" t="s">
        <v>185</v>
      </c>
      <c r="E1947" s="199">
        <v>1.0</v>
      </c>
      <c r="F1947" s="200">
        <v>45841.58333333333</v>
      </c>
      <c r="G1947" s="197" t="s">
        <v>845</v>
      </c>
      <c r="H1947" s="197" t="s">
        <v>863</v>
      </c>
    </row>
    <row r="1948" ht="15.75" customHeight="1">
      <c r="A1948" s="197" t="s">
        <v>70</v>
      </c>
      <c r="B1948" s="197" t="s">
        <v>22</v>
      </c>
      <c r="C1948" s="198" t="s">
        <v>184</v>
      </c>
      <c r="D1948" s="197" t="s">
        <v>185</v>
      </c>
      <c r="E1948" s="199">
        <v>2.0</v>
      </c>
      <c r="F1948" s="200">
        <v>45853.41666666667</v>
      </c>
      <c r="G1948" s="197" t="s">
        <v>845</v>
      </c>
      <c r="H1948" s="197" t="s">
        <v>863</v>
      </c>
    </row>
    <row r="1949" ht="15.75" customHeight="1">
      <c r="A1949" s="197" t="s">
        <v>70</v>
      </c>
      <c r="B1949" s="197" t="s">
        <v>22</v>
      </c>
      <c r="C1949" s="198" t="s">
        <v>184</v>
      </c>
      <c r="D1949" s="197" t="s">
        <v>185</v>
      </c>
      <c r="E1949" s="199">
        <v>3.0</v>
      </c>
      <c r="F1949" s="200">
        <v>45882.625</v>
      </c>
      <c r="G1949" s="197" t="s">
        <v>845</v>
      </c>
      <c r="H1949" s="197" t="s">
        <v>863</v>
      </c>
    </row>
    <row r="1950" ht="15.75" customHeight="1">
      <c r="A1950" s="197" t="s">
        <v>70</v>
      </c>
      <c r="B1950" s="197" t="s">
        <v>22</v>
      </c>
      <c r="C1950" s="198" t="s">
        <v>184</v>
      </c>
      <c r="D1950" s="197" t="s">
        <v>185</v>
      </c>
      <c r="E1950" s="199">
        <v>4.0</v>
      </c>
      <c r="F1950" s="200">
        <v>45889.625</v>
      </c>
      <c r="G1950" s="197" t="s">
        <v>845</v>
      </c>
      <c r="H1950" s="197" t="s">
        <v>863</v>
      </c>
    </row>
    <row r="1951" ht="15.75" customHeight="1">
      <c r="A1951" s="197" t="s">
        <v>70</v>
      </c>
      <c r="B1951" s="197" t="s">
        <v>22</v>
      </c>
      <c r="C1951" s="198" t="s">
        <v>184</v>
      </c>
      <c r="D1951" s="197" t="s">
        <v>185</v>
      </c>
      <c r="E1951" s="199">
        <v>5.0</v>
      </c>
      <c r="F1951" s="200">
        <v>45917.625</v>
      </c>
      <c r="G1951" s="197" t="s">
        <v>845</v>
      </c>
      <c r="H1951" s="197" t="s">
        <v>863</v>
      </c>
    </row>
    <row r="1952" ht="15.75" customHeight="1">
      <c r="A1952" s="197" t="s">
        <v>70</v>
      </c>
      <c r="B1952" s="197" t="s">
        <v>22</v>
      </c>
      <c r="C1952" s="198" t="s">
        <v>184</v>
      </c>
      <c r="D1952" s="197" t="s">
        <v>185</v>
      </c>
      <c r="E1952" s="199">
        <v>6.0</v>
      </c>
      <c r="F1952" s="200">
        <v>45924.625</v>
      </c>
      <c r="G1952" s="197" t="s">
        <v>845</v>
      </c>
      <c r="H1952" s="197" t="s">
        <v>863</v>
      </c>
    </row>
    <row r="1953" ht="15.75" customHeight="1">
      <c r="A1953" s="197" t="s">
        <v>70</v>
      </c>
      <c r="B1953" s="197" t="s">
        <v>22</v>
      </c>
      <c r="C1953" s="198" t="s">
        <v>184</v>
      </c>
      <c r="D1953" s="197" t="s">
        <v>185</v>
      </c>
      <c r="E1953" s="199">
        <v>7.0</v>
      </c>
      <c r="F1953" s="200">
        <v>45931.625</v>
      </c>
      <c r="G1953" s="197" t="s">
        <v>845</v>
      </c>
      <c r="H1953" s="197" t="s">
        <v>863</v>
      </c>
    </row>
    <row r="1954" ht="15.75" customHeight="1">
      <c r="A1954" s="197" t="s">
        <v>70</v>
      </c>
      <c r="B1954" s="197" t="s">
        <v>21</v>
      </c>
      <c r="C1954" s="198" t="s">
        <v>188</v>
      </c>
      <c r="D1954" s="197" t="s">
        <v>189</v>
      </c>
      <c r="E1954" s="199">
        <v>1.0</v>
      </c>
      <c r="F1954" s="200">
        <v>45638.41666666667</v>
      </c>
      <c r="G1954" s="197" t="s">
        <v>845</v>
      </c>
      <c r="H1954" s="197" t="s">
        <v>863</v>
      </c>
    </row>
    <row r="1955" ht="15.75" customHeight="1">
      <c r="A1955" s="197" t="s">
        <v>70</v>
      </c>
      <c r="B1955" s="197" t="s">
        <v>21</v>
      </c>
      <c r="C1955" s="198" t="s">
        <v>188</v>
      </c>
      <c r="D1955" s="197" t="s">
        <v>189</v>
      </c>
      <c r="E1955" s="199">
        <v>2.0</v>
      </c>
      <c r="F1955" s="200">
        <v>45649.41666666667</v>
      </c>
      <c r="G1955" s="197" t="s">
        <v>845</v>
      </c>
      <c r="H1955" s="197" t="s">
        <v>863</v>
      </c>
    </row>
    <row r="1956" ht="15.75" customHeight="1">
      <c r="A1956" s="197" t="s">
        <v>70</v>
      </c>
      <c r="B1956" s="197" t="s">
        <v>21</v>
      </c>
      <c r="C1956" s="198" t="s">
        <v>188</v>
      </c>
      <c r="D1956" s="197" t="s">
        <v>189</v>
      </c>
      <c r="E1956" s="199">
        <v>3.0</v>
      </c>
      <c r="F1956" s="200">
        <v>45666.41666666667</v>
      </c>
      <c r="G1956" s="197" t="s">
        <v>845</v>
      </c>
      <c r="H1956" s="197" t="s">
        <v>863</v>
      </c>
    </row>
    <row r="1957" ht="15.75" customHeight="1">
      <c r="A1957" s="197" t="s">
        <v>70</v>
      </c>
      <c r="B1957" s="197" t="s">
        <v>21</v>
      </c>
      <c r="C1957" s="198" t="s">
        <v>188</v>
      </c>
      <c r="D1957" s="197" t="s">
        <v>189</v>
      </c>
      <c r="E1957" s="199">
        <v>4.0</v>
      </c>
      <c r="F1957" s="200">
        <v>45678.41666666667</v>
      </c>
      <c r="G1957" s="197" t="s">
        <v>845</v>
      </c>
      <c r="H1957" s="197" t="s">
        <v>863</v>
      </c>
    </row>
    <row r="1958" ht="15.75" customHeight="1">
      <c r="A1958" s="197" t="s">
        <v>70</v>
      </c>
      <c r="B1958" s="197" t="s">
        <v>21</v>
      </c>
      <c r="C1958" s="198" t="s">
        <v>188</v>
      </c>
      <c r="D1958" s="197" t="s">
        <v>189</v>
      </c>
      <c r="E1958" s="199">
        <v>5.0</v>
      </c>
      <c r="F1958" s="200">
        <v>45701.41666666667</v>
      </c>
      <c r="G1958" s="197" t="s">
        <v>845</v>
      </c>
      <c r="H1958" s="197" t="s">
        <v>863</v>
      </c>
    </row>
    <row r="1959" ht="15.75" customHeight="1">
      <c r="A1959" s="197" t="s">
        <v>70</v>
      </c>
      <c r="B1959" s="197" t="s">
        <v>21</v>
      </c>
      <c r="C1959" s="198" t="s">
        <v>188</v>
      </c>
      <c r="D1959" s="197" t="s">
        <v>189</v>
      </c>
      <c r="E1959" s="199">
        <v>6.0</v>
      </c>
      <c r="F1959" s="200">
        <v>45705.41666666667</v>
      </c>
      <c r="G1959" s="197" t="s">
        <v>843</v>
      </c>
      <c r="H1959" s="197" t="s">
        <v>863</v>
      </c>
    </row>
    <row r="1960" ht="15.75" customHeight="1">
      <c r="A1960" s="197" t="s">
        <v>70</v>
      </c>
      <c r="B1960" s="197" t="s">
        <v>21</v>
      </c>
      <c r="C1960" s="198" t="s">
        <v>188</v>
      </c>
      <c r="D1960" s="197" t="s">
        <v>189</v>
      </c>
      <c r="E1960" s="199">
        <v>7.0</v>
      </c>
      <c r="F1960" s="200">
        <v>45712.41666666667</v>
      </c>
      <c r="G1960" s="197" t="s">
        <v>845</v>
      </c>
      <c r="H1960" s="197" t="s">
        <v>863</v>
      </c>
    </row>
    <row r="1961" ht="15.75" customHeight="1">
      <c r="A1961" s="197" t="s">
        <v>70</v>
      </c>
      <c r="B1961" s="197" t="s">
        <v>21</v>
      </c>
      <c r="C1961" s="198" t="s">
        <v>188</v>
      </c>
      <c r="D1961" s="197" t="s">
        <v>189</v>
      </c>
      <c r="E1961" s="199">
        <v>8.0</v>
      </c>
      <c r="F1961" s="200">
        <v>45756.54166666667</v>
      </c>
      <c r="G1961" s="197" t="s">
        <v>845</v>
      </c>
      <c r="H1961" s="197" t="s">
        <v>863</v>
      </c>
    </row>
    <row r="1962" ht="15.75" customHeight="1">
      <c r="A1962" s="197" t="s">
        <v>70</v>
      </c>
      <c r="B1962" s="197" t="s">
        <v>21</v>
      </c>
      <c r="C1962" s="198" t="s">
        <v>188</v>
      </c>
      <c r="D1962" s="197" t="s">
        <v>189</v>
      </c>
      <c r="E1962" s="199">
        <v>9.0</v>
      </c>
      <c r="F1962" s="200">
        <v>45772.45833333333</v>
      </c>
      <c r="G1962" s="197" t="s">
        <v>845</v>
      </c>
      <c r="H1962" s="197" t="s">
        <v>863</v>
      </c>
    </row>
    <row r="1963" ht="15.75" customHeight="1">
      <c r="A1963" s="197" t="s">
        <v>70</v>
      </c>
      <c r="B1963" s="197" t="s">
        <v>21</v>
      </c>
      <c r="C1963" s="198" t="s">
        <v>188</v>
      </c>
      <c r="D1963" s="197" t="s">
        <v>189</v>
      </c>
      <c r="E1963" s="199">
        <v>10.0</v>
      </c>
      <c r="F1963" s="200">
        <v>45807.41666666667</v>
      </c>
      <c r="G1963" s="197" t="s">
        <v>845</v>
      </c>
      <c r="H1963" s="197" t="s">
        <v>863</v>
      </c>
    </row>
    <row r="1964" ht="15.75" customHeight="1">
      <c r="A1964" s="197" t="s">
        <v>70</v>
      </c>
      <c r="B1964" s="197" t="s">
        <v>22</v>
      </c>
      <c r="C1964" s="198" t="s">
        <v>188</v>
      </c>
      <c r="D1964" s="197" t="s">
        <v>189</v>
      </c>
      <c r="E1964" s="199">
        <v>1.0</v>
      </c>
      <c r="F1964" s="200">
        <v>45841.58333333333</v>
      </c>
      <c r="G1964" s="197" t="s">
        <v>845</v>
      </c>
      <c r="H1964" s="197" t="s">
        <v>863</v>
      </c>
    </row>
    <row r="1965" ht="15.75" customHeight="1">
      <c r="A1965" s="197" t="s">
        <v>70</v>
      </c>
      <c r="B1965" s="197" t="s">
        <v>22</v>
      </c>
      <c r="C1965" s="198" t="s">
        <v>188</v>
      </c>
      <c r="D1965" s="197" t="s">
        <v>189</v>
      </c>
      <c r="E1965" s="199">
        <v>2.0</v>
      </c>
      <c r="F1965" s="200">
        <v>45853.41666666667</v>
      </c>
      <c r="G1965" s="197" t="s">
        <v>845</v>
      </c>
      <c r="H1965" s="197" t="s">
        <v>863</v>
      </c>
    </row>
    <row r="1966" ht="15.75" customHeight="1">
      <c r="A1966" s="197" t="s">
        <v>70</v>
      </c>
      <c r="B1966" s="197" t="s">
        <v>22</v>
      </c>
      <c r="C1966" s="198" t="s">
        <v>188</v>
      </c>
      <c r="D1966" s="197" t="s">
        <v>189</v>
      </c>
      <c r="E1966" s="199">
        <v>3.0</v>
      </c>
      <c r="F1966" s="200">
        <v>45882.625</v>
      </c>
      <c r="G1966" s="197" t="s">
        <v>845</v>
      </c>
      <c r="H1966" s="197" t="s">
        <v>863</v>
      </c>
    </row>
    <row r="1967" ht="15.75" customHeight="1">
      <c r="A1967" s="197" t="s">
        <v>70</v>
      </c>
      <c r="B1967" s="197" t="s">
        <v>22</v>
      </c>
      <c r="C1967" s="198" t="s">
        <v>188</v>
      </c>
      <c r="D1967" s="197" t="s">
        <v>189</v>
      </c>
      <c r="E1967" s="199">
        <v>4.0</v>
      </c>
      <c r="F1967" s="200">
        <v>45889.625</v>
      </c>
      <c r="G1967" s="197" t="s">
        <v>845</v>
      </c>
      <c r="H1967" s="197" t="s">
        <v>863</v>
      </c>
    </row>
    <row r="1968" ht="15.75" customHeight="1">
      <c r="A1968" s="197" t="s">
        <v>70</v>
      </c>
      <c r="B1968" s="197" t="s">
        <v>22</v>
      </c>
      <c r="C1968" s="198" t="s">
        <v>188</v>
      </c>
      <c r="D1968" s="197" t="s">
        <v>189</v>
      </c>
      <c r="E1968" s="199">
        <v>5.0</v>
      </c>
      <c r="F1968" s="200">
        <v>45917.625</v>
      </c>
      <c r="G1968" s="197" t="s">
        <v>845</v>
      </c>
      <c r="H1968" s="197" t="s">
        <v>863</v>
      </c>
    </row>
    <row r="1969" ht="15.75" customHeight="1">
      <c r="A1969" s="197" t="s">
        <v>70</v>
      </c>
      <c r="B1969" s="197" t="s">
        <v>22</v>
      </c>
      <c r="C1969" s="198" t="s">
        <v>188</v>
      </c>
      <c r="D1969" s="197" t="s">
        <v>189</v>
      </c>
      <c r="E1969" s="199">
        <v>6.0</v>
      </c>
      <c r="F1969" s="200">
        <v>45924.625</v>
      </c>
      <c r="G1969" s="197" t="s">
        <v>845</v>
      </c>
      <c r="H1969" s="197" t="s">
        <v>863</v>
      </c>
    </row>
    <row r="1970" ht="15.75" customHeight="1">
      <c r="A1970" s="197" t="s">
        <v>70</v>
      </c>
      <c r="B1970" s="197" t="s">
        <v>22</v>
      </c>
      <c r="C1970" s="198" t="s">
        <v>188</v>
      </c>
      <c r="D1970" s="197" t="s">
        <v>189</v>
      </c>
      <c r="E1970" s="199">
        <v>7.0</v>
      </c>
      <c r="F1970" s="200">
        <v>45931.625</v>
      </c>
      <c r="G1970" s="197" t="s">
        <v>845</v>
      </c>
      <c r="H1970" s="197" t="s">
        <v>863</v>
      </c>
    </row>
    <row r="1971" ht="15.75" customHeight="1">
      <c r="A1971" s="197" t="s">
        <v>70</v>
      </c>
      <c r="B1971" s="197" t="s">
        <v>21</v>
      </c>
      <c r="C1971" s="198" t="s">
        <v>192</v>
      </c>
      <c r="D1971" s="197" t="s">
        <v>193</v>
      </c>
      <c r="E1971" s="199">
        <v>1.0</v>
      </c>
      <c r="F1971" s="200">
        <v>45638.41666666667</v>
      </c>
      <c r="G1971" s="197" t="s">
        <v>845</v>
      </c>
      <c r="H1971" s="197" t="s">
        <v>863</v>
      </c>
    </row>
    <row r="1972" ht="15.75" customHeight="1">
      <c r="A1972" s="197" t="s">
        <v>70</v>
      </c>
      <c r="B1972" s="197" t="s">
        <v>21</v>
      </c>
      <c r="C1972" s="198" t="s">
        <v>192</v>
      </c>
      <c r="D1972" s="197" t="s">
        <v>193</v>
      </c>
      <c r="E1972" s="199">
        <v>2.0</v>
      </c>
      <c r="F1972" s="200">
        <v>45649.41666666667</v>
      </c>
      <c r="G1972" s="197" t="s">
        <v>843</v>
      </c>
      <c r="H1972" s="197" t="s">
        <v>863</v>
      </c>
    </row>
    <row r="1973" ht="15.75" customHeight="1">
      <c r="A1973" s="197" t="s">
        <v>70</v>
      </c>
      <c r="B1973" s="197" t="s">
        <v>21</v>
      </c>
      <c r="C1973" s="198" t="s">
        <v>192</v>
      </c>
      <c r="D1973" s="197" t="s">
        <v>193</v>
      </c>
      <c r="E1973" s="199">
        <v>3.0</v>
      </c>
      <c r="F1973" s="200">
        <v>45656.41666666667</v>
      </c>
      <c r="G1973" s="197" t="s">
        <v>845</v>
      </c>
      <c r="H1973" s="197" t="s">
        <v>863</v>
      </c>
    </row>
    <row r="1974" ht="15.75" customHeight="1">
      <c r="A1974" s="197" t="s">
        <v>70</v>
      </c>
      <c r="B1974" s="197" t="s">
        <v>21</v>
      </c>
      <c r="C1974" s="198" t="s">
        <v>192</v>
      </c>
      <c r="D1974" s="197" t="s">
        <v>193</v>
      </c>
      <c r="E1974" s="199">
        <v>4.0</v>
      </c>
      <c r="F1974" s="200">
        <v>45670.41666666667</v>
      </c>
      <c r="G1974" s="197" t="s">
        <v>845</v>
      </c>
      <c r="H1974" s="197" t="s">
        <v>863</v>
      </c>
    </row>
    <row r="1975" ht="15.75" customHeight="1">
      <c r="A1975" s="197" t="s">
        <v>70</v>
      </c>
      <c r="B1975" s="197" t="s">
        <v>21</v>
      </c>
      <c r="C1975" s="198" t="s">
        <v>192</v>
      </c>
      <c r="D1975" s="197" t="s">
        <v>193</v>
      </c>
      <c r="E1975" s="199">
        <v>5.0</v>
      </c>
      <c r="F1975" s="200">
        <v>45701.41666666667</v>
      </c>
      <c r="G1975" s="197" t="s">
        <v>845</v>
      </c>
      <c r="H1975" s="197" t="s">
        <v>863</v>
      </c>
    </row>
    <row r="1976" ht="15.75" customHeight="1">
      <c r="A1976" s="197" t="s">
        <v>70</v>
      </c>
      <c r="B1976" s="197" t="s">
        <v>21</v>
      </c>
      <c r="C1976" s="198" t="s">
        <v>192</v>
      </c>
      <c r="D1976" s="197" t="s">
        <v>193</v>
      </c>
      <c r="E1976" s="199">
        <v>6.0</v>
      </c>
      <c r="F1976" s="200">
        <v>45705.41666666667</v>
      </c>
      <c r="G1976" s="197" t="s">
        <v>845</v>
      </c>
      <c r="H1976" s="197" t="s">
        <v>863</v>
      </c>
    </row>
    <row r="1977" ht="15.75" customHeight="1">
      <c r="A1977" s="197" t="s">
        <v>70</v>
      </c>
      <c r="B1977" s="197" t="s">
        <v>21</v>
      </c>
      <c r="C1977" s="198" t="s">
        <v>192</v>
      </c>
      <c r="D1977" s="197" t="s">
        <v>193</v>
      </c>
      <c r="E1977" s="199">
        <v>7.0</v>
      </c>
      <c r="F1977" s="200">
        <v>45712.41666666667</v>
      </c>
      <c r="G1977" s="197" t="s">
        <v>845</v>
      </c>
      <c r="H1977" s="197" t="s">
        <v>863</v>
      </c>
    </row>
    <row r="1978" ht="15.75" customHeight="1">
      <c r="A1978" s="197" t="s">
        <v>70</v>
      </c>
      <c r="B1978" s="197" t="s">
        <v>21</v>
      </c>
      <c r="C1978" s="198" t="s">
        <v>192</v>
      </c>
      <c r="D1978" s="197" t="s">
        <v>193</v>
      </c>
      <c r="E1978" s="199">
        <v>8.0</v>
      </c>
      <c r="F1978" s="200">
        <v>45756.54166666667</v>
      </c>
      <c r="G1978" s="197" t="s">
        <v>845</v>
      </c>
      <c r="H1978" s="197" t="s">
        <v>863</v>
      </c>
    </row>
    <row r="1979" ht="15.75" customHeight="1">
      <c r="A1979" s="197" t="s">
        <v>70</v>
      </c>
      <c r="B1979" s="197" t="s">
        <v>21</v>
      </c>
      <c r="C1979" s="198" t="s">
        <v>192</v>
      </c>
      <c r="D1979" s="197" t="s">
        <v>193</v>
      </c>
      <c r="E1979" s="199">
        <v>9.0</v>
      </c>
      <c r="F1979" s="200">
        <v>45772.45833333333</v>
      </c>
      <c r="G1979" s="197" t="s">
        <v>845</v>
      </c>
      <c r="H1979" s="197" t="s">
        <v>863</v>
      </c>
    </row>
    <row r="1980" ht="15.75" customHeight="1">
      <c r="A1980" s="197" t="s">
        <v>70</v>
      </c>
      <c r="B1980" s="197" t="s">
        <v>21</v>
      </c>
      <c r="C1980" s="198" t="s">
        <v>192</v>
      </c>
      <c r="D1980" s="197" t="s">
        <v>193</v>
      </c>
      <c r="E1980" s="199">
        <v>10.0</v>
      </c>
      <c r="F1980" s="200">
        <v>45807.41666666667</v>
      </c>
      <c r="G1980" s="197" t="s">
        <v>845</v>
      </c>
      <c r="H1980" s="197" t="s">
        <v>863</v>
      </c>
    </row>
    <row r="1981" ht="15.75" customHeight="1">
      <c r="A1981" s="197" t="s">
        <v>70</v>
      </c>
      <c r="B1981" s="197" t="s">
        <v>21</v>
      </c>
      <c r="C1981" s="198" t="s">
        <v>202</v>
      </c>
      <c r="D1981" s="197" t="s">
        <v>203</v>
      </c>
      <c r="E1981" s="199">
        <v>1.0</v>
      </c>
      <c r="F1981" s="200">
        <v>45638.41666666667</v>
      </c>
      <c r="G1981" s="197" t="s">
        <v>845</v>
      </c>
      <c r="H1981" s="197" t="s">
        <v>863</v>
      </c>
    </row>
    <row r="1982" ht="15.75" customHeight="1">
      <c r="A1982" s="197" t="s">
        <v>70</v>
      </c>
      <c r="B1982" s="197" t="s">
        <v>21</v>
      </c>
      <c r="C1982" s="198" t="s">
        <v>202</v>
      </c>
      <c r="D1982" s="197" t="s">
        <v>203</v>
      </c>
      <c r="E1982" s="199">
        <v>2.0</v>
      </c>
      <c r="F1982" s="200">
        <v>45649.41666666667</v>
      </c>
      <c r="G1982" s="197" t="s">
        <v>845</v>
      </c>
      <c r="H1982" s="197" t="s">
        <v>863</v>
      </c>
    </row>
    <row r="1983" ht="15.75" customHeight="1">
      <c r="A1983" s="197" t="s">
        <v>70</v>
      </c>
      <c r="B1983" s="197" t="s">
        <v>21</v>
      </c>
      <c r="C1983" s="198" t="s">
        <v>202</v>
      </c>
      <c r="D1983" s="197" t="s">
        <v>203</v>
      </c>
      <c r="E1983" s="199">
        <v>3.0</v>
      </c>
      <c r="F1983" s="200">
        <v>45656.41666666667</v>
      </c>
      <c r="G1983" s="197" t="s">
        <v>845</v>
      </c>
      <c r="H1983" s="197" t="s">
        <v>863</v>
      </c>
    </row>
    <row r="1984" ht="15.75" customHeight="1">
      <c r="A1984" s="197" t="s">
        <v>70</v>
      </c>
      <c r="B1984" s="197" t="s">
        <v>21</v>
      </c>
      <c r="C1984" s="198" t="s">
        <v>202</v>
      </c>
      <c r="D1984" s="197" t="s">
        <v>203</v>
      </c>
      <c r="E1984" s="199">
        <v>4.0</v>
      </c>
      <c r="F1984" s="200">
        <v>45670.41666666667</v>
      </c>
      <c r="G1984" s="197" t="s">
        <v>845</v>
      </c>
      <c r="H1984" s="197" t="s">
        <v>863</v>
      </c>
    </row>
    <row r="1985" ht="15.75" customHeight="1">
      <c r="A1985" s="197" t="s">
        <v>70</v>
      </c>
      <c r="B1985" s="197" t="s">
        <v>21</v>
      </c>
      <c r="C1985" s="198" t="s">
        <v>202</v>
      </c>
      <c r="D1985" s="197" t="s">
        <v>203</v>
      </c>
      <c r="E1985" s="199">
        <v>5.0</v>
      </c>
      <c r="F1985" s="200">
        <v>45694.41666666667</v>
      </c>
      <c r="G1985" s="197" t="s">
        <v>845</v>
      </c>
      <c r="H1985" s="197" t="s">
        <v>863</v>
      </c>
    </row>
    <row r="1986" ht="15.75" customHeight="1">
      <c r="A1986" s="197" t="s">
        <v>70</v>
      </c>
      <c r="B1986" s="197" t="s">
        <v>21</v>
      </c>
      <c r="C1986" s="198" t="s">
        <v>202</v>
      </c>
      <c r="D1986" s="197" t="s">
        <v>203</v>
      </c>
      <c r="E1986" s="199">
        <v>6.0</v>
      </c>
      <c r="F1986" s="200">
        <v>45705.41666666667</v>
      </c>
      <c r="G1986" s="197" t="s">
        <v>845</v>
      </c>
      <c r="H1986" s="197" t="s">
        <v>863</v>
      </c>
    </row>
    <row r="1987" ht="15.75" customHeight="1">
      <c r="A1987" s="197" t="s">
        <v>70</v>
      </c>
      <c r="B1987" s="197" t="s">
        <v>21</v>
      </c>
      <c r="C1987" s="198" t="s">
        <v>202</v>
      </c>
      <c r="D1987" s="197" t="s">
        <v>203</v>
      </c>
      <c r="E1987" s="199">
        <v>7.0</v>
      </c>
      <c r="F1987" s="200">
        <v>45712.41666666667</v>
      </c>
      <c r="G1987" s="197" t="s">
        <v>845</v>
      </c>
      <c r="H1987" s="197" t="s">
        <v>863</v>
      </c>
    </row>
    <row r="1988" ht="15.75" customHeight="1">
      <c r="A1988" s="197" t="s">
        <v>70</v>
      </c>
      <c r="B1988" s="197" t="s">
        <v>21</v>
      </c>
      <c r="C1988" s="198" t="s">
        <v>202</v>
      </c>
      <c r="D1988" s="197" t="s">
        <v>203</v>
      </c>
      <c r="E1988" s="199">
        <v>8.0</v>
      </c>
      <c r="F1988" s="200">
        <v>45756.54166666667</v>
      </c>
      <c r="G1988" s="197" t="s">
        <v>845</v>
      </c>
      <c r="H1988" s="197" t="s">
        <v>863</v>
      </c>
    </row>
    <row r="1989" ht="15.75" customHeight="1">
      <c r="A1989" s="197" t="s">
        <v>70</v>
      </c>
      <c r="B1989" s="197" t="s">
        <v>21</v>
      </c>
      <c r="C1989" s="198" t="s">
        <v>202</v>
      </c>
      <c r="D1989" s="197" t="s">
        <v>203</v>
      </c>
      <c r="E1989" s="199">
        <v>9.0</v>
      </c>
      <c r="F1989" s="200">
        <v>45772.45833333333</v>
      </c>
      <c r="G1989" s="197" t="s">
        <v>845</v>
      </c>
      <c r="H1989" s="197" t="s">
        <v>863</v>
      </c>
    </row>
    <row r="1990" ht="15.75" customHeight="1">
      <c r="A1990" s="197" t="s">
        <v>70</v>
      </c>
      <c r="B1990" s="197" t="s">
        <v>21</v>
      </c>
      <c r="C1990" s="198" t="s">
        <v>202</v>
      </c>
      <c r="D1990" s="197" t="s">
        <v>203</v>
      </c>
      <c r="E1990" s="199">
        <v>10.0</v>
      </c>
      <c r="F1990" s="200">
        <v>45807.41666666667</v>
      </c>
      <c r="G1990" s="197" t="s">
        <v>845</v>
      </c>
      <c r="H1990" s="197" t="s">
        <v>863</v>
      </c>
    </row>
    <row r="1991" ht="15.75" customHeight="1">
      <c r="A1991" s="197" t="s">
        <v>70</v>
      </c>
      <c r="B1991" s="197" t="s">
        <v>21</v>
      </c>
      <c r="C1991" s="198" t="s">
        <v>434</v>
      </c>
      <c r="D1991" s="197" t="s">
        <v>435</v>
      </c>
      <c r="E1991" s="199">
        <v>1.0</v>
      </c>
      <c r="F1991" s="200">
        <v>45638.41666666667</v>
      </c>
      <c r="G1991" s="197" t="s">
        <v>843</v>
      </c>
      <c r="H1991" s="197" t="s">
        <v>863</v>
      </c>
    </row>
    <row r="1992" ht="15.75" customHeight="1">
      <c r="A1992" s="197" t="s">
        <v>70</v>
      </c>
      <c r="B1992" s="197" t="s">
        <v>21</v>
      </c>
      <c r="C1992" s="198" t="s">
        <v>434</v>
      </c>
      <c r="D1992" s="197" t="s">
        <v>435</v>
      </c>
      <c r="E1992" s="199">
        <v>2.0</v>
      </c>
      <c r="F1992" s="200">
        <v>45649.41666666667</v>
      </c>
      <c r="G1992" s="197" t="s">
        <v>845</v>
      </c>
      <c r="H1992" s="197" t="s">
        <v>863</v>
      </c>
    </row>
    <row r="1993" ht="15.75" customHeight="1">
      <c r="A1993" s="197" t="s">
        <v>70</v>
      </c>
      <c r="B1993" s="197" t="s">
        <v>21</v>
      </c>
      <c r="C1993" s="198" t="s">
        <v>434</v>
      </c>
      <c r="D1993" s="197" t="s">
        <v>435</v>
      </c>
      <c r="E1993" s="199">
        <v>3.0</v>
      </c>
      <c r="F1993" s="200">
        <v>45666.41666666667</v>
      </c>
      <c r="G1993" s="197" t="s">
        <v>845</v>
      </c>
      <c r="H1993" s="197" t="s">
        <v>863</v>
      </c>
    </row>
    <row r="1994" ht="15.75" customHeight="1">
      <c r="A1994" s="197" t="s">
        <v>70</v>
      </c>
      <c r="B1994" s="197" t="s">
        <v>21</v>
      </c>
      <c r="C1994" s="198" t="s">
        <v>434</v>
      </c>
      <c r="D1994" s="197" t="s">
        <v>435</v>
      </c>
      <c r="E1994" s="199">
        <v>4.0</v>
      </c>
      <c r="F1994" s="200">
        <v>45678.41666666667</v>
      </c>
      <c r="G1994" s="197" t="s">
        <v>845</v>
      </c>
      <c r="H1994" s="197" t="s">
        <v>863</v>
      </c>
    </row>
    <row r="1995" ht="15.75" customHeight="1">
      <c r="A1995" s="197" t="s">
        <v>70</v>
      </c>
      <c r="B1995" s="197" t="s">
        <v>21</v>
      </c>
      <c r="C1995" s="198" t="s">
        <v>434</v>
      </c>
      <c r="D1995" s="197" t="s">
        <v>435</v>
      </c>
      <c r="E1995" s="199">
        <v>5.0</v>
      </c>
      <c r="F1995" s="200">
        <v>45701.41666666667</v>
      </c>
      <c r="G1995" s="197" t="s">
        <v>845</v>
      </c>
      <c r="H1995" s="197" t="s">
        <v>863</v>
      </c>
    </row>
    <row r="1996" ht="15.75" customHeight="1">
      <c r="A1996" s="197" t="s">
        <v>70</v>
      </c>
      <c r="B1996" s="197" t="s">
        <v>21</v>
      </c>
      <c r="C1996" s="198" t="s">
        <v>434</v>
      </c>
      <c r="D1996" s="197" t="s">
        <v>435</v>
      </c>
      <c r="E1996" s="199">
        <v>6.0</v>
      </c>
      <c r="F1996" s="200">
        <v>45705.41666666667</v>
      </c>
      <c r="G1996" s="197" t="s">
        <v>845</v>
      </c>
      <c r="H1996" s="197" t="s">
        <v>863</v>
      </c>
    </row>
    <row r="1997" ht="15.75" customHeight="1">
      <c r="A1997" s="197" t="s">
        <v>70</v>
      </c>
      <c r="B1997" s="197" t="s">
        <v>21</v>
      </c>
      <c r="C1997" s="198" t="s">
        <v>434</v>
      </c>
      <c r="D1997" s="197" t="s">
        <v>435</v>
      </c>
      <c r="E1997" s="199">
        <v>7.0</v>
      </c>
      <c r="F1997" s="200">
        <v>45712.41666666667</v>
      </c>
      <c r="G1997" s="197" t="s">
        <v>843</v>
      </c>
      <c r="H1997" s="197" t="s">
        <v>863</v>
      </c>
    </row>
    <row r="1998" ht="15.75" customHeight="1">
      <c r="A1998" s="197" t="s">
        <v>70</v>
      </c>
      <c r="B1998" s="197" t="s">
        <v>21</v>
      </c>
      <c r="C1998" s="198" t="s">
        <v>434</v>
      </c>
      <c r="D1998" s="197" t="s">
        <v>435</v>
      </c>
      <c r="E1998" s="199">
        <v>8.0</v>
      </c>
      <c r="F1998" s="200">
        <v>45756.54166666667</v>
      </c>
      <c r="G1998" s="197" t="s">
        <v>845</v>
      </c>
      <c r="H1998" s="197" t="s">
        <v>863</v>
      </c>
    </row>
    <row r="1999" ht="15.75" customHeight="1">
      <c r="A1999" s="197" t="s">
        <v>70</v>
      </c>
      <c r="B1999" s="197" t="s">
        <v>21</v>
      </c>
      <c r="C1999" s="198" t="s">
        <v>434</v>
      </c>
      <c r="D1999" s="197" t="s">
        <v>435</v>
      </c>
      <c r="E1999" s="199">
        <v>9.0</v>
      </c>
      <c r="F1999" s="200">
        <v>45772.45833333333</v>
      </c>
      <c r="G1999" s="197" t="s">
        <v>845</v>
      </c>
      <c r="H1999" s="197" t="s">
        <v>863</v>
      </c>
    </row>
    <row r="2000" ht="15.75" customHeight="1">
      <c r="A2000" s="197" t="s">
        <v>70</v>
      </c>
      <c r="B2000" s="197" t="s">
        <v>21</v>
      </c>
      <c r="C2000" s="198" t="s">
        <v>434</v>
      </c>
      <c r="D2000" s="197" t="s">
        <v>435</v>
      </c>
      <c r="E2000" s="199">
        <v>10.0</v>
      </c>
      <c r="F2000" s="200">
        <v>45807.41666666667</v>
      </c>
      <c r="G2000" s="197" t="s">
        <v>845</v>
      </c>
      <c r="H2000" s="197" t="s">
        <v>863</v>
      </c>
    </row>
    <row r="2001" ht="15.75" customHeight="1">
      <c r="A2001" s="197" t="s">
        <v>70</v>
      </c>
      <c r="B2001" s="197" t="s">
        <v>22</v>
      </c>
      <c r="C2001" s="198" t="s">
        <v>434</v>
      </c>
      <c r="D2001" s="197" t="s">
        <v>435</v>
      </c>
      <c r="E2001" s="199">
        <v>1.0</v>
      </c>
      <c r="F2001" s="200">
        <v>45841.58333333333</v>
      </c>
      <c r="G2001" s="197" t="s">
        <v>845</v>
      </c>
      <c r="H2001" s="197" t="s">
        <v>863</v>
      </c>
    </row>
    <row r="2002" ht="15.75" customHeight="1">
      <c r="A2002" s="197" t="s">
        <v>70</v>
      </c>
      <c r="B2002" s="197" t="s">
        <v>22</v>
      </c>
      <c r="C2002" s="198" t="s">
        <v>434</v>
      </c>
      <c r="D2002" s="197" t="s">
        <v>435</v>
      </c>
      <c r="E2002" s="199">
        <v>2.0</v>
      </c>
      <c r="F2002" s="200">
        <v>45853.41666666667</v>
      </c>
      <c r="G2002" s="197" t="s">
        <v>845</v>
      </c>
      <c r="H2002" s="197" t="s">
        <v>863</v>
      </c>
    </row>
    <row r="2003" ht="15.75" customHeight="1">
      <c r="A2003" s="197" t="s">
        <v>70</v>
      </c>
      <c r="B2003" s="197" t="s">
        <v>22</v>
      </c>
      <c r="C2003" s="198" t="s">
        <v>434</v>
      </c>
      <c r="D2003" s="197" t="s">
        <v>435</v>
      </c>
      <c r="E2003" s="199">
        <v>3.0</v>
      </c>
      <c r="F2003" s="200">
        <v>45882.625</v>
      </c>
      <c r="G2003" s="197" t="s">
        <v>843</v>
      </c>
      <c r="H2003" s="197" t="s">
        <v>863</v>
      </c>
    </row>
    <row r="2004" ht="15.75" customHeight="1">
      <c r="A2004" s="197" t="s">
        <v>70</v>
      </c>
      <c r="B2004" s="197" t="s">
        <v>22</v>
      </c>
      <c r="C2004" s="198" t="s">
        <v>434</v>
      </c>
      <c r="D2004" s="197" t="s">
        <v>435</v>
      </c>
      <c r="E2004" s="199">
        <v>4.0</v>
      </c>
      <c r="F2004" s="200">
        <v>45889.625</v>
      </c>
      <c r="G2004" s="197" t="s">
        <v>845</v>
      </c>
      <c r="H2004" s="197" t="s">
        <v>863</v>
      </c>
    </row>
    <row r="2005" ht="15.75" customHeight="1">
      <c r="A2005" s="197" t="s">
        <v>70</v>
      </c>
      <c r="B2005" s="197" t="s">
        <v>22</v>
      </c>
      <c r="C2005" s="198" t="s">
        <v>434</v>
      </c>
      <c r="D2005" s="197" t="s">
        <v>435</v>
      </c>
      <c r="E2005" s="199">
        <v>5.0</v>
      </c>
      <c r="F2005" s="200">
        <v>45917.625</v>
      </c>
      <c r="G2005" s="197" t="s">
        <v>845</v>
      </c>
      <c r="H2005" s="197" t="s">
        <v>863</v>
      </c>
    </row>
    <row r="2006" ht="15.75" customHeight="1">
      <c r="A2006" s="197" t="s">
        <v>70</v>
      </c>
      <c r="B2006" s="197" t="s">
        <v>22</v>
      </c>
      <c r="C2006" s="198" t="s">
        <v>434</v>
      </c>
      <c r="D2006" s="197" t="s">
        <v>435</v>
      </c>
      <c r="E2006" s="199">
        <v>6.0</v>
      </c>
      <c r="F2006" s="200">
        <v>45924.625</v>
      </c>
      <c r="G2006" s="197" t="s">
        <v>845</v>
      </c>
      <c r="H2006" s="197" t="s">
        <v>863</v>
      </c>
    </row>
    <row r="2007" ht="15.75" customHeight="1">
      <c r="A2007" s="197" t="s">
        <v>70</v>
      </c>
      <c r="B2007" s="197" t="s">
        <v>22</v>
      </c>
      <c r="C2007" s="198" t="s">
        <v>434</v>
      </c>
      <c r="D2007" s="197" t="s">
        <v>435</v>
      </c>
      <c r="E2007" s="199">
        <v>7.0</v>
      </c>
      <c r="F2007" s="200">
        <v>45931.625</v>
      </c>
      <c r="G2007" s="197" t="s">
        <v>843</v>
      </c>
      <c r="H2007" s="197" t="s">
        <v>863</v>
      </c>
    </row>
    <row r="2008" ht="15.75" customHeight="1">
      <c r="A2008" s="197" t="s">
        <v>70</v>
      </c>
      <c r="B2008" s="197" t="s">
        <v>21</v>
      </c>
      <c r="C2008" s="198" t="s">
        <v>607</v>
      </c>
      <c r="D2008" s="197" t="s">
        <v>608</v>
      </c>
      <c r="E2008" s="199">
        <v>1.0</v>
      </c>
      <c r="F2008" s="200">
        <v>45638.41666666667</v>
      </c>
      <c r="G2008" s="197" t="s">
        <v>843</v>
      </c>
      <c r="H2008" s="197" t="s">
        <v>863</v>
      </c>
    </row>
    <row r="2009" ht="15.75" customHeight="1">
      <c r="A2009" s="197" t="s">
        <v>70</v>
      </c>
      <c r="B2009" s="197" t="s">
        <v>21</v>
      </c>
      <c r="C2009" s="198" t="s">
        <v>607</v>
      </c>
      <c r="D2009" s="197" t="s">
        <v>608</v>
      </c>
      <c r="E2009" s="199">
        <v>2.0</v>
      </c>
      <c r="F2009" s="200">
        <v>45649.41666666667</v>
      </c>
      <c r="G2009" s="197" t="s">
        <v>845</v>
      </c>
      <c r="H2009" s="197" t="s">
        <v>863</v>
      </c>
    </row>
    <row r="2010" ht="15.75" customHeight="1">
      <c r="A2010" s="197" t="s">
        <v>70</v>
      </c>
      <c r="B2010" s="197" t="s">
        <v>21</v>
      </c>
      <c r="C2010" s="198" t="s">
        <v>607</v>
      </c>
      <c r="D2010" s="197" t="s">
        <v>608</v>
      </c>
      <c r="E2010" s="199">
        <v>3.0</v>
      </c>
      <c r="F2010" s="200">
        <v>45666.41666666667</v>
      </c>
      <c r="G2010" s="197" t="s">
        <v>845</v>
      </c>
      <c r="H2010" s="197" t="s">
        <v>863</v>
      </c>
    </row>
    <row r="2011" ht="15.75" customHeight="1">
      <c r="A2011" s="197" t="s">
        <v>70</v>
      </c>
      <c r="B2011" s="197" t="s">
        <v>21</v>
      </c>
      <c r="C2011" s="198" t="s">
        <v>607</v>
      </c>
      <c r="D2011" s="197" t="s">
        <v>608</v>
      </c>
      <c r="E2011" s="199">
        <v>4.0</v>
      </c>
      <c r="F2011" s="200">
        <v>45678.41666666667</v>
      </c>
      <c r="G2011" s="197" t="s">
        <v>843</v>
      </c>
      <c r="H2011" s="197" t="s">
        <v>863</v>
      </c>
    </row>
    <row r="2012" ht="15.75" customHeight="1">
      <c r="A2012" s="197" t="s">
        <v>70</v>
      </c>
      <c r="B2012" s="197" t="s">
        <v>21</v>
      </c>
      <c r="C2012" s="198" t="s">
        <v>607</v>
      </c>
      <c r="D2012" s="197" t="s">
        <v>608</v>
      </c>
      <c r="E2012" s="199">
        <v>5.0</v>
      </c>
      <c r="F2012" s="200">
        <v>45694.41666666667</v>
      </c>
      <c r="G2012" s="197" t="s">
        <v>845</v>
      </c>
      <c r="H2012" s="197" t="s">
        <v>863</v>
      </c>
    </row>
    <row r="2013" ht="15.75" customHeight="1">
      <c r="A2013" s="197" t="s">
        <v>70</v>
      </c>
      <c r="B2013" s="197" t="s">
        <v>21</v>
      </c>
      <c r="C2013" s="198" t="s">
        <v>607</v>
      </c>
      <c r="D2013" s="197" t="s">
        <v>608</v>
      </c>
      <c r="E2013" s="199">
        <v>6.0</v>
      </c>
      <c r="F2013" s="200">
        <v>45705.41666666667</v>
      </c>
      <c r="G2013" s="197" t="s">
        <v>843</v>
      </c>
      <c r="H2013" s="197" t="s">
        <v>863</v>
      </c>
    </row>
    <row r="2014" ht="15.75" customHeight="1">
      <c r="A2014" s="197" t="s">
        <v>70</v>
      </c>
      <c r="B2014" s="197" t="s">
        <v>21</v>
      </c>
      <c r="C2014" s="198" t="s">
        <v>607</v>
      </c>
      <c r="D2014" s="197" t="s">
        <v>608</v>
      </c>
      <c r="E2014" s="199">
        <v>7.0</v>
      </c>
      <c r="F2014" s="200">
        <v>45712.41666666667</v>
      </c>
      <c r="G2014" s="197" t="s">
        <v>845</v>
      </c>
      <c r="H2014" s="197" t="s">
        <v>863</v>
      </c>
    </row>
    <row r="2015" ht="15.75" customHeight="1">
      <c r="A2015" s="197" t="s">
        <v>70</v>
      </c>
      <c r="B2015" s="197" t="s">
        <v>21</v>
      </c>
      <c r="C2015" s="198" t="s">
        <v>607</v>
      </c>
      <c r="D2015" s="197" t="s">
        <v>608</v>
      </c>
      <c r="E2015" s="199">
        <v>8.0</v>
      </c>
      <c r="F2015" s="200">
        <v>45756.54166666667</v>
      </c>
      <c r="G2015" s="197" t="s">
        <v>843</v>
      </c>
      <c r="H2015" s="197" t="s">
        <v>863</v>
      </c>
    </row>
    <row r="2016" ht="15.75" customHeight="1">
      <c r="A2016" s="197" t="s">
        <v>70</v>
      </c>
      <c r="B2016" s="197" t="s">
        <v>21</v>
      </c>
      <c r="C2016" s="198" t="s">
        <v>607</v>
      </c>
      <c r="D2016" s="197" t="s">
        <v>608</v>
      </c>
      <c r="E2016" s="199">
        <v>9.0</v>
      </c>
      <c r="F2016" s="200">
        <v>45772.45833333333</v>
      </c>
      <c r="G2016" s="197" t="s">
        <v>845</v>
      </c>
      <c r="H2016" s="197" t="s">
        <v>863</v>
      </c>
    </row>
    <row r="2017" ht="15.75" customHeight="1">
      <c r="A2017" s="197" t="s">
        <v>70</v>
      </c>
      <c r="B2017" s="197" t="s">
        <v>21</v>
      </c>
      <c r="C2017" s="198" t="s">
        <v>607</v>
      </c>
      <c r="D2017" s="197" t="s">
        <v>608</v>
      </c>
      <c r="E2017" s="199">
        <v>10.0</v>
      </c>
      <c r="F2017" s="200">
        <v>45807.41666666667</v>
      </c>
      <c r="G2017" s="197" t="s">
        <v>845</v>
      </c>
      <c r="H2017" s="197" t="s">
        <v>863</v>
      </c>
    </row>
    <row r="2018" ht="15.75" customHeight="1">
      <c r="A2018" s="197" t="s">
        <v>70</v>
      </c>
      <c r="B2018" s="197" t="s">
        <v>21</v>
      </c>
      <c r="C2018" s="198" t="s">
        <v>697</v>
      </c>
      <c r="D2018" s="197" t="s">
        <v>698</v>
      </c>
      <c r="E2018" s="199">
        <v>1.0</v>
      </c>
      <c r="F2018" s="200">
        <v>45638.41666666667</v>
      </c>
      <c r="G2018" s="197" t="s">
        <v>845</v>
      </c>
      <c r="H2018" s="197" t="s">
        <v>863</v>
      </c>
    </row>
    <row r="2019" ht="15.75" customHeight="1">
      <c r="A2019" s="197" t="s">
        <v>70</v>
      </c>
      <c r="B2019" s="197" t="s">
        <v>21</v>
      </c>
      <c r="C2019" s="198" t="s">
        <v>697</v>
      </c>
      <c r="D2019" s="197" t="s">
        <v>698</v>
      </c>
      <c r="E2019" s="199">
        <v>2.0</v>
      </c>
      <c r="F2019" s="200">
        <v>45649.41666666667</v>
      </c>
      <c r="G2019" s="197" t="s">
        <v>845</v>
      </c>
      <c r="H2019" s="197" t="s">
        <v>863</v>
      </c>
    </row>
    <row r="2020" ht="15.75" customHeight="1">
      <c r="A2020" s="197" t="s">
        <v>70</v>
      </c>
      <c r="B2020" s="197" t="s">
        <v>21</v>
      </c>
      <c r="C2020" s="198" t="s">
        <v>697</v>
      </c>
      <c r="D2020" s="197" t="s">
        <v>698</v>
      </c>
      <c r="E2020" s="199">
        <v>3.0</v>
      </c>
      <c r="F2020" s="200">
        <v>45656.41666666667</v>
      </c>
      <c r="G2020" s="197" t="s">
        <v>845</v>
      </c>
      <c r="H2020" s="197" t="s">
        <v>863</v>
      </c>
    </row>
    <row r="2021" ht="15.75" customHeight="1">
      <c r="A2021" s="197" t="s">
        <v>70</v>
      </c>
      <c r="B2021" s="197" t="s">
        <v>21</v>
      </c>
      <c r="C2021" s="198" t="s">
        <v>697</v>
      </c>
      <c r="D2021" s="197" t="s">
        <v>698</v>
      </c>
      <c r="E2021" s="199">
        <v>4.0</v>
      </c>
      <c r="F2021" s="200">
        <v>45670.41666666667</v>
      </c>
      <c r="G2021" s="197" t="s">
        <v>845</v>
      </c>
      <c r="H2021" s="197" t="s">
        <v>863</v>
      </c>
    </row>
    <row r="2022" ht="15.75" customHeight="1">
      <c r="A2022" s="197" t="s">
        <v>70</v>
      </c>
      <c r="B2022" s="197" t="s">
        <v>21</v>
      </c>
      <c r="C2022" s="198" t="s">
        <v>697</v>
      </c>
      <c r="D2022" s="197" t="s">
        <v>698</v>
      </c>
      <c r="E2022" s="199">
        <v>5.0</v>
      </c>
      <c r="F2022" s="200">
        <v>45694.41666666667</v>
      </c>
      <c r="G2022" s="197" t="s">
        <v>845</v>
      </c>
      <c r="H2022" s="197" t="s">
        <v>863</v>
      </c>
    </row>
    <row r="2023" ht="15.75" customHeight="1">
      <c r="A2023" s="197" t="s">
        <v>70</v>
      </c>
      <c r="B2023" s="197" t="s">
        <v>21</v>
      </c>
      <c r="C2023" s="198" t="s">
        <v>697</v>
      </c>
      <c r="D2023" s="197" t="s">
        <v>698</v>
      </c>
      <c r="E2023" s="199">
        <v>6.0</v>
      </c>
      <c r="F2023" s="200">
        <v>45705.41666666667</v>
      </c>
      <c r="G2023" s="197" t="s">
        <v>845</v>
      </c>
      <c r="H2023" s="197" t="s">
        <v>863</v>
      </c>
    </row>
    <row r="2024" ht="15.75" customHeight="1">
      <c r="A2024" s="197" t="s">
        <v>70</v>
      </c>
      <c r="B2024" s="197" t="s">
        <v>21</v>
      </c>
      <c r="C2024" s="198" t="s">
        <v>697</v>
      </c>
      <c r="D2024" s="197" t="s">
        <v>698</v>
      </c>
      <c r="E2024" s="199">
        <v>7.0</v>
      </c>
      <c r="F2024" s="200">
        <v>45712.41666666667</v>
      </c>
      <c r="G2024" s="197" t="s">
        <v>845</v>
      </c>
      <c r="H2024" s="197" t="s">
        <v>863</v>
      </c>
    </row>
    <row r="2025" ht="15.75" customHeight="1">
      <c r="A2025" s="197" t="s">
        <v>70</v>
      </c>
      <c r="B2025" s="197" t="s">
        <v>21</v>
      </c>
      <c r="C2025" s="198" t="s">
        <v>697</v>
      </c>
      <c r="D2025" s="197" t="s">
        <v>698</v>
      </c>
      <c r="E2025" s="199">
        <v>8.0</v>
      </c>
      <c r="F2025" s="200">
        <v>45756.54166666667</v>
      </c>
      <c r="G2025" s="197" t="s">
        <v>845</v>
      </c>
      <c r="H2025" s="197" t="s">
        <v>863</v>
      </c>
    </row>
    <row r="2026" ht="15.75" customHeight="1">
      <c r="A2026" s="197" t="s">
        <v>70</v>
      </c>
      <c r="B2026" s="197" t="s">
        <v>21</v>
      </c>
      <c r="C2026" s="198" t="s">
        <v>697</v>
      </c>
      <c r="D2026" s="197" t="s">
        <v>698</v>
      </c>
      <c r="E2026" s="199">
        <v>9.0</v>
      </c>
      <c r="F2026" s="200">
        <v>45772.45833333333</v>
      </c>
      <c r="G2026" s="197" t="s">
        <v>845</v>
      </c>
      <c r="H2026" s="197" t="s">
        <v>863</v>
      </c>
    </row>
    <row r="2027" ht="15.75" customHeight="1">
      <c r="A2027" s="197" t="s">
        <v>70</v>
      </c>
      <c r="B2027" s="197" t="s">
        <v>21</v>
      </c>
      <c r="C2027" s="198" t="s">
        <v>697</v>
      </c>
      <c r="D2027" s="197" t="s">
        <v>698</v>
      </c>
      <c r="E2027" s="199">
        <v>10.0</v>
      </c>
      <c r="F2027" s="200">
        <v>45807.41666666667</v>
      </c>
      <c r="G2027" s="197" t="s">
        <v>845</v>
      </c>
      <c r="H2027" s="197" t="s">
        <v>863</v>
      </c>
    </row>
    <row r="2028" ht="15.75" customHeight="1">
      <c r="A2028" s="197" t="s">
        <v>70</v>
      </c>
      <c r="B2028" s="197" t="s">
        <v>22</v>
      </c>
      <c r="C2028" s="198" t="s">
        <v>697</v>
      </c>
      <c r="D2028" s="197" t="s">
        <v>698</v>
      </c>
      <c r="E2028" s="199">
        <v>1.0</v>
      </c>
      <c r="F2028" s="200">
        <v>45841.58333333333</v>
      </c>
      <c r="G2028" s="197" t="s">
        <v>845</v>
      </c>
      <c r="H2028" s="197" t="s">
        <v>863</v>
      </c>
    </row>
    <row r="2029" ht="15.75" customHeight="1">
      <c r="A2029" s="197" t="s">
        <v>70</v>
      </c>
      <c r="B2029" s="197" t="s">
        <v>22</v>
      </c>
      <c r="C2029" s="198" t="s">
        <v>697</v>
      </c>
      <c r="D2029" s="197" t="s">
        <v>698</v>
      </c>
      <c r="E2029" s="199">
        <v>2.0</v>
      </c>
      <c r="F2029" s="200">
        <v>45853.41666666667</v>
      </c>
      <c r="G2029" s="197" t="s">
        <v>845</v>
      </c>
      <c r="H2029" s="197" t="s">
        <v>863</v>
      </c>
    </row>
    <row r="2030" ht="15.75" customHeight="1">
      <c r="A2030" s="197" t="s">
        <v>70</v>
      </c>
      <c r="B2030" s="197" t="s">
        <v>22</v>
      </c>
      <c r="C2030" s="198" t="s">
        <v>697</v>
      </c>
      <c r="D2030" s="197" t="s">
        <v>698</v>
      </c>
      <c r="E2030" s="199">
        <v>3.0</v>
      </c>
      <c r="F2030" s="200">
        <v>45882.625</v>
      </c>
      <c r="G2030" s="197" t="s">
        <v>845</v>
      </c>
      <c r="H2030" s="197" t="s">
        <v>863</v>
      </c>
    </row>
    <row r="2031" ht="15.75" customHeight="1">
      <c r="A2031" s="197" t="s">
        <v>70</v>
      </c>
      <c r="B2031" s="197" t="s">
        <v>22</v>
      </c>
      <c r="C2031" s="198" t="s">
        <v>697</v>
      </c>
      <c r="D2031" s="197" t="s">
        <v>698</v>
      </c>
      <c r="E2031" s="199">
        <v>4.0</v>
      </c>
      <c r="F2031" s="200">
        <v>45889.625</v>
      </c>
      <c r="G2031" s="197" t="s">
        <v>845</v>
      </c>
      <c r="H2031" s="197" t="s">
        <v>863</v>
      </c>
    </row>
    <row r="2032" ht="15.75" customHeight="1">
      <c r="A2032" s="197" t="s">
        <v>70</v>
      </c>
      <c r="B2032" s="197" t="s">
        <v>22</v>
      </c>
      <c r="C2032" s="198" t="s">
        <v>697</v>
      </c>
      <c r="D2032" s="197" t="s">
        <v>698</v>
      </c>
      <c r="E2032" s="199">
        <v>5.0</v>
      </c>
      <c r="F2032" s="200">
        <v>45917.625</v>
      </c>
      <c r="G2032" s="197" t="s">
        <v>845</v>
      </c>
      <c r="H2032" s="197" t="s">
        <v>863</v>
      </c>
    </row>
    <row r="2033" ht="15.75" customHeight="1">
      <c r="A2033" s="197" t="s">
        <v>70</v>
      </c>
      <c r="B2033" s="197" t="s">
        <v>22</v>
      </c>
      <c r="C2033" s="198" t="s">
        <v>697</v>
      </c>
      <c r="D2033" s="197" t="s">
        <v>698</v>
      </c>
      <c r="E2033" s="199">
        <v>6.0</v>
      </c>
      <c r="F2033" s="200">
        <v>45924.625</v>
      </c>
      <c r="G2033" s="197" t="s">
        <v>845</v>
      </c>
      <c r="H2033" s="197" t="s">
        <v>863</v>
      </c>
    </row>
    <row r="2034" ht="15.75" customHeight="1">
      <c r="A2034" s="197" t="s">
        <v>70</v>
      </c>
      <c r="B2034" s="197" t="s">
        <v>22</v>
      </c>
      <c r="C2034" s="198" t="s">
        <v>697</v>
      </c>
      <c r="D2034" s="197" t="s">
        <v>698</v>
      </c>
      <c r="E2034" s="199">
        <v>7.0</v>
      </c>
      <c r="F2034" s="200">
        <v>45931.625</v>
      </c>
      <c r="G2034" s="197" t="s">
        <v>845</v>
      </c>
      <c r="H2034" s="197" t="s">
        <v>863</v>
      </c>
    </row>
    <row r="2035" ht="15.75" customHeight="1">
      <c r="A2035" s="197" t="s">
        <v>71</v>
      </c>
      <c r="B2035" s="197" t="s">
        <v>24</v>
      </c>
      <c r="C2035" s="198" t="s">
        <v>288</v>
      </c>
      <c r="D2035" s="197" t="s">
        <v>289</v>
      </c>
      <c r="E2035" s="199">
        <v>1.0</v>
      </c>
      <c r="F2035" s="200">
        <v>45713.58333333333</v>
      </c>
      <c r="G2035" s="197" t="s">
        <v>845</v>
      </c>
      <c r="H2035" s="197" t="s">
        <v>864</v>
      </c>
    </row>
    <row r="2036" ht="15.75" customHeight="1">
      <c r="A2036" s="197" t="s">
        <v>71</v>
      </c>
      <c r="B2036" s="197" t="s">
        <v>24</v>
      </c>
      <c r="C2036" s="198" t="s">
        <v>288</v>
      </c>
      <c r="D2036" s="197" t="s">
        <v>289</v>
      </c>
      <c r="E2036" s="199">
        <v>2.0</v>
      </c>
      <c r="F2036" s="200">
        <v>45827.45833333333</v>
      </c>
      <c r="G2036" s="197" t="s">
        <v>845</v>
      </c>
      <c r="H2036" s="197" t="s">
        <v>864</v>
      </c>
    </row>
    <row r="2037" ht="15.75" customHeight="1">
      <c r="A2037" s="197" t="s">
        <v>71</v>
      </c>
      <c r="B2037" s="197" t="s">
        <v>24</v>
      </c>
      <c r="C2037" s="198" t="s">
        <v>288</v>
      </c>
      <c r="D2037" s="197" t="s">
        <v>289</v>
      </c>
      <c r="E2037" s="199">
        <v>3.0</v>
      </c>
      <c r="F2037" s="200">
        <v>45833.625</v>
      </c>
      <c r="G2037" s="197" t="s">
        <v>845</v>
      </c>
      <c r="H2037" s="197" t="s">
        <v>864</v>
      </c>
    </row>
    <row r="2038" ht="15.75" customHeight="1">
      <c r="A2038" s="197" t="s">
        <v>71</v>
      </c>
      <c r="B2038" s="197" t="s">
        <v>24</v>
      </c>
      <c r="C2038" s="198" t="s">
        <v>288</v>
      </c>
      <c r="D2038" s="197" t="s">
        <v>289</v>
      </c>
      <c r="E2038" s="199">
        <v>4.0</v>
      </c>
      <c r="F2038" s="200">
        <v>45853.625</v>
      </c>
      <c r="G2038" s="197" t="s">
        <v>845</v>
      </c>
      <c r="H2038" s="197" t="s">
        <v>864</v>
      </c>
    </row>
    <row r="2039" ht="15.75" customHeight="1">
      <c r="A2039" s="197" t="s">
        <v>71</v>
      </c>
      <c r="B2039" s="197" t="s">
        <v>24</v>
      </c>
      <c r="C2039" s="198" t="s">
        <v>288</v>
      </c>
      <c r="D2039" s="197" t="s">
        <v>289</v>
      </c>
      <c r="E2039" s="199">
        <v>5.0</v>
      </c>
      <c r="F2039" s="200">
        <v>45869.375</v>
      </c>
      <c r="G2039" s="197" t="s">
        <v>845</v>
      </c>
      <c r="H2039" s="197" t="s">
        <v>864</v>
      </c>
    </row>
    <row r="2040" ht="15.75" customHeight="1">
      <c r="A2040" s="197" t="s">
        <v>71</v>
      </c>
      <c r="B2040" s="197" t="s">
        <v>24</v>
      </c>
      <c r="C2040" s="198" t="s">
        <v>288</v>
      </c>
      <c r="D2040" s="197" t="s">
        <v>289</v>
      </c>
      <c r="E2040" s="199">
        <v>6.0</v>
      </c>
      <c r="F2040" s="200">
        <v>45882.45833333333</v>
      </c>
      <c r="G2040" s="197" t="s">
        <v>845</v>
      </c>
      <c r="H2040" s="197" t="s">
        <v>864</v>
      </c>
    </row>
    <row r="2041" ht="15.75" customHeight="1">
      <c r="A2041" s="197" t="s">
        <v>71</v>
      </c>
      <c r="B2041" s="197" t="s">
        <v>24</v>
      </c>
      <c r="C2041" s="198" t="s">
        <v>288</v>
      </c>
      <c r="D2041" s="197" t="s">
        <v>289</v>
      </c>
      <c r="E2041" s="199">
        <v>7.0</v>
      </c>
      <c r="F2041" s="200">
        <v>45896.625</v>
      </c>
      <c r="G2041" s="197" t="s">
        <v>843</v>
      </c>
      <c r="H2041" s="197" t="s">
        <v>864</v>
      </c>
    </row>
    <row r="2042" ht="15.75" customHeight="1">
      <c r="A2042" s="197" t="s">
        <v>71</v>
      </c>
      <c r="B2042" s="197" t="s">
        <v>24</v>
      </c>
      <c r="C2042" s="198" t="s">
        <v>288</v>
      </c>
      <c r="D2042" s="197" t="s">
        <v>289</v>
      </c>
      <c r="E2042" s="199">
        <v>8.0</v>
      </c>
      <c r="F2042" s="200">
        <v>45917.375</v>
      </c>
      <c r="G2042" s="197" t="s">
        <v>845</v>
      </c>
      <c r="H2042" s="197" t="s">
        <v>864</v>
      </c>
    </row>
    <row r="2043" ht="15.75" customHeight="1">
      <c r="A2043" s="197" t="s">
        <v>71</v>
      </c>
      <c r="B2043" s="197" t="s">
        <v>24</v>
      </c>
      <c r="C2043" s="198" t="s">
        <v>288</v>
      </c>
      <c r="D2043" s="197" t="s">
        <v>289</v>
      </c>
      <c r="E2043" s="199">
        <v>9.0</v>
      </c>
      <c r="F2043" s="200">
        <v>45924.41666666667</v>
      </c>
      <c r="G2043" s="197" t="s">
        <v>845</v>
      </c>
      <c r="H2043" s="197" t="s">
        <v>864</v>
      </c>
    </row>
    <row r="2044" ht="15.75" customHeight="1">
      <c r="A2044" s="197" t="s">
        <v>71</v>
      </c>
      <c r="B2044" s="197" t="s">
        <v>24</v>
      </c>
      <c r="C2044" s="198" t="s">
        <v>288</v>
      </c>
      <c r="D2044" s="197" t="s">
        <v>289</v>
      </c>
      <c r="E2044" s="199">
        <v>10.0</v>
      </c>
      <c r="F2044" s="200">
        <v>45952.45833333333</v>
      </c>
      <c r="G2044" s="197" t="s">
        <v>845</v>
      </c>
      <c r="H2044" s="197" t="s">
        <v>864</v>
      </c>
    </row>
    <row r="2045" ht="15.75" customHeight="1">
      <c r="A2045" s="197" t="s">
        <v>71</v>
      </c>
      <c r="B2045" s="197" t="s">
        <v>24</v>
      </c>
      <c r="C2045" s="198" t="s">
        <v>288</v>
      </c>
      <c r="D2045" s="197" t="s">
        <v>289</v>
      </c>
      <c r="E2045" s="199">
        <v>11.0</v>
      </c>
      <c r="F2045" s="200">
        <v>45981.625</v>
      </c>
      <c r="G2045" s="197" t="s">
        <v>845</v>
      </c>
      <c r="H2045" s="197" t="s">
        <v>864</v>
      </c>
    </row>
    <row r="2046" ht="15.75" customHeight="1">
      <c r="A2046" s="197" t="s">
        <v>71</v>
      </c>
      <c r="B2046" s="197" t="s">
        <v>24</v>
      </c>
      <c r="C2046" s="198" t="s">
        <v>288</v>
      </c>
      <c r="D2046" s="197" t="s">
        <v>289</v>
      </c>
      <c r="E2046" s="199">
        <v>12.0</v>
      </c>
      <c r="F2046" s="200">
        <v>45987.45833333333</v>
      </c>
      <c r="G2046" s="197" t="s">
        <v>843</v>
      </c>
      <c r="H2046" s="197" t="s">
        <v>864</v>
      </c>
    </row>
    <row r="2047" ht="15.75" customHeight="1">
      <c r="A2047" s="197" t="s">
        <v>71</v>
      </c>
      <c r="B2047" s="197" t="s">
        <v>24</v>
      </c>
      <c r="C2047" s="198" t="s">
        <v>288</v>
      </c>
      <c r="D2047" s="197" t="s">
        <v>289</v>
      </c>
      <c r="E2047" s="199">
        <v>13.0</v>
      </c>
      <c r="F2047" s="200">
        <v>45994.45833333333</v>
      </c>
      <c r="G2047" s="197" t="s">
        <v>845</v>
      </c>
      <c r="H2047" s="197" t="s">
        <v>864</v>
      </c>
    </row>
    <row r="2048" ht="15.75" customHeight="1">
      <c r="A2048" s="197" t="s">
        <v>71</v>
      </c>
      <c r="B2048" s="197" t="s">
        <v>24</v>
      </c>
      <c r="C2048" s="198" t="s">
        <v>288</v>
      </c>
      <c r="D2048" s="197" t="s">
        <v>289</v>
      </c>
      <c r="E2048" s="199">
        <v>14.0</v>
      </c>
      <c r="F2048" s="200">
        <v>46008.45833333333</v>
      </c>
      <c r="G2048" s="197" t="s">
        <v>845</v>
      </c>
      <c r="H2048" s="197" t="s">
        <v>864</v>
      </c>
    </row>
    <row r="2049" ht="15.75" customHeight="1">
      <c r="A2049" s="197" t="s">
        <v>71</v>
      </c>
      <c r="B2049" s="197" t="s">
        <v>24</v>
      </c>
      <c r="C2049" s="198" t="s">
        <v>288</v>
      </c>
      <c r="D2049" s="197" t="s">
        <v>289</v>
      </c>
      <c r="E2049" s="199">
        <v>15.0</v>
      </c>
      <c r="F2049" s="200">
        <v>46050.54166666667</v>
      </c>
      <c r="G2049" s="197" t="s">
        <v>845</v>
      </c>
      <c r="H2049" s="197" t="s">
        <v>864</v>
      </c>
    </row>
    <row r="2050" ht="15.75" customHeight="1">
      <c r="A2050" s="197" t="s">
        <v>71</v>
      </c>
      <c r="B2050" s="197" t="s">
        <v>24</v>
      </c>
      <c r="C2050" s="198" t="s">
        <v>348</v>
      </c>
      <c r="D2050" s="197" t="s">
        <v>349</v>
      </c>
      <c r="E2050" s="199">
        <v>1.0</v>
      </c>
      <c r="F2050" s="200">
        <v>45713.58333333333</v>
      </c>
      <c r="G2050" s="197" t="s">
        <v>843</v>
      </c>
      <c r="H2050" s="197" t="s">
        <v>864</v>
      </c>
    </row>
    <row r="2051" ht="15.75" customHeight="1">
      <c r="A2051" s="197" t="s">
        <v>71</v>
      </c>
      <c r="B2051" s="197" t="s">
        <v>24</v>
      </c>
      <c r="C2051" s="198" t="s">
        <v>348</v>
      </c>
      <c r="D2051" s="197" t="s">
        <v>349</v>
      </c>
      <c r="E2051" s="199">
        <v>2.0</v>
      </c>
      <c r="F2051" s="200">
        <v>45827.45833333333</v>
      </c>
      <c r="G2051" s="197" t="s">
        <v>843</v>
      </c>
      <c r="H2051" s="197" t="s">
        <v>864</v>
      </c>
    </row>
    <row r="2052" ht="15.75" customHeight="1">
      <c r="A2052" s="197" t="s">
        <v>71</v>
      </c>
      <c r="B2052" s="197" t="s">
        <v>24</v>
      </c>
      <c r="C2052" s="198" t="s">
        <v>348</v>
      </c>
      <c r="D2052" s="197" t="s">
        <v>349</v>
      </c>
      <c r="E2052" s="199">
        <v>3.0</v>
      </c>
      <c r="F2052" s="200">
        <v>45833.625</v>
      </c>
      <c r="G2052" s="197" t="s">
        <v>845</v>
      </c>
      <c r="H2052" s="197" t="s">
        <v>864</v>
      </c>
    </row>
    <row r="2053" ht="15.75" customHeight="1">
      <c r="A2053" s="197" t="s">
        <v>71</v>
      </c>
      <c r="B2053" s="197" t="s">
        <v>24</v>
      </c>
      <c r="C2053" s="198" t="s">
        <v>348</v>
      </c>
      <c r="D2053" s="197" t="s">
        <v>349</v>
      </c>
      <c r="E2053" s="199">
        <v>4.0</v>
      </c>
      <c r="F2053" s="200">
        <v>45853.625</v>
      </c>
      <c r="G2053" s="197" t="s">
        <v>845</v>
      </c>
      <c r="H2053" s="197" t="s">
        <v>864</v>
      </c>
    </row>
    <row r="2054" ht="15.75" customHeight="1">
      <c r="A2054" s="197" t="s">
        <v>71</v>
      </c>
      <c r="B2054" s="197" t="s">
        <v>24</v>
      </c>
      <c r="C2054" s="198" t="s">
        <v>348</v>
      </c>
      <c r="D2054" s="197" t="s">
        <v>349</v>
      </c>
      <c r="E2054" s="199">
        <v>5.0</v>
      </c>
      <c r="F2054" s="200">
        <v>45869.375</v>
      </c>
      <c r="G2054" s="197" t="s">
        <v>845</v>
      </c>
      <c r="H2054" s="197" t="s">
        <v>864</v>
      </c>
    </row>
    <row r="2055" ht="15.75" customHeight="1">
      <c r="A2055" s="197" t="s">
        <v>71</v>
      </c>
      <c r="B2055" s="197" t="s">
        <v>24</v>
      </c>
      <c r="C2055" s="198" t="s">
        <v>348</v>
      </c>
      <c r="D2055" s="197" t="s">
        <v>349</v>
      </c>
      <c r="E2055" s="199">
        <v>6.0</v>
      </c>
      <c r="F2055" s="200">
        <v>45882.45833333333</v>
      </c>
      <c r="G2055" s="197" t="s">
        <v>845</v>
      </c>
      <c r="H2055" s="197" t="s">
        <v>864</v>
      </c>
    </row>
    <row r="2056" ht="15.75" customHeight="1">
      <c r="A2056" s="197" t="s">
        <v>71</v>
      </c>
      <c r="B2056" s="197" t="s">
        <v>24</v>
      </c>
      <c r="C2056" s="198" t="s">
        <v>348</v>
      </c>
      <c r="D2056" s="197" t="s">
        <v>349</v>
      </c>
      <c r="E2056" s="199">
        <v>7.0</v>
      </c>
      <c r="F2056" s="200">
        <v>45896.625</v>
      </c>
      <c r="G2056" s="197" t="s">
        <v>845</v>
      </c>
      <c r="H2056" s="197" t="s">
        <v>864</v>
      </c>
    </row>
    <row r="2057" ht="15.75" customHeight="1">
      <c r="A2057" s="197" t="s">
        <v>71</v>
      </c>
      <c r="B2057" s="197" t="s">
        <v>24</v>
      </c>
      <c r="C2057" s="198" t="s">
        <v>348</v>
      </c>
      <c r="D2057" s="197" t="s">
        <v>349</v>
      </c>
      <c r="E2057" s="199">
        <v>8.0</v>
      </c>
      <c r="F2057" s="200">
        <v>45917.375</v>
      </c>
      <c r="G2057" s="197" t="s">
        <v>845</v>
      </c>
      <c r="H2057" s="197" t="s">
        <v>864</v>
      </c>
    </row>
    <row r="2058" ht="15.75" customHeight="1">
      <c r="A2058" s="197" t="s">
        <v>71</v>
      </c>
      <c r="B2058" s="197" t="s">
        <v>24</v>
      </c>
      <c r="C2058" s="198" t="s">
        <v>348</v>
      </c>
      <c r="D2058" s="197" t="s">
        <v>349</v>
      </c>
      <c r="E2058" s="199">
        <v>9.0</v>
      </c>
      <c r="F2058" s="200">
        <v>45924.41666666667</v>
      </c>
      <c r="G2058" s="197" t="s">
        <v>845</v>
      </c>
      <c r="H2058" s="197" t="s">
        <v>864</v>
      </c>
    </row>
    <row r="2059" ht="15.75" customHeight="1">
      <c r="A2059" s="197" t="s">
        <v>71</v>
      </c>
      <c r="B2059" s="197" t="s">
        <v>24</v>
      </c>
      <c r="C2059" s="198" t="s">
        <v>348</v>
      </c>
      <c r="D2059" s="197" t="s">
        <v>349</v>
      </c>
      <c r="E2059" s="199">
        <v>10.0</v>
      </c>
      <c r="F2059" s="200">
        <v>45952.45833333333</v>
      </c>
      <c r="G2059" s="197" t="s">
        <v>845</v>
      </c>
      <c r="H2059" s="197" t="s">
        <v>864</v>
      </c>
    </row>
    <row r="2060" ht="15.75" customHeight="1">
      <c r="A2060" s="197" t="s">
        <v>71</v>
      </c>
      <c r="B2060" s="197" t="s">
        <v>24</v>
      </c>
      <c r="C2060" s="198" t="s">
        <v>348</v>
      </c>
      <c r="D2060" s="197" t="s">
        <v>349</v>
      </c>
      <c r="E2060" s="199">
        <v>11.0</v>
      </c>
      <c r="F2060" s="200">
        <v>45981.625</v>
      </c>
      <c r="G2060" s="197" t="s">
        <v>845</v>
      </c>
      <c r="H2060" s="197" t="s">
        <v>864</v>
      </c>
    </row>
    <row r="2061" ht="15.75" customHeight="1">
      <c r="A2061" s="197" t="s">
        <v>71</v>
      </c>
      <c r="B2061" s="197" t="s">
        <v>24</v>
      </c>
      <c r="C2061" s="198" t="s">
        <v>348</v>
      </c>
      <c r="D2061" s="197" t="s">
        <v>349</v>
      </c>
      <c r="E2061" s="199">
        <v>12.0</v>
      </c>
      <c r="F2061" s="200">
        <v>45987.45833333333</v>
      </c>
      <c r="G2061" s="197" t="s">
        <v>843</v>
      </c>
      <c r="H2061" s="197" t="s">
        <v>864</v>
      </c>
    </row>
    <row r="2062" ht="15.75" customHeight="1">
      <c r="A2062" s="197" t="s">
        <v>71</v>
      </c>
      <c r="B2062" s="197" t="s">
        <v>24</v>
      </c>
      <c r="C2062" s="198" t="s">
        <v>348</v>
      </c>
      <c r="D2062" s="197" t="s">
        <v>349</v>
      </c>
      <c r="E2062" s="199">
        <v>13.0</v>
      </c>
      <c r="F2062" s="200">
        <v>45994.45833333333</v>
      </c>
      <c r="G2062" s="197" t="s">
        <v>845</v>
      </c>
      <c r="H2062" s="197" t="s">
        <v>864</v>
      </c>
    </row>
    <row r="2063" ht="15.75" customHeight="1">
      <c r="A2063" s="197" t="s">
        <v>71</v>
      </c>
      <c r="B2063" s="197" t="s">
        <v>24</v>
      </c>
      <c r="C2063" s="198" t="s">
        <v>348</v>
      </c>
      <c r="D2063" s="197" t="s">
        <v>349</v>
      </c>
      <c r="E2063" s="199">
        <v>14.0</v>
      </c>
      <c r="F2063" s="200">
        <v>46008.45833333333</v>
      </c>
      <c r="G2063" s="197" t="s">
        <v>845</v>
      </c>
      <c r="H2063" s="197" t="s">
        <v>864</v>
      </c>
    </row>
    <row r="2064" ht="15.75" customHeight="1">
      <c r="A2064" s="197" t="s">
        <v>71</v>
      </c>
      <c r="B2064" s="197" t="s">
        <v>24</v>
      </c>
      <c r="C2064" s="198" t="s">
        <v>348</v>
      </c>
      <c r="D2064" s="197" t="s">
        <v>349</v>
      </c>
      <c r="E2064" s="199">
        <v>15.0</v>
      </c>
      <c r="F2064" s="200">
        <v>46050.54166666667</v>
      </c>
      <c r="G2064" s="197" t="s">
        <v>843</v>
      </c>
      <c r="H2064" s="197" t="s">
        <v>864</v>
      </c>
    </row>
    <row r="2065" ht="15.75" customHeight="1">
      <c r="A2065" s="197" t="s">
        <v>71</v>
      </c>
      <c r="B2065" s="197" t="s">
        <v>24</v>
      </c>
      <c r="C2065" s="198" t="s">
        <v>570</v>
      </c>
      <c r="D2065" s="197" t="s">
        <v>571</v>
      </c>
      <c r="E2065" s="199">
        <v>1.0</v>
      </c>
      <c r="F2065" s="200">
        <v>45713.58333333333</v>
      </c>
      <c r="G2065" s="197" t="s">
        <v>843</v>
      </c>
      <c r="H2065" s="197" t="s">
        <v>864</v>
      </c>
    </row>
    <row r="2066" ht="15.75" customHeight="1">
      <c r="A2066" s="197" t="s">
        <v>71</v>
      </c>
      <c r="B2066" s="197" t="s">
        <v>24</v>
      </c>
      <c r="C2066" s="198" t="s">
        <v>570</v>
      </c>
      <c r="D2066" s="197" t="s">
        <v>571</v>
      </c>
      <c r="E2066" s="199">
        <v>2.0</v>
      </c>
      <c r="F2066" s="200">
        <v>45827.45833333333</v>
      </c>
      <c r="G2066" s="197" t="s">
        <v>843</v>
      </c>
      <c r="H2066" s="197" t="s">
        <v>864</v>
      </c>
    </row>
    <row r="2067" ht="15.75" customHeight="1">
      <c r="A2067" s="197" t="s">
        <v>71</v>
      </c>
      <c r="B2067" s="197" t="s">
        <v>24</v>
      </c>
      <c r="C2067" s="198" t="s">
        <v>570</v>
      </c>
      <c r="D2067" s="197" t="s">
        <v>571</v>
      </c>
      <c r="E2067" s="199">
        <v>3.0</v>
      </c>
      <c r="F2067" s="200">
        <v>45833.625</v>
      </c>
      <c r="G2067" s="197" t="s">
        <v>843</v>
      </c>
      <c r="H2067" s="197" t="s">
        <v>864</v>
      </c>
    </row>
    <row r="2068" ht="15.75" customHeight="1">
      <c r="A2068" s="197" t="s">
        <v>71</v>
      </c>
      <c r="B2068" s="197" t="s">
        <v>24</v>
      </c>
      <c r="C2068" s="198" t="s">
        <v>570</v>
      </c>
      <c r="D2068" s="197" t="s">
        <v>571</v>
      </c>
      <c r="E2068" s="199">
        <v>4.0</v>
      </c>
      <c r="F2068" s="200">
        <v>45853.625</v>
      </c>
      <c r="G2068" s="197" t="s">
        <v>843</v>
      </c>
      <c r="H2068" s="197" t="s">
        <v>864</v>
      </c>
    </row>
    <row r="2069" ht="15.75" customHeight="1">
      <c r="A2069" s="197" t="s">
        <v>71</v>
      </c>
      <c r="B2069" s="197" t="s">
        <v>24</v>
      </c>
      <c r="C2069" s="198" t="s">
        <v>570</v>
      </c>
      <c r="D2069" s="197" t="s">
        <v>571</v>
      </c>
      <c r="E2069" s="199">
        <v>5.0</v>
      </c>
      <c r="F2069" s="200">
        <v>45869.375</v>
      </c>
      <c r="G2069" s="197" t="s">
        <v>845</v>
      </c>
      <c r="H2069" s="197" t="s">
        <v>864</v>
      </c>
    </row>
    <row r="2070" ht="15.75" customHeight="1">
      <c r="A2070" s="197" t="s">
        <v>71</v>
      </c>
      <c r="B2070" s="197" t="s">
        <v>24</v>
      </c>
      <c r="C2070" s="198" t="s">
        <v>570</v>
      </c>
      <c r="D2070" s="197" t="s">
        <v>571</v>
      </c>
      <c r="E2070" s="199">
        <v>6.0</v>
      </c>
      <c r="F2070" s="200">
        <v>45882.45833333333</v>
      </c>
      <c r="G2070" s="197" t="s">
        <v>845</v>
      </c>
      <c r="H2070" s="197" t="s">
        <v>864</v>
      </c>
    </row>
    <row r="2071" ht="15.75" customHeight="1">
      <c r="A2071" s="197" t="s">
        <v>71</v>
      </c>
      <c r="B2071" s="197" t="s">
        <v>24</v>
      </c>
      <c r="C2071" s="198" t="s">
        <v>570</v>
      </c>
      <c r="D2071" s="197" t="s">
        <v>571</v>
      </c>
      <c r="E2071" s="199">
        <v>7.0</v>
      </c>
      <c r="F2071" s="200">
        <v>45896.625</v>
      </c>
      <c r="G2071" s="197" t="s">
        <v>843</v>
      </c>
      <c r="H2071" s="197" t="s">
        <v>864</v>
      </c>
    </row>
    <row r="2072" ht="15.75" customHeight="1">
      <c r="A2072" s="197" t="s">
        <v>71</v>
      </c>
      <c r="B2072" s="197" t="s">
        <v>24</v>
      </c>
      <c r="C2072" s="198" t="s">
        <v>570</v>
      </c>
      <c r="D2072" s="197" t="s">
        <v>571</v>
      </c>
      <c r="E2072" s="199">
        <v>8.0</v>
      </c>
      <c r="F2072" s="200">
        <v>45917.375</v>
      </c>
      <c r="G2072" s="197" t="s">
        <v>845</v>
      </c>
      <c r="H2072" s="197" t="s">
        <v>864</v>
      </c>
    </row>
    <row r="2073" ht="15.75" customHeight="1">
      <c r="A2073" s="197" t="s">
        <v>71</v>
      </c>
      <c r="B2073" s="197" t="s">
        <v>24</v>
      </c>
      <c r="C2073" s="198" t="s">
        <v>570</v>
      </c>
      <c r="D2073" s="197" t="s">
        <v>571</v>
      </c>
      <c r="E2073" s="199">
        <v>9.0</v>
      </c>
      <c r="F2073" s="200">
        <v>45924.41666666667</v>
      </c>
      <c r="G2073" s="197" t="s">
        <v>845</v>
      </c>
      <c r="H2073" s="197" t="s">
        <v>864</v>
      </c>
    </row>
    <row r="2074" ht="15.75" customHeight="1">
      <c r="A2074" s="197" t="s">
        <v>71</v>
      </c>
      <c r="B2074" s="197" t="s">
        <v>24</v>
      </c>
      <c r="C2074" s="198" t="s">
        <v>570</v>
      </c>
      <c r="D2074" s="197" t="s">
        <v>571</v>
      </c>
      <c r="E2074" s="199">
        <v>10.0</v>
      </c>
      <c r="F2074" s="200">
        <v>45952.45833333333</v>
      </c>
      <c r="G2074" s="197" t="s">
        <v>845</v>
      </c>
      <c r="H2074" s="197" t="s">
        <v>864</v>
      </c>
    </row>
    <row r="2075" ht="15.75" customHeight="1">
      <c r="A2075" s="197" t="s">
        <v>71</v>
      </c>
      <c r="B2075" s="197" t="s">
        <v>24</v>
      </c>
      <c r="C2075" s="198" t="s">
        <v>570</v>
      </c>
      <c r="D2075" s="197" t="s">
        <v>571</v>
      </c>
      <c r="E2075" s="199">
        <v>11.0</v>
      </c>
      <c r="F2075" s="200">
        <v>45981.625</v>
      </c>
      <c r="G2075" s="197" t="s">
        <v>843</v>
      </c>
      <c r="H2075" s="197" t="s">
        <v>864</v>
      </c>
    </row>
    <row r="2076" ht="15.75" customHeight="1">
      <c r="A2076" s="197" t="s">
        <v>71</v>
      </c>
      <c r="B2076" s="197" t="s">
        <v>24</v>
      </c>
      <c r="C2076" s="198" t="s">
        <v>570</v>
      </c>
      <c r="D2076" s="197" t="s">
        <v>571</v>
      </c>
      <c r="E2076" s="199">
        <v>12.0</v>
      </c>
      <c r="F2076" s="200">
        <v>45987.45833333333</v>
      </c>
      <c r="G2076" s="197" t="s">
        <v>845</v>
      </c>
      <c r="H2076" s="197" t="s">
        <v>864</v>
      </c>
    </row>
    <row r="2077" ht="15.75" customHeight="1">
      <c r="A2077" s="197" t="s">
        <v>71</v>
      </c>
      <c r="B2077" s="197" t="s">
        <v>24</v>
      </c>
      <c r="C2077" s="198" t="s">
        <v>570</v>
      </c>
      <c r="D2077" s="197" t="s">
        <v>571</v>
      </c>
      <c r="E2077" s="199">
        <v>13.0</v>
      </c>
      <c r="F2077" s="200">
        <v>45994.45833333333</v>
      </c>
      <c r="G2077" s="197" t="s">
        <v>845</v>
      </c>
      <c r="H2077" s="197" t="s">
        <v>864</v>
      </c>
    </row>
    <row r="2078" ht="15.75" customHeight="1">
      <c r="A2078" s="197" t="s">
        <v>71</v>
      </c>
      <c r="B2078" s="197" t="s">
        <v>24</v>
      </c>
      <c r="C2078" s="198" t="s">
        <v>570</v>
      </c>
      <c r="D2078" s="197" t="s">
        <v>571</v>
      </c>
      <c r="E2078" s="199">
        <v>14.0</v>
      </c>
      <c r="F2078" s="200">
        <v>46008.45833333333</v>
      </c>
      <c r="G2078" s="197" t="s">
        <v>845</v>
      </c>
      <c r="H2078" s="197" t="s">
        <v>864</v>
      </c>
    </row>
    <row r="2079" ht="15.75" customHeight="1">
      <c r="A2079" s="197" t="s">
        <v>71</v>
      </c>
      <c r="B2079" s="197" t="s">
        <v>24</v>
      </c>
      <c r="C2079" s="198" t="s">
        <v>570</v>
      </c>
      <c r="D2079" s="197" t="s">
        <v>571</v>
      </c>
      <c r="E2079" s="199">
        <v>15.0</v>
      </c>
      <c r="F2079" s="200">
        <v>46050.54166666667</v>
      </c>
      <c r="G2079" s="197" t="s">
        <v>845</v>
      </c>
      <c r="H2079" s="197" t="s">
        <v>864</v>
      </c>
    </row>
    <row r="2080" ht="15.75" customHeight="1">
      <c r="A2080" s="197" t="s">
        <v>71</v>
      </c>
      <c r="B2080" s="197" t="s">
        <v>24</v>
      </c>
      <c r="C2080" s="198" t="s">
        <v>619</v>
      </c>
      <c r="D2080" s="197" t="s">
        <v>620</v>
      </c>
      <c r="E2080" s="199">
        <v>1.0</v>
      </c>
      <c r="F2080" s="200">
        <v>45713.58333333333</v>
      </c>
      <c r="G2080" s="197" t="s">
        <v>845</v>
      </c>
      <c r="H2080" s="197" t="s">
        <v>864</v>
      </c>
    </row>
    <row r="2081" ht="15.75" customHeight="1">
      <c r="A2081" s="197" t="s">
        <v>71</v>
      </c>
      <c r="B2081" s="197" t="s">
        <v>24</v>
      </c>
      <c r="C2081" s="198" t="s">
        <v>619</v>
      </c>
      <c r="D2081" s="197" t="s">
        <v>620</v>
      </c>
      <c r="E2081" s="199">
        <v>2.0</v>
      </c>
      <c r="F2081" s="200">
        <v>45827.45833333333</v>
      </c>
      <c r="G2081" s="197" t="s">
        <v>845</v>
      </c>
      <c r="H2081" s="197" t="s">
        <v>864</v>
      </c>
    </row>
    <row r="2082" ht="15.75" customHeight="1">
      <c r="A2082" s="197" t="s">
        <v>71</v>
      </c>
      <c r="B2082" s="197" t="s">
        <v>24</v>
      </c>
      <c r="C2082" s="198" t="s">
        <v>619</v>
      </c>
      <c r="D2082" s="197" t="s">
        <v>620</v>
      </c>
      <c r="E2082" s="199">
        <v>3.0</v>
      </c>
      <c r="F2082" s="200">
        <v>45833.625</v>
      </c>
      <c r="G2082" s="197" t="s">
        <v>845</v>
      </c>
      <c r="H2082" s="197" t="s">
        <v>864</v>
      </c>
    </row>
    <row r="2083" ht="15.75" customHeight="1">
      <c r="A2083" s="197" t="s">
        <v>71</v>
      </c>
      <c r="B2083" s="197" t="s">
        <v>24</v>
      </c>
      <c r="C2083" s="198" t="s">
        <v>619</v>
      </c>
      <c r="D2083" s="197" t="s">
        <v>620</v>
      </c>
      <c r="E2083" s="199">
        <v>4.0</v>
      </c>
      <c r="F2083" s="200">
        <v>45853.625</v>
      </c>
      <c r="G2083" s="197" t="s">
        <v>845</v>
      </c>
      <c r="H2083" s="197" t="s">
        <v>864</v>
      </c>
    </row>
    <row r="2084" ht="15.75" customHeight="1">
      <c r="A2084" s="197" t="s">
        <v>71</v>
      </c>
      <c r="B2084" s="197" t="s">
        <v>24</v>
      </c>
      <c r="C2084" s="198" t="s">
        <v>619</v>
      </c>
      <c r="D2084" s="197" t="s">
        <v>620</v>
      </c>
      <c r="E2084" s="199">
        <v>5.0</v>
      </c>
      <c r="F2084" s="200">
        <v>45869.375</v>
      </c>
      <c r="G2084" s="197" t="s">
        <v>845</v>
      </c>
      <c r="H2084" s="197" t="s">
        <v>864</v>
      </c>
    </row>
    <row r="2085" ht="15.75" customHeight="1">
      <c r="A2085" s="197" t="s">
        <v>71</v>
      </c>
      <c r="B2085" s="197" t="s">
        <v>24</v>
      </c>
      <c r="C2085" s="198" t="s">
        <v>619</v>
      </c>
      <c r="D2085" s="197" t="s">
        <v>620</v>
      </c>
      <c r="E2085" s="199">
        <v>6.0</v>
      </c>
      <c r="F2085" s="200">
        <v>45882.45833333333</v>
      </c>
      <c r="G2085" s="197" t="s">
        <v>845</v>
      </c>
      <c r="H2085" s="197" t="s">
        <v>864</v>
      </c>
    </row>
    <row r="2086" ht="15.75" customHeight="1">
      <c r="A2086" s="197" t="s">
        <v>71</v>
      </c>
      <c r="B2086" s="197" t="s">
        <v>24</v>
      </c>
      <c r="C2086" s="198" t="s">
        <v>619</v>
      </c>
      <c r="D2086" s="197" t="s">
        <v>620</v>
      </c>
      <c r="E2086" s="199">
        <v>7.0</v>
      </c>
      <c r="F2086" s="200">
        <v>45896.625</v>
      </c>
      <c r="G2086" s="197" t="s">
        <v>845</v>
      </c>
      <c r="H2086" s="197" t="s">
        <v>864</v>
      </c>
    </row>
    <row r="2087" ht="15.75" customHeight="1">
      <c r="A2087" s="197" t="s">
        <v>71</v>
      </c>
      <c r="B2087" s="197" t="s">
        <v>24</v>
      </c>
      <c r="C2087" s="198" t="s">
        <v>619</v>
      </c>
      <c r="D2087" s="197" t="s">
        <v>620</v>
      </c>
      <c r="E2087" s="199">
        <v>8.0</v>
      </c>
      <c r="F2087" s="200">
        <v>45917.375</v>
      </c>
      <c r="G2087" s="197" t="s">
        <v>845</v>
      </c>
      <c r="H2087" s="197" t="s">
        <v>864</v>
      </c>
    </row>
    <row r="2088" ht="15.75" customHeight="1">
      <c r="A2088" s="197" t="s">
        <v>71</v>
      </c>
      <c r="B2088" s="197" t="s">
        <v>24</v>
      </c>
      <c r="C2088" s="198" t="s">
        <v>619</v>
      </c>
      <c r="D2088" s="197" t="s">
        <v>620</v>
      </c>
      <c r="E2088" s="199">
        <v>9.0</v>
      </c>
      <c r="F2088" s="200">
        <v>45924.41666666667</v>
      </c>
      <c r="G2088" s="197" t="s">
        <v>845</v>
      </c>
      <c r="H2088" s="197" t="s">
        <v>864</v>
      </c>
    </row>
    <row r="2089" ht="15.75" customHeight="1">
      <c r="A2089" s="197" t="s">
        <v>71</v>
      </c>
      <c r="B2089" s="197" t="s">
        <v>24</v>
      </c>
      <c r="C2089" s="198" t="s">
        <v>619</v>
      </c>
      <c r="D2089" s="197" t="s">
        <v>620</v>
      </c>
      <c r="E2089" s="199">
        <v>10.0</v>
      </c>
      <c r="F2089" s="200">
        <v>45952.45833333333</v>
      </c>
      <c r="G2089" s="197" t="s">
        <v>845</v>
      </c>
      <c r="H2089" s="197" t="s">
        <v>864</v>
      </c>
    </row>
    <row r="2090" ht="15.75" customHeight="1">
      <c r="A2090" s="197" t="s">
        <v>71</v>
      </c>
      <c r="B2090" s="197" t="s">
        <v>24</v>
      </c>
      <c r="C2090" s="198" t="s">
        <v>619</v>
      </c>
      <c r="D2090" s="197" t="s">
        <v>620</v>
      </c>
      <c r="E2090" s="199">
        <v>11.0</v>
      </c>
      <c r="F2090" s="200">
        <v>45981.625</v>
      </c>
      <c r="G2090" s="197" t="s">
        <v>843</v>
      </c>
      <c r="H2090" s="197" t="s">
        <v>864</v>
      </c>
    </row>
    <row r="2091" ht="15.75" customHeight="1">
      <c r="A2091" s="197" t="s">
        <v>71</v>
      </c>
      <c r="B2091" s="197" t="s">
        <v>24</v>
      </c>
      <c r="C2091" s="198" t="s">
        <v>619</v>
      </c>
      <c r="D2091" s="197" t="s">
        <v>620</v>
      </c>
      <c r="E2091" s="199">
        <v>12.0</v>
      </c>
      <c r="F2091" s="200">
        <v>45987.45833333333</v>
      </c>
      <c r="G2091" s="197" t="s">
        <v>845</v>
      </c>
      <c r="H2091" s="197" t="s">
        <v>864</v>
      </c>
    </row>
    <row r="2092" ht="15.75" customHeight="1">
      <c r="A2092" s="197" t="s">
        <v>71</v>
      </c>
      <c r="B2092" s="197" t="s">
        <v>24</v>
      </c>
      <c r="C2092" s="198" t="s">
        <v>619</v>
      </c>
      <c r="D2092" s="197" t="s">
        <v>620</v>
      </c>
      <c r="E2092" s="199">
        <v>13.0</v>
      </c>
      <c r="F2092" s="200">
        <v>45994.45833333333</v>
      </c>
      <c r="G2092" s="197" t="s">
        <v>845</v>
      </c>
      <c r="H2092" s="197" t="s">
        <v>864</v>
      </c>
    </row>
    <row r="2093" ht="15.75" customHeight="1">
      <c r="A2093" s="197" t="s">
        <v>71</v>
      </c>
      <c r="B2093" s="197" t="s">
        <v>24</v>
      </c>
      <c r="C2093" s="198" t="s">
        <v>619</v>
      </c>
      <c r="D2093" s="197" t="s">
        <v>620</v>
      </c>
      <c r="E2093" s="199">
        <v>14.0</v>
      </c>
      <c r="F2093" s="200">
        <v>46008.45833333333</v>
      </c>
      <c r="G2093" s="197" t="s">
        <v>845</v>
      </c>
      <c r="H2093" s="197" t="s">
        <v>864</v>
      </c>
    </row>
    <row r="2094" ht="15.75" customHeight="1">
      <c r="A2094" s="197" t="s">
        <v>71</v>
      </c>
      <c r="B2094" s="197" t="s">
        <v>24</v>
      </c>
      <c r="C2094" s="198" t="s">
        <v>619</v>
      </c>
      <c r="D2094" s="197" t="s">
        <v>620</v>
      </c>
      <c r="E2094" s="199">
        <v>15.0</v>
      </c>
      <c r="F2094" s="200">
        <v>46050.54166666667</v>
      </c>
      <c r="G2094" s="197" t="s">
        <v>845</v>
      </c>
      <c r="H2094" s="197" t="s">
        <v>864</v>
      </c>
    </row>
    <row r="2095" ht="15.75" customHeight="1">
      <c r="A2095" s="197" t="s">
        <v>71</v>
      </c>
      <c r="B2095" s="197" t="s">
        <v>24</v>
      </c>
      <c r="C2095" s="198" t="s">
        <v>631</v>
      </c>
      <c r="D2095" s="197" t="s">
        <v>632</v>
      </c>
      <c r="E2095" s="199">
        <v>1.0</v>
      </c>
      <c r="F2095" s="200">
        <v>45713.58333333333</v>
      </c>
      <c r="G2095" s="197" t="s">
        <v>845</v>
      </c>
      <c r="H2095" s="197" t="s">
        <v>864</v>
      </c>
    </row>
    <row r="2096" ht="15.75" customHeight="1">
      <c r="A2096" s="197" t="s">
        <v>71</v>
      </c>
      <c r="B2096" s="197" t="s">
        <v>24</v>
      </c>
      <c r="C2096" s="198" t="s">
        <v>631</v>
      </c>
      <c r="D2096" s="197" t="s">
        <v>632</v>
      </c>
      <c r="E2096" s="199">
        <v>2.0</v>
      </c>
      <c r="F2096" s="200">
        <v>45827.45833333333</v>
      </c>
      <c r="G2096" s="197" t="s">
        <v>845</v>
      </c>
      <c r="H2096" s="197" t="s">
        <v>864</v>
      </c>
    </row>
    <row r="2097" ht="15.75" customHeight="1">
      <c r="A2097" s="197" t="s">
        <v>71</v>
      </c>
      <c r="B2097" s="197" t="s">
        <v>24</v>
      </c>
      <c r="C2097" s="198" t="s">
        <v>631</v>
      </c>
      <c r="D2097" s="197" t="s">
        <v>632</v>
      </c>
      <c r="E2097" s="199">
        <v>3.0</v>
      </c>
      <c r="F2097" s="200">
        <v>45833.625</v>
      </c>
      <c r="G2097" s="197" t="s">
        <v>845</v>
      </c>
      <c r="H2097" s="197" t="s">
        <v>864</v>
      </c>
    </row>
    <row r="2098" ht="15.75" customHeight="1">
      <c r="A2098" s="197" t="s">
        <v>71</v>
      </c>
      <c r="B2098" s="197" t="s">
        <v>24</v>
      </c>
      <c r="C2098" s="198" t="s">
        <v>631</v>
      </c>
      <c r="D2098" s="197" t="s">
        <v>632</v>
      </c>
      <c r="E2098" s="199">
        <v>4.0</v>
      </c>
      <c r="F2098" s="200">
        <v>45853.625</v>
      </c>
      <c r="G2098" s="197" t="s">
        <v>845</v>
      </c>
      <c r="H2098" s="197" t="s">
        <v>864</v>
      </c>
    </row>
    <row r="2099" ht="15.75" customHeight="1">
      <c r="A2099" s="197" t="s">
        <v>71</v>
      </c>
      <c r="B2099" s="197" t="s">
        <v>24</v>
      </c>
      <c r="C2099" s="198" t="s">
        <v>631</v>
      </c>
      <c r="D2099" s="197" t="s">
        <v>632</v>
      </c>
      <c r="E2099" s="199">
        <v>5.0</v>
      </c>
      <c r="F2099" s="200">
        <v>45869.375</v>
      </c>
      <c r="G2099" s="197" t="s">
        <v>845</v>
      </c>
      <c r="H2099" s="197" t="s">
        <v>864</v>
      </c>
    </row>
    <row r="2100" ht="15.75" customHeight="1">
      <c r="A2100" s="197" t="s">
        <v>71</v>
      </c>
      <c r="B2100" s="197" t="s">
        <v>24</v>
      </c>
      <c r="C2100" s="198" t="s">
        <v>631</v>
      </c>
      <c r="D2100" s="197" t="s">
        <v>632</v>
      </c>
      <c r="E2100" s="199">
        <v>6.0</v>
      </c>
      <c r="F2100" s="200">
        <v>45882.45833333333</v>
      </c>
      <c r="G2100" s="197" t="s">
        <v>845</v>
      </c>
      <c r="H2100" s="197" t="s">
        <v>864</v>
      </c>
    </row>
    <row r="2101" ht="15.75" customHeight="1">
      <c r="A2101" s="197" t="s">
        <v>71</v>
      </c>
      <c r="B2101" s="197" t="s">
        <v>24</v>
      </c>
      <c r="C2101" s="198" t="s">
        <v>631</v>
      </c>
      <c r="D2101" s="197" t="s">
        <v>632</v>
      </c>
      <c r="E2101" s="199">
        <v>7.0</v>
      </c>
      <c r="F2101" s="200">
        <v>45896.625</v>
      </c>
      <c r="G2101" s="197" t="s">
        <v>843</v>
      </c>
      <c r="H2101" s="197" t="s">
        <v>864</v>
      </c>
    </row>
    <row r="2102" ht="15.75" customHeight="1">
      <c r="A2102" s="197" t="s">
        <v>71</v>
      </c>
      <c r="B2102" s="197" t="s">
        <v>24</v>
      </c>
      <c r="C2102" s="198" t="s">
        <v>631</v>
      </c>
      <c r="D2102" s="197" t="s">
        <v>632</v>
      </c>
      <c r="E2102" s="199">
        <v>8.0</v>
      </c>
      <c r="F2102" s="200">
        <v>45917.375</v>
      </c>
      <c r="G2102" s="197" t="s">
        <v>845</v>
      </c>
      <c r="H2102" s="197" t="s">
        <v>864</v>
      </c>
    </row>
    <row r="2103" ht="15.75" customHeight="1">
      <c r="A2103" s="197" t="s">
        <v>71</v>
      </c>
      <c r="B2103" s="197" t="s">
        <v>24</v>
      </c>
      <c r="C2103" s="198" t="s">
        <v>631</v>
      </c>
      <c r="D2103" s="197" t="s">
        <v>632</v>
      </c>
      <c r="E2103" s="199">
        <v>9.0</v>
      </c>
      <c r="F2103" s="200">
        <v>45924.41666666667</v>
      </c>
      <c r="G2103" s="197" t="s">
        <v>845</v>
      </c>
      <c r="H2103" s="197" t="s">
        <v>864</v>
      </c>
    </row>
    <row r="2104" ht="15.75" customHeight="1">
      <c r="A2104" s="197" t="s">
        <v>71</v>
      </c>
      <c r="B2104" s="197" t="s">
        <v>24</v>
      </c>
      <c r="C2104" s="198" t="s">
        <v>631</v>
      </c>
      <c r="D2104" s="197" t="s">
        <v>632</v>
      </c>
      <c r="E2104" s="199">
        <v>10.0</v>
      </c>
      <c r="F2104" s="200">
        <v>45952.45833333333</v>
      </c>
      <c r="G2104" s="197" t="s">
        <v>845</v>
      </c>
      <c r="H2104" s="197" t="s">
        <v>864</v>
      </c>
    </row>
    <row r="2105" ht="15.75" customHeight="1">
      <c r="A2105" s="197" t="s">
        <v>71</v>
      </c>
      <c r="B2105" s="197" t="s">
        <v>24</v>
      </c>
      <c r="C2105" s="198" t="s">
        <v>631</v>
      </c>
      <c r="D2105" s="197" t="s">
        <v>632</v>
      </c>
      <c r="E2105" s="199">
        <v>11.0</v>
      </c>
      <c r="F2105" s="200">
        <v>45981.625</v>
      </c>
      <c r="G2105" s="197" t="s">
        <v>845</v>
      </c>
      <c r="H2105" s="197" t="s">
        <v>864</v>
      </c>
    </row>
    <row r="2106" ht="15.75" customHeight="1">
      <c r="A2106" s="197" t="s">
        <v>71</v>
      </c>
      <c r="B2106" s="197" t="s">
        <v>24</v>
      </c>
      <c r="C2106" s="198" t="s">
        <v>631</v>
      </c>
      <c r="D2106" s="197" t="s">
        <v>632</v>
      </c>
      <c r="E2106" s="199">
        <v>12.0</v>
      </c>
      <c r="F2106" s="200">
        <v>45987.45833333333</v>
      </c>
      <c r="G2106" s="197" t="s">
        <v>845</v>
      </c>
      <c r="H2106" s="197" t="s">
        <v>864</v>
      </c>
    </row>
    <row r="2107" ht="15.75" customHeight="1">
      <c r="A2107" s="197" t="s">
        <v>71</v>
      </c>
      <c r="B2107" s="197" t="s">
        <v>24</v>
      </c>
      <c r="C2107" s="198" t="s">
        <v>631</v>
      </c>
      <c r="D2107" s="197" t="s">
        <v>632</v>
      </c>
      <c r="E2107" s="199">
        <v>13.0</v>
      </c>
      <c r="F2107" s="200">
        <v>45994.45833333333</v>
      </c>
      <c r="G2107" s="197" t="s">
        <v>845</v>
      </c>
      <c r="H2107" s="197" t="s">
        <v>864</v>
      </c>
    </row>
    <row r="2108" ht="15.75" customHeight="1">
      <c r="A2108" s="197" t="s">
        <v>71</v>
      </c>
      <c r="B2108" s="197" t="s">
        <v>24</v>
      </c>
      <c r="C2108" s="198" t="s">
        <v>631</v>
      </c>
      <c r="D2108" s="197" t="s">
        <v>632</v>
      </c>
      <c r="E2108" s="199">
        <v>14.0</v>
      </c>
      <c r="F2108" s="200">
        <v>46008.45833333333</v>
      </c>
      <c r="G2108" s="197" t="s">
        <v>845</v>
      </c>
      <c r="H2108" s="197" t="s">
        <v>864</v>
      </c>
    </row>
    <row r="2109" ht="15.75" customHeight="1">
      <c r="A2109" s="197" t="s">
        <v>71</v>
      </c>
      <c r="B2109" s="197" t="s">
        <v>24</v>
      </c>
      <c r="C2109" s="198" t="s">
        <v>631</v>
      </c>
      <c r="D2109" s="197" t="s">
        <v>632</v>
      </c>
      <c r="E2109" s="199">
        <v>15.0</v>
      </c>
      <c r="F2109" s="200">
        <v>46050.54166666667</v>
      </c>
      <c r="G2109" s="197" t="s">
        <v>845</v>
      </c>
      <c r="H2109" s="197" t="s">
        <v>864</v>
      </c>
    </row>
    <row r="2110" ht="15.75" customHeight="1">
      <c r="A2110" s="197" t="s">
        <v>71</v>
      </c>
      <c r="B2110" s="197" t="s">
        <v>24</v>
      </c>
      <c r="C2110" s="198" t="s">
        <v>635</v>
      </c>
      <c r="D2110" s="197" t="s">
        <v>636</v>
      </c>
      <c r="E2110" s="199">
        <v>1.0</v>
      </c>
      <c r="F2110" s="200">
        <v>45713.58333333333</v>
      </c>
      <c r="G2110" s="197" t="s">
        <v>845</v>
      </c>
      <c r="H2110" s="197" t="s">
        <v>864</v>
      </c>
    </row>
    <row r="2111" ht="15.75" customHeight="1">
      <c r="A2111" s="197" t="s">
        <v>71</v>
      </c>
      <c r="B2111" s="197" t="s">
        <v>24</v>
      </c>
      <c r="C2111" s="198" t="s">
        <v>635</v>
      </c>
      <c r="D2111" s="197" t="s">
        <v>636</v>
      </c>
      <c r="E2111" s="199">
        <v>2.0</v>
      </c>
      <c r="F2111" s="200">
        <v>45827.45833333333</v>
      </c>
      <c r="G2111" s="197" t="s">
        <v>845</v>
      </c>
      <c r="H2111" s="197" t="s">
        <v>864</v>
      </c>
    </row>
    <row r="2112" ht="15.75" customHeight="1">
      <c r="A2112" s="197" t="s">
        <v>71</v>
      </c>
      <c r="B2112" s="197" t="s">
        <v>24</v>
      </c>
      <c r="C2112" s="198" t="s">
        <v>635</v>
      </c>
      <c r="D2112" s="197" t="s">
        <v>636</v>
      </c>
      <c r="E2112" s="199">
        <v>3.0</v>
      </c>
      <c r="F2112" s="200">
        <v>45833.625</v>
      </c>
      <c r="G2112" s="197" t="s">
        <v>845</v>
      </c>
      <c r="H2112" s="197" t="s">
        <v>864</v>
      </c>
    </row>
    <row r="2113" ht="15.75" customHeight="1">
      <c r="A2113" s="197" t="s">
        <v>71</v>
      </c>
      <c r="B2113" s="197" t="s">
        <v>24</v>
      </c>
      <c r="C2113" s="198" t="s">
        <v>635</v>
      </c>
      <c r="D2113" s="197" t="s">
        <v>636</v>
      </c>
      <c r="E2113" s="199">
        <v>4.0</v>
      </c>
      <c r="F2113" s="200">
        <v>45853.625</v>
      </c>
      <c r="G2113" s="197" t="s">
        <v>845</v>
      </c>
      <c r="H2113" s="197" t="s">
        <v>864</v>
      </c>
    </row>
    <row r="2114" ht="15.75" customHeight="1">
      <c r="A2114" s="197" t="s">
        <v>71</v>
      </c>
      <c r="B2114" s="197" t="s">
        <v>24</v>
      </c>
      <c r="C2114" s="198" t="s">
        <v>635</v>
      </c>
      <c r="D2114" s="197" t="s">
        <v>636</v>
      </c>
      <c r="E2114" s="199">
        <v>5.0</v>
      </c>
      <c r="F2114" s="200">
        <v>45869.375</v>
      </c>
      <c r="G2114" s="197" t="s">
        <v>845</v>
      </c>
      <c r="H2114" s="197" t="s">
        <v>864</v>
      </c>
    </row>
    <row r="2115" ht="15.75" customHeight="1">
      <c r="A2115" s="197" t="s">
        <v>71</v>
      </c>
      <c r="B2115" s="197" t="s">
        <v>24</v>
      </c>
      <c r="C2115" s="198" t="s">
        <v>635</v>
      </c>
      <c r="D2115" s="197" t="s">
        <v>636</v>
      </c>
      <c r="E2115" s="199">
        <v>6.0</v>
      </c>
      <c r="F2115" s="200">
        <v>45882.45833333333</v>
      </c>
      <c r="G2115" s="197" t="s">
        <v>845</v>
      </c>
      <c r="H2115" s="197" t="s">
        <v>864</v>
      </c>
    </row>
    <row r="2116" ht="15.75" customHeight="1">
      <c r="A2116" s="197" t="s">
        <v>71</v>
      </c>
      <c r="B2116" s="197" t="s">
        <v>24</v>
      </c>
      <c r="C2116" s="198" t="s">
        <v>635</v>
      </c>
      <c r="D2116" s="197" t="s">
        <v>636</v>
      </c>
      <c r="E2116" s="199">
        <v>7.0</v>
      </c>
      <c r="F2116" s="200">
        <v>45896.625</v>
      </c>
      <c r="G2116" s="197" t="s">
        <v>845</v>
      </c>
      <c r="H2116" s="197" t="s">
        <v>864</v>
      </c>
    </row>
    <row r="2117" ht="15.75" customHeight="1">
      <c r="A2117" s="197" t="s">
        <v>71</v>
      </c>
      <c r="B2117" s="197" t="s">
        <v>24</v>
      </c>
      <c r="C2117" s="198" t="s">
        <v>635</v>
      </c>
      <c r="D2117" s="197" t="s">
        <v>636</v>
      </c>
      <c r="E2117" s="199">
        <v>8.0</v>
      </c>
      <c r="F2117" s="200">
        <v>45917.375</v>
      </c>
      <c r="G2117" s="197" t="s">
        <v>845</v>
      </c>
      <c r="H2117" s="197" t="s">
        <v>864</v>
      </c>
    </row>
    <row r="2118" ht="15.75" customHeight="1">
      <c r="A2118" s="197" t="s">
        <v>71</v>
      </c>
      <c r="B2118" s="197" t="s">
        <v>24</v>
      </c>
      <c r="C2118" s="198" t="s">
        <v>635</v>
      </c>
      <c r="D2118" s="197" t="s">
        <v>636</v>
      </c>
      <c r="E2118" s="199">
        <v>9.0</v>
      </c>
      <c r="F2118" s="200">
        <v>45924.41666666667</v>
      </c>
      <c r="G2118" s="197" t="s">
        <v>845</v>
      </c>
      <c r="H2118" s="197" t="s">
        <v>864</v>
      </c>
    </row>
    <row r="2119" ht="15.75" customHeight="1">
      <c r="A2119" s="197" t="s">
        <v>71</v>
      </c>
      <c r="B2119" s="197" t="s">
        <v>24</v>
      </c>
      <c r="C2119" s="198" t="s">
        <v>635</v>
      </c>
      <c r="D2119" s="197" t="s">
        <v>636</v>
      </c>
      <c r="E2119" s="199">
        <v>10.0</v>
      </c>
      <c r="F2119" s="200">
        <v>45952.45833333333</v>
      </c>
      <c r="G2119" s="197" t="s">
        <v>843</v>
      </c>
      <c r="H2119" s="197" t="s">
        <v>864</v>
      </c>
    </row>
    <row r="2120" ht="15.75" customHeight="1">
      <c r="A2120" s="197" t="s">
        <v>71</v>
      </c>
      <c r="B2120" s="197" t="s">
        <v>24</v>
      </c>
      <c r="C2120" s="198" t="s">
        <v>635</v>
      </c>
      <c r="D2120" s="197" t="s">
        <v>636</v>
      </c>
      <c r="E2120" s="199">
        <v>11.0</v>
      </c>
      <c r="F2120" s="200">
        <v>45981.625</v>
      </c>
      <c r="G2120" s="197" t="s">
        <v>845</v>
      </c>
      <c r="H2120" s="197" t="s">
        <v>864</v>
      </c>
    </row>
    <row r="2121" ht="15.75" customHeight="1">
      <c r="A2121" s="197" t="s">
        <v>71</v>
      </c>
      <c r="B2121" s="197" t="s">
        <v>24</v>
      </c>
      <c r="C2121" s="198" t="s">
        <v>635</v>
      </c>
      <c r="D2121" s="197" t="s">
        <v>636</v>
      </c>
      <c r="E2121" s="199">
        <v>12.0</v>
      </c>
      <c r="F2121" s="200">
        <v>45987.45833333333</v>
      </c>
      <c r="G2121" s="197" t="s">
        <v>845</v>
      </c>
      <c r="H2121" s="197" t="s">
        <v>864</v>
      </c>
    </row>
    <row r="2122" ht="15.75" customHeight="1">
      <c r="A2122" s="197" t="s">
        <v>71</v>
      </c>
      <c r="B2122" s="197" t="s">
        <v>24</v>
      </c>
      <c r="C2122" s="198" t="s">
        <v>635</v>
      </c>
      <c r="D2122" s="197" t="s">
        <v>636</v>
      </c>
      <c r="E2122" s="199">
        <v>13.0</v>
      </c>
      <c r="F2122" s="200">
        <v>45994.45833333333</v>
      </c>
      <c r="G2122" s="197" t="s">
        <v>845</v>
      </c>
      <c r="H2122" s="197" t="s">
        <v>864</v>
      </c>
    </row>
    <row r="2123" ht="15.75" customHeight="1">
      <c r="A2123" s="197" t="s">
        <v>71</v>
      </c>
      <c r="B2123" s="197" t="s">
        <v>24</v>
      </c>
      <c r="C2123" s="198" t="s">
        <v>635</v>
      </c>
      <c r="D2123" s="197" t="s">
        <v>636</v>
      </c>
      <c r="E2123" s="199">
        <v>14.0</v>
      </c>
      <c r="F2123" s="200">
        <v>46008.45833333333</v>
      </c>
      <c r="G2123" s="197" t="s">
        <v>845</v>
      </c>
      <c r="H2123" s="197" t="s">
        <v>864</v>
      </c>
    </row>
    <row r="2124" ht="15.75" customHeight="1">
      <c r="A2124" s="197" t="s">
        <v>71</v>
      </c>
      <c r="B2124" s="197" t="s">
        <v>24</v>
      </c>
      <c r="C2124" s="198" t="s">
        <v>635</v>
      </c>
      <c r="D2124" s="197" t="s">
        <v>636</v>
      </c>
      <c r="E2124" s="199">
        <v>15.0</v>
      </c>
      <c r="F2124" s="200">
        <v>46050.54166666667</v>
      </c>
      <c r="G2124" s="197" t="s">
        <v>845</v>
      </c>
      <c r="H2124" s="197" t="s">
        <v>864</v>
      </c>
    </row>
    <row r="2125" ht="15.75" customHeight="1">
      <c r="A2125" s="197" t="s">
        <v>71</v>
      </c>
      <c r="B2125" s="197" t="s">
        <v>24</v>
      </c>
      <c r="C2125" s="198" t="s">
        <v>667</v>
      </c>
      <c r="D2125" s="197" t="s">
        <v>668</v>
      </c>
      <c r="E2125" s="199">
        <v>1.0</v>
      </c>
      <c r="F2125" s="200">
        <v>45713.58333333333</v>
      </c>
      <c r="G2125" s="197" t="s">
        <v>845</v>
      </c>
      <c r="H2125" s="197" t="s">
        <v>864</v>
      </c>
    </row>
    <row r="2126" ht="15.75" customHeight="1">
      <c r="A2126" s="197" t="s">
        <v>71</v>
      </c>
      <c r="B2126" s="197" t="s">
        <v>24</v>
      </c>
      <c r="C2126" s="198" t="s">
        <v>667</v>
      </c>
      <c r="D2126" s="197" t="s">
        <v>668</v>
      </c>
      <c r="E2126" s="199">
        <v>2.0</v>
      </c>
      <c r="F2126" s="200">
        <v>45827.45833333333</v>
      </c>
      <c r="G2126" s="197" t="s">
        <v>845</v>
      </c>
      <c r="H2126" s="197" t="s">
        <v>864</v>
      </c>
    </row>
    <row r="2127" ht="15.75" customHeight="1">
      <c r="A2127" s="197" t="s">
        <v>71</v>
      </c>
      <c r="B2127" s="197" t="s">
        <v>24</v>
      </c>
      <c r="C2127" s="198" t="s">
        <v>667</v>
      </c>
      <c r="D2127" s="197" t="s">
        <v>668</v>
      </c>
      <c r="E2127" s="199">
        <v>3.0</v>
      </c>
      <c r="F2127" s="200">
        <v>45833.625</v>
      </c>
      <c r="G2127" s="197" t="s">
        <v>845</v>
      </c>
      <c r="H2127" s="197" t="s">
        <v>864</v>
      </c>
    </row>
    <row r="2128" ht="15.75" customHeight="1">
      <c r="A2128" s="197" t="s">
        <v>71</v>
      </c>
      <c r="B2128" s="197" t="s">
        <v>24</v>
      </c>
      <c r="C2128" s="198" t="s">
        <v>667</v>
      </c>
      <c r="D2128" s="197" t="s">
        <v>668</v>
      </c>
      <c r="E2128" s="199">
        <v>4.0</v>
      </c>
      <c r="F2128" s="200">
        <v>45853.625</v>
      </c>
      <c r="G2128" s="197" t="s">
        <v>845</v>
      </c>
      <c r="H2128" s="197" t="s">
        <v>864</v>
      </c>
    </row>
    <row r="2129" ht="15.75" customHeight="1">
      <c r="A2129" s="197" t="s">
        <v>71</v>
      </c>
      <c r="B2129" s="197" t="s">
        <v>24</v>
      </c>
      <c r="C2129" s="198" t="s">
        <v>667</v>
      </c>
      <c r="D2129" s="197" t="s">
        <v>668</v>
      </c>
      <c r="E2129" s="199">
        <v>5.0</v>
      </c>
      <c r="F2129" s="200">
        <v>45869.375</v>
      </c>
      <c r="G2129" s="197" t="s">
        <v>845</v>
      </c>
      <c r="H2129" s="197" t="s">
        <v>864</v>
      </c>
    </row>
    <row r="2130" ht="15.75" customHeight="1">
      <c r="A2130" s="197" t="s">
        <v>71</v>
      </c>
      <c r="B2130" s="197" t="s">
        <v>24</v>
      </c>
      <c r="C2130" s="198" t="s">
        <v>667</v>
      </c>
      <c r="D2130" s="197" t="s">
        <v>668</v>
      </c>
      <c r="E2130" s="199">
        <v>6.0</v>
      </c>
      <c r="F2130" s="200">
        <v>45882.45833333333</v>
      </c>
      <c r="G2130" s="197" t="s">
        <v>845</v>
      </c>
      <c r="H2130" s="197" t="s">
        <v>864</v>
      </c>
    </row>
    <row r="2131" ht="15.75" customHeight="1">
      <c r="A2131" s="197" t="s">
        <v>71</v>
      </c>
      <c r="B2131" s="197" t="s">
        <v>24</v>
      </c>
      <c r="C2131" s="198" t="s">
        <v>667</v>
      </c>
      <c r="D2131" s="197" t="s">
        <v>668</v>
      </c>
      <c r="E2131" s="199">
        <v>7.0</v>
      </c>
      <c r="F2131" s="200">
        <v>45896.625</v>
      </c>
      <c r="G2131" s="197" t="s">
        <v>845</v>
      </c>
      <c r="H2131" s="197" t="s">
        <v>864</v>
      </c>
    </row>
    <row r="2132" ht="15.75" customHeight="1">
      <c r="A2132" s="197" t="s">
        <v>71</v>
      </c>
      <c r="B2132" s="197" t="s">
        <v>24</v>
      </c>
      <c r="C2132" s="198" t="s">
        <v>667</v>
      </c>
      <c r="D2132" s="197" t="s">
        <v>668</v>
      </c>
      <c r="E2132" s="199">
        <v>8.0</v>
      </c>
      <c r="F2132" s="200">
        <v>45917.375</v>
      </c>
      <c r="G2132" s="197" t="s">
        <v>845</v>
      </c>
      <c r="H2132" s="197" t="s">
        <v>864</v>
      </c>
    </row>
    <row r="2133" ht="15.75" customHeight="1">
      <c r="A2133" s="197" t="s">
        <v>71</v>
      </c>
      <c r="B2133" s="197" t="s">
        <v>24</v>
      </c>
      <c r="C2133" s="198" t="s">
        <v>667</v>
      </c>
      <c r="D2133" s="197" t="s">
        <v>668</v>
      </c>
      <c r="E2133" s="199">
        <v>9.0</v>
      </c>
      <c r="F2133" s="200">
        <v>45924.41666666667</v>
      </c>
      <c r="G2133" s="197" t="s">
        <v>845</v>
      </c>
      <c r="H2133" s="197" t="s">
        <v>864</v>
      </c>
    </row>
    <row r="2134" ht="15.75" customHeight="1">
      <c r="A2134" s="197" t="s">
        <v>71</v>
      </c>
      <c r="B2134" s="197" t="s">
        <v>24</v>
      </c>
      <c r="C2134" s="198" t="s">
        <v>667</v>
      </c>
      <c r="D2134" s="197" t="s">
        <v>668</v>
      </c>
      <c r="E2134" s="199">
        <v>10.0</v>
      </c>
      <c r="F2134" s="200">
        <v>45952.45833333333</v>
      </c>
      <c r="G2134" s="197" t="s">
        <v>845</v>
      </c>
      <c r="H2134" s="197" t="s">
        <v>864</v>
      </c>
    </row>
    <row r="2135" ht="15.75" customHeight="1">
      <c r="A2135" s="197" t="s">
        <v>71</v>
      </c>
      <c r="B2135" s="197" t="s">
        <v>24</v>
      </c>
      <c r="C2135" s="198" t="s">
        <v>667</v>
      </c>
      <c r="D2135" s="197" t="s">
        <v>668</v>
      </c>
      <c r="E2135" s="199">
        <v>11.0</v>
      </c>
      <c r="F2135" s="200">
        <v>45981.625</v>
      </c>
      <c r="G2135" s="197" t="s">
        <v>845</v>
      </c>
      <c r="H2135" s="197" t="s">
        <v>864</v>
      </c>
    </row>
    <row r="2136" ht="15.75" customHeight="1">
      <c r="A2136" s="197" t="s">
        <v>71</v>
      </c>
      <c r="B2136" s="197" t="s">
        <v>24</v>
      </c>
      <c r="C2136" s="198" t="s">
        <v>667</v>
      </c>
      <c r="D2136" s="197" t="s">
        <v>668</v>
      </c>
      <c r="E2136" s="199">
        <v>12.0</v>
      </c>
      <c r="F2136" s="200">
        <v>45987.45833333333</v>
      </c>
      <c r="G2136" s="197" t="s">
        <v>845</v>
      </c>
      <c r="H2136" s="197" t="s">
        <v>864</v>
      </c>
    </row>
    <row r="2137" ht="15.75" customHeight="1">
      <c r="A2137" s="197" t="s">
        <v>71</v>
      </c>
      <c r="B2137" s="197" t="s">
        <v>24</v>
      </c>
      <c r="C2137" s="198" t="s">
        <v>667</v>
      </c>
      <c r="D2137" s="197" t="s">
        <v>668</v>
      </c>
      <c r="E2137" s="199">
        <v>13.0</v>
      </c>
      <c r="F2137" s="200">
        <v>45994.45833333333</v>
      </c>
      <c r="G2137" s="197" t="s">
        <v>845</v>
      </c>
      <c r="H2137" s="197" t="s">
        <v>864</v>
      </c>
    </row>
    <row r="2138" ht="15.75" customHeight="1">
      <c r="A2138" s="197" t="s">
        <v>71</v>
      </c>
      <c r="B2138" s="197" t="s">
        <v>24</v>
      </c>
      <c r="C2138" s="198" t="s">
        <v>667</v>
      </c>
      <c r="D2138" s="197" t="s">
        <v>668</v>
      </c>
      <c r="E2138" s="199">
        <v>14.0</v>
      </c>
      <c r="F2138" s="200">
        <v>46008.45833333333</v>
      </c>
      <c r="G2138" s="197" t="s">
        <v>845</v>
      </c>
      <c r="H2138" s="197" t="s">
        <v>864</v>
      </c>
    </row>
    <row r="2139" ht="15.75" customHeight="1">
      <c r="A2139" s="197" t="s">
        <v>71</v>
      </c>
      <c r="B2139" s="197" t="s">
        <v>24</v>
      </c>
      <c r="C2139" s="198" t="s">
        <v>667</v>
      </c>
      <c r="D2139" s="197" t="s">
        <v>668</v>
      </c>
      <c r="E2139" s="199">
        <v>15.0</v>
      </c>
      <c r="F2139" s="200">
        <v>46050.54166666667</v>
      </c>
      <c r="G2139" s="197" t="s">
        <v>845</v>
      </c>
      <c r="H2139" s="197" t="s">
        <v>864</v>
      </c>
    </row>
    <row r="2140" ht="15.75" customHeight="1">
      <c r="A2140" s="197" t="s">
        <v>72</v>
      </c>
      <c r="B2140" s="197" t="s">
        <v>21</v>
      </c>
      <c r="C2140" s="198" t="s">
        <v>265</v>
      </c>
      <c r="D2140" s="197" t="s">
        <v>266</v>
      </c>
      <c r="E2140" s="199">
        <v>1.0</v>
      </c>
      <c r="F2140" s="200">
        <v>45670.54166666667</v>
      </c>
      <c r="G2140" s="197" t="s">
        <v>845</v>
      </c>
      <c r="H2140" s="197" t="s">
        <v>865</v>
      </c>
    </row>
    <row r="2141" ht="15.75" customHeight="1">
      <c r="A2141" s="197" t="s">
        <v>72</v>
      </c>
      <c r="B2141" s="197" t="s">
        <v>21</v>
      </c>
      <c r="C2141" s="198" t="s">
        <v>265</v>
      </c>
      <c r="D2141" s="197" t="s">
        <v>266</v>
      </c>
      <c r="E2141" s="199">
        <v>2.0</v>
      </c>
      <c r="F2141" s="200">
        <v>45679.375</v>
      </c>
      <c r="G2141" s="197" t="s">
        <v>845</v>
      </c>
      <c r="H2141" s="197" t="s">
        <v>865</v>
      </c>
    </row>
    <row r="2142" ht="15.75" customHeight="1">
      <c r="A2142" s="197" t="s">
        <v>72</v>
      </c>
      <c r="B2142" s="197" t="s">
        <v>21</v>
      </c>
      <c r="C2142" s="198" t="s">
        <v>265</v>
      </c>
      <c r="D2142" s="197" t="s">
        <v>266</v>
      </c>
      <c r="E2142" s="199">
        <v>3.0</v>
      </c>
      <c r="F2142" s="200">
        <v>45698.45833333333</v>
      </c>
      <c r="G2142" s="197" t="s">
        <v>845</v>
      </c>
      <c r="H2142" s="197" t="s">
        <v>865</v>
      </c>
    </row>
    <row r="2143" ht="15.75" customHeight="1">
      <c r="A2143" s="197" t="s">
        <v>72</v>
      </c>
      <c r="B2143" s="197" t="s">
        <v>21</v>
      </c>
      <c r="C2143" s="198" t="s">
        <v>265</v>
      </c>
      <c r="D2143" s="197" t="s">
        <v>266</v>
      </c>
      <c r="E2143" s="199">
        <v>4.0</v>
      </c>
      <c r="F2143" s="200">
        <v>45705.45833333333</v>
      </c>
      <c r="G2143" s="197" t="s">
        <v>845</v>
      </c>
      <c r="H2143" s="197" t="s">
        <v>865</v>
      </c>
    </row>
    <row r="2144" ht="15.75" customHeight="1">
      <c r="A2144" s="197" t="s">
        <v>72</v>
      </c>
      <c r="B2144" s="197" t="s">
        <v>21</v>
      </c>
      <c r="C2144" s="198" t="s">
        <v>265</v>
      </c>
      <c r="D2144" s="197" t="s">
        <v>266</v>
      </c>
      <c r="E2144" s="199">
        <v>5.0</v>
      </c>
      <c r="F2144" s="200">
        <v>45712.54166666667</v>
      </c>
      <c r="G2144" s="197" t="s">
        <v>845</v>
      </c>
      <c r="H2144" s="197" t="s">
        <v>865</v>
      </c>
    </row>
    <row r="2145" ht="15.75" customHeight="1">
      <c r="A2145" s="197" t="s">
        <v>72</v>
      </c>
      <c r="B2145" s="197" t="s">
        <v>21</v>
      </c>
      <c r="C2145" s="198" t="s">
        <v>265</v>
      </c>
      <c r="D2145" s="197" t="s">
        <v>266</v>
      </c>
      <c r="E2145" s="199">
        <v>6.0</v>
      </c>
      <c r="F2145" s="200">
        <v>45761.45833333333</v>
      </c>
      <c r="G2145" s="197" t="s">
        <v>845</v>
      </c>
      <c r="H2145" s="197" t="s">
        <v>865</v>
      </c>
    </row>
    <row r="2146" ht="15.75" customHeight="1">
      <c r="A2146" s="197" t="s">
        <v>72</v>
      </c>
      <c r="B2146" s="197" t="s">
        <v>21</v>
      </c>
      <c r="C2146" s="198" t="s">
        <v>265</v>
      </c>
      <c r="D2146" s="197" t="s">
        <v>266</v>
      </c>
      <c r="E2146" s="199">
        <v>7.0</v>
      </c>
      <c r="F2146" s="200">
        <v>45769.45833333333</v>
      </c>
      <c r="G2146" s="197" t="s">
        <v>845</v>
      </c>
      <c r="H2146" s="197" t="s">
        <v>865</v>
      </c>
    </row>
    <row r="2147" ht="15.75" customHeight="1">
      <c r="A2147" s="197" t="s">
        <v>72</v>
      </c>
      <c r="B2147" s="197" t="s">
        <v>21</v>
      </c>
      <c r="C2147" s="198" t="s">
        <v>265</v>
      </c>
      <c r="D2147" s="197" t="s">
        <v>266</v>
      </c>
      <c r="E2147" s="199">
        <v>8.0</v>
      </c>
      <c r="F2147" s="200">
        <v>45782.45833333333</v>
      </c>
      <c r="G2147" s="197" t="s">
        <v>843</v>
      </c>
      <c r="H2147" s="197" t="s">
        <v>865</v>
      </c>
    </row>
    <row r="2148" ht="15.75" customHeight="1">
      <c r="A2148" s="197" t="s">
        <v>72</v>
      </c>
      <c r="B2148" s="197" t="s">
        <v>21</v>
      </c>
      <c r="C2148" s="198" t="s">
        <v>265</v>
      </c>
      <c r="D2148" s="197" t="s">
        <v>266</v>
      </c>
      <c r="E2148" s="199">
        <v>9.0</v>
      </c>
      <c r="F2148" s="200">
        <v>45789.45833333333</v>
      </c>
      <c r="G2148" s="197" t="s">
        <v>845</v>
      </c>
      <c r="H2148" s="197" t="s">
        <v>865</v>
      </c>
    </row>
    <row r="2149" ht="15.75" customHeight="1">
      <c r="A2149" s="197" t="s">
        <v>72</v>
      </c>
      <c r="B2149" s="197" t="s">
        <v>21</v>
      </c>
      <c r="C2149" s="198" t="s">
        <v>265</v>
      </c>
      <c r="D2149" s="197" t="s">
        <v>266</v>
      </c>
      <c r="E2149" s="199">
        <v>10.0</v>
      </c>
      <c r="F2149" s="200">
        <v>45803.54166666667</v>
      </c>
      <c r="G2149" s="197" t="s">
        <v>845</v>
      </c>
      <c r="H2149" s="197" t="s">
        <v>865</v>
      </c>
    </row>
    <row r="2150" ht="15.75" customHeight="1">
      <c r="A2150" s="197" t="s">
        <v>72</v>
      </c>
      <c r="B2150" s="197" t="s">
        <v>21</v>
      </c>
      <c r="C2150" s="198" t="s">
        <v>265</v>
      </c>
      <c r="D2150" s="197" t="s">
        <v>266</v>
      </c>
      <c r="E2150" s="199">
        <v>11.0</v>
      </c>
      <c r="F2150" s="200">
        <v>45812.41666666667</v>
      </c>
      <c r="G2150" s="197" t="s">
        <v>845</v>
      </c>
      <c r="H2150" s="197" t="s">
        <v>865</v>
      </c>
    </row>
    <row r="2151" ht="15.75" customHeight="1">
      <c r="A2151" s="197" t="s">
        <v>72</v>
      </c>
      <c r="B2151" s="197" t="s">
        <v>21</v>
      </c>
      <c r="C2151" s="198" t="s">
        <v>265</v>
      </c>
      <c r="D2151" s="197" t="s">
        <v>266</v>
      </c>
      <c r="E2151" s="199">
        <v>12.0</v>
      </c>
      <c r="F2151" s="200">
        <v>45832.375</v>
      </c>
      <c r="G2151" s="197" t="s">
        <v>845</v>
      </c>
      <c r="H2151" s="197" t="s">
        <v>865</v>
      </c>
    </row>
    <row r="2152" ht="15.75" customHeight="1">
      <c r="A2152" s="197" t="s">
        <v>72</v>
      </c>
      <c r="B2152" s="197" t="s">
        <v>22</v>
      </c>
      <c r="C2152" s="198" t="s">
        <v>265</v>
      </c>
      <c r="D2152" s="197" t="s">
        <v>266</v>
      </c>
      <c r="E2152" s="199">
        <v>1.0</v>
      </c>
      <c r="F2152" s="200">
        <v>45866.54166666667</v>
      </c>
      <c r="G2152" s="197" t="s">
        <v>845</v>
      </c>
      <c r="H2152" s="197" t="s">
        <v>865</v>
      </c>
    </row>
    <row r="2153" ht="15.75" customHeight="1">
      <c r="A2153" s="197" t="s">
        <v>72</v>
      </c>
      <c r="B2153" s="197" t="s">
        <v>22</v>
      </c>
      <c r="C2153" s="198" t="s">
        <v>265</v>
      </c>
      <c r="D2153" s="197" t="s">
        <v>266</v>
      </c>
      <c r="E2153" s="199">
        <v>2.0</v>
      </c>
      <c r="F2153" s="200">
        <v>45910.45833333333</v>
      </c>
      <c r="G2153" s="197" t="s">
        <v>845</v>
      </c>
      <c r="H2153" s="197" t="s">
        <v>865</v>
      </c>
    </row>
    <row r="2154" ht="15.75" customHeight="1">
      <c r="A2154" s="197" t="s">
        <v>72</v>
      </c>
      <c r="B2154" s="197" t="s">
        <v>22</v>
      </c>
      <c r="C2154" s="198" t="s">
        <v>265</v>
      </c>
      <c r="D2154" s="197" t="s">
        <v>266</v>
      </c>
      <c r="E2154" s="199">
        <v>3.0</v>
      </c>
      <c r="F2154" s="200">
        <v>45915.45833333333</v>
      </c>
      <c r="G2154" s="197" t="s">
        <v>845</v>
      </c>
      <c r="H2154" s="197" t="s">
        <v>865</v>
      </c>
    </row>
    <row r="2155" ht="15.75" customHeight="1">
      <c r="A2155" s="197" t="s">
        <v>72</v>
      </c>
      <c r="B2155" s="197" t="s">
        <v>22</v>
      </c>
      <c r="C2155" s="198" t="s">
        <v>265</v>
      </c>
      <c r="D2155" s="197" t="s">
        <v>266</v>
      </c>
      <c r="E2155" s="199">
        <v>4.0</v>
      </c>
      <c r="F2155" s="200">
        <v>45922.45833333333</v>
      </c>
      <c r="G2155" s="197" t="s">
        <v>845</v>
      </c>
      <c r="H2155" s="197" t="s">
        <v>865</v>
      </c>
    </row>
    <row r="2156" ht="15.75" customHeight="1">
      <c r="A2156" s="197" t="s">
        <v>72</v>
      </c>
      <c r="B2156" s="197" t="s">
        <v>22</v>
      </c>
      <c r="C2156" s="198" t="s">
        <v>265</v>
      </c>
      <c r="D2156" s="197" t="s">
        <v>266</v>
      </c>
      <c r="E2156" s="199">
        <v>5.0</v>
      </c>
      <c r="F2156" s="200">
        <v>45929.45833333333</v>
      </c>
      <c r="G2156" s="197" t="s">
        <v>845</v>
      </c>
      <c r="H2156" s="197" t="s">
        <v>865</v>
      </c>
    </row>
    <row r="2157" ht="15.75" customHeight="1">
      <c r="A2157" s="197" t="s">
        <v>72</v>
      </c>
      <c r="B2157" s="197" t="s">
        <v>22</v>
      </c>
      <c r="C2157" s="198" t="s">
        <v>265</v>
      </c>
      <c r="D2157" s="197" t="s">
        <v>266</v>
      </c>
      <c r="E2157" s="199">
        <v>6.0</v>
      </c>
      <c r="F2157" s="200">
        <v>45943.41666666667</v>
      </c>
      <c r="G2157" s="197" t="s">
        <v>845</v>
      </c>
      <c r="H2157" s="197" t="s">
        <v>865</v>
      </c>
    </row>
    <row r="2158" ht="15.75" customHeight="1">
      <c r="A2158" s="197" t="s">
        <v>72</v>
      </c>
      <c r="B2158" s="197" t="s">
        <v>22</v>
      </c>
      <c r="C2158" s="198" t="s">
        <v>265</v>
      </c>
      <c r="D2158" s="197" t="s">
        <v>266</v>
      </c>
      <c r="E2158" s="199">
        <v>7.0</v>
      </c>
      <c r="F2158" s="200">
        <v>45944.58333333333</v>
      </c>
      <c r="G2158" s="197" t="s">
        <v>845</v>
      </c>
      <c r="H2158" s="197" t="s">
        <v>865</v>
      </c>
    </row>
    <row r="2159" ht="15.75" customHeight="1">
      <c r="A2159" s="197" t="s">
        <v>72</v>
      </c>
      <c r="B2159" s="197" t="s">
        <v>22</v>
      </c>
      <c r="C2159" s="198" t="s">
        <v>265</v>
      </c>
      <c r="D2159" s="197" t="s">
        <v>266</v>
      </c>
      <c r="E2159" s="199">
        <v>9.0</v>
      </c>
      <c r="F2159" s="200">
        <v>45957.41666666667</v>
      </c>
      <c r="G2159" s="197" t="s">
        <v>845</v>
      </c>
      <c r="H2159" s="197" t="s">
        <v>865</v>
      </c>
    </row>
    <row r="2160" ht="15.75" customHeight="1">
      <c r="A2160" s="197" t="s">
        <v>72</v>
      </c>
      <c r="B2160" s="197" t="s">
        <v>22</v>
      </c>
      <c r="C2160" s="198" t="s">
        <v>265</v>
      </c>
      <c r="D2160" s="197" t="s">
        <v>266</v>
      </c>
      <c r="E2160" s="199">
        <v>10.0</v>
      </c>
      <c r="F2160" s="200">
        <v>45964.58333333333</v>
      </c>
      <c r="G2160" s="197" t="s">
        <v>845</v>
      </c>
      <c r="H2160" s="197" t="s">
        <v>865</v>
      </c>
    </row>
    <row r="2161" ht="15.75" customHeight="1">
      <c r="A2161" s="197" t="s">
        <v>72</v>
      </c>
      <c r="B2161" s="197" t="s">
        <v>22</v>
      </c>
      <c r="C2161" s="198" t="s">
        <v>265</v>
      </c>
      <c r="D2161" s="197" t="s">
        <v>266</v>
      </c>
      <c r="E2161" s="199">
        <v>11.0</v>
      </c>
      <c r="F2161" s="200">
        <v>45971.54166666667</v>
      </c>
      <c r="G2161" s="197" t="s">
        <v>845</v>
      </c>
      <c r="H2161" s="197" t="s">
        <v>865</v>
      </c>
    </row>
    <row r="2162" ht="15.75" customHeight="1">
      <c r="A2162" s="197" t="s">
        <v>72</v>
      </c>
      <c r="B2162" s="197" t="s">
        <v>22</v>
      </c>
      <c r="C2162" s="198" t="s">
        <v>265</v>
      </c>
      <c r="D2162" s="197" t="s">
        <v>266</v>
      </c>
      <c r="E2162" s="199">
        <v>12.0</v>
      </c>
      <c r="F2162" s="200">
        <v>45985.58333333333</v>
      </c>
      <c r="G2162" s="197" t="s">
        <v>845</v>
      </c>
      <c r="H2162" s="197" t="s">
        <v>865</v>
      </c>
    </row>
    <row r="2163" ht="15.75" customHeight="1">
      <c r="A2163" s="197" t="s">
        <v>72</v>
      </c>
      <c r="B2163" s="197" t="s">
        <v>22</v>
      </c>
      <c r="C2163" s="198" t="s">
        <v>265</v>
      </c>
      <c r="D2163" s="197" t="s">
        <v>266</v>
      </c>
      <c r="E2163" s="199">
        <v>13.0</v>
      </c>
      <c r="F2163" s="200">
        <v>45992.54166666667</v>
      </c>
      <c r="G2163" s="197" t="s">
        <v>845</v>
      </c>
      <c r="H2163" s="197" t="s">
        <v>865</v>
      </c>
    </row>
    <row r="2164" ht="15.75" customHeight="1">
      <c r="A2164" s="197" t="s">
        <v>72</v>
      </c>
      <c r="B2164" s="197" t="s">
        <v>22</v>
      </c>
      <c r="C2164" s="198" t="s">
        <v>265</v>
      </c>
      <c r="D2164" s="197" t="s">
        <v>266</v>
      </c>
      <c r="E2164" s="199">
        <v>14.0</v>
      </c>
      <c r="F2164" s="200">
        <v>45999.41666666667</v>
      </c>
      <c r="G2164" s="197" t="s">
        <v>843</v>
      </c>
      <c r="H2164" s="197" t="s">
        <v>865</v>
      </c>
    </row>
    <row r="2165" ht="15.75" customHeight="1">
      <c r="A2165" s="197" t="s">
        <v>72</v>
      </c>
      <c r="B2165" s="197" t="s">
        <v>22</v>
      </c>
      <c r="C2165" s="198" t="s">
        <v>265</v>
      </c>
      <c r="D2165" s="197" t="s">
        <v>266</v>
      </c>
      <c r="E2165" s="199">
        <v>15.0</v>
      </c>
      <c r="F2165" s="200">
        <v>46006.45833333333</v>
      </c>
      <c r="G2165" s="197" t="s">
        <v>845</v>
      </c>
      <c r="H2165" s="197" t="s">
        <v>865</v>
      </c>
    </row>
    <row r="2166" ht="15.75" customHeight="1">
      <c r="A2166" s="197" t="s">
        <v>72</v>
      </c>
      <c r="B2166" s="197" t="s">
        <v>22</v>
      </c>
      <c r="C2166" s="198" t="s">
        <v>265</v>
      </c>
      <c r="D2166" s="197" t="s">
        <v>266</v>
      </c>
      <c r="E2166" s="199">
        <v>16.0</v>
      </c>
      <c r="F2166" s="200">
        <v>46048.41666666667</v>
      </c>
      <c r="G2166" s="197" t="s">
        <v>845</v>
      </c>
      <c r="H2166" s="197" t="s">
        <v>865</v>
      </c>
    </row>
    <row r="2167" ht="15.75" customHeight="1">
      <c r="A2167" s="197" t="s">
        <v>72</v>
      </c>
      <c r="B2167" s="197" t="s">
        <v>23</v>
      </c>
      <c r="C2167" s="198" t="s">
        <v>265</v>
      </c>
      <c r="D2167" s="197" t="s">
        <v>266</v>
      </c>
      <c r="E2167" s="199">
        <v>1.0</v>
      </c>
      <c r="F2167" s="200">
        <v>46084.58333333333</v>
      </c>
      <c r="G2167" s="197" t="s">
        <v>845</v>
      </c>
      <c r="H2167" s="197" t="s">
        <v>865</v>
      </c>
    </row>
    <row r="2168" ht="15.75" customHeight="1">
      <c r="A2168" s="197" t="s">
        <v>72</v>
      </c>
      <c r="B2168" s="197" t="s">
        <v>23</v>
      </c>
      <c r="C2168" s="198" t="s">
        <v>265</v>
      </c>
      <c r="D2168" s="197" t="s">
        <v>266</v>
      </c>
      <c r="E2168" s="199">
        <v>2.0</v>
      </c>
      <c r="F2168" s="200">
        <v>46099.45833333333</v>
      </c>
      <c r="G2168" s="197" t="s">
        <v>843</v>
      </c>
      <c r="H2168" s="197" t="s">
        <v>865</v>
      </c>
    </row>
    <row r="2169" ht="15.75" customHeight="1">
      <c r="A2169" s="197" t="s">
        <v>72</v>
      </c>
      <c r="B2169" s="197" t="s">
        <v>23</v>
      </c>
      <c r="C2169" s="198" t="s">
        <v>265</v>
      </c>
      <c r="D2169" s="197" t="s">
        <v>266</v>
      </c>
      <c r="E2169" s="199">
        <v>3.0</v>
      </c>
      <c r="F2169" s="200">
        <v>46106.45833333333</v>
      </c>
      <c r="G2169" s="197" t="s">
        <v>845</v>
      </c>
      <c r="H2169" s="197" t="s">
        <v>865</v>
      </c>
    </row>
    <row r="2170" ht="15.75" customHeight="1">
      <c r="A2170" s="197" t="s">
        <v>72</v>
      </c>
      <c r="B2170" s="197" t="s">
        <v>23</v>
      </c>
      <c r="C2170" s="198" t="s">
        <v>265</v>
      </c>
      <c r="D2170" s="197" t="s">
        <v>266</v>
      </c>
      <c r="E2170" s="199">
        <v>4.0</v>
      </c>
      <c r="F2170" s="200">
        <v>46119.45833333333</v>
      </c>
      <c r="G2170" s="197" t="s">
        <v>845</v>
      </c>
      <c r="H2170" s="197" t="s">
        <v>865</v>
      </c>
    </row>
    <row r="2171" ht="15.75" customHeight="1">
      <c r="A2171" s="197" t="s">
        <v>72</v>
      </c>
      <c r="B2171" s="197" t="s">
        <v>23</v>
      </c>
      <c r="C2171" s="198" t="s">
        <v>265</v>
      </c>
      <c r="D2171" s="197" t="s">
        <v>266</v>
      </c>
      <c r="E2171" s="199">
        <v>5.0</v>
      </c>
      <c r="F2171" s="200">
        <v>46127.54166666667</v>
      </c>
      <c r="G2171" s="197" t="s">
        <v>845</v>
      </c>
      <c r="H2171" s="197" t="s">
        <v>865</v>
      </c>
    </row>
    <row r="2172" ht="15.75" customHeight="1">
      <c r="A2172" s="197" t="s">
        <v>72</v>
      </c>
      <c r="B2172" s="197" t="s">
        <v>23</v>
      </c>
      <c r="C2172" s="198" t="s">
        <v>265</v>
      </c>
      <c r="D2172" s="197" t="s">
        <v>266</v>
      </c>
      <c r="E2172" s="199">
        <v>6.0</v>
      </c>
      <c r="F2172" s="200">
        <v>46134.58333333333</v>
      </c>
      <c r="G2172" s="197" t="s">
        <v>845</v>
      </c>
      <c r="H2172" s="197" t="s">
        <v>865</v>
      </c>
    </row>
    <row r="2173" ht="15.75" customHeight="1">
      <c r="A2173" s="197" t="s">
        <v>72</v>
      </c>
      <c r="B2173" s="197" t="s">
        <v>21</v>
      </c>
      <c r="C2173" s="198" t="s">
        <v>108</v>
      </c>
      <c r="D2173" s="197" t="s">
        <v>283</v>
      </c>
      <c r="E2173" s="199">
        <v>1.0</v>
      </c>
      <c r="F2173" s="200">
        <v>45670.54166666667</v>
      </c>
      <c r="G2173" s="197" t="s">
        <v>845</v>
      </c>
      <c r="H2173" s="197" t="s">
        <v>865</v>
      </c>
    </row>
    <row r="2174" ht="15.75" customHeight="1">
      <c r="A2174" s="197" t="s">
        <v>72</v>
      </c>
      <c r="B2174" s="197" t="s">
        <v>21</v>
      </c>
      <c r="C2174" s="198" t="s">
        <v>108</v>
      </c>
      <c r="D2174" s="197" t="s">
        <v>283</v>
      </c>
      <c r="E2174" s="199">
        <v>2.0</v>
      </c>
      <c r="F2174" s="200">
        <v>45679.375</v>
      </c>
      <c r="G2174" s="197" t="s">
        <v>845</v>
      </c>
      <c r="H2174" s="197" t="s">
        <v>865</v>
      </c>
    </row>
    <row r="2175" ht="15.75" customHeight="1">
      <c r="A2175" s="197" t="s">
        <v>72</v>
      </c>
      <c r="B2175" s="197" t="s">
        <v>21</v>
      </c>
      <c r="C2175" s="198" t="s">
        <v>108</v>
      </c>
      <c r="D2175" s="197" t="s">
        <v>283</v>
      </c>
      <c r="E2175" s="199">
        <v>3.0</v>
      </c>
      <c r="F2175" s="200">
        <v>45698.45833333333</v>
      </c>
      <c r="G2175" s="197" t="s">
        <v>845</v>
      </c>
      <c r="H2175" s="197" t="s">
        <v>865</v>
      </c>
    </row>
    <row r="2176" ht="15.75" customHeight="1">
      <c r="A2176" s="197" t="s">
        <v>72</v>
      </c>
      <c r="B2176" s="197" t="s">
        <v>21</v>
      </c>
      <c r="C2176" s="198" t="s">
        <v>108</v>
      </c>
      <c r="D2176" s="197" t="s">
        <v>283</v>
      </c>
      <c r="E2176" s="199">
        <v>4.0</v>
      </c>
      <c r="F2176" s="200">
        <v>45705.45833333333</v>
      </c>
      <c r="G2176" s="197" t="s">
        <v>845</v>
      </c>
      <c r="H2176" s="197" t="s">
        <v>865</v>
      </c>
    </row>
    <row r="2177" ht="15.75" customHeight="1">
      <c r="A2177" s="197" t="s">
        <v>72</v>
      </c>
      <c r="B2177" s="197" t="s">
        <v>21</v>
      </c>
      <c r="C2177" s="198" t="s">
        <v>108</v>
      </c>
      <c r="D2177" s="197" t="s">
        <v>283</v>
      </c>
      <c r="E2177" s="199">
        <v>5.0</v>
      </c>
      <c r="F2177" s="200">
        <v>45712.54166666667</v>
      </c>
      <c r="G2177" s="197" t="s">
        <v>845</v>
      </c>
      <c r="H2177" s="197" t="s">
        <v>865</v>
      </c>
    </row>
    <row r="2178" ht="15.75" customHeight="1">
      <c r="A2178" s="197" t="s">
        <v>72</v>
      </c>
      <c r="B2178" s="197" t="s">
        <v>21</v>
      </c>
      <c r="C2178" s="198" t="s">
        <v>108</v>
      </c>
      <c r="D2178" s="197" t="s">
        <v>283</v>
      </c>
      <c r="E2178" s="199">
        <v>6.0</v>
      </c>
      <c r="F2178" s="200">
        <v>45761.45833333333</v>
      </c>
      <c r="G2178" s="197" t="s">
        <v>845</v>
      </c>
      <c r="H2178" s="197" t="s">
        <v>865</v>
      </c>
    </row>
    <row r="2179" ht="15.75" customHeight="1">
      <c r="A2179" s="197" t="s">
        <v>72</v>
      </c>
      <c r="B2179" s="197" t="s">
        <v>21</v>
      </c>
      <c r="C2179" s="198" t="s">
        <v>108</v>
      </c>
      <c r="D2179" s="197" t="s">
        <v>283</v>
      </c>
      <c r="E2179" s="199">
        <v>7.0</v>
      </c>
      <c r="F2179" s="200">
        <v>45769.45833333333</v>
      </c>
      <c r="G2179" s="197" t="s">
        <v>845</v>
      </c>
      <c r="H2179" s="197" t="s">
        <v>865</v>
      </c>
    </row>
    <row r="2180" ht="15.75" customHeight="1">
      <c r="A2180" s="197" t="s">
        <v>72</v>
      </c>
      <c r="B2180" s="197" t="s">
        <v>21</v>
      </c>
      <c r="C2180" s="198" t="s">
        <v>108</v>
      </c>
      <c r="D2180" s="197" t="s">
        <v>283</v>
      </c>
      <c r="E2180" s="199">
        <v>8.0</v>
      </c>
      <c r="F2180" s="200">
        <v>45782.45833333333</v>
      </c>
      <c r="G2180" s="197" t="s">
        <v>845</v>
      </c>
      <c r="H2180" s="197" t="s">
        <v>865</v>
      </c>
    </row>
    <row r="2181" ht="15.75" customHeight="1">
      <c r="A2181" s="197" t="s">
        <v>72</v>
      </c>
      <c r="B2181" s="197" t="s">
        <v>21</v>
      </c>
      <c r="C2181" s="198" t="s">
        <v>108</v>
      </c>
      <c r="D2181" s="197" t="s">
        <v>283</v>
      </c>
      <c r="E2181" s="199">
        <v>9.0</v>
      </c>
      <c r="F2181" s="200">
        <v>45789.45833333333</v>
      </c>
      <c r="G2181" s="197" t="s">
        <v>845</v>
      </c>
      <c r="H2181" s="197" t="s">
        <v>865</v>
      </c>
    </row>
    <row r="2182" ht="15.75" customHeight="1">
      <c r="A2182" s="197" t="s">
        <v>72</v>
      </c>
      <c r="B2182" s="197" t="s">
        <v>21</v>
      </c>
      <c r="C2182" s="198" t="s">
        <v>108</v>
      </c>
      <c r="D2182" s="197" t="s">
        <v>283</v>
      </c>
      <c r="E2182" s="199">
        <v>10.0</v>
      </c>
      <c r="F2182" s="200">
        <v>45803.54166666667</v>
      </c>
      <c r="G2182" s="197" t="s">
        <v>845</v>
      </c>
      <c r="H2182" s="197" t="s">
        <v>865</v>
      </c>
    </row>
    <row r="2183" ht="15.75" customHeight="1">
      <c r="A2183" s="197" t="s">
        <v>72</v>
      </c>
      <c r="B2183" s="197" t="s">
        <v>21</v>
      </c>
      <c r="C2183" s="198" t="s">
        <v>108</v>
      </c>
      <c r="D2183" s="197" t="s">
        <v>283</v>
      </c>
      <c r="E2183" s="199">
        <v>11.0</v>
      </c>
      <c r="F2183" s="200">
        <v>45812.41666666667</v>
      </c>
      <c r="G2183" s="197" t="s">
        <v>845</v>
      </c>
      <c r="H2183" s="197" t="s">
        <v>865</v>
      </c>
    </row>
    <row r="2184" ht="15.75" customHeight="1">
      <c r="A2184" s="197" t="s">
        <v>72</v>
      </c>
      <c r="B2184" s="197" t="s">
        <v>21</v>
      </c>
      <c r="C2184" s="198" t="s">
        <v>108</v>
      </c>
      <c r="D2184" s="197" t="s">
        <v>283</v>
      </c>
      <c r="E2184" s="199">
        <v>12.0</v>
      </c>
      <c r="F2184" s="200">
        <v>45832.375</v>
      </c>
      <c r="G2184" s="197" t="s">
        <v>845</v>
      </c>
      <c r="H2184" s="197" t="s">
        <v>865</v>
      </c>
    </row>
    <row r="2185" ht="15.75" customHeight="1">
      <c r="A2185" s="197" t="s">
        <v>72</v>
      </c>
      <c r="B2185" s="197" t="s">
        <v>22</v>
      </c>
      <c r="C2185" s="198" t="s">
        <v>108</v>
      </c>
      <c r="D2185" s="197" t="s">
        <v>283</v>
      </c>
      <c r="E2185" s="199">
        <v>1.0</v>
      </c>
      <c r="F2185" s="200">
        <v>45866.54166666667</v>
      </c>
      <c r="G2185" s="197" t="s">
        <v>845</v>
      </c>
      <c r="H2185" s="197" t="s">
        <v>865</v>
      </c>
    </row>
    <row r="2186" ht="15.75" customHeight="1">
      <c r="A2186" s="197" t="s">
        <v>72</v>
      </c>
      <c r="B2186" s="197" t="s">
        <v>22</v>
      </c>
      <c r="C2186" s="198" t="s">
        <v>108</v>
      </c>
      <c r="D2186" s="197" t="s">
        <v>283</v>
      </c>
      <c r="E2186" s="199">
        <v>2.0</v>
      </c>
      <c r="F2186" s="200">
        <v>45910.45833333333</v>
      </c>
      <c r="G2186" s="197" t="s">
        <v>845</v>
      </c>
      <c r="H2186" s="197" t="s">
        <v>865</v>
      </c>
    </row>
    <row r="2187" ht="15.75" customHeight="1">
      <c r="A2187" s="197" t="s">
        <v>72</v>
      </c>
      <c r="B2187" s="197" t="s">
        <v>22</v>
      </c>
      <c r="C2187" s="198" t="s">
        <v>108</v>
      </c>
      <c r="D2187" s="197" t="s">
        <v>283</v>
      </c>
      <c r="E2187" s="199">
        <v>3.0</v>
      </c>
      <c r="F2187" s="200">
        <v>45915.45833333333</v>
      </c>
      <c r="G2187" s="197" t="s">
        <v>845</v>
      </c>
      <c r="H2187" s="197" t="s">
        <v>865</v>
      </c>
    </row>
    <row r="2188" ht="15.75" customHeight="1">
      <c r="A2188" s="197" t="s">
        <v>72</v>
      </c>
      <c r="B2188" s="197" t="s">
        <v>22</v>
      </c>
      <c r="C2188" s="198" t="s">
        <v>108</v>
      </c>
      <c r="D2188" s="197" t="s">
        <v>283</v>
      </c>
      <c r="E2188" s="199">
        <v>4.0</v>
      </c>
      <c r="F2188" s="200">
        <v>45922.45833333333</v>
      </c>
      <c r="G2188" s="197" t="s">
        <v>845</v>
      </c>
      <c r="H2188" s="197" t="s">
        <v>865</v>
      </c>
    </row>
    <row r="2189" ht="15.75" customHeight="1">
      <c r="A2189" s="197" t="s">
        <v>72</v>
      </c>
      <c r="B2189" s="197" t="s">
        <v>22</v>
      </c>
      <c r="C2189" s="198" t="s">
        <v>108</v>
      </c>
      <c r="D2189" s="197" t="s">
        <v>283</v>
      </c>
      <c r="E2189" s="199">
        <v>5.0</v>
      </c>
      <c r="F2189" s="200">
        <v>45929.45833333333</v>
      </c>
      <c r="G2189" s="197" t="s">
        <v>845</v>
      </c>
      <c r="H2189" s="197" t="s">
        <v>865</v>
      </c>
    </row>
    <row r="2190" ht="15.75" customHeight="1">
      <c r="A2190" s="197" t="s">
        <v>72</v>
      </c>
      <c r="B2190" s="197" t="s">
        <v>22</v>
      </c>
      <c r="C2190" s="198" t="s">
        <v>108</v>
      </c>
      <c r="D2190" s="197" t="s">
        <v>283</v>
      </c>
      <c r="E2190" s="199">
        <v>6.0</v>
      </c>
      <c r="F2190" s="200">
        <v>45943.41666666667</v>
      </c>
      <c r="G2190" s="197" t="s">
        <v>845</v>
      </c>
      <c r="H2190" s="197" t="s">
        <v>865</v>
      </c>
    </row>
    <row r="2191" ht="15.75" customHeight="1">
      <c r="A2191" s="197" t="s">
        <v>72</v>
      </c>
      <c r="B2191" s="197" t="s">
        <v>22</v>
      </c>
      <c r="C2191" s="198" t="s">
        <v>108</v>
      </c>
      <c r="D2191" s="197" t="s">
        <v>283</v>
      </c>
      <c r="E2191" s="199">
        <v>7.0</v>
      </c>
      <c r="F2191" s="200">
        <v>45944.58333333333</v>
      </c>
      <c r="G2191" s="197" t="s">
        <v>845</v>
      </c>
      <c r="H2191" s="197" t="s">
        <v>865</v>
      </c>
    </row>
    <row r="2192" ht="15.75" customHeight="1">
      <c r="A2192" s="197" t="s">
        <v>72</v>
      </c>
      <c r="B2192" s="197" t="s">
        <v>22</v>
      </c>
      <c r="C2192" s="198" t="s">
        <v>108</v>
      </c>
      <c r="D2192" s="197" t="s">
        <v>283</v>
      </c>
      <c r="E2192" s="199">
        <v>9.0</v>
      </c>
      <c r="F2192" s="200">
        <v>45957.41666666667</v>
      </c>
      <c r="G2192" s="197" t="s">
        <v>845</v>
      </c>
      <c r="H2192" s="197" t="s">
        <v>865</v>
      </c>
    </row>
    <row r="2193" ht="15.75" customHeight="1">
      <c r="A2193" s="197" t="s">
        <v>72</v>
      </c>
      <c r="B2193" s="197" t="s">
        <v>22</v>
      </c>
      <c r="C2193" s="198" t="s">
        <v>108</v>
      </c>
      <c r="D2193" s="197" t="s">
        <v>283</v>
      </c>
      <c r="E2193" s="199">
        <v>10.0</v>
      </c>
      <c r="F2193" s="200">
        <v>45964.58333333333</v>
      </c>
      <c r="G2193" s="197" t="s">
        <v>845</v>
      </c>
      <c r="H2193" s="197" t="s">
        <v>865</v>
      </c>
    </row>
    <row r="2194" ht="15.75" customHeight="1">
      <c r="A2194" s="197" t="s">
        <v>72</v>
      </c>
      <c r="B2194" s="197" t="s">
        <v>22</v>
      </c>
      <c r="C2194" s="198" t="s">
        <v>108</v>
      </c>
      <c r="D2194" s="197" t="s">
        <v>283</v>
      </c>
      <c r="E2194" s="199">
        <v>11.0</v>
      </c>
      <c r="F2194" s="200">
        <v>45971.54166666667</v>
      </c>
      <c r="G2194" s="197" t="s">
        <v>845</v>
      </c>
      <c r="H2194" s="197" t="s">
        <v>865</v>
      </c>
    </row>
    <row r="2195" ht="15.75" customHeight="1">
      <c r="A2195" s="197" t="s">
        <v>72</v>
      </c>
      <c r="B2195" s="197" t="s">
        <v>22</v>
      </c>
      <c r="C2195" s="198" t="s">
        <v>108</v>
      </c>
      <c r="D2195" s="197" t="s">
        <v>283</v>
      </c>
      <c r="E2195" s="199">
        <v>12.0</v>
      </c>
      <c r="F2195" s="200">
        <v>45985.58333333333</v>
      </c>
      <c r="G2195" s="197" t="s">
        <v>845</v>
      </c>
      <c r="H2195" s="197" t="s">
        <v>865</v>
      </c>
    </row>
    <row r="2196" ht="15.75" customHeight="1">
      <c r="A2196" s="197" t="s">
        <v>72</v>
      </c>
      <c r="B2196" s="197" t="s">
        <v>22</v>
      </c>
      <c r="C2196" s="198" t="s">
        <v>108</v>
      </c>
      <c r="D2196" s="197" t="s">
        <v>283</v>
      </c>
      <c r="E2196" s="199">
        <v>13.0</v>
      </c>
      <c r="F2196" s="200">
        <v>45992.54166666667</v>
      </c>
      <c r="G2196" s="197" t="s">
        <v>845</v>
      </c>
      <c r="H2196" s="197" t="s">
        <v>865</v>
      </c>
    </row>
    <row r="2197" ht="15.75" customHeight="1">
      <c r="A2197" s="197" t="s">
        <v>72</v>
      </c>
      <c r="B2197" s="197" t="s">
        <v>22</v>
      </c>
      <c r="C2197" s="198" t="s">
        <v>108</v>
      </c>
      <c r="D2197" s="197" t="s">
        <v>283</v>
      </c>
      <c r="E2197" s="199">
        <v>14.0</v>
      </c>
      <c r="F2197" s="200">
        <v>45999.41666666667</v>
      </c>
      <c r="G2197" s="197" t="s">
        <v>845</v>
      </c>
      <c r="H2197" s="197" t="s">
        <v>865</v>
      </c>
    </row>
    <row r="2198" ht="15.75" customHeight="1">
      <c r="A2198" s="197" t="s">
        <v>72</v>
      </c>
      <c r="B2198" s="197" t="s">
        <v>22</v>
      </c>
      <c r="C2198" s="198" t="s">
        <v>108</v>
      </c>
      <c r="D2198" s="197" t="s">
        <v>283</v>
      </c>
      <c r="E2198" s="199">
        <v>15.0</v>
      </c>
      <c r="F2198" s="200">
        <v>46006.45833333333</v>
      </c>
      <c r="G2198" s="197" t="s">
        <v>845</v>
      </c>
      <c r="H2198" s="197" t="s">
        <v>865</v>
      </c>
    </row>
    <row r="2199" ht="15.75" customHeight="1">
      <c r="A2199" s="197" t="s">
        <v>72</v>
      </c>
      <c r="B2199" s="197" t="s">
        <v>22</v>
      </c>
      <c r="C2199" s="198" t="s">
        <v>108</v>
      </c>
      <c r="D2199" s="197" t="s">
        <v>283</v>
      </c>
      <c r="E2199" s="199">
        <v>16.0</v>
      </c>
      <c r="F2199" s="200">
        <v>46048.41666666667</v>
      </c>
      <c r="G2199" s="197" t="s">
        <v>845</v>
      </c>
      <c r="H2199" s="197" t="s">
        <v>865</v>
      </c>
    </row>
    <row r="2200" ht="15.75" customHeight="1">
      <c r="A2200" s="197" t="s">
        <v>72</v>
      </c>
      <c r="B2200" s="197" t="s">
        <v>23</v>
      </c>
      <c r="C2200" s="198" t="s">
        <v>108</v>
      </c>
      <c r="D2200" s="197" t="s">
        <v>283</v>
      </c>
      <c r="E2200" s="199">
        <v>1.0</v>
      </c>
      <c r="F2200" s="200">
        <v>46084.58333333333</v>
      </c>
      <c r="G2200" s="197" t="s">
        <v>845</v>
      </c>
      <c r="H2200" s="197" t="s">
        <v>865</v>
      </c>
    </row>
    <row r="2201" ht="15.75" customHeight="1">
      <c r="A2201" s="197" t="s">
        <v>72</v>
      </c>
      <c r="B2201" s="197" t="s">
        <v>23</v>
      </c>
      <c r="C2201" s="198" t="s">
        <v>108</v>
      </c>
      <c r="D2201" s="197" t="s">
        <v>283</v>
      </c>
      <c r="E2201" s="199">
        <v>2.0</v>
      </c>
      <c r="F2201" s="200">
        <v>46099.45833333333</v>
      </c>
      <c r="G2201" s="197" t="s">
        <v>845</v>
      </c>
      <c r="H2201" s="197" t="s">
        <v>865</v>
      </c>
    </row>
    <row r="2202" ht="15.75" customHeight="1">
      <c r="A2202" s="197" t="s">
        <v>72</v>
      </c>
      <c r="B2202" s="197" t="s">
        <v>23</v>
      </c>
      <c r="C2202" s="198" t="s">
        <v>108</v>
      </c>
      <c r="D2202" s="197" t="s">
        <v>283</v>
      </c>
      <c r="E2202" s="199">
        <v>3.0</v>
      </c>
      <c r="F2202" s="200">
        <v>46106.45833333333</v>
      </c>
      <c r="G2202" s="197" t="s">
        <v>845</v>
      </c>
      <c r="H2202" s="197" t="s">
        <v>865</v>
      </c>
    </row>
    <row r="2203" ht="15.75" customHeight="1">
      <c r="A2203" s="197" t="s">
        <v>72</v>
      </c>
      <c r="B2203" s="197" t="s">
        <v>23</v>
      </c>
      <c r="C2203" s="198" t="s">
        <v>108</v>
      </c>
      <c r="D2203" s="197" t="s">
        <v>283</v>
      </c>
      <c r="E2203" s="199">
        <v>4.0</v>
      </c>
      <c r="F2203" s="200">
        <v>46119.45833333333</v>
      </c>
      <c r="G2203" s="197" t="s">
        <v>845</v>
      </c>
      <c r="H2203" s="197" t="s">
        <v>865</v>
      </c>
    </row>
    <row r="2204" ht="15.75" customHeight="1">
      <c r="A2204" s="197" t="s">
        <v>72</v>
      </c>
      <c r="B2204" s="197" t="s">
        <v>23</v>
      </c>
      <c r="C2204" s="198" t="s">
        <v>108</v>
      </c>
      <c r="D2204" s="197" t="s">
        <v>283</v>
      </c>
      <c r="E2204" s="199">
        <v>5.0</v>
      </c>
      <c r="F2204" s="200">
        <v>46127.54166666667</v>
      </c>
      <c r="G2204" s="197" t="s">
        <v>845</v>
      </c>
      <c r="H2204" s="197" t="s">
        <v>865</v>
      </c>
    </row>
    <row r="2205" ht="15.75" customHeight="1">
      <c r="A2205" s="197" t="s">
        <v>72</v>
      </c>
      <c r="B2205" s="197" t="s">
        <v>23</v>
      </c>
      <c r="C2205" s="198" t="s">
        <v>108</v>
      </c>
      <c r="D2205" s="197" t="s">
        <v>283</v>
      </c>
      <c r="E2205" s="199">
        <v>6.0</v>
      </c>
      <c r="F2205" s="200">
        <v>46134.58333333333</v>
      </c>
      <c r="G2205" s="197" t="s">
        <v>845</v>
      </c>
      <c r="H2205" s="197" t="s">
        <v>865</v>
      </c>
    </row>
    <row r="2206" ht="15.75" customHeight="1">
      <c r="A2206" s="197" t="s">
        <v>72</v>
      </c>
      <c r="B2206" s="197" t="s">
        <v>23</v>
      </c>
      <c r="C2206" s="198" t="s">
        <v>296</v>
      </c>
      <c r="D2206" s="197" t="s">
        <v>297</v>
      </c>
      <c r="E2206" s="199">
        <v>1.0</v>
      </c>
      <c r="F2206" s="200">
        <v>46084.58333333333</v>
      </c>
      <c r="G2206" s="197" t="s">
        <v>845</v>
      </c>
      <c r="H2206" s="197" t="s">
        <v>865</v>
      </c>
    </row>
    <row r="2207" ht="15.75" customHeight="1">
      <c r="A2207" s="197" t="s">
        <v>72</v>
      </c>
      <c r="B2207" s="197" t="s">
        <v>23</v>
      </c>
      <c r="C2207" s="198" t="s">
        <v>296</v>
      </c>
      <c r="D2207" s="197" t="s">
        <v>297</v>
      </c>
      <c r="E2207" s="199">
        <v>2.0</v>
      </c>
      <c r="F2207" s="200">
        <v>46099.45833333333</v>
      </c>
      <c r="G2207" s="197" t="s">
        <v>845</v>
      </c>
      <c r="H2207" s="197" t="s">
        <v>865</v>
      </c>
    </row>
    <row r="2208" ht="15.75" customHeight="1">
      <c r="A2208" s="197" t="s">
        <v>72</v>
      </c>
      <c r="B2208" s="197" t="s">
        <v>23</v>
      </c>
      <c r="C2208" s="198" t="s">
        <v>296</v>
      </c>
      <c r="D2208" s="197" t="s">
        <v>297</v>
      </c>
      <c r="E2208" s="199">
        <v>3.0</v>
      </c>
      <c r="F2208" s="200">
        <v>46106.45833333333</v>
      </c>
      <c r="G2208" s="197" t="s">
        <v>845</v>
      </c>
      <c r="H2208" s="197" t="s">
        <v>865</v>
      </c>
    </row>
    <row r="2209" ht="15.75" customHeight="1">
      <c r="A2209" s="197" t="s">
        <v>72</v>
      </c>
      <c r="B2209" s="197" t="s">
        <v>23</v>
      </c>
      <c r="C2209" s="198" t="s">
        <v>296</v>
      </c>
      <c r="D2209" s="197" t="s">
        <v>297</v>
      </c>
      <c r="E2209" s="199">
        <v>4.0</v>
      </c>
      <c r="F2209" s="200">
        <v>46119.45833333333</v>
      </c>
      <c r="G2209" s="197" t="s">
        <v>843</v>
      </c>
      <c r="H2209" s="197" t="s">
        <v>865</v>
      </c>
    </row>
    <row r="2210" ht="15.75" customHeight="1">
      <c r="A2210" s="197" t="s">
        <v>72</v>
      </c>
      <c r="B2210" s="197" t="s">
        <v>23</v>
      </c>
      <c r="C2210" s="198" t="s">
        <v>296</v>
      </c>
      <c r="D2210" s="197" t="s">
        <v>297</v>
      </c>
      <c r="E2210" s="199">
        <v>5.0</v>
      </c>
      <c r="F2210" s="200">
        <v>46127.54166666667</v>
      </c>
      <c r="G2210" s="197" t="s">
        <v>845</v>
      </c>
      <c r="H2210" s="197" t="s">
        <v>865</v>
      </c>
    </row>
    <row r="2211" ht="15.75" customHeight="1">
      <c r="A2211" s="197" t="s">
        <v>72</v>
      </c>
      <c r="B2211" s="197" t="s">
        <v>23</v>
      </c>
      <c r="C2211" s="198" t="s">
        <v>296</v>
      </c>
      <c r="D2211" s="197" t="s">
        <v>297</v>
      </c>
      <c r="E2211" s="199">
        <v>6.0</v>
      </c>
      <c r="F2211" s="200">
        <v>46134.58333333333</v>
      </c>
      <c r="G2211" s="197" t="s">
        <v>845</v>
      </c>
      <c r="H2211" s="197" t="s">
        <v>865</v>
      </c>
    </row>
    <row r="2212" ht="15.75" customHeight="1">
      <c r="A2212" s="197" t="s">
        <v>72</v>
      </c>
      <c r="B2212" s="197" t="s">
        <v>21</v>
      </c>
      <c r="C2212" s="198" t="s">
        <v>315</v>
      </c>
      <c r="D2212" s="197" t="s">
        <v>316</v>
      </c>
      <c r="E2212" s="199">
        <v>1.0</v>
      </c>
      <c r="F2212" s="200">
        <v>45670.54166666667</v>
      </c>
      <c r="G2212" s="197" t="s">
        <v>845</v>
      </c>
      <c r="H2212" s="197" t="s">
        <v>865</v>
      </c>
    </row>
    <row r="2213" ht="15.75" customHeight="1">
      <c r="A2213" s="197" t="s">
        <v>72</v>
      </c>
      <c r="B2213" s="197" t="s">
        <v>21</v>
      </c>
      <c r="C2213" s="198" t="s">
        <v>315</v>
      </c>
      <c r="D2213" s="197" t="s">
        <v>316</v>
      </c>
      <c r="E2213" s="199">
        <v>2.0</v>
      </c>
      <c r="F2213" s="200">
        <v>45679.375</v>
      </c>
      <c r="G2213" s="197" t="s">
        <v>845</v>
      </c>
      <c r="H2213" s="197" t="s">
        <v>865</v>
      </c>
    </row>
    <row r="2214" ht="15.75" customHeight="1">
      <c r="A2214" s="197" t="s">
        <v>72</v>
      </c>
      <c r="B2214" s="197" t="s">
        <v>21</v>
      </c>
      <c r="C2214" s="198" t="s">
        <v>315</v>
      </c>
      <c r="D2214" s="197" t="s">
        <v>316</v>
      </c>
      <c r="E2214" s="199">
        <v>3.0</v>
      </c>
      <c r="F2214" s="200">
        <v>45698.45833333333</v>
      </c>
      <c r="G2214" s="197" t="s">
        <v>845</v>
      </c>
      <c r="H2214" s="197" t="s">
        <v>865</v>
      </c>
    </row>
    <row r="2215" ht="15.75" customHeight="1">
      <c r="A2215" s="197" t="s">
        <v>72</v>
      </c>
      <c r="B2215" s="197" t="s">
        <v>21</v>
      </c>
      <c r="C2215" s="198" t="s">
        <v>315</v>
      </c>
      <c r="D2215" s="197" t="s">
        <v>316</v>
      </c>
      <c r="E2215" s="199">
        <v>4.0</v>
      </c>
      <c r="F2215" s="200">
        <v>45705.45833333333</v>
      </c>
      <c r="G2215" s="197" t="s">
        <v>845</v>
      </c>
      <c r="H2215" s="197" t="s">
        <v>865</v>
      </c>
    </row>
    <row r="2216" ht="15.75" customHeight="1">
      <c r="A2216" s="197" t="s">
        <v>72</v>
      </c>
      <c r="B2216" s="197" t="s">
        <v>21</v>
      </c>
      <c r="C2216" s="198" t="s">
        <v>315</v>
      </c>
      <c r="D2216" s="197" t="s">
        <v>316</v>
      </c>
      <c r="E2216" s="199">
        <v>5.0</v>
      </c>
      <c r="F2216" s="200">
        <v>45712.54166666667</v>
      </c>
      <c r="G2216" s="197" t="s">
        <v>845</v>
      </c>
      <c r="H2216" s="197" t="s">
        <v>865</v>
      </c>
    </row>
    <row r="2217" ht="15.75" customHeight="1">
      <c r="A2217" s="197" t="s">
        <v>72</v>
      </c>
      <c r="B2217" s="197" t="s">
        <v>21</v>
      </c>
      <c r="C2217" s="198" t="s">
        <v>315</v>
      </c>
      <c r="D2217" s="197" t="s">
        <v>316</v>
      </c>
      <c r="E2217" s="199">
        <v>6.0</v>
      </c>
      <c r="F2217" s="200">
        <v>45761.45833333333</v>
      </c>
      <c r="G2217" s="197" t="s">
        <v>845</v>
      </c>
      <c r="H2217" s="197" t="s">
        <v>865</v>
      </c>
    </row>
    <row r="2218" ht="15.75" customHeight="1">
      <c r="A2218" s="197" t="s">
        <v>72</v>
      </c>
      <c r="B2218" s="197" t="s">
        <v>21</v>
      </c>
      <c r="C2218" s="198" t="s">
        <v>315</v>
      </c>
      <c r="D2218" s="197" t="s">
        <v>316</v>
      </c>
      <c r="E2218" s="199">
        <v>7.0</v>
      </c>
      <c r="F2218" s="200">
        <v>45769.45833333333</v>
      </c>
      <c r="G2218" s="197" t="s">
        <v>845</v>
      </c>
      <c r="H2218" s="197" t="s">
        <v>865</v>
      </c>
    </row>
    <row r="2219" ht="15.75" customHeight="1">
      <c r="A2219" s="197" t="s">
        <v>72</v>
      </c>
      <c r="B2219" s="197" t="s">
        <v>21</v>
      </c>
      <c r="C2219" s="198" t="s">
        <v>315</v>
      </c>
      <c r="D2219" s="197" t="s">
        <v>316</v>
      </c>
      <c r="E2219" s="199">
        <v>8.0</v>
      </c>
      <c r="F2219" s="200">
        <v>45782.45833333333</v>
      </c>
      <c r="G2219" s="197" t="s">
        <v>845</v>
      </c>
      <c r="H2219" s="197" t="s">
        <v>865</v>
      </c>
    </row>
    <row r="2220" ht="15.75" customHeight="1">
      <c r="A2220" s="197" t="s">
        <v>72</v>
      </c>
      <c r="B2220" s="197" t="s">
        <v>21</v>
      </c>
      <c r="C2220" s="198" t="s">
        <v>315</v>
      </c>
      <c r="D2220" s="197" t="s">
        <v>316</v>
      </c>
      <c r="E2220" s="199">
        <v>9.0</v>
      </c>
      <c r="F2220" s="200">
        <v>45789.45833333333</v>
      </c>
      <c r="G2220" s="197" t="s">
        <v>843</v>
      </c>
      <c r="H2220" s="197" t="s">
        <v>865</v>
      </c>
    </row>
    <row r="2221" ht="15.75" customHeight="1">
      <c r="A2221" s="197" t="s">
        <v>72</v>
      </c>
      <c r="B2221" s="197" t="s">
        <v>21</v>
      </c>
      <c r="C2221" s="198" t="s">
        <v>315</v>
      </c>
      <c r="D2221" s="197" t="s">
        <v>316</v>
      </c>
      <c r="E2221" s="199">
        <v>10.0</v>
      </c>
      <c r="F2221" s="200">
        <v>45803.54166666667</v>
      </c>
      <c r="G2221" s="197" t="s">
        <v>845</v>
      </c>
      <c r="H2221" s="197" t="s">
        <v>865</v>
      </c>
    </row>
    <row r="2222" ht="15.75" customHeight="1">
      <c r="A2222" s="197" t="s">
        <v>72</v>
      </c>
      <c r="B2222" s="197" t="s">
        <v>21</v>
      </c>
      <c r="C2222" s="198" t="s">
        <v>315</v>
      </c>
      <c r="D2222" s="197" t="s">
        <v>316</v>
      </c>
      <c r="E2222" s="199">
        <v>11.0</v>
      </c>
      <c r="F2222" s="200">
        <v>45812.41666666667</v>
      </c>
      <c r="G2222" s="197" t="s">
        <v>845</v>
      </c>
      <c r="H2222" s="197" t="s">
        <v>865</v>
      </c>
    </row>
    <row r="2223" ht="15.75" customHeight="1">
      <c r="A2223" s="197" t="s">
        <v>72</v>
      </c>
      <c r="B2223" s="197" t="s">
        <v>21</v>
      </c>
      <c r="C2223" s="198" t="s">
        <v>315</v>
      </c>
      <c r="D2223" s="197" t="s">
        <v>316</v>
      </c>
      <c r="E2223" s="199">
        <v>12.0</v>
      </c>
      <c r="F2223" s="200">
        <v>45832.375</v>
      </c>
      <c r="G2223" s="197" t="s">
        <v>845</v>
      </c>
      <c r="H2223" s="197" t="s">
        <v>865</v>
      </c>
    </row>
    <row r="2224" ht="15.75" customHeight="1">
      <c r="A2224" s="197" t="s">
        <v>72</v>
      </c>
      <c r="B2224" s="197" t="s">
        <v>22</v>
      </c>
      <c r="C2224" s="198" t="s">
        <v>315</v>
      </c>
      <c r="D2224" s="197" t="s">
        <v>316</v>
      </c>
      <c r="E2224" s="199">
        <v>1.0</v>
      </c>
      <c r="F2224" s="200">
        <v>45866.54166666667</v>
      </c>
      <c r="G2224" s="197" t="s">
        <v>843</v>
      </c>
      <c r="H2224" s="197" t="s">
        <v>865</v>
      </c>
    </row>
    <row r="2225" ht="15.75" customHeight="1">
      <c r="A2225" s="197" t="s">
        <v>72</v>
      </c>
      <c r="B2225" s="197" t="s">
        <v>22</v>
      </c>
      <c r="C2225" s="198" t="s">
        <v>315</v>
      </c>
      <c r="D2225" s="197" t="s">
        <v>316</v>
      </c>
      <c r="E2225" s="199">
        <v>2.0</v>
      </c>
      <c r="F2225" s="200">
        <v>45910.45833333333</v>
      </c>
      <c r="G2225" s="197" t="s">
        <v>845</v>
      </c>
      <c r="H2225" s="197" t="s">
        <v>865</v>
      </c>
    </row>
    <row r="2226" ht="15.75" customHeight="1">
      <c r="A2226" s="197" t="s">
        <v>72</v>
      </c>
      <c r="B2226" s="197" t="s">
        <v>22</v>
      </c>
      <c r="C2226" s="198" t="s">
        <v>315</v>
      </c>
      <c r="D2226" s="197" t="s">
        <v>316</v>
      </c>
      <c r="E2226" s="199">
        <v>3.0</v>
      </c>
      <c r="F2226" s="200">
        <v>45915.45833333333</v>
      </c>
      <c r="G2226" s="197" t="s">
        <v>845</v>
      </c>
      <c r="H2226" s="197" t="s">
        <v>865</v>
      </c>
    </row>
    <row r="2227" ht="15.75" customHeight="1">
      <c r="A2227" s="197" t="s">
        <v>72</v>
      </c>
      <c r="B2227" s="197" t="s">
        <v>22</v>
      </c>
      <c r="C2227" s="198" t="s">
        <v>315</v>
      </c>
      <c r="D2227" s="197" t="s">
        <v>316</v>
      </c>
      <c r="E2227" s="199">
        <v>4.0</v>
      </c>
      <c r="F2227" s="200">
        <v>45922.45833333333</v>
      </c>
      <c r="G2227" s="197" t="s">
        <v>845</v>
      </c>
      <c r="H2227" s="197" t="s">
        <v>865</v>
      </c>
    </row>
    <row r="2228" ht="15.75" customHeight="1">
      <c r="A2228" s="197" t="s">
        <v>72</v>
      </c>
      <c r="B2228" s="197" t="s">
        <v>22</v>
      </c>
      <c r="C2228" s="198" t="s">
        <v>315</v>
      </c>
      <c r="D2228" s="197" t="s">
        <v>316</v>
      </c>
      <c r="E2228" s="199">
        <v>5.0</v>
      </c>
      <c r="F2228" s="200">
        <v>45929.45833333333</v>
      </c>
      <c r="G2228" s="197" t="s">
        <v>845</v>
      </c>
      <c r="H2228" s="197" t="s">
        <v>865</v>
      </c>
    </row>
    <row r="2229" ht="15.75" customHeight="1">
      <c r="A2229" s="197" t="s">
        <v>72</v>
      </c>
      <c r="B2229" s="197" t="s">
        <v>22</v>
      </c>
      <c r="C2229" s="198" t="s">
        <v>315</v>
      </c>
      <c r="D2229" s="197" t="s">
        <v>316</v>
      </c>
      <c r="E2229" s="199">
        <v>6.0</v>
      </c>
      <c r="F2229" s="200">
        <v>45943.41666666667</v>
      </c>
      <c r="G2229" s="197" t="s">
        <v>845</v>
      </c>
      <c r="H2229" s="197" t="s">
        <v>865</v>
      </c>
    </row>
    <row r="2230" ht="15.75" customHeight="1">
      <c r="A2230" s="197" t="s">
        <v>72</v>
      </c>
      <c r="B2230" s="197" t="s">
        <v>22</v>
      </c>
      <c r="C2230" s="198" t="s">
        <v>315</v>
      </c>
      <c r="D2230" s="197" t="s">
        <v>316</v>
      </c>
      <c r="E2230" s="199">
        <v>7.0</v>
      </c>
      <c r="F2230" s="200">
        <v>45944.58333333333</v>
      </c>
      <c r="G2230" s="197" t="s">
        <v>845</v>
      </c>
      <c r="H2230" s="197" t="s">
        <v>865</v>
      </c>
    </row>
    <row r="2231" ht="15.75" customHeight="1">
      <c r="A2231" s="197" t="s">
        <v>72</v>
      </c>
      <c r="B2231" s="197" t="s">
        <v>22</v>
      </c>
      <c r="C2231" s="198" t="s">
        <v>315</v>
      </c>
      <c r="D2231" s="197" t="s">
        <v>316</v>
      </c>
      <c r="E2231" s="199">
        <v>9.0</v>
      </c>
      <c r="F2231" s="200">
        <v>45957.41666666667</v>
      </c>
      <c r="G2231" s="197" t="s">
        <v>845</v>
      </c>
      <c r="H2231" s="197" t="s">
        <v>865</v>
      </c>
    </row>
    <row r="2232" ht="15.75" customHeight="1">
      <c r="A2232" s="197" t="s">
        <v>72</v>
      </c>
      <c r="B2232" s="197" t="s">
        <v>22</v>
      </c>
      <c r="C2232" s="198" t="s">
        <v>315</v>
      </c>
      <c r="D2232" s="197" t="s">
        <v>316</v>
      </c>
      <c r="E2232" s="199">
        <v>10.0</v>
      </c>
      <c r="F2232" s="200">
        <v>45964.58333333333</v>
      </c>
      <c r="G2232" s="197" t="s">
        <v>845</v>
      </c>
      <c r="H2232" s="197" t="s">
        <v>865</v>
      </c>
    </row>
    <row r="2233" ht="15.75" customHeight="1">
      <c r="A2233" s="197" t="s">
        <v>72</v>
      </c>
      <c r="B2233" s="197" t="s">
        <v>22</v>
      </c>
      <c r="C2233" s="198" t="s">
        <v>315</v>
      </c>
      <c r="D2233" s="197" t="s">
        <v>316</v>
      </c>
      <c r="E2233" s="199">
        <v>11.0</v>
      </c>
      <c r="F2233" s="200">
        <v>45971.54166666667</v>
      </c>
      <c r="G2233" s="197" t="s">
        <v>845</v>
      </c>
      <c r="H2233" s="197" t="s">
        <v>865</v>
      </c>
    </row>
    <row r="2234" ht="15.75" customHeight="1">
      <c r="A2234" s="197" t="s">
        <v>72</v>
      </c>
      <c r="B2234" s="197" t="s">
        <v>22</v>
      </c>
      <c r="C2234" s="198" t="s">
        <v>315</v>
      </c>
      <c r="D2234" s="197" t="s">
        <v>316</v>
      </c>
      <c r="E2234" s="199">
        <v>12.0</v>
      </c>
      <c r="F2234" s="200">
        <v>45985.58333333333</v>
      </c>
      <c r="G2234" s="197" t="s">
        <v>845</v>
      </c>
      <c r="H2234" s="197" t="s">
        <v>865</v>
      </c>
    </row>
    <row r="2235" ht="15.75" customHeight="1">
      <c r="A2235" s="197" t="s">
        <v>72</v>
      </c>
      <c r="B2235" s="197" t="s">
        <v>22</v>
      </c>
      <c r="C2235" s="198" t="s">
        <v>315</v>
      </c>
      <c r="D2235" s="197" t="s">
        <v>316</v>
      </c>
      <c r="E2235" s="199">
        <v>13.0</v>
      </c>
      <c r="F2235" s="200">
        <v>45992.54166666667</v>
      </c>
      <c r="G2235" s="197" t="s">
        <v>845</v>
      </c>
      <c r="H2235" s="197" t="s">
        <v>865</v>
      </c>
    </row>
    <row r="2236" ht="15.75" customHeight="1">
      <c r="A2236" s="197" t="s">
        <v>72</v>
      </c>
      <c r="B2236" s="197" t="s">
        <v>22</v>
      </c>
      <c r="C2236" s="198" t="s">
        <v>315</v>
      </c>
      <c r="D2236" s="197" t="s">
        <v>316</v>
      </c>
      <c r="E2236" s="199">
        <v>14.0</v>
      </c>
      <c r="F2236" s="200">
        <v>45999.41666666667</v>
      </c>
      <c r="G2236" s="197" t="s">
        <v>845</v>
      </c>
      <c r="H2236" s="197" t="s">
        <v>865</v>
      </c>
    </row>
    <row r="2237" ht="15.75" customHeight="1">
      <c r="A2237" s="197" t="s">
        <v>72</v>
      </c>
      <c r="B2237" s="197" t="s">
        <v>22</v>
      </c>
      <c r="C2237" s="198" t="s">
        <v>315</v>
      </c>
      <c r="D2237" s="197" t="s">
        <v>316</v>
      </c>
      <c r="E2237" s="199">
        <v>15.0</v>
      </c>
      <c r="F2237" s="200">
        <v>46006.45833333333</v>
      </c>
      <c r="G2237" s="197" t="s">
        <v>845</v>
      </c>
      <c r="H2237" s="197" t="s">
        <v>865</v>
      </c>
    </row>
    <row r="2238" ht="15.75" customHeight="1">
      <c r="A2238" s="197" t="s">
        <v>72</v>
      </c>
      <c r="B2238" s="197" t="s">
        <v>22</v>
      </c>
      <c r="C2238" s="198" t="s">
        <v>315</v>
      </c>
      <c r="D2238" s="197" t="s">
        <v>316</v>
      </c>
      <c r="E2238" s="199">
        <v>16.0</v>
      </c>
      <c r="F2238" s="200">
        <v>46048.41666666667</v>
      </c>
      <c r="G2238" s="197" t="s">
        <v>845</v>
      </c>
      <c r="H2238" s="197" t="s">
        <v>865</v>
      </c>
    </row>
    <row r="2239" ht="15.75" customHeight="1">
      <c r="A2239" s="197" t="s">
        <v>72</v>
      </c>
      <c r="B2239" s="197" t="s">
        <v>23</v>
      </c>
      <c r="C2239" s="198" t="s">
        <v>315</v>
      </c>
      <c r="D2239" s="197" t="s">
        <v>316</v>
      </c>
      <c r="E2239" s="199">
        <v>1.0</v>
      </c>
      <c r="F2239" s="200">
        <v>46084.58333333333</v>
      </c>
      <c r="G2239" s="197" t="s">
        <v>845</v>
      </c>
      <c r="H2239" s="197" t="s">
        <v>865</v>
      </c>
    </row>
    <row r="2240" ht="15.75" customHeight="1">
      <c r="A2240" s="197" t="s">
        <v>72</v>
      </c>
      <c r="B2240" s="197" t="s">
        <v>23</v>
      </c>
      <c r="C2240" s="198" t="s">
        <v>315</v>
      </c>
      <c r="D2240" s="197" t="s">
        <v>316</v>
      </c>
      <c r="E2240" s="199">
        <v>2.0</v>
      </c>
      <c r="F2240" s="200">
        <v>46099.45833333333</v>
      </c>
      <c r="G2240" s="197" t="s">
        <v>845</v>
      </c>
      <c r="H2240" s="197" t="s">
        <v>865</v>
      </c>
    </row>
    <row r="2241" ht="15.75" customHeight="1">
      <c r="A2241" s="197" t="s">
        <v>72</v>
      </c>
      <c r="B2241" s="197" t="s">
        <v>23</v>
      </c>
      <c r="C2241" s="198" t="s">
        <v>315</v>
      </c>
      <c r="D2241" s="197" t="s">
        <v>316</v>
      </c>
      <c r="E2241" s="199">
        <v>3.0</v>
      </c>
      <c r="F2241" s="200">
        <v>46106.45833333333</v>
      </c>
      <c r="G2241" s="197" t="s">
        <v>845</v>
      </c>
      <c r="H2241" s="197" t="s">
        <v>865</v>
      </c>
    </row>
    <row r="2242" ht="15.75" customHeight="1">
      <c r="A2242" s="197" t="s">
        <v>72</v>
      </c>
      <c r="B2242" s="197" t="s">
        <v>23</v>
      </c>
      <c r="C2242" s="198" t="s">
        <v>315</v>
      </c>
      <c r="D2242" s="197" t="s">
        <v>316</v>
      </c>
      <c r="E2242" s="199">
        <v>4.0</v>
      </c>
      <c r="F2242" s="200">
        <v>46119.45833333333</v>
      </c>
      <c r="G2242" s="197" t="s">
        <v>845</v>
      </c>
      <c r="H2242" s="197" t="s">
        <v>865</v>
      </c>
    </row>
    <row r="2243" ht="15.75" customHeight="1">
      <c r="A2243" s="197" t="s">
        <v>72</v>
      </c>
      <c r="B2243" s="197" t="s">
        <v>23</v>
      </c>
      <c r="C2243" s="198" t="s">
        <v>315</v>
      </c>
      <c r="D2243" s="197" t="s">
        <v>316</v>
      </c>
      <c r="E2243" s="199">
        <v>5.0</v>
      </c>
      <c r="F2243" s="200">
        <v>46127.54166666667</v>
      </c>
      <c r="G2243" s="197" t="s">
        <v>845</v>
      </c>
      <c r="H2243" s="197" t="s">
        <v>865</v>
      </c>
    </row>
    <row r="2244" ht="15.75" customHeight="1">
      <c r="A2244" s="197" t="s">
        <v>72</v>
      </c>
      <c r="B2244" s="197" t="s">
        <v>23</v>
      </c>
      <c r="C2244" s="198" t="s">
        <v>315</v>
      </c>
      <c r="D2244" s="197" t="s">
        <v>316</v>
      </c>
      <c r="E2244" s="199">
        <v>6.0</v>
      </c>
      <c r="F2244" s="200">
        <v>46134.58333333333</v>
      </c>
      <c r="G2244" s="197" t="s">
        <v>845</v>
      </c>
      <c r="H2244" s="197" t="s">
        <v>865</v>
      </c>
    </row>
    <row r="2245" ht="15.75" customHeight="1">
      <c r="A2245" s="197" t="s">
        <v>72</v>
      </c>
      <c r="B2245" s="197" t="s">
        <v>23</v>
      </c>
      <c r="C2245" s="198" t="s">
        <v>319</v>
      </c>
      <c r="D2245" s="197" t="s">
        <v>320</v>
      </c>
      <c r="E2245" s="199">
        <v>1.0</v>
      </c>
      <c r="F2245" s="200">
        <v>46084.58333333333</v>
      </c>
      <c r="G2245" s="197" t="s">
        <v>845</v>
      </c>
      <c r="H2245" s="197" t="s">
        <v>865</v>
      </c>
    </row>
    <row r="2246" ht="15.75" customHeight="1">
      <c r="A2246" s="197" t="s">
        <v>72</v>
      </c>
      <c r="B2246" s="197" t="s">
        <v>23</v>
      </c>
      <c r="C2246" s="198" t="s">
        <v>319</v>
      </c>
      <c r="D2246" s="197" t="s">
        <v>320</v>
      </c>
      <c r="E2246" s="199">
        <v>2.0</v>
      </c>
      <c r="F2246" s="200">
        <v>46099.45833333333</v>
      </c>
      <c r="G2246" s="197" t="s">
        <v>845</v>
      </c>
      <c r="H2246" s="197" t="s">
        <v>865</v>
      </c>
    </row>
    <row r="2247" ht="15.75" customHeight="1">
      <c r="A2247" s="197" t="s">
        <v>72</v>
      </c>
      <c r="B2247" s="197" t="s">
        <v>23</v>
      </c>
      <c r="C2247" s="198" t="s">
        <v>319</v>
      </c>
      <c r="D2247" s="197" t="s">
        <v>320</v>
      </c>
      <c r="E2247" s="199">
        <v>3.0</v>
      </c>
      <c r="F2247" s="200">
        <v>46106.45833333333</v>
      </c>
      <c r="G2247" s="197" t="s">
        <v>845</v>
      </c>
      <c r="H2247" s="197" t="s">
        <v>865</v>
      </c>
    </row>
    <row r="2248" ht="15.75" customHeight="1">
      <c r="A2248" s="197" t="s">
        <v>72</v>
      </c>
      <c r="B2248" s="197" t="s">
        <v>23</v>
      </c>
      <c r="C2248" s="198" t="s">
        <v>319</v>
      </c>
      <c r="D2248" s="197" t="s">
        <v>320</v>
      </c>
      <c r="E2248" s="199">
        <v>4.0</v>
      </c>
      <c r="F2248" s="200">
        <v>46119.45833333333</v>
      </c>
      <c r="G2248" s="197" t="s">
        <v>843</v>
      </c>
      <c r="H2248" s="197" t="s">
        <v>865</v>
      </c>
    </row>
    <row r="2249" ht="15.75" customHeight="1">
      <c r="A2249" s="197" t="s">
        <v>72</v>
      </c>
      <c r="B2249" s="197" t="s">
        <v>23</v>
      </c>
      <c r="C2249" s="198" t="s">
        <v>319</v>
      </c>
      <c r="D2249" s="197" t="s">
        <v>320</v>
      </c>
      <c r="E2249" s="199">
        <v>5.0</v>
      </c>
      <c r="F2249" s="200">
        <v>46127.54166666667</v>
      </c>
      <c r="G2249" s="197" t="s">
        <v>845</v>
      </c>
      <c r="H2249" s="197" t="s">
        <v>865</v>
      </c>
    </row>
    <row r="2250" ht="15.75" customHeight="1">
      <c r="A2250" s="197" t="s">
        <v>72</v>
      </c>
      <c r="B2250" s="197" t="s">
        <v>23</v>
      </c>
      <c r="C2250" s="198" t="s">
        <v>319</v>
      </c>
      <c r="D2250" s="197" t="s">
        <v>320</v>
      </c>
      <c r="E2250" s="199">
        <v>6.0</v>
      </c>
      <c r="F2250" s="200">
        <v>46134.58333333333</v>
      </c>
      <c r="G2250" s="197" t="s">
        <v>845</v>
      </c>
      <c r="H2250" s="197" t="s">
        <v>865</v>
      </c>
    </row>
    <row r="2251" ht="15.75" customHeight="1">
      <c r="A2251" s="197" t="s">
        <v>72</v>
      </c>
      <c r="B2251" s="197" t="s">
        <v>21</v>
      </c>
      <c r="C2251" s="198" t="s">
        <v>334</v>
      </c>
      <c r="D2251" s="197" t="s">
        <v>335</v>
      </c>
      <c r="E2251" s="199">
        <v>1.0</v>
      </c>
      <c r="F2251" s="200">
        <v>45670.54166666667</v>
      </c>
      <c r="G2251" s="197" t="s">
        <v>845</v>
      </c>
      <c r="H2251" s="197" t="s">
        <v>865</v>
      </c>
    </row>
    <row r="2252" ht="15.75" customHeight="1">
      <c r="A2252" s="197" t="s">
        <v>72</v>
      </c>
      <c r="B2252" s="197" t="s">
        <v>21</v>
      </c>
      <c r="C2252" s="198" t="s">
        <v>334</v>
      </c>
      <c r="D2252" s="197" t="s">
        <v>335</v>
      </c>
      <c r="E2252" s="199">
        <v>2.0</v>
      </c>
      <c r="F2252" s="200">
        <v>45679.375</v>
      </c>
      <c r="G2252" s="197" t="s">
        <v>845</v>
      </c>
      <c r="H2252" s="197" t="s">
        <v>865</v>
      </c>
    </row>
    <row r="2253" ht="15.75" customHeight="1">
      <c r="A2253" s="197" t="s">
        <v>72</v>
      </c>
      <c r="B2253" s="197" t="s">
        <v>21</v>
      </c>
      <c r="C2253" s="198" t="s">
        <v>334</v>
      </c>
      <c r="D2253" s="197" t="s">
        <v>335</v>
      </c>
      <c r="E2253" s="199">
        <v>3.0</v>
      </c>
      <c r="F2253" s="200">
        <v>45698.45833333333</v>
      </c>
      <c r="G2253" s="197" t="s">
        <v>845</v>
      </c>
      <c r="H2253" s="197" t="s">
        <v>865</v>
      </c>
    </row>
    <row r="2254" ht="15.75" customHeight="1">
      <c r="A2254" s="197" t="s">
        <v>72</v>
      </c>
      <c r="B2254" s="197" t="s">
        <v>21</v>
      </c>
      <c r="C2254" s="198" t="s">
        <v>334</v>
      </c>
      <c r="D2254" s="197" t="s">
        <v>335</v>
      </c>
      <c r="E2254" s="199">
        <v>4.0</v>
      </c>
      <c r="F2254" s="200">
        <v>45705.45833333333</v>
      </c>
      <c r="G2254" s="197" t="s">
        <v>845</v>
      </c>
      <c r="H2254" s="197" t="s">
        <v>865</v>
      </c>
    </row>
    <row r="2255" ht="15.75" customHeight="1">
      <c r="A2255" s="197" t="s">
        <v>72</v>
      </c>
      <c r="B2255" s="197" t="s">
        <v>21</v>
      </c>
      <c r="C2255" s="198" t="s">
        <v>334</v>
      </c>
      <c r="D2255" s="197" t="s">
        <v>335</v>
      </c>
      <c r="E2255" s="199">
        <v>5.0</v>
      </c>
      <c r="F2255" s="200">
        <v>45712.54166666667</v>
      </c>
      <c r="G2255" s="197" t="s">
        <v>845</v>
      </c>
      <c r="H2255" s="197" t="s">
        <v>865</v>
      </c>
    </row>
    <row r="2256" ht="15.75" customHeight="1">
      <c r="A2256" s="197" t="s">
        <v>72</v>
      </c>
      <c r="B2256" s="197" t="s">
        <v>21</v>
      </c>
      <c r="C2256" s="198" t="s">
        <v>334</v>
      </c>
      <c r="D2256" s="197" t="s">
        <v>335</v>
      </c>
      <c r="E2256" s="199">
        <v>6.0</v>
      </c>
      <c r="F2256" s="200">
        <v>45761.45833333333</v>
      </c>
      <c r="G2256" s="197" t="s">
        <v>845</v>
      </c>
      <c r="H2256" s="197" t="s">
        <v>865</v>
      </c>
    </row>
    <row r="2257" ht="15.75" customHeight="1">
      <c r="A2257" s="197" t="s">
        <v>72</v>
      </c>
      <c r="B2257" s="197" t="s">
        <v>21</v>
      </c>
      <c r="C2257" s="198" t="s">
        <v>334</v>
      </c>
      <c r="D2257" s="197" t="s">
        <v>335</v>
      </c>
      <c r="E2257" s="199">
        <v>7.0</v>
      </c>
      <c r="F2257" s="200">
        <v>45769.45833333333</v>
      </c>
      <c r="G2257" s="197" t="s">
        <v>845</v>
      </c>
      <c r="H2257" s="197" t="s">
        <v>865</v>
      </c>
    </row>
    <row r="2258" ht="15.75" customHeight="1">
      <c r="A2258" s="197" t="s">
        <v>72</v>
      </c>
      <c r="B2258" s="197" t="s">
        <v>21</v>
      </c>
      <c r="C2258" s="198" t="s">
        <v>334</v>
      </c>
      <c r="D2258" s="197" t="s">
        <v>335</v>
      </c>
      <c r="E2258" s="199">
        <v>8.0</v>
      </c>
      <c r="F2258" s="200">
        <v>45782.45833333333</v>
      </c>
      <c r="G2258" s="197" t="s">
        <v>845</v>
      </c>
      <c r="H2258" s="197" t="s">
        <v>865</v>
      </c>
    </row>
    <row r="2259" ht="15.75" customHeight="1">
      <c r="A2259" s="197" t="s">
        <v>72</v>
      </c>
      <c r="B2259" s="197" t="s">
        <v>21</v>
      </c>
      <c r="C2259" s="198" t="s">
        <v>334</v>
      </c>
      <c r="D2259" s="197" t="s">
        <v>335</v>
      </c>
      <c r="E2259" s="199">
        <v>9.0</v>
      </c>
      <c r="F2259" s="200">
        <v>45789.45833333333</v>
      </c>
      <c r="G2259" s="197" t="s">
        <v>843</v>
      </c>
      <c r="H2259" s="197" t="s">
        <v>865</v>
      </c>
    </row>
    <row r="2260" ht="15.75" customHeight="1">
      <c r="A2260" s="197" t="s">
        <v>72</v>
      </c>
      <c r="B2260" s="197" t="s">
        <v>21</v>
      </c>
      <c r="C2260" s="198" t="s">
        <v>334</v>
      </c>
      <c r="D2260" s="197" t="s">
        <v>335</v>
      </c>
      <c r="E2260" s="199">
        <v>10.0</v>
      </c>
      <c r="F2260" s="200">
        <v>45803.54166666667</v>
      </c>
      <c r="G2260" s="197" t="s">
        <v>845</v>
      </c>
      <c r="H2260" s="197" t="s">
        <v>865</v>
      </c>
    </row>
    <row r="2261" ht="15.75" customHeight="1">
      <c r="A2261" s="197" t="s">
        <v>72</v>
      </c>
      <c r="B2261" s="197" t="s">
        <v>21</v>
      </c>
      <c r="C2261" s="198" t="s">
        <v>334</v>
      </c>
      <c r="D2261" s="197" t="s">
        <v>335</v>
      </c>
      <c r="E2261" s="199">
        <v>11.0</v>
      </c>
      <c r="F2261" s="200">
        <v>45812.41666666667</v>
      </c>
      <c r="G2261" s="197" t="s">
        <v>843</v>
      </c>
      <c r="H2261" s="197" t="s">
        <v>865</v>
      </c>
    </row>
    <row r="2262" ht="15.75" customHeight="1">
      <c r="A2262" s="197" t="s">
        <v>72</v>
      </c>
      <c r="B2262" s="197" t="s">
        <v>21</v>
      </c>
      <c r="C2262" s="198" t="s">
        <v>334</v>
      </c>
      <c r="D2262" s="197" t="s">
        <v>335</v>
      </c>
      <c r="E2262" s="199">
        <v>12.0</v>
      </c>
      <c r="F2262" s="200">
        <v>45832.375</v>
      </c>
      <c r="G2262" s="197" t="s">
        <v>845</v>
      </c>
      <c r="H2262" s="197" t="s">
        <v>865</v>
      </c>
    </row>
    <row r="2263" ht="15.75" customHeight="1">
      <c r="A2263" s="197" t="s">
        <v>72</v>
      </c>
      <c r="B2263" s="197" t="s">
        <v>22</v>
      </c>
      <c r="C2263" s="198" t="s">
        <v>334</v>
      </c>
      <c r="D2263" s="197" t="s">
        <v>335</v>
      </c>
      <c r="E2263" s="199">
        <v>1.0</v>
      </c>
      <c r="F2263" s="200">
        <v>45866.54166666667</v>
      </c>
      <c r="G2263" s="197" t="s">
        <v>845</v>
      </c>
      <c r="H2263" s="197" t="s">
        <v>865</v>
      </c>
    </row>
    <row r="2264" ht="15.75" customHeight="1">
      <c r="A2264" s="197" t="s">
        <v>72</v>
      </c>
      <c r="B2264" s="197" t="s">
        <v>22</v>
      </c>
      <c r="C2264" s="198" t="s">
        <v>334</v>
      </c>
      <c r="D2264" s="197" t="s">
        <v>335</v>
      </c>
      <c r="E2264" s="199">
        <v>2.0</v>
      </c>
      <c r="F2264" s="200">
        <v>45910.45833333333</v>
      </c>
      <c r="G2264" s="197" t="s">
        <v>845</v>
      </c>
      <c r="H2264" s="197" t="s">
        <v>865</v>
      </c>
    </row>
    <row r="2265" ht="15.75" customHeight="1">
      <c r="A2265" s="197" t="s">
        <v>72</v>
      </c>
      <c r="B2265" s="197" t="s">
        <v>22</v>
      </c>
      <c r="C2265" s="198" t="s">
        <v>334</v>
      </c>
      <c r="D2265" s="197" t="s">
        <v>335</v>
      </c>
      <c r="E2265" s="199">
        <v>3.0</v>
      </c>
      <c r="F2265" s="200">
        <v>45915.45833333333</v>
      </c>
      <c r="G2265" s="197" t="s">
        <v>845</v>
      </c>
      <c r="H2265" s="197" t="s">
        <v>865</v>
      </c>
    </row>
    <row r="2266" ht="15.75" customHeight="1">
      <c r="A2266" s="197" t="s">
        <v>72</v>
      </c>
      <c r="B2266" s="197" t="s">
        <v>22</v>
      </c>
      <c r="C2266" s="198" t="s">
        <v>334</v>
      </c>
      <c r="D2266" s="197" t="s">
        <v>335</v>
      </c>
      <c r="E2266" s="199">
        <v>4.0</v>
      </c>
      <c r="F2266" s="200">
        <v>45922.45833333333</v>
      </c>
      <c r="G2266" s="197" t="s">
        <v>845</v>
      </c>
      <c r="H2266" s="197" t="s">
        <v>865</v>
      </c>
    </row>
    <row r="2267" ht="15.75" customHeight="1">
      <c r="A2267" s="197" t="s">
        <v>72</v>
      </c>
      <c r="B2267" s="197" t="s">
        <v>22</v>
      </c>
      <c r="C2267" s="198" t="s">
        <v>334</v>
      </c>
      <c r="D2267" s="197" t="s">
        <v>335</v>
      </c>
      <c r="E2267" s="199">
        <v>5.0</v>
      </c>
      <c r="F2267" s="200">
        <v>45929.45833333333</v>
      </c>
      <c r="G2267" s="197" t="s">
        <v>843</v>
      </c>
      <c r="H2267" s="197" t="s">
        <v>865</v>
      </c>
    </row>
    <row r="2268" ht="15.75" customHeight="1">
      <c r="A2268" s="197" t="s">
        <v>72</v>
      </c>
      <c r="B2268" s="197" t="s">
        <v>22</v>
      </c>
      <c r="C2268" s="198" t="s">
        <v>334</v>
      </c>
      <c r="D2268" s="197" t="s">
        <v>335</v>
      </c>
      <c r="E2268" s="199">
        <v>6.0</v>
      </c>
      <c r="F2268" s="200">
        <v>45943.41666666667</v>
      </c>
      <c r="G2268" s="197" t="s">
        <v>845</v>
      </c>
      <c r="H2268" s="197" t="s">
        <v>865</v>
      </c>
    </row>
    <row r="2269" ht="15.75" customHeight="1">
      <c r="A2269" s="197" t="s">
        <v>72</v>
      </c>
      <c r="B2269" s="197" t="s">
        <v>22</v>
      </c>
      <c r="C2269" s="198" t="s">
        <v>334</v>
      </c>
      <c r="D2269" s="197" t="s">
        <v>335</v>
      </c>
      <c r="E2269" s="199">
        <v>7.0</v>
      </c>
      <c r="F2269" s="200">
        <v>45944.58333333333</v>
      </c>
      <c r="G2269" s="197" t="s">
        <v>845</v>
      </c>
      <c r="H2269" s="197" t="s">
        <v>865</v>
      </c>
    </row>
    <row r="2270" ht="15.75" customHeight="1">
      <c r="A2270" s="197" t="s">
        <v>72</v>
      </c>
      <c r="B2270" s="197" t="s">
        <v>22</v>
      </c>
      <c r="C2270" s="198" t="s">
        <v>334</v>
      </c>
      <c r="D2270" s="197" t="s">
        <v>335</v>
      </c>
      <c r="E2270" s="199">
        <v>9.0</v>
      </c>
      <c r="F2270" s="200">
        <v>45957.41666666667</v>
      </c>
      <c r="G2270" s="197" t="s">
        <v>845</v>
      </c>
      <c r="H2270" s="197" t="s">
        <v>865</v>
      </c>
    </row>
    <row r="2271" ht="15.75" customHeight="1">
      <c r="A2271" s="197" t="s">
        <v>72</v>
      </c>
      <c r="B2271" s="197" t="s">
        <v>22</v>
      </c>
      <c r="C2271" s="198" t="s">
        <v>334</v>
      </c>
      <c r="D2271" s="197" t="s">
        <v>335</v>
      </c>
      <c r="E2271" s="199">
        <v>10.0</v>
      </c>
      <c r="F2271" s="200">
        <v>45964.58333333333</v>
      </c>
      <c r="G2271" s="197" t="s">
        <v>845</v>
      </c>
      <c r="H2271" s="197" t="s">
        <v>865</v>
      </c>
    </row>
    <row r="2272" ht="15.75" customHeight="1">
      <c r="A2272" s="197" t="s">
        <v>72</v>
      </c>
      <c r="B2272" s="197" t="s">
        <v>22</v>
      </c>
      <c r="C2272" s="198" t="s">
        <v>334</v>
      </c>
      <c r="D2272" s="197" t="s">
        <v>335</v>
      </c>
      <c r="E2272" s="199">
        <v>11.0</v>
      </c>
      <c r="F2272" s="200">
        <v>45971.54166666667</v>
      </c>
      <c r="G2272" s="197" t="s">
        <v>845</v>
      </c>
      <c r="H2272" s="197" t="s">
        <v>865</v>
      </c>
    </row>
    <row r="2273" ht="15.75" customHeight="1">
      <c r="A2273" s="197" t="s">
        <v>72</v>
      </c>
      <c r="B2273" s="197" t="s">
        <v>22</v>
      </c>
      <c r="C2273" s="198" t="s">
        <v>334</v>
      </c>
      <c r="D2273" s="197" t="s">
        <v>335</v>
      </c>
      <c r="E2273" s="199">
        <v>12.0</v>
      </c>
      <c r="F2273" s="200">
        <v>45985.58333333333</v>
      </c>
      <c r="G2273" s="197" t="s">
        <v>845</v>
      </c>
      <c r="H2273" s="197" t="s">
        <v>865</v>
      </c>
    </row>
    <row r="2274" ht="15.75" customHeight="1">
      <c r="A2274" s="197" t="s">
        <v>72</v>
      </c>
      <c r="B2274" s="197" t="s">
        <v>22</v>
      </c>
      <c r="C2274" s="198" t="s">
        <v>334</v>
      </c>
      <c r="D2274" s="197" t="s">
        <v>335</v>
      </c>
      <c r="E2274" s="199">
        <v>13.0</v>
      </c>
      <c r="F2274" s="200">
        <v>45992.54166666667</v>
      </c>
      <c r="G2274" s="197" t="s">
        <v>845</v>
      </c>
      <c r="H2274" s="197" t="s">
        <v>865</v>
      </c>
    </row>
    <row r="2275" ht="15.75" customHeight="1">
      <c r="A2275" s="197" t="s">
        <v>72</v>
      </c>
      <c r="B2275" s="197" t="s">
        <v>22</v>
      </c>
      <c r="C2275" s="198" t="s">
        <v>334</v>
      </c>
      <c r="D2275" s="197" t="s">
        <v>335</v>
      </c>
      <c r="E2275" s="199">
        <v>14.0</v>
      </c>
      <c r="F2275" s="200">
        <v>45999.41666666667</v>
      </c>
      <c r="G2275" s="197" t="s">
        <v>843</v>
      </c>
      <c r="H2275" s="197" t="s">
        <v>865</v>
      </c>
    </row>
    <row r="2276" ht="15.75" customHeight="1">
      <c r="A2276" s="197" t="s">
        <v>72</v>
      </c>
      <c r="B2276" s="197" t="s">
        <v>22</v>
      </c>
      <c r="C2276" s="198" t="s">
        <v>334</v>
      </c>
      <c r="D2276" s="197" t="s">
        <v>335</v>
      </c>
      <c r="E2276" s="199">
        <v>15.0</v>
      </c>
      <c r="F2276" s="200">
        <v>46006.45833333333</v>
      </c>
      <c r="G2276" s="197" t="s">
        <v>845</v>
      </c>
      <c r="H2276" s="197" t="s">
        <v>865</v>
      </c>
    </row>
    <row r="2277" ht="15.75" customHeight="1">
      <c r="A2277" s="197" t="s">
        <v>72</v>
      </c>
      <c r="B2277" s="197" t="s">
        <v>22</v>
      </c>
      <c r="C2277" s="198" t="s">
        <v>334</v>
      </c>
      <c r="D2277" s="197" t="s">
        <v>335</v>
      </c>
      <c r="E2277" s="199">
        <v>16.0</v>
      </c>
      <c r="F2277" s="200">
        <v>46048.41666666667</v>
      </c>
      <c r="G2277" s="197" t="s">
        <v>843</v>
      </c>
      <c r="H2277" s="197" t="s">
        <v>865</v>
      </c>
    </row>
    <row r="2278" ht="15.75" customHeight="1">
      <c r="A2278" s="197" t="s">
        <v>72</v>
      </c>
      <c r="B2278" s="197" t="s">
        <v>21</v>
      </c>
      <c r="C2278" s="198" t="s">
        <v>401</v>
      </c>
      <c r="D2278" s="197" t="s">
        <v>402</v>
      </c>
      <c r="E2278" s="199">
        <v>1.0</v>
      </c>
      <c r="F2278" s="200">
        <v>45670.54166666667</v>
      </c>
      <c r="G2278" s="197" t="s">
        <v>845</v>
      </c>
      <c r="H2278" s="197" t="s">
        <v>865</v>
      </c>
    </row>
    <row r="2279" ht="15.75" customHeight="1">
      <c r="A2279" s="197" t="s">
        <v>72</v>
      </c>
      <c r="B2279" s="197" t="s">
        <v>21</v>
      </c>
      <c r="C2279" s="198" t="s">
        <v>401</v>
      </c>
      <c r="D2279" s="197" t="s">
        <v>402</v>
      </c>
      <c r="E2279" s="199">
        <v>2.0</v>
      </c>
      <c r="F2279" s="200">
        <v>45679.375</v>
      </c>
      <c r="G2279" s="197" t="s">
        <v>845</v>
      </c>
      <c r="H2279" s="197" t="s">
        <v>865</v>
      </c>
    </row>
    <row r="2280" ht="15.75" customHeight="1">
      <c r="A2280" s="197" t="s">
        <v>72</v>
      </c>
      <c r="B2280" s="197" t="s">
        <v>21</v>
      </c>
      <c r="C2280" s="198" t="s">
        <v>401</v>
      </c>
      <c r="D2280" s="197" t="s">
        <v>402</v>
      </c>
      <c r="E2280" s="199">
        <v>3.0</v>
      </c>
      <c r="F2280" s="200">
        <v>45698.45833333333</v>
      </c>
      <c r="G2280" s="197" t="s">
        <v>843</v>
      </c>
      <c r="H2280" s="197" t="s">
        <v>865</v>
      </c>
    </row>
    <row r="2281" ht="15.75" customHeight="1">
      <c r="A2281" s="197" t="s">
        <v>72</v>
      </c>
      <c r="B2281" s="197" t="s">
        <v>21</v>
      </c>
      <c r="C2281" s="198" t="s">
        <v>401</v>
      </c>
      <c r="D2281" s="197" t="s">
        <v>402</v>
      </c>
      <c r="E2281" s="199">
        <v>4.0</v>
      </c>
      <c r="F2281" s="200">
        <v>45705.45833333333</v>
      </c>
      <c r="G2281" s="197" t="s">
        <v>845</v>
      </c>
      <c r="H2281" s="197" t="s">
        <v>865</v>
      </c>
    </row>
    <row r="2282" ht="15.75" customHeight="1">
      <c r="A2282" s="197" t="s">
        <v>72</v>
      </c>
      <c r="B2282" s="197" t="s">
        <v>21</v>
      </c>
      <c r="C2282" s="198" t="s">
        <v>401</v>
      </c>
      <c r="D2282" s="197" t="s">
        <v>402</v>
      </c>
      <c r="E2282" s="199">
        <v>5.0</v>
      </c>
      <c r="F2282" s="200">
        <v>45712.54166666667</v>
      </c>
      <c r="G2282" s="197" t="s">
        <v>845</v>
      </c>
      <c r="H2282" s="197" t="s">
        <v>865</v>
      </c>
    </row>
    <row r="2283" ht="15.75" customHeight="1">
      <c r="A2283" s="197" t="s">
        <v>72</v>
      </c>
      <c r="B2283" s="197" t="s">
        <v>21</v>
      </c>
      <c r="C2283" s="198" t="s">
        <v>401</v>
      </c>
      <c r="D2283" s="197" t="s">
        <v>402</v>
      </c>
      <c r="E2283" s="199">
        <v>6.0</v>
      </c>
      <c r="F2283" s="200">
        <v>45761.45833333333</v>
      </c>
      <c r="G2283" s="197" t="s">
        <v>845</v>
      </c>
      <c r="H2283" s="197" t="s">
        <v>865</v>
      </c>
    </row>
    <row r="2284" ht="15.75" customHeight="1">
      <c r="A2284" s="197" t="s">
        <v>72</v>
      </c>
      <c r="B2284" s="197" t="s">
        <v>21</v>
      </c>
      <c r="C2284" s="198" t="s">
        <v>401</v>
      </c>
      <c r="D2284" s="197" t="s">
        <v>402</v>
      </c>
      <c r="E2284" s="199">
        <v>7.0</v>
      </c>
      <c r="F2284" s="200">
        <v>45769.45833333333</v>
      </c>
      <c r="G2284" s="197" t="s">
        <v>845</v>
      </c>
      <c r="H2284" s="197" t="s">
        <v>865</v>
      </c>
    </row>
    <row r="2285" ht="15.75" customHeight="1">
      <c r="A2285" s="197" t="s">
        <v>72</v>
      </c>
      <c r="B2285" s="197" t="s">
        <v>21</v>
      </c>
      <c r="C2285" s="198" t="s">
        <v>401</v>
      </c>
      <c r="D2285" s="197" t="s">
        <v>402</v>
      </c>
      <c r="E2285" s="199">
        <v>8.0</v>
      </c>
      <c r="F2285" s="200">
        <v>45782.45833333333</v>
      </c>
      <c r="G2285" s="197" t="s">
        <v>845</v>
      </c>
      <c r="H2285" s="197" t="s">
        <v>865</v>
      </c>
    </row>
    <row r="2286" ht="15.75" customHeight="1">
      <c r="A2286" s="197" t="s">
        <v>72</v>
      </c>
      <c r="B2286" s="197" t="s">
        <v>21</v>
      </c>
      <c r="C2286" s="198" t="s">
        <v>401</v>
      </c>
      <c r="D2286" s="197" t="s">
        <v>402</v>
      </c>
      <c r="E2286" s="199">
        <v>9.0</v>
      </c>
      <c r="F2286" s="200">
        <v>45789.45833333333</v>
      </c>
      <c r="G2286" s="197" t="s">
        <v>845</v>
      </c>
      <c r="H2286" s="197" t="s">
        <v>865</v>
      </c>
    </row>
    <row r="2287" ht="15.75" customHeight="1">
      <c r="A2287" s="197" t="s">
        <v>72</v>
      </c>
      <c r="B2287" s="197" t="s">
        <v>21</v>
      </c>
      <c r="C2287" s="198" t="s">
        <v>401</v>
      </c>
      <c r="D2287" s="197" t="s">
        <v>402</v>
      </c>
      <c r="E2287" s="199">
        <v>10.0</v>
      </c>
      <c r="F2287" s="200">
        <v>45803.54166666667</v>
      </c>
      <c r="G2287" s="197" t="s">
        <v>845</v>
      </c>
      <c r="H2287" s="197" t="s">
        <v>865</v>
      </c>
    </row>
    <row r="2288" ht="15.75" customHeight="1">
      <c r="A2288" s="197" t="s">
        <v>72</v>
      </c>
      <c r="B2288" s="197" t="s">
        <v>21</v>
      </c>
      <c r="C2288" s="198" t="s">
        <v>401</v>
      </c>
      <c r="D2288" s="197" t="s">
        <v>402</v>
      </c>
      <c r="E2288" s="199">
        <v>11.0</v>
      </c>
      <c r="F2288" s="200">
        <v>45812.41666666667</v>
      </c>
      <c r="G2288" s="197" t="s">
        <v>845</v>
      </c>
      <c r="H2288" s="197" t="s">
        <v>865</v>
      </c>
    </row>
    <row r="2289" ht="15.75" customHeight="1">
      <c r="A2289" s="197" t="s">
        <v>72</v>
      </c>
      <c r="B2289" s="197" t="s">
        <v>21</v>
      </c>
      <c r="C2289" s="198" t="s">
        <v>401</v>
      </c>
      <c r="D2289" s="197" t="s">
        <v>402</v>
      </c>
      <c r="E2289" s="199">
        <v>12.0</v>
      </c>
      <c r="F2289" s="200">
        <v>45832.375</v>
      </c>
      <c r="G2289" s="197" t="s">
        <v>845</v>
      </c>
      <c r="H2289" s="197" t="s">
        <v>865</v>
      </c>
    </row>
    <row r="2290" ht="15.75" customHeight="1">
      <c r="A2290" s="197" t="s">
        <v>72</v>
      </c>
      <c r="B2290" s="197" t="s">
        <v>22</v>
      </c>
      <c r="C2290" s="198" t="s">
        <v>401</v>
      </c>
      <c r="D2290" s="197" t="s">
        <v>402</v>
      </c>
      <c r="E2290" s="199">
        <v>1.0</v>
      </c>
      <c r="F2290" s="200">
        <v>45866.54166666667</v>
      </c>
      <c r="G2290" s="197" t="s">
        <v>843</v>
      </c>
      <c r="H2290" s="197" t="s">
        <v>865</v>
      </c>
    </row>
    <row r="2291" ht="15.75" customHeight="1">
      <c r="A2291" s="197" t="s">
        <v>72</v>
      </c>
      <c r="B2291" s="197" t="s">
        <v>22</v>
      </c>
      <c r="C2291" s="198" t="s">
        <v>401</v>
      </c>
      <c r="D2291" s="197" t="s">
        <v>402</v>
      </c>
      <c r="E2291" s="199">
        <v>2.0</v>
      </c>
      <c r="F2291" s="200">
        <v>45910.45833333333</v>
      </c>
      <c r="G2291" s="197" t="s">
        <v>845</v>
      </c>
      <c r="H2291" s="197" t="s">
        <v>865</v>
      </c>
    </row>
    <row r="2292" ht="15.75" customHeight="1">
      <c r="A2292" s="197" t="s">
        <v>72</v>
      </c>
      <c r="B2292" s="197" t="s">
        <v>22</v>
      </c>
      <c r="C2292" s="198" t="s">
        <v>401</v>
      </c>
      <c r="D2292" s="197" t="s">
        <v>402</v>
      </c>
      <c r="E2292" s="199">
        <v>3.0</v>
      </c>
      <c r="F2292" s="200">
        <v>45915.45833333333</v>
      </c>
      <c r="G2292" s="197" t="s">
        <v>845</v>
      </c>
      <c r="H2292" s="197" t="s">
        <v>865</v>
      </c>
    </row>
    <row r="2293" ht="15.75" customHeight="1">
      <c r="A2293" s="197" t="s">
        <v>72</v>
      </c>
      <c r="B2293" s="197" t="s">
        <v>22</v>
      </c>
      <c r="C2293" s="198" t="s">
        <v>401</v>
      </c>
      <c r="D2293" s="197" t="s">
        <v>402</v>
      </c>
      <c r="E2293" s="199">
        <v>4.0</v>
      </c>
      <c r="F2293" s="200">
        <v>45922.45833333333</v>
      </c>
      <c r="G2293" s="197" t="s">
        <v>845</v>
      </c>
      <c r="H2293" s="197" t="s">
        <v>865</v>
      </c>
    </row>
    <row r="2294" ht="15.75" customHeight="1">
      <c r="A2294" s="197" t="s">
        <v>72</v>
      </c>
      <c r="B2294" s="197" t="s">
        <v>22</v>
      </c>
      <c r="C2294" s="198" t="s">
        <v>401</v>
      </c>
      <c r="D2294" s="197" t="s">
        <v>402</v>
      </c>
      <c r="E2294" s="199">
        <v>5.0</v>
      </c>
      <c r="F2294" s="200">
        <v>45929.45833333333</v>
      </c>
      <c r="G2294" s="197" t="s">
        <v>845</v>
      </c>
      <c r="H2294" s="197" t="s">
        <v>865</v>
      </c>
    </row>
    <row r="2295" ht="15.75" customHeight="1">
      <c r="A2295" s="197" t="s">
        <v>72</v>
      </c>
      <c r="B2295" s="197" t="s">
        <v>22</v>
      </c>
      <c r="C2295" s="198" t="s">
        <v>401</v>
      </c>
      <c r="D2295" s="197" t="s">
        <v>402</v>
      </c>
      <c r="E2295" s="199">
        <v>6.0</v>
      </c>
      <c r="F2295" s="200">
        <v>45943.41666666667</v>
      </c>
      <c r="G2295" s="197" t="s">
        <v>843</v>
      </c>
      <c r="H2295" s="197" t="s">
        <v>865</v>
      </c>
    </row>
    <row r="2296" ht="15.75" customHeight="1">
      <c r="A2296" s="197" t="s">
        <v>72</v>
      </c>
      <c r="B2296" s="197" t="s">
        <v>22</v>
      </c>
      <c r="C2296" s="198" t="s">
        <v>401</v>
      </c>
      <c r="D2296" s="197" t="s">
        <v>402</v>
      </c>
      <c r="E2296" s="199">
        <v>7.0</v>
      </c>
      <c r="F2296" s="200">
        <v>45944.58333333333</v>
      </c>
      <c r="G2296" s="197" t="s">
        <v>845</v>
      </c>
      <c r="H2296" s="197" t="s">
        <v>865</v>
      </c>
    </row>
    <row r="2297" ht="15.75" customHeight="1">
      <c r="A2297" s="197" t="s">
        <v>72</v>
      </c>
      <c r="B2297" s="197" t="s">
        <v>22</v>
      </c>
      <c r="C2297" s="198" t="s">
        <v>401</v>
      </c>
      <c r="D2297" s="197" t="s">
        <v>402</v>
      </c>
      <c r="E2297" s="199">
        <v>9.0</v>
      </c>
      <c r="F2297" s="200">
        <v>45957.41666666667</v>
      </c>
      <c r="G2297" s="197" t="s">
        <v>845</v>
      </c>
      <c r="H2297" s="197" t="s">
        <v>865</v>
      </c>
    </row>
    <row r="2298" ht="15.75" customHeight="1">
      <c r="A2298" s="197" t="s">
        <v>72</v>
      </c>
      <c r="B2298" s="197" t="s">
        <v>22</v>
      </c>
      <c r="C2298" s="198" t="s">
        <v>401</v>
      </c>
      <c r="D2298" s="197" t="s">
        <v>402</v>
      </c>
      <c r="E2298" s="199">
        <v>10.0</v>
      </c>
      <c r="F2298" s="200">
        <v>45964.58333333333</v>
      </c>
      <c r="G2298" s="197" t="s">
        <v>845</v>
      </c>
      <c r="H2298" s="197" t="s">
        <v>865</v>
      </c>
    </row>
    <row r="2299" ht="15.75" customHeight="1">
      <c r="A2299" s="197" t="s">
        <v>72</v>
      </c>
      <c r="B2299" s="197" t="s">
        <v>22</v>
      </c>
      <c r="C2299" s="198" t="s">
        <v>401</v>
      </c>
      <c r="D2299" s="197" t="s">
        <v>402</v>
      </c>
      <c r="E2299" s="199">
        <v>11.0</v>
      </c>
      <c r="F2299" s="200">
        <v>45971.54166666667</v>
      </c>
      <c r="G2299" s="197" t="s">
        <v>845</v>
      </c>
      <c r="H2299" s="197" t="s">
        <v>865</v>
      </c>
    </row>
    <row r="2300" ht="15.75" customHeight="1">
      <c r="A2300" s="197" t="s">
        <v>72</v>
      </c>
      <c r="B2300" s="197" t="s">
        <v>22</v>
      </c>
      <c r="C2300" s="198" t="s">
        <v>401</v>
      </c>
      <c r="D2300" s="197" t="s">
        <v>402</v>
      </c>
      <c r="E2300" s="199">
        <v>12.0</v>
      </c>
      <c r="F2300" s="200">
        <v>45985.58333333333</v>
      </c>
      <c r="G2300" s="197" t="s">
        <v>845</v>
      </c>
      <c r="H2300" s="197" t="s">
        <v>865</v>
      </c>
    </row>
    <row r="2301" ht="15.75" customHeight="1">
      <c r="A2301" s="197" t="s">
        <v>72</v>
      </c>
      <c r="B2301" s="197" t="s">
        <v>22</v>
      </c>
      <c r="C2301" s="198" t="s">
        <v>401</v>
      </c>
      <c r="D2301" s="197" t="s">
        <v>402</v>
      </c>
      <c r="E2301" s="199">
        <v>13.0</v>
      </c>
      <c r="F2301" s="200">
        <v>45992.54166666667</v>
      </c>
      <c r="G2301" s="197" t="s">
        <v>845</v>
      </c>
      <c r="H2301" s="197" t="s">
        <v>865</v>
      </c>
    </row>
    <row r="2302" ht="15.75" customHeight="1">
      <c r="A2302" s="197" t="s">
        <v>72</v>
      </c>
      <c r="B2302" s="197" t="s">
        <v>22</v>
      </c>
      <c r="C2302" s="198" t="s">
        <v>401</v>
      </c>
      <c r="D2302" s="197" t="s">
        <v>402</v>
      </c>
      <c r="E2302" s="199">
        <v>14.0</v>
      </c>
      <c r="F2302" s="200">
        <v>45999.41666666667</v>
      </c>
      <c r="G2302" s="197" t="s">
        <v>845</v>
      </c>
      <c r="H2302" s="197" t="s">
        <v>865</v>
      </c>
    </row>
    <row r="2303" ht="15.75" customHeight="1">
      <c r="A2303" s="197" t="s">
        <v>72</v>
      </c>
      <c r="B2303" s="197" t="s">
        <v>22</v>
      </c>
      <c r="C2303" s="198" t="s">
        <v>401</v>
      </c>
      <c r="D2303" s="197" t="s">
        <v>402</v>
      </c>
      <c r="E2303" s="199">
        <v>15.0</v>
      </c>
      <c r="F2303" s="200">
        <v>46006.45833333333</v>
      </c>
      <c r="G2303" s="197" t="s">
        <v>845</v>
      </c>
      <c r="H2303" s="197" t="s">
        <v>865</v>
      </c>
    </row>
    <row r="2304" ht="15.75" customHeight="1">
      <c r="A2304" s="197" t="s">
        <v>72</v>
      </c>
      <c r="B2304" s="197" t="s">
        <v>22</v>
      </c>
      <c r="C2304" s="198" t="s">
        <v>401</v>
      </c>
      <c r="D2304" s="197" t="s">
        <v>402</v>
      </c>
      <c r="E2304" s="199">
        <v>16.0</v>
      </c>
      <c r="F2304" s="200">
        <v>46048.41666666667</v>
      </c>
      <c r="G2304" s="197" t="s">
        <v>845</v>
      </c>
      <c r="H2304" s="197" t="s">
        <v>865</v>
      </c>
    </row>
    <row r="2305" ht="15.75" customHeight="1">
      <c r="A2305" s="197" t="s">
        <v>72</v>
      </c>
      <c r="B2305" s="197" t="s">
        <v>23</v>
      </c>
      <c r="C2305" s="198" t="s">
        <v>401</v>
      </c>
      <c r="D2305" s="197" t="s">
        <v>402</v>
      </c>
      <c r="E2305" s="199">
        <v>1.0</v>
      </c>
      <c r="F2305" s="200">
        <v>46084.58333333333</v>
      </c>
      <c r="G2305" s="197" t="s">
        <v>845</v>
      </c>
      <c r="H2305" s="197" t="s">
        <v>865</v>
      </c>
    </row>
    <row r="2306" ht="15.75" customHeight="1">
      <c r="A2306" s="197" t="s">
        <v>72</v>
      </c>
      <c r="B2306" s="197" t="s">
        <v>23</v>
      </c>
      <c r="C2306" s="198" t="s">
        <v>401</v>
      </c>
      <c r="D2306" s="197" t="s">
        <v>402</v>
      </c>
      <c r="E2306" s="199">
        <v>2.0</v>
      </c>
      <c r="F2306" s="200">
        <v>46099.45833333333</v>
      </c>
      <c r="G2306" s="197" t="s">
        <v>845</v>
      </c>
      <c r="H2306" s="197" t="s">
        <v>865</v>
      </c>
    </row>
    <row r="2307" ht="15.75" customHeight="1">
      <c r="A2307" s="197" t="s">
        <v>72</v>
      </c>
      <c r="B2307" s="197" t="s">
        <v>23</v>
      </c>
      <c r="C2307" s="198" t="s">
        <v>401</v>
      </c>
      <c r="D2307" s="197" t="s">
        <v>402</v>
      </c>
      <c r="E2307" s="199">
        <v>3.0</v>
      </c>
      <c r="F2307" s="200">
        <v>46106.45833333333</v>
      </c>
      <c r="G2307" s="197" t="s">
        <v>843</v>
      </c>
      <c r="H2307" s="197" t="s">
        <v>865</v>
      </c>
    </row>
    <row r="2308" ht="15.75" customHeight="1">
      <c r="A2308" s="197" t="s">
        <v>72</v>
      </c>
      <c r="B2308" s="197" t="s">
        <v>23</v>
      </c>
      <c r="C2308" s="198" t="s">
        <v>401</v>
      </c>
      <c r="D2308" s="197" t="s">
        <v>402</v>
      </c>
      <c r="E2308" s="199">
        <v>4.0</v>
      </c>
      <c r="F2308" s="200">
        <v>46119.45833333333</v>
      </c>
      <c r="G2308" s="197" t="s">
        <v>845</v>
      </c>
      <c r="H2308" s="197" t="s">
        <v>865</v>
      </c>
    </row>
    <row r="2309" ht="15.75" customHeight="1">
      <c r="A2309" s="197" t="s">
        <v>72</v>
      </c>
      <c r="B2309" s="197" t="s">
        <v>23</v>
      </c>
      <c r="C2309" s="198" t="s">
        <v>401</v>
      </c>
      <c r="D2309" s="197" t="s">
        <v>402</v>
      </c>
      <c r="E2309" s="199">
        <v>5.0</v>
      </c>
      <c r="F2309" s="200">
        <v>46127.54166666667</v>
      </c>
      <c r="G2309" s="197" t="s">
        <v>845</v>
      </c>
      <c r="H2309" s="197" t="s">
        <v>865</v>
      </c>
    </row>
    <row r="2310" ht="15.75" customHeight="1">
      <c r="A2310" s="197" t="s">
        <v>72</v>
      </c>
      <c r="B2310" s="197" t="s">
        <v>23</v>
      </c>
      <c r="C2310" s="198" t="s">
        <v>401</v>
      </c>
      <c r="D2310" s="197" t="s">
        <v>402</v>
      </c>
      <c r="E2310" s="199">
        <v>6.0</v>
      </c>
      <c r="F2310" s="200">
        <v>46134.58333333333</v>
      </c>
      <c r="G2310" s="197" t="s">
        <v>845</v>
      </c>
      <c r="H2310" s="197" t="s">
        <v>865</v>
      </c>
    </row>
    <row r="2311" ht="15.75" customHeight="1">
      <c r="A2311" s="197" t="s">
        <v>72</v>
      </c>
      <c r="B2311" s="197" t="s">
        <v>23</v>
      </c>
      <c r="C2311" s="198" t="s">
        <v>474</v>
      </c>
      <c r="D2311" s="197" t="s">
        <v>475</v>
      </c>
      <c r="E2311" s="199">
        <v>2.0</v>
      </c>
      <c r="F2311" s="200">
        <v>46099.45833333333</v>
      </c>
      <c r="G2311" s="197" t="s">
        <v>845</v>
      </c>
      <c r="H2311" s="197" t="s">
        <v>865</v>
      </c>
    </row>
    <row r="2312" ht="15.75" customHeight="1">
      <c r="A2312" s="197" t="s">
        <v>72</v>
      </c>
      <c r="B2312" s="197" t="s">
        <v>23</v>
      </c>
      <c r="C2312" s="198" t="s">
        <v>474</v>
      </c>
      <c r="D2312" s="197" t="s">
        <v>475</v>
      </c>
      <c r="E2312" s="199">
        <v>3.0</v>
      </c>
      <c r="F2312" s="200">
        <v>46106.45833333333</v>
      </c>
      <c r="G2312" s="197" t="s">
        <v>845</v>
      </c>
      <c r="H2312" s="197" t="s">
        <v>865</v>
      </c>
    </row>
    <row r="2313" ht="15.75" customHeight="1">
      <c r="A2313" s="197" t="s">
        <v>72</v>
      </c>
      <c r="B2313" s="197" t="s">
        <v>23</v>
      </c>
      <c r="C2313" s="198" t="s">
        <v>474</v>
      </c>
      <c r="D2313" s="197" t="s">
        <v>475</v>
      </c>
      <c r="E2313" s="199">
        <v>4.0</v>
      </c>
      <c r="F2313" s="200">
        <v>46119.45833333333</v>
      </c>
      <c r="G2313" s="197" t="s">
        <v>843</v>
      </c>
      <c r="H2313" s="197" t="s">
        <v>865</v>
      </c>
    </row>
    <row r="2314" ht="15.75" customHeight="1">
      <c r="A2314" s="197" t="s">
        <v>72</v>
      </c>
      <c r="B2314" s="197" t="s">
        <v>23</v>
      </c>
      <c r="C2314" s="198" t="s">
        <v>474</v>
      </c>
      <c r="D2314" s="197" t="s">
        <v>475</v>
      </c>
      <c r="E2314" s="199">
        <v>5.0</v>
      </c>
      <c r="F2314" s="200">
        <v>46127.54166666667</v>
      </c>
      <c r="G2314" s="197" t="s">
        <v>845</v>
      </c>
      <c r="H2314" s="197" t="s">
        <v>865</v>
      </c>
    </row>
    <row r="2315" ht="15.75" customHeight="1">
      <c r="A2315" s="197" t="s">
        <v>72</v>
      </c>
      <c r="B2315" s="197" t="s">
        <v>23</v>
      </c>
      <c r="C2315" s="198" t="s">
        <v>474</v>
      </c>
      <c r="D2315" s="197" t="s">
        <v>475</v>
      </c>
      <c r="E2315" s="199">
        <v>6.0</v>
      </c>
      <c r="F2315" s="200">
        <v>46134.58333333333</v>
      </c>
      <c r="G2315" s="197" t="s">
        <v>845</v>
      </c>
      <c r="H2315" s="197" t="s">
        <v>865</v>
      </c>
    </row>
    <row r="2316" ht="15.75" customHeight="1">
      <c r="A2316" s="197" t="s">
        <v>72</v>
      </c>
      <c r="B2316" s="197" t="s">
        <v>21</v>
      </c>
      <c r="C2316" s="198" t="s">
        <v>572</v>
      </c>
      <c r="D2316" s="197" t="s">
        <v>573</v>
      </c>
      <c r="E2316" s="199">
        <v>1.0</v>
      </c>
      <c r="F2316" s="200">
        <v>45670.54166666667</v>
      </c>
      <c r="G2316" s="197" t="s">
        <v>845</v>
      </c>
      <c r="H2316" s="197" t="s">
        <v>865</v>
      </c>
    </row>
    <row r="2317" ht="15.75" customHeight="1">
      <c r="A2317" s="197" t="s">
        <v>72</v>
      </c>
      <c r="B2317" s="197" t="s">
        <v>21</v>
      </c>
      <c r="C2317" s="198" t="s">
        <v>572</v>
      </c>
      <c r="D2317" s="197" t="s">
        <v>573</v>
      </c>
      <c r="E2317" s="199">
        <v>2.0</v>
      </c>
      <c r="F2317" s="200">
        <v>45679.375</v>
      </c>
      <c r="G2317" s="197" t="s">
        <v>845</v>
      </c>
      <c r="H2317" s="197" t="s">
        <v>865</v>
      </c>
    </row>
    <row r="2318" ht="15.75" customHeight="1">
      <c r="A2318" s="197" t="s">
        <v>72</v>
      </c>
      <c r="B2318" s="197" t="s">
        <v>21</v>
      </c>
      <c r="C2318" s="198" t="s">
        <v>572</v>
      </c>
      <c r="D2318" s="197" t="s">
        <v>573</v>
      </c>
      <c r="E2318" s="199">
        <v>3.0</v>
      </c>
      <c r="F2318" s="200">
        <v>45698.45833333333</v>
      </c>
      <c r="G2318" s="197" t="s">
        <v>845</v>
      </c>
      <c r="H2318" s="197" t="s">
        <v>865</v>
      </c>
    </row>
    <row r="2319" ht="15.75" customHeight="1">
      <c r="A2319" s="197" t="s">
        <v>72</v>
      </c>
      <c r="B2319" s="197" t="s">
        <v>21</v>
      </c>
      <c r="C2319" s="198" t="s">
        <v>572</v>
      </c>
      <c r="D2319" s="197" t="s">
        <v>573</v>
      </c>
      <c r="E2319" s="199">
        <v>4.0</v>
      </c>
      <c r="F2319" s="200">
        <v>45705.45833333333</v>
      </c>
      <c r="G2319" s="197" t="s">
        <v>845</v>
      </c>
      <c r="H2319" s="197" t="s">
        <v>865</v>
      </c>
    </row>
    <row r="2320" ht="15.75" customHeight="1">
      <c r="A2320" s="197" t="s">
        <v>72</v>
      </c>
      <c r="B2320" s="197" t="s">
        <v>21</v>
      </c>
      <c r="C2320" s="198" t="s">
        <v>572</v>
      </c>
      <c r="D2320" s="197" t="s">
        <v>573</v>
      </c>
      <c r="E2320" s="199">
        <v>5.0</v>
      </c>
      <c r="F2320" s="200">
        <v>45712.54166666667</v>
      </c>
      <c r="G2320" s="197" t="s">
        <v>845</v>
      </c>
      <c r="H2320" s="197" t="s">
        <v>865</v>
      </c>
    </row>
    <row r="2321" ht="15.75" customHeight="1">
      <c r="A2321" s="197" t="s">
        <v>72</v>
      </c>
      <c r="B2321" s="197" t="s">
        <v>21</v>
      </c>
      <c r="C2321" s="198" t="s">
        <v>572</v>
      </c>
      <c r="D2321" s="197" t="s">
        <v>573</v>
      </c>
      <c r="E2321" s="199">
        <v>6.0</v>
      </c>
      <c r="F2321" s="200">
        <v>45761.45833333333</v>
      </c>
      <c r="G2321" s="197" t="s">
        <v>845</v>
      </c>
      <c r="H2321" s="197" t="s">
        <v>865</v>
      </c>
    </row>
    <row r="2322" ht="15.75" customHeight="1">
      <c r="A2322" s="197" t="s">
        <v>72</v>
      </c>
      <c r="B2322" s="197" t="s">
        <v>21</v>
      </c>
      <c r="C2322" s="198" t="s">
        <v>572</v>
      </c>
      <c r="D2322" s="197" t="s">
        <v>573</v>
      </c>
      <c r="E2322" s="199">
        <v>7.0</v>
      </c>
      <c r="F2322" s="200">
        <v>45769.45833333333</v>
      </c>
      <c r="G2322" s="197" t="s">
        <v>845</v>
      </c>
      <c r="H2322" s="197" t="s">
        <v>865</v>
      </c>
    </row>
    <row r="2323" ht="15.75" customHeight="1">
      <c r="A2323" s="197" t="s">
        <v>72</v>
      </c>
      <c r="B2323" s="197" t="s">
        <v>21</v>
      </c>
      <c r="C2323" s="198" t="s">
        <v>572</v>
      </c>
      <c r="D2323" s="197" t="s">
        <v>573</v>
      </c>
      <c r="E2323" s="199">
        <v>8.0</v>
      </c>
      <c r="F2323" s="200">
        <v>45782.45833333333</v>
      </c>
      <c r="G2323" s="197" t="s">
        <v>845</v>
      </c>
      <c r="H2323" s="197" t="s">
        <v>865</v>
      </c>
    </row>
    <row r="2324" ht="15.75" customHeight="1">
      <c r="A2324" s="197" t="s">
        <v>72</v>
      </c>
      <c r="B2324" s="197" t="s">
        <v>21</v>
      </c>
      <c r="C2324" s="198" t="s">
        <v>572</v>
      </c>
      <c r="D2324" s="197" t="s">
        <v>573</v>
      </c>
      <c r="E2324" s="199">
        <v>9.0</v>
      </c>
      <c r="F2324" s="200">
        <v>45789.45833333333</v>
      </c>
      <c r="G2324" s="197" t="s">
        <v>845</v>
      </c>
      <c r="H2324" s="197" t="s">
        <v>865</v>
      </c>
    </row>
    <row r="2325" ht="15.75" customHeight="1">
      <c r="A2325" s="197" t="s">
        <v>72</v>
      </c>
      <c r="B2325" s="197" t="s">
        <v>21</v>
      </c>
      <c r="C2325" s="198" t="s">
        <v>572</v>
      </c>
      <c r="D2325" s="197" t="s">
        <v>573</v>
      </c>
      <c r="E2325" s="199">
        <v>10.0</v>
      </c>
      <c r="F2325" s="200">
        <v>45803.54166666667</v>
      </c>
      <c r="G2325" s="197" t="s">
        <v>845</v>
      </c>
      <c r="H2325" s="197" t="s">
        <v>865</v>
      </c>
    </row>
    <row r="2326" ht="15.75" customHeight="1">
      <c r="A2326" s="197" t="s">
        <v>72</v>
      </c>
      <c r="B2326" s="197" t="s">
        <v>21</v>
      </c>
      <c r="C2326" s="198" t="s">
        <v>572</v>
      </c>
      <c r="D2326" s="197" t="s">
        <v>573</v>
      </c>
      <c r="E2326" s="199">
        <v>11.0</v>
      </c>
      <c r="F2326" s="200">
        <v>45812.41666666667</v>
      </c>
      <c r="G2326" s="197" t="s">
        <v>845</v>
      </c>
      <c r="H2326" s="197" t="s">
        <v>865</v>
      </c>
    </row>
    <row r="2327" ht="15.75" customHeight="1">
      <c r="A2327" s="197" t="s">
        <v>72</v>
      </c>
      <c r="B2327" s="197" t="s">
        <v>21</v>
      </c>
      <c r="C2327" s="198" t="s">
        <v>572</v>
      </c>
      <c r="D2327" s="197" t="s">
        <v>573</v>
      </c>
      <c r="E2327" s="199">
        <v>12.0</v>
      </c>
      <c r="F2327" s="200">
        <v>45832.375</v>
      </c>
      <c r="G2327" s="197" t="s">
        <v>845</v>
      </c>
      <c r="H2327" s="197" t="s">
        <v>865</v>
      </c>
    </row>
    <row r="2328" ht="15.75" customHeight="1">
      <c r="A2328" s="197" t="s">
        <v>72</v>
      </c>
      <c r="B2328" s="197" t="s">
        <v>22</v>
      </c>
      <c r="C2328" s="198" t="s">
        <v>572</v>
      </c>
      <c r="D2328" s="197" t="s">
        <v>573</v>
      </c>
      <c r="E2328" s="199">
        <v>1.0</v>
      </c>
      <c r="F2328" s="200">
        <v>45866.54166666667</v>
      </c>
      <c r="G2328" s="197" t="s">
        <v>845</v>
      </c>
      <c r="H2328" s="197" t="s">
        <v>865</v>
      </c>
    </row>
    <row r="2329" ht="15.75" customHeight="1">
      <c r="A2329" s="197" t="s">
        <v>72</v>
      </c>
      <c r="B2329" s="197" t="s">
        <v>22</v>
      </c>
      <c r="C2329" s="198" t="s">
        <v>572</v>
      </c>
      <c r="D2329" s="197" t="s">
        <v>573</v>
      </c>
      <c r="E2329" s="199">
        <v>2.0</v>
      </c>
      <c r="F2329" s="200">
        <v>45910.45833333333</v>
      </c>
      <c r="G2329" s="197" t="s">
        <v>845</v>
      </c>
      <c r="H2329" s="197" t="s">
        <v>865</v>
      </c>
    </row>
    <row r="2330" ht="15.75" customHeight="1">
      <c r="A2330" s="197" t="s">
        <v>72</v>
      </c>
      <c r="B2330" s="197" t="s">
        <v>22</v>
      </c>
      <c r="C2330" s="198" t="s">
        <v>572</v>
      </c>
      <c r="D2330" s="197" t="s">
        <v>573</v>
      </c>
      <c r="E2330" s="199">
        <v>3.0</v>
      </c>
      <c r="F2330" s="200">
        <v>45915.45833333333</v>
      </c>
      <c r="G2330" s="197" t="s">
        <v>845</v>
      </c>
      <c r="H2330" s="197" t="s">
        <v>865</v>
      </c>
    </row>
    <row r="2331" ht="15.75" customHeight="1">
      <c r="A2331" s="197" t="s">
        <v>72</v>
      </c>
      <c r="B2331" s="197" t="s">
        <v>22</v>
      </c>
      <c r="C2331" s="198" t="s">
        <v>572</v>
      </c>
      <c r="D2331" s="197" t="s">
        <v>573</v>
      </c>
      <c r="E2331" s="199">
        <v>4.0</v>
      </c>
      <c r="F2331" s="200">
        <v>45922.45833333333</v>
      </c>
      <c r="G2331" s="197" t="s">
        <v>845</v>
      </c>
      <c r="H2331" s="197" t="s">
        <v>865</v>
      </c>
    </row>
    <row r="2332" ht="15.75" customHeight="1">
      <c r="A2332" s="197" t="s">
        <v>72</v>
      </c>
      <c r="B2332" s="197" t="s">
        <v>22</v>
      </c>
      <c r="C2332" s="198" t="s">
        <v>572</v>
      </c>
      <c r="D2332" s="197" t="s">
        <v>573</v>
      </c>
      <c r="E2332" s="199">
        <v>5.0</v>
      </c>
      <c r="F2332" s="200">
        <v>45929.45833333333</v>
      </c>
      <c r="G2332" s="197" t="s">
        <v>845</v>
      </c>
      <c r="H2332" s="197" t="s">
        <v>865</v>
      </c>
    </row>
    <row r="2333" ht="15.75" customHeight="1">
      <c r="A2333" s="197" t="s">
        <v>72</v>
      </c>
      <c r="B2333" s="197" t="s">
        <v>22</v>
      </c>
      <c r="C2333" s="198" t="s">
        <v>572</v>
      </c>
      <c r="D2333" s="197" t="s">
        <v>573</v>
      </c>
      <c r="E2333" s="199">
        <v>6.0</v>
      </c>
      <c r="F2333" s="200">
        <v>45943.41666666667</v>
      </c>
      <c r="G2333" s="197" t="s">
        <v>845</v>
      </c>
      <c r="H2333" s="197" t="s">
        <v>865</v>
      </c>
    </row>
    <row r="2334" ht="15.75" customHeight="1">
      <c r="A2334" s="197" t="s">
        <v>72</v>
      </c>
      <c r="B2334" s="197" t="s">
        <v>22</v>
      </c>
      <c r="C2334" s="198" t="s">
        <v>572</v>
      </c>
      <c r="D2334" s="197" t="s">
        <v>573</v>
      </c>
      <c r="E2334" s="199">
        <v>7.0</v>
      </c>
      <c r="F2334" s="200">
        <v>45944.58333333333</v>
      </c>
      <c r="G2334" s="197" t="s">
        <v>845</v>
      </c>
      <c r="H2334" s="197" t="s">
        <v>865</v>
      </c>
    </row>
    <row r="2335" ht="15.75" customHeight="1">
      <c r="A2335" s="197" t="s">
        <v>72</v>
      </c>
      <c r="B2335" s="197" t="s">
        <v>22</v>
      </c>
      <c r="C2335" s="198" t="s">
        <v>572</v>
      </c>
      <c r="D2335" s="197" t="s">
        <v>573</v>
      </c>
      <c r="E2335" s="199">
        <v>9.0</v>
      </c>
      <c r="F2335" s="200">
        <v>45957.41666666667</v>
      </c>
      <c r="G2335" s="197" t="s">
        <v>845</v>
      </c>
      <c r="H2335" s="197" t="s">
        <v>865</v>
      </c>
    </row>
    <row r="2336" ht="15.75" customHeight="1">
      <c r="A2336" s="197" t="s">
        <v>72</v>
      </c>
      <c r="B2336" s="197" t="s">
        <v>22</v>
      </c>
      <c r="C2336" s="198" t="s">
        <v>572</v>
      </c>
      <c r="D2336" s="197" t="s">
        <v>573</v>
      </c>
      <c r="E2336" s="199">
        <v>10.0</v>
      </c>
      <c r="F2336" s="200">
        <v>45964.58333333333</v>
      </c>
      <c r="G2336" s="197" t="s">
        <v>845</v>
      </c>
      <c r="H2336" s="197" t="s">
        <v>865</v>
      </c>
    </row>
    <row r="2337" ht="15.75" customHeight="1">
      <c r="A2337" s="197" t="s">
        <v>72</v>
      </c>
      <c r="B2337" s="197" t="s">
        <v>22</v>
      </c>
      <c r="C2337" s="198" t="s">
        <v>572</v>
      </c>
      <c r="D2337" s="197" t="s">
        <v>573</v>
      </c>
      <c r="E2337" s="199">
        <v>11.0</v>
      </c>
      <c r="F2337" s="200">
        <v>45971.54166666667</v>
      </c>
      <c r="G2337" s="197" t="s">
        <v>845</v>
      </c>
      <c r="H2337" s="197" t="s">
        <v>865</v>
      </c>
    </row>
    <row r="2338" ht="15.75" customHeight="1">
      <c r="A2338" s="197" t="s">
        <v>72</v>
      </c>
      <c r="B2338" s="197" t="s">
        <v>22</v>
      </c>
      <c r="C2338" s="198" t="s">
        <v>572</v>
      </c>
      <c r="D2338" s="197" t="s">
        <v>573</v>
      </c>
      <c r="E2338" s="199">
        <v>12.0</v>
      </c>
      <c r="F2338" s="200">
        <v>45985.58333333333</v>
      </c>
      <c r="G2338" s="197" t="s">
        <v>845</v>
      </c>
      <c r="H2338" s="197" t="s">
        <v>865</v>
      </c>
    </row>
    <row r="2339" ht="15.75" customHeight="1">
      <c r="A2339" s="197" t="s">
        <v>72</v>
      </c>
      <c r="B2339" s="197" t="s">
        <v>22</v>
      </c>
      <c r="C2339" s="198" t="s">
        <v>572</v>
      </c>
      <c r="D2339" s="197" t="s">
        <v>573</v>
      </c>
      <c r="E2339" s="199">
        <v>13.0</v>
      </c>
      <c r="F2339" s="200">
        <v>45992.54166666667</v>
      </c>
      <c r="G2339" s="197" t="s">
        <v>845</v>
      </c>
      <c r="H2339" s="197" t="s">
        <v>865</v>
      </c>
    </row>
    <row r="2340" ht="15.75" customHeight="1">
      <c r="A2340" s="197" t="s">
        <v>72</v>
      </c>
      <c r="B2340" s="197" t="s">
        <v>22</v>
      </c>
      <c r="C2340" s="198" t="s">
        <v>572</v>
      </c>
      <c r="D2340" s="197" t="s">
        <v>573</v>
      </c>
      <c r="E2340" s="199">
        <v>14.0</v>
      </c>
      <c r="F2340" s="200">
        <v>45999.41666666667</v>
      </c>
      <c r="G2340" s="197" t="s">
        <v>845</v>
      </c>
      <c r="H2340" s="197" t="s">
        <v>865</v>
      </c>
    </row>
    <row r="2341" ht="15.75" customHeight="1">
      <c r="A2341" s="197" t="s">
        <v>72</v>
      </c>
      <c r="B2341" s="197" t="s">
        <v>22</v>
      </c>
      <c r="C2341" s="198" t="s">
        <v>572</v>
      </c>
      <c r="D2341" s="197" t="s">
        <v>573</v>
      </c>
      <c r="E2341" s="199">
        <v>15.0</v>
      </c>
      <c r="F2341" s="200">
        <v>46006.45833333333</v>
      </c>
      <c r="G2341" s="197" t="s">
        <v>843</v>
      </c>
      <c r="H2341" s="197" t="s">
        <v>865</v>
      </c>
    </row>
    <row r="2342" ht="15.75" customHeight="1">
      <c r="A2342" s="197" t="s">
        <v>72</v>
      </c>
      <c r="B2342" s="197" t="s">
        <v>22</v>
      </c>
      <c r="C2342" s="198" t="s">
        <v>572</v>
      </c>
      <c r="D2342" s="197" t="s">
        <v>573</v>
      </c>
      <c r="E2342" s="199">
        <v>16.0</v>
      </c>
      <c r="F2342" s="200">
        <v>46048.41666666667</v>
      </c>
      <c r="G2342" s="197" t="s">
        <v>845</v>
      </c>
      <c r="H2342" s="197" t="s">
        <v>865</v>
      </c>
    </row>
    <row r="2343" ht="15.75" customHeight="1">
      <c r="A2343" s="197" t="s">
        <v>72</v>
      </c>
      <c r="B2343" s="197" t="s">
        <v>21</v>
      </c>
      <c r="C2343" s="198" t="s">
        <v>576</v>
      </c>
      <c r="D2343" s="197" t="s">
        <v>577</v>
      </c>
      <c r="E2343" s="199">
        <v>1.0</v>
      </c>
      <c r="F2343" s="200">
        <v>45670.54166666667</v>
      </c>
      <c r="G2343" s="197" t="s">
        <v>845</v>
      </c>
      <c r="H2343" s="197" t="s">
        <v>865</v>
      </c>
    </row>
    <row r="2344" ht="15.75" customHeight="1">
      <c r="A2344" s="197" t="s">
        <v>72</v>
      </c>
      <c r="B2344" s="197" t="s">
        <v>21</v>
      </c>
      <c r="C2344" s="198" t="s">
        <v>576</v>
      </c>
      <c r="D2344" s="197" t="s">
        <v>577</v>
      </c>
      <c r="E2344" s="199">
        <v>2.0</v>
      </c>
      <c r="F2344" s="200">
        <v>45679.375</v>
      </c>
      <c r="G2344" s="197" t="s">
        <v>845</v>
      </c>
      <c r="H2344" s="197" t="s">
        <v>865</v>
      </c>
    </row>
    <row r="2345" ht="15.75" customHeight="1">
      <c r="A2345" s="197" t="s">
        <v>72</v>
      </c>
      <c r="B2345" s="197" t="s">
        <v>21</v>
      </c>
      <c r="C2345" s="198" t="s">
        <v>576</v>
      </c>
      <c r="D2345" s="197" t="s">
        <v>577</v>
      </c>
      <c r="E2345" s="199">
        <v>3.0</v>
      </c>
      <c r="F2345" s="200">
        <v>45698.45833333333</v>
      </c>
      <c r="G2345" s="197" t="s">
        <v>845</v>
      </c>
      <c r="H2345" s="197" t="s">
        <v>865</v>
      </c>
    </row>
    <row r="2346" ht="15.75" customHeight="1">
      <c r="A2346" s="197" t="s">
        <v>72</v>
      </c>
      <c r="B2346" s="197" t="s">
        <v>21</v>
      </c>
      <c r="C2346" s="198" t="s">
        <v>576</v>
      </c>
      <c r="D2346" s="197" t="s">
        <v>577</v>
      </c>
      <c r="E2346" s="199">
        <v>4.0</v>
      </c>
      <c r="F2346" s="200">
        <v>45705.45833333333</v>
      </c>
      <c r="G2346" s="197" t="s">
        <v>845</v>
      </c>
      <c r="H2346" s="197" t="s">
        <v>865</v>
      </c>
    </row>
    <row r="2347" ht="15.75" customHeight="1">
      <c r="A2347" s="197" t="s">
        <v>72</v>
      </c>
      <c r="B2347" s="197" t="s">
        <v>21</v>
      </c>
      <c r="C2347" s="198" t="s">
        <v>576</v>
      </c>
      <c r="D2347" s="197" t="s">
        <v>577</v>
      </c>
      <c r="E2347" s="199">
        <v>5.0</v>
      </c>
      <c r="F2347" s="200">
        <v>45712.54166666667</v>
      </c>
      <c r="G2347" s="197" t="s">
        <v>845</v>
      </c>
      <c r="H2347" s="197" t="s">
        <v>865</v>
      </c>
    </row>
    <row r="2348" ht="15.75" customHeight="1">
      <c r="A2348" s="197" t="s">
        <v>72</v>
      </c>
      <c r="B2348" s="197" t="s">
        <v>21</v>
      </c>
      <c r="C2348" s="198" t="s">
        <v>576</v>
      </c>
      <c r="D2348" s="197" t="s">
        <v>577</v>
      </c>
      <c r="E2348" s="199">
        <v>6.0</v>
      </c>
      <c r="F2348" s="200">
        <v>45761.45833333333</v>
      </c>
      <c r="G2348" s="197" t="s">
        <v>845</v>
      </c>
      <c r="H2348" s="197" t="s">
        <v>865</v>
      </c>
    </row>
    <row r="2349" ht="15.75" customHeight="1">
      <c r="A2349" s="197" t="s">
        <v>72</v>
      </c>
      <c r="B2349" s="197" t="s">
        <v>21</v>
      </c>
      <c r="C2349" s="198" t="s">
        <v>576</v>
      </c>
      <c r="D2349" s="197" t="s">
        <v>577</v>
      </c>
      <c r="E2349" s="199">
        <v>7.0</v>
      </c>
      <c r="F2349" s="200">
        <v>45769.45833333333</v>
      </c>
      <c r="G2349" s="197" t="s">
        <v>845</v>
      </c>
      <c r="H2349" s="197" t="s">
        <v>865</v>
      </c>
    </row>
    <row r="2350" ht="15.75" customHeight="1">
      <c r="A2350" s="197" t="s">
        <v>72</v>
      </c>
      <c r="B2350" s="197" t="s">
        <v>21</v>
      </c>
      <c r="C2350" s="198" t="s">
        <v>576</v>
      </c>
      <c r="D2350" s="197" t="s">
        <v>577</v>
      </c>
      <c r="E2350" s="199">
        <v>8.0</v>
      </c>
      <c r="F2350" s="200">
        <v>45782.45833333333</v>
      </c>
      <c r="G2350" s="197" t="s">
        <v>845</v>
      </c>
      <c r="H2350" s="197" t="s">
        <v>865</v>
      </c>
    </row>
    <row r="2351" ht="15.75" customHeight="1">
      <c r="A2351" s="197" t="s">
        <v>72</v>
      </c>
      <c r="B2351" s="197" t="s">
        <v>21</v>
      </c>
      <c r="C2351" s="198" t="s">
        <v>576</v>
      </c>
      <c r="D2351" s="197" t="s">
        <v>577</v>
      </c>
      <c r="E2351" s="199">
        <v>9.0</v>
      </c>
      <c r="F2351" s="200">
        <v>45789.45833333333</v>
      </c>
      <c r="G2351" s="197" t="s">
        <v>843</v>
      </c>
      <c r="H2351" s="197" t="s">
        <v>865</v>
      </c>
    </row>
    <row r="2352" ht="15.75" customHeight="1">
      <c r="A2352" s="197" t="s">
        <v>72</v>
      </c>
      <c r="B2352" s="197" t="s">
        <v>21</v>
      </c>
      <c r="C2352" s="198" t="s">
        <v>576</v>
      </c>
      <c r="D2352" s="197" t="s">
        <v>577</v>
      </c>
      <c r="E2352" s="199">
        <v>10.0</v>
      </c>
      <c r="F2352" s="200">
        <v>45803.54166666667</v>
      </c>
      <c r="G2352" s="197" t="s">
        <v>845</v>
      </c>
      <c r="H2352" s="197" t="s">
        <v>865</v>
      </c>
    </row>
    <row r="2353" ht="15.75" customHeight="1">
      <c r="A2353" s="197" t="s">
        <v>72</v>
      </c>
      <c r="B2353" s="197" t="s">
        <v>21</v>
      </c>
      <c r="C2353" s="198" t="s">
        <v>576</v>
      </c>
      <c r="D2353" s="197" t="s">
        <v>577</v>
      </c>
      <c r="E2353" s="199">
        <v>11.0</v>
      </c>
      <c r="F2353" s="200">
        <v>45812.41666666667</v>
      </c>
      <c r="G2353" s="197" t="s">
        <v>845</v>
      </c>
      <c r="H2353" s="197" t="s">
        <v>865</v>
      </c>
    </row>
    <row r="2354" ht="15.75" customHeight="1">
      <c r="A2354" s="197" t="s">
        <v>72</v>
      </c>
      <c r="B2354" s="197" t="s">
        <v>21</v>
      </c>
      <c r="C2354" s="198" t="s">
        <v>576</v>
      </c>
      <c r="D2354" s="197" t="s">
        <v>577</v>
      </c>
      <c r="E2354" s="199">
        <v>12.0</v>
      </c>
      <c r="F2354" s="200">
        <v>45832.375</v>
      </c>
      <c r="G2354" s="197" t="s">
        <v>845</v>
      </c>
      <c r="H2354" s="197" t="s">
        <v>865</v>
      </c>
    </row>
    <row r="2355" ht="15.75" customHeight="1">
      <c r="A2355" s="197" t="s">
        <v>72</v>
      </c>
      <c r="B2355" s="197" t="s">
        <v>22</v>
      </c>
      <c r="C2355" s="198" t="s">
        <v>576</v>
      </c>
      <c r="D2355" s="197" t="s">
        <v>577</v>
      </c>
      <c r="E2355" s="199">
        <v>1.0</v>
      </c>
      <c r="F2355" s="200">
        <v>45866.54166666667</v>
      </c>
      <c r="G2355" s="197" t="s">
        <v>845</v>
      </c>
      <c r="H2355" s="197" t="s">
        <v>865</v>
      </c>
    </row>
    <row r="2356" ht="15.75" customHeight="1">
      <c r="A2356" s="197" t="s">
        <v>72</v>
      </c>
      <c r="B2356" s="197" t="s">
        <v>22</v>
      </c>
      <c r="C2356" s="198" t="s">
        <v>576</v>
      </c>
      <c r="D2356" s="197" t="s">
        <v>577</v>
      </c>
      <c r="E2356" s="199">
        <v>2.0</v>
      </c>
      <c r="F2356" s="200">
        <v>45910.45833333333</v>
      </c>
      <c r="G2356" s="197" t="s">
        <v>843</v>
      </c>
      <c r="H2356" s="197" t="s">
        <v>865</v>
      </c>
    </row>
    <row r="2357" ht="15.75" customHeight="1">
      <c r="A2357" s="197" t="s">
        <v>72</v>
      </c>
      <c r="B2357" s="197" t="s">
        <v>22</v>
      </c>
      <c r="C2357" s="198" t="s">
        <v>576</v>
      </c>
      <c r="D2357" s="197" t="s">
        <v>577</v>
      </c>
      <c r="E2357" s="199">
        <v>3.0</v>
      </c>
      <c r="F2357" s="200">
        <v>45915.45833333333</v>
      </c>
      <c r="G2357" s="197" t="s">
        <v>845</v>
      </c>
      <c r="H2357" s="197" t="s">
        <v>865</v>
      </c>
    </row>
    <row r="2358" ht="15.75" customHeight="1">
      <c r="A2358" s="197" t="s">
        <v>72</v>
      </c>
      <c r="B2358" s="197" t="s">
        <v>22</v>
      </c>
      <c r="C2358" s="198" t="s">
        <v>576</v>
      </c>
      <c r="D2358" s="197" t="s">
        <v>577</v>
      </c>
      <c r="E2358" s="199">
        <v>4.0</v>
      </c>
      <c r="F2358" s="200">
        <v>45922.45833333333</v>
      </c>
      <c r="G2358" s="197" t="s">
        <v>845</v>
      </c>
      <c r="H2358" s="197" t="s">
        <v>865</v>
      </c>
    </row>
    <row r="2359" ht="15.75" customHeight="1">
      <c r="A2359" s="197" t="s">
        <v>72</v>
      </c>
      <c r="B2359" s="197" t="s">
        <v>22</v>
      </c>
      <c r="C2359" s="198" t="s">
        <v>576</v>
      </c>
      <c r="D2359" s="197" t="s">
        <v>577</v>
      </c>
      <c r="E2359" s="199">
        <v>5.0</v>
      </c>
      <c r="F2359" s="200">
        <v>45929.45833333333</v>
      </c>
      <c r="G2359" s="197" t="s">
        <v>845</v>
      </c>
      <c r="H2359" s="197" t="s">
        <v>865</v>
      </c>
    </row>
    <row r="2360" ht="15.75" customHeight="1">
      <c r="A2360" s="197" t="s">
        <v>72</v>
      </c>
      <c r="B2360" s="197" t="s">
        <v>22</v>
      </c>
      <c r="C2360" s="198" t="s">
        <v>576</v>
      </c>
      <c r="D2360" s="197" t="s">
        <v>577</v>
      </c>
      <c r="E2360" s="199">
        <v>6.0</v>
      </c>
      <c r="F2360" s="200">
        <v>45943.41666666667</v>
      </c>
      <c r="G2360" s="197" t="s">
        <v>845</v>
      </c>
      <c r="H2360" s="197" t="s">
        <v>865</v>
      </c>
    </row>
    <row r="2361" ht="15.75" customHeight="1">
      <c r="A2361" s="197" t="s">
        <v>72</v>
      </c>
      <c r="B2361" s="197" t="s">
        <v>22</v>
      </c>
      <c r="C2361" s="198" t="s">
        <v>576</v>
      </c>
      <c r="D2361" s="197" t="s">
        <v>577</v>
      </c>
      <c r="E2361" s="199">
        <v>7.0</v>
      </c>
      <c r="F2361" s="200">
        <v>45944.58333333333</v>
      </c>
      <c r="G2361" s="197" t="s">
        <v>845</v>
      </c>
      <c r="H2361" s="197" t="s">
        <v>865</v>
      </c>
    </row>
    <row r="2362" ht="15.75" customHeight="1">
      <c r="A2362" s="197" t="s">
        <v>72</v>
      </c>
      <c r="B2362" s="197" t="s">
        <v>22</v>
      </c>
      <c r="C2362" s="198" t="s">
        <v>576</v>
      </c>
      <c r="D2362" s="197" t="s">
        <v>577</v>
      </c>
      <c r="E2362" s="199">
        <v>9.0</v>
      </c>
      <c r="F2362" s="200">
        <v>45957.41666666667</v>
      </c>
      <c r="G2362" s="197" t="s">
        <v>845</v>
      </c>
      <c r="H2362" s="197" t="s">
        <v>865</v>
      </c>
    </row>
    <row r="2363" ht="15.75" customHeight="1">
      <c r="A2363" s="197" t="s">
        <v>72</v>
      </c>
      <c r="B2363" s="197" t="s">
        <v>22</v>
      </c>
      <c r="C2363" s="198" t="s">
        <v>576</v>
      </c>
      <c r="D2363" s="197" t="s">
        <v>577</v>
      </c>
      <c r="E2363" s="199">
        <v>10.0</v>
      </c>
      <c r="F2363" s="200">
        <v>45964.58333333333</v>
      </c>
      <c r="G2363" s="197" t="s">
        <v>845</v>
      </c>
      <c r="H2363" s="197" t="s">
        <v>865</v>
      </c>
    </row>
    <row r="2364" ht="15.75" customHeight="1">
      <c r="A2364" s="197" t="s">
        <v>72</v>
      </c>
      <c r="B2364" s="197" t="s">
        <v>22</v>
      </c>
      <c r="C2364" s="198" t="s">
        <v>576</v>
      </c>
      <c r="D2364" s="197" t="s">
        <v>577</v>
      </c>
      <c r="E2364" s="199">
        <v>11.0</v>
      </c>
      <c r="F2364" s="200">
        <v>45971.54166666667</v>
      </c>
      <c r="G2364" s="197" t="s">
        <v>845</v>
      </c>
      <c r="H2364" s="197" t="s">
        <v>865</v>
      </c>
    </row>
    <row r="2365" ht="15.75" customHeight="1">
      <c r="A2365" s="197" t="s">
        <v>72</v>
      </c>
      <c r="B2365" s="197" t="s">
        <v>22</v>
      </c>
      <c r="C2365" s="198" t="s">
        <v>576</v>
      </c>
      <c r="D2365" s="197" t="s">
        <v>577</v>
      </c>
      <c r="E2365" s="199">
        <v>12.0</v>
      </c>
      <c r="F2365" s="200">
        <v>45985.58333333333</v>
      </c>
      <c r="G2365" s="197" t="s">
        <v>845</v>
      </c>
      <c r="H2365" s="197" t="s">
        <v>865</v>
      </c>
    </row>
    <row r="2366" ht="15.75" customHeight="1">
      <c r="A2366" s="197" t="s">
        <v>72</v>
      </c>
      <c r="B2366" s="197" t="s">
        <v>22</v>
      </c>
      <c r="C2366" s="198" t="s">
        <v>576</v>
      </c>
      <c r="D2366" s="197" t="s">
        <v>577</v>
      </c>
      <c r="E2366" s="199">
        <v>13.0</v>
      </c>
      <c r="F2366" s="200">
        <v>45992.54166666667</v>
      </c>
      <c r="G2366" s="197" t="s">
        <v>845</v>
      </c>
      <c r="H2366" s="197" t="s">
        <v>865</v>
      </c>
    </row>
    <row r="2367" ht="15.75" customHeight="1">
      <c r="A2367" s="197" t="s">
        <v>72</v>
      </c>
      <c r="B2367" s="197" t="s">
        <v>22</v>
      </c>
      <c r="C2367" s="198" t="s">
        <v>576</v>
      </c>
      <c r="D2367" s="197" t="s">
        <v>577</v>
      </c>
      <c r="E2367" s="199">
        <v>14.0</v>
      </c>
      <c r="F2367" s="200">
        <v>45999.41666666667</v>
      </c>
      <c r="G2367" s="197" t="s">
        <v>845</v>
      </c>
      <c r="H2367" s="197" t="s">
        <v>865</v>
      </c>
    </row>
    <row r="2368" ht="15.75" customHeight="1">
      <c r="A2368" s="197" t="s">
        <v>72</v>
      </c>
      <c r="B2368" s="197" t="s">
        <v>22</v>
      </c>
      <c r="C2368" s="198" t="s">
        <v>576</v>
      </c>
      <c r="D2368" s="197" t="s">
        <v>577</v>
      </c>
      <c r="E2368" s="199">
        <v>15.0</v>
      </c>
      <c r="F2368" s="200">
        <v>46006.45833333333</v>
      </c>
      <c r="G2368" s="197" t="s">
        <v>845</v>
      </c>
      <c r="H2368" s="197" t="s">
        <v>865</v>
      </c>
    </row>
    <row r="2369" ht="15.75" customHeight="1">
      <c r="A2369" s="197" t="s">
        <v>72</v>
      </c>
      <c r="B2369" s="197" t="s">
        <v>22</v>
      </c>
      <c r="C2369" s="198" t="s">
        <v>576</v>
      </c>
      <c r="D2369" s="197" t="s">
        <v>577</v>
      </c>
      <c r="E2369" s="199">
        <v>16.0</v>
      </c>
      <c r="F2369" s="200">
        <v>46048.41666666667</v>
      </c>
      <c r="G2369" s="197" t="s">
        <v>845</v>
      </c>
      <c r="H2369" s="197" t="s">
        <v>865</v>
      </c>
    </row>
    <row r="2370" ht="15.75" customHeight="1">
      <c r="A2370" s="197" t="s">
        <v>72</v>
      </c>
      <c r="B2370" s="197" t="s">
        <v>21</v>
      </c>
      <c r="C2370" s="198" t="s">
        <v>683</v>
      </c>
      <c r="D2370" s="197" t="s">
        <v>684</v>
      </c>
      <c r="E2370" s="199">
        <v>1.0</v>
      </c>
      <c r="F2370" s="200">
        <v>45670.54166666667</v>
      </c>
      <c r="G2370" s="197" t="s">
        <v>845</v>
      </c>
      <c r="H2370" s="197" t="s">
        <v>865</v>
      </c>
    </row>
    <row r="2371" ht="15.75" customHeight="1">
      <c r="A2371" s="197" t="s">
        <v>72</v>
      </c>
      <c r="B2371" s="197" t="s">
        <v>21</v>
      </c>
      <c r="C2371" s="198" t="s">
        <v>683</v>
      </c>
      <c r="D2371" s="197" t="s">
        <v>684</v>
      </c>
      <c r="E2371" s="199">
        <v>2.0</v>
      </c>
      <c r="F2371" s="200">
        <v>45679.375</v>
      </c>
      <c r="G2371" s="197" t="s">
        <v>845</v>
      </c>
      <c r="H2371" s="197" t="s">
        <v>865</v>
      </c>
    </row>
    <row r="2372" ht="15.75" customHeight="1">
      <c r="A2372" s="197" t="s">
        <v>72</v>
      </c>
      <c r="B2372" s="197" t="s">
        <v>21</v>
      </c>
      <c r="C2372" s="198" t="s">
        <v>683</v>
      </c>
      <c r="D2372" s="197" t="s">
        <v>684</v>
      </c>
      <c r="E2372" s="199">
        <v>3.0</v>
      </c>
      <c r="F2372" s="200">
        <v>45698.45833333333</v>
      </c>
      <c r="G2372" s="197" t="s">
        <v>845</v>
      </c>
      <c r="H2372" s="197" t="s">
        <v>865</v>
      </c>
    </row>
    <row r="2373" ht="15.75" customHeight="1">
      <c r="A2373" s="197" t="s">
        <v>72</v>
      </c>
      <c r="B2373" s="197" t="s">
        <v>21</v>
      </c>
      <c r="C2373" s="198" t="s">
        <v>683</v>
      </c>
      <c r="D2373" s="197" t="s">
        <v>684</v>
      </c>
      <c r="E2373" s="199">
        <v>4.0</v>
      </c>
      <c r="F2373" s="200">
        <v>45705.45833333333</v>
      </c>
      <c r="G2373" s="197" t="s">
        <v>845</v>
      </c>
      <c r="H2373" s="197" t="s">
        <v>865</v>
      </c>
    </row>
    <row r="2374" ht="15.75" customHeight="1">
      <c r="A2374" s="197" t="s">
        <v>72</v>
      </c>
      <c r="B2374" s="197" t="s">
        <v>21</v>
      </c>
      <c r="C2374" s="198" t="s">
        <v>683</v>
      </c>
      <c r="D2374" s="197" t="s">
        <v>684</v>
      </c>
      <c r="E2374" s="199">
        <v>5.0</v>
      </c>
      <c r="F2374" s="200">
        <v>45712.54166666667</v>
      </c>
      <c r="G2374" s="197" t="s">
        <v>845</v>
      </c>
      <c r="H2374" s="197" t="s">
        <v>865</v>
      </c>
    </row>
    <row r="2375" ht="15.75" customHeight="1">
      <c r="A2375" s="197" t="s">
        <v>72</v>
      </c>
      <c r="B2375" s="197" t="s">
        <v>21</v>
      </c>
      <c r="C2375" s="198" t="s">
        <v>683</v>
      </c>
      <c r="D2375" s="197" t="s">
        <v>684</v>
      </c>
      <c r="E2375" s="199">
        <v>6.0</v>
      </c>
      <c r="F2375" s="200">
        <v>45761.45833333333</v>
      </c>
      <c r="G2375" s="197" t="s">
        <v>845</v>
      </c>
      <c r="H2375" s="197" t="s">
        <v>865</v>
      </c>
    </row>
    <row r="2376" ht="15.75" customHeight="1">
      <c r="A2376" s="197" t="s">
        <v>72</v>
      </c>
      <c r="B2376" s="197" t="s">
        <v>21</v>
      </c>
      <c r="C2376" s="198" t="s">
        <v>683</v>
      </c>
      <c r="D2376" s="197" t="s">
        <v>684</v>
      </c>
      <c r="E2376" s="199">
        <v>7.0</v>
      </c>
      <c r="F2376" s="200">
        <v>45769.45833333333</v>
      </c>
      <c r="G2376" s="197" t="s">
        <v>845</v>
      </c>
      <c r="H2376" s="197" t="s">
        <v>865</v>
      </c>
    </row>
    <row r="2377" ht="15.75" customHeight="1">
      <c r="A2377" s="197" t="s">
        <v>72</v>
      </c>
      <c r="B2377" s="197" t="s">
        <v>21</v>
      </c>
      <c r="C2377" s="198" t="s">
        <v>683</v>
      </c>
      <c r="D2377" s="197" t="s">
        <v>684</v>
      </c>
      <c r="E2377" s="199">
        <v>8.0</v>
      </c>
      <c r="F2377" s="200">
        <v>45782.45833333333</v>
      </c>
      <c r="G2377" s="197" t="s">
        <v>845</v>
      </c>
      <c r="H2377" s="197" t="s">
        <v>865</v>
      </c>
    </row>
    <row r="2378" ht="15.75" customHeight="1">
      <c r="A2378" s="197" t="s">
        <v>72</v>
      </c>
      <c r="B2378" s="197" t="s">
        <v>21</v>
      </c>
      <c r="C2378" s="198" t="s">
        <v>683</v>
      </c>
      <c r="D2378" s="197" t="s">
        <v>684</v>
      </c>
      <c r="E2378" s="199">
        <v>9.0</v>
      </c>
      <c r="F2378" s="200">
        <v>45789.45833333333</v>
      </c>
      <c r="G2378" s="197" t="s">
        <v>845</v>
      </c>
      <c r="H2378" s="197" t="s">
        <v>865</v>
      </c>
    </row>
    <row r="2379" ht="15.75" customHeight="1">
      <c r="A2379" s="197" t="s">
        <v>72</v>
      </c>
      <c r="B2379" s="197" t="s">
        <v>21</v>
      </c>
      <c r="C2379" s="198" t="s">
        <v>683</v>
      </c>
      <c r="D2379" s="197" t="s">
        <v>684</v>
      </c>
      <c r="E2379" s="199">
        <v>10.0</v>
      </c>
      <c r="F2379" s="200">
        <v>45803.54166666667</v>
      </c>
      <c r="G2379" s="197" t="s">
        <v>843</v>
      </c>
      <c r="H2379" s="197" t="s">
        <v>865</v>
      </c>
    </row>
    <row r="2380" ht="15.75" customHeight="1">
      <c r="A2380" s="197" t="s">
        <v>72</v>
      </c>
      <c r="B2380" s="197" t="s">
        <v>21</v>
      </c>
      <c r="C2380" s="198" t="s">
        <v>683</v>
      </c>
      <c r="D2380" s="197" t="s">
        <v>684</v>
      </c>
      <c r="E2380" s="199">
        <v>11.0</v>
      </c>
      <c r="F2380" s="200">
        <v>45812.41666666667</v>
      </c>
      <c r="G2380" s="197" t="s">
        <v>845</v>
      </c>
      <c r="H2380" s="197" t="s">
        <v>865</v>
      </c>
    </row>
    <row r="2381" ht="15.75" customHeight="1">
      <c r="A2381" s="197" t="s">
        <v>72</v>
      </c>
      <c r="B2381" s="197" t="s">
        <v>21</v>
      </c>
      <c r="C2381" s="198" t="s">
        <v>683</v>
      </c>
      <c r="D2381" s="197" t="s">
        <v>684</v>
      </c>
      <c r="E2381" s="199">
        <v>12.0</v>
      </c>
      <c r="F2381" s="200">
        <v>45832.375</v>
      </c>
      <c r="G2381" s="197" t="s">
        <v>845</v>
      </c>
      <c r="H2381" s="197" t="s">
        <v>865</v>
      </c>
    </row>
    <row r="2382" ht="15.75" customHeight="1">
      <c r="A2382" s="197" t="s">
        <v>72</v>
      </c>
      <c r="B2382" s="197" t="s">
        <v>22</v>
      </c>
      <c r="C2382" s="198" t="s">
        <v>683</v>
      </c>
      <c r="D2382" s="197" t="s">
        <v>684</v>
      </c>
      <c r="E2382" s="199">
        <v>1.0</v>
      </c>
      <c r="F2382" s="200">
        <v>45866.54166666667</v>
      </c>
      <c r="G2382" s="197" t="s">
        <v>845</v>
      </c>
      <c r="H2382" s="197" t="s">
        <v>865</v>
      </c>
    </row>
    <row r="2383" ht="15.75" customHeight="1">
      <c r="A2383" s="197" t="s">
        <v>72</v>
      </c>
      <c r="B2383" s="197" t="s">
        <v>22</v>
      </c>
      <c r="C2383" s="198" t="s">
        <v>683</v>
      </c>
      <c r="D2383" s="197" t="s">
        <v>684</v>
      </c>
      <c r="E2383" s="199">
        <v>2.0</v>
      </c>
      <c r="F2383" s="200">
        <v>45910.45833333333</v>
      </c>
      <c r="G2383" s="197" t="s">
        <v>843</v>
      </c>
      <c r="H2383" s="197" t="s">
        <v>865</v>
      </c>
    </row>
    <row r="2384" ht="15.75" customHeight="1">
      <c r="A2384" s="197" t="s">
        <v>72</v>
      </c>
      <c r="B2384" s="197" t="s">
        <v>22</v>
      </c>
      <c r="C2384" s="198" t="s">
        <v>683</v>
      </c>
      <c r="D2384" s="197" t="s">
        <v>684</v>
      </c>
      <c r="E2384" s="199">
        <v>3.0</v>
      </c>
      <c r="F2384" s="200">
        <v>45915.45833333333</v>
      </c>
      <c r="G2384" s="197" t="s">
        <v>845</v>
      </c>
      <c r="H2384" s="197" t="s">
        <v>865</v>
      </c>
    </row>
    <row r="2385" ht="15.75" customHeight="1">
      <c r="A2385" s="197" t="s">
        <v>72</v>
      </c>
      <c r="B2385" s="197" t="s">
        <v>22</v>
      </c>
      <c r="C2385" s="198" t="s">
        <v>683</v>
      </c>
      <c r="D2385" s="197" t="s">
        <v>684</v>
      </c>
      <c r="E2385" s="199">
        <v>4.0</v>
      </c>
      <c r="F2385" s="200">
        <v>45922.45833333333</v>
      </c>
      <c r="G2385" s="197" t="s">
        <v>845</v>
      </c>
      <c r="H2385" s="197" t="s">
        <v>865</v>
      </c>
    </row>
    <row r="2386" ht="15.75" customHeight="1">
      <c r="A2386" s="197" t="s">
        <v>72</v>
      </c>
      <c r="B2386" s="197" t="s">
        <v>22</v>
      </c>
      <c r="C2386" s="198" t="s">
        <v>683</v>
      </c>
      <c r="D2386" s="197" t="s">
        <v>684</v>
      </c>
      <c r="E2386" s="199">
        <v>5.0</v>
      </c>
      <c r="F2386" s="200">
        <v>45929.45833333333</v>
      </c>
      <c r="G2386" s="197" t="s">
        <v>845</v>
      </c>
      <c r="H2386" s="197" t="s">
        <v>865</v>
      </c>
    </row>
    <row r="2387" ht="15.75" customHeight="1">
      <c r="A2387" s="197" t="s">
        <v>72</v>
      </c>
      <c r="B2387" s="197" t="s">
        <v>22</v>
      </c>
      <c r="C2387" s="198" t="s">
        <v>683</v>
      </c>
      <c r="D2387" s="197" t="s">
        <v>684</v>
      </c>
      <c r="E2387" s="199">
        <v>6.0</v>
      </c>
      <c r="F2387" s="200">
        <v>45943.41666666667</v>
      </c>
      <c r="G2387" s="197" t="s">
        <v>845</v>
      </c>
      <c r="H2387" s="197" t="s">
        <v>865</v>
      </c>
    </row>
    <row r="2388" ht="15.75" customHeight="1">
      <c r="A2388" s="197" t="s">
        <v>72</v>
      </c>
      <c r="B2388" s="197" t="s">
        <v>22</v>
      </c>
      <c r="C2388" s="198" t="s">
        <v>683</v>
      </c>
      <c r="D2388" s="197" t="s">
        <v>684</v>
      </c>
      <c r="E2388" s="199">
        <v>7.0</v>
      </c>
      <c r="F2388" s="200">
        <v>45944.58333333333</v>
      </c>
      <c r="G2388" s="197" t="s">
        <v>845</v>
      </c>
      <c r="H2388" s="197" t="s">
        <v>865</v>
      </c>
    </row>
    <row r="2389" ht="15.75" customHeight="1">
      <c r="A2389" s="197" t="s">
        <v>72</v>
      </c>
      <c r="B2389" s="197" t="s">
        <v>22</v>
      </c>
      <c r="C2389" s="198" t="s">
        <v>683</v>
      </c>
      <c r="D2389" s="197" t="s">
        <v>684</v>
      </c>
      <c r="E2389" s="199">
        <v>9.0</v>
      </c>
      <c r="F2389" s="200">
        <v>45957.41666666667</v>
      </c>
      <c r="G2389" s="197" t="s">
        <v>845</v>
      </c>
      <c r="H2389" s="197" t="s">
        <v>865</v>
      </c>
    </row>
    <row r="2390" ht="15.75" customHeight="1">
      <c r="A2390" s="197" t="s">
        <v>72</v>
      </c>
      <c r="B2390" s="197" t="s">
        <v>22</v>
      </c>
      <c r="C2390" s="198" t="s">
        <v>683</v>
      </c>
      <c r="D2390" s="197" t="s">
        <v>684</v>
      </c>
      <c r="E2390" s="199">
        <v>10.0</v>
      </c>
      <c r="F2390" s="200">
        <v>45964.58333333333</v>
      </c>
      <c r="G2390" s="197" t="s">
        <v>845</v>
      </c>
      <c r="H2390" s="197" t="s">
        <v>865</v>
      </c>
    </row>
    <row r="2391" ht="15.75" customHeight="1">
      <c r="A2391" s="197" t="s">
        <v>72</v>
      </c>
      <c r="B2391" s="197" t="s">
        <v>22</v>
      </c>
      <c r="C2391" s="198" t="s">
        <v>683</v>
      </c>
      <c r="D2391" s="197" t="s">
        <v>684</v>
      </c>
      <c r="E2391" s="199">
        <v>11.0</v>
      </c>
      <c r="F2391" s="200">
        <v>45971.54166666667</v>
      </c>
      <c r="G2391" s="197" t="s">
        <v>843</v>
      </c>
      <c r="H2391" s="197" t="s">
        <v>865</v>
      </c>
    </row>
    <row r="2392" ht="15.75" customHeight="1">
      <c r="A2392" s="197" t="s">
        <v>72</v>
      </c>
      <c r="B2392" s="197" t="s">
        <v>22</v>
      </c>
      <c r="C2392" s="198" t="s">
        <v>683</v>
      </c>
      <c r="D2392" s="197" t="s">
        <v>684</v>
      </c>
      <c r="E2392" s="199">
        <v>12.0</v>
      </c>
      <c r="F2392" s="200">
        <v>45985.58333333333</v>
      </c>
      <c r="G2392" s="197" t="s">
        <v>845</v>
      </c>
      <c r="H2392" s="197" t="s">
        <v>865</v>
      </c>
    </row>
    <row r="2393" ht="15.75" customHeight="1">
      <c r="A2393" s="197" t="s">
        <v>72</v>
      </c>
      <c r="B2393" s="197" t="s">
        <v>22</v>
      </c>
      <c r="C2393" s="198" t="s">
        <v>683</v>
      </c>
      <c r="D2393" s="197" t="s">
        <v>684</v>
      </c>
      <c r="E2393" s="199">
        <v>13.0</v>
      </c>
      <c r="F2393" s="200">
        <v>45992.54166666667</v>
      </c>
      <c r="G2393" s="197" t="s">
        <v>845</v>
      </c>
      <c r="H2393" s="197" t="s">
        <v>865</v>
      </c>
    </row>
    <row r="2394" ht="15.75" customHeight="1">
      <c r="A2394" s="197" t="s">
        <v>72</v>
      </c>
      <c r="B2394" s="197" t="s">
        <v>22</v>
      </c>
      <c r="C2394" s="198" t="s">
        <v>683</v>
      </c>
      <c r="D2394" s="197" t="s">
        <v>684</v>
      </c>
      <c r="E2394" s="199">
        <v>14.0</v>
      </c>
      <c r="F2394" s="200">
        <v>45999.41666666667</v>
      </c>
      <c r="G2394" s="197" t="s">
        <v>845</v>
      </c>
      <c r="H2394" s="197" t="s">
        <v>865</v>
      </c>
    </row>
    <row r="2395" ht="15.75" customHeight="1">
      <c r="A2395" s="197" t="s">
        <v>72</v>
      </c>
      <c r="B2395" s="197" t="s">
        <v>22</v>
      </c>
      <c r="C2395" s="198" t="s">
        <v>683</v>
      </c>
      <c r="D2395" s="197" t="s">
        <v>684</v>
      </c>
      <c r="E2395" s="199">
        <v>15.0</v>
      </c>
      <c r="F2395" s="200">
        <v>46006.45833333333</v>
      </c>
      <c r="G2395" s="197" t="s">
        <v>845</v>
      </c>
      <c r="H2395" s="197" t="s">
        <v>865</v>
      </c>
    </row>
    <row r="2396" ht="15.75" customHeight="1">
      <c r="A2396" s="197" t="s">
        <v>72</v>
      </c>
      <c r="B2396" s="197" t="s">
        <v>22</v>
      </c>
      <c r="C2396" s="198" t="s">
        <v>683</v>
      </c>
      <c r="D2396" s="197" t="s">
        <v>684</v>
      </c>
      <c r="E2396" s="199">
        <v>16.0</v>
      </c>
      <c r="F2396" s="200">
        <v>46048.41666666667</v>
      </c>
      <c r="G2396" s="197" t="s">
        <v>845</v>
      </c>
      <c r="H2396" s="197" t="s">
        <v>865</v>
      </c>
    </row>
    <row r="2397" ht="15.75" customHeight="1">
      <c r="A2397" s="197" t="s">
        <v>72</v>
      </c>
      <c r="B2397" s="197" t="s">
        <v>23</v>
      </c>
      <c r="C2397" s="198" t="s">
        <v>683</v>
      </c>
      <c r="D2397" s="197" t="s">
        <v>684</v>
      </c>
      <c r="E2397" s="199">
        <v>1.0</v>
      </c>
      <c r="F2397" s="200">
        <v>46084.58333333333</v>
      </c>
      <c r="G2397" s="197" t="s">
        <v>845</v>
      </c>
      <c r="H2397" s="197" t="s">
        <v>865</v>
      </c>
    </row>
    <row r="2398" ht="15.75" customHeight="1">
      <c r="A2398" s="197" t="s">
        <v>72</v>
      </c>
      <c r="B2398" s="197" t="s">
        <v>23</v>
      </c>
      <c r="C2398" s="198" t="s">
        <v>683</v>
      </c>
      <c r="D2398" s="197" t="s">
        <v>684</v>
      </c>
      <c r="E2398" s="199">
        <v>2.0</v>
      </c>
      <c r="F2398" s="200">
        <v>46099.45833333333</v>
      </c>
      <c r="G2398" s="197" t="s">
        <v>845</v>
      </c>
      <c r="H2398" s="197" t="s">
        <v>865</v>
      </c>
    </row>
    <row r="2399" ht="15.75" customHeight="1">
      <c r="A2399" s="197" t="s">
        <v>72</v>
      </c>
      <c r="B2399" s="197" t="s">
        <v>23</v>
      </c>
      <c r="C2399" s="198" t="s">
        <v>683</v>
      </c>
      <c r="D2399" s="197" t="s">
        <v>684</v>
      </c>
      <c r="E2399" s="199">
        <v>3.0</v>
      </c>
      <c r="F2399" s="200">
        <v>46106.45833333333</v>
      </c>
      <c r="G2399" s="197" t="s">
        <v>843</v>
      </c>
      <c r="H2399" s="197" t="s">
        <v>865</v>
      </c>
    </row>
    <row r="2400" ht="15.75" customHeight="1">
      <c r="A2400" s="197" t="s">
        <v>72</v>
      </c>
      <c r="B2400" s="197" t="s">
        <v>23</v>
      </c>
      <c r="C2400" s="198" t="s">
        <v>683</v>
      </c>
      <c r="D2400" s="197" t="s">
        <v>684</v>
      </c>
      <c r="E2400" s="199">
        <v>4.0</v>
      </c>
      <c r="F2400" s="200">
        <v>46119.45833333333</v>
      </c>
      <c r="G2400" s="197" t="s">
        <v>845</v>
      </c>
      <c r="H2400" s="197" t="s">
        <v>865</v>
      </c>
    </row>
    <row r="2401" ht="15.75" customHeight="1">
      <c r="A2401" s="197" t="s">
        <v>72</v>
      </c>
      <c r="B2401" s="197" t="s">
        <v>23</v>
      </c>
      <c r="C2401" s="198" t="s">
        <v>683</v>
      </c>
      <c r="D2401" s="197" t="s">
        <v>684</v>
      </c>
      <c r="E2401" s="199">
        <v>5.0</v>
      </c>
      <c r="F2401" s="200">
        <v>46127.54166666667</v>
      </c>
      <c r="G2401" s="197" t="s">
        <v>845</v>
      </c>
      <c r="H2401" s="197" t="s">
        <v>865</v>
      </c>
    </row>
    <row r="2402" ht="15.75" customHeight="1">
      <c r="A2402" s="197" t="s">
        <v>72</v>
      </c>
      <c r="B2402" s="197" t="s">
        <v>23</v>
      </c>
      <c r="C2402" s="198" t="s">
        <v>683</v>
      </c>
      <c r="D2402" s="197" t="s">
        <v>684</v>
      </c>
      <c r="E2402" s="199">
        <v>6.0</v>
      </c>
      <c r="F2402" s="200">
        <v>46134.58333333333</v>
      </c>
      <c r="G2402" s="197" t="s">
        <v>845</v>
      </c>
      <c r="H2402" s="197" t="s">
        <v>865</v>
      </c>
    </row>
    <row r="2403" ht="15.75" customHeight="1">
      <c r="A2403" s="197" t="s">
        <v>73</v>
      </c>
      <c r="B2403" s="197" t="s">
        <v>21</v>
      </c>
      <c r="C2403" s="198" t="s">
        <v>309</v>
      </c>
      <c r="D2403" s="197" t="s">
        <v>310</v>
      </c>
      <c r="E2403" s="199">
        <v>1.0</v>
      </c>
      <c r="F2403" s="200">
        <v>45765.375</v>
      </c>
      <c r="G2403" s="197" t="s">
        <v>845</v>
      </c>
      <c r="H2403" s="197" t="s">
        <v>866</v>
      </c>
    </row>
    <row r="2404" ht="15.75" customHeight="1">
      <c r="A2404" s="197" t="s">
        <v>73</v>
      </c>
      <c r="B2404" s="197" t="s">
        <v>21</v>
      </c>
      <c r="C2404" s="198" t="s">
        <v>309</v>
      </c>
      <c r="D2404" s="197" t="s">
        <v>310</v>
      </c>
      <c r="E2404" s="199">
        <v>2.0</v>
      </c>
      <c r="F2404" s="200">
        <v>45783.41666666667</v>
      </c>
      <c r="G2404" s="197" t="s">
        <v>845</v>
      </c>
      <c r="H2404" s="197" t="s">
        <v>866</v>
      </c>
    </row>
    <row r="2405" ht="15.75" customHeight="1">
      <c r="A2405" s="197" t="s">
        <v>73</v>
      </c>
      <c r="B2405" s="197" t="s">
        <v>21</v>
      </c>
      <c r="C2405" s="198" t="s">
        <v>309</v>
      </c>
      <c r="D2405" s="197" t="s">
        <v>310</v>
      </c>
      <c r="E2405" s="199">
        <v>3.0</v>
      </c>
      <c r="F2405" s="200">
        <v>45790.41666666667</v>
      </c>
      <c r="G2405" s="197" t="s">
        <v>845</v>
      </c>
      <c r="H2405" s="197" t="s">
        <v>866</v>
      </c>
    </row>
    <row r="2406" ht="15.75" customHeight="1">
      <c r="A2406" s="197" t="s">
        <v>73</v>
      </c>
      <c r="B2406" s="197" t="s">
        <v>21</v>
      </c>
      <c r="C2406" s="198" t="s">
        <v>309</v>
      </c>
      <c r="D2406" s="197" t="s">
        <v>310</v>
      </c>
      <c r="E2406" s="199">
        <v>4.0</v>
      </c>
      <c r="F2406" s="200">
        <v>45804.41666666667</v>
      </c>
      <c r="G2406" s="197" t="s">
        <v>845</v>
      </c>
      <c r="H2406" s="197" t="s">
        <v>866</v>
      </c>
    </row>
    <row r="2407" ht="15.75" customHeight="1">
      <c r="A2407" s="197" t="s">
        <v>73</v>
      </c>
      <c r="B2407" s="197" t="s">
        <v>21</v>
      </c>
      <c r="C2407" s="198" t="s">
        <v>309</v>
      </c>
      <c r="D2407" s="197" t="s">
        <v>310</v>
      </c>
      <c r="E2407" s="199">
        <v>5.0</v>
      </c>
      <c r="F2407" s="200">
        <v>45811.625</v>
      </c>
      <c r="G2407" s="197" t="s">
        <v>845</v>
      </c>
      <c r="H2407" s="197" t="s">
        <v>866</v>
      </c>
    </row>
    <row r="2408" ht="15.75" customHeight="1">
      <c r="A2408" s="197" t="s">
        <v>73</v>
      </c>
      <c r="B2408" s="197" t="s">
        <v>21</v>
      </c>
      <c r="C2408" s="198" t="s">
        <v>309</v>
      </c>
      <c r="D2408" s="197" t="s">
        <v>310</v>
      </c>
      <c r="E2408" s="199">
        <v>6.0</v>
      </c>
      <c r="F2408" s="200">
        <v>45818.625</v>
      </c>
      <c r="G2408" s="197" t="s">
        <v>845</v>
      </c>
      <c r="H2408" s="197" t="s">
        <v>866</v>
      </c>
    </row>
    <row r="2409" ht="15.75" customHeight="1">
      <c r="A2409" s="197" t="s">
        <v>73</v>
      </c>
      <c r="B2409" s="197" t="s">
        <v>21</v>
      </c>
      <c r="C2409" s="198" t="s">
        <v>309</v>
      </c>
      <c r="D2409" s="197" t="s">
        <v>310</v>
      </c>
      <c r="E2409" s="199">
        <v>7.0</v>
      </c>
      <c r="F2409" s="200">
        <v>45825.625</v>
      </c>
      <c r="G2409" s="197" t="s">
        <v>845</v>
      </c>
      <c r="H2409" s="197" t="s">
        <v>866</v>
      </c>
    </row>
    <row r="2410" ht="15.75" customHeight="1">
      <c r="A2410" s="197" t="s">
        <v>73</v>
      </c>
      <c r="B2410" s="197" t="s">
        <v>21</v>
      </c>
      <c r="C2410" s="198" t="s">
        <v>309</v>
      </c>
      <c r="D2410" s="197" t="s">
        <v>310</v>
      </c>
      <c r="E2410" s="199">
        <v>8.0</v>
      </c>
      <c r="F2410" s="200">
        <v>45832.625</v>
      </c>
      <c r="G2410" s="197" t="s">
        <v>845</v>
      </c>
      <c r="H2410" s="197" t="s">
        <v>866</v>
      </c>
    </row>
    <row r="2411" ht="15.75" customHeight="1">
      <c r="A2411" s="197" t="s">
        <v>73</v>
      </c>
      <c r="B2411" s="197" t="s">
        <v>21</v>
      </c>
      <c r="C2411" s="198" t="s">
        <v>309</v>
      </c>
      <c r="D2411" s="197" t="s">
        <v>310</v>
      </c>
      <c r="E2411" s="199">
        <v>9.0</v>
      </c>
      <c r="F2411" s="200">
        <v>45846.625</v>
      </c>
      <c r="G2411" s="197" t="s">
        <v>845</v>
      </c>
      <c r="H2411" s="197" t="s">
        <v>866</v>
      </c>
    </row>
    <row r="2412" ht="15.75" customHeight="1">
      <c r="A2412" s="197" t="s">
        <v>73</v>
      </c>
      <c r="B2412" s="197" t="s">
        <v>21</v>
      </c>
      <c r="C2412" s="198" t="s">
        <v>309</v>
      </c>
      <c r="D2412" s="197" t="s">
        <v>310</v>
      </c>
      <c r="E2412" s="199">
        <v>10.0</v>
      </c>
      <c r="F2412" s="200">
        <v>45867.58333333333</v>
      </c>
      <c r="G2412" s="197" t="s">
        <v>845</v>
      </c>
      <c r="H2412" s="197" t="s">
        <v>866</v>
      </c>
    </row>
    <row r="2413" ht="15.75" customHeight="1">
      <c r="A2413" s="197" t="s">
        <v>73</v>
      </c>
      <c r="B2413" s="197" t="s">
        <v>21</v>
      </c>
      <c r="C2413" s="198" t="s">
        <v>332</v>
      </c>
      <c r="D2413" s="197" t="s">
        <v>333</v>
      </c>
      <c r="E2413" s="199">
        <v>1.0</v>
      </c>
      <c r="F2413" s="200">
        <v>45765.375</v>
      </c>
      <c r="G2413" s="197" t="s">
        <v>845</v>
      </c>
      <c r="H2413" s="197" t="s">
        <v>866</v>
      </c>
    </row>
    <row r="2414" ht="15.75" customHeight="1">
      <c r="A2414" s="197" t="s">
        <v>73</v>
      </c>
      <c r="B2414" s="197" t="s">
        <v>21</v>
      </c>
      <c r="C2414" s="198" t="s">
        <v>332</v>
      </c>
      <c r="D2414" s="197" t="s">
        <v>333</v>
      </c>
      <c r="E2414" s="199">
        <v>2.0</v>
      </c>
      <c r="F2414" s="200">
        <v>45783.41666666667</v>
      </c>
      <c r="G2414" s="197" t="s">
        <v>845</v>
      </c>
      <c r="H2414" s="197" t="s">
        <v>866</v>
      </c>
    </row>
    <row r="2415" ht="15.75" customHeight="1">
      <c r="A2415" s="197" t="s">
        <v>73</v>
      </c>
      <c r="B2415" s="197" t="s">
        <v>21</v>
      </c>
      <c r="C2415" s="198" t="s">
        <v>332</v>
      </c>
      <c r="D2415" s="197" t="s">
        <v>333</v>
      </c>
      <c r="E2415" s="199">
        <v>3.0</v>
      </c>
      <c r="F2415" s="200">
        <v>45790.41666666667</v>
      </c>
      <c r="G2415" s="197" t="s">
        <v>845</v>
      </c>
      <c r="H2415" s="197" t="s">
        <v>866</v>
      </c>
    </row>
    <row r="2416" ht="15.75" customHeight="1">
      <c r="A2416" s="197" t="s">
        <v>73</v>
      </c>
      <c r="B2416" s="197" t="s">
        <v>21</v>
      </c>
      <c r="C2416" s="198" t="s">
        <v>332</v>
      </c>
      <c r="D2416" s="197" t="s">
        <v>333</v>
      </c>
      <c r="E2416" s="199">
        <v>4.0</v>
      </c>
      <c r="F2416" s="200">
        <v>45804.41666666667</v>
      </c>
      <c r="G2416" s="197" t="s">
        <v>845</v>
      </c>
      <c r="H2416" s="197" t="s">
        <v>866</v>
      </c>
    </row>
    <row r="2417" ht="15.75" customHeight="1">
      <c r="A2417" s="197" t="s">
        <v>73</v>
      </c>
      <c r="B2417" s="197" t="s">
        <v>21</v>
      </c>
      <c r="C2417" s="198" t="s">
        <v>332</v>
      </c>
      <c r="D2417" s="197" t="s">
        <v>333</v>
      </c>
      <c r="E2417" s="199">
        <v>5.0</v>
      </c>
      <c r="F2417" s="200">
        <v>45811.625</v>
      </c>
      <c r="G2417" s="197" t="s">
        <v>845</v>
      </c>
      <c r="H2417" s="197" t="s">
        <v>866</v>
      </c>
    </row>
    <row r="2418" ht="15.75" customHeight="1">
      <c r="A2418" s="197" t="s">
        <v>73</v>
      </c>
      <c r="B2418" s="197" t="s">
        <v>21</v>
      </c>
      <c r="C2418" s="198" t="s">
        <v>332</v>
      </c>
      <c r="D2418" s="197" t="s">
        <v>333</v>
      </c>
      <c r="E2418" s="199">
        <v>6.0</v>
      </c>
      <c r="F2418" s="200">
        <v>45818.625</v>
      </c>
      <c r="G2418" s="197" t="s">
        <v>845</v>
      </c>
      <c r="H2418" s="197" t="s">
        <v>866</v>
      </c>
    </row>
    <row r="2419" ht="15.75" customHeight="1">
      <c r="A2419" s="197" t="s">
        <v>73</v>
      </c>
      <c r="B2419" s="197" t="s">
        <v>21</v>
      </c>
      <c r="C2419" s="198" t="s">
        <v>332</v>
      </c>
      <c r="D2419" s="197" t="s">
        <v>333</v>
      </c>
      <c r="E2419" s="199">
        <v>7.0</v>
      </c>
      <c r="F2419" s="200">
        <v>45825.625</v>
      </c>
      <c r="G2419" s="197" t="s">
        <v>845</v>
      </c>
      <c r="H2419" s="197" t="s">
        <v>866</v>
      </c>
    </row>
    <row r="2420" ht="15.75" customHeight="1">
      <c r="A2420" s="197" t="s">
        <v>73</v>
      </c>
      <c r="B2420" s="197" t="s">
        <v>21</v>
      </c>
      <c r="C2420" s="198" t="s">
        <v>332</v>
      </c>
      <c r="D2420" s="197" t="s">
        <v>333</v>
      </c>
      <c r="E2420" s="199">
        <v>8.0</v>
      </c>
      <c r="F2420" s="200">
        <v>45832.625</v>
      </c>
      <c r="G2420" s="197" t="s">
        <v>845</v>
      </c>
      <c r="H2420" s="197" t="s">
        <v>866</v>
      </c>
    </row>
    <row r="2421" ht="15.75" customHeight="1">
      <c r="A2421" s="197" t="s">
        <v>73</v>
      </c>
      <c r="B2421" s="197" t="s">
        <v>21</v>
      </c>
      <c r="C2421" s="198" t="s">
        <v>332</v>
      </c>
      <c r="D2421" s="197" t="s">
        <v>333</v>
      </c>
      <c r="E2421" s="199">
        <v>9.0</v>
      </c>
      <c r="F2421" s="200">
        <v>45846.625</v>
      </c>
      <c r="G2421" s="197" t="s">
        <v>845</v>
      </c>
      <c r="H2421" s="197" t="s">
        <v>866</v>
      </c>
    </row>
    <row r="2422" ht="15.75" customHeight="1">
      <c r="A2422" s="197" t="s">
        <v>73</v>
      </c>
      <c r="B2422" s="197" t="s">
        <v>21</v>
      </c>
      <c r="C2422" s="198" t="s">
        <v>332</v>
      </c>
      <c r="D2422" s="197" t="s">
        <v>333</v>
      </c>
      <c r="E2422" s="199">
        <v>10.0</v>
      </c>
      <c r="F2422" s="200">
        <v>45867.58333333333</v>
      </c>
      <c r="G2422" s="197" t="s">
        <v>845</v>
      </c>
      <c r="H2422" s="197" t="s">
        <v>866</v>
      </c>
    </row>
    <row r="2423" ht="15.75" customHeight="1">
      <c r="A2423" s="197" t="s">
        <v>73</v>
      </c>
      <c r="B2423" s="197" t="s">
        <v>21</v>
      </c>
      <c r="C2423" s="198" t="s">
        <v>419</v>
      </c>
      <c r="D2423" s="197" t="s">
        <v>420</v>
      </c>
      <c r="E2423" s="199">
        <v>1.0</v>
      </c>
      <c r="F2423" s="200">
        <v>45765.375</v>
      </c>
      <c r="G2423" s="197" t="s">
        <v>845</v>
      </c>
      <c r="H2423" s="197" t="s">
        <v>866</v>
      </c>
    </row>
    <row r="2424" ht="15.75" customHeight="1">
      <c r="A2424" s="197" t="s">
        <v>73</v>
      </c>
      <c r="B2424" s="197" t="s">
        <v>21</v>
      </c>
      <c r="C2424" s="198" t="s">
        <v>419</v>
      </c>
      <c r="D2424" s="197" t="s">
        <v>420</v>
      </c>
      <c r="E2424" s="199">
        <v>2.0</v>
      </c>
      <c r="F2424" s="200">
        <v>45783.41666666667</v>
      </c>
      <c r="G2424" s="197" t="s">
        <v>845</v>
      </c>
      <c r="H2424" s="197" t="s">
        <v>866</v>
      </c>
    </row>
    <row r="2425" ht="15.75" customHeight="1">
      <c r="A2425" s="197" t="s">
        <v>73</v>
      </c>
      <c r="B2425" s="197" t="s">
        <v>21</v>
      </c>
      <c r="C2425" s="198" t="s">
        <v>419</v>
      </c>
      <c r="D2425" s="197" t="s">
        <v>420</v>
      </c>
      <c r="E2425" s="199">
        <v>3.0</v>
      </c>
      <c r="F2425" s="200">
        <v>45790.41666666667</v>
      </c>
      <c r="G2425" s="197" t="s">
        <v>845</v>
      </c>
      <c r="H2425" s="197" t="s">
        <v>866</v>
      </c>
    </row>
    <row r="2426" ht="15.75" customHeight="1">
      <c r="A2426" s="197" t="s">
        <v>73</v>
      </c>
      <c r="B2426" s="197" t="s">
        <v>21</v>
      </c>
      <c r="C2426" s="198" t="s">
        <v>419</v>
      </c>
      <c r="D2426" s="197" t="s">
        <v>420</v>
      </c>
      <c r="E2426" s="199">
        <v>4.0</v>
      </c>
      <c r="F2426" s="200">
        <v>45804.41666666667</v>
      </c>
      <c r="G2426" s="197" t="s">
        <v>845</v>
      </c>
      <c r="H2426" s="197" t="s">
        <v>866</v>
      </c>
    </row>
    <row r="2427" ht="15.75" customHeight="1">
      <c r="A2427" s="197" t="s">
        <v>73</v>
      </c>
      <c r="B2427" s="197" t="s">
        <v>21</v>
      </c>
      <c r="C2427" s="198" t="s">
        <v>419</v>
      </c>
      <c r="D2427" s="197" t="s">
        <v>420</v>
      </c>
      <c r="E2427" s="199">
        <v>5.0</v>
      </c>
      <c r="F2427" s="200">
        <v>45811.625</v>
      </c>
      <c r="G2427" s="197" t="s">
        <v>845</v>
      </c>
      <c r="H2427" s="197" t="s">
        <v>866</v>
      </c>
    </row>
    <row r="2428" ht="15.75" customHeight="1">
      <c r="A2428" s="197" t="s">
        <v>73</v>
      </c>
      <c r="B2428" s="197" t="s">
        <v>21</v>
      </c>
      <c r="C2428" s="198" t="s">
        <v>419</v>
      </c>
      <c r="D2428" s="197" t="s">
        <v>420</v>
      </c>
      <c r="E2428" s="199">
        <v>6.0</v>
      </c>
      <c r="F2428" s="200">
        <v>45818.625</v>
      </c>
      <c r="G2428" s="197" t="s">
        <v>845</v>
      </c>
      <c r="H2428" s="197" t="s">
        <v>866</v>
      </c>
    </row>
    <row r="2429" ht="15.75" customHeight="1">
      <c r="A2429" s="197" t="s">
        <v>73</v>
      </c>
      <c r="B2429" s="197" t="s">
        <v>21</v>
      </c>
      <c r="C2429" s="198" t="s">
        <v>419</v>
      </c>
      <c r="D2429" s="197" t="s">
        <v>420</v>
      </c>
      <c r="E2429" s="199">
        <v>7.0</v>
      </c>
      <c r="F2429" s="200">
        <v>45825.625</v>
      </c>
      <c r="G2429" s="197" t="s">
        <v>845</v>
      </c>
      <c r="H2429" s="197" t="s">
        <v>866</v>
      </c>
    </row>
    <row r="2430" ht="15.75" customHeight="1">
      <c r="A2430" s="197" t="s">
        <v>73</v>
      </c>
      <c r="B2430" s="197" t="s">
        <v>21</v>
      </c>
      <c r="C2430" s="198" t="s">
        <v>419</v>
      </c>
      <c r="D2430" s="197" t="s">
        <v>420</v>
      </c>
      <c r="E2430" s="199">
        <v>8.0</v>
      </c>
      <c r="F2430" s="200">
        <v>45832.625</v>
      </c>
      <c r="G2430" s="197" t="s">
        <v>845</v>
      </c>
      <c r="H2430" s="197" t="s">
        <v>866</v>
      </c>
    </row>
    <row r="2431" ht="15.75" customHeight="1">
      <c r="A2431" s="197" t="s">
        <v>73</v>
      </c>
      <c r="B2431" s="197" t="s">
        <v>21</v>
      </c>
      <c r="C2431" s="198" t="s">
        <v>419</v>
      </c>
      <c r="D2431" s="197" t="s">
        <v>420</v>
      </c>
      <c r="E2431" s="199">
        <v>9.0</v>
      </c>
      <c r="F2431" s="200">
        <v>45846.625</v>
      </c>
      <c r="G2431" s="197" t="s">
        <v>845</v>
      </c>
      <c r="H2431" s="197" t="s">
        <v>866</v>
      </c>
    </row>
    <row r="2432" ht="15.75" customHeight="1">
      <c r="A2432" s="197" t="s">
        <v>73</v>
      </c>
      <c r="B2432" s="197" t="s">
        <v>21</v>
      </c>
      <c r="C2432" s="198" t="s">
        <v>419</v>
      </c>
      <c r="D2432" s="197" t="s">
        <v>420</v>
      </c>
      <c r="E2432" s="199">
        <v>10.0</v>
      </c>
      <c r="F2432" s="200">
        <v>45867.58333333333</v>
      </c>
      <c r="G2432" s="197" t="s">
        <v>845</v>
      </c>
      <c r="H2432" s="197" t="s">
        <v>866</v>
      </c>
    </row>
    <row r="2433" ht="15.75" customHeight="1">
      <c r="A2433" s="197" t="s">
        <v>73</v>
      </c>
      <c r="B2433" s="197" t="s">
        <v>21</v>
      </c>
      <c r="C2433" s="198" t="s">
        <v>562</v>
      </c>
      <c r="D2433" s="197" t="s">
        <v>563</v>
      </c>
      <c r="E2433" s="199">
        <v>1.0</v>
      </c>
      <c r="F2433" s="200">
        <v>45765.375</v>
      </c>
      <c r="G2433" s="197" t="s">
        <v>845</v>
      </c>
      <c r="H2433" s="197" t="s">
        <v>866</v>
      </c>
    </row>
    <row r="2434" ht="15.75" customHeight="1">
      <c r="A2434" s="197" t="s">
        <v>73</v>
      </c>
      <c r="B2434" s="197" t="s">
        <v>21</v>
      </c>
      <c r="C2434" s="198" t="s">
        <v>562</v>
      </c>
      <c r="D2434" s="197" t="s">
        <v>563</v>
      </c>
      <c r="E2434" s="199">
        <v>2.0</v>
      </c>
      <c r="F2434" s="200">
        <v>45783.41666666667</v>
      </c>
      <c r="G2434" s="197" t="s">
        <v>845</v>
      </c>
      <c r="H2434" s="197" t="s">
        <v>866</v>
      </c>
    </row>
    <row r="2435" ht="15.75" customHeight="1">
      <c r="A2435" s="197" t="s">
        <v>73</v>
      </c>
      <c r="B2435" s="197" t="s">
        <v>21</v>
      </c>
      <c r="C2435" s="198" t="s">
        <v>562</v>
      </c>
      <c r="D2435" s="197" t="s">
        <v>563</v>
      </c>
      <c r="E2435" s="199">
        <v>3.0</v>
      </c>
      <c r="F2435" s="200">
        <v>45790.41666666667</v>
      </c>
      <c r="G2435" s="197" t="s">
        <v>845</v>
      </c>
      <c r="H2435" s="197" t="s">
        <v>866</v>
      </c>
    </row>
    <row r="2436" ht="15.75" customHeight="1">
      <c r="A2436" s="197" t="s">
        <v>73</v>
      </c>
      <c r="B2436" s="197" t="s">
        <v>21</v>
      </c>
      <c r="C2436" s="198" t="s">
        <v>562</v>
      </c>
      <c r="D2436" s="197" t="s">
        <v>563</v>
      </c>
      <c r="E2436" s="199">
        <v>4.0</v>
      </c>
      <c r="F2436" s="200">
        <v>45804.41666666667</v>
      </c>
      <c r="G2436" s="197" t="s">
        <v>845</v>
      </c>
      <c r="H2436" s="197" t="s">
        <v>866</v>
      </c>
    </row>
    <row r="2437" ht="15.75" customHeight="1">
      <c r="A2437" s="197" t="s">
        <v>73</v>
      </c>
      <c r="B2437" s="197" t="s">
        <v>21</v>
      </c>
      <c r="C2437" s="198" t="s">
        <v>562</v>
      </c>
      <c r="D2437" s="197" t="s">
        <v>563</v>
      </c>
      <c r="E2437" s="199">
        <v>5.0</v>
      </c>
      <c r="F2437" s="200">
        <v>45811.625</v>
      </c>
      <c r="G2437" s="197" t="s">
        <v>845</v>
      </c>
      <c r="H2437" s="197" t="s">
        <v>866</v>
      </c>
    </row>
    <row r="2438" ht="15.75" customHeight="1">
      <c r="A2438" s="197" t="s">
        <v>73</v>
      </c>
      <c r="B2438" s="197" t="s">
        <v>21</v>
      </c>
      <c r="C2438" s="198" t="s">
        <v>562</v>
      </c>
      <c r="D2438" s="197" t="s">
        <v>563</v>
      </c>
      <c r="E2438" s="199">
        <v>6.0</v>
      </c>
      <c r="F2438" s="200">
        <v>45818.625</v>
      </c>
      <c r="G2438" s="197" t="s">
        <v>845</v>
      </c>
      <c r="H2438" s="197" t="s">
        <v>866</v>
      </c>
    </row>
    <row r="2439" ht="15.75" customHeight="1">
      <c r="A2439" s="197" t="s">
        <v>73</v>
      </c>
      <c r="B2439" s="197" t="s">
        <v>21</v>
      </c>
      <c r="C2439" s="198" t="s">
        <v>562</v>
      </c>
      <c r="D2439" s="197" t="s">
        <v>563</v>
      </c>
      <c r="E2439" s="199">
        <v>7.0</v>
      </c>
      <c r="F2439" s="200">
        <v>45825.625</v>
      </c>
      <c r="G2439" s="197" t="s">
        <v>845</v>
      </c>
      <c r="H2439" s="197" t="s">
        <v>866</v>
      </c>
    </row>
    <row r="2440" ht="15.75" customHeight="1">
      <c r="A2440" s="197" t="s">
        <v>73</v>
      </c>
      <c r="B2440" s="197" t="s">
        <v>21</v>
      </c>
      <c r="C2440" s="198" t="s">
        <v>562</v>
      </c>
      <c r="D2440" s="197" t="s">
        <v>563</v>
      </c>
      <c r="E2440" s="199">
        <v>8.0</v>
      </c>
      <c r="F2440" s="200">
        <v>45832.625</v>
      </c>
      <c r="G2440" s="197" t="s">
        <v>843</v>
      </c>
      <c r="H2440" s="197" t="s">
        <v>866</v>
      </c>
    </row>
    <row r="2441" ht="15.75" customHeight="1">
      <c r="A2441" s="197" t="s">
        <v>73</v>
      </c>
      <c r="B2441" s="197" t="s">
        <v>21</v>
      </c>
      <c r="C2441" s="198" t="s">
        <v>562</v>
      </c>
      <c r="D2441" s="197" t="s">
        <v>563</v>
      </c>
      <c r="E2441" s="199">
        <v>9.0</v>
      </c>
      <c r="F2441" s="200">
        <v>45846.625</v>
      </c>
      <c r="G2441" s="197" t="s">
        <v>845</v>
      </c>
      <c r="H2441" s="197" t="s">
        <v>866</v>
      </c>
    </row>
    <row r="2442" ht="15.75" customHeight="1">
      <c r="A2442" s="197" t="s">
        <v>73</v>
      </c>
      <c r="B2442" s="197" t="s">
        <v>21</v>
      </c>
      <c r="C2442" s="198" t="s">
        <v>562</v>
      </c>
      <c r="D2442" s="197" t="s">
        <v>563</v>
      </c>
      <c r="E2442" s="199">
        <v>10.0</v>
      </c>
      <c r="F2442" s="200">
        <v>45867.58333333333</v>
      </c>
      <c r="G2442" s="197" t="s">
        <v>845</v>
      </c>
      <c r="H2442" s="197" t="s">
        <v>866</v>
      </c>
    </row>
    <row r="2443" ht="15.75" customHeight="1">
      <c r="A2443" s="197" t="s">
        <v>73</v>
      </c>
      <c r="B2443" s="197" t="s">
        <v>21</v>
      </c>
      <c r="C2443" s="198" t="s">
        <v>693</v>
      </c>
      <c r="D2443" s="197" t="s">
        <v>694</v>
      </c>
      <c r="E2443" s="199">
        <v>1.0</v>
      </c>
      <c r="F2443" s="200">
        <v>45765.375</v>
      </c>
      <c r="G2443" s="197" t="s">
        <v>845</v>
      </c>
      <c r="H2443" s="197" t="s">
        <v>866</v>
      </c>
    </row>
    <row r="2444" ht="15.75" customHeight="1">
      <c r="A2444" s="197" t="s">
        <v>73</v>
      </c>
      <c r="B2444" s="197" t="s">
        <v>21</v>
      </c>
      <c r="C2444" s="198" t="s">
        <v>693</v>
      </c>
      <c r="D2444" s="197" t="s">
        <v>694</v>
      </c>
      <c r="E2444" s="199">
        <v>2.0</v>
      </c>
      <c r="F2444" s="200">
        <v>45783.41666666667</v>
      </c>
      <c r="G2444" s="197" t="s">
        <v>845</v>
      </c>
      <c r="H2444" s="197" t="s">
        <v>866</v>
      </c>
    </row>
    <row r="2445" ht="15.75" customHeight="1">
      <c r="A2445" s="197" t="s">
        <v>73</v>
      </c>
      <c r="B2445" s="197" t="s">
        <v>21</v>
      </c>
      <c r="C2445" s="198" t="s">
        <v>693</v>
      </c>
      <c r="D2445" s="197" t="s">
        <v>694</v>
      </c>
      <c r="E2445" s="199">
        <v>3.0</v>
      </c>
      <c r="F2445" s="200">
        <v>45790.41666666667</v>
      </c>
      <c r="G2445" s="197" t="s">
        <v>845</v>
      </c>
      <c r="H2445" s="197" t="s">
        <v>866</v>
      </c>
    </row>
    <row r="2446" ht="15.75" customHeight="1">
      <c r="A2446" s="197" t="s">
        <v>73</v>
      </c>
      <c r="B2446" s="197" t="s">
        <v>21</v>
      </c>
      <c r="C2446" s="198" t="s">
        <v>693</v>
      </c>
      <c r="D2446" s="197" t="s">
        <v>694</v>
      </c>
      <c r="E2446" s="199">
        <v>4.0</v>
      </c>
      <c r="F2446" s="200">
        <v>45804.41666666667</v>
      </c>
      <c r="G2446" s="197" t="s">
        <v>845</v>
      </c>
      <c r="H2446" s="197" t="s">
        <v>866</v>
      </c>
    </row>
    <row r="2447" ht="15.75" customHeight="1">
      <c r="A2447" s="197" t="s">
        <v>73</v>
      </c>
      <c r="B2447" s="197" t="s">
        <v>21</v>
      </c>
      <c r="C2447" s="198" t="s">
        <v>693</v>
      </c>
      <c r="D2447" s="197" t="s">
        <v>694</v>
      </c>
      <c r="E2447" s="199">
        <v>5.0</v>
      </c>
      <c r="F2447" s="200">
        <v>45811.625</v>
      </c>
      <c r="G2447" s="197" t="s">
        <v>845</v>
      </c>
      <c r="H2447" s="197" t="s">
        <v>866</v>
      </c>
    </row>
    <row r="2448" ht="15.75" customHeight="1">
      <c r="A2448" s="197" t="s">
        <v>73</v>
      </c>
      <c r="B2448" s="197" t="s">
        <v>21</v>
      </c>
      <c r="C2448" s="198" t="s">
        <v>693</v>
      </c>
      <c r="D2448" s="197" t="s">
        <v>694</v>
      </c>
      <c r="E2448" s="199">
        <v>6.0</v>
      </c>
      <c r="F2448" s="200">
        <v>45818.625</v>
      </c>
      <c r="G2448" s="197" t="s">
        <v>845</v>
      </c>
      <c r="H2448" s="197" t="s">
        <v>866</v>
      </c>
    </row>
    <row r="2449" ht="15.75" customHeight="1">
      <c r="A2449" s="197" t="s">
        <v>73</v>
      </c>
      <c r="B2449" s="197" t="s">
        <v>21</v>
      </c>
      <c r="C2449" s="198" t="s">
        <v>693</v>
      </c>
      <c r="D2449" s="197" t="s">
        <v>694</v>
      </c>
      <c r="E2449" s="199">
        <v>7.0</v>
      </c>
      <c r="F2449" s="200">
        <v>45825.625</v>
      </c>
      <c r="G2449" s="197" t="s">
        <v>845</v>
      </c>
      <c r="H2449" s="197" t="s">
        <v>866</v>
      </c>
    </row>
    <row r="2450" ht="15.75" customHeight="1">
      <c r="A2450" s="197" t="s">
        <v>73</v>
      </c>
      <c r="B2450" s="197" t="s">
        <v>21</v>
      </c>
      <c r="C2450" s="198" t="s">
        <v>693</v>
      </c>
      <c r="D2450" s="197" t="s">
        <v>694</v>
      </c>
      <c r="E2450" s="199">
        <v>8.0</v>
      </c>
      <c r="F2450" s="200">
        <v>45832.625</v>
      </c>
      <c r="G2450" s="197" t="s">
        <v>845</v>
      </c>
      <c r="H2450" s="197" t="s">
        <v>866</v>
      </c>
    </row>
    <row r="2451" ht="15.75" customHeight="1">
      <c r="A2451" s="197" t="s">
        <v>73</v>
      </c>
      <c r="B2451" s="197" t="s">
        <v>21</v>
      </c>
      <c r="C2451" s="198" t="s">
        <v>693</v>
      </c>
      <c r="D2451" s="197" t="s">
        <v>694</v>
      </c>
      <c r="E2451" s="199">
        <v>9.0</v>
      </c>
      <c r="F2451" s="200">
        <v>45846.625</v>
      </c>
      <c r="G2451" s="197" t="s">
        <v>845</v>
      </c>
      <c r="H2451" s="197" t="s">
        <v>866</v>
      </c>
    </row>
    <row r="2452" ht="15.75" customHeight="1">
      <c r="A2452" s="197" t="s">
        <v>73</v>
      </c>
      <c r="B2452" s="197" t="s">
        <v>21</v>
      </c>
      <c r="C2452" s="198" t="s">
        <v>693</v>
      </c>
      <c r="D2452" s="197" t="s">
        <v>694</v>
      </c>
      <c r="E2452" s="199">
        <v>10.0</v>
      </c>
      <c r="F2452" s="200">
        <v>45867.58333333333</v>
      </c>
      <c r="G2452" s="197" t="s">
        <v>845</v>
      </c>
      <c r="H2452" s="197" t="s">
        <v>866</v>
      </c>
    </row>
    <row r="2453" ht="15.75" customHeight="1">
      <c r="A2453" s="197" t="s">
        <v>74</v>
      </c>
      <c r="B2453" s="197" t="s">
        <v>21</v>
      </c>
      <c r="C2453" s="198" t="s">
        <v>186</v>
      </c>
      <c r="D2453" s="197" t="s">
        <v>187</v>
      </c>
      <c r="E2453" s="199">
        <v>1.0</v>
      </c>
      <c r="F2453" s="200">
        <v>45813.375</v>
      </c>
      <c r="G2453" s="197" t="s">
        <v>845</v>
      </c>
      <c r="H2453" s="197" t="s">
        <v>867</v>
      </c>
    </row>
    <row r="2454" ht="15.75" customHeight="1">
      <c r="A2454" s="197" t="s">
        <v>74</v>
      </c>
      <c r="B2454" s="197" t="s">
        <v>21</v>
      </c>
      <c r="C2454" s="198" t="s">
        <v>186</v>
      </c>
      <c r="D2454" s="197" t="s">
        <v>187</v>
      </c>
      <c r="E2454" s="199">
        <v>2.0</v>
      </c>
      <c r="F2454" s="200">
        <v>45818.375</v>
      </c>
      <c r="G2454" s="197" t="s">
        <v>845</v>
      </c>
      <c r="H2454" s="197" t="s">
        <v>867</v>
      </c>
    </row>
    <row r="2455" ht="15.75" customHeight="1">
      <c r="A2455" s="197" t="s">
        <v>74</v>
      </c>
      <c r="B2455" s="197" t="s">
        <v>21</v>
      </c>
      <c r="C2455" s="198" t="s">
        <v>186</v>
      </c>
      <c r="D2455" s="197" t="s">
        <v>187</v>
      </c>
      <c r="E2455" s="199">
        <v>3.0</v>
      </c>
      <c r="F2455" s="200">
        <v>45827.375</v>
      </c>
      <c r="G2455" s="197" t="s">
        <v>845</v>
      </c>
      <c r="H2455" s="197" t="s">
        <v>867</v>
      </c>
    </row>
    <row r="2456" ht="15.75" customHeight="1">
      <c r="A2456" s="197" t="s">
        <v>74</v>
      </c>
      <c r="B2456" s="197" t="s">
        <v>21</v>
      </c>
      <c r="C2456" s="198" t="s">
        <v>186</v>
      </c>
      <c r="D2456" s="197" t="s">
        <v>187</v>
      </c>
      <c r="E2456" s="199">
        <v>4.0</v>
      </c>
      <c r="F2456" s="200">
        <v>45831.375</v>
      </c>
      <c r="G2456" s="197" t="s">
        <v>845</v>
      </c>
      <c r="H2456" s="197" t="s">
        <v>867</v>
      </c>
    </row>
    <row r="2457" ht="15.75" customHeight="1">
      <c r="A2457" s="197" t="s">
        <v>74</v>
      </c>
      <c r="B2457" s="197" t="s">
        <v>21</v>
      </c>
      <c r="C2457" s="198" t="s">
        <v>186</v>
      </c>
      <c r="D2457" s="197" t="s">
        <v>187</v>
      </c>
      <c r="E2457" s="199">
        <v>5.0</v>
      </c>
      <c r="F2457" s="200">
        <v>45917.45833333333</v>
      </c>
      <c r="G2457" s="197" t="s">
        <v>845</v>
      </c>
      <c r="H2457" s="197" t="s">
        <v>867</v>
      </c>
    </row>
    <row r="2458" ht="15.75" customHeight="1">
      <c r="A2458" s="197" t="s">
        <v>74</v>
      </c>
      <c r="B2458" s="197" t="s">
        <v>21</v>
      </c>
      <c r="C2458" s="198" t="s">
        <v>186</v>
      </c>
      <c r="D2458" s="197" t="s">
        <v>187</v>
      </c>
      <c r="E2458" s="199">
        <v>6.0</v>
      </c>
      <c r="F2458" s="200">
        <v>45923.45833333333</v>
      </c>
      <c r="G2458" s="197" t="s">
        <v>845</v>
      </c>
      <c r="H2458" s="197" t="s">
        <v>867</v>
      </c>
    </row>
    <row r="2459" ht="15.75" customHeight="1">
      <c r="A2459" s="197" t="s">
        <v>74</v>
      </c>
      <c r="B2459" s="197" t="s">
        <v>21</v>
      </c>
      <c r="C2459" s="198" t="s">
        <v>186</v>
      </c>
      <c r="D2459" s="197" t="s">
        <v>187</v>
      </c>
      <c r="E2459" s="199">
        <v>7.0</v>
      </c>
      <c r="F2459" s="200">
        <v>45926.625</v>
      </c>
      <c r="G2459" s="197" t="s">
        <v>845</v>
      </c>
      <c r="H2459" s="197" t="s">
        <v>867</v>
      </c>
    </row>
    <row r="2460" ht="15.75" customHeight="1">
      <c r="A2460" s="197" t="s">
        <v>74</v>
      </c>
      <c r="B2460" s="197" t="s">
        <v>21</v>
      </c>
      <c r="C2460" s="198" t="s">
        <v>186</v>
      </c>
      <c r="D2460" s="197" t="s">
        <v>187</v>
      </c>
      <c r="E2460" s="199">
        <v>8.0</v>
      </c>
      <c r="F2460" s="200">
        <v>45939.58333333333</v>
      </c>
      <c r="G2460" s="197" t="s">
        <v>845</v>
      </c>
      <c r="H2460" s="197" t="s">
        <v>867</v>
      </c>
    </row>
    <row r="2461" ht="15.75" customHeight="1">
      <c r="A2461" s="197" t="s">
        <v>74</v>
      </c>
      <c r="B2461" s="197" t="s">
        <v>21</v>
      </c>
      <c r="C2461" s="198" t="s">
        <v>186</v>
      </c>
      <c r="D2461" s="197" t="s">
        <v>187</v>
      </c>
      <c r="E2461" s="199">
        <v>9.0</v>
      </c>
      <c r="F2461" s="200">
        <v>45940.54166666667</v>
      </c>
      <c r="G2461" s="197" t="s">
        <v>845</v>
      </c>
      <c r="H2461" s="197" t="s">
        <v>867</v>
      </c>
    </row>
    <row r="2462" ht="15.75" customHeight="1">
      <c r="A2462" s="197" t="s">
        <v>74</v>
      </c>
      <c r="B2462" s="197" t="s">
        <v>21</v>
      </c>
      <c r="C2462" s="198" t="s">
        <v>186</v>
      </c>
      <c r="D2462" s="197" t="s">
        <v>187</v>
      </c>
      <c r="E2462" s="199">
        <v>10.0</v>
      </c>
      <c r="F2462" s="200">
        <v>45947.45833333333</v>
      </c>
      <c r="G2462" s="197" t="s">
        <v>845</v>
      </c>
      <c r="H2462" s="197" t="s">
        <v>867</v>
      </c>
    </row>
    <row r="2463" ht="15.75" customHeight="1">
      <c r="A2463" s="197" t="s">
        <v>74</v>
      </c>
      <c r="B2463" s="197" t="s">
        <v>21</v>
      </c>
      <c r="C2463" s="198" t="s">
        <v>186</v>
      </c>
      <c r="D2463" s="197" t="s">
        <v>187</v>
      </c>
      <c r="E2463" s="199">
        <v>11.0</v>
      </c>
      <c r="F2463" s="200">
        <v>45957.58333333333</v>
      </c>
      <c r="G2463" s="197" t="s">
        <v>845</v>
      </c>
      <c r="H2463" s="197" t="s">
        <v>867</v>
      </c>
    </row>
    <row r="2464" ht="15.75" customHeight="1">
      <c r="A2464" s="197" t="s">
        <v>74</v>
      </c>
      <c r="B2464" s="197" t="s">
        <v>21</v>
      </c>
      <c r="C2464" s="198" t="s">
        <v>186</v>
      </c>
      <c r="D2464" s="197" t="s">
        <v>187</v>
      </c>
      <c r="E2464" s="199">
        <v>12.0</v>
      </c>
      <c r="F2464" s="200">
        <v>45964.45833333333</v>
      </c>
      <c r="G2464" s="197" t="s">
        <v>845</v>
      </c>
      <c r="H2464" s="197" t="s">
        <v>867</v>
      </c>
    </row>
    <row r="2465" ht="15.75" customHeight="1">
      <c r="A2465" s="197" t="s">
        <v>74</v>
      </c>
      <c r="B2465" s="197" t="s">
        <v>21</v>
      </c>
      <c r="C2465" s="198" t="s">
        <v>186</v>
      </c>
      <c r="D2465" s="197" t="s">
        <v>187</v>
      </c>
      <c r="E2465" s="199">
        <v>13.0</v>
      </c>
      <c r="F2465" s="200">
        <v>45971.58333333333</v>
      </c>
      <c r="G2465" s="197" t="s">
        <v>845</v>
      </c>
      <c r="H2465" s="197" t="s">
        <v>867</v>
      </c>
    </row>
    <row r="2466" ht="15.75" customHeight="1">
      <c r="A2466" s="197" t="s">
        <v>74</v>
      </c>
      <c r="B2466" s="197" t="s">
        <v>21</v>
      </c>
      <c r="C2466" s="198" t="s">
        <v>186</v>
      </c>
      <c r="D2466" s="197" t="s">
        <v>187</v>
      </c>
      <c r="E2466" s="199">
        <v>14.0</v>
      </c>
      <c r="F2466" s="200">
        <v>45985.41666666667</v>
      </c>
      <c r="G2466" s="197" t="s">
        <v>845</v>
      </c>
      <c r="H2466" s="197" t="s">
        <v>867</v>
      </c>
    </row>
    <row r="2467" ht="15.75" customHeight="1">
      <c r="A2467" s="197" t="s">
        <v>74</v>
      </c>
      <c r="B2467" s="197" t="s">
        <v>22</v>
      </c>
      <c r="C2467" s="198" t="s">
        <v>186</v>
      </c>
      <c r="D2467" s="197" t="s">
        <v>187</v>
      </c>
      <c r="E2467" s="199">
        <v>2.0</v>
      </c>
      <c r="F2467" s="200">
        <v>46106.41666666667</v>
      </c>
      <c r="G2467" s="197" t="s">
        <v>845</v>
      </c>
      <c r="H2467" s="197" t="s">
        <v>867</v>
      </c>
    </row>
    <row r="2468" ht="15.75" customHeight="1">
      <c r="A2468" s="197" t="s">
        <v>74</v>
      </c>
      <c r="B2468" s="197" t="s">
        <v>22</v>
      </c>
      <c r="C2468" s="198" t="s">
        <v>186</v>
      </c>
      <c r="D2468" s="197" t="s">
        <v>187</v>
      </c>
      <c r="E2468" s="199">
        <v>3.0</v>
      </c>
      <c r="F2468" s="200">
        <v>46114.45833333333</v>
      </c>
      <c r="G2468" s="197" t="s">
        <v>843</v>
      </c>
      <c r="H2468" s="197" t="s">
        <v>867</v>
      </c>
    </row>
    <row r="2469" ht="15.75" customHeight="1">
      <c r="A2469" s="197" t="s">
        <v>74</v>
      </c>
      <c r="B2469" s="197" t="s">
        <v>22</v>
      </c>
      <c r="C2469" s="198" t="s">
        <v>186</v>
      </c>
      <c r="D2469" s="197" t="s">
        <v>187</v>
      </c>
      <c r="E2469" s="199">
        <v>4.0</v>
      </c>
      <c r="F2469" s="200">
        <v>46119.58333333333</v>
      </c>
      <c r="G2469" s="197" t="s">
        <v>845</v>
      </c>
      <c r="H2469" s="197" t="s">
        <v>867</v>
      </c>
    </row>
    <row r="2470" ht="15.75" customHeight="1">
      <c r="A2470" s="197" t="s">
        <v>74</v>
      </c>
      <c r="B2470" s="197" t="s">
        <v>22</v>
      </c>
      <c r="C2470" s="198" t="s">
        <v>186</v>
      </c>
      <c r="D2470" s="197" t="s">
        <v>187</v>
      </c>
      <c r="E2470" s="199">
        <v>5.0</v>
      </c>
      <c r="F2470" s="200">
        <v>46126.41666666667</v>
      </c>
      <c r="G2470" s="197" t="s">
        <v>845</v>
      </c>
      <c r="H2470" s="197" t="s">
        <v>867</v>
      </c>
    </row>
    <row r="2471" ht="15.75" customHeight="1">
      <c r="A2471" s="197" t="s">
        <v>74</v>
      </c>
      <c r="B2471" s="197" t="s">
        <v>22</v>
      </c>
      <c r="C2471" s="198" t="s">
        <v>186</v>
      </c>
      <c r="D2471" s="197" t="s">
        <v>187</v>
      </c>
      <c r="E2471" s="199">
        <v>6.0</v>
      </c>
      <c r="F2471" s="200">
        <v>46135.41666666667</v>
      </c>
      <c r="G2471" s="197" t="s">
        <v>845</v>
      </c>
      <c r="H2471" s="197" t="s">
        <v>867</v>
      </c>
    </row>
    <row r="2472" ht="15.75" customHeight="1">
      <c r="A2472" s="197" t="s">
        <v>74</v>
      </c>
      <c r="B2472" s="197" t="s">
        <v>25</v>
      </c>
      <c r="C2472" s="198" t="s">
        <v>186</v>
      </c>
      <c r="D2472" s="197" t="s">
        <v>187</v>
      </c>
      <c r="E2472" s="199">
        <v>1.0</v>
      </c>
      <c r="F2472" s="200">
        <v>45818.375</v>
      </c>
      <c r="G2472" s="197" t="s">
        <v>845</v>
      </c>
      <c r="H2472" s="197" t="s">
        <v>867</v>
      </c>
    </row>
    <row r="2473" ht="15.75" customHeight="1">
      <c r="A2473" s="197" t="s">
        <v>74</v>
      </c>
      <c r="B2473" s="197" t="s">
        <v>25</v>
      </c>
      <c r="C2473" s="198" t="s">
        <v>186</v>
      </c>
      <c r="D2473" s="197" t="s">
        <v>187</v>
      </c>
      <c r="E2473" s="199">
        <v>2.0</v>
      </c>
      <c r="F2473" s="200">
        <v>45827.375</v>
      </c>
      <c r="G2473" s="197" t="s">
        <v>845</v>
      </c>
      <c r="H2473" s="197" t="s">
        <v>867</v>
      </c>
    </row>
    <row r="2474" ht="15.75" customHeight="1">
      <c r="A2474" s="197" t="s">
        <v>74</v>
      </c>
      <c r="B2474" s="197" t="s">
        <v>25</v>
      </c>
      <c r="C2474" s="198" t="s">
        <v>186</v>
      </c>
      <c r="D2474" s="197" t="s">
        <v>187</v>
      </c>
      <c r="E2474" s="199">
        <v>3.0</v>
      </c>
      <c r="F2474" s="200">
        <v>45831.375</v>
      </c>
      <c r="G2474" s="197" t="s">
        <v>845</v>
      </c>
      <c r="H2474" s="197" t="s">
        <v>867</v>
      </c>
    </row>
    <row r="2475" ht="15.75" customHeight="1">
      <c r="A2475" s="197" t="s">
        <v>74</v>
      </c>
      <c r="B2475" s="197" t="s">
        <v>25</v>
      </c>
      <c r="C2475" s="198" t="s">
        <v>186</v>
      </c>
      <c r="D2475" s="197" t="s">
        <v>187</v>
      </c>
      <c r="E2475" s="199">
        <v>4.0</v>
      </c>
      <c r="F2475" s="200">
        <v>45840.45833333333</v>
      </c>
      <c r="G2475" s="197" t="s">
        <v>845</v>
      </c>
      <c r="H2475" s="197" t="s">
        <v>867</v>
      </c>
    </row>
    <row r="2476" ht="15.75" customHeight="1">
      <c r="A2476" s="197" t="s">
        <v>74</v>
      </c>
      <c r="B2476" s="197" t="s">
        <v>25</v>
      </c>
      <c r="C2476" s="198" t="s">
        <v>186</v>
      </c>
      <c r="D2476" s="197" t="s">
        <v>187</v>
      </c>
      <c r="E2476" s="199">
        <v>5.0</v>
      </c>
      <c r="F2476" s="200">
        <v>45852.45833333333</v>
      </c>
      <c r="G2476" s="197" t="s">
        <v>845</v>
      </c>
      <c r="H2476" s="197" t="s">
        <v>867</v>
      </c>
    </row>
    <row r="2477" ht="15.75" customHeight="1">
      <c r="A2477" s="197" t="s">
        <v>74</v>
      </c>
      <c r="B2477" s="197" t="s">
        <v>25</v>
      </c>
      <c r="C2477" s="198" t="s">
        <v>186</v>
      </c>
      <c r="D2477" s="197" t="s">
        <v>187</v>
      </c>
      <c r="E2477" s="199">
        <v>6.0</v>
      </c>
      <c r="F2477" s="200">
        <v>45855.45833333333</v>
      </c>
      <c r="G2477" s="197" t="s">
        <v>845</v>
      </c>
      <c r="H2477" s="197" t="s">
        <v>867</v>
      </c>
    </row>
    <row r="2478" ht="15.75" customHeight="1">
      <c r="A2478" s="197" t="s">
        <v>74</v>
      </c>
      <c r="B2478" s="197" t="s">
        <v>25</v>
      </c>
      <c r="C2478" s="198" t="s">
        <v>186</v>
      </c>
      <c r="D2478" s="197" t="s">
        <v>187</v>
      </c>
      <c r="E2478" s="199">
        <v>7.0</v>
      </c>
      <c r="F2478" s="200">
        <v>45866.45833333333</v>
      </c>
      <c r="G2478" s="197" t="s">
        <v>845</v>
      </c>
      <c r="H2478" s="197" t="s">
        <v>867</v>
      </c>
    </row>
    <row r="2479" ht="15.75" customHeight="1">
      <c r="A2479" s="197" t="s">
        <v>74</v>
      </c>
      <c r="B2479" s="197" t="s">
        <v>25</v>
      </c>
      <c r="C2479" s="198" t="s">
        <v>186</v>
      </c>
      <c r="D2479" s="197" t="s">
        <v>187</v>
      </c>
      <c r="E2479" s="199">
        <v>8.0</v>
      </c>
      <c r="F2479" s="200">
        <v>45881.625</v>
      </c>
      <c r="G2479" s="197" t="s">
        <v>845</v>
      </c>
      <c r="H2479" s="197" t="s">
        <v>867</v>
      </c>
    </row>
    <row r="2480" ht="15.75" customHeight="1">
      <c r="A2480" s="197" t="s">
        <v>74</v>
      </c>
      <c r="B2480" s="197" t="s">
        <v>25</v>
      </c>
      <c r="C2480" s="198" t="s">
        <v>186</v>
      </c>
      <c r="D2480" s="197" t="s">
        <v>187</v>
      </c>
      <c r="E2480" s="199">
        <v>9.0</v>
      </c>
      <c r="F2480" s="200">
        <v>45884.58333333333</v>
      </c>
      <c r="G2480" s="197" t="s">
        <v>845</v>
      </c>
      <c r="H2480" s="197" t="s">
        <v>867</v>
      </c>
    </row>
    <row r="2481" ht="15.75" customHeight="1">
      <c r="A2481" s="197" t="s">
        <v>74</v>
      </c>
      <c r="B2481" s="197" t="s">
        <v>25</v>
      </c>
      <c r="C2481" s="198" t="s">
        <v>186</v>
      </c>
      <c r="D2481" s="197" t="s">
        <v>187</v>
      </c>
      <c r="E2481" s="199">
        <v>10.0</v>
      </c>
      <c r="F2481" s="200">
        <v>45884.625</v>
      </c>
      <c r="G2481" s="197" t="s">
        <v>845</v>
      </c>
      <c r="H2481" s="197" t="s">
        <v>867</v>
      </c>
    </row>
    <row r="2482" ht="15.75" customHeight="1">
      <c r="A2482" s="197" t="s">
        <v>74</v>
      </c>
      <c r="B2482" s="197" t="s">
        <v>25</v>
      </c>
      <c r="C2482" s="198" t="s">
        <v>186</v>
      </c>
      <c r="D2482" s="197" t="s">
        <v>187</v>
      </c>
      <c r="E2482" s="199">
        <v>11.0</v>
      </c>
      <c r="F2482" s="200">
        <v>45887.41666666667</v>
      </c>
      <c r="G2482" s="197" t="s">
        <v>845</v>
      </c>
      <c r="H2482" s="197" t="s">
        <v>867</v>
      </c>
    </row>
    <row r="2483" ht="15.75" customHeight="1">
      <c r="A2483" s="197" t="s">
        <v>74</v>
      </c>
      <c r="B2483" s="197" t="s">
        <v>25</v>
      </c>
      <c r="C2483" s="198" t="s">
        <v>186</v>
      </c>
      <c r="D2483" s="197" t="s">
        <v>187</v>
      </c>
      <c r="E2483" s="199">
        <v>12.0</v>
      </c>
      <c r="F2483" s="200">
        <v>45903.45833333333</v>
      </c>
      <c r="G2483" s="197" t="s">
        <v>845</v>
      </c>
      <c r="H2483" s="197" t="s">
        <v>867</v>
      </c>
    </row>
    <row r="2484" ht="15.75" customHeight="1">
      <c r="A2484" s="197" t="s">
        <v>74</v>
      </c>
      <c r="B2484" s="197" t="s">
        <v>25</v>
      </c>
      <c r="C2484" s="198" t="s">
        <v>186</v>
      </c>
      <c r="D2484" s="197" t="s">
        <v>187</v>
      </c>
      <c r="E2484" s="199">
        <v>13.0</v>
      </c>
      <c r="F2484" s="200">
        <v>45904.45833333333</v>
      </c>
      <c r="G2484" s="197" t="s">
        <v>845</v>
      </c>
      <c r="H2484" s="197" t="s">
        <v>867</v>
      </c>
    </row>
    <row r="2485" ht="15.75" customHeight="1">
      <c r="A2485" s="197" t="s">
        <v>74</v>
      </c>
      <c r="B2485" s="197" t="s">
        <v>25</v>
      </c>
      <c r="C2485" s="198" t="s">
        <v>186</v>
      </c>
      <c r="D2485" s="197" t="s">
        <v>187</v>
      </c>
      <c r="E2485" s="199">
        <v>14.0</v>
      </c>
      <c r="F2485" s="200">
        <v>45909.45833333333</v>
      </c>
      <c r="G2485" s="197" t="s">
        <v>845</v>
      </c>
      <c r="H2485" s="197" t="s">
        <v>867</v>
      </c>
    </row>
    <row r="2486" ht="15.75" customHeight="1">
      <c r="A2486" s="197" t="s">
        <v>74</v>
      </c>
      <c r="B2486" s="197" t="s">
        <v>25</v>
      </c>
      <c r="C2486" s="198" t="s">
        <v>186</v>
      </c>
      <c r="D2486" s="197" t="s">
        <v>187</v>
      </c>
      <c r="E2486" s="199">
        <v>15.0</v>
      </c>
      <c r="F2486" s="200">
        <v>45989.625</v>
      </c>
      <c r="G2486" s="197" t="s">
        <v>845</v>
      </c>
      <c r="H2486" s="197" t="s">
        <v>867</v>
      </c>
    </row>
    <row r="2487" ht="15.75" customHeight="1">
      <c r="A2487" s="197" t="s">
        <v>74</v>
      </c>
      <c r="B2487" s="197" t="s">
        <v>25</v>
      </c>
      <c r="C2487" s="198" t="s">
        <v>186</v>
      </c>
      <c r="D2487" s="197" t="s">
        <v>187</v>
      </c>
      <c r="E2487" s="199">
        <v>16.0</v>
      </c>
      <c r="F2487" s="200">
        <v>46041.41666666667</v>
      </c>
      <c r="G2487" s="197" t="s">
        <v>845</v>
      </c>
      <c r="H2487" s="197" t="s">
        <v>867</v>
      </c>
    </row>
    <row r="2488" ht="15.75" customHeight="1">
      <c r="A2488" s="197" t="s">
        <v>74</v>
      </c>
      <c r="B2488" s="197" t="s">
        <v>21</v>
      </c>
      <c r="C2488" s="198" t="s">
        <v>224</v>
      </c>
      <c r="D2488" s="197" t="s">
        <v>225</v>
      </c>
      <c r="E2488" s="199">
        <v>1.0</v>
      </c>
      <c r="F2488" s="200">
        <v>45813.375</v>
      </c>
      <c r="G2488" s="197" t="s">
        <v>845</v>
      </c>
      <c r="H2488" s="197" t="s">
        <v>867</v>
      </c>
    </row>
    <row r="2489" ht="15.75" customHeight="1">
      <c r="A2489" s="197" t="s">
        <v>74</v>
      </c>
      <c r="B2489" s="197" t="s">
        <v>21</v>
      </c>
      <c r="C2489" s="198" t="s">
        <v>224</v>
      </c>
      <c r="D2489" s="197" t="s">
        <v>225</v>
      </c>
      <c r="E2489" s="199">
        <v>2.0</v>
      </c>
      <c r="F2489" s="200">
        <v>45818.375</v>
      </c>
      <c r="G2489" s="197" t="s">
        <v>845</v>
      </c>
      <c r="H2489" s="197" t="s">
        <v>867</v>
      </c>
    </row>
    <row r="2490" ht="15.75" customHeight="1">
      <c r="A2490" s="197" t="s">
        <v>74</v>
      </c>
      <c r="B2490" s="197" t="s">
        <v>21</v>
      </c>
      <c r="C2490" s="198" t="s">
        <v>224</v>
      </c>
      <c r="D2490" s="197" t="s">
        <v>225</v>
      </c>
      <c r="E2490" s="199">
        <v>3.0</v>
      </c>
      <c r="F2490" s="200">
        <v>45827.375</v>
      </c>
      <c r="G2490" s="197" t="s">
        <v>845</v>
      </c>
      <c r="H2490" s="197" t="s">
        <v>867</v>
      </c>
    </row>
    <row r="2491" ht="15.75" customHeight="1">
      <c r="A2491" s="197" t="s">
        <v>74</v>
      </c>
      <c r="B2491" s="197" t="s">
        <v>21</v>
      </c>
      <c r="C2491" s="198" t="s">
        <v>224</v>
      </c>
      <c r="D2491" s="197" t="s">
        <v>225</v>
      </c>
      <c r="E2491" s="199">
        <v>4.0</v>
      </c>
      <c r="F2491" s="200">
        <v>45831.375</v>
      </c>
      <c r="G2491" s="197" t="s">
        <v>843</v>
      </c>
      <c r="H2491" s="197" t="s">
        <v>867</v>
      </c>
    </row>
    <row r="2492" ht="15.75" customHeight="1">
      <c r="A2492" s="197" t="s">
        <v>74</v>
      </c>
      <c r="B2492" s="197" t="s">
        <v>21</v>
      </c>
      <c r="C2492" s="198" t="s">
        <v>224</v>
      </c>
      <c r="D2492" s="197" t="s">
        <v>225</v>
      </c>
      <c r="E2492" s="199">
        <v>5.0</v>
      </c>
      <c r="F2492" s="200">
        <v>45917.45833333333</v>
      </c>
      <c r="G2492" s="197" t="s">
        <v>845</v>
      </c>
      <c r="H2492" s="197" t="s">
        <v>867</v>
      </c>
    </row>
    <row r="2493" ht="15.75" customHeight="1">
      <c r="A2493" s="197" t="s">
        <v>74</v>
      </c>
      <c r="B2493" s="197" t="s">
        <v>21</v>
      </c>
      <c r="C2493" s="198" t="s">
        <v>224</v>
      </c>
      <c r="D2493" s="197" t="s">
        <v>225</v>
      </c>
      <c r="E2493" s="199">
        <v>6.0</v>
      </c>
      <c r="F2493" s="200">
        <v>45923.45833333333</v>
      </c>
      <c r="G2493" s="197" t="s">
        <v>845</v>
      </c>
      <c r="H2493" s="197" t="s">
        <v>867</v>
      </c>
    </row>
    <row r="2494" ht="15.75" customHeight="1">
      <c r="A2494" s="197" t="s">
        <v>74</v>
      </c>
      <c r="B2494" s="197" t="s">
        <v>21</v>
      </c>
      <c r="C2494" s="198" t="s">
        <v>224</v>
      </c>
      <c r="D2494" s="197" t="s">
        <v>225</v>
      </c>
      <c r="E2494" s="199">
        <v>7.0</v>
      </c>
      <c r="F2494" s="200">
        <v>45926.625</v>
      </c>
      <c r="G2494" s="197" t="s">
        <v>845</v>
      </c>
      <c r="H2494" s="197" t="s">
        <v>867</v>
      </c>
    </row>
    <row r="2495" ht="15.75" customHeight="1">
      <c r="A2495" s="197" t="s">
        <v>74</v>
      </c>
      <c r="B2495" s="197" t="s">
        <v>21</v>
      </c>
      <c r="C2495" s="198" t="s">
        <v>224</v>
      </c>
      <c r="D2495" s="197" t="s">
        <v>225</v>
      </c>
      <c r="E2495" s="199">
        <v>8.0</v>
      </c>
      <c r="F2495" s="200">
        <v>45939.58333333333</v>
      </c>
      <c r="G2495" s="197" t="s">
        <v>845</v>
      </c>
      <c r="H2495" s="197" t="s">
        <v>867</v>
      </c>
    </row>
    <row r="2496" ht="15.75" customHeight="1">
      <c r="A2496" s="197" t="s">
        <v>74</v>
      </c>
      <c r="B2496" s="197" t="s">
        <v>21</v>
      </c>
      <c r="C2496" s="198" t="s">
        <v>224</v>
      </c>
      <c r="D2496" s="197" t="s">
        <v>225</v>
      </c>
      <c r="E2496" s="199">
        <v>9.0</v>
      </c>
      <c r="F2496" s="200">
        <v>45940.54166666667</v>
      </c>
      <c r="G2496" s="197" t="s">
        <v>845</v>
      </c>
      <c r="H2496" s="197" t="s">
        <v>867</v>
      </c>
    </row>
    <row r="2497" ht="15.75" customHeight="1">
      <c r="A2497" s="197" t="s">
        <v>74</v>
      </c>
      <c r="B2497" s="197" t="s">
        <v>21</v>
      </c>
      <c r="C2497" s="198" t="s">
        <v>224</v>
      </c>
      <c r="D2497" s="197" t="s">
        <v>225</v>
      </c>
      <c r="E2497" s="199">
        <v>10.0</v>
      </c>
      <c r="F2497" s="200">
        <v>45947.45833333333</v>
      </c>
      <c r="G2497" s="197" t="s">
        <v>845</v>
      </c>
      <c r="H2497" s="197" t="s">
        <v>867</v>
      </c>
    </row>
    <row r="2498" ht="15.75" customHeight="1">
      <c r="A2498" s="197" t="s">
        <v>74</v>
      </c>
      <c r="B2498" s="197" t="s">
        <v>21</v>
      </c>
      <c r="C2498" s="198" t="s">
        <v>224</v>
      </c>
      <c r="D2498" s="197" t="s">
        <v>225</v>
      </c>
      <c r="E2498" s="199">
        <v>11.0</v>
      </c>
      <c r="F2498" s="200">
        <v>45957.58333333333</v>
      </c>
      <c r="G2498" s="197" t="s">
        <v>845</v>
      </c>
      <c r="H2498" s="197" t="s">
        <v>867</v>
      </c>
    </row>
    <row r="2499" ht="15.75" customHeight="1">
      <c r="A2499" s="197" t="s">
        <v>74</v>
      </c>
      <c r="B2499" s="197" t="s">
        <v>21</v>
      </c>
      <c r="C2499" s="198" t="s">
        <v>224</v>
      </c>
      <c r="D2499" s="197" t="s">
        <v>225</v>
      </c>
      <c r="E2499" s="199">
        <v>12.0</v>
      </c>
      <c r="F2499" s="200">
        <v>45964.45833333333</v>
      </c>
      <c r="G2499" s="197" t="s">
        <v>845</v>
      </c>
      <c r="H2499" s="197" t="s">
        <v>867</v>
      </c>
    </row>
    <row r="2500" ht="15.75" customHeight="1">
      <c r="A2500" s="197" t="s">
        <v>74</v>
      </c>
      <c r="B2500" s="197" t="s">
        <v>21</v>
      </c>
      <c r="C2500" s="198" t="s">
        <v>224</v>
      </c>
      <c r="D2500" s="197" t="s">
        <v>225</v>
      </c>
      <c r="E2500" s="199">
        <v>13.0</v>
      </c>
      <c r="F2500" s="200">
        <v>45971.58333333333</v>
      </c>
      <c r="G2500" s="197" t="s">
        <v>845</v>
      </c>
      <c r="H2500" s="197" t="s">
        <v>867</v>
      </c>
    </row>
    <row r="2501" ht="15.75" customHeight="1">
      <c r="A2501" s="197" t="s">
        <v>74</v>
      </c>
      <c r="B2501" s="197" t="s">
        <v>21</v>
      </c>
      <c r="C2501" s="198" t="s">
        <v>224</v>
      </c>
      <c r="D2501" s="197" t="s">
        <v>225</v>
      </c>
      <c r="E2501" s="199">
        <v>14.0</v>
      </c>
      <c r="F2501" s="200">
        <v>45985.41666666667</v>
      </c>
      <c r="G2501" s="197" t="s">
        <v>845</v>
      </c>
      <c r="H2501" s="197" t="s">
        <v>867</v>
      </c>
    </row>
    <row r="2502" ht="15.75" customHeight="1">
      <c r="A2502" s="197" t="s">
        <v>74</v>
      </c>
      <c r="B2502" s="197" t="s">
        <v>22</v>
      </c>
      <c r="C2502" s="198" t="s">
        <v>224</v>
      </c>
      <c r="D2502" s="197" t="s">
        <v>225</v>
      </c>
      <c r="E2502" s="199">
        <v>2.0</v>
      </c>
      <c r="F2502" s="200">
        <v>46106.41666666667</v>
      </c>
      <c r="G2502" s="197" t="s">
        <v>845</v>
      </c>
      <c r="H2502" s="197" t="s">
        <v>867</v>
      </c>
    </row>
    <row r="2503" ht="15.75" customHeight="1">
      <c r="A2503" s="197" t="s">
        <v>74</v>
      </c>
      <c r="B2503" s="197" t="s">
        <v>22</v>
      </c>
      <c r="C2503" s="198" t="s">
        <v>224</v>
      </c>
      <c r="D2503" s="197" t="s">
        <v>225</v>
      </c>
      <c r="E2503" s="199">
        <v>3.0</v>
      </c>
      <c r="F2503" s="200">
        <v>46114.45833333333</v>
      </c>
      <c r="G2503" s="197" t="s">
        <v>845</v>
      </c>
      <c r="H2503" s="197" t="s">
        <v>867</v>
      </c>
    </row>
    <row r="2504" ht="15.75" customHeight="1">
      <c r="A2504" s="197" t="s">
        <v>74</v>
      </c>
      <c r="B2504" s="197" t="s">
        <v>22</v>
      </c>
      <c r="C2504" s="198" t="s">
        <v>224</v>
      </c>
      <c r="D2504" s="197" t="s">
        <v>225</v>
      </c>
      <c r="E2504" s="199">
        <v>4.0</v>
      </c>
      <c r="F2504" s="200">
        <v>46119.58333333333</v>
      </c>
      <c r="G2504" s="197" t="s">
        <v>845</v>
      </c>
      <c r="H2504" s="197" t="s">
        <v>867</v>
      </c>
    </row>
    <row r="2505" ht="15.75" customHeight="1">
      <c r="A2505" s="197" t="s">
        <v>74</v>
      </c>
      <c r="B2505" s="197" t="s">
        <v>22</v>
      </c>
      <c r="C2505" s="198" t="s">
        <v>224</v>
      </c>
      <c r="D2505" s="197" t="s">
        <v>225</v>
      </c>
      <c r="E2505" s="199">
        <v>5.0</v>
      </c>
      <c r="F2505" s="200">
        <v>46126.41666666667</v>
      </c>
      <c r="G2505" s="197" t="s">
        <v>845</v>
      </c>
      <c r="H2505" s="197" t="s">
        <v>867</v>
      </c>
    </row>
    <row r="2506" ht="15.75" customHeight="1">
      <c r="A2506" s="197" t="s">
        <v>74</v>
      </c>
      <c r="B2506" s="197" t="s">
        <v>22</v>
      </c>
      <c r="C2506" s="198" t="s">
        <v>224</v>
      </c>
      <c r="D2506" s="197" t="s">
        <v>225</v>
      </c>
      <c r="E2506" s="199">
        <v>6.0</v>
      </c>
      <c r="F2506" s="200">
        <v>46135.41666666667</v>
      </c>
      <c r="G2506" s="197" t="s">
        <v>845</v>
      </c>
      <c r="H2506" s="197" t="s">
        <v>867</v>
      </c>
    </row>
    <row r="2507" ht="15.75" customHeight="1">
      <c r="A2507" s="197" t="s">
        <v>74</v>
      </c>
      <c r="B2507" s="197" t="s">
        <v>25</v>
      </c>
      <c r="C2507" s="198" t="s">
        <v>224</v>
      </c>
      <c r="D2507" s="197" t="s">
        <v>225</v>
      </c>
      <c r="E2507" s="199">
        <v>1.0</v>
      </c>
      <c r="F2507" s="200">
        <v>45818.375</v>
      </c>
      <c r="G2507" s="197" t="s">
        <v>845</v>
      </c>
      <c r="H2507" s="197" t="s">
        <v>867</v>
      </c>
    </row>
    <row r="2508" ht="15.75" customHeight="1">
      <c r="A2508" s="197" t="s">
        <v>74</v>
      </c>
      <c r="B2508" s="197" t="s">
        <v>25</v>
      </c>
      <c r="C2508" s="198" t="s">
        <v>224</v>
      </c>
      <c r="D2508" s="197" t="s">
        <v>225</v>
      </c>
      <c r="E2508" s="199">
        <v>2.0</v>
      </c>
      <c r="F2508" s="200">
        <v>45827.375</v>
      </c>
      <c r="G2508" s="197" t="s">
        <v>845</v>
      </c>
      <c r="H2508" s="197" t="s">
        <v>867</v>
      </c>
    </row>
    <row r="2509" ht="15.75" customHeight="1">
      <c r="A2509" s="197" t="s">
        <v>74</v>
      </c>
      <c r="B2509" s="197" t="s">
        <v>25</v>
      </c>
      <c r="C2509" s="198" t="s">
        <v>224</v>
      </c>
      <c r="D2509" s="197" t="s">
        <v>225</v>
      </c>
      <c r="E2509" s="199">
        <v>3.0</v>
      </c>
      <c r="F2509" s="200">
        <v>45831.375</v>
      </c>
      <c r="G2509" s="197" t="s">
        <v>843</v>
      </c>
      <c r="H2509" s="197" t="s">
        <v>867</v>
      </c>
    </row>
    <row r="2510" ht="15.75" customHeight="1">
      <c r="A2510" s="197" t="s">
        <v>74</v>
      </c>
      <c r="B2510" s="197" t="s">
        <v>25</v>
      </c>
      <c r="C2510" s="198" t="s">
        <v>224</v>
      </c>
      <c r="D2510" s="197" t="s">
        <v>225</v>
      </c>
      <c r="E2510" s="199">
        <v>4.0</v>
      </c>
      <c r="F2510" s="200">
        <v>45840.45833333333</v>
      </c>
      <c r="G2510" s="197" t="s">
        <v>845</v>
      </c>
      <c r="H2510" s="197" t="s">
        <v>867</v>
      </c>
    </row>
    <row r="2511" ht="15.75" customHeight="1">
      <c r="A2511" s="197" t="s">
        <v>74</v>
      </c>
      <c r="B2511" s="197" t="s">
        <v>25</v>
      </c>
      <c r="C2511" s="198" t="s">
        <v>224</v>
      </c>
      <c r="D2511" s="197" t="s">
        <v>225</v>
      </c>
      <c r="E2511" s="199">
        <v>5.0</v>
      </c>
      <c r="F2511" s="200">
        <v>45852.45833333333</v>
      </c>
      <c r="G2511" s="197" t="s">
        <v>845</v>
      </c>
      <c r="H2511" s="197" t="s">
        <v>867</v>
      </c>
    </row>
    <row r="2512" ht="15.75" customHeight="1">
      <c r="A2512" s="197" t="s">
        <v>74</v>
      </c>
      <c r="B2512" s="197" t="s">
        <v>25</v>
      </c>
      <c r="C2512" s="198" t="s">
        <v>224</v>
      </c>
      <c r="D2512" s="197" t="s">
        <v>225</v>
      </c>
      <c r="E2512" s="199">
        <v>6.0</v>
      </c>
      <c r="F2512" s="200">
        <v>45855.45833333333</v>
      </c>
      <c r="G2512" s="197" t="s">
        <v>845</v>
      </c>
      <c r="H2512" s="197" t="s">
        <v>867</v>
      </c>
    </row>
    <row r="2513" ht="15.75" customHeight="1">
      <c r="A2513" s="197" t="s">
        <v>74</v>
      </c>
      <c r="B2513" s="197" t="s">
        <v>25</v>
      </c>
      <c r="C2513" s="198" t="s">
        <v>224</v>
      </c>
      <c r="D2513" s="197" t="s">
        <v>225</v>
      </c>
      <c r="E2513" s="199">
        <v>7.0</v>
      </c>
      <c r="F2513" s="200">
        <v>45866.45833333333</v>
      </c>
      <c r="G2513" s="197" t="s">
        <v>845</v>
      </c>
      <c r="H2513" s="197" t="s">
        <v>867</v>
      </c>
    </row>
    <row r="2514" ht="15.75" customHeight="1">
      <c r="A2514" s="197" t="s">
        <v>74</v>
      </c>
      <c r="B2514" s="197" t="s">
        <v>25</v>
      </c>
      <c r="C2514" s="198" t="s">
        <v>224</v>
      </c>
      <c r="D2514" s="197" t="s">
        <v>225</v>
      </c>
      <c r="E2514" s="199">
        <v>8.0</v>
      </c>
      <c r="F2514" s="200">
        <v>45881.625</v>
      </c>
      <c r="G2514" s="197" t="s">
        <v>845</v>
      </c>
      <c r="H2514" s="197" t="s">
        <v>867</v>
      </c>
    </row>
    <row r="2515" ht="15.75" customHeight="1">
      <c r="A2515" s="197" t="s">
        <v>74</v>
      </c>
      <c r="B2515" s="197" t="s">
        <v>25</v>
      </c>
      <c r="C2515" s="198" t="s">
        <v>224</v>
      </c>
      <c r="D2515" s="197" t="s">
        <v>225</v>
      </c>
      <c r="E2515" s="199">
        <v>9.0</v>
      </c>
      <c r="F2515" s="200">
        <v>45884.58333333333</v>
      </c>
      <c r="G2515" s="197" t="s">
        <v>845</v>
      </c>
      <c r="H2515" s="197" t="s">
        <v>867</v>
      </c>
    </row>
    <row r="2516" ht="15.75" customHeight="1">
      <c r="A2516" s="197" t="s">
        <v>74</v>
      </c>
      <c r="B2516" s="197" t="s">
        <v>25</v>
      </c>
      <c r="C2516" s="198" t="s">
        <v>224</v>
      </c>
      <c r="D2516" s="197" t="s">
        <v>225</v>
      </c>
      <c r="E2516" s="199">
        <v>10.0</v>
      </c>
      <c r="F2516" s="200">
        <v>45884.625</v>
      </c>
      <c r="G2516" s="197" t="s">
        <v>845</v>
      </c>
      <c r="H2516" s="197" t="s">
        <v>867</v>
      </c>
    </row>
    <row r="2517" ht="15.75" customHeight="1">
      <c r="A2517" s="197" t="s">
        <v>74</v>
      </c>
      <c r="B2517" s="197" t="s">
        <v>25</v>
      </c>
      <c r="C2517" s="198" t="s">
        <v>224</v>
      </c>
      <c r="D2517" s="197" t="s">
        <v>225</v>
      </c>
      <c r="E2517" s="199">
        <v>11.0</v>
      </c>
      <c r="F2517" s="200">
        <v>45887.41666666667</v>
      </c>
      <c r="G2517" s="197" t="s">
        <v>845</v>
      </c>
      <c r="H2517" s="197" t="s">
        <v>867</v>
      </c>
    </row>
    <row r="2518" ht="15.75" customHeight="1">
      <c r="A2518" s="197" t="s">
        <v>74</v>
      </c>
      <c r="B2518" s="197" t="s">
        <v>25</v>
      </c>
      <c r="C2518" s="198" t="s">
        <v>224</v>
      </c>
      <c r="D2518" s="197" t="s">
        <v>225</v>
      </c>
      <c r="E2518" s="199">
        <v>12.0</v>
      </c>
      <c r="F2518" s="200">
        <v>45903.45833333333</v>
      </c>
      <c r="G2518" s="197" t="s">
        <v>845</v>
      </c>
      <c r="H2518" s="197" t="s">
        <v>867</v>
      </c>
    </row>
    <row r="2519" ht="15.75" customHeight="1">
      <c r="A2519" s="197" t="s">
        <v>74</v>
      </c>
      <c r="B2519" s="197" t="s">
        <v>25</v>
      </c>
      <c r="C2519" s="198" t="s">
        <v>224</v>
      </c>
      <c r="D2519" s="197" t="s">
        <v>225</v>
      </c>
      <c r="E2519" s="199">
        <v>13.0</v>
      </c>
      <c r="F2519" s="200">
        <v>45904.45833333333</v>
      </c>
      <c r="G2519" s="197" t="s">
        <v>845</v>
      </c>
      <c r="H2519" s="197" t="s">
        <v>867</v>
      </c>
    </row>
    <row r="2520" ht="15.75" customHeight="1">
      <c r="A2520" s="197" t="s">
        <v>74</v>
      </c>
      <c r="B2520" s="197" t="s">
        <v>25</v>
      </c>
      <c r="C2520" s="198" t="s">
        <v>224</v>
      </c>
      <c r="D2520" s="197" t="s">
        <v>225</v>
      </c>
      <c r="E2520" s="199">
        <v>14.0</v>
      </c>
      <c r="F2520" s="200">
        <v>45909.45833333333</v>
      </c>
      <c r="G2520" s="197" t="s">
        <v>845</v>
      </c>
      <c r="H2520" s="197" t="s">
        <v>867</v>
      </c>
    </row>
    <row r="2521" ht="15.75" customHeight="1">
      <c r="A2521" s="197" t="s">
        <v>74</v>
      </c>
      <c r="B2521" s="197" t="s">
        <v>25</v>
      </c>
      <c r="C2521" s="198" t="s">
        <v>224</v>
      </c>
      <c r="D2521" s="197" t="s">
        <v>225</v>
      </c>
      <c r="E2521" s="199">
        <v>15.0</v>
      </c>
      <c r="F2521" s="200">
        <v>45989.625</v>
      </c>
      <c r="G2521" s="197" t="s">
        <v>845</v>
      </c>
      <c r="H2521" s="197" t="s">
        <v>867</v>
      </c>
    </row>
    <row r="2522" ht="15.75" customHeight="1">
      <c r="A2522" s="197" t="s">
        <v>74</v>
      </c>
      <c r="B2522" s="197" t="s">
        <v>25</v>
      </c>
      <c r="C2522" s="198" t="s">
        <v>224</v>
      </c>
      <c r="D2522" s="197" t="s">
        <v>225</v>
      </c>
      <c r="E2522" s="199">
        <v>16.0</v>
      </c>
      <c r="F2522" s="200">
        <v>46041.41666666667</v>
      </c>
      <c r="G2522" s="197" t="s">
        <v>845</v>
      </c>
      <c r="H2522" s="197" t="s">
        <v>867</v>
      </c>
    </row>
    <row r="2523" ht="15.75" customHeight="1">
      <c r="A2523" s="197" t="s">
        <v>74</v>
      </c>
      <c r="B2523" s="197" t="s">
        <v>21</v>
      </c>
      <c r="C2523" s="198" t="s">
        <v>382</v>
      </c>
      <c r="D2523" s="197" t="s">
        <v>380</v>
      </c>
      <c r="E2523" s="199">
        <v>1.0</v>
      </c>
      <c r="F2523" s="200">
        <v>45813.375</v>
      </c>
      <c r="G2523" s="197" t="s">
        <v>843</v>
      </c>
      <c r="H2523" s="197" t="s">
        <v>867</v>
      </c>
    </row>
    <row r="2524" ht="15.75" customHeight="1">
      <c r="A2524" s="197" t="s">
        <v>74</v>
      </c>
      <c r="B2524" s="197" t="s">
        <v>21</v>
      </c>
      <c r="C2524" s="198" t="s">
        <v>382</v>
      </c>
      <c r="D2524" s="197" t="s">
        <v>380</v>
      </c>
      <c r="E2524" s="199">
        <v>2.0</v>
      </c>
      <c r="F2524" s="200">
        <v>45818.375</v>
      </c>
      <c r="G2524" s="197" t="s">
        <v>845</v>
      </c>
      <c r="H2524" s="197" t="s">
        <v>867</v>
      </c>
    </row>
    <row r="2525" ht="15.75" customHeight="1">
      <c r="A2525" s="197" t="s">
        <v>74</v>
      </c>
      <c r="B2525" s="197" t="s">
        <v>21</v>
      </c>
      <c r="C2525" s="198" t="s">
        <v>382</v>
      </c>
      <c r="D2525" s="197" t="s">
        <v>380</v>
      </c>
      <c r="E2525" s="199">
        <v>3.0</v>
      </c>
      <c r="F2525" s="200">
        <v>45827.375</v>
      </c>
      <c r="G2525" s="197" t="s">
        <v>845</v>
      </c>
      <c r="H2525" s="197" t="s">
        <v>867</v>
      </c>
    </row>
    <row r="2526" ht="15.75" customHeight="1">
      <c r="A2526" s="197" t="s">
        <v>74</v>
      </c>
      <c r="B2526" s="197" t="s">
        <v>21</v>
      </c>
      <c r="C2526" s="198" t="s">
        <v>382</v>
      </c>
      <c r="D2526" s="197" t="s">
        <v>380</v>
      </c>
      <c r="E2526" s="199">
        <v>4.0</v>
      </c>
      <c r="F2526" s="200">
        <v>45831.375</v>
      </c>
      <c r="G2526" s="197" t="s">
        <v>843</v>
      </c>
      <c r="H2526" s="197" t="s">
        <v>867</v>
      </c>
    </row>
    <row r="2527" ht="15.75" customHeight="1">
      <c r="A2527" s="197" t="s">
        <v>74</v>
      </c>
      <c r="B2527" s="197" t="s">
        <v>21</v>
      </c>
      <c r="C2527" s="198" t="s">
        <v>382</v>
      </c>
      <c r="D2527" s="197" t="s">
        <v>380</v>
      </c>
      <c r="E2527" s="199">
        <v>5.0</v>
      </c>
      <c r="F2527" s="200">
        <v>45917.45833333333</v>
      </c>
      <c r="G2527" s="197" t="s">
        <v>845</v>
      </c>
      <c r="H2527" s="197" t="s">
        <v>867</v>
      </c>
    </row>
    <row r="2528" ht="15.75" customHeight="1">
      <c r="A2528" s="197" t="s">
        <v>74</v>
      </c>
      <c r="B2528" s="197" t="s">
        <v>21</v>
      </c>
      <c r="C2528" s="198" t="s">
        <v>382</v>
      </c>
      <c r="D2528" s="197" t="s">
        <v>380</v>
      </c>
      <c r="E2528" s="199">
        <v>6.0</v>
      </c>
      <c r="F2528" s="200">
        <v>45923.45833333333</v>
      </c>
      <c r="G2528" s="197" t="s">
        <v>845</v>
      </c>
      <c r="H2528" s="197" t="s">
        <v>867</v>
      </c>
    </row>
    <row r="2529" ht="15.75" customHeight="1">
      <c r="A2529" s="197" t="s">
        <v>74</v>
      </c>
      <c r="B2529" s="197" t="s">
        <v>21</v>
      </c>
      <c r="C2529" s="198" t="s">
        <v>382</v>
      </c>
      <c r="D2529" s="197" t="s">
        <v>380</v>
      </c>
      <c r="E2529" s="199">
        <v>7.0</v>
      </c>
      <c r="F2529" s="200">
        <v>45926.625</v>
      </c>
      <c r="G2529" s="197" t="s">
        <v>845</v>
      </c>
      <c r="H2529" s="197" t="s">
        <v>867</v>
      </c>
    </row>
    <row r="2530" ht="15.75" customHeight="1">
      <c r="A2530" s="197" t="s">
        <v>74</v>
      </c>
      <c r="B2530" s="197" t="s">
        <v>21</v>
      </c>
      <c r="C2530" s="198" t="s">
        <v>382</v>
      </c>
      <c r="D2530" s="197" t="s">
        <v>380</v>
      </c>
      <c r="E2530" s="199">
        <v>8.0</v>
      </c>
      <c r="F2530" s="200">
        <v>45939.58333333333</v>
      </c>
      <c r="G2530" s="197" t="s">
        <v>845</v>
      </c>
      <c r="H2530" s="197" t="s">
        <v>867</v>
      </c>
    </row>
    <row r="2531" ht="15.75" customHeight="1">
      <c r="A2531" s="197" t="s">
        <v>74</v>
      </c>
      <c r="B2531" s="197" t="s">
        <v>21</v>
      </c>
      <c r="C2531" s="198" t="s">
        <v>382</v>
      </c>
      <c r="D2531" s="197" t="s">
        <v>380</v>
      </c>
      <c r="E2531" s="199">
        <v>9.0</v>
      </c>
      <c r="F2531" s="200">
        <v>45940.54166666667</v>
      </c>
      <c r="G2531" s="197" t="s">
        <v>843</v>
      </c>
      <c r="H2531" s="197" t="s">
        <v>867</v>
      </c>
    </row>
    <row r="2532" ht="15.75" customHeight="1">
      <c r="A2532" s="197" t="s">
        <v>74</v>
      </c>
      <c r="B2532" s="197" t="s">
        <v>21</v>
      </c>
      <c r="C2532" s="198" t="s">
        <v>382</v>
      </c>
      <c r="D2532" s="197" t="s">
        <v>380</v>
      </c>
      <c r="E2532" s="199">
        <v>10.0</v>
      </c>
      <c r="F2532" s="200">
        <v>45947.45833333333</v>
      </c>
      <c r="G2532" s="197" t="s">
        <v>845</v>
      </c>
      <c r="H2532" s="197" t="s">
        <v>867</v>
      </c>
    </row>
    <row r="2533" ht="15.75" customHeight="1">
      <c r="A2533" s="197" t="s">
        <v>74</v>
      </c>
      <c r="B2533" s="197" t="s">
        <v>21</v>
      </c>
      <c r="C2533" s="198" t="s">
        <v>382</v>
      </c>
      <c r="D2533" s="197" t="s">
        <v>380</v>
      </c>
      <c r="E2533" s="199">
        <v>11.0</v>
      </c>
      <c r="F2533" s="200">
        <v>45957.58333333333</v>
      </c>
      <c r="G2533" s="197" t="s">
        <v>845</v>
      </c>
      <c r="H2533" s="197" t="s">
        <v>867</v>
      </c>
    </row>
    <row r="2534" ht="15.75" customHeight="1">
      <c r="A2534" s="197" t="s">
        <v>74</v>
      </c>
      <c r="B2534" s="197" t="s">
        <v>21</v>
      </c>
      <c r="C2534" s="198" t="s">
        <v>382</v>
      </c>
      <c r="D2534" s="197" t="s">
        <v>380</v>
      </c>
      <c r="E2534" s="199">
        <v>12.0</v>
      </c>
      <c r="F2534" s="200">
        <v>45964.45833333333</v>
      </c>
      <c r="G2534" s="197" t="s">
        <v>845</v>
      </c>
      <c r="H2534" s="197" t="s">
        <v>867</v>
      </c>
    </row>
    <row r="2535" ht="15.75" customHeight="1">
      <c r="A2535" s="197" t="s">
        <v>74</v>
      </c>
      <c r="B2535" s="197" t="s">
        <v>21</v>
      </c>
      <c r="C2535" s="198" t="s">
        <v>382</v>
      </c>
      <c r="D2535" s="197" t="s">
        <v>380</v>
      </c>
      <c r="E2535" s="199">
        <v>13.0</v>
      </c>
      <c r="F2535" s="200">
        <v>45971.58333333333</v>
      </c>
      <c r="G2535" s="197" t="s">
        <v>843</v>
      </c>
      <c r="H2535" s="197" t="s">
        <v>867</v>
      </c>
    </row>
    <row r="2536" ht="15.75" customHeight="1">
      <c r="A2536" s="197" t="s">
        <v>74</v>
      </c>
      <c r="B2536" s="197" t="s">
        <v>21</v>
      </c>
      <c r="C2536" s="198" t="s">
        <v>382</v>
      </c>
      <c r="D2536" s="197" t="s">
        <v>380</v>
      </c>
      <c r="E2536" s="199">
        <v>14.0</v>
      </c>
      <c r="F2536" s="200">
        <v>45985.41666666667</v>
      </c>
      <c r="G2536" s="197" t="s">
        <v>845</v>
      </c>
      <c r="H2536" s="197" t="s">
        <v>867</v>
      </c>
    </row>
    <row r="2537" ht="15.75" customHeight="1">
      <c r="A2537" s="197" t="s">
        <v>74</v>
      </c>
      <c r="B2537" s="197" t="s">
        <v>22</v>
      </c>
      <c r="C2537" s="198" t="s">
        <v>382</v>
      </c>
      <c r="D2537" s="197" t="s">
        <v>380</v>
      </c>
      <c r="E2537" s="199">
        <v>2.0</v>
      </c>
      <c r="F2537" s="200">
        <v>46106.41666666667</v>
      </c>
      <c r="G2537" s="197" t="s">
        <v>845</v>
      </c>
      <c r="H2537" s="197" t="s">
        <v>867</v>
      </c>
    </row>
    <row r="2538" ht="15.75" customHeight="1">
      <c r="A2538" s="197" t="s">
        <v>74</v>
      </c>
      <c r="B2538" s="197" t="s">
        <v>22</v>
      </c>
      <c r="C2538" s="198" t="s">
        <v>382</v>
      </c>
      <c r="D2538" s="197" t="s">
        <v>380</v>
      </c>
      <c r="E2538" s="199">
        <v>3.0</v>
      </c>
      <c r="F2538" s="200">
        <v>46114.45833333333</v>
      </c>
      <c r="G2538" s="197" t="s">
        <v>845</v>
      </c>
      <c r="H2538" s="197" t="s">
        <v>867</v>
      </c>
    </row>
    <row r="2539" ht="15.75" customHeight="1">
      <c r="A2539" s="197" t="s">
        <v>74</v>
      </c>
      <c r="B2539" s="197" t="s">
        <v>22</v>
      </c>
      <c r="C2539" s="198" t="s">
        <v>382</v>
      </c>
      <c r="D2539" s="197" t="s">
        <v>380</v>
      </c>
      <c r="E2539" s="199">
        <v>4.0</v>
      </c>
      <c r="F2539" s="200">
        <v>46119.58333333333</v>
      </c>
      <c r="G2539" s="197" t="s">
        <v>845</v>
      </c>
      <c r="H2539" s="197" t="s">
        <v>867</v>
      </c>
    </row>
    <row r="2540" ht="15.75" customHeight="1">
      <c r="A2540" s="197" t="s">
        <v>74</v>
      </c>
      <c r="B2540" s="197" t="s">
        <v>22</v>
      </c>
      <c r="C2540" s="198" t="s">
        <v>382</v>
      </c>
      <c r="D2540" s="197" t="s">
        <v>380</v>
      </c>
      <c r="E2540" s="199">
        <v>5.0</v>
      </c>
      <c r="F2540" s="200">
        <v>46126.41666666667</v>
      </c>
      <c r="G2540" s="197" t="s">
        <v>845</v>
      </c>
      <c r="H2540" s="197" t="s">
        <v>867</v>
      </c>
    </row>
    <row r="2541" ht="15.75" customHeight="1">
      <c r="A2541" s="197" t="s">
        <v>74</v>
      </c>
      <c r="B2541" s="197" t="s">
        <v>22</v>
      </c>
      <c r="C2541" s="198" t="s">
        <v>382</v>
      </c>
      <c r="D2541" s="197" t="s">
        <v>380</v>
      </c>
      <c r="E2541" s="199">
        <v>6.0</v>
      </c>
      <c r="F2541" s="200">
        <v>46135.41666666667</v>
      </c>
      <c r="G2541" s="197" t="s">
        <v>845</v>
      </c>
      <c r="H2541" s="197" t="s">
        <v>867</v>
      </c>
    </row>
    <row r="2542" ht="15.75" customHeight="1">
      <c r="A2542" s="197" t="s">
        <v>74</v>
      </c>
      <c r="B2542" s="197" t="s">
        <v>25</v>
      </c>
      <c r="C2542" s="198" t="s">
        <v>382</v>
      </c>
      <c r="D2542" s="197" t="s">
        <v>380</v>
      </c>
      <c r="E2542" s="199">
        <v>1.0</v>
      </c>
      <c r="F2542" s="200">
        <v>45818.375</v>
      </c>
      <c r="G2542" s="197" t="s">
        <v>845</v>
      </c>
      <c r="H2542" s="197" t="s">
        <v>867</v>
      </c>
    </row>
    <row r="2543" ht="15.75" customHeight="1">
      <c r="A2543" s="197" t="s">
        <v>74</v>
      </c>
      <c r="B2543" s="197" t="s">
        <v>25</v>
      </c>
      <c r="C2543" s="198" t="s">
        <v>382</v>
      </c>
      <c r="D2543" s="197" t="s">
        <v>380</v>
      </c>
      <c r="E2543" s="199">
        <v>2.0</v>
      </c>
      <c r="F2543" s="200">
        <v>45827.375</v>
      </c>
      <c r="G2543" s="197" t="s">
        <v>845</v>
      </c>
      <c r="H2543" s="197" t="s">
        <v>867</v>
      </c>
    </row>
    <row r="2544" ht="15.75" customHeight="1">
      <c r="A2544" s="197" t="s">
        <v>74</v>
      </c>
      <c r="B2544" s="197" t="s">
        <v>25</v>
      </c>
      <c r="C2544" s="198" t="s">
        <v>382</v>
      </c>
      <c r="D2544" s="197" t="s">
        <v>380</v>
      </c>
      <c r="E2544" s="199">
        <v>3.0</v>
      </c>
      <c r="F2544" s="200">
        <v>45831.375</v>
      </c>
      <c r="G2544" s="197" t="s">
        <v>843</v>
      </c>
      <c r="H2544" s="197" t="s">
        <v>867</v>
      </c>
    </row>
    <row r="2545" ht="15.75" customHeight="1">
      <c r="A2545" s="197" t="s">
        <v>74</v>
      </c>
      <c r="B2545" s="197" t="s">
        <v>25</v>
      </c>
      <c r="C2545" s="198" t="s">
        <v>382</v>
      </c>
      <c r="D2545" s="197" t="s">
        <v>380</v>
      </c>
      <c r="E2545" s="199">
        <v>4.0</v>
      </c>
      <c r="F2545" s="200">
        <v>45840.45833333333</v>
      </c>
      <c r="G2545" s="197" t="s">
        <v>845</v>
      </c>
      <c r="H2545" s="197" t="s">
        <v>867</v>
      </c>
    </row>
    <row r="2546" ht="15.75" customHeight="1">
      <c r="A2546" s="197" t="s">
        <v>74</v>
      </c>
      <c r="B2546" s="197" t="s">
        <v>25</v>
      </c>
      <c r="C2546" s="198" t="s">
        <v>382</v>
      </c>
      <c r="D2546" s="197" t="s">
        <v>380</v>
      </c>
      <c r="E2546" s="199">
        <v>5.0</v>
      </c>
      <c r="F2546" s="200">
        <v>45852.45833333333</v>
      </c>
      <c r="G2546" s="197" t="s">
        <v>845</v>
      </c>
      <c r="H2546" s="197" t="s">
        <v>867</v>
      </c>
    </row>
    <row r="2547" ht="15.75" customHeight="1">
      <c r="A2547" s="197" t="s">
        <v>74</v>
      </c>
      <c r="B2547" s="197" t="s">
        <v>25</v>
      </c>
      <c r="C2547" s="198" t="s">
        <v>382</v>
      </c>
      <c r="D2547" s="197" t="s">
        <v>380</v>
      </c>
      <c r="E2547" s="199">
        <v>6.0</v>
      </c>
      <c r="F2547" s="200">
        <v>45855.45833333333</v>
      </c>
      <c r="G2547" s="197" t="s">
        <v>845</v>
      </c>
      <c r="H2547" s="197" t="s">
        <v>867</v>
      </c>
    </row>
    <row r="2548" ht="15.75" customHeight="1">
      <c r="A2548" s="197" t="s">
        <v>74</v>
      </c>
      <c r="B2548" s="197" t="s">
        <v>25</v>
      </c>
      <c r="C2548" s="198" t="s">
        <v>382</v>
      </c>
      <c r="D2548" s="197" t="s">
        <v>380</v>
      </c>
      <c r="E2548" s="199">
        <v>7.0</v>
      </c>
      <c r="F2548" s="200">
        <v>45866.45833333333</v>
      </c>
      <c r="G2548" s="197" t="s">
        <v>845</v>
      </c>
      <c r="H2548" s="197" t="s">
        <v>867</v>
      </c>
    </row>
    <row r="2549" ht="15.75" customHeight="1">
      <c r="A2549" s="197" t="s">
        <v>74</v>
      </c>
      <c r="B2549" s="197" t="s">
        <v>25</v>
      </c>
      <c r="C2549" s="198" t="s">
        <v>382</v>
      </c>
      <c r="D2549" s="197" t="s">
        <v>380</v>
      </c>
      <c r="E2549" s="199">
        <v>8.0</v>
      </c>
      <c r="F2549" s="200">
        <v>45881.625</v>
      </c>
      <c r="G2549" s="197" t="s">
        <v>845</v>
      </c>
      <c r="H2549" s="197" t="s">
        <v>867</v>
      </c>
    </row>
    <row r="2550" ht="15.75" customHeight="1">
      <c r="A2550" s="197" t="s">
        <v>74</v>
      </c>
      <c r="B2550" s="197" t="s">
        <v>25</v>
      </c>
      <c r="C2550" s="198" t="s">
        <v>382</v>
      </c>
      <c r="D2550" s="197" t="s">
        <v>380</v>
      </c>
      <c r="E2550" s="199">
        <v>9.0</v>
      </c>
      <c r="F2550" s="200">
        <v>45884.58333333333</v>
      </c>
      <c r="G2550" s="197" t="s">
        <v>845</v>
      </c>
      <c r="H2550" s="197" t="s">
        <v>867</v>
      </c>
    </row>
    <row r="2551" ht="15.75" customHeight="1">
      <c r="A2551" s="197" t="s">
        <v>74</v>
      </c>
      <c r="B2551" s="197" t="s">
        <v>25</v>
      </c>
      <c r="C2551" s="198" t="s">
        <v>382</v>
      </c>
      <c r="D2551" s="197" t="s">
        <v>380</v>
      </c>
      <c r="E2551" s="199">
        <v>10.0</v>
      </c>
      <c r="F2551" s="200">
        <v>45884.625</v>
      </c>
      <c r="G2551" s="197" t="s">
        <v>845</v>
      </c>
      <c r="H2551" s="197" t="s">
        <v>867</v>
      </c>
    </row>
    <row r="2552" ht="15.75" customHeight="1">
      <c r="A2552" s="197" t="s">
        <v>74</v>
      </c>
      <c r="B2552" s="197" t="s">
        <v>25</v>
      </c>
      <c r="C2552" s="198" t="s">
        <v>382</v>
      </c>
      <c r="D2552" s="197" t="s">
        <v>380</v>
      </c>
      <c r="E2552" s="199">
        <v>11.0</v>
      </c>
      <c r="F2552" s="200">
        <v>45887.41666666667</v>
      </c>
      <c r="G2552" s="197" t="s">
        <v>845</v>
      </c>
      <c r="H2552" s="197" t="s">
        <v>867</v>
      </c>
    </row>
    <row r="2553" ht="15.75" customHeight="1">
      <c r="A2553" s="197" t="s">
        <v>74</v>
      </c>
      <c r="B2553" s="197" t="s">
        <v>25</v>
      </c>
      <c r="C2553" s="198" t="s">
        <v>382</v>
      </c>
      <c r="D2553" s="197" t="s">
        <v>380</v>
      </c>
      <c r="E2553" s="199">
        <v>12.0</v>
      </c>
      <c r="F2553" s="200">
        <v>45903.45833333333</v>
      </c>
      <c r="G2553" s="197" t="s">
        <v>845</v>
      </c>
      <c r="H2553" s="197" t="s">
        <v>867</v>
      </c>
    </row>
    <row r="2554" ht="15.75" customHeight="1">
      <c r="A2554" s="197" t="s">
        <v>74</v>
      </c>
      <c r="B2554" s="197" t="s">
        <v>25</v>
      </c>
      <c r="C2554" s="198" t="s">
        <v>382</v>
      </c>
      <c r="D2554" s="197" t="s">
        <v>380</v>
      </c>
      <c r="E2554" s="199">
        <v>13.0</v>
      </c>
      <c r="F2554" s="200">
        <v>45904.45833333333</v>
      </c>
      <c r="G2554" s="197" t="s">
        <v>845</v>
      </c>
      <c r="H2554" s="197" t="s">
        <v>867</v>
      </c>
    </row>
    <row r="2555" ht="15.75" customHeight="1">
      <c r="A2555" s="197" t="s">
        <v>74</v>
      </c>
      <c r="B2555" s="197" t="s">
        <v>25</v>
      </c>
      <c r="C2555" s="198" t="s">
        <v>382</v>
      </c>
      <c r="D2555" s="197" t="s">
        <v>380</v>
      </c>
      <c r="E2555" s="199">
        <v>14.0</v>
      </c>
      <c r="F2555" s="200">
        <v>45909.45833333333</v>
      </c>
      <c r="G2555" s="197" t="s">
        <v>845</v>
      </c>
      <c r="H2555" s="197" t="s">
        <v>867</v>
      </c>
    </row>
    <row r="2556" ht="15.75" customHeight="1">
      <c r="A2556" s="197" t="s">
        <v>74</v>
      </c>
      <c r="B2556" s="197" t="s">
        <v>25</v>
      </c>
      <c r="C2556" s="198" t="s">
        <v>382</v>
      </c>
      <c r="D2556" s="197" t="s">
        <v>380</v>
      </c>
      <c r="E2556" s="199">
        <v>15.0</v>
      </c>
      <c r="F2556" s="200">
        <v>45989.625</v>
      </c>
      <c r="G2556" s="197" t="s">
        <v>845</v>
      </c>
      <c r="H2556" s="197" t="s">
        <v>867</v>
      </c>
    </row>
    <row r="2557" ht="15.75" customHeight="1">
      <c r="A2557" s="197" t="s">
        <v>74</v>
      </c>
      <c r="B2557" s="197" t="s">
        <v>25</v>
      </c>
      <c r="C2557" s="198" t="s">
        <v>382</v>
      </c>
      <c r="D2557" s="197" t="s">
        <v>380</v>
      </c>
      <c r="E2557" s="199">
        <v>16.0</v>
      </c>
      <c r="F2557" s="200">
        <v>46041.41666666667</v>
      </c>
      <c r="G2557" s="197" t="s">
        <v>845</v>
      </c>
      <c r="H2557" s="197" t="s">
        <v>867</v>
      </c>
    </row>
    <row r="2558" ht="15.75" customHeight="1">
      <c r="A2558" s="197" t="s">
        <v>74</v>
      </c>
      <c r="B2558" s="197" t="s">
        <v>21</v>
      </c>
      <c r="C2558" s="198" t="s">
        <v>425</v>
      </c>
      <c r="D2558" s="197" t="s">
        <v>426</v>
      </c>
      <c r="E2558" s="199">
        <v>1.0</v>
      </c>
      <c r="F2558" s="200">
        <v>45813.375</v>
      </c>
      <c r="G2558" s="197" t="s">
        <v>845</v>
      </c>
      <c r="H2558" s="197" t="s">
        <v>867</v>
      </c>
    </row>
    <row r="2559" ht="15.75" customHeight="1">
      <c r="A2559" s="197" t="s">
        <v>74</v>
      </c>
      <c r="B2559" s="197" t="s">
        <v>21</v>
      </c>
      <c r="C2559" s="198" t="s">
        <v>425</v>
      </c>
      <c r="D2559" s="197" t="s">
        <v>426</v>
      </c>
      <c r="E2559" s="199">
        <v>2.0</v>
      </c>
      <c r="F2559" s="200">
        <v>45818.375</v>
      </c>
      <c r="G2559" s="197" t="s">
        <v>845</v>
      </c>
      <c r="H2559" s="197" t="s">
        <v>867</v>
      </c>
    </row>
    <row r="2560" ht="15.75" customHeight="1">
      <c r="A2560" s="197" t="s">
        <v>74</v>
      </c>
      <c r="B2560" s="197" t="s">
        <v>21</v>
      </c>
      <c r="C2560" s="198" t="s">
        <v>425</v>
      </c>
      <c r="D2560" s="197" t="s">
        <v>426</v>
      </c>
      <c r="E2560" s="199">
        <v>3.0</v>
      </c>
      <c r="F2560" s="200">
        <v>45827.375</v>
      </c>
      <c r="G2560" s="197" t="s">
        <v>845</v>
      </c>
      <c r="H2560" s="197" t="s">
        <v>867</v>
      </c>
    </row>
    <row r="2561" ht="15.75" customHeight="1">
      <c r="A2561" s="197" t="s">
        <v>74</v>
      </c>
      <c r="B2561" s="197" t="s">
        <v>21</v>
      </c>
      <c r="C2561" s="198" t="s">
        <v>425</v>
      </c>
      <c r="D2561" s="197" t="s">
        <v>426</v>
      </c>
      <c r="E2561" s="199">
        <v>4.0</v>
      </c>
      <c r="F2561" s="200">
        <v>45831.375</v>
      </c>
      <c r="G2561" s="197" t="s">
        <v>845</v>
      </c>
      <c r="H2561" s="197" t="s">
        <v>867</v>
      </c>
    </row>
    <row r="2562" ht="15.75" customHeight="1">
      <c r="A2562" s="197" t="s">
        <v>74</v>
      </c>
      <c r="B2562" s="197" t="s">
        <v>21</v>
      </c>
      <c r="C2562" s="198" t="s">
        <v>425</v>
      </c>
      <c r="D2562" s="197" t="s">
        <v>426</v>
      </c>
      <c r="E2562" s="199">
        <v>5.0</v>
      </c>
      <c r="F2562" s="200">
        <v>45917.45833333333</v>
      </c>
      <c r="G2562" s="197" t="s">
        <v>845</v>
      </c>
      <c r="H2562" s="197" t="s">
        <v>867</v>
      </c>
    </row>
    <row r="2563" ht="15.75" customHeight="1">
      <c r="A2563" s="197" t="s">
        <v>74</v>
      </c>
      <c r="B2563" s="197" t="s">
        <v>21</v>
      </c>
      <c r="C2563" s="198" t="s">
        <v>425</v>
      </c>
      <c r="D2563" s="197" t="s">
        <v>426</v>
      </c>
      <c r="E2563" s="199">
        <v>6.0</v>
      </c>
      <c r="F2563" s="200">
        <v>45923.45833333333</v>
      </c>
      <c r="G2563" s="197" t="s">
        <v>845</v>
      </c>
      <c r="H2563" s="197" t="s">
        <v>867</v>
      </c>
    </row>
    <row r="2564" ht="15.75" customHeight="1">
      <c r="A2564" s="197" t="s">
        <v>74</v>
      </c>
      <c r="B2564" s="197" t="s">
        <v>21</v>
      </c>
      <c r="C2564" s="198" t="s">
        <v>425</v>
      </c>
      <c r="D2564" s="197" t="s">
        <v>426</v>
      </c>
      <c r="E2564" s="199">
        <v>7.0</v>
      </c>
      <c r="F2564" s="200">
        <v>45926.625</v>
      </c>
      <c r="G2564" s="197" t="s">
        <v>845</v>
      </c>
      <c r="H2564" s="197" t="s">
        <v>867</v>
      </c>
    </row>
    <row r="2565" ht="15.75" customHeight="1">
      <c r="A2565" s="197" t="s">
        <v>74</v>
      </c>
      <c r="B2565" s="197" t="s">
        <v>21</v>
      </c>
      <c r="C2565" s="198" t="s">
        <v>425</v>
      </c>
      <c r="D2565" s="197" t="s">
        <v>426</v>
      </c>
      <c r="E2565" s="199">
        <v>8.0</v>
      </c>
      <c r="F2565" s="200">
        <v>45939.58333333333</v>
      </c>
      <c r="G2565" s="197" t="s">
        <v>845</v>
      </c>
      <c r="H2565" s="197" t="s">
        <v>867</v>
      </c>
    </row>
    <row r="2566" ht="15.75" customHeight="1">
      <c r="A2566" s="197" t="s">
        <v>74</v>
      </c>
      <c r="B2566" s="197" t="s">
        <v>21</v>
      </c>
      <c r="C2566" s="198" t="s">
        <v>425</v>
      </c>
      <c r="D2566" s="197" t="s">
        <v>426</v>
      </c>
      <c r="E2566" s="199">
        <v>9.0</v>
      </c>
      <c r="F2566" s="200">
        <v>45940.54166666667</v>
      </c>
      <c r="G2566" s="197" t="s">
        <v>845</v>
      </c>
      <c r="H2566" s="197" t="s">
        <v>867</v>
      </c>
    </row>
    <row r="2567" ht="15.75" customHeight="1">
      <c r="A2567" s="197" t="s">
        <v>74</v>
      </c>
      <c r="B2567" s="197" t="s">
        <v>21</v>
      </c>
      <c r="C2567" s="198" t="s">
        <v>425</v>
      </c>
      <c r="D2567" s="197" t="s">
        <v>426</v>
      </c>
      <c r="E2567" s="199">
        <v>10.0</v>
      </c>
      <c r="F2567" s="200">
        <v>45947.45833333333</v>
      </c>
      <c r="G2567" s="197" t="s">
        <v>845</v>
      </c>
      <c r="H2567" s="197" t="s">
        <v>867</v>
      </c>
    </row>
    <row r="2568" ht="15.75" customHeight="1">
      <c r="A2568" s="197" t="s">
        <v>74</v>
      </c>
      <c r="B2568" s="197" t="s">
        <v>21</v>
      </c>
      <c r="C2568" s="198" t="s">
        <v>425</v>
      </c>
      <c r="D2568" s="197" t="s">
        <v>426</v>
      </c>
      <c r="E2568" s="199">
        <v>11.0</v>
      </c>
      <c r="F2568" s="200">
        <v>45957.58333333333</v>
      </c>
      <c r="G2568" s="197" t="s">
        <v>845</v>
      </c>
      <c r="H2568" s="197" t="s">
        <v>867</v>
      </c>
    </row>
    <row r="2569" ht="15.75" customHeight="1">
      <c r="A2569" s="197" t="s">
        <v>74</v>
      </c>
      <c r="B2569" s="197" t="s">
        <v>21</v>
      </c>
      <c r="C2569" s="198" t="s">
        <v>425</v>
      </c>
      <c r="D2569" s="197" t="s">
        <v>426</v>
      </c>
      <c r="E2569" s="199">
        <v>12.0</v>
      </c>
      <c r="F2569" s="200">
        <v>45964.45833333333</v>
      </c>
      <c r="G2569" s="197" t="s">
        <v>845</v>
      </c>
      <c r="H2569" s="197" t="s">
        <v>867</v>
      </c>
    </row>
    <row r="2570" ht="15.75" customHeight="1">
      <c r="A2570" s="197" t="s">
        <v>74</v>
      </c>
      <c r="B2570" s="197" t="s">
        <v>21</v>
      </c>
      <c r="C2570" s="198" t="s">
        <v>425</v>
      </c>
      <c r="D2570" s="197" t="s">
        <v>426</v>
      </c>
      <c r="E2570" s="199">
        <v>13.0</v>
      </c>
      <c r="F2570" s="200">
        <v>45971.58333333333</v>
      </c>
      <c r="G2570" s="197" t="s">
        <v>845</v>
      </c>
      <c r="H2570" s="197" t="s">
        <v>867</v>
      </c>
    </row>
    <row r="2571" ht="15.75" customHeight="1">
      <c r="A2571" s="197" t="s">
        <v>74</v>
      </c>
      <c r="B2571" s="197" t="s">
        <v>21</v>
      </c>
      <c r="C2571" s="198" t="s">
        <v>425</v>
      </c>
      <c r="D2571" s="197" t="s">
        <v>426</v>
      </c>
      <c r="E2571" s="199">
        <v>14.0</v>
      </c>
      <c r="F2571" s="200">
        <v>45985.41666666667</v>
      </c>
      <c r="G2571" s="197" t="s">
        <v>845</v>
      </c>
      <c r="H2571" s="197" t="s">
        <v>867</v>
      </c>
    </row>
    <row r="2572" ht="15.75" customHeight="1">
      <c r="A2572" s="197" t="s">
        <v>74</v>
      </c>
      <c r="B2572" s="197" t="s">
        <v>22</v>
      </c>
      <c r="C2572" s="198" t="s">
        <v>425</v>
      </c>
      <c r="D2572" s="197" t="s">
        <v>426</v>
      </c>
      <c r="E2572" s="199">
        <v>2.0</v>
      </c>
      <c r="F2572" s="200">
        <v>46106.41666666667</v>
      </c>
      <c r="G2572" s="197" t="s">
        <v>845</v>
      </c>
      <c r="H2572" s="197" t="s">
        <v>867</v>
      </c>
    </row>
    <row r="2573" ht="15.75" customHeight="1">
      <c r="A2573" s="197" t="s">
        <v>74</v>
      </c>
      <c r="B2573" s="197" t="s">
        <v>22</v>
      </c>
      <c r="C2573" s="198" t="s">
        <v>425</v>
      </c>
      <c r="D2573" s="197" t="s">
        <v>426</v>
      </c>
      <c r="E2573" s="199">
        <v>3.0</v>
      </c>
      <c r="F2573" s="200">
        <v>46114.45833333333</v>
      </c>
      <c r="G2573" s="197" t="s">
        <v>845</v>
      </c>
      <c r="H2573" s="197" t="s">
        <v>867</v>
      </c>
    </row>
    <row r="2574" ht="15.75" customHeight="1">
      <c r="A2574" s="197" t="s">
        <v>74</v>
      </c>
      <c r="B2574" s="197" t="s">
        <v>22</v>
      </c>
      <c r="C2574" s="198" t="s">
        <v>425</v>
      </c>
      <c r="D2574" s="197" t="s">
        <v>426</v>
      </c>
      <c r="E2574" s="199">
        <v>4.0</v>
      </c>
      <c r="F2574" s="200">
        <v>46119.58333333333</v>
      </c>
      <c r="G2574" s="197" t="s">
        <v>845</v>
      </c>
      <c r="H2574" s="197" t="s">
        <v>867</v>
      </c>
    </row>
    <row r="2575" ht="15.75" customHeight="1">
      <c r="A2575" s="197" t="s">
        <v>74</v>
      </c>
      <c r="B2575" s="197" t="s">
        <v>22</v>
      </c>
      <c r="C2575" s="198" t="s">
        <v>425</v>
      </c>
      <c r="D2575" s="197" t="s">
        <v>426</v>
      </c>
      <c r="E2575" s="199">
        <v>5.0</v>
      </c>
      <c r="F2575" s="200">
        <v>46126.41666666667</v>
      </c>
      <c r="G2575" s="197" t="s">
        <v>845</v>
      </c>
      <c r="H2575" s="197" t="s">
        <v>867</v>
      </c>
    </row>
    <row r="2576" ht="15.75" customHeight="1">
      <c r="A2576" s="197" t="s">
        <v>74</v>
      </c>
      <c r="B2576" s="197" t="s">
        <v>22</v>
      </c>
      <c r="C2576" s="198" t="s">
        <v>425</v>
      </c>
      <c r="D2576" s="197" t="s">
        <v>426</v>
      </c>
      <c r="E2576" s="199">
        <v>6.0</v>
      </c>
      <c r="F2576" s="200">
        <v>46135.41666666667</v>
      </c>
      <c r="G2576" s="197" t="s">
        <v>845</v>
      </c>
      <c r="H2576" s="197" t="s">
        <v>867</v>
      </c>
    </row>
    <row r="2577" ht="15.75" customHeight="1">
      <c r="A2577" s="197" t="s">
        <v>74</v>
      </c>
      <c r="B2577" s="197" t="s">
        <v>25</v>
      </c>
      <c r="C2577" s="198" t="s">
        <v>425</v>
      </c>
      <c r="D2577" s="197" t="s">
        <v>426</v>
      </c>
      <c r="E2577" s="199">
        <v>1.0</v>
      </c>
      <c r="F2577" s="200">
        <v>45818.375</v>
      </c>
      <c r="G2577" s="197" t="s">
        <v>845</v>
      </c>
      <c r="H2577" s="197" t="s">
        <v>867</v>
      </c>
    </row>
    <row r="2578" ht="15.75" customHeight="1">
      <c r="A2578" s="197" t="s">
        <v>74</v>
      </c>
      <c r="B2578" s="197" t="s">
        <v>25</v>
      </c>
      <c r="C2578" s="198" t="s">
        <v>425</v>
      </c>
      <c r="D2578" s="197" t="s">
        <v>426</v>
      </c>
      <c r="E2578" s="199">
        <v>2.0</v>
      </c>
      <c r="F2578" s="200">
        <v>45827.375</v>
      </c>
      <c r="G2578" s="197" t="s">
        <v>845</v>
      </c>
      <c r="H2578" s="197" t="s">
        <v>867</v>
      </c>
    </row>
    <row r="2579" ht="15.75" customHeight="1">
      <c r="A2579" s="197" t="s">
        <v>74</v>
      </c>
      <c r="B2579" s="197" t="s">
        <v>25</v>
      </c>
      <c r="C2579" s="198" t="s">
        <v>425</v>
      </c>
      <c r="D2579" s="197" t="s">
        <v>426</v>
      </c>
      <c r="E2579" s="199">
        <v>3.0</v>
      </c>
      <c r="F2579" s="200">
        <v>45831.375</v>
      </c>
      <c r="G2579" s="197" t="s">
        <v>845</v>
      </c>
      <c r="H2579" s="197" t="s">
        <v>867</v>
      </c>
    </row>
    <row r="2580" ht="15.75" customHeight="1">
      <c r="A2580" s="197" t="s">
        <v>74</v>
      </c>
      <c r="B2580" s="197" t="s">
        <v>25</v>
      </c>
      <c r="C2580" s="198" t="s">
        <v>425</v>
      </c>
      <c r="D2580" s="197" t="s">
        <v>426</v>
      </c>
      <c r="E2580" s="199">
        <v>4.0</v>
      </c>
      <c r="F2580" s="200">
        <v>45840.45833333333</v>
      </c>
      <c r="G2580" s="197" t="s">
        <v>845</v>
      </c>
      <c r="H2580" s="197" t="s">
        <v>867</v>
      </c>
    </row>
    <row r="2581" ht="15.75" customHeight="1">
      <c r="A2581" s="197" t="s">
        <v>74</v>
      </c>
      <c r="B2581" s="197" t="s">
        <v>25</v>
      </c>
      <c r="C2581" s="198" t="s">
        <v>425</v>
      </c>
      <c r="D2581" s="197" t="s">
        <v>426</v>
      </c>
      <c r="E2581" s="199">
        <v>5.0</v>
      </c>
      <c r="F2581" s="200">
        <v>45852.45833333333</v>
      </c>
      <c r="G2581" s="197" t="s">
        <v>845</v>
      </c>
      <c r="H2581" s="197" t="s">
        <v>867</v>
      </c>
    </row>
    <row r="2582" ht="15.75" customHeight="1">
      <c r="A2582" s="197" t="s">
        <v>74</v>
      </c>
      <c r="B2582" s="197" t="s">
        <v>25</v>
      </c>
      <c r="C2582" s="198" t="s">
        <v>425</v>
      </c>
      <c r="D2582" s="197" t="s">
        <v>426</v>
      </c>
      <c r="E2582" s="199">
        <v>6.0</v>
      </c>
      <c r="F2582" s="200">
        <v>45855.45833333333</v>
      </c>
      <c r="G2582" s="197" t="s">
        <v>845</v>
      </c>
      <c r="H2582" s="197" t="s">
        <v>867</v>
      </c>
    </row>
    <row r="2583" ht="15.75" customHeight="1">
      <c r="A2583" s="197" t="s">
        <v>74</v>
      </c>
      <c r="B2583" s="197" t="s">
        <v>25</v>
      </c>
      <c r="C2583" s="198" t="s">
        <v>425</v>
      </c>
      <c r="D2583" s="197" t="s">
        <v>426</v>
      </c>
      <c r="E2583" s="199">
        <v>7.0</v>
      </c>
      <c r="F2583" s="200">
        <v>45866.45833333333</v>
      </c>
      <c r="G2583" s="197" t="s">
        <v>845</v>
      </c>
      <c r="H2583" s="197" t="s">
        <v>867</v>
      </c>
    </row>
    <row r="2584" ht="15.75" customHeight="1">
      <c r="A2584" s="197" t="s">
        <v>74</v>
      </c>
      <c r="B2584" s="197" t="s">
        <v>25</v>
      </c>
      <c r="C2584" s="198" t="s">
        <v>425</v>
      </c>
      <c r="D2584" s="197" t="s">
        <v>426</v>
      </c>
      <c r="E2584" s="199">
        <v>8.0</v>
      </c>
      <c r="F2584" s="200">
        <v>45881.625</v>
      </c>
      <c r="G2584" s="197" t="s">
        <v>843</v>
      </c>
      <c r="H2584" s="197" t="s">
        <v>867</v>
      </c>
    </row>
    <row r="2585" ht="15.75" customHeight="1">
      <c r="A2585" s="197" t="s">
        <v>74</v>
      </c>
      <c r="B2585" s="197" t="s">
        <v>25</v>
      </c>
      <c r="C2585" s="198" t="s">
        <v>425</v>
      </c>
      <c r="D2585" s="197" t="s">
        <v>426</v>
      </c>
      <c r="E2585" s="199">
        <v>9.0</v>
      </c>
      <c r="F2585" s="200">
        <v>45884.58333333333</v>
      </c>
      <c r="G2585" s="197" t="s">
        <v>845</v>
      </c>
      <c r="H2585" s="197" t="s">
        <v>867</v>
      </c>
    </row>
    <row r="2586" ht="15.75" customHeight="1">
      <c r="A2586" s="197" t="s">
        <v>74</v>
      </c>
      <c r="B2586" s="197" t="s">
        <v>25</v>
      </c>
      <c r="C2586" s="198" t="s">
        <v>425</v>
      </c>
      <c r="D2586" s="197" t="s">
        <v>426</v>
      </c>
      <c r="E2586" s="199">
        <v>10.0</v>
      </c>
      <c r="F2586" s="200">
        <v>45884.625</v>
      </c>
      <c r="G2586" s="197" t="s">
        <v>845</v>
      </c>
      <c r="H2586" s="197" t="s">
        <v>867</v>
      </c>
    </row>
    <row r="2587" ht="15.75" customHeight="1">
      <c r="A2587" s="197" t="s">
        <v>74</v>
      </c>
      <c r="B2587" s="197" t="s">
        <v>25</v>
      </c>
      <c r="C2587" s="198" t="s">
        <v>425</v>
      </c>
      <c r="D2587" s="197" t="s">
        <v>426</v>
      </c>
      <c r="E2587" s="199">
        <v>11.0</v>
      </c>
      <c r="F2587" s="200">
        <v>45887.41666666667</v>
      </c>
      <c r="G2587" s="197" t="s">
        <v>845</v>
      </c>
      <c r="H2587" s="197" t="s">
        <v>867</v>
      </c>
    </row>
    <row r="2588" ht="15.75" customHeight="1">
      <c r="A2588" s="197" t="s">
        <v>74</v>
      </c>
      <c r="B2588" s="197" t="s">
        <v>25</v>
      </c>
      <c r="C2588" s="198" t="s">
        <v>425</v>
      </c>
      <c r="D2588" s="197" t="s">
        <v>426</v>
      </c>
      <c r="E2588" s="199">
        <v>12.0</v>
      </c>
      <c r="F2588" s="200">
        <v>45903.45833333333</v>
      </c>
      <c r="G2588" s="197" t="s">
        <v>845</v>
      </c>
      <c r="H2588" s="197" t="s">
        <v>867</v>
      </c>
    </row>
    <row r="2589" ht="15.75" customHeight="1">
      <c r="A2589" s="197" t="s">
        <v>74</v>
      </c>
      <c r="B2589" s="197" t="s">
        <v>25</v>
      </c>
      <c r="C2589" s="198" t="s">
        <v>425</v>
      </c>
      <c r="D2589" s="197" t="s">
        <v>426</v>
      </c>
      <c r="E2589" s="199">
        <v>13.0</v>
      </c>
      <c r="F2589" s="200">
        <v>45904.45833333333</v>
      </c>
      <c r="G2589" s="197" t="s">
        <v>845</v>
      </c>
      <c r="H2589" s="197" t="s">
        <v>867</v>
      </c>
    </row>
    <row r="2590" ht="15.75" customHeight="1">
      <c r="A2590" s="197" t="s">
        <v>74</v>
      </c>
      <c r="B2590" s="197" t="s">
        <v>25</v>
      </c>
      <c r="C2590" s="198" t="s">
        <v>425</v>
      </c>
      <c r="D2590" s="197" t="s">
        <v>426</v>
      </c>
      <c r="E2590" s="199">
        <v>14.0</v>
      </c>
      <c r="F2590" s="200">
        <v>45909.45833333333</v>
      </c>
      <c r="G2590" s="197" t="s">
        <v>845</v>
      </c>
      <c r="H2590" s="197" t="s">
        <v>867</v>
      </c>
    </row>
    <row r="2591" ht="15.75" customHeight="1">
      <c r="A2591" s="197" t="s">
        <v>74</v>
      </c>
      <c r="B2591" s="197" t="s">
        <v>25</v>
      </c>
      <c r="C2591" s="198" t="s">
        <v>425</v>
      </c>
      <c r="D2591" s="197" t="s">
        <v>426</v>
      </c>
      <c r="E2591" s="199">
        <v>15.0</v>
      </c>
      <c r="F2591" s="200">
        <v>45989.625</v>
      </c>
      <c r="G2591" s="197" t="s">
        <v>845</v>
      </c>
      <c r="H2591" s="197" t="s">
        <v>867</v>
      </c>
    </row>
    <row r="2592" ht="15.75" customHeight="1">
      <c r="A2592" s="197" t="s">
        <v>74</v>
      </c>
      <c r="B2592" s="197" t="s">
        <v>25</v>
      </c>
      <c r="C2592" s="198" t="s">
        <v>425</v>
      </c>
      <c r="D2592" s="197" t="s">
        <v>426</v>
      </c>
      <c r="E2592" s="199">
        <v>16.0</v>
      </c>
      <c r="F2592" s="200">
        <v>46041.41666666667</v>
      </c>
      <c r="G2592" s="197" t="s">
        <v>845</v>
      </c>
      <c r="H2592" s="197" t="s">
        <v>867</v>
      </c>
    </row>
    <row r="2593" ht="15.75" customHeight="1">
      <c r="A2593" s="197" t="s">
        <v>74</v>
      </c>
      <c r="B2593" s="197" t="s">
        <v>21</v>
      </c>
      <c r="C2593" s="198" t="s">
        <v>431</v>
      </c>
      <c r="D2593" s="197" t="s">
        <v>432</v>
      </c>
      <c r="E2593" s="199">
        <v>1.0</v>
      </c>
      <c r="F2593" s="200">
        <v>45813.375</v>
      </c>
      <c r="G2593" s="197" t="s">
        <v>845</v>
      </c>
      <c r="H2593" s="197" t="s">
        <v>867</v>
      </c>
    </row>
    <row r="2594" ht="15.75" customHeight="1">
      <c r="A2594" s="197" t="s">
        <v>74</v>
      </c>
      <c r="B2594" s="197" t="s">
        <v>21</v>
      </c>
      <c r="C2594" s="198" t="s">
        <v>431</v>
      </c>
      <c r="D2594" s="197" t="s">
        <v>432</v>
      </c>
      <c r="E2594" s="199">
        <v>2.0</v>
      </c>
      <c r="F2594" s="200">
        <v>45818.375</v>
      </c>
      <c r="G2594" s="197" t="s">
        <v>845</v>
      </c>
      <c r="H2594" s="197" t="s">
        <v>867</v>
      </c>
    </row>
    <row r="2595" ht="15.75" customHeight="1">
      <c r="A2595" s="197" t="s">
        <v>74</v>
      </c>
      <c r="B2595" s="197" t="s">
        <v>21</v>
      </c>
      <c r="C2595" s="198" t="s">
        <v>431</v>
      </c>
      <c r="D2595" s="197" t="s">
        <v>432</v>
      </c>
      <c r="E2595" s="199">
        <v>3.0</v>
      </c>
      <c r="F2595" s="200">
        <v>45827.375</v>
      </c>
      <c r="G2595" s="197" t="s">
        <v>845</v>
      </c>
      <c r="H2595" s="197" t="s">
        <v>867</v>
      </c>
    </row>
    <row r="2596" ht="15.75" customHeight="1">
      <c r="A2596" s="197" t="s">
        <v>74</v>
      </c>
      <c r="B2596" s="197" t="s">
        <v>21</v>
      </c>
      <c r="C2596" s="198" t="s">
        <v>431</v>
      </c>
      <c r="D2596" s="197" t="s">
        <v>432</v>
      </c>
      <c r="E2596" s="199">
        <v>4.0</v>
      </c>
      <c r="F2596" s="200">
        <v>45831.375</v>
      </c>
      <c r="G2596" s="197" t="s">
        <v>845</v>
      </c>
      <c r="H2596" s="197" t="s">
        <v>867</v>
      </c>
    </row>
    <row r="2597" ht="15.75" customHeight="1">
      <c r="A2597" s="197" t="s">
        <v>74</v>
      </c>
      <c r="B2597" s="197" t="s">
        <v>21</v>
      </c>
      <c r="C2597" s="198" t="s">
        <v>431</v>
      </c>
      <c r="D2597" s="197" t="s">
        <v>432</v>
      </c>
      <c r="E2597" s="199">
        <v>5.0</v>
      </c>
      <c r="F2597" s="200">
        <v>45917.45833333333</v>
      </c>
      <c r="G2597" s="197" t="s">
        <v>845</v>
      </c>
      <c r="H2597" s="197" t="s">
        <v>867</v>
      </c>
    </row>
    <row r="2598" ht="15.75" customHeight="1">
      <c r="A2598" s="197" t="s">
        <v>74</v>
      </c>
      <c r="B2598" s="197" t="s">
        <v>21</v>
      </c>
      <c r="C2598" s="198" t="s">
        <v>431</v>
      </c>
      <c r="D2598" s="197" t="s">
        <v>432</v>
      </c>
      <c r="E2598" s="199">
        <v>6.0</v>
      </c>
      <c r="F2598" s="200">
        <v>45923.45833333333</v>
      </c>
      <c r="G2598" s="197" t="s">
        <v>845</v>
      </c>
      <c r="H2598" s="197" t="s">
        <v>867</v>
      </c>
    </row>
    <row r="2599" ht="15.75" customHeight="1">
      <c r="A2599" s="197" t="s">
        <v>74</v>
      </c>
      <c r="B2599" s="197" t="s">
        <v>21</v>
      </c>
      <c r="C2599" s="198" t="s">
        <v>431</v>
      </c>
      <c r="D2599" s="197" t="s">
        <v>432</v>
      </c>
      <c r="E2599" s="199">
        <v>7.0</v>
      </c>
      <c r="F2599" s="200">
        <v>45926.625</v>
      </c>
      <c r="G2599" s="197" t="s">
        <v>845</v>
      </c>
      <c r="H2599" s="197" t="s">
        <v>867</v>
      </c>
    </row>
    <row r="2600" ht="15.75" customHeight="1">
      <c r="A2600" s="197" t="s">
        <v>74</v>
      </c>
      <c r="B2600" s="197" t="s">
        <v>21</v>
      </c>
      <c r="C2600" s="198" t="s">
        <v>431</v>
      </c>
      <c r="D2600" s="197" t="s">
        <v>432</v>
      </c>
      <c r="E2600" s="199">
        <v>8.0</v>
      </c>
      <c r="F2600" s="200">
        <v>45939.58333333333</v>
      </c>
      <c r="G2600" s="197" t="s">
        <v>845</v>
      </c>
      <c r="H2600" s="197" t="s">
        <v>867</v>
      </c>
    </row>
    <row r="2601" ht="15.75" customHeight="1">
      <c r="A2601" s="197" t="s">
        <v>74</v>
      </c>
      <c r="B2601" s="197" t="s">
        <v>21</v>
      </c>
      <c r="C2601" s="198" t="s">
        <v>431</v>
      </c>
      <c r="D2601" s="197" t="s">
        <v>432</v>
      </c>
      <c r="E2601" s="199">
        <v>9.0</v>
      </c>
      <c r="F2601" s="200">
        <v>45940.54166666667</v>
      </c>
      <c r="G2601" s="197" t="s">
        <v>845</v>
      </c>
      <c r="H2601" s="197" t="s">
        <v>867</v>
      </c>
    </row>
    <row r="2602" ht="15.75" customHeight="1">
      <c r="A2602" s="197" t="s">
        <v>74</v>
      </c>
      <c r="B2602" s="197" t="s">
        <v>21</v>
      </c>
      <c r="C2602" s="198" t="s">
        <v>431</v>
      </c>
      <c r="D2602" s="197" t="s">
        <v>432</v>
      </c>
      <c r="E2602" s="199">
        <v>10.0</v>
      </c>
      <c r="F2602" s="200">
        <v>45947.45833333333</v>
      </c>
      <c r="G2602" s="197" t="s">
        <v>845</v>
      </c>
      <c r="H2602" s="197" t="s">
        <v>867</v>
      </c>
    </row>
    <row r="2603" ht="15.75" customHeight="1">
      <c r="A2603" s="197" t="s">
        <v>74</v>
      </c>
      <c r="B2603" s="197" t="s">
        <v>21</v>
      </c>
      <c r="C2603" s="198" t="s">
        <v>431</v>
      </c>
      <c r="D2603" s="197" t="s">
        <v>432</v>
      </c>
      <c r="E2603" s="199">
        <v>11.0</v>
      </c>
      <c r="F2603" s="200">
        <v>45957.58333333333</v>
      </c>
      <c r="G2603" s="197" t="s">
        <v>845</v>
      </c>
      <c r="H2603" s="197" t="s">
        <v>867</v>
      </c>
    </row>
    <row r="2604" ht="15.75" customHeight="1">
      <c r="A2604" s="197" t="s">
        <v>74</v>
      </c>
      <c r="B2604" s="197" t="s">
        <v>21</v>
      </c>
      <c r="C2604" s="198" t="s">
        <v>431</v>
      </c>
      <c r="D2604" s="197" t="s">
        <v>432</v>
      </c>
      <c r="E2604" s="199">
        <v>12.0</v>
      </c>
      <c r="F2604" s="200">
        <v>45964.45833333333</v>
      </c>
      <c r="G2604" s="197" t="s">
        <v>845</v>
      </c>
      <c r="H2604" s="197" t="s">
        <v>867</v>
      </c>
    </row>
    <row r="2605" ht="15.75" customHeight="1">
      <c r="A2605" s="197" t="s">
        <v>74</v>
      </c>
      <c r="B2605" s="197" t="s">
        <v>21</v>
      </c>
      <c r="C2605" s="198" t="s">
        <v>431</v>
      </c>
      <c r="D2605" s="197" t="s">
        <v>432</v>
      </c>
      <c r="E2605" s="199">
        <v>13.0</v>
      </c>
      <c r="F2605" s="200">
        <v>45971.58333333333</v>
      </c>
      <c r="G2605" s="197" t="s">
        <v>845</v>
      </c>
      <c r="H2605" s="197" t="s">
        <v>867</v>
      </c>
    </row>
    <row r="2606" ht="15.75" customHeight="1">
      <c r="A2606" s="197" t="s">
        <v>74</v>
      </c>
      <c r="B2606" s="197" t="s">
        <v>21</v>
      </c>
      <c r="C2606" s="198" t="s">
        <v>431</v>
      </c>
      <c r="D2606" s="197" t="s">
        <v>432</v>
      </c>
      <c r="E2606" s="199">
        <v>14.0</v>
      </c>
      <c r="F2606" s="200">
        <v>45985.41666666667</v>
      </c>
      <c r="G2606" s="197" t="s">
        <v>845</v>
      </c>
      <c r="H2606" s="197" t="s">
        <v>867</v>
      </c>
    </row>
    <row r="2607" ht="15.75" customHeight="1">
      <c r="A2607" s="197" t="s">
        <v>74</v>
      </c>
      <c r="B2607" s="197" t="s">
        <v>22</v>
      </c>
      <c r="C2607" s="198" t="s">
        <v>431</v>
      </c>
      <c r="D2607" s="197" t="s">
        <v>432</v>
      </c>
      <c r="E2607" s="199">
        <v>2.0</v>
      </c>
      <c r="F2607" s="200">
        <v>46106.41666666667</v>
      </c>
      <c r="G2607" s="197" t="s">
        <v>845</v>
      </c>
      <c r="H2607" s="197" t="s">
        <v>867</v>
      </c>
    </row>
    <row r="2608" ht="15.75" customHeight="1">
      <c r="A2608" s="197" t="s">
        <v>74</v>
      </c>
      <c r="B2608" s="197" t="s">
        <v>22</v>
      </c>
      <c r="C2608" s="198" t="s">
        <v>431</v>
      </c>
      <c r="D2608" s="197" t="s">
        <v>432</v>
      </c>
      <c r="E2608" s="199">
        <v>3.0</v>
      </c>
      <c r="F2608" s="200">
        <v>46114.45833333333</v>
      </c>
      <c r="G2608" s="197" t="s">
        <v>845</v>
      </c>
      <c r="H2608" s="197" t="s">
        <v>867</v>
      </c>
    </row>
    <row r="2609" ht="15.75" customHeight="1">
      <c r="A2609" s="197" t="s">
        <v>74</v>
      </c>
      <c r="B2609" s="197" t="s">
        <v>22</v>
      </c>
      <c r="C2609" s="198" t="s">
        <v>431</v>
      </c>
      <c r="D2609" s="197" t="s">
        <v>432</v>
      </c>
      <c r="E2609" s="199">
        <v>4.0</v>
      </c>
      <c r="F2609" s="200">
        <v>46119.58333333333</v>
      </c>
      <c r="G2609" s="197" t="s">
        <v>845</v>
      </c>
      <c r="H2609" s="197" t="s">
        <v>867</v>
      </c>
    </row>
    <row r="2610" ht="15.75" customHeight="1">
      <c r="A2610" s="197" t="s">
        <v>74</v>
      </c>
      <c r="B2610" s="197" t="s">
        <v>22</v>
      </c>
      <c r="C2610" s="198" t="s">
        <v>431</v>
      </c>
      <c r="D2610" s="197" t="s">
        <v>432</v>
      </c>
      <c r="E2610" s="199">
        <v>5.0</v>
      </c>
      <c r="F2610" s="200">
        <v>46126.41666666667</v>
      </c>
      <c r="G2610" s="197" t="s">
        <v>845</v>
      </c>
      <c r="H2610" s="197" t="s">
        <v>867</v>
      </c>
    </row>
    <row r="2611" ht="15.75" customHeight="1">
      <c r="A2611" s="197" t="s">
        <v>74</v>
      </c>
      <c r="B2611" s="197" t="s">
        <v>22</v>
      </c>
      <c r="C2611" s="198" t="s">
        <v>431</v>
      </c>
      <c r="D2611" s="197" t="s">
        <v>432</v>
      </c>
      <c r="E2611" s="199">
        <v>6.0</v>
      </c>
      <c r="F2611" s="200">
        <v>46135.41666666667</v>
      </c>
      <c r="G2611" s="197" t="s">
        <v>845</v>
      </c>
      <c r="H2611" s="197" t="s">
        <v>867</v>
      </c>
    </row>
    <row r="2612" ht="15.75" customHeight="1">
      <c r="A2612" s="197" t="s">
        <v>74</v>
      </c>
      <c r="B2612" s="197" t="s">
        <v>25</v>
      </c>
      <c r="C2612" s="198" t="s">
        <v>431</v>
      </c>
      <c r="D2612" s="197" t="s">
        <v>432</v>
      </c>
      <c r="E2612" s="199">
        <v>1.0</v>
      </c>
      <c r="F2612" s="200">
        <v>45818.375</v>
      </c>
      <c r="G2612" s="197" t="s">
        <v>845</v>
      </c>
      <c r="H2612" s="197" t="s">
        <v>867</v>
      </c>
    </row>
    <row r="2613" ht="15.75" customHeight="1">
      <c r="A2613" s="197" t="s">
        <v>74</v>
      </c>
      <c r="B2613" s="197" t="s">
        <v>25</v>
      </c>
      <c r="C2613" s="198" t="s">
        <v>431</v>
      </c>
      <c r="D2613" s="197" t="s">
        <v>432</v>
      </c>
      <c r="E2613" s="199">
        <v>2.0</v>
      </c>
      <c r="F2613" s="200">
        <v>45827.375</v>
      </c>
      <c r="G2613" s="197" t="s">
        <v>845</v>
      </c>
      <c r="H2613" s="197" t="s">
        <v>867</v>
      </c>
    </row>
    <row r="2614" ht="15.75" customHeight="1">
      <c r="A2614" s="197" t="s">
        <v>74</v>
      </c>
      <c r="B2614" s="197" t="s">
        <v>25</v>
      </c>
      <c r="C2614" s="198" t="s">
        <v>431</v>
      </c>
      <c r="D2614" s="197" t="s">
        <v>432</v>
      </c>
      <c r="E2614" s="199">
        <v>3.0</v>
      </c>
      <c r="F2614" s="200">
        <v>45831.375</v>
      </c>
      <c r="G2614" s="197" t="s">
        <v>845</v>
      </c>
      <c r="H2614" s="197" t="s">
        <v>867</v>
      </c>
    </row>
    <row r="2615" ht="15.75" customHeight="1">
      <c r="A2615" s="197" t="s">
        <v>74</v>
      </c>
      <c r="B2615" s="197" t="s">
        <v>25</v>
      </c>
      <c r="C2615" s="198" t="s">
        <v>431</v>
      </c>
      <c r="D2615" s="197" t="s">
        <v>432</v>
      </c>
      <c r="E2615" s="199">
        <v>4.0</v>
      </c>
      <c r="F2615" s="200">
        <v>45840.45833333333</v>
      </c>
      <c r="G2615" s="197" t="s">
        <v>845</v>
      </c>
      <c r="H2615" s="197" t="s">
        <v>867</v>
      </c>
    </row>
    <row r="2616" ht="15.75" customHeight="1">
      <c r="A2616" s="197" t="s">
        <v>74</v>
      </c>
      <c r="B2616" s="197" t="s">
        <v>25</v>
      </c>
      <c r="C2616" s="198" t="s">
        <v>431</v>
      </c>
      <c r="D2616" s="197" t="s">
        <v>432</v>
      </c>
      <c r="E2616" s="199">
        <v>5.0</v>
      </c>
      <c r="F2616" s="200">
        <v>45852.45833333333</v>
      </c>
      <c r="G2616" s="197" t="s">
        <v>845</v>
      </c>
      <c r="H2616" s="197" t="s">
        <v>867</v>
      </c>
    </row>
    <row r="2617" ht="15.75" customHeight="1">
      <c r="A2617" s="197" t="s">
        <v>74</v>
      </c>
      <c r="B2617" s="197" t="s">
        <v>25</v>
      </c>
      <c r="C2617" s="198" t="s">
        <v>431</v>
      </c>
      <c r="D2617" s="197" t="s">
        <v>432</v>
      </c>
      <c r="E2617" s="199">
        <v>6.0</v>
      </c>
      <c r="F2617" s="200">
        <v>45855.45833333333</v>
      </c>
      <c r="G2617" s="197" t="s">
        <v>845</v>
      </c>
      <c r="H2617" s="197" t="s">
        <v>867</v>
      </c>
    </row>
    <row r="2618" ht="15.75" customHeight="1">
      <c r="A2618" s="197" t="s">
        <v>74</v>
      </c>
      <c r="B2618" s="197" t="s">
        <v>25</v>
      </c>
      <c r="C2618" s="198" t="s">
        <v>431</v>
      </c>
      <c r="D2618" s="197" t="s">
        <v>432</v>
      </c>
      <c r="E2618" s="199">
        <v>7.0</v>
      </c>
      <c r="F2618" s="200">
        <v>45866.45833333333</v>
      </c>
      <c r="G2618" s="197" t="s">
        <v>845</v>
      </c>
      <c r="H2618" s="197" t="s">
        <v>867</v>
      </c>
    </row>
    <row r="2619" ht="15.75" customHeight="1">
      <c r="A2619" s="197" t="s">
        <v>74</v>
      </c>
      <c r="B2619" s="197" t="s">
        <v>25</v>
      </c>
      <c r="C2619" s="198" t="s">
        <v>431</v>
      </c>
      <c r="D2619" s="197" t="s">
        <v>432</v>
      </c>
      <c r="E2619" s="199">
        <v>8.0</v>
      </c>
      <c r="F2619" s="200">
        <v>45881.625</v>
      </c>
      <c r="G2619" s="197" t="s">
        <v>845</v>
      </c>
      <c r="H2619" s="197" t="s">
        <v>867</v>
      </c>
    </row>
    <row r="2620" ht="15.75" customHeight="1">
      <c r="A2620" s="197" t="s">
        <v>74</v>
      </c>
      <c r="B2620" s="197" t="s">
        <v>25</v>
      </c>
      <c r="C2620" s="198" t="s">
        <v>431</v>
      </c>
      <c r="D2620" s="197" t="s">
        <v>432</v>
      </c>
      <c r="E2620" s="199">
        <v>9.0</v>
      </c>
      <c r="F2620" s="200">
        <v>45884.58333333333</v>
      </c>
      <c r="G2620" s="197" t="s">
        <v>845</v>
      </c>
      <c r="H2620" s="197" t="s">
        <v>867</v>
      </c>
    </row>
    <row r="2621" ht="15.75" customHeight="1">
      <c r="A2621" s="197" t="s">
        <v>74</v>
      </c>
      <c r="B2621" s="197" t="s">
        <v>25</v>
      </c>
      <c r="C2621" s="198" t="s">
        <v>431</v>
      </c>
      <c r="D2621" s="197" t="s">
        <v>432</v>
      </c>
      <c r="E2621" s="199">
        <v>10.0</v>
      </c>
      <c r="F2621" s="200">
        <v>45884.625</v>
      </c>
      <c r="G2621" s="197" t="s">
        <v>845</v>
      </c>
      <c r="H2621" s="197" t="s">
        <v>867</v>
      </c>
    </row>
    <row r="2622" ht="15.75" customHeight="1">
      <c r="A2622" s="197" t="s">
        <v>74</v>
      </c>
      <c r="B2622" s="197" t="s">
        <v>25</v>
      </c>
      <c r="C2622" s="198" t="s">
        <v>431</v>
      </c>
      <c r="D2622" s="197" t="s">
        <v>432</v>
      </c>
      <c r="E2622" s="199">
        <v>11.0</v>
      </c>
      <c r="F2622" s="200">
        <v>45887.41666666667</v>
      </c>
      <c r="G2622" s="197" t="s">
        <v>845</v>
      </c>
      <c r="H2622" s="197" t="s">
        <v>867</v>
      </c>
    </row>
    <row r="2623" ht="15.75" customHeight="1">
      <c r="A2623" s="197" t="s">
        <v>74</v>
      </c>
      <c r="B2623" s="197" t="s">
        <v>25</v>
      </c>
      <c r="C2623" s="198" t="s">
        <v>431</v>
      </c>
      <c r="D2623" s="197" t="s">
        <v>432</v>
      </c>
      <c r="E2623" s="199">
        <v>12.0</v>
      </c>
      <c r="F2623" s="200">
        <v>45903.45833333333</v>
      </c>
      <c r="G2623" s="197" t="s">
        <v>845</v>
      </c>
      <c r="H2623" s="197" t="s">
        <v>867</v>
      </c>
    </row>
    <row r="2624" ht="15.75" customHeight="1">
      <c r="A2624" s="197" t="s">
        <v>74</v>
      </c>
      <c r="B2624" s="197" t="s">
        <v>25</v>
      </c>
      <c r="C2624" s="198" t="s">
        <v>431</v>
      </c>
      <c r="D2624" s="197" t="s">
        <v>432</v>
      </c>
      <c r="E2624" s="199">
        <v>13.0</v>
      </c>
      <c r="F2624" s="200">
        <v>45904.45833333333</v>
      </c>
      <c r="G2624" s="197" t="s">
        <v>845</v>
      </c>
      <c r="H2624" s="197" t="s">
        <v>867</v>
      </c>
    </row>
    <row r="2625" ht="15.75" customHeight="1">
      <c r="A2625" s="197" t="s">
        <v>74</v>
      </c>
      <c r="B2625" s="197" t="s">
        <v>25</v>
      </c>
      <c r="C2625" s="198" t="s">
        <v>431</v>
      </c>
      <c r="D2625" s="197" t="s">
        <v>432</v>
      </c>
      <c r="E2625" s="199">
        <v>14.0</v>
      </c>
      <c r="F2625" s="200">
        <v>45909.45833333333</v>
      </c>
      <c r="G2625" s="197" t="s">
        <v>845</v>
      </c>
      <c r="H2625" s="197" t="s">
        <v>867</v>
      </c>
    </row>
    <row r="2626" ht="15.75" customHeight="1">
      <c r="A2626" s="197" t="s">
        <v>74</v>
      </c>
      <c r="B2626" s="197" t="s">
        <v>25</v>
      </c>
      <c r="C2626" s="198" t="s">
        <v>431</v>
      </c>
      <c r="D2626" s="197" t="s">
        <v>432</v>
      </c>
      <c r="E2626" s="199">
        <v>15.0</v>
      </c>
      <c r="F2626" s="200">
        <v>45989.625</v>
      </c>
      <c r="G2626" s="197" t="s">
        <v>845</v>
      </c>
      <c r="H2626" s="197" t="s">
        <v>867</v>
      </c>
    </row>
    <row r="2627" ht="15.75" customHeight="1">
      <c r="A2627" s="197" t="s">
        <v>74</v>
      </c>
      <c r="B2627" s="197" t="s">
        <v>25</v>
      </c>
      <c r="C2627" s="198" t="s">
        <v>431</v>
      </c>
      <c r="D2627" s="197" t="s">
        <v>432</v>
      </c>
      <c r="E2627" s="199">
        <v>16.0</v>
      </c>
      <c r="F2627" s="200">
        <v>46041.41666666667</v>
      </c>
      <c r="G2627" s="197" t="s">
        <v>845</v>
      </c>
      <c r="H2627" s="197" t="s">
        <v>867</v>
      </c>
    </row>
    <row r="2628" ht="15.75" customHeight="1">
      <c r="A2628" s="197" t="s">
        <v>74</v>
      </c>
      <c r="B2628" s="197" t="s">
        <v>21</v>
      </c>
      <c r="C2628" s="198" t="s">
        <v>453</v>
      </c>
      <c r="D2628" s="197" t="s">
        <v>454</v>
      </c>
      <c r="E2628" s="199">
        <v>1.0</v>
      </c>
      <c r="F2628" s="200">
        <v>45813.375</v>
      </c>
      <c r="G2628" s="197" t="s">
        <v>843</v>
      </c>
      <c r="H2628" s="197" t="s">
        <v>867</v>
      </c>
    </row>
    <row r="2629" ht="15.75" customHeight="1">
      <c r="A2629" s="197" t="s">
        <v>74</v>
      </c>
      <c r="B2629" s="197" t="s">
        <v>21</v>
      </c>
      <c r="C2629" s="198" t="s">
        <v>453</v>
      </c>
      <c r="D2629" s="197" t="s">
        <v>454</v>
      </c>
      <c r="E2629" s="199">
        <v>2.0</v>
      </c>
      <c r="F2629" s="200">
        <v>45818.375</v>
      </c>
      <c r="G2629" s="197" t="s">
        <v>845</v>
      </c>
      <c r="H2629" s="197" t="s">
        <v>867</v>
      </c>
    </row>
    <row r="2630" ht="15.75" customHeight="1">
      <c r="A2630" s="197" t="s">
        <v>74</v>
      </c>
      <c r="B2630" s="197" t="s">
        <v>21</v>
      </c>
      <c r="C2630" s="198" t="s">
        <v>453</v>
      </c>
      <c r="D2630" s="197" t="s">
        <v>454</v>
      </c>
      <c r="E2630" s="199">
        <v>3.0</v>
      </c>
      <c r="F2630" s="200">
        <v>45827.375</v>
      </c>
      <c r="G2630" s="197" t="s">
        <v>845</v>
      </c>
      <c r="H2630" s="197" t="s">
        <v>867</v>
      </c>
    </row>
    <row r="2631" ht="15.75" customHeight="1">
      <c r="A2631" s="197" t="s">
        <v>74</v>
      </c>
      <c r="B2631" s="197" t="s">
        <v>21</v>
      </c>
      <c r="C2631" s="198" t="s">
        <v>453</v>
      </c>
      <c r="D2631" s="197" t="s">
        <v>454</v>
      </c>
      <c r="E2631" s="199">
        <v>4.0</v>
      </c>
      <c r="F2631" s="200">
        <v>45831.375</v>
      </c>
      <c r="G2631" s="197" t="s">
        <v>845</v>
      </c>
      <c r="H2631" s="197" t="s">
        <v>867</v>
      </c>
    </row>
    <row r="2632" ht="15.75" customHeight="1">
      <c r="A2632" s="197" t="s">
        <v>74</v>
      </c>
      <c r="B2632" s="197" t="s">
        <v>21</v>
      </c>
      <c r="C2632" s="198" t="s">
        <v>453</v>
      </c>
      <c r="D2632" s="197" t="s">
        <v>454</v>
      </c>
      <c r="E2632" s="199">
        <v>5.0</v>
      </c>
      <c r="F2632" s="200">
        <v>45917.45833333333</v>
      </c>
      <c r="G2632" s="197" t="s">
        <v>845</v>
      </c>
      <c r="H2632" s="197" t="s">
        <v>867</v>
      </c>
    </row>
    <row r="2633" ht="15.75" customHeight="1">
      <c r="A2633" s="197" t="s">
        <v>74</v>
      </c>
      <c r="B2633" s="197" t="s">
        <v>21</v>
      </c>
      <c r="C2633" s="198" t="s">
        <v>453</v>
      </c>
      <c r="D2633" s="197" t="s">
        <v>454</v>
      </c>
      <c r="E2633" s="199">
        <v>6.0</v>
      </c>
      <c r="F2633" s="200">
        <v>45923.45833333333</v>
      </c>
      <c r="G2633" s="197" t="s">
        <v>845</v>
      </c>
      <c r="H2633" s="197" t="s">
        <v>867</v>
      </c>
    </row>
    <row r="2634" ht="15.75" customHeight="1">
      <c r="A2634" s="197" t="s">
        <v>74</v>
      </c>
      <c r="B2634" s="197" t="s">
        <v>21</v>
      </c>
      <c r="C2634" s="198" t="s">
        <v>453</v>
      </c>
      <c r="D2634" s="197" t="s">
        <v>454</v>
      </c>
      <c r="E2634" s="199">
        <v>7.0</v>
      </c>
      <c r="F2634" s="200">
        <v>45926.625</v>
      </c>
      <c r="G2634" s="197" t="s">
        <v>845</v>
      </c>
      <c r="H2634" s="197" t="s">
        <v>867</v>
      </c>
    </row>
    <row r="2635" ht="15.75" customHeight="1">
      <c r="A2635" s="197" t="s">
        <v>74</v>
      </c>
      <c r="B2635" s="197" t="s">
        <v>21</v>
      </c>
      <c r="C2635" s="198" t="s">
        <v>453</v>
      </c>
      <c r="D2635" s="197" t="s">
        <v>454</v>
      </c>
      <c r="E2635" s="199">
        <v>8.0</v>
      </c>
      <c r="F2635" s="200">
        <v>45939.58333333333</v>
      </c>
      <c r="G2635" s="197" t="s">
        <v>845</v>
      </c>
      <c r="H2635" s="197" t="s">
        <v>867</v>
      </c>
    </row>
    <row r="2636" ht="15.75" customHeight="1">
      <c r="A2636" s="197" t="s">
        <v>74</v>
      </c>
      <c r="B2636" s="197" t="s">
        <v>21</v>
      </c>
      <c r="C2636" s="198" t="s">
        <v>453</v>
      </c>
      <c r="D2636" s="197" t="s">
        <v>454</v>
      </c>
      <c r="E2636" s="199">
        <v>9.0</v>
      </c>
      <c r="F2636" s="200">
        <v>45940.54166666667</v>
      </c>
      <c r="G2636" s="197" t="s">
        <v>845</v>
      </c>
      <c r="H2636" s="197" t="s">
        <v>867</v>
      </c>
    </row>
    <row r="2637" ht="15.75" customHeight="1">
      <c r="A2637" s="197" t="s">
        <v>74</v>
      </c>
      <c r="B2637" s="197" t="s">
        <v>21</v>
      </c>
      <c r="C2637" s="198" t="s">
        <v>453</v>
      </c>
      <c r="D2637" s="197" t="s">
        <v>454</v>
      </c>
      <c r="E2637" s="199">
        <v>10.0</v>
      </c>
      <c r="F2637" s="200">
        <v>45947.45833333333</v>
      </c>
      <c r="G2637" s="197" t="s">
        <v>845</v>
      </c>
      <c r="H2637" s="197" t="s">
        <v>867</v>
      </c>
    </row>
    <row r="2638" ht="15.75" customHeight="1">
      <c r="A2638" s="197" t="s">
        <v>74</v>
      </c>
      <c r="B2638" s="197" t="s">
        <v>21</v>
      </c>
      <c r="C2638" s="198" t="s">
        <v>453</v>
      </c>
      <c r="D2638" s="197" t="s">
        <v>454</v>
      </c>
      <c r="E2638" s="199">
        <v>11.0</v>
      </c>
      <c r="F2638" s="200">
        <v>45957.58333333333</v>
      </c>
      <c r="G2638" s="197" t="s">
        <v>845</v>
      </c>
      <c r="H2638" s="197" t="s">
        <v>867</v>
      </c>
    </row>
    <row r="2639" ht="15.75" customHeight="1">
      <c r="A2639" s="197" t="s">
        <v>74</v>
      </c>
      <c r="B2639" s="197" t="s">
        <v>21</v>
      </c>
      <c r="C2639" s="198" t="s">
        <v>453</v>
      </c>
      <c r="D2639" s="197" t="s">
        <v>454</v>
      </c>
      <c r="E2639" s="199">
        <v>12.0</v>
      </c>
      <c r="F2639" s="200">
        <v>45964.45833333333</v>
      </c>
      <c r="G2639" s="197" t="s">
        <v>845</v>
      </c>
      <c r="H2639" s="197" t="s">
        <v>867</v>
      </c>
    </row>
    <row r="2640" ht="15.75" customHeight="1">
      <c r="A2640" s="197" t="s">
        <v>74</v>
      </c>
      <c r="B2640" s="197" t="s">
        <v>21</v>
      </c>
      <c r="C2640" s="198" t="s">
        <v>453</v>
      </c>
      <c r="D2640" s="197" t="s">
        <v>454</v>
      </c>
      <c r="E2640" s="199">
        <v>13.0</v>
      </c>
      <c r="F2640" s="200">
        <v>45971.58333333333</v>
      </c>
      <c r="G2640" s="197" t="s">
        <v>845</v>
      </c>
      <c r="H2640" s="197" t="s">
        <v>867</v>
      </c>
    </row>
    <row r="2641" ht="15.75" customHeight="1">
      <c r="A2641" s="197" t="s">
        <v>74</v>
      </c>
      <c r="B2641" s="197" t="s">
        <v>21</v>
      </c>
      <c r="C2641" s="198" t="s">
        <v>453</v>
      </c>
      <c r="D2641" s="197" t="s">
        <v>454</v>
      </c>
      <c r="E2641" s="199">
        <v>14.0</v>
      </c>
      <c r="F2641" s="200">
        <v>45985.41666666667</v>
      </c>
      <c r="G2641" s="197" t="s">
        <v>845</v>
      </c>
      <c r="H2641" s="197" t="s">
        <v>867</v>
      </c>
    </row>
    <row r="2642" ht="15.75" customHeight="1">
      <c r="A2642" s="197" t="s">
        <v>74</v>
      </c>
      <c r="B2642" s="197" t="s">
        <v>22</v>
      </c>
      <c r="C2642" s="198" t="s">
        <v>453</v>
      </c>
      <c r="D2642" s="197" t="s">
        <v>454</v>
      </c>
      <c r="E2642" s="199">
        <v>2.0</v>
      </c>
      <c r="F2642" s="200">
        <v>46106.41666666667</v>
      </c>
      <c r="G2642" s="197" t="s">
        <v>845</v>
      </c>
      <c r="H2642" s="197" t="s">
        <v>867</v>
      </c>
    </row>
    <row r="2643" ht="15.75" customHeight="1">
      <c r="A2643" s="197" t="s">
        <v>74</v>
      </c>
      <c r="B2643" s="197" t="s">
        <v>22</v>
      </c>
      <c r="C2643" s="198" t="s">
        <v>453</v>
      </c>
      <c r="D2643" s="197" t="s">
        <v>454</v>
      </c>
      <c r="E2643" s="199">
        <v>3.0</v>
      </c>
      <c r="F2643" s="200">
        <v>46114.45833333333</v>
      </c>
      <c r="G2643" s="197" t="s">
        <v>845</v>
      </c>
      <c r="H2643" s="197" t="s">
        <v>867</v>
      </c>
    </row>
    <row r="2644" ht="15.75" customHeight="1">
      <c r="A2644" s="197" t="s">
        <v>74</v>
      </c>
      <c r="B2644" s="197" t="s">
        <v>22</v>
      </c>
      <c r="C2644" s="198" t="s">
        <v>453</v>
      </c>
      <c r="D2644" s="197" t="s">
        <v>454</v>
      </c>
      <c r="E2644" s="199">
        <v>4.0</v>
      </c>
      <c r="F2644" s="200">
        <v>46119.58333333333</v>
      </c>
      <c r="G2644" s="197" t="s">
        <v>845</v>
      </c>
      <c r="H2644" s="197" t="s">
        <v>867</v>
      </c>
    </row>
    <row r="2645" ht="15.75" customHeight="1">
      <c r="A2645" s="197" t="s">
        <v>74</v>
      </c>
      <c r="B2645" s="197" t="s">
        <v>22</v>
      </c>
      <c r="C2645" s="198" t="s">
        <v>453</v>
      </c>
      <c r="D2645" s="197" t="s">
        <v>454</v>
      </c>
      <c r="E2645" s="199">
        <v>5.0</v>
      </c>
      <c r="F2645" s="200">
        <v>46126.41666666667</v>
      </c>
      <c r="G2645" s="197" t="s">
        <v>845</v>
      </c>
      <c r="H2645" s="197" t="s">
        <v>867</v>
      </c>
    </row>
    <row r="2646" ht="15.75" customHeight="1">
      <c r="A2646" s="197" t="s">
        <v>74</v>
      </c>
      <c r="B2646" s="197" t="s">
        <v>22</v>
      </c>
      <c r="C2646" s="198" t="s">
        <v>453</v>
      </c>
      <c r="D2646" s="197" t="s">
        <v>454</v>
      </c>
      <c r="E2646" s="199">
        <v>6.0</v>
      </c>
      <c r="F2646" s="200">
        <v>46135.41666666667</v>
      </c>
      <c r="G2646" s="197" t="s">
        <v>845</v>
      </c>
      <c r="H2646" s="197" t="s">
        <v>867</v>
      </c>
    </row>
    <row r="2647" ht="15.75" customHeight="1">
      <c r="A2647" s="197" t="s">
        <v>74</v>
      </c>
      <c r="B2647" s="197" t="s">
        <v>25</v>
      </c>
      <c r="C2647" s="198" t="s">
        <v>453</v>
      </c>
      <c r="D2647" s="197" t="s">
        <v>454</v>
      </c>
      <c r="E2647" s="199">
        <v>1.0</v>
      </c>
      <c r="F2647" s="200">
        <v>45818.375</v>
      </c>
      <c r="G2647" s="197" t="s">
        <v>845</v>
      </c>
      <c r="H2647" s="197" t="s">
        <v>867</v>
      </c>
    </row>
    <row r="2648" ht="15.75" customHeight="1">
      <c r="A2648" s="197" t="s">
        <v>74</v>
      </c>
      <c r="B2648" s="197" t="s">
        <v>25</v>
      </c>
      <c r="C2648" s="198" t="s">
        <v>453</v>
      </c>
      <c r="D2648" s="197" t="s">
        <v>454</v>
      </c>
      <c r="E2648" s="199">
        <v>2.0</v>
      </c>
      <c r="F2648" s="200">
        <v>45827.375</v>
      </c>
      <c r="G2648" s="197" t="s">
        <v>845</v>
      </c>
      <c r="H2648" s="197" t="s">
        <v>867</v>
      </c>
    </row>
    <row r="2649" ht="15.75" customHeight="1">
      <c r="A2649" s="197" t="s">
        <v>74</v>
      </c>
      <c r="B2649" s="197" t="s">
        <v>25</v>
      </c>
      <c r="C2649" s="198" t="s">
        <v>453</v>
      </c>
      <c r="D2649" s="197" t="s">
        <v>454</v>
      </c>
      <c r="E2649" s="199">
        <v>3.0</v>
      </c>
      <c r="F2649" s="200">
        <v>45831.375</v>
      </c>
      <c r="G2649" s="197" t="s">
        <v>845</v>
      </c>
      <c r="H2649" s="197" t="s">
        <v>867</v>
      </c>
    </row>
    <row r="2650" ht="15.75" customHeight="1">
      <c r="A2650" s="197" t="s">
        <v>74</v>
      </c>
      <c r="B2650" s="197" t="s">
        <v>25</v>
      </c>
      <c r="C2650" s="198" t="s">
        <v>453</v>
      </c>
      <c r="D2650" s="197" t="s">
        <v>454</v>
      </c>
      <c r="E2650" s="199">
        <v>4.0</v>
      </c>
      <c r="F2650" s="200">
        <v>45840.45833333333</v>
      </c>
      <c r="G2650" s="197" t="s">
        <v>845</v>
      </c>
      <c r="H2650" s="197" t="s">
        <v>867</v>
      </c>
    </row>
    <row r="2651" ht="15.75" customHeight="1">
      <c r="A2651" s="197" t="s">
        <v>74</v>
      </c>
      <c r="B2651" s="197" t="s">
        <v>25</v>
      </c>
      <c r="C2651" s="198" t="s">
        <v>453</v>
      </c>
      <c r="D2651" s="197" t="s">
        <v>454</v>
      </c>
      <c r="E2651" s="199">
        <v>5.0</v>
      </c>
      <c r="F2651" s="200">
        <v>45852.45833333333</v>
      </c>
      <c r="G2651" s="197" t="s">
        <v>845</v>
      </c>
      <c r="H2651" s="197" t="s">
        <v>867</v>
      </c>
    </row>
    <row r="2652" ht="15.75" customHeight="1">
      <c r="A2652" s="197" t="s">
        <v>74</v>
      </c>
      <c r="B2652" s="197" t="s">
        <v>25</v>
      </c>
      <c r="C2652" s="198" t="s">
        <v>453</v>
      </c>
      <c r="D2652" s="197" t="s">
        <v>454</v>
      </c>
      <c r="E2652" s="199">
        <v>6.0</v>
      </c>
      <c r="F2652" s="200">
        <v>45855.45833333333</v>
      </c>
      <c r="G2652" s="197" t="s">
        <v>845</v>
      </c>
      <c r="H2652" s="197" t="s">
        <v>867</v>
      </c>
    </row>
    <row r="2653" ht="15.75" customHeight="1">
      <c r="A2653" s="197" t="s">
        <v>74</v>
      </c>
      <c r="B2653" s="197" t="s">
        <v>25</v>
      </c>
      <c r="C2653" s="198" t="s">
        <v>453</v>
      </c>
      <c r="D2653" s="197" t="s">
        <v>454</v>
      </c>
      <c r="E2653" s="199">
        <v>7.0</v>
      </c>
      <c r="F2653" s="200">
        <v>45866.45833333333</v>
      </c>
      <c r="G2653" s="197" t="s">
        <v>845</v>
      </c>
      <c r="H2653" s="197" t="s">
        <v>867</v>
      </c>
    </row>
    <row r="2654" ht="15.75" customHeight="1">
      <c r="A2654" s="197" t="s">
        <v>74</v>
      </c>
      <c r="B2654" s="197" t="s">
        <v>25</v>
      </c>
      <c r="C2654" s="198" t="s">
        <v>453</v>
      </c>
      <c r="D2654" s="197" t="s">
        <v>454</v>
      </c>
      <c r="E2654" s="199">
        <v>8.0</v>
      </c>
      <c r="F2654" s="200">
        <v>45881.625</v>
      </c>
      <c r="G2654" s="197" t="s">
        <v>845</v>
      </c>
      <c r="H2654" s="197" t="s">
        <v>867</v>
      </c>
    </row>
    <row r="2655" ht="15.75" customHeight="1">
      <c r="A2655" s="197" t="s">
        <v>74</v>
      </c>
      <c r="B2655" s="197" t="s">
        <v>25</v>
      </c>
      <c r="C2655" s="198" t="s">
        <v>453</v>
      </c>
      <c r="D2655" s="197" t="s">
        <v>454</v>
      </c>
      <c r="E2655" s="199">
        <v>9.0</v>
      </c>
      <c r="F2655" s="200">
        <v>45884.58333333333</v>
      </c>
      <c r="G2655" s="197" t="s">
        <v>845</v>
      </c>
      <c r="H2655" s="197" t="s">
        <v>867</v>
      </c>
    </row>
    <row r="2656" ht="15.75" customHeight="1">
      <c r="A2656" s="197" t="s">
        <v>74</v>
      </c>
      <c r="B2656" s="197" t="s">
        <v>25</v>
      </c>
      <c r="C2656" s="198" t="s">
        <v>453</v>
      </c>
      <c r="D2656" s="197" t="s">
        <v>454</v>
      </c>
      <c r="E2656" s="199">
        <v>10.0</v>
      </c>
      <c r="F2656" s="200">
        <v>45884.625</v>
      </c>
      <c r="G2656" s="197" t="s">
        <v>845</v>
      </c>
      <c r="H2656" s="197" t="s">
        <v>867</v>
      </c>
    </row>
    <row r="2657" ht="15.75" customHeight="1">
      <c r="A2657" s="197" t="s">
        <v>74</v>
      </c>
      <c r="B2657" s="197" t="s">
        <v>25</v>
      </c>
      <c r="C2657" s="198" t="s">
        <v>453</v>
      </c>
      <c r="D2657" s="197" t="s">
        <v>454</v>
      </c>
      <c r="E2657" s="199">
        <v>11.0</v>
      </c>
      <c r="F2657" s="200">
        <v>45887.41666666667</v>
      </c>
      <c r="G2657" s="197" t="s">
        <v>845</v>
      </c>
      <c r="H2657" s="197" t="s">
        <v>867</v>
      </c>
    </row>
    <row r="2658" ht="15.75" customHeight="1">
      <c r="A2658" s="197" t="s">
        <v>74</v>
      </c>
      <c r="B2658" s="197" t="s">
        <v>25</v>
      </c>
      <c r="C2658" s="198" t="s">
        <v>453</v>
      </c>
      <c r="D2658" s="197" t="s">
        <v>454</v>
      </c>
      <c r="E2658" s="199">
        <v>12.0</v>
      </c>
      <c r="F2658" s="200">
        <v>45903.45833333333</v>
      </c>
      <c r="G2658" s="197" t="s">
        <v>845</v>
      </c>
      <c r="H2658" s="197" t="s">
        <v>867</v>
      </c>
    </row>
    <row r="2659" ht="15.75" customHeight="1">
      <c r="A2659" s="197" t="s">
        <v>74</v>
      </c>
      <c r="B2659" s="197" t="s">
        <v>25</v>
      </c>
      <c r="C2659" s="198" t="s">
        <v>453</v>
      </c>
      <c r="D2659" s="197" t="s">
        <v>454</v>
      </c>
      <c r="E2659" s="199">
        <v>13.0</v>
      </c>
      <c r="F2659" s="200">
        <v>45904.45833333333</v>
      </c>
      <c r="G2659" s="197" t="s">
        <v>845</v>
      </c>
      <c r="H2659" s="197" t="s">
        <v>867</v>
      </c>
    </row>
    <row r="2660" ht="15.75" customHeight="1">
      <c r="A2660" s="197" t="s">
        <v>74</v>
      </c>
      <c r="B2660" s="197" t="s">
        <v>25</v>
      </c>
      <c r="C2660" s="198" t="s">
        <v>453</v>
      </c>
      <c r="D2660" s="197" t="s">
        <v>454</v>
      </c>
      <c r="E2660" s="199">
        <v>14.0</v>
      </c>
      <c r="F2660" s="200">
        <v>45909.45833333333</v>
      </c>
      <c r="G2660" s="197" t="s">
        <v>843</v>
      </c>
      <c r="H2660" s="197" t="s">
        <v>867</v>
      </c>
    </row>
    <row r="2661" ht="15.75" customHeight="1">
      <c r="A2661" s="197" t="s">
        <v>74</v>
      </c>
      <c r="B2661" s="197" t="s">
        <v>25</v>
      </c>
      <c r="C2661" s="198" t="s">
        <v>453</v>
      </c>
      <c r="D2661" s="197" t="s">
        <v>454</v>
      </c>
      <c r="E2661" s="199">
        <v>15.0</v>
      </c>
      <c r="F2661" s="200">
        <v>45989.625</v>
      </c>
      <c r="G2661" s="197" t="s">
        <v>845</v>
      </c>
      <c r="H2661" s="197" t="s">
        <v>867</v>
      </c>
    </row>
    <row r="2662" ht="15.75" customHeight="1">
      <c r="A2662" s="197" t="s">
        <v>74</v>
      </c>
      <c r="B2662" s="197" t="s">
        <v>25</v>
      </c>
      <c r="C2662" s="198" t="s">
        <v>453</v>
      </c>
      <c r="D2662" s="197" t="s">
        <v>454</v>
      </c>
      <c r="E2662" s="199">
        <v>16.0</v>
      </c>
      <c r="F2662" s="200">
        <v>46041.41666666667</v>
      </c>
      <c r="G2662" s="197" t="s">
        <v>845</v>
      </c>
      <c r="H2662" s="197" t="s">
        <v>867</v>
      </c>
    </row>
    <row r="2663" ht="15.75" customHeight="1">
      <c r="A2663" s="197" t="s">
        <v>74</v>
      </c>
      <c r="B2663" s="197" t="s">
        <v>21</v>
      </c>
      <c r="C2663" s="198" t="s">
        <v>492</v>
      </c>
      <c r="D2663" s="197" t="s">
        <v>493</v>
      </c>
      <c r="E2663" s="199">
        <v>1.0</v>
      </c>
      <c r="F2663" s="200">
        <v>45813.375</v>
      </c>
      <c r="G2663" s="197" t="s">
        <v>843</v>
      </c>
      <c r="H2663" s="197" t="s">
        <v>867</v>
      </c>
    </row>
    <row r="2664" ht="15.75" customHeight="1">
      <c r="A2664" s="197" t="s">
        <v>74</v>
      </c>
      <c r="B2664" s="197" t="s">
        <v>21</v>
      </c>
      <c r="C2664" s="198" t="s">
        <v>492</v>
      </c>
      <c r="D2664" s="197" t="s">
        <v>493</v>
      </c>
      <c r="E2664" s="199">
        <v>5.0</v>
      </c>
      <c r="F2664" s="200">
        <v>45917.45833333333</v>
      </c>
      <c r="G2664" s="197" t="s">
        <v>843</v>
      </c>
      <c r="H2664" s="197" t="s">
        <v>867</v>
      </c>
    </row>
    <row r="2665" ht="15.75" customHeight="1">
      <c r="A2665" s="197" t="s">
        <v>74</v>
      </c>
      <c r="B2665" s="197" t="s">
        <v>21</v>
      </c>
      <c r="C2665" s="198" t="s">
        <v>492</v>
      </c>
      <c r="D2665" s="197" t="s">
        <v>493</v>
      </c>
      <c r="E2665" s="199">
        <v>6.0</v>
      </c>
      <c r="F2665" s="200">
        <v>45923.45833333333</v>
      </c>
      <c r="G2665" s="197" t="s">
        <v>843</v>
      </c>
      <c r="H2665" s="197" t="s">
        <v>867</v>
      </c>
    </row>
    <row r="2666" ht="15.75" customHeight="1">
      <c r="A2666" s="197" t="s">
        <v>74</v>
      </c>
      <c r="B2666" s="197" t="s">
        <v>21</v>
      </c>
      <c r="C2666" s="198" t="s">
        <v>492</v>
      </c>
      <c r="D2666" s="197" t="s">
        <v>493</v>
      </c>
      <c r="E2666" s="199">
        <v>8.0</v>
      </c>
      <c r="F2666" s="200">
        <v>45939.58333333333</v>
      </c>
      <c r="G2666" s="197" t="s">
        <v>843</v>
      </c>
      <c r="H2666" s="197" t="s">
        <v>867</v>
      </c>
    </row>
    <row r="2667" ht="15.75" customHeight="1">
      <c r="A2667" s="197" t="s">
        <v>74</v>
      </c>
      <c r="B2667" s="197" t="s">
        <v>21</v>
      </c>
      <c r="C2667" s="198" t="s">
        <v>492</v>
      </c>
      <c r="D2667" s="197" t="s">
        <v>493</v>
      </c>
      <c r="E2667" s="199">
        <v>9.0</v>
      </c>
      <c r="F2667" s="200">
        <v>45940.54166666667</v>
      </c>
      <c r="G2667" s="197" t="s">
        <v>843</v>
      </c>
      <c r="H2667" s="197" t="s">
        <v>867</v>
      </c>
    </row>
    <row r="2668" ht="15.75" customHeight="1">
      <c r="A2668" s="197" t="s">
        <v>74</v>
      </c>
      <c r="B2668" s="197" t="s">
        <v>21</v>
      </c>
      <c r="C2668" s="198" t="s">
        <v>492</v>
      </c>
      <c r="D2668" s="197" t="s">
        <v>493</v>
      </c>
      <c r="E2668" s="199">
        <v>10.0</v>
      </c>
      <c r="F2668" s="200">
        <v>45947.45833333333</v>
      </c>
      <c r="G2668" s="197" t="s">
        <v>843</v>
      </c>
      <c r="H2668" s="197" t="s">
        <v>867</v>
      </c>
    </row>
    <row r="2669" ht="15.75" customHeight="1">
      <c r="A2669" s="197" t="s">
        <v>74</v>
      </c>
      <c r="B2669" s="197" t="s">
        <v>21</v>
      </c>
      <c r="C2669" s="198" t="s">
        <v>492</v>
      </c>
      <c r="D2669" s="197" t="s">
        <v>493</v>
      </c>
      <c r="E2669" s="199">
        <v>11.0</v>
      </c>
      <c r="F2669" s="200">
        <v>45957.58333333333</v>
      </c>
      <c r="G2669" s="197" t="s">
        <v>843</v>
      </c>
      <c r="H2669" s="197" t="s">
        <v>867</v>
      </c>
    </row>
    <row r="2670" ht="15.75" customHeight="1">
      <c r="A2670" s="197" t="s">
        <v>74</v>
      </c>
      <c r="B2670" s="197" t="s">
        <v>21</v>
      </c>
      <c r="C2670" s="198" t="s">
        <v>492</v>
      </c>
      <c r="D2670" s="197" t="s">
        <v>493</v>
      </c>
      <c r="E2670" s="199">
        <v>12.0</v>
      </c>
      <c r="F2670" s="200">
        <v>45964.45833333333</v>
      </c>
      <c r="G2670" s="197" t="s">
        <v>843</v>
      </c>
      <c r="H2670" s="197" t="s">
        <v>867</v>
      </c>
    </row>
    <row r="2671" ht="15.75" customHeight="1">
      <c r="A2671" s="197" t="s">
        <v>74</v>
      </c>
      <c r="B2671" s="197" t="s">
        <v>21</v>
      </c>
      <c r="C2671" s="198" t="s">
        <v>492</v>
      </c>
      <c r="D2671" s="197" t="s">
        <v>493</v>
      </c>
      <c r="E2671" s="199">
        <v>13.0</v>
      </c>
      <c r="F2671" s="200">
        <v>45971.58333333333</v>
      </c>
      <c r="G2671" s="197" t="s">
        <v>843</v>
      </c>
      <c r="H2671" s="197" t="s">
        <v>867</v>
      </c>
    </row>
    <row r="2672" ht="15.75" customHeight="1">
      <c r="A2672" s="197" t="s">
        <v>74</v>
      </c>
      <c r="B2672" s="197" t="s">
        <v>21</v>
      </c>
      <c r="C2672" s="198" t="s">
        <v>492</v>
      </c>
      <c r="D2672" s="197" t="s">
        <v>493</v>
      </c>
      <c r="E2672" s="199">
        <v>14.0</v>
      </c>
      <c r="F2672" s="200">
        <v>45985.41666666667</v>
      </c>
      <c r="G2672" s="197" t="s">
        <v>843</v>
      </c>
      <c r="H2672" s="197" t="s">
        <v>867</v>
      </c>
    </row>
    <row r="2673" ht="15.75" customHeight="1">
      <c r="A2673" s="197" t="s">
        <v>74</v>
      </c>
      <c r="B2673" s="197" t="s">
        <v>22</v>
      </c>
      <c r="C2673" s="198" t="s">
        <v>492</v>
      </c>
      <c r="D2673" s="197" t="s">
        <v>493</v>
      </c>
      <c r="E2673" s="199">
        <v>2.0</v>
      </c>
      <c r="F2673" s="200">
        <v>46106.41666666667</v>
      </c>
      <c r="G2673" s="197" t="s">
        <v>843</v>
      </c>
      <c r="H2673" s="197" t="s">
        <v>867</v>
      </c>
    </row>
    <row r="2674" ht="15.75" customHeight="1">
      <c r="A2674" s="197" t="s">
        <v>74</v>
      </c>
      <c r="B2674" s="197" t="s">
        <v>22</v>
      </c>
      <c r="C2674" s="198" t="s">
        <v>492</v>
      </c>
      <c r="D2674" s="197" t="s">
        <v>493</v>
      </c>
      <c r="E2674" s="199">
        <v>3.0</v>
      </c>
      <c r="F2674" s="200">
        <v>46114.45833333333</v>
      </c>
      <c r="G2674" s="197" t="s">
        <v>843</v>
      </c>
      <c r="H2674" s="197" t="s">
        <v>867</v>
      </c>
    </row>
    <row r="2675" ht="15.75" customHeight="1">
      <c r="A2675" s="197" t="s">
        <v>74</v>
      </c>
      <c r="B2675" s="197" t="s">
        <v>22</v>
      </c>
      <c r="C2675" s="198" t="s">
        <v>492</v>
      </c>
      <c r="D2675" s="197" t="s">
        <v>493</v>
      </c>
      <c r="E2675" s="199">
        <v>4.0</v>
      </c>
      <c r="F2675" s="200">
        <v>46119.58333333333</v>
      </c>
      <c r="G2675" s="197" t="s">
        <v>843</v>
      </c>
      <c r="H2675" s="197" t="s">
        <v>867</v>
      </c>
    </row>
    <row r="2676" ht="15.75" customHeight="1">
      <c r="A2676" s="197" t="s">
        <v>74</v>
      </c>
      <c r="B2676" s="197" t="s">
        <v>22</v>
      </c>
      <c r="C2676" s="198" t="s">
        <v>492</v>
      </c>
      <c r="D2676" s="197" t="s">
        <v>493</v>
      </c>
      <c r="E2676" s="199">
        <v>5.0</v>
      </c>
      <c r="F2676" s="200">
        <v>46126.41666666667</v>
      </c>
      <c r="G2676" s="197" t="s">
        <v>843</v>
      </c>
      <c r="H2676" s="197" t="s">
        <v>867</v>
      </c>
    </row>
    <row r="2677" ht="15.75" customHeight="1">
      <c r="A2677" s="197" t="s">
        <v>74</v>
      </c>
      <c r="B2677" s="197" t="s">
        <v>22</v>
      </c>
      <c r="C2677" s="198" t="s">
        <v>492</v>
      </c>
      <c r="D2677" s="197" t="s">
        <v>493</v>
      </c>
      <c r="E2677" s="199">
        <v>6.0</v>
      </c>
      <c r="F2677" s="200">
        <v>46135.41666666667</v>
      </c>
      <c r="G2677" s="197" t="s">
        <v>843</v>
      </c>
      <c r="H2677" s="197" t="s">
        <v>867</v>
      </c>
    </row>
    <row r="2678" ht="15.75" customHeight="1">
      <c r="A2678" s="197" t="s">
        <v>74</v>
      </c>
      <c r="B2678" s="197" t="s">
        <v>21</v>
      </c>
      <c r="C2678" s="198" t="s">
        <v>591</v>
      </c>
      <c r="D2678" s="197" t="s">
        <v>592</v>
      </c>
      <c r="E2678" s="199">
        <v>1.0</v>
      </c>
      <c r="F2678" s="200">
        <v>45813.375</v>
      </c>
      <c r="G2678" s="197" t="s">
        <v>845</v>
      </c>
      <c r="H2678" s="197" t="s">
        <v>867</v>
      </c>
    </row>
    <row r="2679" ht="15.75" customHeight="1">
      <c r="A2679" s="197" t="s">
        <v>74</v>
      </c>
      <c r="B2679" s="197" t="s">
        <v>21</v>
      </c>
      <c r="C2679" s="198" t="s">
        <v>591</v>
      </c>
      <c r="D2679" s="197" t="s">
        <v>592</v>
      </c>
      <c r="E2679" s="199">
        <v>2.0</v>
      </c>
      <c r="F2679" s="200">
        <v>45818.375</v>
      </c>
      <c r="G2679" s="197" t="s">
        <v>845</v>
      </c>
      <c r="H2679" s="197" t="s">
        <v>867</v>
      </c>
    </row>
    <row r="2680" ht="15.75" customHeight="1">
      <c r="A2680" s="197" t="s">
        <v>74</v>
      </c>
      <c r="B2680" s="197" t="s">
        <v>21</v>
      </c>
      <c r="C2680" s="198" t="s">
        <v>591</v>
      </c>
      <c r="D2680" s="197" t="s">
        <v>592</v>
      </c>
      <c r="E2680" s="199">
        <v>3.0</v>
      </c>
      <c r="F2680" s="200">
        <v>45827.375</v>
      </c>
      <c r="G2680" s="197" t="s">
        <v>843</v>
      </c>
      <c r="H2680" s="197" t="s">
        <v>867</v>
      </c>
    </row>
    <row r="2681" ht="15.75" customHeight="1">
      <c r="A2681" s="197" t="s">
        <v>74</v>
      </c>
      <c r="B2681" s="197" t="s">
        <v>21</v>
      </c>
      <c r="C2681" s="198" t="s">
        <v>591</v>
      </c>
      <c r="D2681" s="197" t="s">
        <v>592</v>
      </c>
      <c r="E2681" s="199">
        <v>4.0</v>
      </c>
      <c r="F2681" s="200">
        <v>45831.375</v>
      </c>
      <c r="G2681" s="197" t="s">
        <v>843</v>
      </c>
      <c r="H2681" s="197" t="s">
        <v>867</v>
      </c>
    </row>
    <row r="2682" ht="15.75" customHeight="1">
      <c r="A2682" s="197" t="s">
        <v>74</v>
      </c>
      <c r="B2682" s="197" t="s">
        <v>21</v>
      </c>
      <c r="C2682" s="198" t="s">
        <v>591</v>
      </c>
      <c r="D2682" s="197" t="s">
        <v>592</v>
      </c>
      <c r="E2682" s="199">
        <v>5.0</v>
      </c>
      <c r="F2682" s="200">
        <v>45917.45833333333</v>
      </c>
      <c r="G2682" s="197" t="s">
        <v>843</v>
      </c>
      <c r="H2682" s="197" t="s">
        <v>867</v>
      </c>
    </row>
    <row r="2683" ht="15.75" customHeight="1">
      <c r="A2683" s="197" t="s">
        <v>74</v>
      </c>
      <c r="B2683" s="197" t="s">
        <v>21</v>
      </c>
      <c r="C2683" s="198" t="s">
        <v>591</v>
      </c>
      <c r="D2683" s="197" t="s">
        <v>592</v>
      </c>
      <c r="E2683" s="199">
        <v>6.0</v>
      </c>
      <c r="F2683" s="200">
        <v>45923.45833333333</v>
      </c>
      <c r="G2683" s="197" t="s">
        <v>843</v>
      </c>
      <c r="H2683" s="197" t="s">
        <v>867</v>
      </c>
    </row>
    <row r="2684" ht="15.75" customHeight="1">
      <c r="A2684" s="197" t="s">
        <v>74</v>
      </c>
      <c r="B2684" s="197" t="s">
        <v>21</v>
      </c>
      <c r="C2684" s="198" t="s">
        <v>591</v>
      </c>
      <c r="D2684" s="197" t="s">
        <v>592</v>
      </c>
      <c r="E2684" s="199">
        <v>8.0</v>
      </c>
      <c r="F2684" s="200">
        <v>45939.58333333333</v>
      </c>
      <c r="G2684" s="197" t="s">
        <v>843</v>
      </c>
      <c r="H2684" s="197" t="s">
        <v>867</v>
      </c>
    </row>
    <row r="2685" ht="15.75" customHeight="1">
      <c r="A2685" s="197" t="s">
        <v>74</v>
      </c>
      <c r="B2685" s="197" t="s">
        <v>21</v>
      </c>
      <c r="C2685" s="198" t="s">
        <v>591</v>
      </c>
      <c r="D2685" s="197" t="s">
        <v>592</v>
      </c>
      <c r="E2685" s="199">
        <v>9.0</v>
      </c>
      <c r="F2685" s="200">
        <v>45940.54166666667</v>
      </c>
      <c r="G2685" s="197" t="s">
        <v>843</v>
      </c>
      <c r="H2685" s="197" t="s">
        <v>867</v>
      </c>
    </row>
    <row r="2686" ht="15.75" customHeight="1">
      <c r="A2686" s="197" t="s">
        <v>74</v>
      </c>
      <c r="B2686" s="197" t="s">
        <v>21</v>
      </c>
      <c r="C2686" s="198" t="s">
        <v>591</v>
      </c>
      <c r="D2686" s="197" t="s">
        <v>592</v>
      </c>
      <c r="E2686" s="199">
        <v>10.0</v>
      </c>
      <c r="F2686" s="200">
        <v>45947.45833333333</v>
      </c>
      <c r="G2686" s="197" t="s">
        <v>843</v>
      </c>
      <c r="H2686" s="197" t="s">
        <v>867</v>
      </c>
    </row>
    <row r="2687" ht="15.75" customHeight="1">
      <c r="A2687" s="197" t="s">
        <v>74</v>
      </c>
      <c r="B2687" s="197" t="s">
        <v>21</v>
      </c>
      <c r="C2687" s="198" t="s">
        <v>591</v>
      </c>
      <c r="D2687" s="197" t="s">
        <v>592</v>
      </c>
      <c r="E2687" s="199">
        <v>11.0</v>
      </c>
      <c r="F2687" s="200">
        <v>45957.58333333333</v>
      </c>
      <c r="G2687" s="197" t="s">
        <v>843</v>
      </c>
      <c r="H2687" s="197" t="s">
        <v>867</v>
      </c>
    </row>
    <row r="2688" ht="15.75" customHeight="1">
      <c r="A2688" s="197" t="s">
        <v>74</v>
      </c>
      <c r="B2688" s="197" t="s">
        <v>21</v>
      </c>
      <c r="C2688" s="198" t="s">
        <v>591</v>
      </c>
      <c r="D2688" s="197" t="s">
        <v>592</v>
      </c>
      <c r="E2688" s="199">
        <v>12.0</v>
      </c>
      <c r="F2688" s="200">
        <v>45964.45833333333</v>
      </c>
      <c r="G2688" s="197" t="s">
        <v>843</v>
      </c>
      <c r="H2688" s="197" t="s">
        <v>867</v>
      </c>
    </row>
    <row r="2689" ht="15.75" customHeight="1">
      <c r="A2689" s="197" t="s">
        <v>74</v>
      </c>
      <c r="B2689" s="197" t="s">
        <v>21</v>
      </c>
      <c r="C2689" s="198" t="s">
        <v>591</v>
      </c>
      <c r="D2689" s="197" t="s">
        <v>592</v>
      </c>
      <c r="E2689" s="199">
        <v>13.0</v>
      </c>
      <c r="F2689" s="200">
        <v>45971.58333333333</v>
      </c>
      <c r="G2689" s="197" t="s">
        <v>843</v>
      </c>
      <c r="H2689" s="197" t="s">
        <v>867</v>
      </c>
    </row>
    <row r="2690" ht="15.75" customHeight="1">
      <c r="A2690" s="197" t="s">
        <v>74</v>
      </c>
      <c r="B2690" s="197" t="s">
        <v>21</v>
      </c>
      <c r="C2690" s="198" t="s">
        <v>591</v>
      </c>
      <c r="D2690" s="197" t="s">
        <v>592</v>
      </c>
      <c r="E2690" s="199">
        <v>14.0</v>
      </c>
      <c r="F2690" s="200">
        <v>45985.41666666667</v>
      </c>
      <c r="G2690" s="197" t="s">
        <v>843</v>
      </c>
      <c r="H2690" s="197" t="s">
        <v>867</v>
      </c>
    </row>
    <row r="2691" ht="15.75" customHeight="1">
      <c r="A2691" s="197" t="s">
        <v>74</v>
      </c>
      <c r="B2691" s="197" t="s">
        <v>22</v>
      </c>
      <c r="C2691" s="198" t="s">
        <v>591</v>
      </c>
      <c r="D2691" s="197" t="s">
        <v>592</v>
      </c>
      <c r="E2691" s="199">
        <v>2.0</v>
      </c>
      <c r="F2691" s="200">
        <v>46106.41666666667</v>
      </c>
      <c r="G2691" s="197" t="s">
        <v>843</v>
      </c>
      <c r="H2691" s="197" t="s">
        <v>867</v>
      </c>
    </row>
    <row r="2692" ht="15.75" customHeight="1">
      <c r="A2692" s="197" t="s">
        <v>74</v>
      </c>
      <c r="B2692" s="197" t="s">
        <v>22</v>
      </c>
      <c r="C2692" s="198" t="s">
        <v>591</v>
      </c>
      <c r="D2692" s="197" t="s">
        <v>592</v>
      </c>
      <c r="E2692" s="199">
        <v>3.0</v>
      </c>
      <c r="F2692" s="200">
        <v>46114.45833333333</v>
      </c>
      <c r="G2692" s="197" t="s">
        <v>843</v>
      </c>
      <c r="H2692" s="197" t="s">
        <v>867</v>
      </c>
    </row>
    <row r="2693" ht="15.75" customHeight="1">
      <c r="A2693" s="197" t="s">
        <v>74</v>
      </c>
      <c r="B2693" s="197" t="s">
        <v>22</v>
      </c>
      <c r="C2693" s="198" t="s">
        <v>591</v>
      </c>
      <c r="D2693" s="197" t="s">
        <v>592</v>
      </c>
      <c r="E2693" s="199">
        <v>4.0</v>
      </c>
      <c r="F2693" s="200">
        <v>46119.58333333333</v>
      </c>
      <c r="G2693" s="197" t="s">
        <v>843</v>
      </c>
      <c r="H2693" s="197" t="s">
        <v>867</v>
      </c>
    </row>
    <row r="2694" ht="15.75" customHeight="1">
      <c r="A2694" s="197" t="s">
        <v>74</v>
      </c>
      <c r="B2694" s="197" t="s">
        <v>22</v>
      </c>
      <c r="C2694" s="198" t="s">
        <v>591</v>
      </c>
      <c r="D2694" s="197" t="s">
        <v>592</v>
      </c>
      <c r="E2694" s="199">
        <v>5.0</v>
      </c>
      <c r="F2694" s="200">
        <v>46126.41666666667</v>
      </c>
      <c r="G2694" s="197" t="s">
        <v>843</v>
      </c>
      <c r="H2694" s="197" t="s">
        <v>867</v>
      </c>
    </row>
    <row r="2695" ht="15.75" customHeight="1">
      <c r="A2695" s="197" t="s">
        <v>74</v>
      </c>
      <c r="B2695" s="197" t="s">
        <v>22</v>
      </c>
      <c r="C2695" s="198" t="s">
        <v>591</v>
      </c>
      <c r="D2695" s="197" t="s">
        <v>592</v>
      </c>
      <c r="E2695" s="199">
        <v>6.0</v>
      </c>
      <c r="F2695" s="200">
        <v>46135.41666666667</v>
      </c>
      <c r="G2695" s="197" t="s">
        <v>843</v>
      </c>
      <c r="H2695" s="197" t="s">
        <v>867</v>
      </c>
    </row>
    <row r="2696" ht="15.75" customHeight="1">
      <c r="A2696" s="197" t="s">
        <v>75</v>
      </c>
      <c r="B2696" s="197" t="s">
        <v>21</v>
      </c>
      <c r="C2696" s="198" t="s">
        <v>173</v>
      </c>
      <c r="D2696" s="197" t="s">
        <v>174</v>
      </c>
      <c r="E2696" s="199">
        <v>1.0</v>
      </c>
      <c r="F2696" s="200">
        <v>45761.41666666667</v>
      </c>
      <c r="G2696" s="197" t="s">
        <v>845</v>
      </c>
      <c r="H2696" s="197" t="s">
        <v>868</v>
      </c>
    </row>
    <row r="2697" ht="15.75" customHeight="1">
      <c r="A2697" s="197" t="s">
        <v>75</v>
      </c>
      <c r="B2697" s="197" t="s">
        <v>21</v>
      </c>
      <c r="C2697" s="198" t="s">
        <v>173</v>
      </c>
      <c r="D2697" s="197" t="s">
        <v>174</v>
      </c>
      <c r="E2697" s="199">
        <v>2.0</v>
      </c>
      <c r="F2697" s="200">
        <v>45786.45833333333</v>
      </c>
      <c r="G2697" s="197" t="s">
        <v>845</v>
      </c>
      <c r="H2697" s="197" t="s">
        <v>868</v>
      </c>
    </row>
    <row r="2698" ht="15.75" customHeight="1">
      <c r="A2698" s="197" t="s">
        <v>75</v>
      </c>
      <c r="B2698" s="197" t="s">
        <v>21</v>
      </c>
      <c r="C2698" s="198" t="s">
        <v>173</v>
      </c>
      <c r="D2698" s="197" t="s">
        <v>174</v>
      </c>
      <c r="E2698" s="199">
        <v>3.0</v>
      </c>
      <c r="F2698" s="200">
        <v>45793.45833333333</v>
      </c>
      <c r="G2698" s="197" t="s">
        <v>845</v>
      </c>
      <c r="H2698" s="197" t="s">
        <v>868</v>
      </c>
    </row>
    <row r="2699" ht="15.75" customHeight="1">
      <c r="A2699" s="197" t="s">
        <v>75</v>
      </c>
      <c r="B2699" s="197" t="s">
        <v>21</v>
      </c>
      <c r="C2699" s="198" t="s">
        <v>173</v>
      </c>
      <c r="D2699" s="197" t="s">
        <v>174</v>
      </c>
      <c r="E2699" s="199">
        <v>4.0</v>
      </c>
      <c r="F2699" s="200">
        <v>45803.45833333333</v>
      </c>
      <c r="G2699" s="197" t="s">
        <v>845</v>
      </c>
      <c r="H2699" s="197" t="s">
        <v>868</v>
      </c>
    </row>
    <row r="2700" ht="15.75" customHeight="1">
      <c r="A2700" s="197" t="s">
        <v>75</v>
      </c>
      <c r="B2700" s="197" t="s">
        <v>21</v>
      </c>
      <c r="C2700" s="198" t="s">
        <v>173</v>
      </c>
      <c r="D2700" s="197" t="s">
        <v>174</v>
      </c>
      <c r="E2700" s="199">
        <v>5.0</v>
      </c>
      <c r="F2700" s="200">
        <v>45817.45833333333</v>
      </c>
      <c r="G2700" s="197" t="s">
        <v>845</v>
      </c>
      <c r="H2700" s="197" t="s">
        <v>868</v>
      </c>
    </row>
    <row r="2701" ht="15.75" customHeight="1">
      <c r="A2701" s="197" t="s">
        <v>75</v>
      </c>
      <c r="B2701" s="197" t="s">
        <v>21</v>
      </c>
      <c r="C2701" s="198" t="s">
        <v>173</v>
      </c>
      <c r="D2701" s="197" t="s">
        <v>174</v>
      </c>
      <c r="E2701" s="199">
        <v>6.0</v>
      </c>
      <c r="F2701" s="200">
        <v>45824.45833333333</v>
      </c>
      <c r="G2701" s="197" t="s">
        <v>845</v>
      </c>
      <c r="H2701" s="197" t="s">
        <v>868</v>
      </c>
    </row>
    <row r="2702" ht="15.75" customHeight="1">
      <c r="A2702" s="197" t="s">
        <v>75</v>
      </c>
      <c r="B2702" s="197" t="s">
        <v>21</v>
      </c>
      <c r="C2702" s="198" t="s">
        <v>173</v>
      </c>
      <c r="D2702" s="197" t="s">
        <v>174</v>
      </c>
      <c r="E2702" s="199">
        <v>7.0</v>
      </c>
      <c r="F2702" s="200">
        <v>45852.625</v>
      </c>
      <c r="G2702" s="197" t="s">
        <v>845</v>
      </c>
      <c r="H2702" s="197" t="s">
        <v>868</v>
      </c>
    </row>
    <row r="2703" ht="15.75" customHeight="1">
      <c r="A2703" s="197" t="s">
        <v>75</v>
      </c>
      <c r="B2703" s="197" t="s">
        <v>21</v>
      </c>
      <c r="C2703" s="198" t="s">
        <v>173</v>
      </c>
      <c r="D2703" s="197" t="s">
        <v>174</v>
      </c>
      <c r="E2703" s="199">
        <v>8.0</v>
      </c>
      <c r="F2703" s="200">
        <v>45859.375</v>
      </c>
      <c r="G2703" s="197" t="s">
        <v>845</v>
      </c>
      <c r="H2703" s="197" t="s">
        <v>868</v>
      </c>
    </row>
    <row r="2704" ht="15.75" customHeight="1">
      <c r="A2704" s="197" t="s">
        <v>75</v>
      </c>
      <c r="B2704" s="197" t="s">
        <v>21</v>
      </c>
      <c r="C2704" s="198" t="s">
        <v>173</v>
      </c>
      <c r="D2704" s="197" t="s">
        <v>174</v>
      </c>
      <c r="E2704" s="199">
        <v>9.0</v>
      </c>
      <c r="F2704" s="200">
        <v>45866.41666666667</v>
      </c>
      <c r="G2704" s="197" t="s">
        <v>845</v>
      </c>
      <c r="H2704" s="197" t="s">
        <v>868</v>
      </c>
    </row>
    <row r="2705" ht="15.75" customHeight="1">
      <c r="A2705" s="197" t="s">
        <v>75</v>
      </c>
      <c r="B2705" s="197" t="s">
        <v>21</v>
      </c>
      <c r="C2705" s="198" t="s">
        <v>173</v>
      </c>
      <c r="D2705" s="197" t="s">
        <v>174</v>
      </c>
      <c r="E2705" s="199">
        <v>10.0</v>
      </c>
      <c r="F2705" s="200">
        <v>45894.54166666667</v>
      </c>
      <c r="G2705" s="197" t="s">
        <v>845</v>
      </c>
      <c r="H2705" s="197" t="s">
        <v>868</v>
      </c>
    </row>
    <row r="2706" ht="15.75" customHeight="1">
      <c r="A2706" s="197" t="s">
        <v>75</v>
      </c>
      <c r="B2706" s="197" t="s">
        <v>22</v>
      </c>
      <c r="C2706" s="198" t="s">
        <v>173</v>
      </c>
      <c r="D2706" s="197" t="s">
        <v>174</v>
      </c>
      <c r="E2706" s="199">
        <v>1.0</v>
      </c>
      <c r="F2706" s="200">
        <v>45922.41666666667</v>
      </c>
      <c r="G2706" s="197" t="s">
        <v>845</v>
      </c>
      <c r="H2706" s="197" t="s">
        <v>868</v>
      </c>
    </row>
    <row r="2707" ht="15.75" customHeight="1">
      <c r="A2707" s="197" t="s">
        <v>75</v>
      </c>
      <c r="B2707" s="197" t="s">
        <v>22</v>
      </c>
      <c r="C2707" s="198" t="s">
        <v>173</v>
      </c>
      <c r="D2707" s="197" t="s">
        <v>174</v>
      </c>
      <c r="E2707" s="199">
        <v>2.0</v>
      </c>
      <c r="F2707" s="200">
        <v>45926.54166666667</v>
      </c>
      <c r="G2707" s="197" t="s">
        <v>845</v>
      </c>
      <c r="H2707" s="197" t="s">
        <v>868</v>
      </c>
    </row>
    <row r="2708" ht="15.75" customHeight="1">
      <c r="A2708" s="197" t="s">
        <v>75</v>
      </c>
      <c r="B2708" s="197" t="s">
        <v>22</v>
      </c>
      <c r="C2708" s="198" t="s">
        <v>173</v>
      </c>
      <c r="D2708" s="197" t="s">
        <v>174</v>
      </c>
      <c r="E2708" s="199">
        <v>3.0</v>
      </c>
      <c r="F2708" s="200">
        <v>45929.41666666667</v>
      </c>
      <c r="G2708" s="197" t="s">
        <v>845</v>
      </c>
      <c r="H2708" s="197" t="s">
        <v>868</v>
      </c>
    </row>
    <row r="2709" ht="15.75" customHeight="1">
      <c r="A2709" s="197" t="s">
        <v>75</v>
      </c>
      <c r="B2709" s="197" t="s">
        <v>22</v>
      </c>
      <c r="C2709" s="198" t="s">
        <v>173</v>
      </c>
      <c r="D2709" s="197" t="s">
        <v>174</v>
      </c>
      <c r="E2709" s="199">
        <v>5.0</v>
      </c>
      <c r="F2709" s="200">
        <v>45947.41666666667</v>
      </c>
      <c r="G2709" s="197" t="s">
        <v>845</v>
      </c>
      <c r="H2709" s="197" t="s">
        <v>868</v>
      </c>
    </row>
    <row r="2710" ht="15.75" customHeight="1">
      <c r="A2710" s="197" t="s">
        <v>75</v>
      </c>
      <c r="B2710" s="197" t="s">
        <v>22</v>
      </c>
      <c r="C2710" s="198" t="s">
        <v>173</v>
      </c>
      <c r="D2710" s="197" t="s">
        <v>174</v>
      </c>
      <c r="E2710" s="199">
        <v>6.0</v>
      </c>
      <c r="F2710" s="200">
        <v>45950.41666666667</v>
      </c>
      <c r="G2710" s="197" t="s">
        <v>845</v>
      </c>
      <c r="H2710" s="197" t="s">
        <v>868</v>
      </c>
    </row>
    <row r="2711" ht="15.75" customHeight="1">
      <c r="A2711" s="197" t="s">
        <v>75</v>
      </c>
      <c r="B2711" s="197" t="s">
        <v>22</v>
      </c>
      <c r="C2711" s="198" t="s">
        <v>173</v>
      </c>
      <c r="D2711" s="197" t="s">
        <v>174</v>
      </c>
      <c r="E2711" s="199">
        <v>7.0</v>
      </c>
      <c r="F2711" s="200">
        <v>45971.625</v>
      </c>
      <c r="G2711" s="197" t="s">
        <v>845</v>
      </c>
      <c r="H2711" s="197" t="s">
        <v>868</v>
      </c>
    </row>
    <row r="2712" ht="15.75" customHeight="1">
      <c r="A2712" s="197" t="s">
        <v>75</v>
      </c>
      <c r="B2712" s="197" t="s">
        <v>22</v>
      </c>
      <c r="C2712" s="198" t="s">
        <v>173</v>
      </c>
      <c r="D2712" s="197" t="s">
        <v>174</v>
      </c>
      <c r="E2712" s="199">
        <v>8.0</v>
      </c>
      <c r="F2712" s="200">
        <v>45980.625</v>
      </c>
      <c r="G2712" s="197" t="s">
        <v>845</v>
      </c>
      <c r="H2712" s="197" t="s">
        <v>868</v>
      </c>
    </row>
    <row r="2713" ht="15.75" customHeight="1">
      <c r="A2713" s="197" t="s">
        <v>75</v>
      </c>
      <c r="B2713" s="197" t="s">
        <v>22</v>
      </c>
      <c r="C2713" s="198" t="s">
        <v>173</v>
      </c>
      <c r="D2713" s="197" t="s">
        <v>174</v>
      </c>
      <c r="E2713" s="199">
        <v>9.0</v>
      </c>
      <c r="F2713" s="200">
        <v>46008.625</v>
      </c>
      <c r="G2713" s="197" t="s">
        <v>845</v>
      </c>
      <c r="H2713" s="197" t="s">
        <v>868</v>
      </c>
    </row>
    <row r="2714" ht="15.75" customHeight="1">
      <c r="A2714" s="197" t="s">
        <v>75</v>
      </c>
      <c r="B2714" s="197" t="s">
        <v>22</v>
      </c>
      <c r="C2714" s="198" t="s">
        <v>173</v>
      </c>
      <c r="D2714" s="197" t="s">
        <v>174</v>
      </c>
      <c r="E2714" s="199">
        <v>10.0</v>
      </c>
      <c r="F2714" s="200">
        <v>46017.625</v>
      </c>
      <c r="G2714" s="197" t="s">
        <v>845</v>
      </c>
      <c r="H2714" s="197" t="s">
        <v>868</v>
      </c>
    </row>
    <row r="2715" ht="15.75" customHeight="1">
      <c r="A2715" s="197" t="s">
        <v>75</v>
      </c>
      <c r="B2715" s="197" t="s">
        <v>22</v>
      </c>
      <c r="C2715" s="198" t="s">
        <v>173</v>
      </c>
      <c r="D2715" s="197" t="s">
        <v>174</v>
      </c>
      <c r="E2715" s="199">
        <v>11.0</v>
      </c>
      <c r="F2715" s="200">
        <v>46041.625</v>
      </c>
      <c r="G2715" s="197" t="s">
        <v>845</v>
      </c>
      <c r="H2715" s="197" t="s">
        <v>868</v>
      </c>
    </row>
    <row r="2716" ht="15.75" customHeight="1">
      <c r="A2716" s="197" t="s">
        <v>75</v>
      </c>
      <c r="B2716" s="197" t="s">
        <v>22</v>
      </c>
      <c r="C2716" s="198" t="s">
        <v>173</v>
      </c>
      <c r="D2716" s="197" t="s">
        <v>174</v>
      </c>
      <c r="E2716" s="199">
        <v>12.0</v>
      </c>
      <c r="F2716" s="200">
        <v>46048.54166666667</v>
      </c>
      <c r="G2716" s="197" t="s">
        <v>845</v>
      </c>
      <c r="H2716" s="197" t="s">
        <v>868</v>
      </c>
    </row>
    <row r="2717" ht="15.75" customHeight="1">
      <c r="A2717" s="197" t="s">
        <v>75</v>
      </c>
      <c r="B2717" s="197" t="s">
        <v>22</v>
      </c>
      <c r="C2717" s="198" t="s">
        <v>173</v>
      </c>
      <c r="D2717" s="197" t="s">
        <v>174</v>
      </c>
      <c r="E2717" s="199">
        <v>13.0</v>
      </c>
      <c r="F2717" s="200">
        <v>46086.41666666667</v>
      </c>
      <c r="G2717" s="197" t="s">
        <v>845</v>
      </c>
      <c r="H2717" s="197" t="s">
        <v>868</v>
      </c>
    </row>
    <row r="2718" ht="15.75" customHeight="1">
      <c r="A2718" s="197" t="s">
        <v>75</v>
      </c>
      <c r="B2718" s="197" t="s">
        <v>22</v>
      </c>
      <c r="C2718" s="198" t="s">
        <v>173</v>
      </c>
      <c r="D2718" s="197" t="s">
        <v>174</v>
      </c>
      <c r="E2718" s="199">
        <v>14.0</v>
      </c>
      <c r="F2718" s="200">
        <v>46087.41666666667</v>
      </c>
      <c r="G2718" s="197" t="s">
        <v>845</v>
      </c>
      <c r="H2718" s="197" t="s">
        <v>868</v>
      </c>
    </row>
    <row r="2719" ht="15.75" customHeight="1">
      <c r="A2719" s="197" t="s">
        <v>75</v>
      </c>
      <c r="B2719" s="197" t="s">
        <v>22</v>
      </c>
      <c r="C2719" s="198" t="s">
        <v>173</v>
      </c>
      <c r="D2719" s="197" t="s">
        <v>174</v>
      </c>
      <c r="E2719" s="199">
        <v>15.0</v>
      </c>
      <c r="F2719" s="200">
        <v>46094.41666666667</v>
      </c>
      <c r="G2719" s="197" t="s">
        <v>845</v>
      </c>
      <c r="H2719" s="197" t="s">
        <v>868</v>
      </c>
    </row>
    <row r="2720" ht="15.75" customHeight="1">
      <c r="A2720" s="197" t="s">
        <v>75</v>
      </c>
      <c r="B2720" s="197" t="s">
        <v>21</v>
      </c>
      <c r="C2720" s="198" t="s">
        <v>281</v>
      </c>
      <c r="D2720" s="197" t="s">
        <v>282</v>
      </c>
      <c r="E2720" s="199">
        <v>1.0</v>
      </c>
      <c r="F2720" s="200">
        <v>45761.41666666667</v>
      </c>
      <c r="G2720" s="197" t="s">
        <v>845</v>
      </c>
      <c r="H2720" s="197" t="s">
        <v>868</v>
      </c>
    </row>
    <row r="2721" ht="15.75" customHeight="1">
      <c r="A2721" s="197" t="s">
        <v>75</v>
      </c>
      <c r="B2721" s="197" t="s">
        <v>21</v>
      </c>
      <c r="C2721" s="198" t="s">
        <v>281</v>
      </c>
      <c r="D2721" s="197" t="s">
        <v>282</v>
      </c>
      <c r="E2721" s="199">
        <v>2.0</v>
      </c>
      <c r="F2721" s="200">
        <v>45786.45833333333</v>
      </c>
      <c r="G2721" s="197" t="s">
        <v>845</v>
      </c>
      <c r="H2721" s="197" t="s">
        <v>868</v>
      </c>
    </row>
    <row r="2722" ht="15.75" customHeight="1">
      <c r="A2722" s="197" t="s">
        <v>75</v>
      </c>
      <c r="B2722" s="197" t="s">
        <v>21</v>
      </c>
      <c r="C2722" s="198" t="s">
        <v>281</v>
      </c>
      <c r="D2722" s="197" t="s">
        <v>282</v>
      </c>
      <c r="E2722" s="199">
        <v>3.0</v>
      </c>
      <c r="F2722" s="200">
        <v>45793.45833333333</v>
      </c>
      <c r="G2722" s="197" t="s">
        <v>845</v>
      </c>
      <c r="H2722" s="197" t="s">
        <v>868</v>
      </c>
    </row>
    <row r="2723" ht="15.75" customHeight="1">
      <c r="A2723" s="197" t="s">
        <v>75</v>
      </c>
      <c r="B2723" s="197" t="s">
        <v>21</v>
      </c>
      <c r="C2723" s="198" t="s">
        <v>281</v>
      </c>
      <c r="D2723" s="197" t="s">
        <v>282</v>
      </c>
      <c r="E2723" s="199">
        <v>4.0</v>
      </c>
      <c r="F2723" s="200">
        <v>45803.45833333333</v>
      </c>
      <c r="G2723" s="197" t="s">
        <v>845</v>
      </c>
      <c r="H2723" s="197" t="s">
        <v>868</v>
      </c>
    </row>
    <row r="2724" ht="15.75" customHeight="1">
      <c r="A2724" s="197" t="s">
        <v>75</v>
      </c>
      <c r="B2724" s="197" t="s">
        <v>21</v>
      </c>
      <c r="C2724" s="198" t="s">
        <v>281</v>
      </c>
      <c r="D2724" s="197" t="s">
        <v>282</v>
      </c>
      <c r="E2724" s="199">
        <v>5.0</v>
      </c>
      <c r="F2724" s="200">
        <v>45817.45833333333</v>
      </c>
      <c r="G2724" s="197" t="s">
        <v>845</v>
      </c>
      <c r="H2724" s="197" t="s">
        <v>868</v>
      </c>
    </row>
    <row r="2725" ht="15.75" customHeight="1">
      <c r="A2725" s="197" t="s">
        <v>75</v>
      </c>
      <c r="B2725" s="197" t="s">
        <v>21</v>
      </c>
      <c r="C2725" s="198" t="s">
        <v>281</v>
      </c>
      <c r="D2725" s="197" t="s">
        <v>282</v>
      </c>
      <c r="E2725" s="199">
        <v>6.0</v>
      </c>
      <c r="F2725" s="200">
        <v>45824.45833333333</v>
      </c>
      <c r="G2725" s="197" t="s">
        <v>845</v>
      </c>
      <c r="H2725" s="197" t="s">
        <v>868</v>
      </c>
    </row>
    <row r="2726" ht="15.75" customHeight="1">
      <c r="A2726" s="197" t="s">
        <v>75</v>
      </c>
      <c r="B2726" s="197" t="s">
        <v>21</v>
      </c>
      <c r="C2726" s="198" t="s">
        <v>281</v>
      </c>
      <c r="D2726" s="197" t="s">
        <v>282</v>
      </c>
      <c r="E2726" s="199">
        <v>7.0</v>
      </c>
      <c r="F2726" s="200">
        <v>45852.625</v>
      </c>
      <c r="G2726" s="197" t="s">
        <v>845</v>
      </c>
      <c r="H2726" s="197" t="s">
        <v>868</v>
      </c>
    </row>
    <row r="2727" ht="15.75" customHeight="1">
      <c r="A2727" s="197" t="s">
        <v>75</v>
      </c>
      <c r="B2727" s="197" t="s">
        <v>21</v>
      </c>
      <c r="C2727" s="198" t="s">
        <v>281</v>
      </c>
      <c r="D2727" s="197" t="s">
        <v>282</v>
      </c>
      <c r="E2727" s="199">
        <v>8.0</v>
      </c>
      <c r="F2727" s="200">
        <v>45859.375</v>
      </c>
      <c r="G2727" s="197" t="s">
        <v>845</v>
      </c>
      <c r="H2727" s="197" t="s">
        <v>868</v>
      </c>
    </row>
    <row r="2728" ht="15.75" customHeight="1">
      <c r="A2728" s="197" t="s">
        <v>75</v>
      </c>
      <c r="B2728" s="197" t="s">
        <v>21</v>
      </c>
      <c r="C2728" s="198" t="s">
        <v>281</v>
      </c>
      <c r="D2728" s="197" t="s">
        <v>282</v>
      </c>
      <c r="E2728" s="199">
        <v>9.0</v>
      </c>
      <c r="F2728" s="200">
        <v>45866.41666666667</v>
      </c>
      <c r="G2728" s="197" t="s">
        <v>843</v>
      </c>
      <c r="H2728" s="197" t="s">
        <v>868</v>
      </c>
    </row>
    <row r="2729" ht="15.75" customHeight="1">
      <c r="A2729" s="197" t="s">
        <v>75</v>
      </c>
      <c r="B2729" s="197" t="s">
        <v>21</v>
      </c>
      <c r="C2729" s="198" t="s">
        <v>281</v>
      </c>
      <c r="D2729" s="197" t="s">
        <v>282</v>
      </c>
      <c r="E2729" s="199">
        <v>10.0</v>
      </c>
      <c r="F2729" s="200">
        <v>45894.54166666667</v>
      </c>
      <c r="G2729" s="197" t="s">
        <v>845</v>
      </c>
      <c r="H2729" s="197" t="s">
        <v>868</v>
      </c>
    </row>
    <row r="2730" ht="15.75" customHeight="1">
      <c r="A2730" s="197" t="s">
        <v>75</v>
      </c>
      <c r="B2730" s="197" t="s">
        <v>22</v>
      </c>
      <c r="C2730" s="198" t="s">
        <v>281</v>
      </c>
      <c r="D2730" s="197" t="s">
        <v>282</v>
      </c>
      <c r="E2730" s="199">
        <v>1.0</v>
      </c>
      <c r="F2730" s="200">
        <v>45922.41666666667</v>
      </c>
      <c r="G2730" s="197" t="s">
        <v>845</v>
      </c>
      <c r="H2730" s="197" t="s">
        <v>868</v>
      </c>
    </row>
    <row r="2731" ht="15.75" customHeight="1">
      <c r="A2731" s="197" t="s">
        <v>75</v>
      </c>
      <c r="B2731" s="197" t="s">
        <v>22</v>
      </c>
      <c r="C2731" s="198" t="s">
        <v>281</v>
      </c>
      <c r="D2731" s="197" t="s">
        <v>282</v>
      </c>
      <c r="E2731" s="199">
        <v>2.0</v>
      </c>
      <c r="F2731" s="200">
        <v>45926.54166666667</v>
      </c>
      <c r="G2731" s="197" t="s">
        <v>845</v>
      </c>
      <c r="H2731" s="197" t="s">
        <v>868</v>
      </c>
    </row>
    <row r="2732" ht="15.75" customHeight="1">
      <c r="A2732" s="197" t="s">
        <v>75</v>
      </c>
      <c r="B2732" s="197" t="s">
        <v>22</v>
      </c>
      <c r="C2732" s="198" t="s">
        <v>281</v>
      </c>
      <c r="D2732" s="197" t="s">
        <v>282</v>
      </c>
      <c r="E2732" s="199">
        <v>3.0</v>
      </c>
      <c r="F2732" s="200">
        <v>45929.41666666667</v>
      </c>
      <c r="G2732" s="197" t="s">
        <v>845</v>
      </c>
      <c r="H2732" s="197" t="s">
        <v>868</v>
      </c>
    </row>
    <row r="2733" ht="15.75" customHeight="1">
      <c r="A2733" s="197" t="s">
        <v>75</v>
      </c>
      <c r="B2733" s="197" t="s">
        <v>22</v>
      </c>
      <c r="C2733" s="198" t="s">
        <v>281</v>
      </c>
      <c r="D2733" s="197" t="s">
        <v>282</v>
      </c>
      <c r="E2733" s="199">
        <v>5.0</v>
      </c>
      <c r="F2733" s="200">
        <v>45947.41666666667</v>
      </c>
      <c r="G2733" s="197" t="s">
        <v>843</v>
      </c>
      <c r="H2733" s="197" t="s">
        <v>868</v>
      </c>
    </row>
    <row r="2734" ht="15.75" customHeight="1">
      <c r="A2734" s="197" t="s">
        <v>75</v>
      </c>
      <c r="B2734" s="197" t="s">
        <v>22</v>
      </c>
      <c r="C2734" s="198" t="s">
        <v>281</v>
      </c>
      <c r="D2734" s="197" t="s">
        <v>282</v>
      </c>
      <c r="E2734" s="199">
        <v>6.0</v>
      </c>
      <c r="F2734" s="200">
        <v>45950.41666666667</v>
      </c>
      <c r="G2734" s="197" t="s">
        <v>845</v>
      </c>
      <c r="H2734" s="197" t="s">
        <v>868</v>
      </c>
    </row>
    <row r="2735" ht="15.75" customHeight="1">
      <c r="A2735" s="197" t="s">
        <v>75</v>
      </c>
      <c r="B2735" s="197" t="s">
        <v>22</v>
      </c>
      <c r="C2735" s="198" t="s">
        <v>281</v>
      </c>
      <c r="D2735" s="197" t="s">
        <v>282</v>
      </c>
      <c r="E2735" s="199">
        <v>7.0</v>
      </c>
      <c r="F2735" s="200">
        <v>45971.625</v>
      </c>
      <c r="G2735" s="197" t="s">
        <v>845</v>
      </c>
      <c r="H2735" s="197" t="s">
        <v>868</v>
      </c>
    </row>
    <row r="2736" ht="15.75" customHeight="1">
      <c r="A2736" s="197" t="s">
        <v>75</v>
      </c>
      <c r="B2736" s="197" t="s">
        <v>22</v>
      </c>
      <c r="C2736" s="198" t="s">
        <v>281</v>
      </c>
      <c r="D2736" s="197" t="s">
        <v>282</v>
      </c>
      <c r="E2736" s="199">
        <v>8.0</v>
      </c>
      <c r="F2736" s="200">
        <v>45980.625</v>
      </c>
      <c r="G2736" s="197" t="s">
        <v>845</v>
      </c>
      <c r="H2736" s="197" t="s">
        <v>868</v>
      </c>
    </row>
    <row r="2737" ht="15.75" customHeight="1">
      <c r="A2737" s="197" t="s">
        <v>75</v>
      </c>
      <c r="B2737" s="197" t="s">
        <v>22</v>
      </c>
      <c r="C2737" s="198" t="s">
        <v>281</v>
      </c>
      <c r="D2737" s="197" t="s">
        <v>282</v>
      </c>
      <c r="E2737" s="199">
        <v>9.0</v>
      </c>
      <c r="F2737" s="200">
        <v>46008.625</v>
      </c>
      <c r="G2737" s="197" t="s">
        <v>845</v>
      </c>
      <c r="H2737" s="197" t="s">
        <v>868</v>
      </c>
    </row>
    <row r="2738" ht="15.75" customHeight="1">
      <c r="A2738" s="197" t="s">
        <v>75</v>
      </c>
      <c r="B2738" s="197" t="s">
        <v>22</v>
      </c>
      <c r="C2738" s="198" t="s">
        <v>281</v>
      </c>
      <c r="D2738" s="197" t="s">
        <v>282</v>
      </c>
      <c r="E2738" s="199">
        <v>10.0</v>
      </c>
      <c r="F2738" s="200">
        <v>46017.625</v>
      </c>
      <c r="G2738" s="197" t="s">
        <v>843</v>
      </c>
      <c r="H2738" s="197" t="s">
        <v>868</v>
      </c>
    </row>
    <row r="2739" ht="15.75" customHeight="1">
      <c r="A2739" s="197" t="s">
        <v>75</v>
      </c>
      <c r="B2739" s="197" t="s">
        <v>22</v>
      </c>
      <c r="C2739" s="198" t="s">
        <v>281</v>
      </c>
      <c r="D2739" s="197" t="s">
        <v>282</v>
      </c>
      <c r="E2739" s="199">
        <v>11.0</v>
      </c>
      <c r="F2739" s="200">
        <v>46041.625</v>
      </c>
      <c r="G2739" s="197" t="s">
        <v>845</v>
      </c>
      <c r="H2739" s="197" t="s">
        <v>868</v>
      </c>
    </row>
    <row r="2740" ht="15.75" customHeight="1">
      <c r="A2740" s="197" t="s">
        <v>75</v>
      </c>
      <c r="B2740" s="197" t="s">
        <v>22</v>
      </c>
      <c r="C2740" s="198" t="s">
        <v>281</v>
      </c>
      <c r="D2740" s="197" t="s">
        <v>282</v>
      </c>
      <c r="E2740" s="199">
        <v>12.0</v>
      </c>
      <c r="F2740" s="200">
        <v>46048.54166666667</v>
      </c>
      <c r="G2740" s="197" t="s">
        <v>845</v>
      </c>
      <c r="H2740" s="197" t="s">
        <v>868</v>
      </c>
    </row>
    <row r="2741" ht="15.75" customHeight="1">
      <c r="A2741" s="197" t="s">
        <v>75</v>
      </c>
      <c r="B2741" s="197" t="s">
        <v>22</v>
      </c>
      <c r="C2741" s="198" t="s">
        <v>281</v>
      </c>
      <c r="D2741" s="197" t="s">
        <v>282</v>
      </c>
      <c r="E2741" s="199">
        <v>13.0</v>
      </c>
      <c r="F2741" s="200">
        <v>46086.41666666667</v>
      </c>
      <c r="G2741" s="197" t="s">
        <v>845</v>
      </c>
      <c r="H2741" s="197" t="s">
        <v>868</v>
      </c>
    </row>
    <row r="2742" ht="15.75" customHeight="1">
      <c r="A2742" s="197" t="s">
        <v>75</v>
      </c>
      <c r="B2742" s="197" t="s">
        <v>22</v>
      </c>
      <c r="C2742" s="198" t="s">
        <v>281</v>
      </c>
      <c r="D2742" s="197" t="s">
        <v>282</v>
      </c>
      <c r="E2742" s="199">
        <v>14.0</v>
      </c>
      <c r="F2742" s="200">
        <v>46087.41666666667</v>
      </c>
      <c r="G2742" s="197" t="s">
        <v>843</v>
      </c>
      <c r="H2742" s="197" t="s">
        <v>868</v>
      </c>
    </row>
    <row r="2743" ht="15.75" customHeight="1">
      <c r="A2743" s="197" t="s">
        <v>75</v>
      </c>
      <c r="B2743" s="197" t="s">
        <v>22</v>
      </c>
      <c r="C2743" s="198" t="s">
        <v>281</v>
      </c>
      <c r="D2743" s="197" t="s">
        <v>282</v>
      </c>
      <c r="E2743" s="199">
        <v>15.0</v>
      </c>
      <c r="F2743" s="200">
        <v>46094.41666666667</v>
      </c>
      <c r="G2743" s="197" t="s">
        <v>843</v>
      </c>
      <c r="H2743" s="197" t="s">
        <v>868</v>
      </c>
    </row>
    <row r="2744" ht="15.75" customHeight="1">
      <c r="A2744" s="197" t="s">
        <v>75</v>
      </c>
      <c r="B2744" s="197" t="s">
        <v>21</v>
      </c>
      <c r="C2744" s="198" t="s">
        <v>336</v>
      </c>
      <c r="D2744" s="197" t="s">
        <v>337</v>
      </c>
      <c r="E2744" s="199">
        <v>1.0</v>
      </c>
      <c r="F2744" s="200">
        <v>45761.41666666667</v>
      </c>
      <c r="G2744" s="197" t="s">
        <v>845</v>
      </c>
      <c r="H2744" s="197" t="s">
        <v>868</v>
      </c>
    </row>
    <row r="2745" ht="15.75" customHeight="1">
      <c r="A2745" s="197" t="s">
        <v>75</v>
      </c>
      <c r="B2745" s="197" t="s">
        <v>21</v>
      </c>
      <c r="C2745" s="198" t="s">
        <v>336</v>
      </c>
      <c r="D2745" s="197" t="s">
        <v>337</v>
      </c>
      <c r="E2745" s="199">
        <v>2.0</v>
      </c>
      <c r="F2745" s="200">
        <v>45786.45833333333</v>
      </c>
      <c r="G2745" s="197" t="s">
        <v>845</v>
      </c>
      <c r="H2745" s="197" t="s">
        <v>868</v>
      </c>
    </row>
    <row r="2746" ht="15.75" customHeight="1">
      <c r="A2746" s="197" t="s">
        <v>75</v>
      </c>
      <c r="B2746" s="197" t="s">
        <v>21</v>
      </c>
      <c r="C2746" s="198" t="s">
        <v>336</v>
      </c>
      <c r="D2746" s="197" t="s">
        <v>337</v>
      </c>
      <c r="E2746" s="199">
        <v>3.0</v>
      </c>
      <c r="F2746" s="200">
        <v>45793.45833333333</v>
      </c>
      <c r="G2746" s="197" t="s">
        <v>845</v>
      </c>
      <c r="H2746" s="197" t="s">
        <v>868</v>
      </c>
    </row>
    <row r="2747" ht="15.75" customHeight="1">
      <c r="A2747" s="197" t="s">
        <v>75</v>
      </c>
      <c r="B2747" s="197" t="s">
        <v>21</v>
      </c>
      <c r="C2747" s="198" t="s">
        <v>336</v>
      </c>
      <c r="D2747" s="197" t="s">
        <v>337</v>
      </c>
      <c r="E2747" s="199">
        <v>4.0</v>
      </c>
      <c r="F2747" s="200">
        <v>45803.45833333333</v>
      </c>
      <c r="G2747" s="197" t="s">
        <v>845</v>
      </c>
      <c r="H2747" s="197" t="s">
        <v>868</v>
      </c>
    </row>
    <row r="2748" ht="15.75" customHeight="1">
      <c r="A2748" s="197" t="s">
        <v>75</v>
      </c>
      <c r="B2748" s="197" t="s">
        <v>21</v>
      </c>
      <c r="C2748" s="198" t="s">
        <v>336</v>
      </c>
      <c r="D2748" s="197" t="s">
        <v>337</v>
      </c>
      <c r="E2748" s="199">
        <v>5.0</v>
      </c>
      <c r="F2748" s="200">
        <v>45817.45833333333</v>
      </c>
      <c r="G2748" s="197" t="s">
        <v>845</v>
      </c>
      <c r="H2748" s="197" t="s">
        <v>868</v>
      </c>
    </row>
    <row r="2749" ht="15.75" customHeight="1">
      <c r="A2749" s="197" t="s">
        <v>75</v>
      </c>
      <c r="B2749" s="197" t="s">
        <v>21</v>
      </c>
      <c r="C2749" s="198" t="s">
        <v>336</v>
      </c>
      <c r="D2749" s="197" t="s">
        <v>337</v>
      </c>
      <c r="E2749" s="199">
        <v>6.0</v>
      </c>
      <c r="F2749" s="200">
        <v>45824.45833333333</v>
      </c>
      <c r="G2749" s="197" t="s">
        <v>845</v>
      </c>
      <c r="H2749" s="197" t="s">
        <v>868</v>
      </c>
    </row>
    <row r="2750" ht="15.75" customHeight="1">
      <c r="A2750" s="197" t="s">
        <v>75</v>
      </c>
      <c r="B2750" s="197" t="s">
        <v>21</v>
      </c>
      <c r="C2750" s="198" t="s">
        <v>336</v>
      </c>
      <c r="D2750" s="197" t="s">
        <v>337</v>
      </c>
      <c r="E2750" s="199">
        <v>7.0</v>
      </c>
      <c r="F2750" s="200">
        <v>45852.625</v>
      </c>
      <c r="G2750" s="197" t="s">
        <v>845</v>
      </c>
      <c r="H2750" s="197" t="s">
        <v>868</v>
      </c>
    </row>
    <row r="2751" ht="15.75" customHeight="1">
      <c r="A2751" s="197" t="s">
        <v>75</v>
      </c>
      <c r="B2751" s="197" t="s">
        <v>21</v>
      </c>
      <c r="C2751" s="198" t="s">
        <v>336</v>
      </c>
      <c r="D2751" s="197" t="s">
        <v>337</v>
      </c>
      <c r="E2751" s="199">
        <v>8.0</v>
      </c>
      <c r="F2751" s="200">
        <v>45859.375</v>
      </c>
      <c r="G2751" s="197" t="s">
        <v>845</v>
      </c>
      <c r="H2751" s="197" t="s">
        <v>868</v>
      </c>
    </row>
    <row r="2752" ht="15.75" customHeight="1">
      <c r="A2752" s="197" t="s">
        <v>75</v>
      </c>
      <c r="B2752" s="197" t="s">
        <v>21</v>
      </c>
      <c r="C2752" s="198" t="s">
        <v>336</v>
      </c>
      <c r="D2752" s="197" t="s">
        <v>337</v>
      </c>
      <c r="E2752" s="199">
        <v>9.0</v>
      </c>
      <c r="F2752" s="200">
        <v>45866.41666666667</v>
      </c>
      <c r="G2752" s="197" t="s">
        <v>845</v>
      </c>
      <c r="H2752" s="197" t="s">
        <v>868</v>
      </c>
    </row>
    <row r="2753" ht="15.75" customHeight="1">
      <c r="A2753" s="197" t="s">
        <v>75</v>
      </c>
      <c r="B2753" s="197" t="s">
        <v>21</v>
      </c>
      <c r="C2753" s="198" t="s">
        <v>336</v>
      </c>
      <c r="D2753" s="197" t="s">
        <v>337</v>
      </c>
      <c r="E2753" s="199">
        <v>10.0</v>
      </c>
      <c r="F2753" s="200">
        <v>45894.54166666667</v>
      </c>
      <c r="G2753" s="197" t="s">
        <v>845</v>
      </c>
      <c r="H2753" s="197" t="s">
        <v>868</v>
      </c>
    </row>
    <row r="2754" ht="15.75" customHeight="1">
      <c r="A2754" s="197" t="s">
        <v>75</v>
      </c>
      <c r="B2754" s="197" t="s">
        <v>22</v>
      </c>
      <c r="C2754" s="198" t="s">
        <v>336</v>
      </c>
      <c r="D2754" s="197" t="s">
        <v>337</v>
      </c>
      <c r="E2754" s="199">
        <v>1.0</v>
      </c>
      <c r="F2754" s="200">
        <v>45922.41666666667</v>
      </c>
      <c r="G2754" s="197" t="s">
        <v>845</v>
      </c>
      <c r="H2754" s="197" t="s">
        <v>868</v>
      </c>
    </row>
    <row r="2755" ht="15.75" customHeight="1">
      <c r="A2755" s="197" t="s">
        <v>75</v>
      </c>
      <c r="B2755" s="197" t="s">
        <v>22</v>
      </c>
      <c r="C2755" s="198" t="s">
        <v>336</v>
      </c>
      <c r="D2755" s="197" t="s">
        <v>337</v>
      </c>
      <c r="E2755" s="199">
        <v>2.0</v>
      </c>
      <c r="F2755" s="200">
        <v>45926.54166666667</v>
      </c>
      <c r="G2755" s="197" t="s">
        <v>845</v>
      </c>
      <c r="H2755" s="197" t="s">
        <v>868</v>
      </c>
    </row>
    <row r="2756" ht="15.75" customHeight="1">
      <c r="A2756" s="197" t="s">
        <v>75</v>
      </c>
      <c r="B2756" s="197" t="s">
        <v>22</v>
      </c>
      <c r="C2756" s="198" t="s">
        <v>336</v>
      </c>
      <c r="D2756" s="197" t="s">
        <v>337</v>
      </c>
      <c r="E2756" s="199">
        <v>3.0</v>
      </c>
      <c r="F2756" s="200">
        <v>45929.41666666667</v>
      </c>
      <c r="G2756" s="197" t="s">
        <v>843</v>
      </c>
      <c r="H2756" s="197" t="s">
        <v>868</v>
      </c>
    </row>
    <row r="2757" ht="15.75" customHeight="1">
      <c r="A2757" s="197" t="s">
        <v>75</v>
      </c>
      <c r="B2757" s="197" t="s">
        <v>22</v>
      </c>
      <c r="C2757" s="198" t="s">
        <v>336</v>
      </c>
      <c r="D2757" s="197" t="s">
        <v>337</v>
      </c>
      <c r="E2757" s="199">
        <v>5.0</v>
      </c>
      <c r="F2757" s="200">
        <v>45947.41666666667</v>
      </c>
      <c r="G2757" s="197" t="s">
        <v>845</v>
      </c>
      <c r="H2757" s="197" t="s">
        <v>868</v>
      </c>
    </row>
    <row r="2758" ht="15.75" customHeight="1">
      <c r="A2758" s="197" t="s">
        <v>75</v>
      </c>
      <c r="B2758" s="197" t="s">
        <v>22</v>
      </c>
      <c r="C2758" s="198" t="s">
        <v>336</v>
      </c>
      <c r="D2758" s="197" t="s">
        <v>337</v>
      </c>
      <c r="E2758" s="199">
        <v>6.0</v>
      </c>
      <c r="F2758" s="200">
        <v>45950.41666666667</v>
      </c>
      <c r="G2758" s="197" t="s">
        <v>845</v>
      </c>
      <c r="H2758" s="197" t="s">
        <v>868</v>
      </c>
    </row>
    <row r="2759" ht="15.75" customHeight="1">
      <c r="A2759" s="197" t="s">
        <v>75</v>
      </c>
      <c r="B2759" s="197" t="s">
        <v>22</v>
      </c>
      <c r="C2759" s="198" t="s">
        <v>336</v>
      </c>
      <c r="D2759" s="197" t="s">
        <v>337</v>
      </c>
      <c r="E2759" s="199">
        <v>7.0</v>
      </c>
      <c r="F2759" s="200">
        <v>45971.625</v>
      </c>
      <c r="G2759" s="197" t="s">
        <v>845</v>
      </c>
      <c r="H2759" s="197" t="s">
        <v>868</v>
      </c>
    </row>
    <row r="2760" ht="15.75" customHeight="1">
      <c r="A2760" s="197" t="s">
        <v>75</v>
      </c>
      <c r="B2760" s="197" t="s">
        <v>22</v>
      </c>
      <c r="C2760" s="198" t="s">
        <v>336</v>
      </c>
      <c r="D2760" s="197" t="s">
        <v>337</v>
      </c>
      <c r="E2760" s="199">
        <v>8.0</v>
      </c>
      <c r="F2760" s="200">
        <v>45980.625</v>
      </c>
      <c r="G2760" s="197" t="s">
        <v>845</v>
      </c>
      <c r="H2760" s="197" t="s">
        <v>868</v>
      </c>
    </row>
    <row r="2761" ht="15.75" customHeight="1">
      <c r="A2761" s="197" t="s">
        <v>75</v>
      </c>
      <c r="B2761" s="197" t="s">
        <v>22</v>
      </c>
      <c r="C2761" s="198" t="s">
        <v>336</v>
      </c>
      <c r="D2761" s="197" t="s">
        <v>337</v>
      </c>
      <c r="E2761" s="199">
        <v>9.0</v>
      </c>
      <c r="F2761" s="200">
        <v>46008.625</v>
      </c>
      <c r="G2761" s="197" t="s">
        <v>843</v>
      </c>
      <c r="H2761" s="197" t="s">
        <v>868</v>
      </c>
    </row>
    <row r="2762" ht="15.75" customHeight="1">
      <c r="A2762" s="197" t="s">
        <v>75</v>
      </c>
      <c r="B2762" s="197" t="s">
        <v>22</v>
      </c>
      <c r="C2762" s="198" t="s">
        <v>336</v>
      </c>
      <c r="D2762" s="197" t="s">
        <v>337</v>
      </c>
      <c r="E2762" s="199">
        <v>10.0</v>
      </c>
      <c r="F2762" s="200">
        <v>46017.625</v>
      </c>
      <c r="G2762" s="197" t="s">
        <v>845</v>
      </c>
      <c r="H2762" s="197" t="s">
        <v>868</v>
      </c>
    </row>
    <row r="2763" ht="15.75" customHeight="1">
      <c r="A2763" s="197" t="s">
        <v>75</v>
      </c>
      <c r="B2763" s="197" t="s">
        <v>22</v>
      </c>
      <c r="C2763" s="198" t="s">
        <v>336</v>
      </c>
      <c r="D2763" s="197" t="s">
        <v>337</v>
      </c>
      <c r="E2763" s="199">
        <v>11.0</v>
      </c>
      <c r="F2763" s="200">
        <v>46041.625</v>
      </c>
      <c r="G2763" s="197" t="s">
        <v>845</v>
      </c>
      <c r="H2763" s="197" t="s">
        <v>868</v>
      </c>
    </row>
    <row r="2764" ht="15.75" customHeight="1">
      <c r="A2764" s="197" t="s">
        <v>75</v>
      </c>
      <c r="B2764" s="197" t="s">
        <v>22</v>
      </c>
      <c r="C2764" s="198" t="s">
        <v>336</v>
      </c>
      <c r="D2764" s="197" t="s">
        <v>337</v>
      </c>
      <c r="E2764" s="199">
        <v>12.0</v>
      </c>
      <c r="F2764" s="200">
        <v>46048.54166666667</v>
      </c>
      <c r="G2764" s="197" t="s">
        <v>845</v>
      </c>
      <c r="H2764" s="197" t="s">
        <v>868</v>
      </c>
    </row>
    <row r="2765" ht="15.75" customHeight="1">
      <c r="A2765" s="197" t="s">
        <v>75</v>
      </c>
      <c r="B2765" s="197" t="s">
        <v>22</v>
      </c>
      <c r="C2765" s="198" t="s">
        <v>336</v>
      </c>
      <c r="D2765" s="197" t="s">
        <v>337</v>
      </c>
      <c r="E2765" s="199">
        <v>13.0</v>
      </c>
      <c r="F2765" s="200">
        <v>46086.41666666667</v>
      </c>
      <c r="G2765" s="197" t="s">
        <v>845</v>
      </c>
      <c r="H2765" s="197" t="s">
        <v>868</v>
      </c>
    </row>
    <row r="2766" ht="15.75" customHeight="1">
      <c r="A2766" s="197" t="s">
        <v>75</v>
      </c>
      <c r="B2766" s="197" t="s">
        <v>22</v>
      </c>
      <c r="C2766" s="198" t="s">
        <v>336</v>
      </c>
      <c r="D2766" s="197" t="s">
        <v>337</v>
      </c>
      <c r="E2766" s="199">
        <v>14.0</v>
      </c>
      <c r="F2766" s="200">
        <v>46087.41666666667</v>
      </c>
      <c r="G2766" s="197" t="s">
        <v>845</v>
      </c>
      <c r="H2766" s="197" t="s">
        <v>868</v>
      </c>
    </row>
    <row r="2767" ht="15.75" customHeight="1">
      <c r="A2767" s="197" t="s">
        <v>75</v>
      </c>
      <c r="B2767" s="197" t="s">
        <v>22</v>
      </c>
      <c r="C2767" s="198" t="s">
        <v>336</v>
      </c>
      <c r="D2767" s="197" t="s">
        <v>337</v>
      </c>
      <c r="E2767" s="199">
        <v>15.0</v>
      </c>
      <c r="F2767" s="200">
        <v>46094.41666666667</v>
      </c>
      <c r="G2767" s="197" t="s">
        <v>845</v>
      </c>
      <c r="H2767" s="197" t="s">
        <v>868</v>
      </c>
    </row>
    <row r="2768" ht="15.75" customHeight="1">
      <c r="A2768" s="197" t="s">
        <v>75</v>
      </c>
      <c r="B2768" s="197" t="s">
        <v>21</v>
      </c>
      <c r="C2768" s="198" t="s">
        <v>417</v>
      </c>
      <c r="D2768" s="197" t="s">
        <v>418</v>
      </c>
      <c r="E2768" s="199">
        <v>1.0</v>
      </c>
      <c r="F2768" s="200">
        <v>45761.41666666667</v>
      </c>
      <c r="G2768" s="197" t="s">
        <v>845</v>
      </c>
      <c r="H2768" s="197" t="s">
        <v>868</v>
      </c>
    </row>
    <row r="2769" ht="15.75" customHeight="1">
      <c r="A2769" s="197" t="s">
        <v>75</v>
      </c>
      <c r="B2769" s="197" t="s">
        <v>21</v>
      </c>
      <c r="C2769" s="198" t="s">
        <v>417</v>
      </c>
      <c r="D2769" s="197" t="s">
        <v>418</v>
      </c>
      <c r="E2769" s="199">
        <v>2.0</v>
      </c>
      <c r="F2769" s="200">
        <v>45786.45833333333</v>
      </c>
      <c r="G2769" s="197" t="s">
        <v>843</v>
      </c>
      <c r="H2769" s="197" t="s">
        <v>868</v>
      </c>
    </row>
    <row r="2770" ht="15.75" customHeight="1">
      <c r="A2770" s="197" t="s">
        <v>75</v>
      </c>
      <c r="B2770" s="197" t="s">
        <v>21</v>
      </c>
      <c r="C2770" s="198" t="s">
        <v>417</v>
      </c>
      <c r="D2770" s="197" t="s">
        <v>418</v>
      </c>
      <c r="E2770" s="199">
        <v>3.0</v>
      </c>
      <c r="F2770" s="200">
        <v>45793.45833333333</v>
      </c>
      <c r="G2770" s="197" t="s">
        <v>845</v>
      </c>
      <c r="H2770" s="197" t="s">
        <v>868</v>
      </c>
    </row>
    <row r="2771" ht="15.75" customHeight="1">
      <c r="A2771" s="197" t="s">
        <v>75</v>
      </c>
      <c r="B2771" s="197" t="s">
        <v>21</v>
      </c>
      <c r="C2771" s="198" t="s">
        <v>417</v>
      </c>
      <c r="D2771" s="197" t="s">
        <v>418</v>
      </c>
      <c r="E2771" s="199">
        <v>4.0</v>
      </c>
      <c r="F2771" s="200">
        <v>45803.45833333333</v>
      </c>
      <c r="G2771" s="197" t="s">
        <v>845</v>
      </c>
      <c r="H2771" s="197" t="s">
        <v>868</v>
      </c>
    </row>
    <row r="2772" ht="15.75" customHeight="1">
      <c r="A2772" s="197" t="s">
        <v>75</v>
      </c>
      <c r="B2772" s="197" t="s">
        <v>21</v>
      </c>
      <c r="C2772" s="198" t="s">
        <v>417</v>
      </c>
      <c r="D2772" s="197" t="s">
        <v>418</v>
      </c>
      <c r="E2772" s="199">
        <v>5.0</v>
      </c>
      <c r="F2772" s="200">
        <v>45817.45833333333</v>
      </c>
      <c r="G2772" s="197" t="s">
        <v>845</v>
      </c>
      <c r="H2772" s="197" t="s">
        <v>868</v>
      </c>
    </row>
    <row r="2773" ht="15.75" customHeight="1">
      <c r="A2773" s="197" t="s">
        <v>75</v>
      </c>
      <c r="B2773" s="197" t="s">
        <v>21</v>
      </c>
      <c r="C2773" s="198" t="s">
        <v>417</v>
      </c>
      <c r="D2773" s="197" t="s">
        <v>418</v>
      </c>
      <c r="E2773" s="199">
        <v>6.0</v>
      </c>
      <c r="F2773" s="200">
        <v>45824.45833333333</v>
      </c>
      <c r="G2773" s="197" t="s">
        <v>845</v>
      </c>
      <c r="H2773" s="197" t="s">
        <v>868</v>
      </c>
    </row>
    <row r="2774" ht="15.75" customHeight="1">
      <c r="A2774" s="197" t="s">
        <v>75</v>
      </c>
      <c r="B2774" s="197" t="s">
        <v>21</v>
      </c>
      <c r="C2774" s="198" t="s">
        <v>417</v>
      </c>
      <c r="D2774" s="197" t="s">
        <v>418</v>
      </c>
      <c r="E2774" s="199">
        <v>7.0</v>
      </c>
      <c r="F2774" s="200">
        <v>45852.625</v>
      </c>
      <c r="G2774" s="197" t="s">
        <v>845</v>
      </c>
      <c r="H2774" s="197" t="s">
        <v>868</v>
      </c>
    </row>
    <row r="2775" ht="15.75" customHeight="1">
      <c r="A2775" s="197" t="s">
        <v>75</v>
      </c>
      <c r="B2775" s="197" t="s">
        <v>21</v>
      </c>
      <c r="C2775" s="198" t="s">
        <v>417</v>
      </c>
      <c r="D2775" s="197" t="s">
        <v>418</v>
      </c>
      <c r="E2775" s="199">
        <v>8.0</v>
      </c>
      <c r="F2775" s="200">
        <v>45859.375</v>
      </c>
      <c r="G2775" s="197" t="s">
        <v>845</v>
      </c>
      <c r="H2775" s="197" t="s">
        <v>868</v>
      </c>
    </row>
    <row r="2776" ht="15.75" customHeight="1">
      <c r="A2776" s="197" t="s">
        <v>75</v>
      </c>
      <c r="B2776" s="197" t="s">
        <v>21</v>
      </c>
      <c r="C2776" s="198" t="s">
        <v>417</v>
      </c>
      <c r="D2776" s="197" t="s">
        <v>418</v>
      </c>
      <c r="E2776" s="199">
        <v>9.0</v>
      </c>
      <c r="F2776" s="200">
        <v>45866.41666666667</v>
      </c>
      <c r="G2776" s="197" t="s">
        <v>845</v>
      </c>
      <c r="H2776" s="197" t="s">
        <v>868</v>
      </c>
    </row>
    <row r="2777" ht="15.75" customHeight="1">
      <c r="A2777" s="197" t="s">
        <v>75</v>
      </c>
      <c r="B2777" s="197" t="s">
        <v>21</v>
      </c>
      <c r="C2777" s="198" t="s">
        <v>417</v>
      </c>
      <c r="D2777" s="197" t="s">
        <v>418</v>
      </c>
      <c r="E2777" s="199">
        <v>10.0</v>
      </c>
      <c r="F2777" s="200">
        <v>45894.54166666667</v>
      </c>
      <c r="G2777" s="197" t="s">
        <v>845</v>
      </c>
      <c r="H2777" s="197" t="s">
        <v>868</v>
      </c>
    </row>
    <row r="2778" ht="15.75" customHeight="1">
      <c r="A2778" s="197" t="s">
        <v>75</v>
      </c>
      <c r="B2778" s="197" t="s">
        <v>22</v>
      </c>
      <c r="C2778" s="198" t="s">
        <v>417</v>
      </c>
      <c r="D2778" s="197" t="s">
        <v>418</v>
      </c>
      <c r="E2778" s="199">
        <v>1.0</v>
      </c>
      <c r="F2778" s="200">
        <v>45922.41666666667</v>
      </c>
      <c r="G2778" s="197" t="s">
        <v>845</v>
      </c>
      <c r="H2778" s="197" t="s">
        <v>868</v>
      </c>
    </row>
    <row r="2779" ht="15.75" customHeight="1">
      <c r="A2779" s="197" t="s">
        <v>75</v>
      </c>
      <c r="B2779" s="197" t="s">
        <v>22</v>
      </c>
      <c r="C2779" s="198" t="s">
        <v>417</v>
      </c>
      <c r="D2779" s="197" t="s">
        <v>418</v>
      </c>
      <c r="E2779" s="199">
        <v>2.0</v>
      </c>
      <c r="F2779" s="200">
        <v>45926.54166666667</v>
      </c>
      <c r="G2779" s="197" t="s">
        <v>845</v>
      </c>
      <c r="H2779" s="197" t="s">
        <v>868</v>
      </c>
    </row>
    <row r="2780" ht="15.75" customHeight="1">
      <c r="A2780" s="197" t="s">
        <v>75</v>
      </c>
      <c r="B2780" s="197" t="s">
        <v>22</v>
      </c>
      <c r="C2780" s="198" t="s">
        <v>417</v>
      </c>
      <c r="D2780" s="197" t="s">
        <v>418</v>
      </c>
      <c r="E2780" s="199">
        <v>3.0</v>
      </c>
      <c r="F2780" s="200">
        <v>45929.41666666667</v>
      </c>
      <c r="G2780" s="197" t="s">
        <v>845</v>
      </c>
      <c r="H2780" s="197" t="s">
        <v>868</v>
      </c>
    </row>
    <row r="2781" ht="15.75" customHeight="1">
      <c r="A2781" s="197" t="s">
        <v>75</v>
      </c>
      <c r="B2781" s="197" t="s">
        <v>22</v>
      </c>
      <c r="C2781" s="198" t="s">
        <v>417</v>
      </c>
      <c r="D2781" s="197" t="s">
        <v>418</v>
      </c>
      <c r="E2781" s="199">
        <v>5.0</v>
      </c>
      <c r="F2781" s="200">
        <v>45947.41666666667</v>
      </c>
      <c r="G2781" s="197" t="s">
        <v>845</v>
      </c>
      <c r="H2781" s="197" t="s">
        <v>868</v>
      </c>
    </row>
    <row r="2782" ht="15.75" customHeight="1">
      <c r="A2782" s="197" t="s">
        <v>75</v>
      </c>
      <c r="B2782" s="197" t="s">
        <v>22</v>
      </c>
      <c r="C2782" s="198" t="s">
        <v>417</v>
      </c>
      <c r="D2782" s="197" t="s">
        <v>418</v>
      </c>
      <c r="E2782" s="199">
        <v>6.0</v>
      </c>
      <c r="F2782" s="200">
        <v>45950.41666666667</v>
      </c>
      <c r="G2782" s="197" t="s">
        <v>845</v>
      </c>
      <c r="H2782" s="197" t="s">
        <v>868</v>
      </c>
    </row>
    <row r="2783" ht="15.75" customHeight="1">
      <c r="A2783" s="197" t="s">
        <v>75</v>
      </c>
      <c r="B2783" s="197" t="s">
        <v>22</v>
      </c>
      <c r="C2783" s="198" t="s">
        <v>417</v>
      </c>
      <c r="D2783" s="197" t="s">
        <v>418</v>
      </c>
      <c r="E2783" s="199">
        <v>7.0</v>
      </c>
      <c r="F2783" s="200">
        <v>45971.625</v>
      </c>
      <c r="G2783" s="197" t="s">
        <v>845</v>
      </c>
      <c r="H2783" s="197" t="s">
        <v>868</v>
      </c>
    </row>
    <row r="2784" ht="15.75" customHeight="1">
      <c r="A2784" s="197" t="s">
        <v>75</v>
      </c>
      <c r="B2784" s="197" t="s">
        <v>22</v>
      </c>
      <c r="C2784" s="198" t="s">
        <v>417</v>
      </c>
      <c r="D2784" s="197" t="s">
        <v>418</v>
      </c>
      <c r="E2784" s="199">
        <v>8.0</v>
      </c>
      <c r="F2784" s="200">
        <v>45980.625</v>
      </c>
      <c r="G2784" s="197" t="s">
        <v>845</v>
      </c>
      <c r="H2784" s="197" t="s">
        <v>868</v>
      </c>
    </row>
    <row r="2785" ht="15.75" customHeight="1">
      <c r="A2785" s="197" t="s">
        <v>75</v>
      </c>
      <c r="B2785" s="197" t="s">
        <v>22</v>
      </c>
      <c r="C2785" s="198" t="s">
        <v>417</v>
      </c>
      <c r="D2785" s="197" t="s">
        <v>418</v>
      </c>
      <c r="E2785" s="199">
        <v>9.0</v>
      </c>
      <c r="F2785" s="200">
        <v>46008.625</v>
      </c>
      <c r="G2785" s="197" t="s">
        <v>845</v>
      </c>
      <c r="H2785" s="197" t="s">
        <v>868</v>
      </c>
    </row>
    <row r="2786" ht="15.75" customHeight="1">
      <c r="A2786" s="197" t="s">
        <v>75</v>
      </c>
      <c r="B2786" s="197" t="s">
        <v>22</v>
      </c>
      <c r="C2786" s="198" t="s">
        <v>417</v>
      </c>
      <c r="D2786" s="197" t="s">
        <v>418</v>
      </c>
      <c r="E2786" s="199">
        <v>10.0</v>
      </c>
      <c r="F2786" s="200">
        <v>46017.625</v>
      </c>
      <c r="G2786" s="197" t="s">
        <v>843</v>
      </c>
      <c r="H2786" s="197" t="s">
        <v>868</v>
      </c>
    </row>
    <row r="2787" ht="15.75" customHeight="1">
      <c r="A2787" s="197" t="s">
        <v>75</v>
      </c>
      <c r="B2787" s="197" t="s">
        <v>22</v>
      </c>
      <c r="C2787" s="198" t="s">
        <v>417</v>
      </c>
      <c r="D2787" s="197" t="s">
        <v>418</v>
      </c>
      <c r="E2787" s="199">
        <v>11.0</v>
      </c>
      <c r="F2787" s="200">
        <v>46041.625</v>
      </c>
      <c r="G2787" s="197" t="s">
        <v>845</v>
      </c>
      <c r="H2787" s="197" t="s">
        <v>868</v>
      </c>
    </row>
    <row r="2788" ht="15.75" customHeight="1">
      <c r="A2788" s="197" t="s">
        <v>75</v>
      </c>
      <c r="B2788" s="197" t="s">
        <v>22</v>
      </c>
      <c r="C2788" s="198" t="s">
        <v>417</v>
      </c>
      <c r="D2788" s="197" t="s">
        <v>418</v>
      </c>
      <c r="E2788" s="199">
        <v>12.0</v>
      </c>
      <c r="F2788" s="200">
        <v>46048.54166666667</v>
      </c>
      <c r="G2788" s="197" t="s">
        <v>845</v>
      </c>
      <c r="H2788" s="197" t="s">
        <v>868</v>
      </c>
    </row>
    <row r="2789" ht="15.75" customHeight="1">
      <c r="A2789" s="197" t="s">
        <v>75</v>
      </c>
      <c r="B2789" s="197" t="s">
        <v>22</v>
      </c>
      <c r="C2789" s="198" t="s">
        <v>417</v>
      </c>
      <c r="D2789" s="197" t="s">
        <v>418</v>
      </c>
      <c r="E2789" s="199">
        <v>13.0</v>
      </c>
      <c r="F2789" s="200">
        <v>46086.41666666667</v>
      </c>
      <c r="G2789" s="197" t="s">
        <v>845</v>
      </c>
      <c r="H2789" s="197" t="s">
        <v>868</v>
      </c>
    </row>
    <row r="2790" ht="15.75" customHeight="1">
      <c r="A2790" s="197" t="s">
        <v>75</v>
      </c>
      <c r="B2790" s="197" t="s">
        <v>22</v>
      </c>
      <c r="C2790" s="198" t="s">
        <v>417</v>
      </c>
      <c r="D2790" s="197" t="s">
        <v>418</v>
      </c>
      <c r="E2790" s="199">
        <v>14.0</v>
      </c>
      <c r="F2790" s="200">
        <v>46087.41666666667</v>
      </c>
      <c r="G2790" s="197" t="s">
        <v>845</v>
      </c>
      <c r="H2790" s="197" t="s">
        <v>868</v>
      </c>
    </row>
    <row r="2791" ht="15.75" customHeight="1">
      <c r="A2791" s="197" t="s">
        <v>75</v>
      </c>
      <c r="B2791" s="197" t="s">
        <v>22</v>
      </c>
      <c r="C2791" s="198" t="s">
        <v>417</v>
      </c>
      <c r="D2791" s="197" t="s">
        <v>418</v>
      </c>
      <c r="E2791" s="199">
        <v>15.0</v>
      </c>
      <c r="F2791" s="200">
        <v>46094.41666666667</v>
      </c>
      <c r="G2791" s="197" t="s">
        <v>845</v>
      </c>
      <c r="H2791" s="197" t="s">
        <v>868</v>
      </c>
    </row>
    <row r="2792" ht="15.75" customHeight="1">
      <c r="A2792" s="197" t="s">
        <v>75</v>
      </c>
      <c r="B2792" s="197" t="s">
        <v>21</v>
      </c>
      <c r="C2792" s="198" t="s">
        <v>587</v>
      </c>
      <c r="D2792" s="197" t="s">
        <v>588</v>
      </c>
      <c r="E2792" s="199">
        <v>1.0</v>
      </c>
      <c r="F2792" s="200">
        <v>45761.41666666667</v>
      </c>
      <c r="G2792" s="197" t="s">
        <v>845</v>
      </c>
      <c r="H2792" s="197" t="s">
        <v>868</v>
      </c>
    </row>
    <row r="2793" ht="15.75" customHeight="1">
      <c r="A2793" s="197" t="s">
        <v>75</v>
      </c>
      <c r="B2793" s="197" t="s">
        <v>21</v>
      </c>
      <c r="C2793" s="198" t="s">
        <v>587</v>
      </c>
      <c r="D2793" s="197" t="s">
        <v>588</v>
      </c>
      <c r="E2793" s="199">
        <v>2.0</v>
      </c>
      <c r="F2793" s="200">
        <v>45786.45833333333</v>
      </c>
      <c r="G2793" s="197" t="s">
        <v>845</v>
      </c>
      <c r="H2793" s="197" t="s">
        <v>868</v>
      </c>
    </row>
    <row r="2794" ht="15.75" customHeight="1">
      <c r="A2794" s="197" t="s">
        <v>75</v>
      </c>
      <c r="B2794" s="197" t="s">
        <v>21</v>
      </c>
      <c r="C2794" s="198" t="s">
        <v>587</v>
      </c>
      <c r="D2794" s="197" t="s">
        <v>588</v>
      </c>
      <c r="E2794" s="199">
        <v>3.0</v>
      </c>
      <c r="F2794" s="200">
        <v>45793.45833333333</v>
      </c>
      <c r="G2794" s="197" t="s">
        <v>845</v>
      </c>
      <c r="H2794" s="197" t="s">
        <v>868</v>
      </c>
    </row>
    <row r="2795" ht="15.75" customHeight="1">
      <c r="A2795" s="197" t="s">
        <v>75</v>
      </c>
      <c r="B2795" s="197" t="s">
        <v>21</v>
      </c>
      <c r="C2795" s="198" t="s">
        <v>587</v>
      </c>
      <c r="D2795" s="197" t="s">
        <v>588</v>
      </c>
      <c r="E2795" s="199">
        <v>4.0</v>
      </c>
      <c r="F2795" s="200">
        <v>45803.45833333333</v>
      </c>
      <c r="G2795" s="197" t="s">
        <v>843</v>
      </c>
      <c r="H2795" s="197" t="s">
        <v>868</v>
      </c>
    </row>
    <row r="2796" ht="15.75" customHeight="1">
      <c r="A2796" s="197" t="s">
        <v>75</v>
      </c>
      <c r="B2796" s="197" t="s">
        <v>21</v>
      </c>
      <c r="C2796" s="198" t="s">
        <v>587</v>
      </c>
      <c r="D2796" s="197" t="s">
        <v>588</v>
      </c>
      <c r="E2796" s="199">
        <v>5.0</v>
      </c>
      <c r="F2796" s="200">
        <v>45817.45833333333</v>
      </c>
      <c r="G2796" s="197" t="s">
        <v>845</v>
      </c>
      <c r="H2796" s="197" t="s">
        <v>868</v>
      </c>
    </row>
    <row r="2797" ht="15.75" customHeight="1">
      <c r="A2797" s="197" t="s">
        <v>75</v>
      </c>
      <c r="B2797" s="197" t="s">
        <v>21</v>
      </c>
      <c r="C2797" s="198" t="s">
        <v>587</v>
      </c>
      <c r="D2797" s="197" t="s">
        <v>588</v>
      </c>
      <c r="E2797" s="199">
        <v>6.0</v>
      </c>
      <c r="F2797" s="200">
        <v>45824.45833333333</v>
      </c>
      <c r="G2797" s="197" t="s">
        <v>845</v>
      </c>
      <c r="H2797" s="197" t="s">
        <v>868</v>
      </c>
    </row>
    <row r="2798" ht="15.75" customHeight="1">
      <c r="A2798" s="197" t="s">
        <v>75</v>
      </c>
      <c r="B2798" s="197" t="s">
        <v>21</v>
      </c>
      <c r="C2798" s="198" t="s">
        <v>587</v>
      </c>
      <c r="D2798" s="197" t="s">
        <v>588</v>
      </c>
      <c r="E2798" s="199">
        <v>7.0</v>
      </c>
      <c r="F2798" s="200">
        <v>45852.625</v>
      </c>
      <c r="G2798" s="197" t="s">
        <v>845</v>
      </c>
      <c r="H2798" s="197" t="s">
        <v>868</v>
      </c>
    </row>
    <row r="2799" ht="15.75" customHeight="1">
      <c r="A2799" s="197" t="s">
        <v>75</v>
      </c>
      <c r="B2799" s="197" t="s">
        <v>21</v>
      </c>
      <c r="C2799" s="198" t="s">
        <v>587</v>
      </c>
      <c r="D2799" s="197" t="s">
        <v>588</v>
      </c>
      <c r="E2799" s="199">
        <v>8.0</v>
      </c>
      <c r="F2799" s="200">
        <v>45859.375</v>
      </c>
      <c r="G2799" s="197" t="s">
        <v>845</v>
      </c>
      <c r="H2799" s="197" t="s">
        <v>868</v>
      </c>
    </row>
    <row r="2800" ht="15.75" customHeight="1">
      <c r="A2800" s="197" t="s">
        <v>75</v>
      </c>
      <c r="B2800" s="197" t="s">
        <v>21</v>
      </c>
      <c r="C2800" s="198" t="s">
        <v>587</v>
      </c>
      <c r="D2800" s="197" t="s">
        <v>588</v>
      </c>
      <c r="E2800" s="199">
        <v>9.0</v>
      </c>
      <c r="F2800" s="200">
        <v>45866.41666666667</v>
      </c>
      <c r="G2800" s="197" t="s">
        <v>843</v>
      </c>
      <c r="H2800" s="197" t="s">
        <v>868</v>
      </c>
    </row>
    <row r="2801" ht="15.75" customHeight="1">
      <c r="A2801" s="197" t="s">
        <v>75</v>
      </c>
      <c r="B2801" s="197" t="s">
        <v>21</v>
      </c>
      <c r="C2801" s="198" t="s">
        <v>587</v>
      </c>
      <c r="D2801" s="197" t="s">
        <v>588</v>
      </c>
      <c r="E2801" s="199">
        <v>10.0</v>
      </c>
      <c r="F2801" s="200">
        <v>45894.54166666667</v>
      </c>
      <c r="G2801" s="197" t="s">
        <v>845</v>
      </c>
      <c r="H2801" s="197" t="s">
        <v>868</v>
      </c>
    </row>
    <row r="2802" ht="15.75" customHeight="1">
      <c r="A2802" s="197" t="s">
        <v>75</v>
      </c>
      <c r="B2802" s="197" t="s">
        <v>22</v>
      </c>
      <c r="C2802" s="198" t="s">
        <v>587</v>
      </c>
      <c r="D2802" s="197" t="s">
        <v>588</v>
      </c>
      <c r="E2802" s="199">
        <v>1.0</v>
      </c>
      <c r="F2802" s="200">
        <v>45922.41666666667</v>
      </c>
      <c r="G2802" s="197" t="s">
        <v>843</v>
      </c>
      <c r="H2802" s="197" t="s">
        <v>868</v>
      </c>
    </row>
    <row r="2803" ht="15.75" customHeight="1">
      <c r="A2803" s="197" t="s">
        <v>75</v>
      </c>
      <c r="B2803" s="197" t="s">
        <v>22</v>
      </c>
      <c r="C2803" s="198" t="s">
        <v>587</v>
      </c>
      <c r="D2803" s="197" t="s">
        <v>588</v>
      </c>
      <c r="E2803" s="199">
        <v>2.0</v>
      </c>
      <c r="F2803" s="200">
        <v>45926.54166666667</v>
      </c>
      <c r="G2803" s="197" t="s">
        <v>843</v>
      </c>
      <c r="H2803" s="197" t="s">
        <v>868</v>
      </c>
    </row>
    <row r="2804" ht="15.75" customHeight="1">
      <c r="A2804" s="197" t="s">
        <v>75</v>
      </c>
      <c r="B2804" s="197" t="s">
        <v>22</v>
      </c>
      <c r="C2804" s="198" t="s">
        <v>587</v>
      </c>
      <c r="D2804" s="197" t="s">
        <v>588</v>
      </c>
      <c r="E2804" s="199">
        <v>3.0</v>
      </c>
      <c r="F2804" s="200">
        <v>45929.41666666667</v>
      </c>
      <c r="G2804" s="197" t="s">
        <v>843</v>
      </c>
      <c r="H2804" s="197" t="s">
        <v>868</v>
      </c>
    </row>
    <row r="2805" ht="15.75" customHeight="1">
      <c r="A2805" s="197" t="s">
        <v>75</v>
      </c>
      <c r="B2805" s="197" t="s">
        <v>22</v>
      </c>
      <c r="C2805" s="198" t="s">
        <v>587</v>
      </c>
      <c r="D2805" s="197" t="s">
        <v>588</v>
      </c>
      <c r="E2805" s="199">
        <v>5.0</v>
      </c>
      <c r="F2805" s="200">
        <v>45947.41666666667</v>
      </c>
      <c r="G2805" s="197" t="s">
        <v>843</v>
      </c>
      <c r="H2805" s="197" t="s">
        <v>868</v>
      </c>
    </row>
    <row r="2806" ht="15.75" customHeight="1">
      <c r="A2806" s="197" t="s">
        <v>75</v>
      </c>
      <c r="B2806" s="197" t="s">
        <v>22</v>
      </c>
      <c r="C2806" s="198" t="s">
        <v>587</v>
      </c>
      <c r="D2806" s="197" t="s">
        <v>588</v>
      </c>
      <c r="E2806" s="199">
        <v>6.0</v>
      </c>
      <c r="F2806" s="200">
        <v>45950.41666666667</v>
      </c>
      <c r="G2806" s="197" t="s">
        <v>843</v>
      </c>
      <c r="H2806" s="197" t="s">
        <v>868</v>
      </c>
    </row>
    <row r="2807" ht="15.75" customHeight="1">
      <c r="A2807" s="197" t="s">
        <v>75</v>
      </c>
      <c r="B2807" s="197" t="s">
        <v>22</v>
      </c>
      <c r="C2807" s="198" t="s">
        <v>587</v>
      </c>
      <c r="D2807" s="197" t="s">
        <v>588</v>
      </c>
      <c r="E2807" s="199">
        <v>7.0</v>
      </c>
      <c r="F2807" s="200">
        <v>45971.625</v>
      </c>
      <c r="G2807" s="197" t="s">
        <v>843</v>
      </c>
      <c r="H2807" s="197" t="s">
        <v>868</v>
      </c>
    </row>
    <row r="2808" ht="15.75" customHeight="1">
      <c r="A2808" s="197" t="s">
        <v>75</v>
      </c>
      <c r="B2808" s="197" t="s">
        <v>22</v>
      </c>
      <c r="C2808" s="198" t="s">
        <v>587</v>
      </c>
      <c r="D2808" s="197" t="s">
        <v>588</v>
      </c>
      <c r="E2808" s="199">
        <v>8.0</v>
      </c>
      <c r="F2808" s="200">
        <v>45980.625</v>
      </c>
      <c r="G2808" s="197" t="s">
        <v>843</v>
      </c>
      <c r="H2808" s="197" t="s">
        <v>868</v>
      </c>
    </row>
    <row r="2809" ht="15.75" customHeight="1">
      <c r="A2809" s="197" t="s">
        <v>75</v>
      </c>
      <c r="B2809" s="197" t="s">
        <v>22</v>
      </c>
      <c r="C2809" s="198" t="s">
        <v>587</v>
      </c>
      <c r="D2809" s="197" t="s">
        <v>588</v>
      </c>
      <c r="E2809" s="199">
        <v>9.0</v>
      </c>
      <c r="F2809" s="200">
        <v>46008.625</v>
      </c>
      <c r="G2809" s="197" t="s">
        <v>843</v>
      </c>
      <c r="H2809" s="197" t="s">
        <v>868</v>
      </c>
    </row>
    <row r="2810" ht="15.75" customHeight="1">
      <c r="A2810" s="197" t="s">
        <v>75</v>
      </c>
      <c r="B2810" s="197" t="s">
        <v>22</v>
      </c>
      <c r="C2810" s="198" t="s">
        <v>587</v>
      </c>
      <c r="D2810" s="197" t="s">
        <v>588</v>
      </c>
      <c r="E2810" s="199">
        <v>10.0</v>
      </c>
      <c r="F2810" s="200">
        <v>46017.625</v>
      </c>
      <c r="G2810" s="197" t="s">
        <v>843</v>
      </c>
      <c r="H2810" s="197" t="s">
        <v>868</v>
      </c>
    </row>
    <row r="2811" ht="15.75" customHeight="1">
      <c r="A2811" s="197" t="s">
        <v>75</v>
      </c>
      <c r="B2811" s="197" t="s">
        <v>22</v>
      </c>
      <c r="C2811" s="198" t="s">
        <v>587</v>
      </c>
      <c r="D2811" s="197" t="s">
        <v>588</v>
      </c>
      <c r="E2811" s="199">
        <v>11.0</v>
      </c>
      <c r="F2811" s="200">
        <v>46041.625</v>
      </c>
      <c r="G2811" s="197" t="s">
        <v>843</v>
      </c>
      <c r="H2811" s="197" t="s">
        <v>868</v>
      </c>
    </row>
    <row r="2812" ht="15.75" customHeight="1">
      <c r="A2812" s="197" t="s">
        <v>75</v>
      </c>
      <c r="B2812" s="197" t="s">
        <v>22</v>
      </c>
      <c r="C2812" s="198" t="s">
        <v>587</v>
      </c>
      <c r="D2812" s="197" t="s">
        <v>588</v>
      </c>
      <c r="E2812" s="199">
        <v>12.0</v>
      </c>
      <c r="F2812" s="200">
        <v>46048.54166666667</v>
      </c>
      <c r="G2812" s="197" t="s">
        <v>843</v>
      </c>
      <c r="H2812" s="197" t="s">
        <v>868</v>
      </c>
    </row>
    <row r="2813" ht="15.75" customHeight="1">
      <c r="A2813" s="197" t="s">
        <v>75</v>
      </c>
      <c r="B2813" s="197" t="s">
        <v>21</v>
      </c>
      <c r="C2813" s="198" t="s">
        <v>593</v>
      </c>
      <c r="D2813" s="197" t="s">
        <v>594</v>
      </c>
      <c r="E2813" s="199">
        <v>1.0</v>
      </c>
      <c r="F2813" s="200">
        <v>45761.41666666667</v>
      </c>
      <c r="G2813" s="197" t="s">
        <v>845</v>
      </c>
      <c r="H2813" s="197" t="s">
        <v>868</v>
      </c>
    </row>
    <row r="2814" ht="15.75" customHeight="1">
      <c r="A2814" s="197" t="s">
        <v>75</v>
      </c>
      <c r="B2814" s="197" t="s">
        <v>21</v>
      </c>
      <c r="C2814" s="198" t="s">
        <v>593</v>
      </c>
      <c r="D2814" s="197" t="s">
        <v>594</v>
      </c>
      <c r="E2814" s="199">
        <v>2.0</v>
      </c>
      <c r="F2814" s="200">
        <v>45786.45833333333</v>
      </c>
      <c r="G2814" s="197" t="s">
        <v>845</v>
      </c>
      <c r="H2814" s="197" t="s">
        <v>868</v>
      </c>
    </row>
    <row r="2815" ht="15.75" customHeight="1">
      <c r="A2815" s="197" t="s">
        <v>75</v>
      </c>
      <c r="B2815" s="197" t="s">
        <v>21</v>
      </c>
      <c r="C2815" s="198" t="s">
        <v>593</v>
      </c>
      <c r="D2815" s="197" t="s">
        <v>594</v>
      </c>
      <c r="E2815" s="199">
        <v>3.0</v>
      </c>
      <c r="F2815" s="200">
        <v>45793.45833333333</v>
      </c>
      <c r="G2815" s="197" t="s">
        <v>843</v>
      </c>
      <c r="H2815" s="197" t="s">
        <v>868</v>
      </c>
    </row>
    <row r="2816" ht="15.75" customHeight="1">
      <c r="A2816" s="197" t="s">
        <v>75</v>
      </c>
      <c r="B2816" s="197" t="s">
        <v>21</v>
      </c>
      <c r="C2816" s="198" t="s">
        <v>593</v>
      </c>
      <c r="D2816" s="197" t="s">
        <v>594</v>
      </c>
      <c r="E2816" s="199">
        <v>4.0</v>
      </c>
      <c r="F2816" s="200">
        <v>45803.45833333333</v>
      </c>
      <c r="G2816" s="197" t="s">
        <v>845</v>
      </c>
      <c r="H2816" s="197" t="s">
        <v>868</v>
      </c>
    </row>
    <row r="2817" ht="15.75" customHeight="1">
      <c r="A2817" s="197" t="s">
        <v>75</v>
      </c>
      <c r="B2817" s="197" t="s">
        <v>21</v>
      </c>
      <c r="C2817" s="198" t="s">
        <v>593</v>
      </c>
      <c r="D2817" s="197" t="s">
        <v>594</v>
      </c>
      <c r="E2817" s="199">
        <v>5.0</v>
      </c>
      <c r="F2817" s="200">
        <v>45817.45833333333</v>
      </c>
      <c r="G2817" s="197" t="s">
        <v>845</v>
      </c>
      <c r="H2817" s="197" t="s">
        <v>868</v>
      </c>
    </row>
    <row r="2818" ht="15.75" customHeight="1">
      <c r="A2818" s="197" t="s">
        <v>75</v>
      </c>
      <c r="B2818" s="197" t="s">
        <v>21</v>
      </c>
      <c r="C2818" s="198" t="s">
        <v>593</v>
      </c>
      <c r="D2818" s="197" t="s">
        <v>594</v>
      </c>
      <c r="E2818" s="199">
        <v>6.0</v>
      </c>
      <c r="F2818" s="200">
        <v>45824.45833333333</v>
      </c>
      <c r="G2818" s="197" t="s">
        <v>845</v>
      </c>
      <c r="H2818" s="197" t="s">
        <v>868</v>
      </c>
    </row>
    <row r="2819" ht="15.75" customHeight="1">
      <c r="A2819" s="197" t="s">
        <v>75</v>
      </c>
      <c r="B2819" s="197" t="s">
        <v>21</v>
      </c>
      <c r="C2819" s="198" t="s">
        <v>593</v>
      </c>
      <c r="D2819" s="197" t="s">
        <v>594</v>
      </c>
      <c r="E2819" s="199">
        <v>7.0</v>
      </c>
      <c r="F2819" s="200">
        <v>45852.625</v>
      </c>
      <c r="G2819" s="197" t="s">
        <v>845</v>
      </c>
      <c r="H2819" s="197" t="s">
        <v>868</v>
      </c>
    </row>
    <row r="2820" ht="15.75" customHeight="1">
      <c r="A2820" s="197" t="s">
        <v>75</v>
      </c>
      <c r="B2820" s="197" t="s">
        <v>21</v>
      </c>
      <c r="C2820" s="198" t="s">
        <v>593</v>
      </c>
      <c r="D2820" s="197" t="s">
        <v>594</v>
      </c>
      <c r="E2820" s="199">
        <v>8.0</v>
      </c>
      <c r="F2820" s="200">
        <v>45859.375</v>
      </c>
      <c r="G2820" s="197" t="s">
        <v>845</v>
      </c>
      <c r="H2820" s="197" t="s">
        <v>868</v>
      </c>
    </row>
    <row r="2821" ht="15.75" customHeight="1">
      <c r="A2821" s="197" t="s">
        <v>75</v>
      </c>
      <c r="B2821" s="197" t="s">
        <v>21</v>
      </c>
      <c r="C2821" s="198" t="s">
        <v>593</v>
      </c>
      <c r="D2821" s="197" t="s">
        <v>594</v>
      </c>
      <c r="E2821" s="199">
        <v>9.0</v>
      </c>
      <c r="F2821" s="200">
        <v>45866.41666666667</v>
      </c>
      <c r="G2821" s="197" t="s">
        <v>845</v>
      </c>
      <c r="H2821" s="197" t="s">
        <v>868</v>
      </c>
    </row>
    <row r="2822" ht="15.75" customHeight="1">
      <c r="A2822" s="197" t="s">
        <v>75</v>
      </c>
      <c r="B2822" s="197" t="s">
        <v>21</v>
      </c>
      <c r="C2822" s="198" t="s">
        <v>593</v>
      </c>
      <c r="D2822" s="197" t="s">
        <v>594</v>
      </c>
      <c r="E2822" s="199">
        <v>10.0</v>
      </c>
      <c r="F2822" s="200">
        <v>45894.54166666667</v>
      </c>
      <c r="G2822" s="197" t="s">
        <v>845</v>
      </c>
      <c r="H2822" s="197" t="s">
        <v>868</v>
      </c>
    </row>
    <row r="2823" ht="15.75" customHeight="1">
      <c r="A2823" s="197" t="s">
        <v>75</v>
      </c>
      <c r="B2823" s="197" t="s">
        <v>22</v>
      </c>
      <c r="C2823" s="198" t="s">
        <v>593</v>
      </c>
      <c r="D2823" s="197" t="s">
        <v>594</v>
      </c>
      <c r="E2823" s="199">
        <v>1.0</v>
      </c>
      <c r="F2823" s="200">
        <v>45922.41666666667</v>
      </c>
      <c r="G2823" s="197" t="s">
        <v>845</v>
      </c>
      <c r="H2823" s="197" t="s">
        <v>868</v>
      </c>
    </row>
    <row r="2824" ht="15.75" customHeight="1">
      <c r="A2824" s="197" t="s">
        <v>75</v>
      </c>
      <c r="B2824" s="197" t="s">
        <v>22</v>
      </c>
      <c r="C2824" s="198" t="s">
        <v>593</v>
      </c>
      <c r="D2824" s="197" t="s">
        <v>594</v>
      </c>
      <c r="E2824" s="199">
        <v>2.0</v>
      </c>
      <c r="F2824" s="200">
        <v>45926.54166666667</v>
      </c>
      <c r="G2824" s="197" t="s">
        <v>845</v>
      </c>
      <c r="H2824" s="197" t="s">
        <v>868</v>
      </c>
    </row>
    <row r="2825" ht="15.75" customHeight="1">
      <c r="A2825" s="197" t="s">
        <v>75</v>
      </c>
      <c r="B2825" s="197" t="s">
        <v>22</v>
      </c>
      <c r="C2825" s="198" t="s">
        <v>593</v>
      </c>
      <c r="D2825" s="197" t="s">
        <v>594</v>
      </c>
      <c r="E2825" s="199">
        <v>3.0</v>
      </c>
      <c r="F2825" s="200">
        <v>45929.41666666667</v>
      </c>
      <c r="G2825" s="197" t="s">
        <v>845</v>
      </c>
      <c r="H2825" s="197" t="s">
        <v>868</v>
      </c>
    </row>
    <row r="2826" ht="15.75" customHeight="1">
      <c r="A2826" s="197" t="s">
        <v>75</v>
      </c>
      <c r="B2826" s="197" t="s">
        <v>22</v>
      </c>
      <c r="C2826" s="198" t="s">
        <v>593</v>
      </c>
      <c r="D2826" s="197" t="s">
        <v>594</v>
      </c>
      <c r="E2826" s="199">
        <v>5.0</v>
      </c>
      <c r="F2826" s="200">
        <v>45947.41666666667</v>
      </c>
      <c r="G2826" s="197" t="s">
        <v>845</v>
      </c>
      <c r="H2826" s="197" t="s">
        <v>868</v>
      </c>
    </row>
    <row r="2827" ht="15.75" customHeight="1">
      <c r="A2827" s="197" t="s">
        <v>75</v>
      </c>
      <c r="B2827" s="197" t="s">
        <v>22</v>
      </c>
      <c r="C2827" s="198" t="s">
        <v>593</v>
      </c>
      <c r="D2827" s="197" t="s">
        <v>594</v>
      </c>
      <c r="E2827" s="199">
        <v>6.0</v>
      </c>
      <c r="F2827" s="200">
        <v>45950.41666666667</v>
      </c>
      <c r="G2827" s="197" t="s">
        <v>843</v>
      </c>
      <c r="H2827" s="197" t="s">
        <v>868</v>
      </c>
    </row>
    <row r="2828" ht="15.75" customHeight="1">
      <c r="A2828" s="197" t="s">
        <v>75</v>
      </c>
      <c r="B2828" s="197" t="s">
        <v>22</v>
      </c>
      <c r="C2828" s="198" t="s">
        <v>593</v>
      </c>
      <c r="D2828" s="197" t="s">
        <v>594</v>
      </c>
      <c r="E2828" s="199">
        <v>7.0</v>
      </c>
      <c r="F2828" s="200">
        <v>45971.625</v>
      </c>
      <c r="G2828" s="197" t="s">
        <v>845</v>
      </c>
      <c r="H2828" s="197" t="s">
        <v>868</v>
      </c>
    </row>
    <row r="2829" ht="15.75" customHeight="1">
      <c r="A2829" s="197" t="s">
        <v>75</v>
      </c>
      <c r="B2829" s="197" t="s">
        <v>22</v>
      </c>
      <c r="C2829" s="198" t="s">
        <v>593</v>
      </c>
      <c r="D2829" s="197" t="s">
        <v>594</v>
      </c>
      <c r="E2829" s="199">
        <v>8.0</v>
      </c>
      <c r="F2829" s="200">
        <v>45980.625</v>
      </c>
      <c r="G2829" s="197" t="s">
        <v>845</v>
      </c>
      <c r="H2829" s="197" t="s">
        <v>868</v>
      </c>
    </row>
    <row r="2830" ht="15.75" customHeight="1">
      <c r="A2830" s="197" t="s">
        <v>75</v>
      </c>
      <c r="B2830" s="197" t="s">
        <v>22</v>
      </c>
      <c r="C2830" s="198" t="s">
        <v>593</v>
      </c>
      <c r="D2830" s="197" t="s">
        <v>594</v>
      </c>
      <c r="E2830" s="199">
        <v>9.0</v>
      </c>
      <c r="F2830" s="200">
        <v>46008.625</v>
      </c>
      <c r="G2830" s="197" t="s">
        <v>845</v>
      </c>
      <c r="H2830" s="197" t="s">
        <v>868</v>
      </c>
    </row>
    <row r="2831" ht="15.75" customHeight="1">
      <c r="A2831" s="197" t="s">
        <v>75</v>
      </c>
      <c r="B2831" s="197" t="s">
        <v>22</v>
      </c>
      <c r="C2831" s="198" t="s">
        <v>593</v>
      </c>
      <c r="D2831" s="197" t="s">
        <v>594</v>
      </c>
      <c r="E2831" s="199">
        <v>10.0</v>
      </c>
      <c r="F2831" s="200">
        <v>46017.625</v>
      </c>
      <c r="G2831" s="197" t="s">
        <v>845</v>
      </c>
      <c r="H2831" s="197" t="s">
        <v>868</v>
      </c>
    </row>
    <row r="2832" ht="15.75" customHeight="1">
      <c r="A2832" s="197" t="s">
        <v>75</v>
      </c>
      <c r="B2832" s="197" t="s">
        <v>22</v>
      </c>
      <c r="C2832" s="198" t="s">
        <v>593</v>
      </c>
      <c r="D2832" s="197" t="s">
        <v>594</v>
      </c>
      <c r="E2832" s="199">
        <v>11.0</v>
      </c>
      <c r="F2832" s="200">
        <v>46041.625</v>
      </c>
      <c r="G2832" s="197" t="s">
        <v>845</v>
      </c>
      <c r="H2832" s="197" t="s">
        <v>868</v>
      </c>
    </row>
    <row r="2833" ht="15.75" customHeight="1">
      <c r="A2833" s="197" t="s">
        <v>75</v>
      </c>
      <c r="B2833" s="197" t="s">
        <v>22</v>
      </c>
      <c r="C2833" s="198" t="s">
        <v>593</v>
      </c>
      <c r="D2833" s="197" t="s">
        <v>594</v>
      </c>
      <c r="E2833" s="199">
        <v>12.0</v>
      </c>
      <c r="F2833" s="200">
        <v>46048.54166666667</v>
      </c>
      <c r="G2833" s="197" t="s">
        <v>845</v>
      </c>
      <c r="H2833" s="197" t="s">
        <v>868</v>
      </c>
    </row>
    <row r="2834" ht="15.75" customHeight="1">
      <c r="A2834" s="197" t="s">
        <v>75</v>
      </c>
      <c r="B2834" s="197" t="s">
        <v>22</v>
      </c>
      <c r="C2834" s="198" t="s">
        <v>593</v>
      </c>
      <c r="D2834" s="197" t="s">
        <v>594</v>
      </c>
      <c r="E2834" s="199">
        <v>13.0</v>
      </c>
      <c r="F2834" s="200">
        <v>46086.41666666667</v>
      </c>
      <c r="G2834" s="197" t="s">
        <v>845</v>
      </c>
      <c r="H2834" s="197" t="s">
        <v>868</v>
      </c>
    </row>
    <row r="2835" ht="15.75" customHeight="1">
      <c r="A2835" s="197" t="s">
        <v>75</v>
      </c>
      <c r="B2835" s="197" t="s">
        <v>22</v>
      </c>
      <c r="C2835" s="198" t="s">
        <v>593</v>
      </c>
      <c r="D2835" s="197" t="s">
        <v>594</v>
      </c>
      <c r="E2835" s="199">
        <v>14.0</v>
      </c>
      <c r="F2835" s="200">
        <v>46087.41666666667</v>
      </c>
      <c r="G2835" s="197" t="s">
        <v>845</v>
      </c>
      <c r="H2835" s="197" t="s">
        <v>868</v>
      </c>
    </row>
    <row r="2836" ht="15.75" customHeight="1">
      <c r="A2836" s="197" t="s">
        <v>75</v>
      </c>
      <c r="B2836" s="197" t="s">
        <v>22</v>
      </c>
      <c r="C2836" s="198" t="s">
        <v>593</v>
      </c>
      <c r="D2836" s="197" t="s">
        <v>594</v>
      </c>
      <c r="E2836" s="199">
        <v>15.0</v>
      </c>
      <c r="F2836" s="200">
        <v>46094.41666666667</v>
      </c>
      <c r="G2836" s="197" t="s">
        <v>845</v>
      </c>
      <c r="H2836" s="197" t="s">
        <v>868</v>
      </c>
    </row>
    <row r="2837" ht="15.75" customHeight="1">
      <c r="A2837" s="197" t="s">
        <v>76</v>
      </c>
      <c r="B2837" s="197" t="s">
        <v>21</v>
      </c>
      <c r="C2837" s="198" t="s">
        <v>210</v>
      </c>
      <c r="D2837" s="197" t="s">
        <v>211</v>
      </c>
      <c r="E2837" s="199">
        <v>1.0</v>
      </c>
      <c r="F2837" s="200">
        <v>45763.54166666667</v>
      </c>
      <c r="G2837" s="197" t="s">
        <v>845</v>
      </c>
      <c r="H2837" s="197" t="s">
        <v>869</v>
      </c>
    </row>
    <row r="2838" ht="15.75" customHeight="1">
      <c r="A2838" s="197" t="s">
        <v>76</v>
      </c>
      <c r="B2838" s="197" t="s">
        <v>21</v>
      </c>
      <c r="C2838" s="198" t="s">
        <v>210</v>
      </c>
      <c r="D2838" s="197" t="s">
        <v>211</v>
      </c>
      <c r="E2838" s="199">
        <v>2.0</v>
      </c>
      <c r="F2838" s="200">
        <v>45769.54166666667</v>
      </c>
      <c r="G2838" s="197" t="s">
        <v>845</v>
      </c>
      <c r="H2838" s="197" t="s">
        <v>869</v>
      </c>
    </row>
    <row r="2839" ht="15.75" customHeight="1">
      <c r="A2839" s="197" t="s">
        <v>76</v>
      </c>
      <c r="B2839" s="197" t="s">
        <v>21</v>
      </c>
      <c r="C2839" s="198" t="s">
        <v>210</v>
      </c>
      <c r="D2839" s="197" t="s">
        <v>211</v>
      </c>
      <c r="E2839" s="199">
        <v>3.0</v>
      </c>
      <c r="F2839" s="200">
        <v>45786.41666666667</v>
      </c>
      <c r="G2839" s="197" t="s">
        <v>845</v>
      </c>
      <c r="H2839" s="197" t="s">
        <v>869</v>
      </c>
    </row>
    <row r="2840" ht="15.75" customHeight="1">
      <c r="A2840" s="197" t="s">
        <v>76</v>
      </c>
      <c r="B2840" s="197" t="s">
        <v>21</v>
      </c>
      <c r="C2840" s="198" t="s">
        <v>210</v>
      </c>
      <c r="D2840" s="197" t="s">
        <v>211</v>
      </c>
      <c r="E2840" s="199">
        <v>4.0</v>
      </c>
      <c r="F2840" s="200">
        <v>45804.54166666667</v>
      </c>
      <c r="G2840" s="197" t="s">
        <v>845</v>
      </c>
      <c r="H2840" s="197" t="s">
        <v>869</v>
      </c>
    </row>
    <row r="2841" ht="15.75" customHeight="1">
      <c r="A2841" s="197" t="s">
        <v>76</v>
      </c>
      <c r="B2841" s="197" t="s">
        <v>21</v>
      </c>
      <c r="C2841" s="198" t="s">
        <v>210</v>
      </c>
      <c r="D2841" s="197" t="s">
        <v>211</v>
      </c>
      <c r="E2841" s="199">
        <v>5.0</v>
      </c>
      <c r="F2841" s="200">
        <v>45811.58333333333</v>
      </c>
      <c r="G2841" s="197" t="s">
        <v>845</v>
      </c>
      <c r="H2841" s="197" t="s">
        <v>869</v>
      </c>
    </row>
    <row r="2842" ht="15.75" customHeight="1">
      <c r="A2842" s="197" t="s">
        <v>76</v>
      </c>
      <c r="B2842" s="197" t="s">
        <v>21</v>
      </c>
      <c r="C2842" s="198" t="s">
        <v>210</v>
      </c>
      <c r="D2842" s="197" t="s">
        <v>211</v>
      </c>
      <c r="E2842" s="199">
        <v>6.0</v>
      </c>
      <c r="F2842" s="200">
        <v>45818.58333333333</v>
      </c>
      <c r="G2842" s="197" t="s">
        <v>845</v>
      </c>
      <c r="H2842" s="197" t="s">
        <v>869</v>
      </c>
    </row>
    <row r="2843" ht="15.75" customHeight="1">
      <c r="A2843" s="197" t="s">
        <v>76</v>
      </c>
      <c r="B2843" s="197" t="s">
        <v>21</v>
      </c>
      <c r="C2843" s="198" t="s">
        <v>210</v>
      </c>
      <c r="D2843" s="197" t="s">
        <v>211</v>
      </c>
      <c r="E2843" s="199">
        <v>7.0</v>
      </c>
      <c r="F2843" s="200">
        <v>45825.58333333333</v>
      </c>
      <c r="G2843" s="197" t="s">
        <v>845</v>
      </c>
      <c r="H2843" s="197" t="s">
        <v>869</v>
      </c>
    </row>
    <row r="2844" ht="15.75" customHeight="1">
      <c r="A2844" s="197" t="s">
        <v>76</v>
      </c>
      <c r="B2844" s="197" t="s">
        <v>21</v>
      </c>
      <c r="C2844" s="198" t="s">
        <v>210</v>
      </c>
      <c r="D2844" s="197" t="s">
        <v>211</v>
      </c>
      <c r="E2844" s="199">
        <v>8.0</v>
      </c>
      <c r="F2844" s="200">
        <v>45832.58333333333</v>
      </c>
      <c r="G2844" s="197" t="s">
        <v>845</v>
      </c>
      <c r="H2844" s="197" t="s">
        <v>869</v>
      </c>
    </row>
    <row r="2845" ht="15.75" customHeight="1">
      <c r="A2845" s="197" t="s">
        <v>76</v>
      </c>
      <c r="B2845" s="197" t="s">
        <v>21</v>
      </c>
      <c r="C2845" s="198" t="s">
        <v>210</v>
      </c>
      <c r="D2845" s="197" t="s">
        <v>211</v>
      </c>
      <c r="E2845" s="199">
        <v>9.0</v>
      </c>
      <c r="F2845" s="200">
        <v>45846.58333333333</v>
      </c>
      <c r="G2845" s="197" t="s">
        <v>845</v>
      </c>
      <c r="H2845" s="197" t="s">
        <v>869</v>
      </c>
    </row>
    <row r="2846" ht="15.75" customHeight="1">
      <c r="A2846" s="197" t="s">
        <v>76</v>
      </c>
      <c r="B2846" s="197" t="s">
        <v>21</v>
      </c>
      <c r="C2846" s="198" t="s">
        <v>210</v>
      </c>
      <c r="D2846" s="197" t="s">
        <v>211</v>
      </c>
      <c r="E2846" s="199">
        <v>10.0</v>
      </c>
      <c r="F2846" s="200">
        <v>45868.375</v>
      </c>
      <c r="G2846" s="197" t="s">
        <v>845</v>
      </c>
      <c r="H2846" s="197" t="s">
        <v>869</v>
      </c>
    </row>
    <row r="2847" ht="15.75" customHeight="1">
      <c r="A2847" s="197" t="s">
        <v>76</v>
      </c>
      <c r="B2847" s="197" t="s">
        <v>22</v>
      </c>
      <c r="C2847" s="198" t="s">
        <v>210</v>
      </c>
      <c r="D2847" s="197" t="s">
        <v>211</v>
      </c>
      <c r="E2847" s="199">
        <v>1.0</v>
      </c>
      <c r="F2847" s="200">
        <v>45895.58333333333</v>
      </c>
      <c r="G2847" s="197" t="s">
        <v>845</v>
      </c>
      <c r="H2847" s="197" t="s">
        <v>869</v>
      </c>
    </row>
    <row r="2848" ht="15.75" customHeight="1">
      <c r="A2848" s="197" t="s">
        <v>76</v>
      </c>
      <c r="B2848" s="197" t="s">
        <v>22</v>
      </c>
      <c r="C2848" s="198" t="s">
        <v>210</v>
      </c>
      <c r="D2848" s="197" t="s">
        <v>211</v>
      </c>
      <c r="E2848" s="199">
        <v>2.0</v>
      </c>
      <c r="F2848" s="200">
        <v>45895.58333333333</v>
      </c>
      <c r="G2848" s="197" t="s">
        <v>845</v>
      </c>
      <c r="H2848" s="197" t="s">
        <v>869</v>
      </c>
    </row>
    <row r="2849" ht="15.75" customHeight="1">
      <c r="A2849" s="197" t="s">
        <v>76</v>
      </c>
      <c r="B2849" s="197" t="s">
        <v>22</v>
      </c>
      <c r="C2849" s="198" t="s">
        <v>210</v>
      </c>
      <c r="D2849" s="197" t="s">
        <v>211</v>
      </c>
      <c r="E2849" s="199">
        <v>3.0</v>
      </c>
      <c r="F2849" s="200">
        <v>45916.625</v>
      </c>
      <c r="G2849" s="197" t="s">
        <v>843</v>
      </c>
      <c r="H2849" s="197" t="s">
        <v>869</v>
      </c>
    </row>
    <row r="2850" ht="15.75" customHeight="1">
      <c r="A2850" s="197" t="s">
        <v>76</v>
      </c>
      <c r="B2850" s="197" t="s">
        <v>22</v>
      </c>
      <c r="C2850" s="198" t="s">
        <v>210</v>
      </c>
      <c r="D2850" s="197" t="s">
        <v>211</v>
      </c>
      <c r="E2850" s="199">
        <v>4.0</v>
      </c>
      <c r="F2850" s="200">
        <v>45953.625</v>
      </c>
      <c r="G2850" s="197" t="s">
        <v>845</v>
      </c>
      <c r="H2850" s="197" t="s">
        <v>869</v>
      </c>
    </row>
    <row r="2851" ht="15.75" customHeight="1">
      <c r="A2851" s="197" t="s">
        <v>76</v>
      </c>
      <c r="B2851" s="197" t="s">
        <v>22</v>
      </c>
      <c r="C2851" s="198" t="s">
        <v>210</v>
      </c>
      <c r="D2851" s="197" t="s">
        <v>211</v>
      </c>
      <c r="E2851" s="199">
        <v>5.0</v>
      </c>
      <c r="F2851" s="200">
        <v>45930.625</v>
      </c>
      <c r="G2851" s="197" t="s">
        <v>843</v>
      </c>
      <c r="H2851" s="197" t="s">
        <v>869</v>
      </c>
    </row>
    <row r="2852" ht="15.75" customHeight="1">
      <c r="A2852" s="197" t="s">
        <v>76</v>
      </c>
      <c r="B2852" s="197" t="s">
        <v>22</v>
      </c>
      <c r="C2852" s="198" t="s">
        <v>210</v>
      </c>
      <c r="D2852" s="197" t="s">
        <v>211</v>
      </c>
      <c r="E2852" s="199">
        <v>6.0</v>
      </c>
      <c r="F2852" s="200">
        <v>45964.625</v>
      </c>
      <c r="G2852" s="197" t="s">
        <v>845</v>
      </c>
      <c r="H2852" s="197" t="s">
        <v>869</v>
      </c>
    </row>
    <row r="2853" ht="15.75" customHeight="1">
      <c r="A2853" s="197" t="s">
        <v>76</v>
      </c>
      <c r="B2853" s="197" t="s">
        <v>22</v>
      </c>
      <c r="C2853" s="198" t="s">
        <v>210</v>
      </c>
      <c r="D2853" s="197" t="s">
        <v>211</v>
      </c>
      <c r="E2853" s="199">
        <v>7.0</v>
      </c>
      <c r="F2853" s="200">
        <v>45979.625</v>
      </c>
      <c r="G2853" s="197" t="s">
        <v>843</v>
      </c>
      <c r="H2853" s="197" t="s">
        <v>869</v>
      </c>
    </row>
    <row r="2854" ht="15.75" customHeight="1">
      <c r="A2854" s="197" t="s">
        <v>76</v>
      </c>
      <c r="B2854" s="197" t="s">
        <v>22</v>
      </c>
      <c r="C2854" s="198" t="s">
        <v>210</v>
      </c>
      <c r="D2854" s="197" t="s">
        <v>211</v>
      </c>
      <c r="E2854" s="199">
        <v>8.0</v>
      </c>
      <c r="F2854" s="200">
        <v>45993.58333333333</v>
      </c>
      <c r="G2854" s="197" t="s">
        <v>845</v>
      </c>
      <c r="H2854" s="197" t="s">
        <v>869</v>
      </c>
    </row>
    <row r="2855" ht="15.75" customHeight="1">
      <c r="A2855" s="197" t="s">
        <v>76</v>
      </c>
      <c r="B2855" s="197" t="s">
        <v>22</v>
      </c>
      <c r="C2855" s="198" t="s">
        <v>210</v>
      </c>
      <c r="D2855" s="197" t="s">
        <v>211</v>
      </c>
      <c r="E2855" s="199">
        <v>9.0</v>
      </c>
      <c r="F2855" s="200">
        <v>46000.58333333333</v>
      </c>
      <c r="G2855" s="197" t="s">
        <v>845</v>
      </c>
      <c r="H2855" s="197" t="s">
        <v>869</v>
      </c>
    </row>
    <row r="2856" ht="15.75" customHeight="1">
      <c r="A2856" s="197" t="s">
        <v>76</v>
      </c>
      <c r="B2856" s="197" t="s">
        <v>22</v>
      </c>
      <c r="C2856" s="198" t="s">
        <v>210</v>
      </c>
      <c r="D2856" s="197" t="s">
        <v>211</v>
      </c>
      <c r="E2856" s="199">
        <v>10.0</v>
      </c>
      <c r="F2856" s="200">
        <v>46007.58333333333</v>
      </c>
      <c r="G2856" s="197" t="s">
        <v>845</v>
      </c>
      <c r="H2856" s="197" t="s">
        <v>869</v>
      </c>
    </row>
    <row r="2857" ht="15.75" customHeight="1">
      <c r="A2857" s="197" t="s">
        <v>76</v>
      </c>
      <c r="B2857" s="197" t="s">
        <v>22</v>
      </c>
      <c r="C2857" s="198" t="s">
        <v>210</v>
      </c>
      <c r="D2857" s="197" t="s">
        <v>211</v>
      </c>
      <c r="E2857" s="199">
        <v>11.0</v>
      </c>
      <c r="F2857" s="200">
        <v>46013.58333333333</v>
      </c>
      <c r="G2857" s="197" t="s">
        <v>845</v>
      </c>
      <c r="H2857" s="197" t="s">
        <v>869</v>
      </c>
    </row>
    <row r="2858" ht="15.75" customHeight="1">
      <c r="A2858" s="197" t="s">
        <v>76</v>
      </c>
      <c r="B2858" s="197" t="s">
        <v>22</v>
      </c>
      <c r="C2858" s="198" t="s">
        <v>228</v>
      </c>
      <c r="D2858" s="197" t="s">
        <v>229</v>
      </c>
      <c r="E2858" s="199">
        <v>1.0</v>
      </c>
      <c r="F2858" s="200">
        <v>45895.58333333333</v>
      </c>
      <c r="G2858" s="197" t="s">
        <v>845</v>
      </c>
      <c r="H2858" s="197" t="s">
        <v>869</v>
      </c>
    </row>
    <row r="2859" ht="15.75" customHeight="1">
      <c r="A2859" s="197" t="s">
        <v>76</v>
      </c>
      <c r="B2859" s="197" t="s">
        <v>22</v>
      </c>
      <c r="C2859" s="198" t="s">
        <v>228</v>
      </c>
      <c r="D2859" s="197" t="s">
        <v>229</v>
      </c>
      <c r="E2859" s="199">
        <v>2.0</v>
      </c>
      <c r="F2859" s="200">
        <v>45895.58333333333</v>
      </c>
      <c r="G2859" s="197" t="s">
        <v>843</v>
      </c>
      <c r="H2859" s="197" t="s">
        <v>869</v>
      </c>
    </row>
    <row r="2860" ht="15.75" customHeight="1">
      <c r="A2860" s="197" t="s">
        <v>76</v>
      </c>
      <c r="B2860" s="197" t="s">
        <v>22</v>
      </c>
      <c r="C2860" s="198" t="s">
        <v>228</v>
      </c>
      <c r="D2860" s="197" t="s">
        <v>229</v>
      </c>
      <c r="E2860" s="199">
        <v>3.0</v>
      </c>
      <c r="F2860" s="200">
        <v>45916.625</v>
      </c>
      <c r="G2860" s="197" t="s">
        <v>843</v>
      </c>
      <c r="H2860" s="197" t="s">
        <v>869</v>
      </c>
    </row>
    <row r="2861" ht="15.75" customHeight="1">
      <c r="A2861" s="197" t="s">
        <v>76</v>
      </c>
      <c r="B2861" s="197" t="s">
        <v>22</v>
      </c>
      <c r="C2861" s="198" t="s">
        <v>228</v>
      </c>
      <c r="D2861" s="197" t="s">
        <v>229</v>
      </c>
      <c r="E2861" s="199">
        <v>4.0</v>
      </c>
      <c r="F2861" s="200">
        <v>45923.625</v>
      </c>
      <c r="G2861" s="197" t="s">
        <v>845</v>
      </c>
      <c r="H2861" s="197" t="s">
        <v>869</v>
      </c>
    </row>
    <row r="2862" ht="15.75" customHeight="1">
      <c r="A2862" s="197" t="s">
        <v>76</v>
      </c>
      <c r="B2862" s="197" t="s">
        <v>22</v>
      </c>
      <c r="C2862" s="198" t="s">
        <v>228</v>
      </c>
      <c r="D2862" s="197" t="s">
        <v>229</v>
      </c>
      <c r="E2862" s="199">
        <v>5.0</v>
      </c>
      <c r="F2862" s="200">
        <v>45930.625</v>
      </c>
      <c r="G2862" s="197" t="s">
        <v>845</v>
      </c>
      <c r="H2862" s="197" t="s">
        <v>869</v>
      </c>
    </row>
    <row r="2863" ht="15.75" customHeight="1">
      <c r="A2863" s="197" t="s">
        <v>76</v>
      </c>
      <c r="B2863" s="197" t="s">
        <v>22</v>
      </c>
      <c r="C2863" s="198" t="s">
        <v>228</v>
      </c>
      <c r="D2863" s="197" t="s">
        <v>229</v>
      </c>
      <c r="E2863" s="199">
        <v>6.0</v>
      </c>
      <c r="F2863" s="200">
        <v>45964.625</v>
      </c>
      <c r="G2863" s="197" t="s">
        <v>845</v>
      </c>
      <c r="H2863" s="197" t="s">
        <v>869</v>
      </c>
    </row>
    <row r="2864" ht="15.75" customHeight="1">
      <c r="A2864" s="197" t="s">
        <v>76</v>
      </c>
      <c r="B2864" s="197" t="s">
        <v>22</v>
      </c>
      <c r="C2864" s="198" t="s">
        <v>228</v>
      </c>
      <c r="D2864" s="197" t="s">
        <v>229</v>
      </c>
      <c r="E2864" s="199">
        <v>7.0</v>
      </c>
      <c r="F2864" s="200">
        <v>45979.625</v>
      </c>
      <c r="G2864" s="197" t="s">
        <v>845</v>
      </c>
      <c r="H2864" s="197" t="s">
        <v>869</v>
      </c>
    </row>
    <row r="2865" ht="15.75" customHeight="1">
      <c r="A2865" s="197" t="s">
        <v>76</v>
      </c>
      <c r="B2865" s="197" t="s">
        <v>22</v>
      </c>
      <c r="C2865" s="198" t="s">
        <v>228</v>
      </c>
      <c r="D2865" s="197" t="s">
        <v>229</v>
      </c>
      <c r="E2865" s="199">
        <v>8.0</v>
      </c>
      <c r="F2865" s="200">
        <v>45993.58333333333</v>
      </c>
      <c r="G2865" s="197" t="s">
        <v>845</v>
      </c>
      <c r="H2865" s="197" t="s">
        <v>869</v>
      </c>
    </row>
    <row r="2866" ht="15.75" customHeight="1">
      <c r="A2866" s="197" t="s">
        <v>76</v>
      </c>
      <c r="B2866" s="197" t="s">
        <v>22</v>
      </c>
      <c r="C2866" s="198" t="s">
        <v>228</v>
      </c>
      <c r="D2866" s="197" t="s">
        <v>229</v>
      </c>
      <c r="E2866" s="199">
        <v>9.0</v>
      </c>
      <c r="F2866" s="200">
        <v>46000.58333333333</v>
      </c>
      <c r="G2866" s="197" t="s">
        <v>845</v>
      </c>
      <c r="H2866" s="197" t="s">
        <v>869</v>
      </c>
    </row>
    <row r="2867" ht="15.75" customHeight="1">
      <c r="A2867" s="197" t="s">
        <v>76</v>
      </c>
      <c r="B2867" s="197" t="s">
        <v>22</v>
      </c>
      <c r="C2867" s="198" t="s">
        <v>228</v>
      </c>
      <c r="D2867" s="197" t="s">
        <v>229</v>
      </c>
      <c r="E2867" s="199">
        <v>10.0</v>
      </c>
      <c r="F2867" s="200">
        <v>46007.58333333333</v>
      </c>
      <c r="G2867" s="197" t="s">
        <v>845</v>
      </c>
      <c r="H2867" s="197" t="s">
        <v>869</v>
      </c>
    </row>
    <row r="2868" ht="15.75" customHeight="1">
      <c r="A2868" s="197" t="s">
        <v>76</v>
      </c>
      <c r="B2868" s="197" t="s">
        <v>22</v>
      </c>
      <c r="C2868" s="198" t="s">
        <v>228</v>
      </c>
      <c r="D2868" s="197" t="s">
        <v>229</v>
      </c>
      <c r="E2868" s="199">
        <v>11.0</v>
      </c>
      <c r="F2868" s="200">
        <v>46013.58333333333</v>
      </c>
      <c r="G2868" s="197" t="s">
        <v>845</v>
      </c>
      <c r="H2868" s="197" t="s">
        <v>869</v>
      </c>
    </row>
    <row r="2869" ht="15.75" customHeight="1">
      <c r="A2869" s="197" t="s">
        <v>76</v>
      </c>
      <c r="B2869" s="197" t="s">
        <v>22</v>
      </c>
      <c r="C2869" s="198" t="s">
        <v>399</v>
      </c>
      <c r="D2869" s="197" t="s">
        <v>400</v>
      </c>
      <c r="E2869" s="199">
        <v>1.0</v>
      </c>
      <c r="F2869" s="200">
        <v>45895.58333333333</v>
      </c>
      <c r="G2869" s="197" t="s">
        <v>845</v>
      </c>
      <c r="H2869" s="197" t="s">
        <v>869</v>
      </c>
    </row>
    <row r="2870" ht="15.75" customHeight="1">
      <c r="A2870" s="197" t="s">
        <v>76</v>
      </c>
      <c r="B2870" s="197" t="s">
        <v>22</v>
      </c>
      <c r="C2870" s="198" t="s">
        <v>399</v>
      </c>
      <c r="D2870" s="197" t="s">
        <v>400</v>
      </c>
      <c r="E2870" s="199">
        <v>2.0</v>
      </c>
      <c r="F2870" s="200">
        <v>45895.58333333333</v>
      </c>
      <c r="G2870" s="197" t="s">
        <v>845</v>
      </c>
      <c r="H2870" s="197" t="s">
        <v>869</v>
      </c>
    </row>
    <row r="2871" ht="15.75" customHeight="1">
      <c r="A2871" s="197" t="s">
        <v>76</v>
      </c>
      <c r="B2871" s="197" t="s">
        <v>22</v>
      </c>
      <c r="C2871" s="198" t="s">
        <v>399</v>
      </c>
      <c r="D2871" s="197" t="s">
        <v>400</v>
      </c>
      <c r="E2871" s="199">
        <v>3.0</v>
      </c>
      <c r="F2871" s="200">
        <v>45916.625</v>
      </c>
      <c r="G2871" s="197" t="s">
        <v>845</v>
      </c>
      <c r="H2871" s="197" t="s">
        <v>869</v>
      </c>
    </row>
    <row r="2872" ht="15.75" customHeight="1">
      <c r="A2872" s="197" t="s">
        <v>76</v>
      </c>
      <c r="B2872" s="197" t="s">
        <v>22</v>
      </c>
      <c r="C2872" s="198" t="s">
        <v>399</v>
      </c>
      <c r="D2872" s="197" t="s">
        <v>400</v>
      </c>
      <c r="E2872" s="199">
        <v>4.0</v>
      </c>
      <c r="F2872" s="200">
        <v>45923.625</v>
      </c>
      <c r="G2872" s="197" t="s">
        <v>845</v>
      </c>
      <c r="H2872" s="197" t="s">
        <v>869</v>
      </c>
    </row>
    <row r="2873" ht="15.75" customHeight="1">
      <c r="A2873" s="197" t="s">
        <v>76</v>
      </c>
      <c r="B2873" s="197" t="s">
        <v>22</v>
      </c>
      <c r="C2873" s="198" t="s">
        <v>399</v>
      </c>
      <c r="D2873" s="197" t="s">
        <v>400</v>
      </c>
      <c r="E2873" s="199">
        <v>5.0</v>
      </c>
      <c r="F2873" s="200">
        <v>45930.625</v>
      </c>
      <c r="G2873" s="197" t="s">
        <v>845</v>
      </c>
      <c r="H2873" s="197" t="s">
        <v>869</v>
      </c>
    </row>
    <row r="2874" ht="15.75" customHeight="1">
      <c r="A2874" s="197" t="s">
        <v>76</v>
      </c>
      <c r="B2874" s="197" t="s">
        <v>22</v>
      </c>
      <c r="C2874" s="198" t="s">
        <v>399</v>
      </c>
      <c r="D2874" s="197" t="s">
        <v>400</v>
      </c>
      <c r="E2874" s="199">
        <v>6.0</v>
      </c>
      <c r="F2874" s="200">
        <v>45964.625</v>
      </c>
      <c r="G2874" s="197" t="s">
        <v>845</v>
      </c>
      <c r="H2874" s="197" t="s">
        <v>869</v>
      </c>
    </row>
    <row r="2875" ht="15.75" customHeight="1">
      <c r="A2875" s="197" t="s">
        <v>76</v>
      </c>
      <c r="B2875" s="197" t="s">
        <v>22</v>
      </c>
      <c r="C2875" s="198" t="s">
        <v>399</v>
      </c>
      <c r="D2875" s="197" t="s">
        <v>400</v>
      </c>
      <c r="E2875" s="199">
        <v>7.0</v>
      </c>
      <c r="F2875" s="200">
        <v>45979.625</v>
      </c>
      <c r="G2875" s="197" t="s">
        <v>845</v>
      </c>
      <c r="H2875" s="197" t="s">
        <v>869</v>
      </c>
    </row>
    <row r="2876" ht="15.75" customHeight="1">
      <c r="A2876" s="197" t="s">
        <v>76</v>
      </c>
      <c r="B2876" s="197" t="s">
        <v>22</v>
      </c>
      <c r="C2876" s="198" t="s">
        <v>399</v>
      </c>
      <c r="D2876" s="197" t="s">
        <v>400</v>
      </c>
      <c r="E2876" s="199">
        <v>8.0</v>
      </c>
      <c r="F2876" s="200">
        <v>45993.58333333333</v>
      </c>
      <c r="G2876" s="197" t="s">
        <v>845</v>
      </c>
      <c r="H2876" s="197" t="s">
        <v>869</v>
      </c>
    </row>
    <row r="2877" ht="15.75" customHeight="1">
      <c r="A2877" s="197" t="s">
        <v>76</v>
      </c>
      <c r="B2877" s="197" t="s">
        <v>22</v>
      </c>
      <c r="C2877" s="198" t="s">
        <v>399</v>
      </c>
      <c r="D2877" s="197" t="s">
        <v>400</v>
      </c>
      <c r="E2877" s="199">
        <v>9.0</v>
      </c>
      <c r="F2877" s="200">
        <v>46000.58333333333</v>
      </c>
      <c r="G2877" s="197" t="s">
        <v>845</v>
      </c>
      <c r="H2877" s="197" t="s">
        <v>869</v>
      </c>
    </row>
    <row r="2878" ht="15.75" customHeight="1">
      <c r="A2878" s="197" t="s">
        <v>76</v>
      </c>
      <c r="B2878" s="197" t="s">
        <v>22</v>
      </c>
      <c r="C2878" s="198" t="s">
        <v>399</v>
      </c>
      <c r="D2878" s="197" t="s">
        <v>400</v>
      </c>
      <c r="E2878" s="199">
        <v>10.0</v>
      </c>
      <c r="F2878" s="200">
        <v>46007.58333333333</v>
      </c>
      <c r="G2878" s="197" t="s">
        <v>843</v>
      </c>
      <c r="H2878" s="197" t="s">
        <v>869</v>
      </c>
    </row>
    <row r="2879" ht="15.75" customHeight="1">
      <c r="A2879" s="197" t="s">
        <v>76</v>
      </c>
      <c r="B2879" s="197" t="s">
        <v>22</v>
      </c>
      <c r="C2879" s="198" t="s">
        <v>399</v>
      </c>
      <c r="D2879" s="197" t="s">
        <v>400</v>
      </c>
      <c r="E2879" s="199">
        <v>11.0</v>
      </c>
      <c r="F2879" s="200">
        <v>46013.58333333333</v>
      </c>
      <c r="G2879" s="197" t="s">
        <v>845</v>
      </c>
      <c r="H2879" s="197" t="s">
        <v>869</v>
      </c>
    </row>
    <row r="2880" ht="15.75" customHeight="1">
      <c r="A2880" s="197" t="s">
        <v>76</v>
      </c>
      <c r="B2880" s="197" t="s">
        <v>21</v>
      </c>
      <c r="C2880" s="198" t="s">
        <v>440</v>
      </c>
      <c r="D2880" s="197" t="s">
        <v>441</v>
      </c>
      <c r="E2880" s="199">
        <v>1.0</v>
      </c>
      <c r="F2880" s="200">
        <v>45763.54166666667</v>
      </c>
      <c r="G2880" s="197" t="s">
        <v>845</v>
      </c>
      <c r="H2880" s="197" t="s">
        <v>869</v>
      </c>
    </row>
    <row r="2881" ht="15.75" customHeight="1">
      <c r="A2881" s="197" t="s">
        <v>76</v>
      </c>
      <c r="B2881" s="197" t="s">
        <v>21</v>
      </c>
      <c r="C2881" s="198" t="s">
        <v>440</v>
      </c>
      <c r="D2881" s="197" t="s">
        <v>441</v>
      </c>
      <c r="E2881" s="199">
        <v>2.0</v>
      </c>
      <c r="F2881" s="200">
        <v>45769.54166666667</v>
      </c>
      <c r="G2881" s="197" t="s">
        <v>845</v>
      </c>
      <c r="H2881" s="197" t="s">
        <v>869</v>
      </c>
    </row>
    <row r="2882" ht="15.75" customHeight="1">
      <c r="A2882" s="197" t="s">
        <v>76</v>
      </c>
      <c r="B2882" s="197" t="s">
        <v>21</v>
      </c>
      <c r="C2882" s="198" t="s">
        <v>440</v>
      </c>
      <c r="D2882" s="197" t="s">
        <v>441</v>
      </c>
      <c r="E2882" s="199">
        <v>3.0</v>
      </c>
      <c r="F2882" s="200">
        <v>45786.41666666667</v>
      </c>
      <c r="G2882" s="197" t="s">
        <v>845</v>
      </c>
      <c r="H2882" s="197" t="s">
        <v>869</v>
      </c>
    </row>
    <row r="2883" ht="15.75" customHeight="1">
      <c r="A2883" s="197" t="s">
        <v>76</v>
      </c>
      <c r="B2883" s="197" t="s">
        <v>21</v>
      </c>
      <c r="C2883" s="198" t="s">
        <v>440</v>
      </c>
      <c r="D2883" s="197" t="s">
        <v>441</v>
      </c>
      <c r="E2883" s="199">
        <v>4.0</v>
      </c>
      <c r="F2883" s="200">
        <v>45804.54166666667</v>
      </c>
      <c r="G2883" s="197" t="s">
        <v>845</v>
      </c>
      <c r="H2883" s="197" t="s">
        <v>869</v>
      </c>
    </row>
    <row r="2884" ht="15.75" customHeight="1">
      <c r="A2884" s="197" t="s">
        <v>76</v>
      </c>
      <c r="B2884" s="197" t="s">
        <v>21</v>
      </c>
      <c r="C2884" s="198" t="s">
        <v>440</v>
      </c>
      <c r="D2884" s="197" t="s">
        <v>441</v>
      </c>
      <c r="E2884" s="199">
        <v>5.0</v>
      </c>
      <c r="F2884" s="200">
        <v>45811.58333333333</v>
      </c>
      <c r="G2884" s="197" t="s">
        <v>845</v>
      </c>
      <c r="H2884" s="197" t="s">
        <v>869</v>
      </c>
    </row>
    <row r="2885" ht="15.75" customHeight="1">
      <c r="A2885" s="197" t="s">
        <v>76</v>
      </c>
      <c r="B2885" s="197" t="s">
        <v>21</v>
      </c>
      <c r="C2885" s="198" t="s">
        <v>440</v>
      </c>
      <c r="D2885" s="197" t="s">
        <v>441</v>
      </c>
      <c r="E2885" s="199">
        <v>6.0</v>
      </c>
      <c r="F2885" s="200">
        <v>45818.58333333333</v>
      </c>
      <c r="G2885" s="197" t="s">
        <v>845</v>
      </c>
      <c r="H2885" s="197" t="s">
        <v>869</v>
      </c>
    </row>
    <row r="2886" ht="15.75" customHeight="1">
      <c r="A2886" s="197" t="s">
        <v>76</v>
      </c>
      <c r="B2886" s="197" t="s">
        <v>21</v>
      </c>
      <c r="C2886" s="198" t="s">
        <v>440</v>
      </c>
      <c r="D2886" s="197" t="s">
        <v>441</v>
      </c>
      <c r="E2886" s="199">
        <v>7.0</v>
      </c>
      <c r="F2886" s="200">
        <v>45825.58333333333</v>
      </c>
      <c r="G2886" s="197" t="s">
        <v>845</v>
      </c>
      <c r="H2886" s="197" t="s">
        <v>869</v>
      </c>
    </row>
    <row r="2887" ht="15.75" customHeight="1">
      <c r="A2887" s="197" t="s">
        <v>76</v>
      </c>
      <c r="B2887" s="197" t="s">
        <v>21</v>
      </c>
      <c r="C2887" s="198" t="s">
        <v>440</v>
      </c>
      <c r="D2887" s="197" t="s">
        <v>441</v>
      </c>
      <c r="E2887" s="199">
        <v>8.0</v>
      </c>
      <c r="F2887" s="200">
        <v>45832.58333333333</v>
      </c>
      <c r="G2887" s="197" t="s">
        <v>845</v>
      </c>
      <c r="H2887" s="197" t="s">
        <v>869</v>
      </c>
    </row>
    <row r="2888" ht="15.75" customHeight="1">
      <c r="A2888" s="197" t="s">
        <v>76</v>
      </c>
      <c r="B2888" s="197" t="s">
        <v>21</v>
      </c>
      <c r="C2888" s="198" t="s">
        <v>440</v>
      </c>
      <c r="D2888" s="197" t="s">
        <v>441</v>
      </c>
      <c r="E2888" s="199">
        <v>9.0</v>
      </c>
      <c r="F2888" s="200">
        <v>45846.58333333333</v>
      </c>
      <c r="G2888" s="197" t="s">
        <v>845</v>
      </c>
      <c r="H2888" s="197" t="s">
        <v>869</v>
      </c>
    </row>
    <row r="2889" ht="15.75" customHeight="1">
      <c r="A2889" s="197" t="s">
        <v>76</v>
      </c>
      <c r="B2889" s="197" t="s">
        <v>21</v>
      </c>
      <c r="C2889" s="198" t="s">
        <v>440</v>
      </c>
      <c r="D2889" s="197" t="s">
        <v>441</v>
      </c>
      <c r="E2889" s="199">
        <v>10.0</v>
      </c>
      <c r="F2889" s="200">
        <v>45868.375</v>
      </c>
      <c r="G2889" s="197" t="s">
        <v>845</v>
      </c>
      <c r="H2889" s="197" t="s">
        <v>869</v>
      </c>
    </row>
    <row r="2890" ht="15.75" customHeight="1">
      <c r="A2890" s="197" t="s">
        <v>76</v>
      </c>
      <c r="B2890" s="197" t="s">
        <v>21</v>
      </c>
      <c r="C2890" s="198" t="s">
        <v>520</v>
      </c>
      <c r="D2890" s="197" t="s">
        <v>521</v>
      </c>
      <c r="E2890" s="199">
        <v>1.0</v>
      </c>
      <c r="F2890" s="200">
        <v>45763.54166666667</v>
      </c>
      <c r="G2890" s="197" t="s">
        <v>845</v>
      </c>
      <c r="H2890" s="197" t="s">
        <v>869</v>
      </c>
    </row>
    <row r="2891" ht="15.75" customHeight="1">
      <c r="A2891" s="197" t="s">
        <v>76</v>
      </c>
      <c r="B2891" s="197" t="s">
        <v>21</v>
      </c>
      <c r="C2891" s="198" t="s">
        <v>520</v>
      </c>
      <c r="D2891" s="197" t="s">
        <v>521</v>
      </c>
      <c r="E2891" s="199">
        <v>2.0</v>
      </c>
      <c r="F2891" s="200">
        <v>45769.54166666667</v>
      </c>
      <c r="G2891" s="197" t="s">
        <v>845</v>
      </c>
      <c r="H2891" s="197" t="s">
        <v>869</v>
      </c>
    </row>
    <row r="2892" ht="15.75" customHeight="1">
      <c r="A2892" s="197" t="s">
        <v>76</v>
      </c>
      <c r="B2892" s="197" t="s">
        <v>21</v>
      </c>
      <c r="C2892" s="198" t="s">
        <v>520</v>
      </c>
      <c r="D2892" s="197" t="s">
        <v>521</v>
      </c>
      <c r="E2892" s="199">
        <v>3.0</v>
      </c>
      <c r="F2892" s="200">
        <v>45786.41666666667</v>
      </c>
      <c r="G2892" s="197" t="s">
        <v>845</v>
      </c>
      <c r="H2892" s="197" t="s">
        <v>869</v>
      </c>
    </row>
    <row r="2893" ht="15.75" customHeight="1">
      <c r="A2893" s="197" t="s">
        <v>76</v>
      </c>
      <c r="B2893" s="197" t="s">
        <v>21</v>
      </c>
      <c r="C2893" s="198" t="s">
        <v>520</v>
      </c>
      <c r="D2893" s="197" t="s">
        <v>521</v>
      </c>
      <c r="E2893" s="199">
        <v>4.0</v>
      </c>
      <c r="F2893" s="200">
        <v>45804.54166666667</v>
      </c>
      <c r="G2893" s="197" t="s">
        <v>845</v>
      </c>
      <c r="H2893" s="197" t="s">
        <v>869</v>
      </c>
    </row>
    <row r="2894" ht="15.75" customHeight="1">
      <c r="A2894" s="197" t="s">
        <v>76</v>
      </c>
      <c r="B2894" s="197" t="s">
        <v>21</v>
      </c>
      <c r="C2894" s="198" t="s">
        <v>520</v>
      </c>
      <c r="D2894" s="197" t="s">
        <v>521</v>
      </c>
      <c r="E2894" s="199">
        <v>5.0</v>
      </c>
      <c r="F2894" s="200">
        <v>45811.58333333333</v>
      </c>
      <c r="G2894" s="197" t="s">
        <v>845</v>
      </c>
      <c r="H2894" s="197" t="s">
        <v>869</v>
      </c>
    </row>
    <row r="2895" ht="15.75" customHeight="1">
      <c r="A2895" s="197" t="s">
        <v>76</v>
      </c>
      <c r="B2895" s="197" t="s">
        <v>21</v>
      </c>
      <c r="C2895" s="198" t="s">
        <v>520</v>
      </c>
      <c r="D2895" s="197" t="s">
        <v>521</v>
      </c>
      <c r="E2895" s="199">
        <v>6.0</v>
      </c>
      <c r="F2895" s="200">
        <v>45818.58333333333</v>
      </c>
      <c r="G2895" s="197" t="s">
        <v>845</v>
      </c>
      <c r="H2895" s="197" t="s">
        <v>869</v>
      </c>
    </row>
    <row r="2896" ht="15.75" customHeight="1">
      <c r="A2896" s="197" t="s">
        <v>76</v>
      </c>
      <c r="B2896" s="197" t="s">
        <v>21</v>
      </c>
      <c r="C2896" s="198" t="s">
        <v>520</v>
      </c>
      <c r="D2896" s="197" t="s">
        <v>521</v>
      </c>
      <c r="E2896" s="199">
        <v>7.0</v>
      </c>
      <c r="F2896" s="200">
        <v>45825.58333333333</v>
      </c>
      <c r="G2896" s="197" t="s">
        <v>845</v>
      </c>
      <c r="H2896" s="197" t="s">
        <v>869</v>
      </c>
    </row>
    <row r="2897" ht="15.75" customHeight="1">
      <c r="A2897" s="197" t="s">
        <v>76</v>
      </c>
      <c r="B2897" s="197" t="s">
        <v>21</v>
      </c>
      <c r="C2897" s="198" t="s">
        <v>520</v>
      </c>
      <c r="D2897" s="197" t="s">
        <v>521</v>
      </c>
      <c r="E2897" s="199">
        <v>8.0</v>
      </c>
      <c r="F2897" s="200">
        <v>45832.58333333333</v>
      </c>
      <c r="G2897" s="197" t="s">
        <v>845</v>
      </c>
      <c r="H2897" s="197" t="s">
        <v>869</v>
      </c>
    </row>
    <row r="2898" ht="15.75" customHeight="1">
      <c r="A2898" s="197" t="s">
        <v>76</v>
      </c>
      <c r="B2898" s="197" t="s">
        <v>21</v>
      </c>
      <c r="C2898" s="198" t="s">
        <v>520</v>
      </c>
      <c r="D2898" s="197" t="s">
        <v>521</v>
      </c>
      <c r="E2898" s="199">
        <v>9.0</v>
      </c>
      <c r="F2898" s="200">
        <v>45846.58333333333</v>
      </c>
      <c r="G2898" s="197" t="s">
        <v>845</v>
      </c>
      <c r="H2898" s="197" t="s">
        <v>869</v>
      </c>
    </row>
    <row r="2899" ht="15.75" customHeight="1">
      <c r="A2899" s="197" t="s">
        <v>76</v>
      </c>
      <c r="B2899" s="197" t="s">
        <v>21</v>
      </c>
      <c r="C2899" s="198" t="s">
        <v>520</v>
      </c>
      <c r="D2899" s="197" t="s">
        <v>521</v>
      </c>
      <c r="E2899" s="199">
        <v>10.0</v>
      </c>
      <c r="F2899" s="200">
        <v>45868.375</v>
      </c>
      <c r="G2899" s="197" t="s">
        <v>845</v>
      </c>
      <c r="H2899" s="197" t="s">
        <v>869</v>
      </c>
    </row>
    <row r="2900" ht="15.75" customHeight="1">
      <c r="A2900" s="197" t="s">
        <v>76</v>
      </c>
      <c r="B2900" s="197" t="s">
        <v>22</v>
      </c>
      <c r="C2900" s="198" t="s">
        <v>534</v>
      </c>
      <c r="D2900" s="197" t="s">
        <v>535</v>
      </c>
      <c r="E2900" s="199">
        <v>1.0</v>
      </c>
      <c r="F2900" s="200">
        <v>45895.58333333333</v>
      </c>
      <c r="G2900" s="197" t="s">
        <v>845</v>
      </c>
      <c r="H2900" s="197" t="s">
        <v>869</v>
      </c>
    </row>
    <row r="2901" ht="15.75" customHeight="1">
      <c r="A2901" s="197" t="s">
        <v>76</v>
      </c>
      <c r="B2901" s="197" t="s">
        <v>22</v>
      </c>
      <c r="C2901" s="198" t="s">
        <v>534</v>
      </c>
      <c r="D2901" s="197" t="s">
        <v>535</v>
      </c>
      <c r="E2901" s="199">
        <v>2.0</v>
      </c>
      <c r="F2901" s="200">
        <v>45895.58333333333</v>
      </c>
      <c r="G2901" s="197" t="s">
        <v>845</v>
      </c>
      <c r="H2901" s="197" t="s">
        <v>869</v>
      </c>
    </row>
    <row r="2902" ht="15.75" customHeight="1">
      <c r="A2902" s="197" t="s">
        <v>76</v>
      </c>
      <c r="B2902" s="197" t="s">
        <v>22</v>
      </c>
      <c r="C2902" s="198" t="s">
        <v>534</v>
      </c>
      <c r="D2902" s="197" t="s">
        <v>535</v>
      </c>
      <c r="E2902" s="199">
        <v>3.0</v>
      </c>
      <c r="F2902" s="200">
        <v>45916.625</v>
      </c>
      <c r="G2902" s="197" t="s">
        <v>845</v>
      </c>
      <c r="H2902" s="197" t="s">
        <v>869</v>
      </c>
    </row>
    <row r="2903" ht="15.75" customHeight="1">
      <c r="A2903" s="197" t="s">
        <v>76</v>
      </c>
      <c r="B2903" s="197" t="s">
        <v>22</v>
      </c>
      <c r="C2903" s="198" t="s">
        <v>534</v>
      </c>
      <c r="D2903" s="197" t="s">
        <v>535</v>
      </c>
      <c r="E2903" s="199">
        <v>4.0</v>
      </c>
      <c r="F2903" s="200">
        <v>45923.625</v>
      </c>
      <c r="G2903" s="197" t="s">
        <v>845</v>
      </c>
      <c r="H2903" s="197" t="s">
        <v>869</v>
      </c>
    </row>
    <row r="2904" ht="15.75" customHeight="1">
      <c r="A2904" s="197" t="s">
        <v>76</v>
      </c>
      <c r="B2904" s="197" t="s">
        <v>22</v>
      </c>
      <c r="C2904" s="198" t="s">
        <v>534</v>
      </c>
      <c r="D2904" s="197" t="s">
        <v>535</v>
      </c>
      <c r="E2904" s="199">
        <v>5.0</v>
      </c>
      <c r="F2904" s="200">
        <v>45930.625</v>
      </c>
      <c r="G2904" s="197" t="s">
        <v>845</v>
      </c>
      <c r="H2904" s="197" t="s">
        <v>869</v>
      </c>
    </row>
    <row r="2905" ht="15.75" customHeight="1">
      <c r="A2905" s="197" t="s">
        <v>76</v>
      </c>
      <c r="B2905" s="197" t="s">
        <v>22</v>
      </c>
      <c r="C2905" s="198" t="s">
        <v>534</v>
      </c>
      <c r="D2905" s="197" t="s">
        <v>535</v>
      </c>
      <c r="E2905" s="199">
        <v>6.0</v>
      </c>
      <c r="F2905" s="200">
        <v>45964.625</v>
      </c>
      <c r="G2905" s="197" t="s">
        <v>845</v>
      </c>
      <c r="H2905" s="197" t="s">
        <v>869</v>
      </c>
    </row>
    <row r="2906" ht="15.75" customHeight="1">
      <c r="A2906" s="197" t="s">
        <v>76</v>
      </c>
      <c r="B2906" s="197" t="s">
        <v>22</v>
      </c>
      <c r="C2906" s="198" t="s">
        <v>534</v>
      </c>
      <c r="D2906" s="197" t="s">
        <v>535</v>
      </c>
      <c r="E2906" s="199">
        <v>7.0</v>
      </c>
      <c r="F2906" s="200">
        <v>45979.625</v>
      </c>
      <c r="G2906" s="197" t="s">
        <v>845</v>
      </c>
      <c r="H2906" s="197" t="s">
        <v>869</v>
      </c>
    </row>
    <row r="2907" ht="15.75" customHeight="1">
      <c r="A2907" s="197" t="s">
        <v>76</v>
      </c>
      <c r="B2907" s="197" t="s">
        <v>22</v>
      </c>
      <c r="C2907" s="198" t="s">
        <v>534</v>
      </c>
      <c r="D2907" s="197" t="s">
        <v>535</v>
      </c>
      <c r="E2907" s="199">
        <v>8.0</v>
      </c>
      <c r="F2907" s="200">
        <v>45993.58333333333</v>
      </c>
      <c r="G2907" s="197" t="s">
        <v>845</v>
      </c>
      <c r="H2907" s="197" t="s">
        <v>869</v>
      </c>
    </row>
    <row r="2908" ht="15.75" customHeight="1">
      <c r="A2908" s="197" t="s">
        <v>76</v>
      </c>
      <c r="B2908" s="197" t="s">
        <v>22</v>
      </c>
      <c r="C2908" s="198" t="s">
        <v>534</v>
      </c>
      <c r="D2908" s="197" t="s">
        <v>535</v>
      </c>
      <c r="E2908" s="199">
        <v>9.0</v>
      </c>
      <c r="F2908" s="200">
        <v>46000.58333333333</v>
      </c>
      <c r="G2908" s="197" t="s">
        <v>845</v>
      </c>
      <c r="H2908" s="197" t="s">
        <v>869</v>
      </c>
    </row>
    <row r="2909" ht="15.75" customHeight="1">
      <c r="A2909" s="197" t="s">
        <v>76</v>
      </c>
      <c r="B2909" s="197" t="s">
        <v>22</v>
      </c>
      <c r="C2909" s="198" t="s">
        <v>534</v>
      </c>
      <c r="D2909" s="197" t="s">
        <v>535</v>
      </c>
      <c r="E2909" s="199">
        <v>10.0</v>
      </c>
      <c r="F2909" s="200">
        <v>46007.58333333333</v>
      </c>
      <c r="G2909" s="197" t="s">
        <v>845</v>
      </c>
      <c r="H2909" s="197" t="s">
        <v>869</v>
      </c>
    </row>
    <row r="2910" ht="15.75" customHeight="1">
      <c r="A2910" s="197" t="s">
        <v>76</v>
      </c>
      <c r="B2910" s="197" t="s">
        <v>22</v>
      </c>
      <c r="C2910" s="198" t="s">
        <v>534</v>
      </c>
      <c r="D2910" s="197" t="s">
        <v>535</v>
      </c>
      <c r="E2910" s="199">
        <v>11.0</v>
      </c>
      <c r="F2910" s="200">
        <v>46013.58333333333</v>
      </c>
      <c r="G2910" s="197" t="s">
        <v>845</v>
      </c>
      <c r="H2910" s="197" t="s">
        <v>869</v>
      </c>
    </row>
    <row r="2911" ht="15.75" customHeight="1">
      <c r="A2911" s="197" t="s">
        <v>76</v>
      </c>
      <c r="B2911" s="197" t="s">
        <v>21</v>
      </c>
      <c r="C2911" s="198" t="s">
        <v>595</v>
      </c>
      <c r="D2911" s="197" t="s">
        <v>596</v>
      </c>
      <c r="E2911" s="199">
        <v>1.0</v>
      </c>
      <c r="F2911" s="200">
        <v>45763.54166666667</v>
      </c>
      <c r="G2911" s="197" t="s">
        <v>845</v>
      </c>
      <c r="H2911" s="197" t="s">
        <v>869</v>
      </c>
    </row>
    <row r="2912" ht="15.75" customHeight="1">
      <c r="A2912" s="197" t="s">
        <v>76</v>
      </c>
      <c r="B2912" s="197" t="s">
        <v>21</v>
      </c>
      <c r="C2912" s="198" t="s">
        <v>595</v>
      </c>
      <c r="D2912" s="197" t="s">
        <v>596</v>
      </c>
      <c r="E2912" s="199">
        <v>2.0</v>
      </c>
      <c r="F2912" s="200">
        <v>45769.54166666667</v>
      </c>
      <c r="G2912" s="197" t="s">
        <v>845</v>
      </c>
      <c r="H2912" s="197" t="s">
        <v>869</v>
      </c>
    </row>
    <row r="2913" ht="15.75" customHeight="1">
      <c r="A2913" s="197" t="s">
        <v>76</v>
      </c>
      <c r="B2913" s="197" t="s">
        <v>21</v>
      </c>
      <c r="C2913" s="198" t="s">
        <v>595</v>
      </c>
      <c r="D2913" s="197" t="s">
        <v>596</v>
      </c>
      <c r="E2913" s="199">
        <v>3.0</v>
      </c>
      <c r="F2913" s="200">
        <v>45786.41666666667</v>
      </c>
      <c r="G2913" s="197" t="s">
        <v>843</v>
      </c>
      <c r="H2913" s="197" t="s">
        <v>869</v>
      </c>
    </row>
    <row r="2914" ht="15.75" customHeight="1">
      <c r="A2914" s="197" t="s">
        <v>76</v>
      </c>
      <c r="B2914" s="197" t="s">
        <v>21</v>
      </c>
      <c r="C2914" s="198" t="s">
        <v>595</v>
      </c>
      <c r="D2914" s="197" t="s">
        <v>596</v>
      </c>
      <c r="E2914" s="199">
        <v>4.0</v>
      </c>
      <c r="F2914" s="200">
        <v>45804.54166666667</v>
      </c>
      <c r="G2914" s="197" t="s">
        <v>845</v>
      </c>
      <c r="H2914" s="197" t="s">
        <v>869</v>
      </c>
    </row>
    <row r="2915" ht="15.75" customHeight="1">
      <c r="A2915" s="197" t="s">
        <v>76</v>
      </c>
      <c r="B2915" s="197" t="s">
        <v>21</v>
      </c>
      <c r="C2915" s="198" t="s">
        <v>595</v>
      </c>
      <c r="D2915" s="197" t="s">
        <v>596</v>
      </c>
      <c r="E2915" s="199">
        <v>5.0</v>
      </c>
      <c r="F2915" s="200">
        <v>45811.58333333333</v>
      </c>
      <c r="G2915" s="197" t="s">
        <v>845</v>
      </c>
      <c r="H2915" s="197" t="s">
        <v>869</v>
      </c>
    </row>
    <row r="2916" ht="15.75" customHeight="1">
      <c r="A2916" s="197" t="s">
        <v>76</v>
      </c>
      <c r="B2916" s="197" t="s">
        <v>21</v>
      </c>
      <c r="C2916" s="198" t="s">
        <v>595</v>
      </c>
      <c r="D2916" s="197" t="s">
        <v>596</v>
      </c>
      <c r="E2916" s="199">
        <v>6.0</v>
      </c>
      <c r="F2916" s="200">
        <v>45818.58333333333</v>
      </c>
      <c r="G2916" s="197" t="s">
        <v>845</v>
      </c>
      <c r="H2916" s="197" t="s">
        <v>869</v>
      </c>
    </row>
    <row r="2917" ht="15.75" customHeight="1">
      <c r="A2917" s="197" t="s">
        <v>76</v>
      </c>
      <c r="B2917" s="197" t="s">
        <v>21</v>
      </c>
      <c r="C2917" s="198" t="s">
        <v>595</v>
      </c>
      <c r="D2917" s="197" t="s">
        <v>596</v>
      </c>
      <c r="E2917" s="199">
        <v>7.0</v>
      </c>
      <c r="F2917" s="200">
        <v>45825.58333333333</v>
      </c>
      <c r="G2917" s="197" t="s">
        <v>845</v>
      </c>
      <c r="H2917" s="197" t="s">
        <v>869</v>
      </c>
    </row>
    <row r="2918" ht="15.75" customHeight="1">
      <c r="A2918" s="197" t="s">
        <v>76</v>
      </c>
      <c r="B2918" s="197" t="s">
        <v>21</v>
      </c>
      <c r="C2918" s="198" t="s">
        <v>595</v>
      </c>
      <c r="D2918" s="197" t="s">
        <v>596</v>
      </c>
      <c r="E2918" s="199">
        <v>8.0</v>
      </c>
      <c r="F2918" s="200">
        <v>45832.58333333333</v>
      </c>
      <c r="G2918" s="197" t="s">
        <v>845</v>
      </c>
      <c r="H2918" s="197" t="s">
        <v>869</v>
      </c>
    </row>
    <row r="2919" ht="15.75" customHeight="1">
      <c r="A2919" s="197" t="s">
        <v>76</v>
      </c>
      <c r="B2919" s="197" t="s">
        <v>21</v>
      </c>
      <c r="C2919" s="198" t="s">
        <v>595</v>
      </c>
      <c r="D2919" s="197" t="s">
        <v>596</v>
      </c>
      <c r="E2919" s="199">
        <v>9.0</v>
      </c>
      <c r="F2919" s="200">
        <v>45846.58333333333</v>
      </c>
      <c r="G2919" s="197" t="s">
        <v>843</v>
      </c>
      <c r="H2919" s="197" t="s">
        <v>869</v>
      </c>
    </row>
    <row r="2920" ht="15.75" customHeight="1">
      <c r="A2920" s="197" t="s">
        <v>76</v>
      </c>
      <c r="B2920" s="197" t="s">
        <v>21</v>
      </c>
      <c r="C2920" s="198" t="s">
        <v>595</v>
      </c>
      <c r="D2920" s="197" t="s">
        <v>596</v>
      </c>
      <c r="E2920" s="199">
        <v>10.0</v>
      </c>
      <c r="F2920" s="200">
        <v>45868.375</v>
      </c>
      <c r="G2920" s="197" t="s">
        <v>845</v>
      </c>
      <c r="H2920" s="197" t="s">
        <v>869</v>
      </c>
    </row>
    <row r="2921" ht="15.75" customHeight="1">
      <c r="A2921" s="197" t="s">
        <v>76</v>
      </c>
      <c r="B2921" s="197" t="s">
        <v>22</v>
      </c>
      <c r="C2921" s="198" t="s">
        <v>595</v>
      </c>
      <c r="D2921" s="197" t="s">
        <v>596</v>
      </c>
      <c r="E2921" s="199">
        <v>1.0</v>
      </c>
      <c r="F2921" s="200">
        <v>45895.58333333333</v>
      </c>
      <c r="G2921" s="197" t="s">
        <v>845</v>
      </c>
      <c r="H2921" s="197" t="s">
        <v>869</v>
      </c>
    </row>
    <row r="2922" ht="15.75" customHeight="1">
      <c r="A2922" s="197" t="s">
        <v>76</v>
      </c>
      <c r="B2922" s="197" t="s">
        <v>22</v>
      </c>
      <c r="C2922" s="198" t="s">
        <v>595</v>
      </c>
      <c r="D2922" s="197" t="s">
        <v>596</v>
      </c>
      <c r="E2922" s="199">
        <v>2.0</v>
      </c>
      <c r="F2922" s="200">
        <v>45895.58333333333</v>
      </c>
      <c r="G2922" s="197" t="s">
        <v>845</v>
      </c>
      <c r="H2922" s="197" t="s">
        <v>869</v>
      </c>
    </row>
    <row r="2923" ht="15.75" customHeight="1">
      <c r="A2923" s="197" t="s">
        <v>76</v>
      </c>
      <c r="B2923" s="197" t="s">
        <v>22</v>
      </c>
      <c r="C2923" s="198" t="s">
        <v>595</v>
      </c>
      <c r="D2923" s="197" t="s">
        <v>596</v>
      </c>
      <c r="E2923" s="199">
        <v>3.0</v>
      </c>
      <c r="F2923" s="200">
        <v>45916.625</v>
      </c>
      <c r="G2923" s="197" t="s">
        <v>845</v>
      </c>
      <c r="H2923" s="197" t="s">
        <v>869</v>
      </c>
    </row>
    <row r="2924" ht="15.75" customHeight="1">
      <c r="A2924" s="197" t="s">
        <v>76</v>
      </c>
      <c r="B2924" s="197" t="s">
        <v>22</v>
      </c>
      <c r="C2924" s="198" t="s">
        <v>595</v>
      </c>
      <c r="D2924" s="197" t="s">
        <v>596</v>
      </c>
      <c r="E2924" s="199">
        <v>4.0</v>
      </c>
      <c r="F2924" s="200">
        <v>45923.625</v>
      </c>
      <c r="G2924" s="197" t="s">
        <v>845</v>
      </c>
      <c r="H2924" s="197" t="s">
        <v>869</v>
      </c>
    </row>
    <row r="2925" ht="15.75" customHeight="1">
      <c r="A2925" s="197" t="s">
        <v>76</v>
      </c>
      <c r="B2925" s="197" t="s">
        <v>22</v>
      </c>
      <c r="C2925" s="198" t="s">
        <v>595</v>
      </c>
      <c r="D2925" s="197" t="s">
        <v>596</v>
      </c>
      <c r="E2925" s="199">
        <v>5.0</v>
      </c>
      <c r="F2925" s="200">
        <v>45930.625</v>
      </c>
      <c r="G2925" s="197" t="s">
        <v>845</v>
      </c>
      <c r="H2925" s="197" t="s">
        <v>869</v>
      </c>
    </row>
    <row r="2926" ht="15.75" customHeight="1">
      <c r="A2926" s="197" t="s">
        <v>76</v>
      </c>
      <c r="B2926" s="197" t="s">
        <v>22</v>
      </c>
      <c r="C2926" s="198" t="s">
        <v>595</v>
      </c>
      <c r="D2926" s="197" t="s">
        <v>596</v>
      </c>
      <c r="E2926" s="199">
        <v>6.0</v>
      </c>
      <c r="F2926" s="200">
        <v>45964.625</v>
      </c>
      <c r="G2926" s="197" t="s">
        <v>843</v>
      </c>
      <c r="H2926" s="197" t="s">
        <v>869</v>
      </c>
    </row>
    <row r="2927" ht="15.75" customHeight="1">
      <c r="A2927" s="197" t="s">
        <v>76</v>
      </c>
      <c r="B2927" s="197" t="s">
        <v>22</v>
      </c>
      <c r="C2927" s="198" t="s">
        <v>595</v>
      </c>
      <c r="D2927" s="197" t="s">
        <v>596</v>
      </c>
      <c r="E2927" s="199">
        <v>7.0</v>
      </c>
      <c r="F2927" s="200">
        <v>45979.625</v>
      </c>
      <c r="G2927" s="197" t="s">
        <v>845</v>
      </c>
      <c r="H2927" s="197" t="s">
        <v>869</v>
      </c>
    </row>
    <row r="2928" ht="15.75" customHeight="1">
      <c r="A2928" s="197" t="s">
        <v>76</v>
      </c>
      <c r="B2928" s="197" t="s">
        <v>22</v>
      </c>
      <c r="C2928" s="198" t="s">
        <v>595</v>
      </c>
      <c r="D2928" s="197" t="s">
        <v>596</v>
      </c>
      <c r="E2928" s="199">
        <v>8.0</v>
      </c>
      <c r="F2928" s="200">
        <v>45993.58333333333</v>
      </c>
      <c r="G2928" s="197" t="s">
        <v>845</v>
      </c>
      <c r="H2928" s="197" t="s">
        <v>869</v>
      </c>
    </row>
    <row r="2929" ht="15.75" customHeight="1">
      <c r="A2929" s="197" t="s">
        <v>76</v>
      </c>
      <c r="B2929" s="197" t="s">
        <v>22</v>
      </c>
      <c r="C2929" s="198" t="s">
        <v>595</v>
      </c>
      <c r="D2929" s="197" t="s">
        <v>596</v>
      </c>
      <c r="E2929" s="199">
        <v>9.0</v>
      </c>
      <c r="F2929" s="200">
        <v>46000.58333333333</v>
      </c>
      <c r="G2929" s="197" t="s">
        <v>845</v>
      </c>
      <c r="H2929" s="197" t="s">
        <v>869</v>
      </c>
    </row>
    <row r="2930" ht="15.75" customHeight="1">
      <c r="A2930" s="197" t="s">
        <v>76</v>
      </c>
      <c r="B2930" s="197" t="s">
        <v>22</v>
      </c>
      <c r="C2930" s="198" t="s">
        <v>595</v>
      </c>
      <c r="D2930" s="197" t="s">
        <v>596</v>
      </c>
      <c r="E2930" s="199">
        <v>10.0</v>
      </c>
      <c r="F2930" s="200">
        <v>46007.58333333333</v>
      </c>
      <c r="G2930" s="197" t="s">
        <v>845</v>
      </c>
      <c r="H2930" s="197" t="s">
        <v>869</v>
      </c>
    </row>
    <row r="2931" ht="15.75" customHeight="1">
      <c r="A2931" s="197" t="s">
        <v>76</v>
      </c>
      <c r="B2931" s="197" t="s">
        <v>22</v>
      </c>
      <c r="C2931" s="198" t="s">
        <v>595</v>
      </c>
      <c r="D2931" s="197" t="s">
        <v>596</v>
      </c>
      <c r="E2931" s="199">
        <v>11.0</v>
      </c>
      <c r="F2931" s="200">
        <v>46013.58333333333</v>
      </c>
      <c r="G2931" s="197" t="s">
        <v>845</v>
      </c>
      <c r="H2931" s="197" t="s">
        <v>869</v>
      </c>
    </row>
    <row r="2932" ht="15.75" customHeight="1">
      <c r="A2932" s="197" t="s">
        <v>76</v>
      </c>
      <c r="B2932" s="197" t="s">
        <v>21</v>
      </c>
      <c r="C2932" s="198" t="s">
        <v>615</v>
      </c>
      <c r="D2932" s="197" t="s">
        <v>616</v>
      </c>
      <c r="E2932" s="199">
        <v>1.0</v>
      </c>
      <c r="F2932" s="200">
        <v>45763.54166666667</v>
      </c>
      <c r="G2932" s="197" t="s">
        <v>845</v>
      </c>
      <c r="H2932" s="197" t="s">
        <v>869</v>
      </c>
    </row>
    <row r="2933" ht="15.75" customHeight="1">
      <c r="A2933" s="197" t="s">
        <v>76</v>
      </c>
      <c r="B2933" s="197" t="s">
        <v>21</v>
      </c>
      <c r="C2933" s="198" t="s">
        <v>615</v>
      </c>
      <c r="D2933" s="197" t="s">
        <v>616</v>
      </c>
      <c r="E2933" s="199">
        <v>2.0</v>
      </c>
      <c r="F2933" s="200">
        <v>45769.54166666667</v>
      </c>
      <c r="G2933" s="197" t="s">
        <v>845</v>
      </c>
      <c r="H2933" s="197" t="s">
        <v>869</v>
      </c>
    </row>
    <row r="2934" ht="15.75" customHeight="1">
      <c r="A2934" s="197" t="s">
        <v>76</v>
      </c>
      <c r="B2934" s="197" t="s">
        <v>21</v>
      </c>
      <c r="C2934" s="198" t="s">
        <v>615</v>
      </c>
      <c r="D2934" s="197" t="s">
        <v>616</v>
      </c>
      <c r="E2934" s="199">
        <v>3.0</v>
      </c>
      <c r="F2934" s="200">
        <v>45786.41666666667</v>
      </c>
      <c r="G2934" s="197" t="s">
        <v>845</v>
      </c>
      <c r="H2934" s="197" t="s">
        <v>869</v>
      </c>
    </row>
    <row r="2935" ht="15.75" customHeight="1">
      <c r="A2935" s="197" t="s">
        <v>76</v>
      </c>
      <c r="B2935" s="197" t="s">
        <v>21</v>
      </c>
      <c r="C2935" s="198" t="s">
        <v>615</v>
      </c>
      <c r="D2935" s="197" t="s">
        <v>616</v>
      </c>
      <c r="E2935" s="199">
        <v>4.0</v>
      </c>
      <c r="F2935" s="200">
        <v>45804.54166666667</v>
      </c>
      <c r="G2935" s="197" t="s">
        <v>845</v>
      </c>
      <c r="H2935" s="197" t="s">
        <v>869</v>
      </c>
    </row>
    <row r="2936" ht="15.75" customHeight="1">
      <c r="A2936" s="197" t="s">
        <v>76</v>
      </c>
      <c r="B2936" s="197" t="s">
        <v>21</v>
      </c>
      <c r="C2936" s="198" t="s">
        <v>615</v>
      </c>
      <c r="D2936" s="197" t="s">
        <v>616</v>
      </c>
      <c r="E2936" s="199">
        <v>5.0</v>
      </c>
      <c r="F2936" s="200">
        <v>45811.58333333333</v>
      </c>
      <c r="G2936" s="197" t="s">
        <v>845</v>
      </c>
      <c r="H2936" s="197" t="s">
        <v>869</v>
      </c>
    </row>
    <row r="2937" ht="15.75" customHeight="1">
      <c r="A2937" s="197" t="s">
        <v>76</v>
      </c>
      <c r="B2937" s="197" t="s">
        <v>21</v>
      </c>
      <c r="C2937" s="198" t="s">
        <v>615</v>
      </c>
      <c r="D2937" s="197" t="s">
        <v>616</v>
      </c>
      <c r="E2937" s="199">
        <v>6.0</v>
      </c>
      <c r="F2937" s="200">
        <v>45818.58333333333</v>
      </c>
      <c r="G2937" s="197" t="s">
        <v>845</v>
      </c>
      <c r="H2937" s="197" t="s">
        <v>869</v>
      </c>
    </row>
    <row r="2938" ht="15.75" customHeight="1">
      <c r="A2938" s="197" t="s">
        <v>76</v>
      </c>
      <c r="B2938" s="197" t="s">
        <v>21</v>
      </c>
      <c r="C2938" s="198" t="s">
        <v>615</v>
      </c>
      <c r="D2938" s="197" t="s">
        <v>616</v>
      </c>
      <c r="E2938" s="199">
        <v>7.0</v>
      </c>
      <c r="F2938" s="200">
        <v>45825.58333333333</v>
      </c>
      <c r="G2938" s="197" t="s">
        <v>845</v>
      </c>
      <c r="H2938" s="197" t="s">
        <v>869</v>
      </c>
    </row>
    <row r="2939" ht="15.75" customHeight="1">
      <c r="A2939" s="197" t="s">
        <v>76</v>
      </c>
      <c r="B2939" s="197" t="s">
        <v>21</v>
      </c>
      <c r="C2939" s="198" t="s">
        <v>615</v>
      </c>
      <c r="D2939" s="197" t="s">
        <v>616</v>
      </c>
      <c r="E2939" s="199">
        <v>8.0</v>
      </c>
      <c r="F2939" s="200">
        <v>45832.58333333333</v>
      </c>
      <c r="G2939" s="197" t="s">
        <v>843</v>
      </c>
      <c r="H2939" s="197" t="s">
        <v>869</v>
      </c>
    </row>
    <row r="2940" ht="15.75" customHeight="1">
      <c r="A2940" s="197" t="s">
        <v>76</v>
      </c>
      <c r="B2940" s="197" t="s">
        <v>21</v>
      </c>
      <c r="C2940" s="198" t="s">
        <v>615</v>
      </c>
      <c r="D2940" s="197" t="s">
        <v>616</v>
      </c>
      <c r="E2940" s="199">
        <v>9.0</v>
      </c>
      <c r="F2940" s="200">
        <v>45846.58333333333</v>
      </c>
      <c r="G2940" s="197" t="s">
        <v>845</v>
      </c>
      <c r="H2940" s="197" t="s">
        <v>869</v>
      </c>
    </row>
    <row r="2941" ht="15.75" customHeight="1">
      <c r="A2941" s="197" t="s">
        <v>76</v>
      </c>
      <c r="B2941" s="197" t="s">
        <v>21</v>
      </c>
      <c r="C2941" s="198" t="s">
        <v>615</v>
      </c>
      <c r="D2941" s="197" t="s">
        <v>616</v>
      </c>
      <c r="E2941" s="199">
        <v>10.0</v>
      </c>
      <c r="F2941" s="200">
        <v>45868.375</v>
      </c>
      <c r="G2941" s="197" t="s">
        <v>845</v>
      </c>
      <c r="H2941" s="197" t="s">
        <v>869</v>
      </c>
    </row>
    <row r="2942" ht="15.75" customHeight="1">
      <c r="A2942" s="197" t="s">
        <v>76</v>
      </c>
      <c r="B2942" s="197" t="s">
        <v>22</v>
      </c>
      <c r="C2942" s="198" t="s">
        <v>615</v>
      </c>
      <c r="D2942" s="197" t="s">
        <v>616</v>
      </c>
      <c r="E2942" s="199">
        <v>1.0</v>
      </c>
      <c r="F2942" s="200">
        <v>45895.58333333333</v>
      </c>
      <c r="G2942" s="197" t="s">
        <v>845</v>
      </c>
      <c r="H2942" s="197" t="s">
        <v>869</v>
      </c>
    </row>
    <row r="2943" ht="15.75" customHeight="1">
      <c r="A2943" s="197" t="s">
        <v>76</v>
      </c>
      <c r="B2943" s="197" t="s">
        <v>22</v>
      </c>
      <c r="C2943" s="198" t="s">
        <v>615</v>
      </c>
      <c r="D2943" s="197" t="s">
        <v>616</v>
      </c>
      <c r="E2943" s="199">
        <v>2.0</v>
      </c>
      <c r="F2943" s="200">
        <v>45895.58333333333</v>
      </c>
      <c r="G2943" s="197" t="s">
        <v>845</v>
      </c>
      <c r="H2943" s="197" t="s">
        <v>869</v>
      </c>
    </row>
    <row r="2944" ht="15.75" customHeight="1">
      <c r="A2944" s="197" t="s">
        <v>76</v>
      </c>
      <c r="B2944" s="197" t="s">
        <v>22</v>
      </c>
      <c r="C2944" s="198" t="s">
        <v>615</v>
      </c>
      <c r="D2944" s="197" t="s">
        <v>616</v>
      </c>
      <c r="E2944" s="199">
        <v>3.0</v>
      </c>
      <c r="F2944" s="200">
        <v>45916.625</v>
      </c>
      <c r="G2944" s="197" t="s">
        <v>845</v>
      </c>
      <c r="H2944" s="197" t="s">
        <v>869</v>
      </c>
    </row>
    <row r="2945" ht="15.75" customHeight="1">
      <c r="A2945" s="197" t="s">
        <v>76</v>
      </c>
      <c r="B2945" s="197" t="s">
        <v>22</v>
      </c>
      <c r="C2945" s="198" t="s">
        <v>615</v>
      </c>
      <c r="D2945" s="197" t="s">
        <v>616</v>
      </c>
      <c r="E2945" s="199">
        <v>4.0</v>
      </c>
      <c r="F2945" s="200">
        <v>45923.625</v>
      </c>
      <c r="G2945" s="197" t="s">
        <v>845</v>
      </c>
      <c r="H2945" s="197" t="s">
        <v>869</v>
      </c>
    </row>
    <row r="2946" ht="15.75" customHeight="1">
      <c r="A2946" s="197" t="s">
        <v>76</v>
      </c>
      <c r="B2946" s="197" t="s">
        <v>22</v>
      </c>
      <c r="C2946" s="198" t="s">
        <v>615</v>
      </c>
      <c r="D2946" s="197" t="s">
        <v>616</v>
      </c>
      <c r="E2946" s="199">
        <v>5.0</v>
      </c>
      <c r="F2946" s="200">
        <v>45930.625</v>
      </c>
      <c r="G2946" s="197" t="s">
        <v>845</v>
      </c>
      <c r="H2946" s="197" t="s">
        <v>869</v>
      </c>
    </row>
    <row r="2947" ht="15.75" customHeight="1">
      <c r="A2947" s="197" t="s">
        <v>76</v>
      </c>
      <c r="B2947" s="197" t="s">
        <v>22</v>
      </c>
      <c r="C2947" s="198" t="s">
        <v>615</v>
      </c>
      <c r="D2947" s="197" t="s">
        <v>616</v>
      </c>
      <c r="E2947" s="199">
        <v>6.0</v>
      </c>
      <c r="F2947" s="200">
        <v>45964.625</v>
      </c>
      <c r="G2947" s="197" t="s">
        <v>845</v>
      </c>
      <c r="H2947" s="197" t="s">
        <v>869</v>
      </c>
    </row>
    <row r="2948" ht="15.75" customHeight="1">
      <c r="A2948" s="197" t="s">
        <v>76</v>
      </c>
      <c r="B2948" s="197" t="s">
        <v>22</v>
      </c>
      <c r="C2948" s="198" t="s">
        <v>615</v>
      </c>
      <c r="D2948" s="197" t="s">
        <v>616</v>
      </c>
      <c r="E2948" s="199">
        <v>7.0</v>
      </c>
      <c r="F2948" s="200">
        <v>45979.625</v>
      </c>
      <c r="G2948" s="197" t="s">
        <v>845</v>
      </c>
      <c r="H2948" s="197" t="s">
        <v>869</v>
      </c>
    </row>
    <row r="2949" ht="15.75" customHeight="1">
      <c r="A2949" s="197" t="s">
        <v>76</v>
      </c>
      <c r="B2949" s="197" t="s">
        <v>22</v>
      </c>
      <c r="C2949" s="198" t="s">
        <v>615</v>
      </c>
      <c r="D2949" s="197" t="s">
        <v>616</v>
      </c>
      <c r="E2949" s="199">
        <v>8.0</v>
      </c>
      <c r="F2949" s="200">
        <v>45993.58333333333</v>
      </c>
      <c r="G2949" s="197" t="s">
        <v>845</v>
      </c>
      <c r="H2949" s="197" t="s">
        <v>869</v>
      </c>
    </row>
    <row r="2950" ht="15.75" customHeight="1">
      <c r="A2950" s="197" t="s">
        <v>76</v>
      </c>
      <c r="B2950" s="197" t="s">
        <v>22</v>
      </c>
      <c r="C2950" s="198" t="s">
        <v>615</v>
      </c>
      <c r="D2950" s="197" t="s">
        <v>616</v>
      </c>
      <c r="E2950" s="199">
        <v>9.0</v>
      </c>
      <c r="F2950" s="200">
        <v>46000.58333333333</v>
      </c>
      <c r="G2950" s="197" t="s">
        <v>845</v>
      </c>
      <c r="H2950" s="197" t="s">
        <v>869</v>
      </c>
    </row>
    <row r="2951" ht="15.75" customHeight="1">
      <c r="A2951" s="197" t="s">
        <v>76</v>
      </c>
      <c r="B2951" s="197" t="s">
        <v>22</v>
      </c>
      <c r="C2951" s="198" t="s">
        <v>615</v>
      </c>
      <c r="D2951" s="197" t="s">
        <v>616</v>
      </c>
      <c r="E2951" s="199">
        <v>10.0</v>
      </c>
      <c r="F2951" s="200">
        <v>46007.58333333333</v>
      </c>
      <c r="G2951" s="197" t="s">
        <v>843</v>
      </c>
      <c r="H2951" s="197" t="s">
        <v>869</v>
      </c>
    </row>
    <row r="2952" ht="15.75" customHeight="1">
      <c r="A2952" s="197" t="s">
        <v>76</v>
      </c>
      <c r="B2952" s="197" t="s">
        <v>22</v>
      </c>
      <c r="C2952" s="198" t="s">
        <v>615</v>
      </c>
      <c r="D2952" s="197" t="s">
        <v>616</v>
      </c>
      <c r="E2952" s="199">
        <v>11.0</v>
      </c>
      <c r="F2952" s="200">
        <v>46013.58333333333</v>
      </c>
      <c r="G2952" s="197" t="s">
        <v>845</v>
      </c>
      <c r="H2952" s="197" t="s">
        <v>869</v>
      </c>
    </row>
    <row r="2953" ht="15.75" customHeight="1">
      <c r="A2953" s="197" t="s">
        <v>76</v>
      </c>
      <c r="B2953" s="197" t="s">
        <v>21</v>
      </c>
      <c r="C2953" s="198" t="s">
        <v>651</v>
      </c>
      <c r="D2953" s="197" t="s">
        <v>652</v>
      </c>
      <c r="E2953" s="199">
        <v>1.0</v>
      </c>
      <c r="F2953" s="200">
        <v>45763.54166666667</v>
      </c>
      <c r="G2953" s="197" t="s">
        <v>845</v>
      </c>
      <c r="H2953" s="197" t="s">
        <v>869</v>
      </c>
    </row>
    <row r="2954" ht="15.75" customHeight="1">
      <c r="A2954" s="197" t="s">
        <v>76</v>
      </c>
      <c r="B2954" s="197" t="s">
        <v>21</v>
      </c>
      <c r="C2954" s="198" t="s">
        <v>651</v>
      </c>
      <c r="D2954" s="197" t="s">
        <v>652</v>
      </c>
      <c r="E2954" s="199">
        <v>2.0</v>
      </c>
      <c r="F2954" s="200">
        <v>45769.54166666667</v>
      </c>
      <c r="G2954" s="197" t="s">
        <v>845</v>
      </c>
      <c r="H2954" s="197" t="s">
        <v>869</v>
      </c>
    </row>
    <row r="2955" ht="15.75" customHeight="1">
      <c r="A2955" s="197" t="s">
        <v>76</v>
      </c>
      <c r="B2955" s="197" t="s">
        <v>21</v>
      </c>
      <c r="C2955" s="198" t="s">
        <v>651</v>
      </c>
      <c r="D2955" s="197" t="s">
        <v>652</v>
      </c>
      <c r="E2955" s="199">
        <v>3.0</v>
      </c>
      <c r="F2955" s="200">
        <v>45786.41666666667</v>
      </c>
      <c r="G2955" s="197" t="s">
        <v>845</v>
      </c>
      <c r="H2955" s="197" t="s">
        <v>869</v>
      </c>
    </row>
    <row r="2956" ht="15.75" customHeight="1">
      <c r="A2956" s="197" t="s">
        <v>76</v>
      </c>
      <c r="B2956" s="197" t="s">
        <v>21</v>
      </c>
      <c r="C2956" s="198" t="s">
        <v>651</v>
      </c>
      <c r="D2956" s="197" t="s">
        <v>652</v>
      </c>
      <c r="E2956" s="199">
        <v>4.0</v>
      </c>
      <c r="F2956" s="200">
        <v>45804.54166666667</v>
      </c>
      <c r="G2956" s="197" t="s">
        <v>845</v>
      </c>
      <c r="H2956" s="197" t="s">
        <v>869</v>
      </c>
    </row>
    <row r="2957" ht="15.75" customHeight="1">
      <c r="A2957" s="197" t="s">
        <v>76</v>
      </c>
      <c r="B2957" s="197" t="s">
        <v>21</v>
      </c>
      <c r="C2957" s="198" t="s">
        <v>651</v>
      </c>
      <c r="D2957" s="197" t="s">
        <v>652</v>
      </c>
      <c r="E2957" s="199">
        <v>5.0</v>
      </c>
      <c r="F2957" s="200">
        <v>45811.58333333333</v>
      </c>
      <c r="G2957" s="197" t="s">
        <v>845</v>
      </c>
      <c r="H2957" s="197" t="s">
        <v>869</v>
      </c>
    </row>
    <row r="2958" ht="15.75" customHeight="1">
      <c r="A2958" s="197" t="s">
        <v>76</v>
      </c>
      <c r="B2958" s="197" t="s">
        <v>21</v>
      </c>
      <c r="C2958" s="198" t="s">
        <v>651</v>
      </c>
      <c r="D2958" s="197" t="s">
        <v>652</v>
      </c>
      <c r="E2958" s="199">
        <v>6.0</v>
      </c>
      <c r="F2958" s="200">
        <v>45818.58333333333</v>
      </c>
      <c r="G2958" s="197" t="s">
        <v>845</v>
      </c>
      <c r="H2958" s="197" t="s">
        <v>869</v>
      </c>
    </row>
    <row r="2959" ht="15.75" customHeight="1">
      <c r="A2959" s="197" t="s">
        <v>76</v>
      </c>
      <c r="B2959" s="197" t="s">
        <v>21</v>
      </c>
      <c r="C2959" s="198" t="s">
        <v>651</v>
      </c>
      <c r="D2959" s="197" t="s">
        <v>652</v>
      </c>
      <c r="E2959" s="199">
        <v>7.0</v>
      </c>
      <c r="F2959" s="200">
        <v>45825.58333333333</v>
      </c>
      <c r="G2959" s="197" t="s">
        <v>845</v>
      </c>
      <c r="H2959" s="197" t="s">
        <v>869</v>
      </c>
    </row>
    <row r="2960" ht="15.75" customHeight="1">
      <c r="A2960" s="197" t="s">
        <v>76</v>
      </c>
      <c r="B2960" s="197" t="s">
        <v>21</v>
      </c>
      <c r="C2960" s="198" t="s">
        <v>651</v>
      </c>
      <c r="D2960" s="197" t="s">
        <v>652</v>
      </c>
      <c r="E2960" s="199">
        <v>8.0</v>
      </c>
      <c r="F2960" s="200">
        <v>45832.58333333333</v>
      </c>
      <c r="G2960" s="197" t="s">
        <v>845</v>
      </c>
      <c r="H2960" s="197" t="s">
        <v>869</v>
      </c>
    </row>
    <row r="2961" ht="15.75" customHeight="1">
      <c r="A2961" s="197" t="s">
        <v>76</v>
      </c>
      <c r="B2961" s="197" t="s">
        <v>21</v>
      </c>
      <c r="C2961" s="198" t="s">
        <v>651</v>
      </c>
      <c r="D2961" s="197" t="s">
        <v>652</v>
      </c>
      <c r="E2961" s="199">
        <v>9.0</v>
      </c>
      <c r="F2961" s="200">
        <v>45846.58333333333</v>
      </c>
      <c r="G2961" s="197" t="s">
        <v>845</v>
      </c>
      <c r="H2961" s="197" t="s">
        <v>869</v>
      </c>
    </row>
    <row r="2962" ht="15.75" customHeight="1">
      <c r="A2962" s="197" t="s">
        <v>76</v>
      </c>
      <c r="B2962" s="197" t="s">
        <v>21</v>
      </c>
      <c r="C2962" s="198" t="s">
        <v>651</v>
      </c>
      <c r="D2962" s="197" t="s">
        <v>652</v>
      </c>
      <c r="E2962" s="199">
        <v>10.0</v>
      </c>
      <c r="F2962" s="200">
        <v>45868.375</v>
      </c>
      <c r="G2962" s="197" t="s">
        <v>845</v>
      </c>
      <c r="H2962" s="197" t="s">
        <v>869</v>
      </c>
    </row>
    <row r="2963" ht="15.75" customHeight="1">
      <c r="A2963" s="197" t="s">
        <v>76</v>
      </c>
      <c r="B2963" s="197" t="s">
        <v>22</v>
      </c>
      <c r="C2963" s="198" t="s">
        <v>651</v>
      </c>
      <c r="D2963" s="197" t="s">
        <v>652</v>
      </c>
      <c r="E2963" s="199">
        <v>1.0</v>
      </c>
      <c r="F2963" s="200">
        <v>45895.58333333333</v>
      </c>
      <c r="G2963" s="197" t="s">
        <v>845</v>
      </c>
      <c r="H2963" s="197" t="s">
        <v>869</v>
      </c>
    </row>
    <row r="2964" ht="15.75" customHeight="1">
      <c r="A2964" s="197" t="s">
        <v>76</v>
      </c>
      <c r="B2964" s="197" t="s">
        <v>22</v>
      </c>
      <c r="C2964" s="198" t="s">
        <v>651</v>
      </c>
      <c r="D2964" s="197" t="s">
        <v>652</v>
      </c>
      <c r="E2964" s="199">
        <v>2.0</v>
      </c>
      <c r="F2964" s="200">
        <v>45895.58333333333</v>
      </c>
      <c r="G2964" s="197" t="s">
        <v>845</v>
      </c>
      <c r="H2964" s="197" t="s">
        <v>869</v>
      </c>
    </row>
    <row r="2965" ht="15.75" customHeight="1">
      <c r="A2965" s="197" t="s">
        <v>76</v>
      </c>
      <c r="B2965" s="197" t="s">
        <v>22</v>
      </c>
      <c r="C2965" s="198" t="s">
        <v>651</v>
      </c>
      <c r="D2965" s="197" t="s">
        <v>652</v>
      </c>
      <c r="E2965" s="199">
        <v>3.0</v>
      </c>
      <c r="F2965" s="200">
        <v>45916.625</v>
      </c>
      <c r="G2965" s="197" t="s">
        <v>845</v>
      </c>
      <c r="H2965" s="197" t="s">
        <v>869</v>
      </c>
    </row>
    <row r="2966" ht="15.75" customHeight="1">
      <c r="A2966" s="197" t="s">
        <v>76</v>
      </c>
      <c r="B2966" s="197" t="s">
        <v>22</v>
      </c>
      <c r="C2966" s="198" t="s">
        <v>651</v>
      </c>
      <c r="D2966" s="197" t="s">
        <v>652</v>
      </c>
      <c r="E2966" s="199">
        <v>4.0</v>
      </c>
      <c r="F2966" s="200">
        <v>45953.625</v>
      </c>
      <c r="G2966" s="197" t="s">
        <v>845</v>
      </c>
      <c r="H2966" s="197" t="s">
        <v>869</v>
      </c>
    </row>
    <row r="2967" ht="15.75" customHeight="1">
      <c r="A2967" s="197" t="s">
        <v>76</v>
      </c>
      <c r="B2967" s="197" t="s">
        <v>22</v>
      </c>
      <c r="C2967" s="198" t="s">
        <v>651</v>
      </c>
      <c r="D2967" s="197" t="s">
        <v>652</v>
      </c>
      <c r="E2967" s="199">
        <v>5.0</v>
      </c>
      <c r="F2967" s="200">
        <v>45930.625</v>
      </c>
      <c r="G2967" s="197" t="s">
        <v>843</v>
      </c>
      <c r="H2967" s="197" t="s">
        <v>869</v>
      </c>
    </row>
    <row r="2968" ht="15.75" customHeight="1">
      <c r="A2968" s="197" t="s">
        <v>76</v>
      </c>
      <c r="B2968" s="197" t="s">
        <v>22</v>
      </c>
      <c r="C2968" s="198" t="s">
        <v>651</v>
      </c>
      <c r="D2968" s="197" t="s">
        <v>652</v>
      </c>
      <c r="E2968" s="199">
        <v>6.0</v>
      </c>
      <c r="F2968" s="200">
        <v>45964.625</v>
      </c>
      <c r="G2968" s="197" t="s">
        <v>845</v>
      </c>
      <c r="H2968" s="197" t="s">
        <v>869</v>
      </c>
    </row>
    <row r="2969" ht="15.75" customHeight="1">
      <c r="A2969" s="197" t="s">
        <v>76</v>
      </c>
      <c r="B2969" s="197" t="s">
        <v>22</v>
      </c>
      <c r="C2969" s="198" t="s">
        <v>651</v>
      </c>
      <c r="D2969" s="197" t="s">
        <v>652</v>
      </c>
      <c r="E2969" s="199">
        <v>7.0</v>
      </c>
      <c r="F2969" s="200">
        <v>45979.625</v>
      </c>
      <c r="G2969" s="197" t="s">
        <v>845</v>
      </c>
      <c r="H2969" s="197" t="s">
        <v>869</v>
      </c>
    </row>
    <row r="2970" ht="15.75" customHeight="1">
      <c r="A2970" s="197" t="s">
        <v>76</v>
      </c>
      <c r="B2970" s="197" t="s">
        <v>22</v>
      </c>
      <c r="C2970" s="198" t="s">
        <v>651</v>
      </c>
      <c r="D2970" s="197" t="s">
        <v>652</v>
      </c>
      <c r="E2970" s="199">
        <v>8.0</v>
      </c>
      <c r="F2970" s="200">
        <v>45993.58333333333</v>
      </c>
      <c r="G2970" s="197" t="s">
        <v>845</v>
      </c>
      <c r="H2970" s="197" t="s">
        <v>869</v>
      </c>
    </row>
    <row r="2971" ht="15.75" customHeight="1">
      <c r="A2971" s="197" t="s">
        <v>76</v>
      </c>
      <c r="B2971" s="197" t="s">
        <v>22</v>
      </c>
      <c r="C2971" s="198" t="s">
        <v>651</v>
      </c>
      <c r="D2971" s="197" t="s">
        <v>652</v>
      </c>
      <c r="E2971" s="199">
        <v>9.0</v>
      </c>
      <c r="F2971" s="200">
        <v>46000.58333333333</v>
      </c>
      <c r="G2971" s="197" t="s">
        <v>845</v>
      </c>
      <c r="H2971" s="197" t="s">
        <v>869</v>
      </c>
    </row>
    <row r="2972" ht="15.75" customHeight="1">
      <c r="A2972" s="197" t="s">
        <v>76</v>
      </c>
      <c r="B2972" s="197" t="s">
        <v>22</v>
      </c>
      <c r="C2972" s="198" t="s">
        <v>651</v>
      </c>
      <c r="D2972" s="197" t="s">
        <v>652</v>
      </c>
      <c r="E2972" s="199">
        <v>10.0</v>
      </c>
      <c r="F2972" s="200">
        <v>46007.58333333333</v>
      </c>
      <c r="G2972" s="197" t="s">
        <v>845</v>
      </c>
      <c r="H2972" s="197" t="s">
        <v>869</v>
      </c>
    </row>
    <row r="2973" ht="15.75" customHeight="1">
      <c r="A2973" s="197" t="s">
        <v>76</v>
      </c>
      <c r="B2973" s="197" t="s">
        <v>22</v>
      </c>
      <c r="C2973" s="198" t="s">
        <v>651</v>
      </c>
      <c r="D2973" s="197" t="s">
        <v>652</v>
      </c>
      <c r="E2973" s="199">
        <v>11.0</v>
      </c>
      <c r="F2973" s="200">
        <v>46013.58333333333</v>
      </c>
      <c r="G2973" s="197" t="s">
        <v>845</v>
      </c>
      <c r="H2973" s="197" t="s">
        <v>869</v>
      </c>
    </row>
    <row r="2974" ht="15.75" customHeight="1">
      <c r="A2974" s="197" t="s">
        <v>76</v>
      </c>
      <c r="B2974" s="197" t="s">
        <v>21</v>
      </c>
      <c r="C2974" s="198" t="s">
        <v>685</v>
      </c>
      <c r="D2974" s="197" t="s">
        <v>686</v>
      </c>
      <c r="E2974" s="199">
        <v>1.0</v>
      </c>
      <c r="F2974" s="200">
        <v>45763.54166666667</v>
      </c>
      <c r="G2974" s="197" t="s">
        <v>845</v>
      </c>
      <c r="H2974" s="197" t="s">
        <v>869</v>
      </c>
    </row>
    <row r="2975" ht="15.75" customHeight="1">
      <c r="A2975" s="197" t="s">
        <v>76</v>
      </c>
      <c r="B2975" s="197" t="s">
        <v>21</v>
      </c>
      <c r="C2975" s="198" t="s">
        <v>685</v>
      </c>
      <c r="D2975" s="197" t="s">
        <v>686</v>
      </c>
      <c r="E2975" s="199">
        <v>2.0</v>
      </c>
      <c r="F2975" s="200">
        <v>45769.54166666667</v>
      </c>
      <c r="G2975" s="197" t="s">
        <v>845</v>
      </c>
      <c r="H2975" s="197" t="s">
        <v>869</v>
      </c>
    </row>
    <row r="2976" ht="15.75" customHeight="1">
      <c r="A2976" s="197" t="s">
        <v>76</v>
      </c>
      <c r="B2976" s="197" t="s">
        <v>21</v>
      </c>
      <c r="C2976" s="198" t="s">
        <v>685</v>
      </c>
      <c r="D2976" s="197" t="s">
        <v>686</v>
      </c>
      <c r="E2976" s="199">
        <v>3.0</v>
      </c>
      <c r="F2976" s="200">
        <v>45786.41666666667</v>
      </c>
      <c r="G2976" s="197" t="s">
        <v>845</v>
      </c>
      <c r="H2976" s="197" t="s">
        <v>869</v>
      </c>
    </row>
    <row r="2977" ht="15.75" customHeight="1">
      <c r="A2977" s="197" t="s">
        <v>76</v>
      </c>
      <c r="B2977" s="197" t="s">
        <v>21</v>
      </c>
      <c r="C2977" s="198" t="s">
        <v>685</v>
      </c>
      <c r="D2977" s="197" t="s">
        <v>686</v>
      </c>
      <c r="E2977" s="199">
        <v>4.0</v>
      </c>
      <c r="F2977" s="200">
        <v>45804.54166666667</v>
      </c>
      <c r="G2977" s="197" t="s">
        <v>845</v>
      </c>
      <c r="H2977" s="197" t="s">
        <v>869</v>
      </c>
    </row>
    <row r="2978" ht="15.75" customHeight="1">
      <c r="A2978" s="197" t="s">
        <v>76</v>
      </c>
      <c r="B2978" s="197" t="s">
        <v>21</v>
      </c>
      <c r="C2978" s="198" t="s">
        <v>685</v>
      </c>
      <c r="D2978" s="197" t="s">
        <v>686</v>
      </c>
      <c r="E2978" s="199">
        <v>5.0</v>
      </c>
      <c r="F2978" s="200">
        <v>45811.58333333333</v>
      </c>
      <c r="G2978" s="197" t="s">
        <v>845</v>
      </c>
      <c r="H2978" s="197" t="s">
        <v>869</v>
      </c>
    </row>
    <row r="2979" ht="15.75" customHeight="1">
      <c r="A2979" s="197" t="s">
        <v>76</v>
      </c>
      <c r="B2979" s="197" t="s">
        <v>21</v>
      </c>
      <c r="C2979" s="198" t="s">
        <v>685</v>
      </c>
      <c r="D2979" s="197" t="s">
        <v>686</v>
      </c>
      <c r="E2979" s="199">
        <v>6.0</v>
      </c>
      <c r="F2979" s="200">
        <v>45818.58333333333</v>
      </c>
      <c r="G2979" s="197" t="s">
        <v>845</v>
      </c>
      <c r="H2979" s="197" t="s">
        <v>869</v>
      </c>
    </row>
    <row r="2980" ht="15.75" customHeight="1">
      <c r="A2980" s="197" t="s">
        <v>76</v>
      </c>
      <c r="B2980" s="197" t="s">
        <v>21</v>
      </c>
      <c r="C2980" s="198" t="s">
        <v>685</v>
      </c>
      <c r="D2980" s="197" t="s">
        <v>686</v>
      </c>
      <c r="E2980" s="199">
        <v>7.0</v>
      </c>
      <c r="F2980" s="200">
        <v>45825.58333333333</v>
      </c>
      <c r="G2980" s="197" t="s">
        <v>845</v>
      </c>
      <c r="H2980" s="197" t="s">
        <v>869</v>
      </c>
    </row>
    <row r="2981" ht="15.75" customHeight="1">
      <c r="A2981" s="197" t="s">
        <v>76</v>
      </c>
      <c r="B2981" s="197" t="s">
        <v>21</v>
      </c>
      <c r="C2981" s="198" t="s">
        <v>685</v>
      </c>
      <c r="D2981" s="197" t="s">
        <v>686</v>
      </c>
      <c r="E2981" s="199">
        <v>8.0</v>
      </c>
      <c r="F2981" s="200">
        <v>45832.58333333333</v>
      </c>
      <c r="G2981" s="197" t="s">
        <v>845</v>
      </c>
      <c r="H2981" s="197" t="s">
        <v>869</v>
      </c>
    </row>
    <row r="2982" ht="15.75" customHeight="1">
      <c r="A2982" s="197" t="s">
        <v>76</v>
      </c>
      <c r="B2982" s="197" t="s">
        <v>21</v>
      </c>
      <c r="C2982" s="198" t="s">
        <v>685</v>
      </c>
      <c r="D2982" s="197" t="s">
        <v>686</v>
      </c>
      <c r="E2982" s="199">
        <v>9.0</v>
      </c>
      <c r="F2982" s="200">
        <v>45846.58333333333</v>
      </c>
      <c r="G2982" s="197" t="s">
        <v>845</v>
      </c>
      <c r="H2982" s="197" t="s">
        <v>869</v>
      </c>
    </row>
    <row r="2983" ht="15.75" customHeight="1">
      <c r="A2983" s="197" t="s">
        <v>76</v>
      </c>
      <c r="B2983" s="197" t="s">
        <v>21</v>
      </c>
      <c r="C2983" s="198" t="s">
        <v>685</v>
      </c>
      <c r="D2983" s="197" t="s">
        <v>686</v>
      </c>
      <c r="E2983" s="199">
        <v>10.0</v>
      </c>
      <c r="F2983" s="200">
        <v>45868.375</v>
      </c>
      <c r="G2983" s="197" t="s">
        <v>845</v>
      </c>
      <c r="H2983" s="197" t="s">
        <v>869</v>
      </c>
    </row>
    <row r="2984" ht="15.75" customHeight="1">
      <c r="A2984" s="197" t="s">
        <v>76</v>
      </c>
      <c r="B2984" s="197" t="s">
        <v>21</v>
      </c>
      <c r="C2984" s="198" t="s">
        <v>709</v>
      </c>
      <c r="D2984" s="197" t="s">
        <v>710</v>
      </c>
      <c r="E2984" s="199">
        <v>1.0</v>
      </c>
      <c r="F2984" s="200">
        <v>45763.54166666667</v>
      </c>
      <c r="G2984" s="197" t="s">
        <v>845</v>
      </c>
      <c r="H2984" s="197" t="s">
        <v>869</v>
      </c>
    </row>
    <row r="2985" ht="15.75" customHeight="1">
      <c r="A2985" s="197" t="s">
        <v>76</v>
      </c>
      <c r="B2985" s="197" t="s">
        <v>21</v>
      </c>
      <c r="C2985" s="198" t="s">
        <v>709</v>
      </c>
      <c r="D2985" s="197" t="s">
        <v>710</v>
      </c>
      <c r="E2985" s="199">
        <v>2.0</v>
      </c>
      <c r="F2985" s="200">
        <v>45769.54166666667</v>
      </c>
      <c r="G2985" s="197" t="s">
        <v>845</v>
      </c>
      <c r="H2985" s="197" t="s">
        <v>869</v>
      </c>
    </row>
    <row r="2986" ht="15.75" customHeight="1">
      <c r="A2986" s="197" t="s">
        <v>76</v>
      </c>
      <c r="B2986" s="197" t="s">
        <v>21</v>
      </c>
      <c r="C2986" s="198" t="s">
        <v>709</v>
      </c>
      <c r="D2986" s="197" t="s">
        <v>710</v>
      </c>
      <c r="E2986" s="199">
        <v>3.0</v>
      </c>
      <c r="F2986" s="200">
        <v>45786.41666666667</v>
      </c>
      <c r="G2986" s="197" t="s">
        <v>845</v>
      </c>
      <c r="H2986" s="197" t="s">
        <v>869</v>
      </c>
    </row>
    <row r="2987" ht="15.75" customHeight="1">
      <c r="A2987" s="197" t="s">
        <v>76</v>
      </c>
      <c r="B2987" s="197" t="s">
        <v>21</v>
      </c>
      <c r="C2987" s="198" t="s">
        <v>709</v>
      </c>
      <c r="D2987" s="197" t="s">
        <v>710</v>
      </c>
      <c r="E2987" s="199">
        <v>4.0</v>
      </c>
      <c r="F2987" s="200">
        <v>45804.54166666667</v>
      </c>
      <c r="G2987" s="197" t="s">
        <v>845</v>
      </c>
      <c r="H2987" s="197" t="s">
        <v>869</v>
      </c>
    </row>
    <row r="2988" ht="15.75" customHeight="1">
      <c r="A2988" s="197" t="s">
        <v>76</v>
      </c>
      <c r="B2988" s="197" t="s">
        <v>21</v>
      </c>
      <c r="C2988" s="198" t="s">
        <v>709</v>
      </c>
      <c r="D2988" s="197" t="s">
        <v>710</v>
      </c>
      <c r="E2988" s="199">
        <v>5.0</v>
      </c>
      <c r="F2988" s="200">
        <v>45811.58333333333</v>
      </c>
      <c r="G2988" s="197" t="s">
        <v>845</v>
      </c>
      <c r="H2988" s="197" t="s">
        <v>869</v>
      </c>
    </row>
    <row r="2989" ht="15.75" customHeight="1">
      <c r="A2989" s="197" t="s">
        <v>76</v>
      </c>
      <c r="B2989" s="197" t="s">
        <v>21</v>
      </c>
      <c r="C2989" s="198" t="s">
        <v>709</v>
      </c>
      <c r="D2989" s="197" t="s">
        <v>710</v>
      </c>
      <c r="E2989" s="199">
        <v>6.0</v>
      </c>
      <c r="F2989" s="200">
        <v>45818.58333333333</v>
      </c>
      <c r="G2989" s="197" t="s">
        <v>845</v>
      </c>
      <c r="H2989" s="197" t="s">
        <v>869</v>
      </c>
    </row>
    <row r="2990" ht="15.75" customHeight="1">
      <c r="A2990" s="197" t="s">
        <v>76</v>
      </c>
      <c r="B2990" s="197" t="s">
        <v>21</v>
      </c>
      <c r="C2990" s="198" t="s">
        <v>709</v>
      </c>
      <c r="D2990" s="197" t="s">
        <v>710</v>
      </c>
      <c r="E2990" s="199">
        <v>7.0</v>
      </c>
      <c r="F2990" s="200">
        <v>45825.58333333333</v>
      </c>
      <c r="G2990" s="197" t="s">
        <v>845</v>
      </c>
      <c r="H2990" s="197" t="s">
        <v>869</v>
      </c>
    </row>
    <row r="2991" ht="15.75" customHeight="1">
      <c r="A2991" s="197" t="s">
        <v>76</v>
      </c>
      <c r="B2991" s="197" t="s">
        <v>21</v>
      </c>
      <c r="C2991" s="198" t="s">
        <v>709</v>
      </c>
      <c r="D2991" s="197" t="s">
        <v>710</v>
      </c>
      <c r="E2991" s="199">
        <v>8.0</v>
      </c>
      <c r="F2991" s="200">
        <v>45832.58333333333</v>
      </c>
      <c r="G2991" s="197" t="s">
        <v>845</v>
      </c>
      <c r="H2991" s="197" t="s">
        <v>869</v>
      </c>
    </row>
    <row r="2992" ht="15.75" customHeight="1">
      <c r="A2992" s="197" t="s">
        <v>76</v>
      </c>
      <c r="B2992" s="197" t="s">
        <v>21</v>
      </c>
      <c r="C2992" s="198" t="s">
        <v>709</v>
      </c>
      <c r="D2992" s="197" t="s">
        <v>710</v>
      </c>
      <c r="E2992" s="199">
        <v>9.0</v>
      </c>
      <c r="F2992" s="200">
        <v>45846.58333333333</v>
      </c>
      <c r="G2992" s="197" t="s">
        <v>845</v>
      </c>
      <c r="H2992" s="197" t="s">
        <v>869</v>
      </c>
    </row>
    <row r="2993" ht="15.75" customHeight="1">
      <c r="A2993" s="197" t="s">
        <v>76</v>
      </c>
      <c r="B2993" s="197" t="s">
        <v>21</v>
      </c>
      <c r="C2993" s="198" t="s">
        <v>709</v>
      </c>
      <c r="D2993" s="197" t="s">
        <v>710</v>
      </c>
      <c r="E2993" s="199">
        <v>10.0</v>
      </c>
      <c r="F2993" s="200">
        <v>45868.375</v>
      </c>
      <c r="G2993" s="197" t="s">
        <v>845</v>
      </c>
      <c r="H2993" s="197" t="s">
        <v>869</v>
      </c>
    </row>
    <row r="2994" ht="15.75" customHeight="1">
      <c r="A2994" s="197" t="s">
        <v>77</v>
      </c>
      <c r="B2994" s="197" t="s">
        <v>21</v>
      </c>
      <c r="C2994" s="198" t="s">
        <v>147</v>
      </c>
      <c r="D2994" s="197" t="s">
        <v>148</v>
      </c>
      <c r="E2994" s="199">
        <v>1.0</v>
      </c>
      <c r="F2994" s="200">
        <v>45715.58333333333</v>
      </c>
      <c r="G2994" s="197" t="s">
        <v>845</v>
      </c>
      <c r="H2994" s="197" t="s">
        <v>870</v>
      </c>
    </row>
    <row r="2995" ht="15.75" customHeight="1">
      <c r="A2995" s="197" t="s">
        <v>77</v>
      </c>
      <c r="B2995" s="197" t="s">
        <v>21</v>
      </c>
      <c r="C2995" s="198" t="s">
        <v>147</v>
      </c>
      <c r="D2995" s="197" t="s">
        <v>148</v>
      </c>
      <c r="E2995" s="199">
        <v>2.0</v>
      </c>
      <c r="F2995" s="200">
        <v>45756.58333333333</v>
      </c>
      <c r="G2995" s="197" t="s">
        <v>845</v>
      </c>
      <c r="H2995" s="197" t="s">
        <v>870</v>
      </c>
    </row>
    <row r="2996" ht="15.75" customHeight="1">
      <c r="A2996" s="197" t="s">
        <v>77</v>
      </c>
      <c r="B2996" s="197" t="s">
        <v>21</v>
      </c>
      <c r="C2996" s="198" t="s">
        <v>147</v>
      </c>
      <c r="D2996" s="197" t="s">
        <v>148</v>
      </c>
      <c r="E2996" s="199">
        <v>3.0</v>
      </c>
      <c r="F2996" s="200">
        <v>45771.54166666667</v>
      </c>
      <c r="G2996" s="197" t="s">
        <v>845</v>
      </c>
      <c r="H2996" s="197" t="s">
        <v>870</v>
      </c>
    </row>
    <row r="2997" ht="15.75" customHeight="1">
      <c r="A2997" s="197" t="s">
        <v>77</v>
      </c>
      <c r="B2997" s="197" t="s">
        <v>21</v>
      </c>
      <c r="C2997" s="198" t="s">
        <v>147</v>
      </c>
      <c r="D2997" s="197" t="s">
        <v>148</v>
      </c>
      <c r="E2997" s="199">
        <v>4.0</v>
      </c>
      <c r="F2997" s="200">
        <v>45786.54166666667</v>
      </c>
      <c r="G2997" s="197" t="s">
        <v>845</v>
      </c>
      <c r="H2997" s="197" t="s">
        <v>870</v>
      </c>
    </row>
    <row r="2998" ht="15.75" customHeight="1">
      <c r="A2998" s="197" t="s">
        <v>77</v>
      </c>
      <c r="B2998" s="197" t="s">
        <v>21</v>
      </c>
      <c r="C2998" s="198" t="s">
        <v>147</v>
      </c>
      <c r="D2998" s="197" t="s">
        <v>148</v>
      </c>
      <c r="E2998" s="199">
        <v>5.0</v>
      </c>
      <c r="F2998" s="200">
        <v>45790.54166666667</v>
      </c>
      <c r="G2998" s="197" t="s">
        <v>845</v>
      </c>
      <c r="H2998" s="197" t="s">
        <v>870</v>
      </c>
    </row>
    <row r="2999" ht="15.75" customHeight="1">
      <c r="A2999" s="197" t="s">
        <v>77</v>
      </c>
      <c r="B2999" s="197" t="s">
        <v>21</v>
      </c>
      <c r="C2999" s="198" t="s">
        <v>147</v>
      </c>
      <c r="D2999" s="197" t="s">
        <v>148</v>
      </c>
      <c r="E2999" s="199">
        <v>6.0</v>
      </c>
      <c r="F2999" s="200">
        <v>45799.54166666667</v>
      </c>
      <c r="G2999" s="197" t="s">
        <v>845</v>
      </c>
      <c r="H2999" s="197" t="s">
        <v>870</v>
      </c>
    </row>
    <row r="3000" ht="15.75" customHeight="1">
      <c r="A3000" s="197" t="s">
        <v>77</v>
      </c>
      <c r="B3000" s="197" t="s">
        <v>21</v>
      </c>
      <c r="C3000" s="198" t="s">
        <v>147</v>
      </c>
      <c r="D3000" s="197" t="s">
        <v>148</v>
      </c>
      <c r="E3000" s="199">
        <v>7.0</v>
      </c>
      <c r="F3000" s="200">
        <v>45805.54166666667</v>
      </c>
      <c r="G3000" s="197" t="s">
        <v>845</v>
      </c>
      <c r="H3000" s="197" t="s">
        <v>870</v>
      </c>
    </row>
    <row r="3001" ht="15.75" customHeight="1">
      <c r="A3001" s="197" t="s">
        <v>77</v>
      </c>
      <c r="B3001" s="197" t="s">
        <v>21</v>
      </c>
      <c r="C3001" s="198" t="s">
        <v>147</v>
      </c>
      <c r="D3001" s="197" t="s">
        <v>148</v>
      </c>
      <c r="E3001" s="199">
        <v>8.0</v>
      </c>
      <c r="F3001" s="200">
        <v>45813.58333333333</v>
      </c>
      <c r="G3001" s="197" t="s">
        <v>845</v>
      </c>
      <c r="H3001" s="197" t="s">
        <v>870</v>
      </c>
    </row>
    <row r="3002" ht="15.75" customHeight="1">
      <c r="A3002" s="197" t="s">
        <v>77</v>
      </c>
      <c r="B3002" s="197" t="s">
        <v>21</v>
      </c>
      <c r="C3002" s="198" t="s">
        <v>147</v>
      </c>
      <c r="D3002" s="197" t="s">
        <v>148</v>
      </c>
      <c r="E3002" s="199">
        <v>9.0</v>
      </c>
      <c r="F3002" s="200">
        <v>45820.58333333333</v>
      </c>
      <c r="G3002" s="197" t="s">
        <v>845</v>
      </c>
      <c r="H3002" s="197" t="s">
        <v>870</v>
      </c>
    </row>
    <row r="3003" ht="15.75" customHeight="1">
      <c r="A3003" s="197" t="s">
        <v>77</v>
      </c>
      <c r="B3003" s="197" t="s">
        <v>21</v>
      </c>
      <c r="C3003" s="198" t="s">
        <v>147</v>
      </c>
      <c r="D3003" s="197" t="s">
        <v>148</v>
      </c>
      <c r="E3003" s="199">
        <v>10.0</v>
      </c>
      <c r="F3003" s="200">
        <v>45849.54166666667</v>
      </c>
      <c r="G3003" s="197" t="s">
        <v>845</v>
      </c>
      <c r="H3003" s="197" t="s">
        <v>870</v>
      </c>
    </row>
    <row r="3004" ht="15.75" customHeight="1">
      <c r="A3004" s="197" t="s">
        <v>77</v>
      </c>
      <c r="B3004" s="197" t="s">
        <v>22</v>
      </c>
      <c r="C3004" s="198" t="s">
        <v>147</v>
      </c>
      <c r="D3004" s="197" t="s">
        <v>148</v>
      </c>
      <c r="E3004" s="199">
        <v>1.0</v>
      </c>
      <c r="F3004" s="200">
        <v>45890.54166666667</v>
      </c>
      <c r="G3004" s="197" t="s">
        <v>845</v>
      </c>
      <c r="H3004" s="197" t="s">
        <v>870</v>
      </c>
    </row>
    <row r="3005" ht="15.75" customHeight="1">
      <c r="A3005" s="197" t="s">
        <v>77</v>
      </c>
      <c r="B3005" s="197" t="s">
        <v>22</v>
      </c>
      <c r="C3005" s="198" t="s">
        <v>147</v>
      </c>
      <c r="D3005" s="197" t="s">
        <v>148</v>
      </c>
      <c r="E3005" s="199">
        <v>2.0</v>
      </c>
      <c r="F3005" s="200">
        <v>45897.58333333333</v>
      </c>
      <c r="G3005" s="197" t="s">
        <v>845</v>
      </c>
      <c r="H3005" s="197" t="s">
        <v>870</v>
      </c>
    </row>
    <row r="3006" ht="15.75" customHeight="1">
      <c r="A3006" s="197" t="s">
        <v>77</v>
      </c>
      <c r="B3006" s="197" t="s">
        <v>22</v>
      </c>
      <c r="C3006" s="198" t="s">
        <v>147</v>
      </c>
      <c r="D3006" s="197" t="s">
        <v>148</v>
      </c>
      <c r="E3006" s="199">
        <v>3.0</v>
      </c>
      <c r="F3006" s="200">
        <v>45911.58333333333</v>
      </c>
      <c r="G3006" s="197" t="s">
        <v>845</v>
      </c>
      <c r="H3006" s="197" t="s">
        <v>870</v>
      </c>
    </row>
    <row r="3007" ht="15.75" customHeight="1">
      <c r="A3007" s="197" t="s">
        <v>77</v>
      </c>
      <c r="B3007" s="197" t="s">
        <v>22</v>
      </c>
      <c r="C3007" s="198" t="s">
        <v>147</v>
      </c>
      <c r="D3007" s="197" t="s">
        <v>148</v>
      </c>
      <c r="E3007" s="199">
        <v>4.0</v>
      </c>
      <c r="F3007" s="200">
        <v>45918.58333333333</v>
      </c>
      <c r="G3007" s="197" t="s">
        <v>845</v>
      </c>
      <c r="H3007" s="197" t="s">
        <v>870</v>
      </c>
    </row>
    <row r="3008" ht="15.75" customHeight="1">
      <c r="A3008" s="197" t="s">
        <v>77</v>
      </c>
      <c r="B3008" s="197" t="s">
        <v>22</v>
      </c>
      <c r="C3008" s="198" t="s">
        <v>147</v>
      </c>
      <c r="D3008" s="197" t="s">
        <v>148</v>
      </c>
      <c r="E3008" s="199">
        <v>5.0</v>
      </c>
      <c r="F3008" s="200">
        <v>45925.58333333333</v>
      </c>
      <c r="G3008" s="197" t="s">
        <v>845</v>
      </c>
      <c r="H3008" s="197" t="s">
        <v>870</v>
      </c>
    </row>
    <row r="3009" ht="15.75" customHeight="1">
      <c r="A3009" s="197" t="s">
        <v>77</v>
      </c>
      <c r="B3009" s="197" t="s">
        <v>22</v>
      </c>
      <c r="C3009" s="198" t="s">
        <v>147</v>
      </c>
      <c r="D3009" s="197" t="s">
        <v>148</v>
      </c>
      <c r="E3009" s="199">
        <v>6.0</v>
      </c>
      <c r="F3009" s="200">
        <v>45932.58333333333</v>
      </c>
      <c r="G3009" s="197" t="s">
        <v>845</v>
      </c>
      <c r="H3009" s="197" t="s">
        <v>870</v>
      </c>
    </row>
    <row r="3010" ht="15.75" customHeight="1">
      <c r="A3010" s="197" t="s">
        <v>77</v>
      </c>
      <c r="B3010" s="197" t="s">
        <v>22</v>
      </c>
      <c r="C3010" s="198" t="s">
        <v>147</v>
      </c>
      <c r="D3010" s="197" t="s">
        <v>148</v>
      </c>
      <c r="E3010" s="199">
        <v>7.0</v>
      </c>
      <c r="F3010" s="200">
        <v>45946.58333333333</v>
      </c>
      <c r="G3010" s="197" t="s">
        <v>845</v>
      </c>
      <c r="H3010" s="197" t="s">
        <v>870</v>
      </c>
    </row>
    <row r="3011" ht="15.75" customHeight="1">
      <c r="A3011" s="197" t="s">
        <v>77</v>
      </c>
      <c r="B3011" s="197" t="s">
        <v>22</v>
      </c>
      <c r="C3011" s="198" t="s">
        <v>147</v>
      </c>
      <c r="D3011" s="197" t="s">
        <v>148</v>
      </c>
      <c r="E3011" s="199">
        <v>8.0</v>
      </c>
      <c r="F3011" s="200">
        <v>45953.58333333333</v>
      </c>
      <c r="G3011" s="197" t="s">
        <v>845</v>
      </c>
      <c r="H3011" s="197" t="s">
        <v>870</v>
      </c>
    </row>
    <row r="3012" ht="15.75" customHeight="1">
      <c r="A3012" s="197" t="s">
        <v>77</v>
      </c>
      <c r="B3012" s="197" t="s">
        <v>22</v>
      </c>
      <c r="C3012" s="198" t="s">
        <v>147</v>
      </c>
      <c r="D3012" s="197" t="s">
        <v>148</v>
      </c>
      <c r="E3012" s="199">
        <v>9.0</v>
      </c>
      <c r="F3012" s="200">
        <v>45960.58333333333</v>
      </c>
      <c r="G3012" s="197" t="s">
        <v>845</v>
      </c>
      <c r="H3012" s="197" t="s">
        <v>870</v>
      </c>
    </row>
    <row r="3013" ht="15.75" customHeight="1">
      <c r="A3013" s="197" t="s">
        <v>77</v>
      </c>
      <c r="B3013" s="197" t="s">
        <v>22</v>
      </c>
      <c r="C3013" s="198" t="s">
        <v>147</v>
      </c>
      <c r="D3013" s="197" t="s">
        <v>148</v>
      </c>
      <c r="E3013" s="199">
        <v>10.0</v>
      </c>
      <c r="F3013" s="200">
        <v>45966.58333333333</v>
      </c>
      <c r="G3013" s="197" t="s">
        <v>845</v>
      </c>
      <c r="H3013" s="197" t="s">
        <v>870</v>
      </c>
    </row>
    <row r="3014" ht="15.75" customHeight="1">
      <c r="A3014" s="197" t="s">
        <v>77</v>
      </c>
      <c r="B3014" s="197" t="s">
        <v>22</v>
      </c>
      <c r="C3014" s="198" t="s">
        <v>147</v>
      </c>
      <c r="D3014" s="197" t="s">
        <v>148</v>
      </c>
      <c r="E3014" s="199">
        <v>11.0</v>
      </c>
      <c r="F3014" s="200">
        <v>45982.58333333333</v>
      </c>
      <c r="G3014" s="197" t="s">
        <v>845</v>
      </c>
      <c r="H3014" s="197" t="s">
        <v>870</v>
      </c>
    </row>
    <row r="3015" ht="15.75" customHeight="1">
      <c r="A3015" s="197" t="s">
        <v>77</v>
      </c>
      <c r="B3015" s="197" t="s">
        <v>22</v>
      </c>
      <c r="C3015" s="198" t="s">
        <v>147</v>
      </c>
      <c r="D3015" s="197" t="s">
        <v>148</v>
      </c>
      <c r="E3015" s="199">
        <v>12.0</v>
      </c>
      <c r="F3015" s="200">
        <v>45988.58333333333</v>
      </c>
      <c r="G3015" s="197" t="s">
        <v>845</v>
      </c>
      <c r="H3015" s="197" t="s">
        <v>870</v>
      </c>
    </row>
    <row r="3016" ht="15.75" customHeight="1">
      <c r="A3016" s="197" t="s">
        <v>77</v>
      </c>
      <c r="B3016" s="197" t="s">
        <v>22</v>
      </c>
      <c r="C3016" s="198" t="s">
        <v>147</v>
      </c>
      <c r="D3016" s="197" t="s">
        <v>148</v>
      </c>
      <c r="E3016" s="199">
        <v>13.0</v>
      </c>
      <c r="F3016" s="200">
        <v>45995.58333333333</v>
      </c>
      <c r="G3016" s="197" t="s">
        <v>845</v>
      </c>
      <c r="H3016" s="197" t="s">
        <v>870</v>
      </c>
    </row>
    <row r="3017" ht="15.75" customHeight="1">
      <c r="A3017" s="197" t="s">
        <v>77</v>
      </c>
      <c r="B3017" s="197" t="s">
        <v>22</v>
      </c>
      <c r="C3017" s="198" t="s">
        <v>147</v>
      </c>
      <c r="D3017" s="197" t="s">
        <v>148</v>
      </c>
      <c r="E3017" s="199">
        <v>14.0</v>
      </c>
      <c r="F3017" s="200">
        <v>45999.45833333333</v>
      </c>
      <c r="G3017" s="197" t="s">
        <v>845</v>
      </c>
      <c r="H3017" s="197" t="s">
        <v>870</v>
      </c>
    </row>
    <row r="3018" ht="15.75" customHeight="1">
      <c r="A3018" s="197" t="s">
        <v>77</v>
      </c>
      <c r="B3018" s="197" t="s">
        <v>22</v>
      </c>
      <c r="C3018" s="198" t="s">
        <v>147</v>
      </c>
      <c r="D3018" s="197" t="s">
        <v>148</v>
      </c>
      <c r="E3018" s="199">
        <v>15.0</v>
      </c>
      <c r="F3018" s="200">
        <v>46014.625</v>
      </c>
      <c r="G3018" s="197" t="s">
        <v>845</v>
      </c>
      <c r="H3018" s="197" t="s">
        <v>870</v>
      </c>
    </row>
    <row r="3019" ht="15.75" customHeight="1">
      <c r="A3019" s="197" t="s">
        <v>77</v>
      </c>
      <c r="B3019" s="197" t="s">
        <v>22</v>
      </c>
      <c r="C3019" s="198" t="s">
        <v>147</v>
      </c>
      <c r="D3019" s="197" t="s">
        <v>148</v>
      </c>
      <c r="E3019" s="199">
        <v>16.0</v>
      </c>
      <c r="F3019" s="200">
        <v>46044.54166666667</v>
      </c>
      <c r="G3019" s="197" t="s">
        <v>845</v>
      </c>
      <c r="H3019" s="197" t="s">
        <v>870</v>
      </c>
    </row>
    <row r="3020" ht="15.75" customHeight="1">
      <c r="A3020" s="197" t="s">
        <v>77</v>
      </c>
      <c r="B3020" s="197" t="s">
        <v>23</v>
      </c>
      <c r="C3020" s="198" t="s">
        <v>147</v>
      </c>
      <c r="D3020" s="197" t="s">
        <v>148</v>
      </c>
      <c r="E3020" s="199">
        <v>2.0</v>
      </c>
      <c r="F3020" s="200">
        <v>46107.58333333333</v>
      </c>
      <c r="G3020" s="197" t="s">
        <v>845</v>
      </c>
      <c r="H3020" s="197" t="s">
        <v>870</v>
      </c>
    </row>
    <row r="3021" ht="15.75" customHeight="1">
      <c r="A3021" s="197" t="s">
        <v>77</v>
      </c>
      <c r="B3021" s="197" t="s">
        <v>23</v>
      </c>
      <c r="C3021" s="198" t="s">
        <v>147</v>
      </c>
      <c r="D3021" s="197" t="s">
        <v>148</v>
      </c>
      <c r="E3021" s="199">
        <v>3.0</v>
      </c>
      <c r="F3021" s="200">
        <v>46114.58333333333</v>
      </c>
      <c r="G3021" s="197" t="s">
        <v>845</v>
      </c>
      <c r="H3021" s="197" t="s">
        <v>870</v>
      </c>
    </row>
    <row r="3022" ht="15.75" customHeight="1">
      <c r="A3022" s="197" t="s">
        <v>77</v>
      </c>
      <c r="B3022" s="197" t="s">
        <v>23</v>
      </c>
      <c r="C3022" s="198" t="s">
        <v>147</v>
      </c>
      <c r="D3022" s="197" t="s">
        <v>148</v>
      </c>
      <c r="E3022" s="199">
        <v>4.0</v>
      </c>
      <c r="F3022" s="200">
        <v>46121.58333333333</v>
      </c>
      <c r="G3022" s="197" t="s">
        <v>845</v>
      </c>
      <c r="H3022" s="197" t="s">
        <v>870</v>
      </c>
    </row>
    <row r="3023" ht="15.75" customHeight="1">
      <c r="A3023" s="197" t="s">
        <v>77</v>
      </c>
      <c r="B3023" s="197" t="s">
        <v>23</v>
      </c>
      <c r="C3023" s="198" t="s">
        <v>147</v>
      </c>
      <c r="D3023" s="197" t="s">
        <v>148</v>
      </c>
      <c r="E3023" s="199">
        <v>5.0</v>
      </c>
      <c r="F3023" s="200">
        <v>46128.58333333333</v>
      </c>
      <c r="G3023" s="197" t="s">
        <v>845</v>
      </c>
      <c r="H3023" s="197" t="s">
        <v>870</v>
      </c>
    </row>
    <row r="3024" ht="15.75" customHeight="1">
      <c r="A3024" s="197" t="s">
        <v>77</v>
      </c>
      <c r="B3024" s="197" t="s">
        <v>23</v>
      </c>
      <c r="C3024" s="198" t="s">
        <v>147</v>
      </c>
      <c r="D3024" s="197" t="s">
        <v>148</v>
      </c>
      <c r="E3024" s="199">
        <v>6.0</v>
      </c>
      <c r="F3024" s="200">
        <v>46135.58333333333</v>
      </c>
      <c r="G3024" s="197" t="s">
        <v>843</v>
      </c>
      <c r="H3024" s="197" t="s">
        <v>870</v>
      </c>
    </row>
    <row r="3025" ht="15.75" customHeight="1">
      <c r="A3025" s="197" t="s">
        <v>77</v>
      </c>
      <c r="B3025" s="197" t="s">
        <v>22</v>
      </c>
      <c r="C3025" s="198" t="s">
        <v>159</v>
      </c>
      <c r="D3025" s="197" t="s">
        <v>160</v>
      </c>
      <c r="E3025" s="199">
        <v>1.0</v>
      </c>
      <c r="F3025" s="200">
        <v>45890.54166666667</v>
      </c>
      <c r="G3025" s="197" t="s">
        <v>845</v>
      </c>
      <c r="H3025" s="197" t="s">
        <v>870</v>
      </c>
    </row>
    <row r="3026" ht="15.75" customHeight="1">
      <c r="A3026" s="197" t="s">
        <v>77</v>
      </c>
      <c r="B3026" s="197" t="s">
        <v>22</v>
      </c>
      <c r="C3026" s="198" t="s">
        <v>159</v>
      </c>
      <c r="D3026" s="197" t="s">
        <v>160</v>
      </c>
      <c r="E3026" s="199">
        <v>2.0</v>
      </c>
      <c r="F3026" s="200">
        <v>45897.58333333333</v>
      </c>
      <c r="G3026" s="197" t="s">
        <v>845</v>
      </c>
      <c r="H3026" s="197" t="s">
        <v>870</v>
      </c>
    </row>
    <row r="3027" ht="15.75" customHeight="1">
      <c r="A3027" s="197" t="s">
        <v>77</v>
      </c>
      <c r="B3027" s="197" t="s">
        <v>22</v>
      </c>
      <c r="C3027" s="198" t="s">
        <v>159</v>
      </c>
      <c r="D3027" s="197" t="s">
        <v>160</v>
      </c>
      <c r="E3027" s="199">
        <v>3.0</v>
      </c>
      <c r="F3027" s="200">
        <v>45911.58333333333</v>
      </c>
      <c r="G3027" s="197" t="s">
        <v>845</v>
      </c>
      <c r="H3027" s="197" t="s">
        <v>870</v>
      </c>
    </row>
    <row r="3028" ht="15.75" customHeight="1">
      <c r="A3028" s="197" t="s">
        <v>77</v>
      </c>
      <c r="B3028" s="197" t="s">
        <v>22</v>
      </c>
      <c r="C3028" s="198" t="s">
        <v>159</v>
      </c>
      <c r="D3028" s="197" t="s">
        <v>160</v>
      </c>
      <c r="E3028" s="199">
        <v>4.0</v>
      </c>
      <c r="F3028" s="200">
        <v>45918.58333333333</v>
      </c>
      <c r="G3028" s="197" t="s">
        <v>845</v>
      </c>
      <c r="H3028" s="197" t="s">
        <v>870</v>
      </c>
    </row>
    <row r="3029" ht="15.75" customHeight="1">
      <c r="A3029" s="197" t="s">
        <v>77</v>
      </c>
      <c r="B3029" s="197" t="s">
        <v>22</v>
      </c>
      <c r="C3029" s="198" t="s">
        <v>159</v>
      </c>
      <c r="D3029" s="197" t="s">
        <v>160</v>
      </c>
      <c r="E3029" s="199">
        <v>5.0</v>
      </c>
      <c r="F3029" s="200">
        <v>45925.58333333333</v>
      </c>
      <c r="G3029" s="197" t="s">
        <v>845</v>
      </c>
      <c r="H3029" s="197" t="s">
        <v>870</v>
      </c>
    </row>
    <row r="3030" ht="15.75" customHeight="1">
      <c r="A3030" s="197" t="s">
        <v>77</v>
      </c>
      <c r="B3030" s="197" t="s">
        <v>22</v>
      </c>
      <c r="C3030" s="198" t="s">
        <v>159</v>
      </c>
      <c r="D3030" s="197" t="s">
        <v>160</v>
      </c>
      <c r="E3030" s="199">
        <v>6.0</v>
      </c>
      <c r="F3030" s="200">
        <v>45932.58333333333</v>
      </c>
      <c r="G3030" s="197" t="s">
        <v>845</v>
      </c>
      <c r="H3030" s="197" t="s">
        <v>870</v>
      </c>
    </row>
    <row r="3031" ht="15.75" customHeight="1">
      <c r="A3031" s="197" t="s">
        <v>77</v>
      </c>
      <c r="B3031" s="197" t="s">
        <v>22</v>
      </c>
      <c r="C3031" s="198" t="s">
        <v>159</v>
      </c>
      <c r="D3031" s="197" t="s">
        <v>160</v>
      </c>
      <c r="E3031" s="199">
        <v>7.0</v>
      </c>
      <c r="F3031" s="200">
        <v>45946.58333333333</v>
      </c>
      <c r="G3031" s="197" t="s">
        <v>845</v>
      </c>
      <c r="H3031" s="197" t="s">
        <v>870</v>
      </c>
    </row>
    <row r="3032" ht="15.75" customHeight="1">
      <c r="A3032" s="197" t="s">
        <v>77</v>
      </c>
      <c r="B3032" s="197" t="s">
        <v>22</v>
      </c>
      <c r="C3032" s="198" t="s">
        <v>159</v>
      </c>
      <c r="D3032" s="197" t="s">
        <v>160</v>
      </c>
      <c r="E3032" s="199">
        <v>8.0</v>
      </c>
      <c r="F3032" s="200">
        <v>45953.58333333333</v>
      </c>
      <c r="G3032" s="197" t="s">
        <v>845</v>
      </c>
      <c r="H3032" s="197" t="s">
        <v>870</v>
      </c>
    </row>
    <row r="3033" ht="15.75" customHeight="1">
      <c r="A3033" s="197" t="s">
        <v>77</v>
      </c>
      <c r="B3033" s="197" t="s">
        <v>22</v>
      </c>
      <c r="C3033" s="198" t="s">
        <v>159</v>
      </c>
      <c r="D3033" s="197" t="s">
        <v>160</v>
      </c>
      <c r="E3033" s="199">
        <v>9.0</v>
      </c>
      <c r="F3033" s="200">
        <v>45960.58333333333</v>
      </c>
      <c r="G3033" s="197" t="s">
        <v>845</v>
      </c>
      <c r="H3033" s="197" t="s">
        <v>870</v>
      </c>
    </row>
    <row r="3034" ht="15.75" customHeight="1">
      <c r="A3034" s="197" t="s">
        <v>77</v>
      </c>
      <c r="B3034" s="197" t="s">
        <v>22</v>
      </c>
      <c r="C3034" s="198" t="s">
        <v>159</v>
      </c>
      <c r="D3034" s="197" t="s">
        <v>160</v>
      </c>
      <c r="E3034" s="199">
        <v>10.0</v>
      </c>
      <c r="F3034" s="200">
        <v>45966.58333333333</v>
      </c>
      <c r="G3034" s="197" t="s">
        <v>845</v>
      </c>
      <c r="H3034" s="197" t="s">
        <v>870</v>
      </c>
    </row>
    <row r="3035" ht="15.75" customHeight="1">
      <c r="A3035" s="197" t="s">
        <v>77</v>
      </c>
      <c r="B3035" s="197" t="s">
        <v>22</v>
      </c>
      <c r="C3035" s="198" t="s">
        <v>159</v>
      </c>
      <c r="D3035" s="197" t="s">
        <v>160</v>
      </c>
      <c r="E3035" s="199">
        <v>11.0</v>
      </c>
      <c r="F3035" s="200">
        <v>45982.58333333333</v>
      </c>
      <c r="G3035" s="197" t="s">
        <v>845</v>
      </c>
      <c r="H3035" s="197" t="s">
        <v>870</v>
      </c>
    </row>
    <row r="3036" ht="15.75" customHeight="1">
      <c r="A3036" s="197" t="s">
        <v>77</v>
      </c>
      <c r="B3036" s="197" t="s">
        <v>22</v>
      </c>
      <c r="C3036" s="198" t="s">
        <v>159</v>
      </c>
      <c r="D3036" s="197" t="s">
        <v>160</v>
      </c>
      <c r="E3036" s="199">
        <v>12.0</v>
      </c>
      <c r="F3036" s="200">
        <v>45988.58333333333</v>
      </c>
      <c r="G3036" s="197" t="s">
        <v>845</v>
      </c>
      <c r="H3036" s="197" t="s">
        <v>870</v>
      </c>
    </row>
    <row r="3037" ht="15.75" customHeight="1">
      <c r="A3037" s="197" t="s">
        <v>77</v>
      </c>
      <c r="B3037" s="197" t="s">
        <v>22</v>
      </c>
      <c r="C3037" s="198" t="s">
        <v>159</v>
      </c>
      <c r="D3037" s="197" t="s">
        <v>160</v>
      </c>
      <c r="E3037" s="199">
        <v>13.0</v>
      </c>
      <c r="F3037" s="200">
        <v>45995.58333333333</v>
      </c>
      <c r="G3037" s="197" t="s">
        <v>845</v>
      </c>
      <c r="H3037" s="197" t="s">
        <v>870</v>
      </c>
    </row>
    <row r="3038" ht="15.75" customHeight="1">
      <c r="A3038" s="197" t="s">
        <v>77</v>
      </c>
      <c r="B3038" s="197" t="s">
        <v>22</v>
      </c>
      <c r="C3038" s="198" t="s">
        <v>159</v>
      </c>
      <c r="D3038" s="197" t="s">
        <v>160</v>
      </c>
      <c r="E3038" s="199">
        <v>14.0</v>
      </c>
      <c r="F3038" s="200">
        <v>45999.45833333333</v>
      </c>
      <c r="G3038" s="197" t="s">
        <v>843</v>
      </c>
      <c r="H3038" s="197" t="s">
        <v>870</v>
      </c>
    </row>
    <row r="3039" ht="15.75" customHeight="1">
      <c r="A3039" s="197" t="s">
        <v>77</v>
      </c>
      <c r="B3039" s="197" t="s">
        <v>22</v>
      </c>
      <c r="C3039" s="198" t="s">
        <v>159</v>
      </c>
      <c r="D3039" s="197" t="s">
        <v>160</v>
      </c>
      <c r="E3039" s="199">
        <v>15.0</v>
      </c>
      <c r="F3039" s="200">
        <v>46014.625</v>
      </c>
      <c r="G3039" s="197" t="s">
        <v>845</v>
      </c>
      <c r="H3039" s="197" t="s">
        <v>870</v>
      </c>
    </row>
    <row r="3040" ht="15.75" customHeight="1">
      <c r="A3040" s="197" t="s">
        <v>77</v>
      </c>
      <c r="B3040" s="197" t="s">
        <v>22</v>
      </c>
      <c r="C3040" s="198" t="s">
        <v>159</v>
      </c>
      <c r="D3040" s="197" t="s">
        <v>160</v>
      </c>
      <c r="E3040" s="199">
        <v>16.0</v>
      </c>
      <c r="F3040" s="200">
        <v>46044.54166666667</v>
      </c>
      <c r="G3040" s="197" t="s">
        <v>845</v>
      </c>
      <c r="H3040" s="197" t="s">
        <v>870</v>
      </c>
    </row>
    <row r="3041" ht="15.75" customHeight="1">
      <c r="A3041" s="197" t="s">
        <v>77</v>
      </c>
      <c r="B3041" s="197" t="s">
        <v>23</v>
      </c>
      <c r="C3041" s="198" t="s">
        <v>159</v>
      </c>
      <c r="D3041" s="197" t="s">
        <v>160</v>
      </c>
      <c r="E3041" s="199">
        <v>2.0</v>
      </c>
      <c r="F3041" s="200">
        <v>46107.58333333333</v>
      </c>
      <c r="G3041" s="197" t="s">
        <v>845</v>
      </c>
      <c r="H3041" s="197" t="s">
        <v>870</v>
      </c>
    </row>
    <row r="3042" ht="15.75" customHeight="1">
      <c r="A3042" s="197" t="s">
        <v>77</v>
      </c>
      <c r="B3042" s="197" t="s">
        <v>23</v>
      </c>
      <c r="C3042" s="198" t="s">
        <v>159</v>
      </c>
      <c r="D3042" s="197" t="s">
        <v>160</v>
      </c>
      <c r="E3042" s="199">
        <v>3.0</v>
      </c>
      <c r="F3042" s="200">
        <v>46114.58333333333</v>
      </c>
      <c r="G3042" s="197" t="s">
        <v>845</v>
      </c>
      <c r="H3042" s="197" t="s">
        <v>870</v>
      </c>
    </row>
    <row r="3043" ht="15.75" customHeight="1">
      <c r="A3043" s="197" t="s">
        <v>77</v>
      </c>
      <c r="B3043" s="197" t="s">
        <v>23</v>
      </c>
      <c r="C3043" s="198" t="s">
        <v>159</v>
      </c>
      <c r="D3043" s="197" t="s">
        <v>160</v>
      </c>
      <c r="E3043" s="199">
        <v>4.0</v>
      </c>
      <c r="F3043" s="200">
        <v>46121.58333333333</v>
      </c>
      <c r="G3043" s="197" t="s">
        <v>843</v>
      </c>
      <c r="H3043" s="197" t="s">
        <v>870</v>
      </c>
    </row>
    <row r="3044" ht="15.75" customHeight="1">
      <c r="A3044" s="197" t="s">
        <v>77</v>
      </c>
      <c r="B3044" s="197" t="s">
        <v>23</v>
      </c>
      <c r="C3044" s="198" t="s">
        <v>159</v>
      </c>
      <c r="D3044" s="197" t="s">
        <v>160</v>
      </c>
      <c r="E3044" s="199">
        <v>5.0</v>
      </c>
      <c r="F3044" s="200">
        <v>46128.58333333333</v>
      </c>
      <c r="G3044" s="197" t="s">
        <v>843</v>
      </c>
      <c r="H3044" s="197" t="s">
        <v>870</v>
      </c>
    </row>
    <row r="3045" ht="15.75" customHeight="1">
      <c r="A3045" s="197" t="s">
        <v>77</v>
      </c>
      <c r="B3045" s="197" t="s">
        <v>23</v>
      </c>
      <c r="C3045" s="198" t="s">
        <v>159</v>
      </c>
      <c r="D3045" s="197" t="s">
        <v>160</v>
      </c>
      <c r="E3045" s="199">
        <v>6.0</v>
      </c>
      <c r="F3045" s="200">
        <v>46135.58333333333</v>
      </c>
      <c r="G3045" s="197" t="s">
        <v>843</v>
      </c>
      <c r="H3045" s="197" t="s">
        <v>870</v>
      </c>
    </row>
    <row r="3046" ht="15.75" customHeight="1">
      <c r="A3046" s="197" t="s">
        <v>77</v>
      </c>
      <c r="B3046" s="197" t="s">
        <v>21</v>
      </c>
      <c r="C3046" s="198" t="s">
        <v>247</v>
      </c>
      <c r="D3046" s="197" t="s">
        <v>248</v>
      </c>
      <c r="E3046" s="199">
        <v>1.0</v>
      </c>
      <c r="F3046" s="200">
        <v>45715.58333333333</v>
      </c>
      <c r="G3046" s="197" t="s">
        <v>845</v>
      </c>
      <c r="H3046" s="197" t="s">
        <v>870</v>
      </c>
    </row>
    <row r="3047" ht="15.75" customHeight="1">
      <c r="A3047" s="197" t="s">
        <v>77</v>
      </c>
      <c r="B3047" s="197" t="s">
        <v>21</v>
      </c>
      <c r="C3047" s="198" t="s">
        <v>247</v>
      </c>
      <c r="D3047" s="197" t="s">
        <v>248</v>
      </c>
      <c r="E3047" s="199">
        <v>2.0</v>
      </c>
      <c r="F3047" s="200">
        <v>45756.58333333333</v>
      </c>
      <c r="G3047" s="197" t="s">
        <v>845</v>
      </c>
      <c r="H3047" s="197" t="s">
        <v>870</v>
      </c>
    </row>
    <row r="3048" ht="15.75" customHeight="1">
      <c r="A3048" s="197" t="s">
        <v>77</v>
      </c>
      <c r="B3048" s="197" t="s">
        <v>21</v>
      </c>
      <c r="C3048" s="198" t="s">
        <v>247</v>
      </c>
      <c r="D3048" s="197" t="s">
        <v>248</v>
      </c>
      <c r="E3048" s="199">
        <v>3.0</v>
      </c>
      <c r="F3048" s="200">
        <v>45771.54166666667</v>
      </c>
      <c r="G3048" s="197" t="s">
        <v>845</v>
      </c>
      <c r="H3048" s="197" t="s">
        <v>870</v>
      </c>
    </row>
    <row r="3049" ht="15.75" customHeight="1">
      <c r="A3049" s="197" t="s">
        <v>77</v>
      </c>
      <c r="B3049" s="197" t="s">
        <v>21</v>
      </c>
      <c r="C3049" s="198" t="s">
        <v>247</v>
      </c>
      <c r="D3049" s="197" t="s">
        <v>248</v>
      </c>
      <c r="E3049" s="199">
        <v>4.0</v>
      </c>
      <c r="F3049" s="200">
        <v>45786.54166666667</v>
      </c>
      <c r="G3049" s="197" t="s">
        <v>845</v>
      </c>
      <c r="H3049" s="197" t="s">
        <v>870</v>
      </c>
    </row>
    <row r="3050" ht="15.75" customHeight="1">
      <c r="A3050" s="197" t="s">
        <v>77</v>
      </c>
      <c r="B3050" s="197" t="s">
        <v>21</v>
      </c>
      <c r="C3050" s="198" t="s">
        <v>247</v>
      </c>
      <c r="D3050" s="197" t="s">
        <v>248</v>
      </c>
      <c r="E3050" s="199">
        <v>5.0</v>
      </c>
      <c r="F3050" s="200">
        <v>45790.54166666667</v>
      </c>
      <c r="G3050" s="197" t="s">
        <v>845</v>
      </c>
      <c r="H3050" s="197" t="s">
        <v>870</v>
      </c>
    </row>
    <row r="3051" ht="15.75" customHeight="1">
      <c r="A3051" s="197" t="s">
        <v>77</v>
      </c>
      <c r="B3051" s="197" t="s">
        <v>21</v>
      </c>
      <c r="C3051" s="198" t="s">
        <v>247</v>
      </c>
      <c r="D3051" s="197" t="s">
        <v>248</v>
      </c>
      <c r="E3051" s="199">
        <v>6.0</v>
      </c>
      <c r="F3051" s="200">
        <v>45799.54166666667</v>
      </c>
      <c r="G3051" s="197" t="s">
        <v>845</v>
      </c>
      <c r="H3051" s="197" t="s">
        <v>870</v>
      </c>
    </row>
    <row r="3052" ht="15.75" customHeight="1">
      <c r="A3052" s="197" t="s">
        <v>77</v>
      </c>
      <c r="B3052" s="197" t="s">
        <v>21</v>
      </c>
      <c r="C3052" s="198" t="s">
        <v>247</v>
      </c>
      <c r="D3052" s="197" t="s">
        <v>248</v>
      </c>
      <c r="E3052" s="199">
        <v>7.0</v>
      </c>
      <c r="F3052" s="200">
        <v>45805.54166666667</v>
      </c>
      <c r="G3052" s="197" t="s">
        <v>845</v>
      </c>
      <c r="H3052" s="197" t="s">
        <v>870</v>
      </c>
    </row>
    <row r="3053" ht="15.75" customHeight="1">
      <c r="A3053" s="197" t="s">
        <v>77</v>
      </c>
      <c r="B3053" s="197" t="s">
        <v>21</v>
      </c>
      <c r="C3053" s="198" t="s">
        <v>247</v>
      </c>
      <c r="D3053" s="197" t="s">
        <v>248</v>
      </c>
      <c r="E3053" s="199">
        <v>8.0</v>
      </c>
      <c r="F3053" s="200">
        <v>45813.58333333333</v>
      </c>
      <c r="G3053" s="197" t="s">
        <v>845</v>
      </c>
      <c r="H3053" s="197" t="s">
        <v>870</v>
      </c>
    </row>
    <row r="3054" ht="15.75" customHeight="1">
      <c r="A3054" s="197" t="s">
        <v>77</v>
      </c>
      <c r="B3054" s="197" t="s">
        <v>21</v>
      </c>
      <c r="C3054" s="198" t="s">
        <v>247</v>
      </c>
      <c r="D3054" s="197" t="s">
        <v>248</v>
      </c>
      <c r="E3054" s="199">
        <v>9.0</v>
      </c>
      <c r="F3054" s="200">
        <v>45820.58333333333</v>
      </c>
      <c r="G3054" s="197" t="s">
        <v>845</v>
      </c>
      <c r="H3054" s="197" t="s">
        <v>870</v>
      </c>
    </row>
    <row r="3055" ht="15.75" customHeight="1">
      <c r="A3055" s="197" t="s">
        <v>77</v>
      </c>
      <c r="B3055" s="197" t="s">
        <v>21</v>
      </c>
      <c r="C3055" s="198" t="s">
        <v>247</v>
      </c>
      <c r="D3055" s="197" t="s">
        <v>248</v>
      </c>
      <c r="E3055" s="199">
        <v>10.0</v>
      </c>
      <c r="F3055" s="200">
        <v>45849.54166666667</v>
      </c>
      <c r="G3055" s="197" t="s">
        <v>845</v>
      </c>
      <c r="H3055" s="197" t="s">
        <v>870</v>
      </c>
    </row>
    <row r="3056" ht="15.75" customHeight="1">
      <c r="A3056" s="197" t="s">
        <v>77</v>
      </c>
      <c r="B3056" s="197" t="s">
        <v>21</v>
      </c>
      <c r="C3056" s="198" t="s">
        <v>255</v>
      </c>
      <c r="D3056" s="197" t="s">
        <v>256</v>
      </c>
      <c r="E3056" s="199">
        <v>1.0</v>
      </c>
      <c r="F3056" s="200">
        <v>45715.58333333333</v>
      </c>
      <c r="G3056" s="197" t="s">
        <v>845</v>
      </c>
      <c r="H3056" s="197" t="s">
        <v>870</v>
      </c>
    </row>
    <row r="3057" ht="15.75" customHeight="1">
      <c r="A3057" s="197" t="s">
        <v>77</v>
      </c>
      <c r="B3057" s="197" t="s">
        <v>21</v>
      </c>
      <c r="C3057" s="198" t="s">
        <v>255</v>
      </c>
      <c r="D3057" s="197" t="s">
        <v>256</v>
      </c>
      <c r="E3057" s="199">
        <v>2.0</v>
      </c>
      <c r="F3057" s="200">
        <v>45756.58333333333</v>
      </c>
      <c r="G3057" s="197" t="s">
        <v>845</v>
      </c>
      <c r="H3057" s="197" t="s">
        <v>870</v>
      </c>
    </row>
    <row r="3058" ht="15.75" customHeight="1">
      <c r="A3058" s="197" t="s">
        <v>77</v>
      </c>
      <c r="B3058" s="197" t="s">
        <v>21</v>
      </c>
      <c r="C3058" s="198" t="s">
        <v>255</v>
      </c>
      <c r="D3058" s="197" t="s">
        <v>256</v>
      </c>
      <c r="E3058" s="199">
        <v>3.0</v>
      </c>
      <c r="F3058" s="200">
        <v>45771.54166666667</v>
      </c>
      <c r="G3058" s="197" t="s">
        <v>845</v>
      </c>
      <c r="H3058" s="197" t="s">
        <v>870</v>
      </c>
    </row>
    <row r="3059" ht="15.75" customHeight="1">
      <c r="A3059" s="197" t="s">
        <v>77</v>
      </c>
      <c r="B3059" s="197" t="s">
        <v>21</v>
      </c>
      <c r="C3059" s="198" t="s">
        <v>255</v>
      </c>
      <c r="D3059" s="197" t="s">
        <v>256</v>
      </c>
      <c r="E3059" s="199">
        <v>4.0</v>
      </c>
      <c r="F3059" s="200">
        <v>45786.54166666667</v>
      </c>
      <c r="G3059" s="197" t="s">
        <v>845</v>
      </c>
      <c r="H3059" s="197" t="s">
        <v>870</v>
      </c>
    </row>
    <row r="3060" ht="15.75" customHeight="1">
      <c r="A3060" s="197" t="s">
        <v>77</v>
      </c>
      <c r="B3060" s="197" t="s">
        <v>21</v>
      </c>
      <c r="C3060" s="198" t="s">
        <v>255</v>
      </c>
      <c r="D3060" s="197" t="s">
        <v>256</v>
      </c>
      <c r="E3060" s="199">
        <v>5.0</v>
      </c>
      <c r="F3060" s="200">
        <v>45790.54166666667</v>
      </c>
      <c r="G3060" s="197" t="s">
        <v>845</v>
      </c>
      <c r="H3060" s="197" t="s">
        <v>870</v>
      </c>
    </row>
    <row r="3061" ht="15.75" customHeight="1">
      <c r="A3061" s="197" t="s">
        <v>77</v>
      </c>
      <c r="B3061" s="197" t="s">
        <v>21</v>
      </c>
      <c r="C3061" s="198" t="s">
        <v>255</v>
      </c>
      <c r="D3061" s="197" t="s">
        <v>256</v>
      </c>
      <c r="E3061" s="199">
        <v>6.0</v>
      </c>
      <c r="F3061" s="200">
        <v>45799.54166666667</v>
      </c>
      <c r="G3061" s="197" t="s">
        <v>845</v>
      </c>
      <c r="H3061" s="197" t="s">
        <v>870</v>
      </c>
    </row>
    <row r="3062" ht="15.75" customHeight="1">
      <c r="A3062" s="197" t="s">
        <v>77</v>
      </c>
      <c r="B3062" s="197" t="s">
        <v>21</v>
      </c>
      <c r="C3062" s="198" t="s">
        <v>255</v>
      </c>
      <c r="D3062" s="197" t="s">
        <v>256</v>
      </c>
      <c r="E3062" s="199">
        <v>7.0</v>
      </c>
      <c r="F3062" s="200">
        <v>45805.54166666667</v>
      </c>
      <c r="G3062" s="197" t="s">
        <v>845</v>
      </c>
      <c r="H3062" s="197" t="s">
        <v>870</v>
      </c>
    </row>
    <row r="3063" ht="15.75" customHeight="1">
      <c r="A3063" s="197" t="s">
        <v>77</v>
      </c>
      <c r="B3063" s="197" t="s">
        <v>21</v>
      </c>
      <c r="C3063" s="198" t="s">
        <v>255</v>
      </c>
      <c r="D3063" s="197" t="s">
        <v>256</v>
      </c>
      <c r="E3063" s="199">
        <v>8.0</v>
      </c>
      <c r="F3063" s="200">
        <v>45813.58333333333</v>
      </c>
      <c r="G3063" s="197" t="s">
        <v>845</v>
      </c>
      <c r="H3063" s="197" t="s">
        <v>870</v>
      </c>
    </row>
    <row r="3064" ht="15.75" customHeight="1">
      <c r="A3064" s="197" t="s">
        <v>77</v>
      </c>
      <c r="B3064" s="197" t="s">
        <v>21</v>
      </c>
      <c r="C3064" s="198" t="s">
        <v>255</v>
      </c>
      <c r="D3064" s="197" t="s">
        <v>256</v>
      </c>
      <c r="E3064" s="199">
        <v>9.0</v>
      </c>
      <c r="F3064" s="200">
        <v>45820.58333333333</v>
      </c>
      <c r="G3064" s="197" t="s">
        <v>845</v>
      </c>
      <c r="H3064" s="197" t="s">
        <v>870</v>
      </c>
    </row>
    <row r="3065" ht="15.75" customHeight="1">
      <c r="A3065" s="197" t="s">
        <v>77</v>
      </c>
      <c r="B3065" s="197" t="s">
        <v>21</v>
      </c>
      <c r="C3065" s="198" t="s">
        <v>255</v>
      </c>
      <c r="D3065" s="197" t="s">
        <v>256</v>
      </c>
      <c r="E3065" s="199">
        <v>10.0</v>
      </c>
      <c r="F3065" s="200">
        <v>45849.54166666667</v>
      </c>
      <c r="G3065" s="197" t="s">
        <v>845</v>
      </c>
      <c r="H3065" s="197" t="s">
        <v>870</v>
      </c>
    </row>
    <row r="3066" ht="15.75" customHeight="1">
      <c r="A3066" s="197" t="s">
        <v>77</v>
      </c>
      <c r="B3066" s="197" t="s">
        <v>22</v>
      </c>
      <c r="C3066" s="198" t="s">
        <v>255</v>
      </c>
      <c r="D3066" s="197" t="s">
        <v>256</v>
      </c>
      <c r="E3066" s="199">
        <v>1.0</v>
      </c>
      <c r="F3066" s="200">
        <v>45890.54166666667</v>
      </c>
      <c r="G3066" s="197" t="s">
        <v>845</v>
      </c>
      <c r="H3066" s="197" t="s">
        <v>870</v>
      </c>
    </row>
    <row r="3067" ht="15.75" customHeight="1">
      <c r="A3067" s="197" t="s">
        <v>77</v>
      </c>
      <c r="B3067" s="197" t="s">
        <v>22</v>
      </c>
      <c r="C3067" s="198" t="s">
        <v>255</v>
      </c>
      <c r="D3067" s="197" t="s">
        <v>256</v>
      </c>
      <c r="E3067" s="199">
        <v>2.0</v>
      </c>
      <c r="F3067" s="200">
        <v>45897.58333333333</v>
      </c>
      <c r="G3067" s="197" t="s">
        <v>845</v>
      </c>
      <c r="H3067" s="197" t="s">
        <v>870</v>
      </c>
    </row>
    <row r="3068" ht="15.75" customHeight="1">
      <c r="A3068" s="197" t="s">
        <v>77</v>
      </c>
      <c r="B3068" s="197" t="s">
        <v>22</v>
      </c>
      <c r="C3068" s="198" t="s">
        <v>255</v>
      </c>
      <c r="D3068" s="197" t="s">
        <v>256</v>
      </c>
      <c r="E3068" s="199">
        <v>3.0</v>
      </c>
      <c r="F3068" s="200">
        <v>45911.58333333333</v>
      </c>
      <c r="G3068" s="197" t="s">
        <v>845</v>
      </c>
      <c r="H3068" s="197" t="s">
        <v>870</v>
      </c>
    </row>
    <row r="3069" ht="15.75" customHeight="1">
      <c r="A3069" s="197" t="s">
        <v>77</v>
      </c>
      <c r="B3069" s="197" t="s">
        <v>22</v>
      </c>
      <c r="C3069" s="198" t="s">
        <v>255</v>
      </c>
      <c r="D3069" s="197" t="s">
        <v>256</v>
      </c>
      <c r="E3069" s="199">
        <v>4.0</v>
      </c>
      <c r="F3069" s="200">
        <v>45918.58333333333</v>
      </c>
      <c r="G3069" s="197" t="s">
        <v>845</v>
      </c>
      <c r="H3069" s="197" t="s">
        <v>870</v>
      </c>
    </row>
    <row r="3070" ht="15.75" customHeight="1">
      <c r="A3070" s="197" t="s">
        <v>77</v>
      </c>
      <c r="B3070" s="197" t="s">
        <v>22</v>
      </c>
      <c r="C3070" s="198" t="s">
        <v>255</v>
      </c>
      <c r="D3070" s="197" t="s">
        <v>256</v>
      </c>
      <c r="E3070" s="199">
        <v>5.0</v>
      </c>
      <c r="F3070" s="200">
        <v>45925.58333333333</v>
      </c>
      <c r="G3070" s="197" t="s">
        <v>845</v>
      </c>
      <c r="H3070" s="197" t="s">
        <v>870</v>
      </c>
    </row>
    <row r="3071" ht="15.75" customHeight="1">
      <c r="A3071" s="197" t="s">
        <v>77</v>
      </c>
      <c r="B3071" s="197" t="s">
        <v>22</v>
      </c>
      <c r="C3071" s="198" t="s">
        <v>255</v>
      </c>
      <c r="D3071" s="197" t="s">
        <v>256</v>
      </c>
      <c r="E3071" s="199">
        <v>6.0</v>
      </c>
      <c r="F3071" s="200">
        <v>45932.58333333333</v>
      </c>
      <c r="G3071" s="197" t="s">
        <v>845</v>
      </c>
      <c r="H3071" s="197" t="s">
        <v>870</v>
      </c>
    </row>
    <row r="3072" ht="15.75" customHeight="1">
      <c r="A3072" s="197" t="s">
        <v>77</v>
      </c>
      <c r="B3072" s="197" t="s">
        <v>22</v>
      </c>
      <c r="C3072" s="198" t="s">
        <v>255</v>
      </c>
      <c r="D3072" s="197" t="s">
        <v>256</v>
      </c>
      <c r="E3072" s="199">
        <v>7.0</v>
      </c>
      <c r="F3072" s="200">
        <v>45946.58333333333</v>
      </c>
      <c r="G3072" s="197" t="s">
        <v>845</v>
      </c>
      <c r="H3072" s="197" t="s">
        <v>870</v>
      </c>
    </row>
    <row r="3073" ht="15.75" customHeight="1">
      <c r="A3073" s="197" t="s">
        <v>77</v>
      </c>
      <c r="B3073" s="197" t="s">
        <v>22</v>
      </c>
      <c r="C3073" s="198" t="s">
        <v>255</v>
      </c>
      <c r="D3073" s="197" t="s">
        <v>256</v>
      </c>
      <c r="E3073" s="199">
        <v>8.0</v>
      </c>
      <c r="F3073" s="200">
        <v>45953.58333333333</v>
      </c>
      <c r="G3073" s="197" t="s">
        <v>845</v>
      </c>
      <c r="H3073" s="197" t="s">
        <v>870</v>
      </c>
    </row>
    <row r="3074" ht="15.75" customHeight="1">
      <c r="A3074" s="197" t="s">
        <v>77</v>
      </c>
      <c r="B3074" s="197" t="s">
        <v>22</v>
      </c>
      <c r="C3074" s="198" t="s">
        <v>255</v>
      </c>
      <c r="D3074" s="197" t="s">
        <v>256</v>
      </c>
      <c r="E3074" s="199">
        <v>9.0</v>
      </c>
      <c r="F3074" s="200">
        <v>45960.58333333333</v>
      </c>
      <c r="G3074" s="197" t="s">
        <v>845</v>
      </c>
      <c r="H3074" s="197" t="s">
        <v>870</v>
      </c>
    </row>
    <row r="3075" ht="15.75" customHeight="1">
      <c r="A3075" s="197" t="s">
        <v>77</v>
      </c>
      <c r="B3075" s="197" t="s">
        <v>22</v>
      </c>
      <c r="C3075" s="198" t="s">
        <v>255</v>
      </c>
      <c r="D3075" s="197" t="s">
        <v>256</v>
      </c>
      <c r="E3075" s="199">
        <v>10.0</v>
      </c>
      <c r="F3075" s="200">
        <v>45966.58333333333</v>
      </c>
      <c r="G3075" s="197" t="s">
        <v>845</v>
      </c>
      <c r="H3075" s="197" t="s">
        <v>870</v>
      </c>
    </row>
    <row r="3076" ht="15.75" customHeight="1">
      <c r="A3076" s="197" t="s">
        <v>77</v>
      </c>
      <c r="B3076" s="197" t="s">
        <v>22</v>
      </c>
      <c r="C3076" s="198" t="s">
        <v>255</v>
      </c>
      <c r="D3076" s="197" t="s">
        <v>256</v>
      </c>
      <c r="E3076" s="199">
        <v>11.0</v>
      </c>
      <c r="F3076" s="200">
        <v>45982.58333333333</v>
      </c>
      <c r="G3076" s="197" t="s">
        <v>845</v>
      </c>
      <c r="H3076" s="197" t="s">
        <v>870</v>
      </c>
    </row>
    <row r="3077" ht="15.75" customHeight="1">
      <c r="A3077" s="197" t="s">
        <v>77</v>
      </c>
      <c r="B3077" s="197" t="s">
        <v>22</v>
      </c>
      <c r="C3077" s="198" t="s">
        <v>255</v>
      </c>
      <c r="D3077" s="197" t="s">
        <v>256</v>
      </c>
      <c r="E3077" s="199">
        <v>12.0</v>
      </c>
      <c r="F3077" s="200">
        <v>45988.58333333333</v>
      </c>
      <c r="G3077" s="197" t="s">
        <v>845</v>
      </c>
      <c r="H3077" s="197" t="s">
        <v>870</v>
      </c>
    </row>
    <row r="3078" ht="15.75" customHeight="1">
      <c r="A3078" s="197" t="s">
        <v>77</v>
      </c>
      <c r="B3078" s="197" t="s">
        <v>22</v>
      </c>
      <c r="C3078" s="198" t="s">
        <v>255</v>
      </c>
      <c r="D3078" s="197" t="s">
        <v>256</v>
      </c>
      <c r="E3078" s="199">
        <v>13.0</v>
      </c>
      <c r="F3078" s="200">
        <v>45995.58333333333</v>
      </c>
      <c r="G3078" s="197" t="s">
        <v>845</v>
      </c>
      <c r="H3078" s="197" t="s">
        <v>870</v>
      </c>
    </row>
    <row r="3079" ht="15.75" customHeight="1">
      <c r="A3079" s="197" t="s">
        <v>77</v>
      </c>
      <c r="B3079" s="197" t="s">
        <v>22</v>
      </c>
      <c r="C3079" s="198" t="s">
        <v>255</v>
      </c>
      <c r="D3079" s="197" t="s">
        <v>256</v>
      </c>
      <c r="E3079" s="199">
        <v>14.0</v>
      </c>
      <c r="F3079" s="200">
        <v>45999.45833333333</v>
      </c>
      <c r="G3079" s="197" t="s">
        <v>843</v>
      </c>
      <c r="H3079" s="197" t="s">
        <v>870</v>
      </c>
    </row>
    <row r="3080" ht="15.75" customHeight="1">
      <c r="A3080" s="197" t="s">
        <v>77</v>
      </c>
      <c r="B3080" s="197" t="s">
        <v>22</v>
      </c>
      <c r="C3080" s="198" t="s">
        <v>255</v>
      </c>
      <c r="D3080" s="197" t="s">
        <v>256</v>
      </c>
      <c r="E3080" s="199">
        <v>15.0</v>
      </c>
      <c r="F3080" s="200">
        <v>46014.625</v>
      </c>
      <c r="G3080" s="197" t="s">
        <v>845</v>
      </c>
      <c r="H3080" s="197" t="s">
        <v>870</v>
      </c>
    </row>
    <row r="3081" ht="15.75" customHeight="1">
      <c r="A3081" s="197" t="s">
        <v>77</v>
      </c>
      <c r="B3081" s="197" t="s">
        <v>22</v>
      </c>
      <c r="C3081" s="198" t="s">
        <v>255</v>
      </c>
      <c r="D3081" s="197" t="s">
        <v>256</v>
      </c>
      <c r="E3081" s="199">
        <v>16.0</v>
      </c>
      <c r="F3081" s="200">
        <v>46044.54166666667</v>
      </c>
      <c r="G3081" s="197" t="s">
        <v>845</v>
      </c>
      <c r="H3081" s="197" t="s">
        <v>870</v>
      </c>
    </row>
    <row r="3082" ht="15.75" customHeight="1">
      <c r="A3082" s="197" t="s">
        <v>77</v>
      </c>
      <c r="B3082" s="197" t="s">
        <v>23</v>
      </c>
      <c r="C3082" s="198" t="s">
        <v>255</v>
      </c>
      <c r="D3082" s="197" t="s">
        <v>256</v>
      </c>
      <c r="E3082" s="199">
        <v>2.0</v>
      </c>
      <c r="F3082" s="200">
        <v>46107.58333333333</v>
      </c>
      <c r="G3082" s="197" t="s">
        <v>845</v>
      </c>
      <c r="H3082" s="197" t="s">
        <v>870</v>
      </c>
    </row>
    <row r="3083" ht="15.75" customHeight="1">
      <c r="A3083" s="197" t="s">
        <v>77</v>
      </c>
      <c r="B3083" s="197" t="s">
        <v>23</v>
      </c>
      <c r="C3083" s="198" t="s">
        <v>255</v>
      </c>
      <c r="D3083" s="197" t="s">
        <v>256</v>
      </c>
      <c r="E3083" s="199">
        <v>3.0</v>
      </c>
      <c r="F3083" s="200">
        <v>46114.58333333333</v>
      </c>
      <c r="G3083" s="197" t="s">
        <v>845</v>
      </c>
      <c r="H3083" s="197" t="s">
        <v>870</v>
      </c>
    </row>
    <row r="3084" ht="15.75" customHeight="1">
      <c r="A3084" s="197" t="s">
        <v>77</v>
      </c>
      <c r="B3084" s="197" t="s">
        <v>23</v>
      </c>
      <c r="C3084" s="198" t="s">
        <v>255</v>
      </c>
      <c r="D3084" s="197" t="s">
        <v>256</v>
      </c>
      <c r="E3084" s="199">
        <v>4.0</v>
      </c>
      <c r="F3084" s="200">
        <v>46121.58333333333</v>
      </c>
      <c r="G3084" s="197" t="s">
        <v>845</v>
      </c>
      <c r="H3084" s="197" t="s">
        <v>870</v>
      </c>
    </row>
    <row r="3085" ht="15.75" customHeight="1">
      <c r="A3085" s="197" t="s">
        <v>77</v>
      </c>
      <c r="B3085" s="197" t="s">
        <v>23</v>
      </c>
      <c r="C3085" s="198" t="s">
        <v>255</v>
      </c>
      <c r="D3085" s="197" t="s">
        <v>256</v>
      </c>
      <c r="E3085" s="199">
        <v>5.0</v>
      </c>
      <c r="F3085" s="200">
        <v>46128.58333333333</v>
      </c>
      <c r="G3085" s="197" t="s">
        <v>845</v>
      </c>
      <c r="H3085" s="197" t="s">
        <v>870</v>
      </c>
    </row>
    <row r="3086" ht="15.75" customHeight="1">
      <c r="A3086" s="197" t="s">
        <v>77</v>
      </c>
      <c r="B3086" s="197" t="s">
        <v>23</v>
      </c>
      <c r="C3086" s="198" t="s">
        <v>255</v>
      </c>
      <c r="D3086" s="197" t="s">
        <v>256</v>
      </c>
      <c r="E3086" s="199">
        <v>6.0</v>
      </c>
      <c r="F3086" s="200">
        <v>46135.58333333333</v>
      </c>
      <c r="G3086" s="197" t="s">
        <v>845</v>
      </c>
      <c r="H3086" s="197" t="s">
        <v>870</v>
      </c>
    </row>
    <row r="3087" ht="15.75" customHeight="1">
      <c r="A3087" s="197" t="s">
        <v>77</v>
      </c>
      <c r="B3087" s="197" t="s">
        <v>21</v>
      </c>
      <c r="C3087" s="198" t="s">
        <v>273</v>
      </c>
      <c r="D3087" s="197" t="s">
        <v>274</v>
      </c>
      <c r="E3087" s="199">
        <v>1.0</v>
      </c>
      <c r="F3087" s="200">
        <v>45715.58333333333</v>
      </c>
      <c r="G3087" s="197" t="s">
        <v>843</v>
      </c>
      <c r="H3087" s="197" t="s">
        <v>870</v>
      </c>
    </row>
    <row r="3088" ht="15.75" customHeight="1">
      <c r="A3088" s="197" t="s">
        <v>77</v>
      </c>
      <c r="B3088" s="197" t="s">
        <v>21</v>
      </c>
      <c r="C3088" s="198" t="s">
        <v>273</v>
      </c>
      <c r="D3088" s="197" t="s">
        <v>274</v>
      </c>
      <c r="E3088" s="199">
        <v>2.0</v>
      </c>
      <c r="F3088" s="200">
        <v>45756.58333333333</v>
      </c>
      <c r="G3088" s="197" t="s">
        <v>845</v>
      </c>
      <c r="H3088" s="197" t="s">
        <v>870</v>
      </c>
    </row>
    <row r="3089" ht="15.75" customHeight="1">
      <c r="A3089" s="197" t="s">
        <v>77</v>
      </c>
      <c r="B3089" s="197" t="s">
        <v>21</v>
      </c>
      <c r="C3089" s="198" t="s">
        <v>273</v>
      </c>
      <c r="D3089" s="197" t="s">
        <v>274</v>
      </c>
      <c r="E3089" s="199">
        <v>3.0</v>
      </c>
      <c r="F3089" s="200">
        <v>45771.54166666667</v>
      </c>
      <c r="G3089" s="197" t="s">
        <v>843</v>
      </c>
      <c r="H3089" s="197" t="s">
        <v>870</v>
      </c>
    </row>
    <row r="3090" ht="15.75" customHeight="1">
      <c r="A3090" s="197" t="s">
        <v>77</v>
      </c>
      <c r="B3090" s="197" t="s">
        <v>21</v>
      </c>
      <c r="C3090" s="198" t="s">
        <v>273</v>
      </c>
      <c r="D3090" s="197" t="s">
        <v>274</v>
      </c>
      <c r="E3090" s="199">
        <v>4.0</v>
      </c>
      <c r="F3090" s="200">
        <v>45786.54166666667</v>
      </c>
      <c r="G3090" s="197" t="s">
        <v>843</v>
      </c>
      <c r="H3090" s="197" t="s">
        <v>870</v>
      </c>
    </row>
    <row r="3091" ht="15.75" customHeight="1">
      <c r="A3091" s="197" t="s">
        <v>77</v>
      </c>
      <c r="B3091" s="197" t="s">
        <v>21</v>
      </c>
      <c r="C3091" s="198" t="s">
        <v>273</v>
      </c>
      <c r="D3091" s="197" t="s">
        <v>274</v>
      </c>
      <c r="E3091" s="199">
        <v>5.0</v>
      </c>
      <c r="F3091" s="200">
        <v>45790.54166666667</v>
      </c>
      <c r="G3091" s="197" t="s">
        <v>843</v>
      </c>
      <c r="H3091" s="197" t="s">
        <v>870</v>
      </c>
    </row>
    <row r="3092" ht="15.75" customHeight="1">
      <c r="A3092" s="197" t="s">
        <v>77</v>
      </c>
      <c r="B3092" s="197" t="s">
        <v>21</v>
      </c>
      <c r="C3092" s="198" t="s">
        <v>273</v>
      </c>
      <c r="D3092" s="197" t="s">
        <v>274</v>
      </c>
      <c r="E3092" s="199">
        <v>6.0</v>
      </c>
      <c r="F3092" s="200">
        <v>45799.54166666667</v>
      </c>
      <c r="G3092" s="197" t="s">
        <v>843</v>
      </c>
      <c r="H3092" s="197" t="s">
        <v>870</v>
      </c>
    </row>
    <row r="3093" ht="15.75" customHeight="1">
      <c r="A3093" s="197" t="s">
        <v>77</v>
      </c>
      <c r="B3093" s="197" t="s">
        <v>21</v>
      </c>
      <c r="C3093" s="198" t="s">
        <v>273</v>
      </c>
      <c r="D3093" s="197" t="s">
        <v>274</v>
      </c>
      <c r="E3093" s="199">
        <v>7.0</v>
      </c>
      <c r="F3093" s="200">
        <v>45805.54166666667</v>
      </c>
      <c r="G3093" s="197" t="s">
        <v>845</v>
      </c>
      <c r="H3093" s="197" t="s">
        <v>870</v>
      </c>
    </row>
    <row r="3094" ht="15.75" customHeight="1">
      <c r="A3094" s="197" t="s">
        <v>77</v>
      </c>
      <c r="B3094" s="197" t="s">
        <v>21</v>
      </c>
      <c r="C3094" s="198" t="s">
        <v>273</v>
      </c>
      <c r="D3094" s="197" t="s">
        <v>274</v>
      </c>
      <c r="E3094" s="199">
        <v>8.0</v>
      </c>
      <c r="F3094" s="200">
        <v>45813.58333333333</v>
      </c>
      <c r="G3094" s="197" t="s">
        <v>845</v>
      </c>
      <c r="H3094" s="197" t="s">
        <v>870</v>
      </c>
    </row>
    <row r="3095" ht="15.75" customHeight="1">
      <c r="A3095" s="197" t="s">
        <v>77</v>
      </c>
      <c r="B3095" s="197" t="s">
        <v>21</v>
      </c>
      <c r="C3095" s="198" t="s">
        <v>273</v>
      </c>
      <c r="D3095" s="197" t="s">
        <v>274</v>
      </c>
      <c r="E3095" s="199">
        <v>9.0</v>
      </c>
      <c r="F3095" s="200">
        <v>45820.58333333333</v>
      </c>
      <c r="G3095" s="197" t="s">
        <v>845</v>
      </c>
      <c r="H3095" s="197" t="s">
        <v>870</v>
      </c>
    </row>
    <row r="3096" ht="15.75" customHeight="1">
      <c r="A3096" s="197" t="s">
        <v>77</v>
      </c>
      <c r="B3096" s="197" t="s">
        <v>21</v>
      </c>
      <c r="C3096" s="198" t="s">
        <v>273</v>
      </c>
      <c r="D3096" s="197" t="s">
        <v>274</v>
      </c>
      <c r="E3096" s="199">
        <v>10.0</v>
      </c>
      <c r="F3096" s="200">
        <v>45849.54166666667</v>
      </c>
      <c r="G3096" s="197" t="s">
        <v>845</v>
      </c>
      <c r="H3096" s="197" t="s">
        <v>870</v>
      </c>
    </row>
    <row r="3097" ht="15.75" customHeight="1">
      <c r="A3097" s="197" t="s">
        <v>77</v>
      </c>
      <c r="B3097" s="197" t="s">
        <v>21</v>
      </c>
      <c r="C3097" s="198" t="s">
        <v>302</v>
      </c>
      <c r="D3097" s="197" t="s">
        <v>303</v>
      </c>
      <c r="E3097" s="199">
        <v>1.0</v>
      </c>
      <c r="F3097" s="200">
        <v>45715.58333333333</v>
      </c>
      <c r="G3097" s="197" t="s">
        <v>845</v>
      </c>
      <c r="H3097" s="197" t="s">
        <v>870</v>
      </c>
    </row>
    <row r="3098" ht="15.75" customHeight="1">
      <c r="A3098" s="197" t="s">
        <v>77</v>
      </c>
      <c r="B3098" s="197" t="s">
        <v>21</v>
      </c>
      <c r="C3098" s="198" t="s">
        <v>302</v>
      </c>
      <c r="D3098" s="197" t="s">
        <v>303</v>
      </c>
      <c r="E3098" s="199">
        <v>2.0</v>
      </c>
      <c r="F3098" s="200">
        <v>45756.58333333333</v>
      </c>
      <c r="G3098" s="197" t="s">
        <v>845</v>
      </c>
      <c r="H3098" s="197" t="s">
        <v>870</v>
      </c>
    </row>
    <row r="3099" ht="15.75" customHeight="1">
      <c r="A3099" s="197" t="s">
        <v>77</v>
      </c>
      <c r="B3099" s="197" t="s">
        <v>21</v>
      </c>
      <c r="C3099" s="198" t="s">
        <v>302</v>
      </c>
      <c r="D3099" s="197" t="s">
        <v>303</v>
      </c>
      <c r="E3099" s="199">
        <v>3.0</v>
      </c>
      <c r="F3099" s="200">
        <v>45771.54166666667</v>
      </c>
      <c r="G3099" s="197" t="s">
        <v>845</v>
      </c>
      <c r="H3099" s="197" t="s">
        <v>870</v>
      </c>
    </row>
    <row r="3100" ht="15.75" customHeight="1">
      <c r="A3100" s="197" t="s">
        <v>77</v>
      </c>
      <c r="B3100" s="197" t="s">
        <v>21</v>
      </c>
      <c r="C3100" s="198" t="s">
        <v>302</v>
      </c>
      <c r="D3100" s="197" t="s">
        <v>303</v>
      </c>
      <c r="E3100" s="199">
        <v>4.0</v>
      </c>
      <c r="F3100" s="200">
        <v>45786.54166666667</v>
      </c>
      <c r="G3100" s="197" t="s">
        <v>843</v>
      </c>
      <c r="H3100" s="197" t="s">
        <v>870</v>
      </c>
    </row>
    <row r="3101" ht="15.75" customHeight="1">
      <c r="A3101" s="197" t="s">
        <v>77</v>
      </c>
      <c r="B3101" s="197" t="s">
        <v>21</v>
      </c>
      <c r="C3101" s="198" t="s">
        <v>302</v>
      </c>
      <c r="D3101" s="197" t="s">
        <v>303</v>
      </c>
      <c r="E3101" s="199">
        <v>5.0</v>
      </c>
      <c r="F3101" s="200">
        <v>45790.54166666667</v>
      </c>
      <c r="G3101" s="197" t="s">
        <v>845</v>
      </c>
      <c r="H3101" s="197" t="s">
        <v>870</v>
      </c>
    </row>
    <row r="3102" ht="15.75" customHeight="1">
      <c r="A3102" s="197" t="s">
        <v>77</v>
      </c>
      <c r="B3102" s="197" t="s">
        <v>21</v>
      </c>
      <c r="C3102" s="198" t="s">
        <v>302</v>
      </c>
      <c r="D3102" s="197" t="s">
        <v>303</v>
      </c>
      <c r="E3102" s="199">
        <v>6.0</v>
      </c>
      <c r="F3102" s="200">
        <v>45799.54166666667</v>
      </c>
      <c r="G3102" s="197" t="s">
        <v>843</v>
      </c>
      <c r="H3102" s="197" t="s">
        <v>870</v>
      </c>
    </row>
    <row r="3103" ht="15.75" customHeight="1">
      <c r="A3103" s="197" t="s">
        <v>77</v>
      </c>
      <c r="B3103" s="197" t="s">
        <v>21</v>
      </c>
      <c r="C3103" s="198" t="s">
        <v>302</v>
      </c>
      <c r="D3103" s="197" t="s">
        <v>303</v>
      </c>
      <c r="E3103" s="199">
        <v>7.0</v>
      </c>
      <c r="F3103" s="200">
        <v>45805.54166666667</v>
      </c>
      <c r="G3103" s="197" t="s">
        <v>845</v>
      </c>
      <c r="H3103" s="197" t="s">
        <v>870</v>
      </c>
    </row>
    <row r="3104" ht="15.75" customHeight="1">
      <c r="A3104" s="197" t="s">
        <v>77</v>
      </c>
      <c r="B3104" s="197" t="s">
        <v>21</v>
      </c>
      <c r="C3104" s="198" t="s">
        <v>302</v>
      </c>
      <c r="D3104" s="197" t="s">
        <v>303</v>
      </c>
      <c r="E3104" s="199">
        <v>8.0</v>
      </c>
      <c r="F3104" s="200">
        <v>45813.58333333333</v>
      </c>
      <c r="G3104" s="197" t="s">
        <v>845</v>
      </c>
      <c r="H3104" s="197" t="s">
        <v>870</v>
      </c>
    </row>
    <row r="3105" ht="15.75" customHeight="1">
      <c r="A3105" s="197" t="s">
        <v>77</v>
      </c>
      <c r="B3105" s="197" t="s">
        <v>21</v>
      </c>
      <c r="C3105" s="198" t="s">
        <v>302</v>
      </c>
      <c r="D3105" s="197" t="s">
        <v>303</v>
      </c>
      <c r="E3105" s="199">
        <v>9.0</v>
      </c>
      <c r="F3105" s="200">
        <v>45820.58333333333</v>
      </c>
      <c r="G3105" s="197" t="s">
        <v>845</v>
      </c>
      <c r="H3105" s="197" t="s">
        <v>870</v>
      </c>
    </row>
    <row r="3106" ht="15.75" customHeight="1">
      <c r="A3106" s="197" t="s">
        <v>77</v>
      </c>
      <c r="B3106" s="197" t="s">
        <v>21</v>
      </c>
      <c r="C3106" s="198" t="s">
        <v>302</v>
      </c>
      <c r="D3106" s="197" t="s">
        <v>303</v>
      </c>
      <c r="E3106" s="199">
        <v>10.0</v>
      </c>
      <c r="F3106" s="200">
        <v>45849.54166666667</v>
      </c>
      <c r="G3106" s="197" t="s">
        <v>845</v>
      </c>
      <c r="H3106" s="197" t="s">
        <v>870</v>
      </c>
    </row>
    <row r="3107" ht="15.75" customHeight="1">
      <c r="A3107" s="197" t="s">
        <v>77</v>
      </c>
      <c r="B3107" s="197" t="s">
        <v>21</v>
      </c>
      <c r="C3107" s="198" t="s">
        <v>421</v>
      </c>
      <c r="D3107" s="197" t="s">
        <v>422</v>
      </c>
      <c r="E3107" s="199">
        <v>1.0</v>
      </c>
      <c r="F3107" s="200">
        <v>45715.58333333333</v>
      </c>
      <c r="G3107" s="197" t="s">
        <v>845</v>
      </c>
      <c r="H3107" s="197" t="s">
        <v>870</v>
      </c>
    </row>
    <row r="3108" ht="15.75" customHeight="1">
      <c r="A3108" s="197" t="s">
        <v>77</v>
      </c>
      <c r="B3108" s="197" t="s">
        <v>21</v>
      </c>
      <c r="C3108" s="198" t="s">
        <v>421</v>
      </c>
      <c r="D3108" s="197" t="s">
        <v>422</v>
      </c>
      <c r="E3108" s="199">
        <v>2.0</v>
      </c>
      <c r="F3108" s="200">
        <v>45756.58333333333</v>
      </c>
      <c r="G3108" s="197" t="s">
        <v>845</v>
      </c>
      <c r="H3108" s="197" t="s">
        <v>870</v>
      </c>
    </row>
    <row r="3109" ht="15.75" customHeight="1">
      <c r="A3109" s="197" t="s">
        <v>77</v>
      </c>
      <c r="B3109" s="197" t="s">
        <v>21</v>
      </c>
      <c r="C3109" s="198" t="s">
        <v>421</v>
      </c>
      <c r="D3109" s="197" t="s">
        <v>422</v>
      </c>
      <c r="E3109" s="199">
        <v>3.0</v>
      </c>
      <c r="F3109" s="200">
        <v>45771.54166666667</v>
      </c>
      <c r="G3109" s="197" t="s">
        <v>845</v>
      </c>
      <c r="H3109" s="197" t="s">
        <v>870</v>
      </c>
    </row>
    <row r="3110" ht="15.75" customHeight="1">
      <c r="A3110" s="197" t="s">
        <v>77</v>
      </c>
      <c r="B3110" s="197" t="s">
        <v>21</v>
      </c>
      <c r="C3110" s="198" t="s">
        <v>421</v>
      </c>
      <c r="D3110" s="197" t="s">
        <v>422</v>
      </c>
      <c r="E3110" s="199">
        <v>4.0</v>
      </c>
      <c r="F3110" s="200">
        <v>45786.54166666667</v>
      </c>
      <c r="G3110" s="197" t="s">
        <v>845</v>
      </c>
      <c r="H3110" s="197" t="s">
        <v>870</v>
      </c>
    </row>
    <row r="3111" ht="15.75" customHeight="1">
      <c r="A3111" s="197" t="s">
        <v>77</v>
      </c>
      <c r="B3111" s="197" t="s">
        <v>21</v>
      </c>
      <c r="C3111" s="198" t="s">
        <v>421</v>
      </c>
      <c r="D3111" s="197" t="s">
        <v>422</v>
      </c>
      <c r="E3111" s="199">
        <v>5.0</v>
      </c>
      <c r="F3111" s="200">
        <v>45790.54166666667</v>
      </c>
      <c r="G3111" s="197" t="s">
        <v>845</v>
      </c>
      <c r="H3111" s="197" t="s">
        <v>870</v>
      </c>
    </row>
    <row r="3112" ht="15.75" customHeight="1">
      <c r="A3112" s="197" t="s">
        <v>77</v>
      </c>
      <c r="B3112" s="197" t="s">
        <v>21</v>
      </c>
      <c r="C3112" s="198" t="s">
        <v>421</v>
      </c>
      <c r="D3112" s="197" t="s">
        <v>422</v>
      </c>
      <c r="E3112" s="199">
        <v>6.0</v>
      </c>
      <c r="F3112" s="200">
        <v>45799.54166666667</v>
      </c>
      <c r="G3112" s="197" t="s">
        <v>845</v>
      </c>
      <c r="H3112" s="197" t="s">
        <v>870</v>
      </c>
    </row>
    <row r="3113" ht="15.75" customHeight="1">
      <c r="A3113" s="197" t="s">
        <v>77</v>
      </c>
      <c r="B3113" s="197" t="s">
        <v>21</v>
      </c>
      <c r="C3113" s="198" t="s">
        <v>421</v>
      </c>
      <c r="D3113" s="197" t="s">
        <v>422</v>
      </c>
      <c r="E3113" s="199">
        <v>7.0</v>
      </c>
      <c r="F3113" s="200">
        <v>45805.54166666667</v>
      </c>
      <c r="G3113" s="197" t="s">
        <v>845</v>
      </c>
      <c r="H3113" s="197" t="s">
        <v>870</v>
      </c>
    </row>
    <row r="3114" ht="15.75" customHeight="1">
      <c r="A3114" s="197" t="s">
        <v>77</v>
      </c>
      <c r="B3114" s="197" t="s">
        <v>21</v>
      </c>
      <c r="C3114" s="198" t="s">
        <v>421</v>
      </c>
      <c r="D3114" s="197" t="s">
        <v>422</v>
      </c>
      <c r="E3114" s="199">
        <v>8.0</v>
      </c>
      <c r="F3114" s="200">
        <v>45813.58333333333</v>
      </c>
      <c r="G3114" s="197" t="s">
        <v>845</v>
      </c>
      <c r="H3114" s="197" t="s">
        <v>870</v>
      </c>
    </row>
    <row r="3115" ht="15.75" customHeight="1">
      <c r="A3115" s="197" t="s">
        <v>77</v>
      </c>
      <c r="B3115" s="197" t="s">
        <v>21</v>
      </c>
      <c r="C3115" s="198" t="s">
        <v>421</v>
      </c>
      <c r="D3115" s="197" t="s">
        <v>422</v>
      </c>
      <c r="E3115" s="199">
        <v>9.0</v>
      </c>
      <c r="F3115" s="200">
        <v>45820.58333333333</v>
      </c>
      <c r="G3115" s="197" t="s">
        <v>845</v>
      </c>
      <c r="H3115" s="197" t="s">
        <v>870</v>
      </c>
    </row>
    <row r="3116" ht="15.75" customHeight="1">
      <c r="A3116" s="197" t="s">
        <v>77</v>
      </c>
      <c r="B3116" s="197" t="s">
        <v>21</v>
      </c>
      <c r="C3116" s="198" t="s">
        <v>421</v>
      </c>
      <c r="D3116" s="197" t="s">
        <v>422</v>
      </c>
      <c r="E3116" s="199">
        <v>10.0</v>
      </c>
      <c r="F3116" s="200">
        <v>45849.54166666667</v>
      </c>
      <c r="G3116" s="197" t="s">
        <v>845</v>
      </c>
      <c r="H3116" s="197" t="s">
        <v>870</v>
      </c>
    </row>
    <row r="3117" ht="15.75" customHeight="1">
      <c r="A3117" s="197" t="s">
        <v>77</v>
      </c>
      <c r="B3117" s="197" t="s">
        <v>22</v>
      </c>
      <c r="C3117" s="198" t="s">
        <v>421</v>
      </c>
      <c r="D3117" s="197" t="s">
        <v>422</v>
      </c>
      <c r="E3117" s="199">
        <v>1.0</v>
      </c>
      <c r="F3117" s="200">
        <v>45890.54166666667</v>
      </c>
      <c r="G3117" s="197" t="s">
        <v>845</v>
      </c>
      <c r="H3117" s="197" t="s">
        <v>870</v>
      </c>
    </row>
    <row r="3118" ht="15.75" customHeight="1">
      <c r="A3118" s="197" t="s">
        <v>77</v>
      </c>
      <c r="B3118" s="197" t="s">
        <v>22</v>
      </c>
      <c r="C3118" s="198" t="s">
        <v>421</v>
      </c>
      <c r="D3118" s="197" t="s">
        <v>422</v>
      </c>
      <c r="E3118" s="199">
        <v>2.0</v>
      </c>
      <c r="F3118" s="200">
        <v>45897.58333333333</v>
      </c>
      <c r="G3118" s="197" t="s">
        <v>845</v>
      </c>
      <c r="H3118" s="197" t="s">
        <v>870</v>
      </c>
    </row>
    <row r="3119" ht="15.75" customHeight="1">
      <c r="A3119" s="197" t="s">
        <v>77</v>
      </c>
      <c r="B3119" s="197" t="s">
        <v>22</v>
      </c>
      <c r="C3119" s="198" t="s">
        <v>421</v>
      </c>
      <c r="D3119" s="197" t="s">
        <v>422</v>
      </c>
      <c r="E3119" s="199">
        <v>3.0</v>
      </c>
      <c r="F3119" s="200">
        <v>45911.58333333333</v>
      </c>
      <c r="G3119" s="197" t="s">
        <v>843</v>
      </c>
      <c r="H3119" s="197" t="s">
        <v>870</v>
      </c>
    </row>
    <row r="3120" ht="15.75" customHeight="1">
      <c r="A3120" s="197" t="s">
        <v>77</v>
      </c>
      <c r="B3120" s="197" t="s">
        <v>22</v>
      </c>
      <c r="C3120" s="198" t="s">
        <v>421</v>
      </c>
      <c r="D3120" s="197" t="s">
        <v>422</v>
      </c>
      <c r="E3120" s="199">
        <v>4.0</v>
      </c>
      <c r="F3120" s="200">
        <v>45918.58333333333</v>
      </c>
      <c r="G3120" s="197" t="s">
        <v>845</v>
      </c>
      <c r="H3120" s="197" t="s">
        <v>870</v>
      </c>
    </row>
    <row r="3121" ht="15.75" customHeight="1">
      <c r="A3121" s="197" t="s">
        <v>77</v>
      </c>
      <c r="B3121" s="197" t="s">
        <v>22</v>
      </c>
      <c r="C3121" s="198" t="s">
        <v>421</v>
      </c>
      <c r="D3121" s="197" t="s">
        <v>422</v>
      </c>
      <c r="E3121" s="199">
        <v>5.0</v>
      </c>
      <c r="F3121" s="200">
        <v>45925.58333333333</v>
      </c>
      <c r="G3121" s="197" t="s">
        <v>845</v>
      </c>
      <c r="H3121" s="197" t="s">
        <v>870</v>
      </c>
    </row>
    <row r="3122" ht="15.75" customHeight="1">
      <c r="A3122" s="197" t="s">
        <v>77</v>
      </c>
      <c r="B3122" s="197" t="s">
        <v>22</v>
      </c>
      <c r="C3122" s="198" t="s">
        <v>421</v>
      </c>
      <c r="D3122" s="197" t="s">
        <v>422</v>
      </c>
      <c r="E3122" s="199">
        <v>6.0</v>
      </c>
      <c r="F3122" s="200">
        <v>45932.58333333333</v>
      </c>
      <c r="G3122" s="197" t="s">
        <v>845</v>
      </c>
      <c r="H3122" s="197" t="s">
        <v>870</v>
      </c>
    </row>
    <row r="3123" ht="15.75" customHeight="1">
      <c r="A3123" s="197" t="s">
        <v>77</v>
      </c>
      <c r="B3123" s="197" t="s">
        <v>22</v>
      </c>
      <c r="C3123" s="198" t="s">
        <v>421</v>
      </c>
      <c r="D3123" s="197" t="s">
        <v>422</v>
      </c>
      <c r="E3123" s="199">
        <v>7.0</v>
      </c>
      <c r="F3123" s="200">
        <v>45946.58333333333</v>
      </c>
      <c r="G3123" s="197" t="s">
        <v>845</v>
      </c>
      <c r="H3123" s="197" t="s">
        <v>870</v>
      </c>
    </row>
    <row r="3124" ht="15.75" customHeight="1">
      <c r="A3124" s="197" t="s">
        <v>77</v>
      </c>
      <c r="B3124" s="197" t="s">
        <v>22</v>
      </c>
      <c r="C3124" s="198" t="s">
        <v>421</v>
      </c>
      <c r="D3124" s="197" t="s">
        <v>422</v>
      </c>
      <c r="E3124" s="199">
        <v>8.0</v>
      </c>
      <c r="F3124" s="200">
        <v>45953.58333333333</v>
      </c>
      <c r="G3124" s="197" t="s">
        <v>845</v>
      </c>
      <c r="H3124" s="197" t="s">
        <v>870</v>
      </c>
    </row>
    <row r="3125" ht="15.75" customHeight="1">
      <c r="A3125" s="197" t="s">
        <v>77</v>
      </c>
      <c r="B3125" s="197" t="s">
        <v>22</v>
      </c>
      <c r="C3125" s="198" t="s">
        <v>421</v>
      </c>
      <c r="D3125" s="197" t="s">
        <v>422</v>
      </c>
      <c r="E3125" s="199">
        <v>9.0</v>
      </c>
      <c r="F3125" s="200">
        <v>45960.58333333333</v>
      </c>
      <c r="G3125" s="197" t="s">
        <v>845</v>
      </c>
      <c r="H3125" s="197" t="s">
        <v>870</v>
      </c>
    </row>
    <row r="3126" ht="15.75" customHeight="1">
      <c r="A3126" s="197" t="s">
        <v>77</v>
      </c>
      <c r="B3126" s="197" t="s">
        <v>22</v>
      </c>
      <c r="C3126" s="198" t="s">
        <v>421</v>
      </c>
      <c r="D3126" s="197" t="s">
        <v>422</v>
      </c>
      <c r="E3126" s="199">
        <v>10.0</v>
      </c>
      <c r="F3126" s="200">
        <v>45966.58333333333</v>
      </c>
      <c r="G3126" s="197" t="s">
        <v>845</v>
      </c>
      <c r="H3126" s="197" t="s">
        <v>870</v>
      </c>
    </row>
    <row r="3127" ht="15.75" customHeight="1">
      <c r="A3127" s="197" t="s">
        <v>77</v>
      </c>
      <c r="B3127" s="197" t="s">
        <v>22</v>
      </c>
      <c r="C3127" s="198" t="s">
        <v>421</v>
      </c>
      <c r="D3127" s="197" t="s">
        <v>422</v>
      </c>
      <c r="E3127" s="199">
        <v>11.0</v>
      </c>
      <c r="F3127" s="200">
        <v>45982.58333333333</v>
      </c>
      <c r="G3127" s="197" t="s">
        <v>845</v>
      </c>
      <c r="H3127" s="197" t="s">
        <v>870</v>
      </c>
    </row>
    <row r="3128" ht="15.75" customHeight="1">
      <c r="A3128" s="197" t="s">
        <v>77</v>
      </c>
      <c r="B3128" s="197" t="s">
        <v>22</v>
      </c>
      <c r="C3128" s="198" t="s">
        <v>421</v>
      </c>
      <c r="D3128" s="197" t="s">
        <v>422</v>
      </c>
      <c r="E3128" s="199">
        <v>12.0</v>
      </c>
      <c r="F3128" s="200">
        <v>45988.58333333333</v>
      </c>
      <c r="G3128" s="197" t="s">
        <v>845</v>
      </c>
      <c r="H3128" s="197" t="s">
        <v>870</v>
      </c>
    </row>
    <row r="3129" ht="15.75" customHeight="1">
      <c r="A3129" s="197" t="s">
        <v>77</v>
      </c>
      <c r="B3129" s="197" t="s">
        <v>22</v>
      </c>
      <c r="C3129" s="198" t="s">
        <v>421</v>
      </c>
      <c r="D3129" s="197" t="s">
        <v>422</v>
      </c>
      <c r="E3129" s="199">
        <v>13.0</v>
      </c>
      <c r="F3129" s="200">
        <v>45995.58333333333</v>
      </c>
      <c r="G3129" s="197" t="s">
        <v>845</v>
      </c>
      <c r="H3129" s="197" t="s">
        <v>870</v>
      </c>
    </row>
    <row r="3130" ht="15.75" customHeight="1">
      <c r="A3130" s="197" t="s">
        <v>77</v>
      </c>
      <c r="B3130" s="197" t="s">
        <v>22</v>
      </c>
      <c r="C3130" s="198" t="s">
        <v>421</v>
      </c>
      <c r="D3130" s="197" t="s">
        <v>422</v>
      </c>
      <c r="E3130" s="199">
        <v>14.0</v>
      </c>
      <c r="F3130" s="200">
        <v>45999.45833333333</v>
      </c>
      <c r="G3130" s="197" t="s">
        <v>845</v>
      </c>
      <c r="H3130" s="197" t="s">
        <v>870</v>
      </c>
    </row>
    <row r="3131" ht="15.75" customHeight="1">
      <c r="A3131" s="197" t="s">
        <v>77</v>
      </c>
      <c r="B3131" s="197" t="s">
        <v>22</v>
      </c>
      <c r="C3131" s="198" t="s">
        <v>421</v>
      </c>
      <c r="D3131" s="197" t="s">
        <v>422</v>
      </c>
      <c r="E3131" s="199">
        <v>15.0</v>
      </c>
      <c r="F3131" s="200">
        <v>46014.625</v>
      </c>
      <c r="G3131" s="197" t="s">
        <v>845</v>
      </c>
      <c r="H3131" s="197" t="s">
        <v>870</v>
      </c>
    </row>
    <row r="3132" ht="15.75" customHeight="1">
      <c r="A3132" s="197" t="s">
        <v>77</v>
      </c>
      <c r="B3132" s="197" t="s">
        <v>22</v>
      </c>
      <c r="C3132" s="198" t="s">
        <v>421</v>
      </c>
      <c r="D3132" s="197" t="s">
        <v>422</v>
      </c>
      <c r="E3132" s="199">
        <v>16.0</v>
      </c>
      <c r="F3132" s="200">
        <v>46044.54166666667</v>
      </c>
      <c r="G3132" s="197" t="s">
        <v>845</v>
      </c>
      <c r="H3132" s="197" t="s">
        <v>870</v>
      </c>
    </row>
    <row r="3133" ht="15.75" customHeight="1">
      <c r="A3133" s="197" t="s">
        <v>77</v>
      </c>
      <c r="B3133" s="197" t="s">
        <v>23</v>
      </c>
      <c r="C3133" s="198" t="s">
        <v>421</v>
      </c>
      <c r="D3133" s="197" t="s">
        <v>422</v>
      </c>
      <c r="E3133" s="199">
        <v>2.0</v>
      </c>
      <c r="F3133" s="200">
        <v>46107.58333333333</v>
      </c>
      <c r="G3133" s="197" t="s">
        <v>845</v>
      </c>
      <c r="H3133" s="197" t="s">
        <v>870</v>
      </c>
    </row>
    <row r="3134" ht="15.75" customHeight="1">
      <c r="A3134" s="197" t="s">
        <v>77</v>
      </c>
      <c r="B3134" s="197" t="s">
        <v>23</v>
      </c>
      <c r="C3134" s="198" t="s">
        <v>421</v>
      </c>
      <c r="D3134" s="197" t="s">
        <v>422</v>
      </c>
      <c r="E3134" s="199">
        <v>3.0</v>
      </c>
      <c r="F3134" s="200">
        <v>46114.58333333333</v>
      </c>
      <c r="G3134" s="197" t="s">
        <v>845</v>
      </c>
      <c r="H3134" s="197" t="s">
        <v>870</v>
      </c>
    </row>
    <row r="3135" ht="15.75" customHeight="1">
      <c r="A3135" s="197" t="s">
        <v>77</v>
      </c>
      <c r="B3135" s="197" t="s">
        <v>23</v>
      </c>
      <c r="C3135" s="198" t="s">
        <v>421</v>
      </c>
      <c r="D3135" s="197" t="s">
        <v>422</v>
      </c>
      <c r="E3135" s="199">
        <v>4.0</v>
      </c>
      <c r="F3135" s="200">
        <v>46121.58333333333</v>
      </c>
      <c r="G3135" s="197" t="s">
        <v>845</v>
      </c>
      <c r="H3135" s="197" t="s">
        <v>870</v>
      </c>
    </row>
    <row r="3136" ht="15.75" customHeight="1">
      <c r="A3136" s="197" t="s">
        <v>77</v>
      </c>
      <c r="B3136" s="197" t="s">
        <v>23</v>
      </c>
      <c r="C3136" s="198" t="s">
        <v>421</v>
      </c>
      <c r="D3136" s="197" t="s">
        <v>422</v>
      </c>
      <c r="E3136" s="199">
        <v>5.0</v>
      </c>
      <c r="F3136" s="200">
        <v>46128.58333333333</v>
      </c>
      <c r="G3136" s="197" t="s">
        <v>845</v>
      </c>
      <c r="H3136" s="197" t="s">
        <v>870</v>
      </c>
    </row>
    <row r="3137" ht="15.75" customHeight="1">
      <c r="A3137" s="197" t="s">
        <v>77</v>
      </c>
      <c r="B3137" s="197" t="s">
        <v>23</v>
      </c>
      <c r="C3137" s="198" t="s">
        <v>421</v>
      </c>
      <c r="D3137" s="197" t="s">
        <v>422</v>
      </c>
      <c r="E3137" s="199">
        <v>6.0</v>
      </c>
      <c r="F3137" s="200">
        <v>46135.58333333333</v>
      </c>
      <c r="G3137" s="197" t="s">
        <v>843</v>
      </c>
      <c r="H3137" s="197" t="s">
        <v>870</v>
      </c>
    </row>
    <row r="3138" ht="15.75" customHeight="1">
      <c r="A3138" s="197" t="s">
        <v>77</v>
      </c>
      <c r="B3138" s="197" t="s">
        <v>22</v>
      </c>
      <c r="C3138" s="198" t="s">
        <v>433</v>
      </c>
      <c r="D3138" s="197" t="s">
        <v>432</v>
      </c>
      <c r="E3138" s="199">
        <v>1.0</v>
      </c>
      <c r="F3138" s="200">
        <v>45890.54166666667</v>
      </c>
      <c r="G3138" s="197" t="s">
        <v>845</v>
      </c>
      <c r="H3138" s="197" t="s">
        <v>870</v>
      </c>
    </row>
    <row r="3139" ht="15.75" customHeight="1">
      <c r="A3139" s="197" t="s">
        <v>77</v>
      </c>
      <c r="B3139" s="197" t="s">
        <v>22</v>
      </c>
      <c r="C3139" s="198" t="s">
        <v>433</v>
      </c>
      <c r="D3139" s="197" t="s">
        <v>432</v>
      </c>
      <c r="E3139" s="199">
        <v>2.0</v>
      </c>
      <c r="F3139" s="200">
        <v>45897.58333333333</v>
      </c>
      <c r="G3139" s="197" t="s">
        <v>845</v>
      </c>
      <c r="H3139" s="197" t="s">
        <v>870</v>
      </c>
    </row>
    <row r="3140" ht="15.75" customHeight="1">
      <c r="A3140" s="197" t="s">
        <v>77</v>
      </c>
      <c r="B3140" s="197" t="s">
        <v>22</v>
      </c>
      <c r="C3140" s="198" t="s">
        <v>433</v>
      </c>
      <c r="D3140" s="197" t="s">
        <v>432</v>
      </c>
      <c r="E3140" s="199">
        <v>3.0</v>
      </c>
      <c r="F3140" s="200">
        <v>45911.58333333333</v>
      </c>
      <c r="G3140" s="197" t="s">
        <v>845</v>
      </c>
      <c r="H3140" s="197" t="s">
        <v>870</v>
      </c>
    </row>
    <row r="3141" ht="15.75" customHeight="1">
      <c r="A3141" s="197" t="s">
        <v>77</v>
      </c>
      <c r="B3141" s="197" t="s">
        <v>22</v>
      </c>
      <c r="C3141" s="198" t="s">
        <v>433</v>
      </c>
      <c r="D3141" s="197" t="s">
        <v>432</v>
      </c>
      <c r="E3141" s="199">
        <v>4.0</v>
      </c>
      <c r="F3141" s="200">
        <v>45918.58333333333</v>
      </c>
      <c r="G3141" s="197" t="s">
        <v>845</v>
      </c>
      <c r="H3141" s="197" t="s">
        <v>870</v>
      </c>
    </row>
    <row r="3142" ht="15.75" customHeight="1">
      <c r="A3142" s="197" t="s">
        <v>77</v>
      </c>
      <c r="B3142" s="197" t="s">
        <v>22</v>
      </c>
      <c r="C3142" s="198" t="s">
        <v>433</v>
      </c>
      <c r="D3142" s="197" t="s">
        <v>432</v>
      </c>
      <c r="E3142" s="199">
        <v>5.0</v>
      </c>
      <c r="F3142" s="200">
        <v>45925.58333333333</v>
      </c>
      <c r="G3142" s="197" t="s">
        <v>845</v>
      </c>
      <c r="H3142" s="197" t="s">
        <v>870</v>
      </c>
    </row>
    <row r="3143" ht="15.75" customHeight="1">
      <c r="A3143" s="197" t="s">
        <v>77</v>
      </c>
      <c r="B3143" s="197" t="s">
        <v>22</v>
      </c>
      <c r="C3143" s="198" t="s">
        <v>433</v>
      </c>
      <c r="D3143" s="197" t="s">
        <v>432</v>
      </c>
      <c r="E3143" s="199">
        <v>6.0</v>
      </c>
      <c r="F3143" s="200">
        <v>45932.58333333333</v>
      </c>
      <c r="G3143" s="197" t="s">
        <v>845</v>
      </c>
      <c r="H3143" s="197" t="s">
        <v>870</v>
      </c>
    </row>
    <row r="3144" ht="15.75" customHeight="1">
      <c r="A3144" s="197" t="s">
        <v>77</v>
      </c>
      <c r="B3144" s="197" t="s">
        <v>22</v>
      </c>
      <c r="C3144" s="198" t="s">
        <v>433</v>
      </c>
      <c r="D3144" s="197" t="s">
        <v>432</v>
      </c>
      <c r="E3144" s="199">
        <v>7.0</v>
      </c>
      <c r="F3144" s="200">
        <v>45946.58333333333</v>
      </c>
      <c r="G3144" s="197" t="s">
        <v>845</v>
      </c>
      <c r="H3144" s="197" t="s">
        <v>870</v>
      </c>
    </row>
    <row r="3145" ht="15.75" customHeight="1">
      <c r="A3145" s="197" t="s">
        <v>77</v>
      </c>
      <c r="B3145" s="197" t="s">
        <v>22</v>
      </c>
      <c r="C3145" s="198" t="s">
        <v>433</v>
      </c>
      <c r="D3145" s="197" t="s">
        <v>432</v>
      </c>
      <c r="E3145" s="199">
        <v>8.0</v>
      </c>
      <c r="F3145" s="200">
        <v>45953.58333333333</v>
      </c>
      <c r="G3145" s="197" t="s">
        <v>843</v>
      </c>
      <c r="H3145" s="197" t="s">
        <v>870</v>
      </c>
    </row>
    <row r="3146" ht="15.75" customHeight="1">
      <c r="A3146" s="197" t="s">
        <v>77</v>
      </c>
      <c r="B3146" s="197" t="s">
        <v>22</v>
      </c>
      <c r="C3146" s="198" t="s">
        <v>433</v>
      </c>
      <c r="D3146" s="197" t="s">
        <v>432</v>
      </c>
      <c r="E3146" s="199">
        <v>9.0</v>
      </c>
      <c r="F3146" s="200">
        <v>45960.58333333333</v>
      </c>
      <c r="G3146" s="197" t="s">
        <v>843</v>
      </c>
      <c r="H3146" s="197" t="s">
        <v>870</v>
      </c>
    </row>
    <row r="3147" ht="15.75" customHeight="1">
      <c r="A3147" s="197" t="s">
        <v>77</v>
      </c>
      <c r="B3147" s="197" t="s">
        <v>22</v>
      </c>
      <c r="C3147" s="198" t="s">
        <v>433</v>
      </c>
      <c r="D3147" s="197" t="s">
        <v>432</v>
      </c>
      <c r="E3147" s="199">
        <v>10.0</v>
      </c>
      <c r="F3147" s="200">
        <v>45966.58333333333</v>
      </c>
      <c r="G3147" s="197" t="s">
        <v>845</v>
      </c>
      <c r="H3147" s="197" t="s">
        <v>870</v>
      </c>
    </row>
    <row r="3148" ht="15.75" customHeight="1">
      <c r="A3148" s="197" t="s">
        <v>77</v>
      </c>
      <c r="B3148" s="197" t="s">
        <v>22</v>
      </c>
      <c r="C3148" s="198" t="s">
        <v>433</v>
      </c>
      <c r="D3148" s="197" t="s">
        <v>432</v>
      </c>
      <c r="E3148" s="199">
        <v>11.0</v>
      </c>
      <c r="F3148" s="200">
        <v>45982.58333333333</v>
      </c>
      <c r="G3148" s="197" t="s">
        <v>845</v>
      </c>
      <c r="H3148" s="197" t="s">
        <v>870</v>
      </c>
    </row>
    <row r="3149" ht="15.75" customHeight="1">
      <c r="A3149" s="197" t="s">
        <v>77</v>
      </c>
      <c r="B3149" s="197" t="s">
        <v>22</v>
      </c>
      <c r="C3149" s="198" t="s">
        <v>433</v>
      </c>
      <c r="D3149" s="197" t="s">
        <v>432</v>
      </c>
      <c r="E3149" s="199">
        <v>12.0</v>
      </c>
      <c r="F3149" s="200">
        <v>45988.58333333333</v>
      </c>
      <c r="G3149" s="197" t="s">
        <v>843</v>
      </c>
      <c r="H3149" s="197" t="s">
        <v>870</v>
      </c>
    </row>
    <row r="3150" ht="15.75" customHeight="1">
      <c r="A3150" s="197" t="s">
        <v>77</v>
      </c>
      <c r="B3150" s="197" t="s">
        <v>22</v>
      </c>
      <c r="C3150" s="198" t="s">
        <v>433</v>
      </c>
      <c r="D3150" s="197" t="s">
        <v>432</v>
      </c>
      <c r="E3150" s="199">
        <v>13.0</v>
      </c>
      <c r="F3150" s="200">
        <v>45995.58333333333</v>
      </c>
      <c r="G3150" s="197" t="s">
        <v>845</v>
      </c>
      <c r="H3150" s="197" t="s">
        <v>870</v>
      </c>
    </row>
    <row r="3151" ht="15.75" customHeight="1">
      <c r="A3151" s="197" t="s">
        <v>77</v>
      </c>
      <c r="B3151" s="197" t="s">
        <v>22</v>
      </c>
      <c r="C3151" s="198" t="s">
        <v>433</v>
      </c>
      <c r="D3151" s="197" t="s">
        <v>432</v>
      </c>
      <c r="E3151" s="199">
        <v>14.0</v>
      </c>
      <c r="F3151" s="200">
        <v>45999.45833333333</v>
      </c>
      <c r="G3151" s="197" t="s">
        <v>845</v>
      </c>
      <c r="H3151" s="197" t="s">
        <v>870</v>
      </c>
    </row>
    <row r="3152" ht="15.75" customHeight="1">
      <c r="A3152" s="197" t="s">
        <v>77</v>
      </c>
      <c r="B3152" s="197" t="s">
        <v>22</v>
      </c>
      <c r="C3152" s="198" t="s">
        <v>433</v>
      </c>
      <c r="D3152" s="197" t="s">
        <v>432</v>
      </c>
      <c r="E3152" s="199">
        <v>15.0</v>
      </c>
      <c r="F3152" s="200">
        <v>46014.625</v>
      </c>
      <c r="G3152" s="197" t="s">
        <v>845</v>
      </c>
      <c r="H3152" s="197" t="s">
        <v>870</v>
      </c>
    </row>
    <row r="3153" ht="15.75" customHeight="1">
      <c r="A3153" s="197" t="s">
        <v>77</v>
      </c>
      <c r="B3153" s="197" t="s">
        <v>22</v>
      </c>
      <c r="C3153" s="198" t="s">
        <v>433</v>
      </c>
      <c r="D3153" s="197" t="s">
        <v>432</v>
      </c>
      <c r="E3153" s="199">
        <v>16.0</v>
      </c>
      <c r="F3153" s="200">
        <v>46044.54166666667</v>
      </c>
      <c r="G3153" s="197" t="s">
        <v>845</v>
      </c>
      <c r="H3153" s="197" t="s">
        <v>870</v>
      </c>
    </row>
    <row r="3154" ht="15.75" customHeight="1">
      <c r="A3154" s="197" t="s">
        <v>77</v>
      </c>
      <c r="B3154" s="197" t="s">
        <v>23</v>
      </c>
      <c r="C3154" s="198" t="s">
        <v>433</v>
      </c>
      <c r="D3154" s="197" t="s">
        <v>432</v>
      </c>
      <c r="E3154" s="199">
        <v>2.0</v>
      </c>
      <c r="F3154" s="200">
        <v>46107.58333333333</v>
      </c>
      <c r="G3154" s="197" t="s">
        <v>845</v>
      </c>
      <c r="H3154" s="197" t="s">
        <v>870</v>
      </c>
    </row>
    <row r="3155" ht="15.75" customHeight="1">
      <c r="A3155" s="197" t="s">
        <v>77</v>
      </c>
      <c r="B3155" s="197" t="s">
        <v>23</v>
      </c>
      <c r="C3155" s="198" t="s">
        <v>433</v>
      </c>
      <c r="D3155" s="197" t="s">
        <v>432</v>
      </c>
      <c r="E3155" s="199">
        <v>3.0</v>
      </c>
      <c r="F3155" s="200">
        <v>46114.58333333333</v>
      </c>
      <c r="G3155" s="197" t="s">
        <v>845</v>
      </c>
      <c r="H3155" s="197" t="s">
        <v>870</v>
      </c>
    </row>
    <row r="3156" ht="15.75" customHeight="1">
      <c r="A3156" s="197" t="s">
        <v>77</v>
      </c>
      <c r="B3156" s="197" t="s">
        <v>23</v>
      </c>
      <c r="C3156" s="198" t="s">
        <v>433</v>
      </c>
      <c r="D3156" s="197" t="s">
        <v>432</v>
      </c>
      <c r="E3156" s="199">
        <v>4.0</v>
      </c>
      <c r="F3156" s="200">
        <v>46121.58333333333</v>
      </c>
      <c r="G3156" s="197" t="s">
        <v>845</v>
      </c>
      <c r="H3156" s="197" t="s">
        <v>870</v>
      </c>
    </row>
    <row r="3157" ht="15.75" customHeight="1">
      <c r="A3157" s="197" t="s">
        <v>77</v>
      </c>
      <c r="B3157" s="197" t="s">
        <v>23</v>
      </c>
      <c r="C3157" s="198" t="s">
        <v>433</v>
      </c>
      <c r="D3157" s="197" t="s">
        <v>432</v>
      </c>
      <c r="E3157" s="199">
        <v>5.0</v>
      </c>
      <c r="F3157" s="200">
        <v>46128.58333333333</v>
      </c>
      <c r="G3157" s="197" t="s">
        <v>845</v>
      </c>
      <c r="H3157" s="197" t="s">
        <v>870</v>
      </c>
    </row>
    <row r="3158" ht="15.75" customHeight="1">
      <c r="A3158" s="197" t="s">
        <v>77</v>
      </c>
      <c r="B3158" s="197" t="s">
        <v>23</v>
      </c>
      <c r="C3158" s="198" t="s">
        <v>433</v>
      </c>
      <c r="D3158" s="197" t="s">
        <v>432</v>
      </c>
      <c r="E3158" s="199">
        <v>6.0</v>
      </c>
      <c r="F3158" s="200">
        <v>46135.58333333333</v>
      </c>
      <c r="G3158" s="197" t="s">
        <v>845</v>
      </c>
      <c r="H3158" s="197" t="s">
        <v>870</v>
      </c>
    </row>
    <row r="3159" ht="15.75" customHeight="1">
      <c r="A3159" s="197" t="s">
        <v>77</v>
      </c>
      <c r="B3159" s="197" t="s">
        <v>21</v>
      </c>
      <c r="C3159" s="198" t="s">
        <v>494</v>
      </c>
      <c r="D3159" s="197" t="s">
        <v>495</v>
      </c>
      <c r="E3159" s="199">
        <v>1.0</v>
      </c>
      <c r="F3159" s="200">
        <v>45715.58333333333</v>
      </c>
      <c r="G3159" s="197" t="s">
        <v>845</v>
      </c>
      <c r="H3159" s="197" t="s">
        <v>870</v>
      </c>
    </row>
    <row r="3160" ht="15.75" customHeight="1">
      <c r="A3160" s="197" t="s">
        <v>77</v>
      </c>
      <c r="B3160" s="197" t="s">
        <v>21</v>
      </c>
      <c r="C3160" s="198" t="s">
        <v>494</v>
      </c>
      <c r="D3160" s="197" t="s">
        <v>495</v>
      </c>
      <c r="E3160" s="199">
        <v>2.0</v>
      </c>
      <c r="F3160" s="200">
        <v>45756.58333333333</v>
      </c>
      <c r="G3160" s="197" t="s">
        <v>845</v>
      </c>
      <c r="H3160" s="197" t="s">
        <v>870</v>
      </c>
    </row>
    <row r="3161" ht="15.75" customHeight="1">
      <c r="A3161" s="197" t="s">
        <v>77</v>
      </c>
      <c r="B3161" s="197" t="s">
        <v>21</v>
      </c>
      <c r="C3161" s="198" t="s">
        <v>494</v>
      </c>
      <c r="D3161" s="197" t="s">
        <v>495</v>
      </c>
      <c r="E3161" s="199">
        <v>3.0</v>
      </c>
      <c r="F3161" s="200">
        <v>45771.54166666667</v>
      </c>
      <c r="G3161" s="197" t="s">
        <v>845</v>
      </c>
      <c r="H3161" s="197" t="s">
        <v>870</v>
      </c>
    </row>
    <row r="3162" ht="15.75" customHeight="1">
      <c r="A3162" s="197" t="s">
        <v>77</v>
      </c>
      <c r="B3162" s="197" t="s">
        <v>21</v>
      </c>
      <c r="C3162" s="198" t="s">
        <v>494</v>
      </c>
      <c r="D3162" s="197" t="s">
        <v>495</v>
      </c>
      <c r="E3162" s="199">
        <v>4.0</v>
      </c>
      <c r="F3162" s="200">
        <v>45786.54166666667</v>
      </c>
      <c r="G3162" s="197" t="s">
        <v>845</v>
      </c>
      <c r="H3162" s="197" t="s">
        <v>870</v>
      </c>
    </row>
    <row r="3163" ht="15.75" customHeight="1">
      <c r="A3163" s="197" t="s">
        <v>77</v>
      </c>
      <c r="B3163" s="197" t="s">
        <v>21</v>
      </c>
      <c r="C3163" s="198" t="s">
        <v>494</v>
      </c>
      <c r="D3163" s="197" t="s">
        <v>495</v>
      </c>
      <c r="E3163" s="199">
        <v>5.0</v>
      </c>
      <c r="F3163" s="200">
        <v>45790.54166666667</v>
      </c>
      <c r="G3163" s="197" t="s">
        <v>845</v>
      </c>
      <c r="H3163" s="197" t="s">
        <v>870</v>
      </c>
    </row>
    <row r="3164" ht="15.75" customHeight="1">
      <c r="A3164" s="197" t="s">
        <v>77</v>
      </c>
      <c r="B3164" s="197" t="s">
        <v>21</v>
      </c>
      <c r="C3164" s="198" t="s">
        <v>494</v>
      </c>
      <c r="D3164" s="197" t="s">
        <v>495</v>
      </c>
      <c r="E3164" s="199">
        <v>6.0</v>
      </c>
      <c r="F3164" s="200">
        <v>45799.54166666667</v>
      </c>
      <c r="G3164" s="197" t="s">
        <v>845</v>
      </c>
      <c r="H3164" s="197" t="s">
        <v>870</v>
      </c>
    </row>
    <row r="3165" ht="15.75" customHeight="1">
      <c r="A3165" s="197" t="s">
        <v>77</v>
      </c>
      <c r="B3165" s="197" t="s">
        <v>21</v>
      </c>
      <c r="C3165" s="198" t="s">
        <v>494</v>
      </c>
      <c r="D3165" s="197" t="s">
        <v>495</v>
      </c>
      <c r="E3165" s="199">
        <v>7.0</v>
      </c>
      <c r="F3165" s="200">
        <v>45805.54166666667</v>
      </c>
      <c r="G3165" s="197" t="s">
        <v>845</v>
      </c>
      <c r="H3165" s="197" t="s">
        <v>870</v>
      </c>
    </row>
    <row r="3166" ht="15.75" customHeight="1">
      <c r="A3166" s="197" t="s">
        <v>77</v>
      </c>
      <c r="B3166" s="197" t="s">
        <v>21</v>
      </c>
      <c r="C3166" s="198" t="s">
        <v>494</v>
      </c>
      <c r="D3166" s="197" t="s">
        <v>495</v>
      </c>
      <c r="E3166" s="199">
        <v>8.0</v>
      </c>
      <c r="F3166" s="200">
        <v>45813.58333333333</v>
      </c>
      <c r="G3166" s="197" t="s">
        <v>843</v>
      </c>
      <c r="H3166" s="197" t="s">
        <v>870</v>
      </c>
    </row>
    <row r="3167" ht="15.75" customHeight="1">
      <c r="A3167" s="197" t="s">
        <v>77</v>
      </c>
      <c r="B3167" s="197" t="s">
        <v>21</v>
      </c>
      <c r="C3167" s="198" t="s">
        <v>494</v>
      </c>
      <c r="D3167" s="197" t="s">
        <v>495</v>
      </c>
      <c r="E3167" s="199">
        <v>9.0</v>
      </c>
      <c r="F3167" s="200">
        <v>45820.58333333333</v>
      </c>
      <c r="G3167" s="197" t="s">
        <v>845</v>
      </c>
      <c r="H3167" s="197" t="s">
        <v>870</v>
      </c>
    </row>
    <row r="3168" ht="15.75" customHeight="1">
      <c r="A3168" s="197" t="s">
        <v>77</v>
      </c>
      <c r="B3168" s="197" t="s">
        <v>21</v>
      </c>
      <c r="C3168" s="198" t="s">
        <v>494</v>
      </c>
      <c r="D3168" s="197" t="s">
        <v>495</v>
      </c>
      <c r="E3168" s="199">
        <v>10.0</v>
      </c>
      <c r="F3168" s="200">
        <v>45849.54166666667</v>
      </c>
      <c r="G3168" s="197" t="s">
        <v>845</v>
      </c>
      <c r="H3168" s="197" t="s">
        <v>870</v>
      </c>
    </row>
    <row r="3169" ht="15.75" customHeight="1">
      <c r="A3169" s="197" t="s">
        <v>77</v>
      </c>
      <c r="B3169" s="197" t="s">
        <v>22</v>
      </c>
      <c r="C3169" s="198" t="s">
        <v>494</v>
      </c>
      <c r="D3169" s="197" t="s">
        <v>495</v>
      </c>
      <c r="E3169" s="199">
        <v>1.0</v>
      </c>
      <c r="F3169" s="200">
        <v>45890.54166666667</v>
      </c>
      <c r="G3169" s="197" t="s">
        <v>845</v>
      </c>
      <c r="H3169" s="197" t="s">
        <v>870</v>
      </c>
    </row>
    <row r="3170" ht="15.75" customHeight="1">
      <c r="A3170" s="197" t="s">
        <v>77</v>
      </c>
      <c r="B3170" s="197" t="s">
        <v>22</v>
      </c>
      <c r="C3170" s="198" t="s">
        <v>494</v>
      </c>
      <c r="D3170" s="197" t="s">
        <v>495</v>
      </c>
      <c r="E3170" s="199">
        <v>2.0</v>
      </c>
      <c r="F3170" s="200">
        <v>45897.58333333333</v>
      </c>
      <c r="G3170" s="197" t="s">
        <v>845</v>
      </c>
      <c r="H3170" s="197" t="s">
        <v>870</v>
      </c>
    </row>
    <row r="3171" ht="15.75" customHeight="1">
      <c r="A3171" s="197" t="s">
        <v>77</v>
      </c>
      <c r="B3171" s="197" t="s">
        <v>22</v>
      </c>
      <c r="C3171" s="198" t="s">
        <v>494</v>
      </c>
      <c r="D3171" s="197" t="s">
        <v>495</v>
      </c>
      <c r="E3171" s="199">
        <v>3.0</v>
      </c>
      <c r="F3171" s="200">
        <v>45911.58333333333</v>
      </c>
      <c r="G3171" s="197" t="s">
        <v>843</v>
      </c>
      <c r="H3171" s="197" t="s">
        <v>870</v>
      </c>
    </row>
    <row r="3172" ht="15.75" customHeight="1">
      <c r="A3172" s="197" t="s">
        <v>77</v>
      </c>
      <c r="B3172" s="197" t="s">
        <v>22</v>
      </c>
      <c r="C3172" s="198" t="s">
        <v>494</v>
      </c>
      <c r="D3172" s="197" t="s">
        <v>495</v>
      </c>
      <c r="E3172" s="199">
        <v>4.0</v>
      </c>
      <c r="F3172" s="200">
        <v>45918.58333333333</v>
      </c>
      <c r="G3172" s="197" t="s">
        <v>845</v>
      </c>
      <c r="H3172" s="197" t="s">
        <v>870</v>
      </c>
    </row>
    <row r="3173" ht="15.75" customHeight="1">
      <c r="A3173" s="197" t="s">
        <v>77</v>
      </c>
      <c r="B3173" s="197" t="s">
        <v>22</v>
      </c>
      <c r="C3173" s="198" t="s">
        <v>494</v>
      </c>
      <c r="D3173" s="197" t="s">
        <v>495</v>
      </c>
      <c r="E3173" s="199">
        <v>5.0</v>
      </c>
      <c r="F3173" s="200">
        <v>45925.58333333333</v>
      </c>
      <c r="G3173" s="197" t="s">
        <v>845</v>
      </c>
      <c r="H3173" s="197" t="s">
        <v>870</v>
      </c>
    </row>
    <row r="3174" ht="15.75" customHeight="1">
      <c r="A3174" s="197" t="s">
        <v>77</v>
      </c>
      <c r="B3174" s="197" t="s">
        <v>22</v>
      </c>
      <c r="C3174" s="198" t="s">
        <v>494</v>
      </c>
      <c r="D3174" s="197" t="s">
        <v>495</v>
      </c>
      <c r="E3174" s="199">
        <v>6.0</v>
      </c>
      <c r="F3174" s="200">
        <v>45932.58333333333</v>
      </c>
      <c r="G3174" s="197" t="s">
        <v>845</v>
      </c>
      <c r="H3174" s="197" t="s">
        <v>870</v>
      </c>
    </row>
    <row r="3175" ht="15.75" customHeight="1">
      <c r="A3175" s="197" t="s">
        <v>77</v>
      </c>
      <c r="B3175" s="197" t="s">
        <v>22</v>
      </c>
      <c r="C3175" s="198" t="s">
        <v>494</v>
      </c>
      <c r="D3175" s="197" t="s">
        <v>495</v>
      </c>
      <c r="E3175" s="199">
        <v>7.0</v>
      </c>
      <c r="F3175" s="200">
        <v>45946.58333333333</v>
      </c>
      <c r="G3175" s="197" t="s">
        <v>845</v>
      </c>
      <c r="H3175" s="197" t="s">
        <v>870</v>
      </c>
    </row>
    <row r="3176" ht="15.75" customHeight="1">
      <c r="A3176" s="197" t="s">
        <v>77</v>
      </c>
      <c r="B3176" s="197" t="s">
        <v>22</v>
      </c>
      <c r="C3176" s="198" t="s">
        <v>494</v>
      </c>
      <c r="D3176" s="197" t="s">
        <v>495</v>
      </c>
      <c r="E3176" s="199">
        <v>8.0</v>
      </c>
      <c r="F3176" s="200">
        <v>45953.58333333333</v>
      </c>
      <c r="G3176" s="197" t="s">
        <v>845</v>
      </c>
      <c r="H3176" s="197" t="s">
        <v>870</v>
      </c>
    </row>
    <row r="3177" ht="15.75" customHeight="1">
      <c r="A3177" s="197" t="s">
        <v>77</v>
      </c>
      <c r="B3177" s="197" t="s">
        <v>22</v>
      </c>
      <c r="C3177" s="198" t="s">
        <v>494</v>
      </c>
      <c r="D3177" s="197" t="s">
        <v>495</v>
      </c>
      <c r="E3177" s="199">
        <v>9.0</v>
      </c>
      <c r="F3177" s="200">
        <v>45960.58333333333</v>
      </c>
      <c r="G3177" s="197" t="s">
        <v>845</v>
      </c>
      <c r="H3177" s="197" t="s">
        <v>870</v>
      </c>
    </row>
    <row r="3178" ht="15.75" customHeight="1">
      <c r="A3178" s="197" t="s">
        <v>77</v>
      </c>
      <c r="B3178" s="197" t="s">
        <v>22</v>
      </c>
      <c r="C3178" s="198" t="s">
        <v>494</v>
      </c>
      <c r="D3178" s="197" t="s">
        <v>495</v>
      </c>
      <c r="E3178" s="199">
        <v>10.0</v>
      </c>
      <c r="F3178" s="200">
        <v>45966.58333333333</v>
      </c>
      <c r="G3178" s="197" t="s">
        <v>845</v>
      </c>
      <c r="H3178" s="197" t="s">
        <v>870</v>
      </c>
    </row>
    <row r="3179" ht="15.75" customHeight="1">
      <c r="A3179" s="197" t="s">
        <v>77</v>
      </c>
      <c r="B3179" s="197" t="s">
        <v>22</v>
      </c>
      <c r="C3179" s="198" t="s">
        <v>494</v>
      </c>
      <c r="D3179" s="197" t="s">
        <v>495</v>
      </c>
      <c r="E3179" s="199">
        <v>11.0</v>
      </c>
      <c r="F3179" s="200">
        <v>45982.58333333333</v>
      </c>
      <c r="G3179" s="197" t="s">
        <v>845</v>
      </c>
      <c r="H3179" s="197" t="s">
        <v>870</v>
      </c>
    </row>
    <row r="3180" ht="15.75" customHeight="1">
      <c r="A3180" s="197" t="s">
        <v>77</v>
      </c>
      <c r="B3180" s="197" t="s">
        <v>22</v>
      </c>
      <c r="C3180" s="198" t="s">
        <v>494</v>
      </c>
      <c r="D3180" s="197" t="s">
        <v>495</v>
      </c>
      <c r="E3180" s="199">
        <v>12.0</v>
      </c>
      <c r="F3180" s="200">
        <v>45988.58333333333</v>
      </c>
      <c r="G3180" s="197" t="s">
        <v>843</v>
      </c>
      <c r="H3180" s="197" t="s">
        <v>870</v>
      </c>
    </row>
    <row r="3181" ht="15.75" customHeight="1">
      <c r="A3181" s="197" t="s">
        <v>77</v>
      </c>
      <c r="B3181" s="197" t="s">
        <v>22</v>
      </c>
      <c r="C3181" s="198" t="s">
        <v>494</v>
      </c>
      <c r="D3181" s="197" t="s">
        <v>495</v>
      </c>
      <c r="E3181" s="199">
        <v>13.0</v>
      </c>
      <c r="F3181" s="200">
        <v>45995.58333333333</v>
      </c>
      <c r="G3181" s="197" t="s">
        <v>845</v>
      </c>
      <c r="H3181" s="197" t="s">
        <v>870</v>
      </c>
    </row>
    <row r="3182" ht="15.75" customHeight="1">
      <c r="A3182" s="197" t="s">
        <v>77</v>
      </c>
      <c r="B3182" s="197" t="s">
        <v>22</v>
      </c>
      <c r="C3182" s="198" t="s">
        <v>494</v>
      </c>
      <c r="D3182" s="197" t="s">
        <v>495</v>
      </c>
      <c r="E3182" s="199">
        <v>14.0</v>
      </c>
      <c r="F3182" s="200">
        <v>45999.45833333333</v>
      </c>
      <c r="G3182" s="197" t="s">
        <v>845</v>
      </c>
      <c r="H3182" s="197" t="s">
        <v>870</v>
      </c>
    </row>
    <row r="3183" ht="15.75" customHeight="1">
      <c r="A3183" s="197" t="s">
        <v>77</v>
      </c>
      <c r="B3183" s="197" t="s">
        <v>22</v>
      </c>
      <c r="C3183" s="198" t="s">
        <v>494</v>
      </c>
      <c r="D3183" s="197" t="s">
        <v>495</v>
      </c>
      <c r="E3183" s="199">
        <v>15.0</v>
      </c>
      <c r="F3183" s="200">
        <v>46014.625</v>
      </c>
      <c r="G3183" s="197" t="s">
        <v>845</v>
      </c>
      <c r="H3183" s="197" t="s">
        <v>870</v>
      </c>
    </row>
    <row r="3184" ht="15.75" customHeight="1">
      <c r="A3184" s="197" t="s">
        <v>77</v>
      </c>
      <c r="B3184" s="197" t="s">
        <v>22</v>
      </c>
      <c r="C3184" s="198" t="s">
        <v>494</v>
      </c>
      <c r="D3184" s="197" t="s">
        <v>495</v>
      </c>
      <c r="E3184" s="199">
        <v>16.0</v>
      </c>
      <c r="F3184" s="200">
        <v>46044.54166666667</v>
      </c>
      <c r="G3184" s="197" t="s">
        <v>845</v>
      </c>
      <c r="H3184" s="197" t="s">
        <v>870</v>
      </c>
    </row>
    <row r="3185" ht="15.75" customHeight="1">
      <c r="A3185" s="197" t="s">
        <v>77</v>
      </c>
      <c r="B3185" s="197" t="s">
        <v>23</v>
      </c>
      <c r="C3185" s="198" t="s">
        <v>494</v>
      </c>
      <c r="D3185" s="197" t="s">
        <v>495</v>
      </c>
      <c r="E3185" s="199">
        <v>2.0</v>
      </c>
      <c r="F3185" s="200">
        <v>46107.58333333333</v>
      </c>
      <c r="G3185" s="197" t="s">
        <v>845</v>
      </c>
      <c r="H3185" s="197" t="s">
        <v>870</v>
      </c>
    </row>
    <row r="3186" ht="15.75" customHeight="1">
      <c r="A3186" s="197" t="s">
        <v>77</v>
      </c>
      <c r="B3186" s="197" t="s">
        <v>23</v>
      </c>
      <c r="C3186" s="198" t="s">
        <v>494</v>
      </c>
      <c r="D3186" s="197" t="s">
        <v>495</v>
      </c>
      <c r="E3186" s="199">
        <v>3.0</v>
      </c>
      <c r="F3186" s="200">
        <v>46114.58333333333</v>
      </c>
      <c r="G3186" s="197" t="s">
        <v>843</v>
      </c>
      <c r="H3186" s="197" t="s">
        <v>870</v>
      </c>
    </row>
    <row r="3187" ht="15.75" customHeight="1">
      <c r="A3187" s="197" t="s">
        <v>77</v>
      </c>
      <c r="B3187" s="197" t="s">
        <v>23</v>
      </c>
      <c r="C3187" s="198" t="s">
        <v>494</v>
      </c>
      <c r="D3187" s="197" t="s">
        <v>495</v>
      </c>
      <c r="E3187" s="199">
        <v>4.0</v>
      </c>
      <c r="F3187" s="200">
        <v>46121.58333333333</v>
      </c>
      <c r="G3187" s="197" t="s">
        <v>845</v>
      </c>
      <c r="H3187" s="197" t="s">
        <v>870</v>
      </c>
    </row>
    <row r="3188" ht="15.75" customHeight="1">
      <c r="A3188" s="197" t="s">
        <v>77</v>
      </c>
      <c r="B3188" s="197" t="s">
        <v>23</v>
      </c>
      <c r="C3188" s="198" t="s">
        <v>494</v>
      </c>
      <c r="D3188" s="197" t="s">
        <v>495</v>
      </c>
      <c r="E3188" s="199">
        <v>5.0</v>
      </c>
      <c r="F3188" s="200">
        <v>46128.58333333333</v>
      </c>
      <c r="G3188" s="197" t="s">
        <v>845</v>
      </c>
      <c r="H3188" s="197" t="s">
        <v>870</v>
      </c>
    </row>
    <row r="3189" ht="15.75" customHeight="1">
      <c r="A3189" s="197" t="s">
        <v>77</v>
      </c>
      <c r="B3189" s="197" t="s">
        <v>23</v>
      </c>
      <c r="C3189" s="198" t="s">
        <v>494</v>
      </c>
      <c r="D3189" s="197" t="s">
        <v>495</v>
      </c>
      <c r="E3189" s="199">
        <v>6.0</v>
      </c>
      <c r="F3189" s="200">
        <v>46135.58333333333</v>
      </c>
      <c r="G3189" s="197" t="s">
        <v>845</v>
      </c>
      <c r="H3189" s="197" t="s">
        <v>870</v>
      </c>
    </row>
    <row r="3190" ht="15.75" customHeight="1">
      <c r="A3190" s="197" t="s">
        <v>77</v>
      </c>
      <c r="B3190" s="197" t="s">
        <v>21</v>
      </c>
      <c r="C3190" s="198" t="s">
        <v>498</v>
      </c>
      <c r="D3190" s="197" t="s">
        <v>499</v>
      </c>
      <c r="E3190" s="199">
        <v>1.0</v>
      </c>
      <c r="F3190" s="200">
        <v>45715.58333333333</v>
      </c>
      <c r="G3190" s="197" t="s">
        <v>845</v>
      </c>
      <c r="H3190" s="197" t="s">
        <v>870</v>
      </c>
    </row>
    <row r="3191" ht="15.75" customHeight="1">
      <c r="A3191" s="197" t="s">
        <v>77</v>
      </c>
      <c r="B3191" s="197" t="s">
        <v>21</v>
      </c>
      <c r="C3191" s="198" t="s">
        <v>498</v>
      </c>
      <c r="D3191" s="197" t="s">
        <v>499</v>
      </c>
      <c r="E3191" s="199">
        <v>2.0</v>
      </c>
      <c r="F3191" s="200">
        <v>45756.58333333333</v>
      </c>
      <c r="G3191" s="197" t="s">
        <v>843</v>
      </c>
      <c r="H3191" s="197" t="s">
        <v>870</v>
      </c>
    </row>
    <row r="3192" ht="15.75" customHeight="1">
      <c r="A3192" s="197" t="s">
        <v>77</v>
      </c>
      <c r="B3192" s="197" t="s">
        <v>21</v>
      </c>
      <c r="C3192" s="198" t="s">
        <v>498</v>
      </c>
      <c r="D3192" s="197" t="s">
        <v>499</v>
      </c>
      <c r="E3192" s="199">
        <v>3.0</v>
      </c>
      <c r="F3192" s="200">
        <v>45771.54166666667</v>
      </c>
      <c r="G3192" s="197" t="s">
        <v>845</v>
      </c>
      <c r="H3192" s="197" t="s">
        <v>870</v>
      </c>
    </row>
    <row r="3193" ht="15.75" customHeight="1">
      <c r="A3193" s="197" t="s">
        <v>77</v>
      </c>
      <c r="B3193" s="197" t="s">
        <v>21</v>
      </c>
      <c r="C3193" s="198" t="s">
        <v>498</v>
      </c>
      <c r="D3193" s="197" t="s">
        <v>499</v>
      </c>
      <c r="E3193" s="199">
        <v>4.0</v>
      </c>
      <c r="F3193" s="200">
        <v>45786.54166666667</v>
      </c>
      <c r="G3193" s="197" t="s">
        <v>845</v>
      </c>
      <c r="H3193" s="197" t="s">
        <v>870</v>
      </c>
    </row>
    <row r="3194" ht="15.75" customHeight="1">
      <c r="A3194" s="197" t="s">
        <v>77</v>
      </c>
      <c r="B3194" s="197" t="s">
        <v>21</v>
      </c>
      <c r="C3194" s="198" t="s">
        <v>498</v>
      </c>
      <c r="D3194" s="197" t="s">
        <v>499</v>
      </c>
      <c r="E3194" s="199">
        <v>5.0</v>
      </c>
      <c r="F3194" s="200">
        <v>45790.54166666667</v>
      </c>
      <c r="G3194" s="197" t="s">
        <v>845</v>
      </c>
      <c r="H3194" s="197" t="s">
        <v>870</v>
      </c>
    </row>
    <row r="3195" ht="15.75" customHeight="1">
      <c r="A3195" s="197" t="s">
        <v>77</v>
      </c>
      <c r="B3195" s="197" t="s">
        <v>21</v>
      </c>
      <c r="C3195" s="198" t="s">
        <v>498</v>
      </c>
      <c r="D3195" s="197" t="s">
        <v>499</v>
      </c>
      <c r="E3195" s="199">
        <v>6.0</v>
      </c>
      <c r="F3195" s="200">
        <v>45799.54166666667</v>
      </c>
      <c r="G3195" s="197" t="s">
        <v>843</v>
      </c>
      <c r="H3195" s="197" t="s">
        <v>870</v>
      </c>
    </row>
    <row r="3196" ht="15.75" customHeight="1">
      <c r="A3196" s="197" t="s">
        <v>77</v>
      </c>
      <c r="B3196" s="197" t="s">
        <v>21</v>
      </c>
      <c r="C3196" s="198" t="s">
        <v>498</v>
      </c>
      <c r="D3196" s="197" t="s">
        <v>499</v>
      </c>
      <c r="E3196" s="199">
        <v>7.0</v>
      </c>
      <c r="F3196" s="200">
        <v>45805.54166666667</v>
      </c>
      <c r="G3196" s="197" t="s">
        <v>845</v>
      </c>
      <c r="H3196" s="197" t="s">
        <v>870</v>
      </c>
    </row>
    <row r="3197" ht="15.75" customHeight="1">
      <c r="A3197" s="197" t="s">
        <v>77</v>
      </c>
      <c r="B3197" s="197" t="s">
        <v>21</v>
      </c>
      <c r="C3197" s="198" t="s">
        <v>498</v>
      </c>
      <c r="D3197" s="197" t="s">
        <v>499</v>
      </c>
      <c r="E3197" s="199">
        <v>8.0</v>
      </c>
      <c r="F3197" s="200">
        <v>45813.58333333333</v>
      </c>
      <c r="G3197" s="197" t="s">
        <v>845</v>
      </c>
      <c r="H3197" s="197" t="s">
        <v>870</v>
      </c>
    </row>
    <row r="3198" ht="15.75" customHeight="1">
      <c r="A3198" s="197" t="s">
        <v>77</v>
      </c>
      <c r="B3198" s="197" t="s">
        <v>21</v>
      </c>
      <c r="C3198" s="198" t="s">
        <v>498</v>
      </c>
      <c r="D3198" s="197" t="s">
        <v>499</v>
      </c>
      <c r="E3198" s="199">
        <v>9.0</v>
      </c>
      <c r="F3198" s="200">
        <v>45820.58333333333</v>
      </c>
      <c r="G3198" s="197" t="s">
        <v>845</v>
      </c>
      <c r="H3198" s="197" t="s">
        <v>870</v>
      </c>
    </row>
    <row r="3199" ht="15.75" customHeight="1">
      <c r="A3199" s="197" t="s">
        <v>77</v>
      </c>
      <c r="B3199" s="197" t="s">
        <v>21</v>
      </c>
      <c r="C3199" s="198" t="s">
        <v>498</v>
      </c>
      <c r="D3199" s="197" t="s">
        <v>499</v>
      </c>
      <c r="E3199" s="199">
        <v>10.0</v>
      </c>
      <c r="F3199" s="200">
        <v>45849.54166666667</v>
      </c>
      <c r="G3199" s="197" t="s">
        <v>845</v>
      </c>
      <c r="H3199" s="197" t="s">
        <v>870</v>
      </c>
    </row>
    <row r="3200" ht="15.75" customHeight="1">
      <c r="A3200" s="197" t="s">
        <v>77</v>
      </c>
      <c r="B3200" s="197" t="s">
        <v>22</v>
      </c>
      <c r="C3200" s="198" t="s">
        <v>498</v>
      </c>
      <c r="D3200" s="197" t="s">
        <v>499</v>
      </c>
      <c r="E3200" s="199">
        <v>1.0</v>
      </c>
      <c r="F3200" s="200">
        <v>45890.54166666667</v>
      </c>
      <c r="G3200" s="197" t="s">
        <v>845</v>
      </c>
      <c r="H3200" s="197" t="s">
        <v>870</v>
      </c>
    </row>
    <row r="3201" ht="15.75" customHeight="1">
      <c r="A3201" s="197" t="s">
        <v>77</v>
      </c>
      <c r="B3201" s="197" t="s">
        <v>22</v>
      </c>
      <c r="C3201" s="198" t="s">
        <v>498</v>
      </c>
      <c r="D3201" s="197" t="s">
        <v>499</v>
      </c>
      <c r="E3201" s="199">
        <v>2.0</v>
      </c>
      <c r="F3201" s="200">
        <v>45897.58333333333</v>
      </c>
      <c r="G3201" s="197" t="s">
        <v>845</v>
      </c>
      <c r="H3201" s="197" t="s">
        <v>870</v>
      </c>
    </row>
    <row r="3202" ht="15.75" customHeight="1">
      <c r="A3202" s="197" t="s">
        <v>77</v>
      </c>
      <c r="B3202" s="197" t="s">
        <v>22</v>
      </c>
      <c r="C3202" s="198" t="s">
        <v>498</v>
      </c>
      <c r="D3202" s="197" t="s">
        <v>499</v>
      </c>
      <c r="E3202" s="199">
        <v>3.0</v>
      </c>
      <c r="F3202" s="200">
        <v>45911.58333333333</v>
      </c>
      <c r="G3202" s="197" t="s">
        <v>845</v>
      </c>
      <c r="H3202" s="197" t="s">
        <v>870</v>
      </c>
    </row>
    <row r="3203" ht="15.75" customHeight="1">
      <c r="A3203" s="197" t="s">
        <v>77</v>
      </c>
      <c r="B3203" s="197" t="s">
        <v>22</v>
      </c>
      <c r="C3203" s="198" t="s">
        <v>498</v>
      </c>
      <c r="D3203" s="197" t="s">
        <v>499</v>
      </c>
      <c r="E3203" s="199">
        <v>4.0</v>
      </c>
      <c r="F3203" s="200">
        <v>45918.58333333333</v>
      </c>
      <c r="G3203" s="197" t="s">
        <v>845</v>
      </c>
      <c r="H3203" s="197" t="s">
        <v>870</v>
      </c>
    </row>
    <row r="3204" ht="15.75" customHeight="1">
      <c r="A3204" s="197" t="s">
        <v>77</v>
      </c>
      <c r="B3204" s="197" t="s">
        <v>22</v>
      </c>
      <c r="C3204" s="198" t="s">
        <v>498</v>
      </c>
      <c r="D3204" s="197" t="s">
        <v>499</v>
      </c>
      <c r="E3204" s="199">
        <v>5.0</v>
      </c>
      <c r="F3204" s="200">
        <v>45925.58333333333</v>
      </c>
      <c r="G3204" s="197" t="s">
        <v>845</v>
      </c>
      <c r="H3204" s="197" t="s">
        <v>870</v>
      </c>
    </row>
    <row r="3205" ht="15.75" customHeight="1">
      <c r="A3205" s="197" t="s">
        <v>77</v>
      </c>
      <c r="B3205" s="197" t="s">
        <v>22</v>
      </c>
      <c r="C3205" s="198" t="s">
        <v>498</v>
      </c>
      <c r="D3205" s="197" t="s">
        <v>499</v>
      </c>
      <c r="E3205" s="199">
        <v>6.0</v>
      </c>
      <c r="F3205" s="200">
        <v>45932.58333333333</v>
      </c>
      <c r="G3205" s="197" t="s">
        <v>843</v>
      </c>
      <c r="H3205" s="197" t="s">
        <v>870</v>
      </c>
    </row>
    <row r="3206" ht="15.75" customHeight="1">
      <c r="A3206" s="197" t="s">
        <v>77</v>
      </c>
      <c r="B3206" s="197" t="s">
        <v>22</v>
      </c>
      <c r="C3206" s="198" t="s">
        <v>498</v>
      </c>
      <c r="D3206" s="197" t="s">
        <v>499</v>
      </c>
      <c r="E3206" s="199">
        <v>7.0</v>
      </c>
      <c r="F3206" s="200">
        <v>45946.58333333333</v>
      </c>
      <c r="G3206" s="197" t="s">
        <v>845</v>
      </c>
      <c r="H3206" s="197" t="s">
        <v>870</v>
      </c>
    </row>
    <row r="3207" ht="15.75" customHeight="1">
      <c r="A3207" s="197" t="s">
        <v>77</v>
      </c>
      <c r="B3207" s="197" t="s">
        <v>22</v>
      </c>
      <c r="C3207" s="198" t="s">
        <v>498</v>
      </c>
      <c r="D3207" s="197" t="s">
        <v>499</v>
      </c>
      <c r="E3207" s="199">
        <v>8.0</v>
      </c>
      <c r="F3207" s="200">
        <v>45953.58333333333</v>
      </c>
      <c r="G3207" s="197" t="s">
        <v>843</v>
      </c>
      <c r="H3207" s="197" t="s">
        <v>870</v>
      </c>
    </row>
    <row r="3208" ht="15.75" customHeight="1">
      <c r="A3208" s="197" t="s">
        <v>77</v>
      </c>
      <c r="B3208" s="197" t="s">
        <v>22</v>
      </c>
      <c r="C3208" s="198" t="s">
        <v>498</v>
      </c>
      <c r="D3208" s="197" t="s">
        <v>499</v>
      </c>
      <c r="E3208" s="199">
        <v>9.0</v>
      </c>
      <c r="F3208" s="200">
        <v>45960.58333333333</v>
      </c>
      <c r="G3208" s="197" t="s">
        <v>845</v>
      </c>
      <c r="H3208" s="197" t="s">
        <v>870</v>
      </c>
    </row>
    <row r="3209" ht="15.75" customHeight="1">
      <c r="A3209" s="197" t="s">
        <v>77</v>
      </c>
      <c r="B3209" s="197" t="s">
        <v>22</v>
      </c>
      <c r="C3209" s="198" t="s">
        <v>498</v>
      </c>
      <c r="D3209" s="197" t="s">
        <v>499</v>
      </c>
      <c r="E3209" s="199">
        <v>10.0</v>
      </c>
      <c r="F3209" s="200">
        <v>45966.58333333333</v>
      </c>
      <c r="G3209" s="197" t="s">
        <v>845</v>
      </c>
      <c r="H3209" s="197" t="s">
        <v>870</v>
      </c>
    </row>
    <row r="3210" ht="15.75" customHeight="1">
      <c r="A3210" s="197" t="s">
        <v>77</v>
      </c>
      <c r="B3210" s="197" t="s">
        <v>22</v>
      </c>
      <c r="C3210" s="198" t="s">
        <v>498</v>
      </c>
      <c r="D3210" s="197" t="s">
        <v>499</v>
      </c>
      <c r="E3210" s="199">
        <v>11.0</v>
      </c>
      <c r="F3210" s="200">
        <v>45982.58333333333</v>
      </c>
      <c r="G3210" s="197" t="s">
        <v>845</v>
      </c>
      <c r="H3210" s="197" t="s">
        <v>870</v>
      </c>
    </row>
    <row r="3211" ht="15.75" customHeight="1">
      <c r="A3211" s="197" t="s">
        <v>77</v>
      </c>
      <c r="B3211" s="197" t="s">
        <v>22</v>
      </c>
      <c r="C3211" s="198" t="s">
        <v>498</v>
      </c>
      <c r="D3211" s="197" t="s">
        <v>499</v>
      </c>
      <c r="E3211" s="199">
        <v>12.0</v>
      </c>
      <c r="F3211" s="200">
        <v>45988.58333333333</v>
      </c>
      <c r="G3211" s="197" t="s">
        <v>845</v>
      </c>
      <c r="H3211" s="197" t="s">
        <v>870</v>
      </c>
    </row>
    <row r="3212" ht="15.75" customHeight="1">
      <c r="A3212" s="197" t="s">
        <v>77</v>
      </c>
      <c r="B3212" s="197" t="s">
        <v>22</v>
      </c>
      <c r="C3212" s="198" t="s">
        <v>498</v>
      </c>
      <c r="D3212" s="197" t="s">
        <v>499</v>
      </c>
      <c r="E3212" s="199">
        <v>13.0</v>
      </c>
      <c r="F3212" s="200">
        <v>45995.58333333333</v>
      </c>
      <c r="G3212" s="197" t="s">
        <v>845</v>
      </c>
      <c r="H3212" s="197" t="s">
        <v>870</v>
      </c>
    </row>
    <row r="3213" ht="15.75" customHeight="1">
      <c r="A3213" s="197" t="s">
        <v>77</v>
      </c>
      <c r="B3213" s="197" t="s">
        <v>22</v>
      </c>
      <c r="C3213" s="198" t="s">
        <v>498</v>
      </c>
      <c r="D3213" s="197" t="s">
        <v>499</v>
      </c>
      <c r="E3213" s="199">
        <v>14.0</v>
      </c>
      <c r="F3213" s="200">
        <v>45999.45833333333</v>
      </c>
      <c r="G3213" s="197" t="s">
        <v>845</v>
      </c>
      <c r="H3213" s="197" t="s">
        <v>870</v>
      </c>
    </row>
    <row r="3214" ht="15.75" customHeight="1">
      <c r="A3214" s="197" t="s">
        <v>77</v>
      </c>
      <c r="B3214" s="197" t="s">
        <v>22</v>
      </c>
      <c r="C3214" s="198" t="s">
        <v>498</v>
      </c>
      <c r="D3214" s="197" t="s">
        <v>499</v>
      </c>
      <c r="E3214" s="199">
        <v>15.0</v>
      </c>
      <c r="F3214" s="200">
        <v>46014.625</v>
      </c>
      <c r="G3214" s="197" t="s">
        <v>845</v>
      </c>
      <c r="H3214" s="197" t="s">
        <v>870</v>
      </c>
    </row>
    <row r="3215" ht="15.75" customHeight="1">
      <c r="A3215" s="197" t="s">
        <v>77</v>
      </c>
      <c r="B3215" s="197" t="s">
        <v>22</v>
      </c>
      <c r="C3215" s="198" t="s">
        <v>498</v>
      </c>
      <c r="D3215" s="197" t="s">
        <v>499</v>
      </c>
      <c r="E3215" s="199">
        <v>16.0</v>
      </c>
      <c r="F3215" s="200">
        <v>46044.54166666667</v>
      </c>
      <c r="G3215" s="197" t="s">
        <v>845</v>
      </c>
      <c r="H3215" s="197" t="s">
        <v>870</v>
      </c>
    </row>
    <row r="3216" ht="15.75" customHeight="1">
      <c r="A3216" s="197" t="s">
        <v>77</v>
      </c>
      <c r="B3216" s="197" t="s">
        <v>23</v>
      </c>
      <c r="C3216" s="198" t="s">
        <v>498</v>
      </c>
      <c r="D3216" s="197" t="s">
        <v>499</v>
      </c>
      <c r="E3216" s="199">
        <v>2.0</v>
      </c>
      <c r="F3216" s="200">
        <v>46107.58333333333</v>
      </c>
      <c r="G3216" s="197" t="s">
        <v>845</v>
      </c>
      <c r="H3216" s="197" t="s">
        <v>870</v>
      </c>
    </row>
    <row r="3217" ht="15.75" customHeight="1">
      <c r="A3217" s="197" t="s">
        <v>77</v>
      </c>
      <c r="B3217" s="197" t="s">
        <v>23</v>
      </c>
      <c r="C3217" s="198" t="s">
        <v>498</v>
      </c>
      <c r="D3217" s="197" t="s">
        <v>499</v>
      </c>
      <c r="E3217" s="199">
        <v>3.0</v>
      </c>
      <c r="F3217" s="200">
        <v>46114.58333333333</v>
      </c>
      <c r="G3217" s="197" t="s">
        <v>845</v>
      </c>
      <c r="H3217" s="197" t="s">
        <v>870</v>
      </c>
    </row>
    <row r="3218" ht="15.75" customHeight="1">
      <c r="A3218" s="197" t="s">
        <v>77</v>
      </c>
      <c r="B3218" s="197" t="s">
        <v>23</v>
      </c>
      <c r="C3218" s="198" t="s">
        <v>498</v>
      </c>
      <c r="D3218" s="197" t="s">
        <v>499</v>
      </c>
      <c r="E3218" s="199">
        <v>4.0</v>
      </c>
      <c r="F3218" s="200">
        <v>46121.58333333333</v>
      </c>
      <c r="G3218" s="197" t="s">
        <v>843</v>
      </c>
      <c r="H3218" s="197" t="s">
        <v>870</v>
      </c>
    </row>
    <row r="3219" ht="15.75" customHeight="1">
      <c r="A3219" s="197" t="s">
        <v>77</v>
      </c>
      <c r="B3219" s="197" t="s">
        <v>23</v>
      </c>
      <c r="C3219" s="198" t="s">
        <v>498</v>
      </c>
      <c r="D3219" s="197" t="s">
        <v>499</v>
      </c>
      <c r="E3219" s="199">
        <v>5.0</v>
      </c>
      <c r="F3219" s="200">
        <v>46128.58333333333</v>
      </c>
      <c r="G3219" s="197" t="s">
        <v>845</v>
      </c>
      <c r="H3219" s="197" t="s">
        <v>870</v>
      </c>
    </row>
    <row r="3220" ht="15.75" customHeight="1">
      <c r="A3220" s="197" t="s">
        <v>77</v>
      </c>
      <c r="B3220" s="197" t="s">
        <v>23</v>
      </c>
      <c r="C3220" s="198" t="s">
        <v>498</v>
      </c>
      <c r="D3220" s="197" t="s">
        <v>499</v>
      </c>
      <c r="E3220" s="199">
        <v>6.0</v>
      </c>
      <c r="F3220" s="200">
        <v>46135.58333333333</v>
      </c>
      <c r="G3220" s="197" t="s">
        <v>845</v>
      </c>
      <c r="H3220" s="197" t="s">
        <v>870</v>
      </c>
    </row>
    <row r="3221" ht="15.75" customHeight="1">
      <c r="A3221" s="197" t="s">
        <v>77</v>
      </c>
      <c r="B3221" s="197" t="s">
        <v>21</v>
      </c>
      <c r="C3221" s="198" t="s">
        <v>566</v>
      </c>
      <c r="D3221" s="197" t="s">
        <v>567</v>
      </c>
      <c r="E3221" s="199">
        <v>1.0</v>
      </c>
      <c r="F3221" s="200">
        <v>45715.58333333333</v>
      </c>
      <c r="G3221" s="197" t="s">
        <v>845</v>
      </c>
      <c r="H3221" s="197" t="s">
        <v>870</v>
      </c>
    </row>
    <row r="3222" ht="15.75" customHeight="1">
      <c r="A3222" s="197" t="s">
        <v>77</v>
      </c>
      <c r="B3222" s="197" t="s">
        <v>21</v>
      </c>
      <c r="C3222" s="198" t="s">
        <v>566</v>
      </c>
      <c r="D3222" s="197" t="s">
        <v>567</v>
      </c>
      <c r="E3222" s="199">
        <v>2.0</v>
      </c>
      <c r="F3222" s="200">
        <v>45756.58333333333</v>
      </c>
      <c r="G3222" s="197" t="s">
        <v>845</v>
      </c>
      <c r="H3222" s="197" t="s">
        <v>870</v>
      </c>
    </row>
    <row r="3223" ht="15.75" customHeight="1">
      <c r="A3223" s="197" t="s">
        <v>77</v>
      </c>
      <c r="B3223" s="197" t="s">
        <v>21</v>
      </c>
      <c r="C3223" s="198" t="s">
        <v>566</v>
      </c>
      <c r="D3223" s="197" t="s">
        <v>567</v>
      </c>
      <c r="E3223" s="199">
        <v>3.0</v>
      </c>
      <c r="F3223" s="200">
        <v>45771.54166666667</v>
      </c>
      <c r="G3223" s="197" t="s">
        <v>845</v>
      </c>
      <c r="H3223" s="197" t="s">
        <v>870</v>
      </c>
    </row>
    <row r="3224" ht="15.75" customHeight="1">
      <c r="A3224" s="197" t="s">
        <v>77</v>
      </c>
      <c r="B3224" s="197" t="s">
        <v>21</v>
      </c>
      <c r="C3224" s="198" t="s">
        <v>566</v>
      </c>
      <c r="D3224" s="197" t="s">
        <v>567</v>
      </c>
      <c r="E3224" s="199">
        <v>4.0</v>
      </c>
      <c r="F3224" s="200">
        <v>45786.54166666667</v>
      </c>
      <c r="G3224" s="197" t="s">
        <v>845</v>
      </c>
      <c r="H3224" s="197" t="s">
        <v>870</v>
      </c>
    </row>
    <row r="3225" ht="15.75" customHeight="1">
      <c r="A3225" s="197" t="s">
        <v>77</v>
      </c>
      <c r="B3225" s="197" t="s">
        <v>21</v>
      </c>
      <c r="C3225" s="198" t="s">
        <v>566</v>
      </c>
      <c r="D3225" s="197" t="s">
        <v>567</v>
      </c>
      <c r="E3225" s="199">
        <v>5.0</v>
      </c>
      <c r="F3225" s="200">
        <v>45790.54166666667</v>
      </c>
      <c r="G3225" s="197" t="s">
        <v>845</v>
      </c>
      <c r="H3225" s="197" t="s">
        <v>870</v>
      </c>
    </row>
    <row r="3226" ht="15.75" customHeight="1">
      <c r="A3226" s="197" t="s">
        <v>77</v>
      </c>
      <c r="B3226" s="197" t="s">
        <v>21</v>
      </c>
      <c r="C3226" s="198" t="s">
        <v>566</v>
      </c>
      <c r="D3226" s="197" t="s">
        <v>567</v>
      </c>
      <c r="E3226" s="199">
        <v>6.0</v>
      </c>
      <c r="F3226" s="200">
        <v>45799.54166666667</v>
      </c>
      <c r="G3226" s="197" t="s">
        <v>845</v>
      </c>
      <c r="H3226" s="197" t="s">
        <v>870</v>
      </c>
    </row>
    <row r="3227" ht="15.75" customHeight="1">
      <c r="A3227" s="197" t="s">
        <v>77</v>
      </c>
      <c r="B3227" s="197" t="s">
        <v>21</v>
      </c>
      <c r="C3227" s="198" t="s">
        <v>566</v>
      </c>
      <c r="D3227" s="197" t="s">
        <v>567</v>
      </c>
      <c r="E3227" s="199">
        <v>7.0</v>
      </c>
      <c r="F3227" s="200">
        <v>45805.54166666667</v>
      </c>
      <c r="G3227" s="197" t="s">
        <v>845</v>
      </c>
      <c r="H3227" s="197" t="s">
        <v>870</v>
      </c>
    </row>
    <row r="3228" ht="15.75" customHeight="1">
      <c r="A3228" s="197" t="s">
        <v>77</v>
      </c>
      <c r="B3228" s="197" t="s">
        <v>21</v>
      </c>
      <c r="C3228" s="198" t="s">
        <v>566</v>
      </c>
      <c r="D3228" s="197" t="s">
        <v>567</v>
      </c>
      <c r="E3228" s="199">
        <v>8.0</v>
      </c>
      <c r="F3228" s="200">
        <v>45813.58333333333</v>
      </c>
      <c r="G3228" s="197" t="s">
        <v>845</v>
      </c>
      <c r="H3228" s="197" t="s">
        <v>870</v>
      </c>
    </row>
    <row r="3229" ht="15.75" customHeight="1">
      <c r="A3229" s="197" t="s">
        <v>77</v>
      </c>
      <c r="B3229" s="197" t="s">
        <v>21</v>
      </c>
      <c r="C3229" s="198" t="s">
        <v>566</v>
      </c>
      <c r="D3229" s="197" t="s">
        <v>567</v>
      </c>
      <c r="E3229" s="199">
        <v>9.0</v>
      </c>
      <c r="F3229" s="200">
        <v>45820.58333333333</v>
      </c>
      <c r="G3229" s="197" t="s">
        <v>845</v>
      </c>
      <c r="H3229" s="197" t="s">
        <v>870</v>
      </c>
    </row>
    <row r="3230" ht="15.75" customHeight="1">
      <c r="A3230" s="197" t="s">
        <v>77</v>
      </c>
      <c r="B3230" s="197" t="s">
        <v>21</v>
      </c>
      <c r="C3230" s="198" t="s">
        <v>566</v>
      </c>
      <c r="D3230" s="197" t="s">
        <v>567</v>
      </c>
      <c r="E3230" s="199">
        <v>10.0</v>
      </c>
      <c r="F3230" s="200">
        <v>45849.54166666667</v>
      </c>
      <c r="G3230" s="197" t="s">
        <v>845</v>
      </c>
      <c r="H3230" s="197" t="s">
        <v>870</v>
      </c>
    </row>
    <row r="3231" ht="15.75" customHeight="1">
      <c r="A3231" s="197" t="s">
        <v>77</v>
      </c>
      <c r="B3231" s="197" t="s">
        <v>22</v>
      </c>
      <c r="C3231" s="198" t="s">
        <v>566</v>
      </c>
      <c r="D3231" s="197" t="s">
        <v>567</v>
      </c>
      <c r="E3231" s="199">
        <v>1.0</v>
      </c>
      <c r="F3231" s="200">
        <v>45890.54166666667</v>
      </c>
      <c r="G3231" s="197" t="s">
        <v>843</v>
      </c>
      <c r="H3231" s="197" t="s">
        <v>870</v>
      </c>
    </row>
    <row r="3232" ht="15.75" customHeight="1">
      <c r="A3232" s="197" t="s">
        <v>77</v>
      </c>
      <c r="B3232" s="197" t="s">
        <v>22</v>
      </c>
      <c r="C3232" s="198" t="s">
        <v>566</v>
      </c>
      <c r="D3232" s="197" t="s">
        <v>567</v>
      </c>
      <c r="E3232" s="199">
        <v>2.0</v>
      </c>
      <c r="F3232" s="200">
        <v>45897.58333333333</v>
      </c>
      <c r="G3232" s="197" t="s">
        <v>845</v>
      </c>
      <c r="H3232" s="197" t="s">
        <v>870</v>
      </c>
    </row>
    <row r="3233" ht="15.75" customHeight="1">
      <c r="A3233" s="197" t="s">
        <v>77</v>
      </c>
      <c r="B3233" s="197" t="s">
        <v>22</v>
      </c>
      <c r="C3233" s="198" t="s">
        <v>566</v>
      </c>
      <c r="D3233" s="197" t="s">
        <v>567</v>
      </c>
      <c r="E3233" s="199">
        <v>3.0</v>
      </c>
      <c r="F3233" s="200">
        <v>45911.58333333333</v>
      </c>
      <c r="G3233" s="197" t="s">
        <v>843</v>
      </c>
      <c r="H3233" s="197" t="s">
        <v>870</v>
      </c>
    </row>
    <row r="3234" ht="15.75" customHeight="1">
      <c r="A3234" s="197" t="s">
        <v>77</v>
      </c>
      <c r="B3234" s="197" t="s">
        <v>22</v>
      </c>
      <c r="C3234" s="198" t="s">
        <v>566</v>
      </c>
      <c r="D3234" s="197" t="s">
        <v>567</v>
      </c>
      <c r="E3234" s="199">
        <v>5.0</v>
      </c>
      <c r="F3234" s="200">
        <v>45925.58333333333</v>
      </c>
      <c r="G3234" s="197" t="s">
        <v>843</v>
      </c>
      <c r="H3234" s="197" t="s">
        <v>870</v>
      </c>
    </row>
    <row r="3235" ht="15.75" customHeight="1">
      <c r="A3235" s="197" t="s">
        <v>77</v>
      </c>
      <c r="B3235" s="197" t="s">
        <v>22</v>
      </c>
      <c r="C3235" s="198" t="s">
        <v>566</v>
      </c>
      <c r="D3235" s="197" t="s">
        <v>567</v>
      </c>
      <c r="E3235" s="199">
        <v>6.0</v>
      </c>
      <c r="F3235" s="200">
        <v>45932.58333333333</v>
      </c>
      <c r="G3235" s="197" t="s">
        <v>843</v>
      </c>
      <c r="H3235" s="197" t="s">
        <v>870</v>
      </c>
    </row>
    <row r="3236" ht="15.75" customHeight="1">
      <c r="A3236" s="197" t="s">
        <v>77</v>
      </c>
      <c r="B3236" s="197" t="s">
        <v>22</v>
      </c>
      <c r="C3236" s="198" t="s">
        <v>566</v>
      </c>
      <c r="D3236" s="197" t="s">
        <v>567</v>
      </c>
      <c r="E3236" s="199">
        <v>7.0</v>
      </c>
      <c r="F3236" s="200">
        <v>45946.58333333333</v>
      </c>
      <c r="G3236" s="197" t="s">
        <v>843</v>
      </c>
      <c r="H3236" s="197" t="s">
        <v>870</v>
      </c>
    </row>
    <row r="3237" ht="15.75" customHeight="1">
      <c r="A3237" s="197" t="s">
        <v>77</v>
      </c>
      <c r="B3237" s="197" t="s">
        <v>22</v>
      </c>
      <c r="C3237" s="198" t="s">
        <v>566</v>
      </c>
      <c r="D3237" s="197" t="s">
        <v>567</v>
      </c>
      <c r="E3237" s="199">
        <v>8.0</v>
      </c>
      <c r="F3237" s="200">
        <v>45953.58333333333</v>
      </c>
      <c r="G3237" s="197" t="s">
        <v>843</v>
      </c>
      <c r="H3237" s="197" t="s">
        <v>870</v>
      </c>
    </row>
    <row r="3238" ht="15.75" customHeight="1">
      <c r="A3238" s="197" t="s">
        <v>77</v>
      </c>
      <c r="B3238" s="197" t="s">
        <v>22</v>
      </c>
      <c r="C3238" s="198" t="s">
        <v>566</v>
      </c>
      <c r="D3238" s="197" t="s">
        <v>567</v>
      </c>
      <c r="E3238" s="199">
        <v>9.0</v>
      </c>
      <c r="F3238" s="200">
        <v>45960.58333333333</v>
      </c>
      <c r="G3238" s="197" t="s">
        <v>843</v>
      </c>
      <c r="H3238" s="197" t="s">
        <v>870</v>
      </c>
    </row>
    <row r="3239" ht="15.75" customHeight="1">
      <c r="A3239" s="197" t="s">
        <v>77</v>
      </c>
      <c r="B3239" s="197" t="s">
        <v>22</v>
      </c>
      <c r="C3239" s="198" t="s">
        <v>566</v>
      </c>
      <c r="D3239" s="197" t="s">
        <v>567</v>
      </c>
      <c r="E3239" s="199">
        <v>10.0</v>
      </c>
      <c r="F3239" s="200">
        <v>45966.58333333333</v>
      </c>
      <c r="G3239" s="197" t="s">
        <v>843</v>
      </c>
      <c r="H3239" s="197" t="s">
        <v>870</v>
      </c>
    </row>
    <row r="3240" ht="15.75" customHeight="1">
      <c r="A3240" s="197" t="s">
        <v>77</v>
      </c>
      <c r="B3240" s="197" t="s">
        <v>22</v>
      </c>
      <c r="C3240" s="198" t="s">
        <v>566</v>
      </c>
      <c r="D3240" s="197" t="s">
        <v>567</v>
      </c>
      <c r="E3240" s="199">
        <v>11.0</v>
      </c>
      <c r="F3240" s="200">
        <v>45982.58333333333</v>
      </c>
      <c r="G3240" s="197" t="s">
        <v>843</v>
      </c>
      <c r="H3240" s="197" t="s">
        <v>870</v>
      </c>
    </row>
    <row r="3241" ht="15.75" customHeight="1">
      <c r="A3241" s="197" t="s">
        <v>77</v>
      </c>
      <c r="B3241" s="197" t="s">
        <v>22</v>
      </c>
      <c r="C3241" s="198" t="s">
        <v>566</v>
      </c>
      <c r="D3241" s="197" t="s">
        <v>567</v>
      </c>
      <c r="E3241" s="199">
        <v>12.0</v>
      </c>
      <c r="F3241" s="200">
        <v>45988.58333333333</v>
      </c>
      <c r="G3241" s="197" t="s">
        <v>843</v>
      </c>
      <c r="H3241" s="197" t="s">
        <v>870</v>
      </c>
    </row>
    <row r="3242" ht="15.75" customHeight="1">
      <c r="A3242" s="197" t="s">
        <v>77</v>
      </c>
      <c r="B3242" s="197" t="s">
        <v>22</v>
      </c>
      <c r="C3242" s="198" t="s">
        <v>566</v>
      </c>
      <c r="D3242" s="197" t="s">
        <v>567</v>
      </c>
      <c r="E3242" s="199">
        <v>13.0</v>
      </c>
      <c r="F3242" s="200">
        <v>45995.58333333333</v>
      </c>
      <c r="G3242" s="197" t="s">
        <v>843</v>
      </c>
      <c r="H3242" s="197" t="s">
        <v>870</v>
      </c>
    </row>
    <row r="3243" ht="15.75" customHeight="1">
      <c r="A3243" s="197" t="s">
        <v>77</v>
      </c>
      <c r="B3243" s="197" t="s">
        <v>22</v>
      </c>
      <c r="C3243" s="198" t="s">
        <v>566</v>
      </c>
      <c r="D3243" s="197" t="s">
        <v>567</v>
      </c>
      <c r="E3243" s="199">
        <v>14.0</v>
      </c>
      <c r="F3243" s="200">
        <v>45999.45833333333</v>
      </c>
      <c r="G3243" s="197" t="s">
        <v>843</v>
      </c>
      <c r="H3243" s="197" t="s">
        <v>870</v>
      </c>
    </row>
    <row r="3244" ht="15.75" customHeight="1">
      <c r="A3244" s="197" t="s">
        <v>77</v>
      </c>
      <c r="B3244" s="197" t="s">
        <v>22</v>
      </c>
      <c r="C3244" s="198" t="s">
        <v>566</v>
      </c>
      <c r="D3244" s="197" t="s">
        <v>567</v>
      </c>
      <c r="E3244" s="199">
        <v>15.0</v>
      </c>
      <c r="F3244" s="200">
        <v>46014.625</v>
      </c>
      <c r="G3244" s="197" t="s">
        <v>843</v>
      </c>
      <c r="H3244" s="197" t="s">
        <v>870</v>
      </c>
    </row>
    <row r="3245" ht="15.75" customHeight="1">
      <c r="A3245" s="197" t="s">
        <v>77</v>
      </c>
      <c r="B3245" s="197" t="s">
        <v>22</v>
      </c>
      <c r="C3245" s="198" t="s">
        <v>566</v>
      </c>
      <c r="D3245" s="197" t="s">
        <v>567</v>
      </c>
      <c r="E3245" s="199">
        <v>16.0</v>
      </c>
      <c r="F3245" s="200">
        <v>46044.54166666667</v>
      </c>
      <c r="G3245" s="197" t="s">
        <v>843</v>
      </c>
      <c r="H3245" s="197" t="s">
        <v>870</v>
      </c>
    </row>
    <row r="3246" ht="15.75" customHeight="1">
      <c r="A3246" s="197" t="s">
        <v>77</v>
      </c>
      <c r="B3246" s="197" t="s">
        <v>23</v>
      </c>
      <c r="C3246" s="198" t="s">
        <v>566</v>
      </c>
      <c r="D3246" s="197" t="s">
        <v>567</v>
      </c>
      <c r="E3246" s="199">
        <v>2.0</v>
      </c>
      <c r="F3246" s="200">
        <v>46107.58333333333</v>
      </c>
      <c r="G3246" s="197" t="s">
        <v>843</v>
      </c>
      <c r="H3246" s="197" t="s">
        <v>870</v>
      </c>
    </row>
    <row r="3247" ht="15.75" customHeight="1">
      <c r="A3247" s="197" t="s">
        <v>77</v>
      </c>
      <c r="B3247" s="197" t="s">
        <v>23</v>
      </c>
      <c r="C3247" s="198" t="s">
        <v>566</v>
      </c>
      <c r="D3247" s="197" t="s">
        <v>567</v>
      </c>
      <c r="E3247" s="199">
        <v>3.0</v>
      </c>
      <c r="F3247" s="200">
        <v>46114.58333333333</v>
      </c>
      <c r="G3247" s="197" t="s">
        <v>843</v>
      </c>
      <c r="H3247" s="197" t="s">
        <v>870</v>
      </c>
    </row>
    <row r="3248" ht="15.75" customHeight="1">
      <c r="A3248" s="197" t="s">
        <v>77</v>
      </c>
      <c r="B3248" s="197" t="s">
        <v>23</v>
      </c>
      <c r="C3248" s="198" t="s">
        <v>566</v>
      </c>
      <c r="D3248" s="197" t="s">
        <v>567</v>
      </c>
      <c r="E3248" s="199">
        <v>4.0</v>
      </c>
      <c r="F3248" s="200">
        <v>46121.58333333333</v>
      </c>
      <c r="G3248" s="197" t="s">
        <v>843</v>
      </c>
      <c r="H3248" s="197" t="s">
        <v>870</v>
      </c>
    </row>
    <row r="3249" ht="15.75" customHeight="1">
      <c r="A3249" s="197" t="s">
        <v>77</v>
      </c>
      <c r="B3249" s="197" t="s">
        <v>23</v>
      </c>
      <c r="C3249" s="198" t="s">
        <v>566</v>
      </c>
      <c r="D3249" s="197" t="s">
        <v>567</v>
      </c>
      <c r="E3249" s="199">
        <v>5.0</v>
      </c>
      <c r="F3249" s="200">
        <v>46128.58333333333</v>
      </c>
      <c r="G3249" s="197" t="s">
        <v>843</v>
      </c>
      <c r="H3249" s="197" t="s">
        <v>870</v>
      </c>
    </row>
    <row r="3250" ht="15.75" customHeight="1">
      <c r="A3250" s="197" t="s">
        <v>77</v>
      </c>
      <c r="B3250" s="197" t="s">
        <v>23</v>
      </c>
      <c r="C3250" s="198" t="s">
        <v>566</v>
      </c>
      <c r="D3250" s="197" t="s">
        <v>567</v>
      </c>
      <c r="E3250" s="199">
        <v>6.0</v>
      </c>
      <c r="F3250" s="200">
        <v>46135.58333333333</v>
      </c>
      <c r="G3250" s="197" t="s">
        <v>843</v>
      </c>
      <c r="H3250" s="197" t="s">
        <v>870</v>
      </c>
    </row>
    <row r="3251" ht="15.75" customHeight="1">
      <c r="A3251" s="197" t="s">
        <v>78</v>
      </c>
      <c r="B3251" s="197" t="s">
        <v>21</v>
      </c>
      <c r="C3251" s="198" t="s">
        <v>182</v>
      </c>
      <c r="D3251" s="197" t="s">
        <v>183</v>
      </c>
      <c r="E3251" s="199">
        <v>1.0</v>
      </c>
      <c r="F3251" s="200">
        <v>45638.45833333333</v>
      </c>
      <c r="G3251" s="197" t="s">
        <v>845</v>
      </c>
      <c r="H3251" s="197" t="s">
        <v>871</v>
      </c>
    </row>
    <row r="3252" ht="15.75" customHeight="1">
      <c r="A3252" s="197" t="s">
        <v>78</v>
      </c>
      <c r="B3252" s="197" t="s">
        <v>21</v>
      </c>
      <c r="C3252" s="198" t="s">
        <v>182</v>
      </c>
      <c r="D3252" s="197" t="s">
        <v>183</v>
      </c>
      <c r="E3252" s="199">
        <v>2.0</v>
      </c>
      <c r="F3252" s="200">
        <v>45659.45833333333</v>
      </c>
      <c r="G3252" s="197" t="s">
        <v>845</v>
      </c>
      <c r="H3252" s="197" t="s">
        <v>871</v>
      </c>
    </row>
    <row r="3253" ht="15.75" customHeight="1">
      <c r="A3253" s="197" t="s">
        <v>78</v>
      </c>
      <c r="B3253" s="197" t="s">
        <v>21</v>
      </c>
      <c r="C3253" s="198" t="s">
        <v>182</v>
      </c>
      <c r="D3253" s="197" t="s">
        <v>183</v>
      </c>
      <c r="E3253" s="199">
        <v>3.0</v>
      </c>
      <c r="F3253" s="200">
        <v>45677.45833333333</v>
      </c>
      <c r="G3253" s="197" t="s">
        <v>845</v>
      </c>
      <c r="H3253" s="197" t="s">
        <v>871</v>
      </c>
    </row>
    <row r="3254" ht="15.75" customHeight="1">
      <c r="A3254" s="197" t="s">
        <v>78</v>
      </c>
      <c r="B3254" s="197" t="s">
        <v>21</v>
      </c>
      <c r="C3254" s="198" t="s">
        <v>182</v>
      </c>
      <c r="D3254" s="197" t="s">
        <v>183</v>
      </c>
      <c r="E3254" s="199">
        <v>4.0</v>
      </c>
      <c r="F3254" s="200">
        <v>45692.45833333333</v>
      </c>
      <c r="G3254" s="197" t="s">
        <v>845</v>
      </c>
      <c r="H3254" s="197" t="s">
        <v>871</v>
      </c>
    </row>
    <row r="3255" ht="15.75" customHeight="1">
      <c r="A3255" s="197" t="s">
        <v>78</v>
      </c>
      <c r="B3255" s="197" t="s">
        <v>21</v>
      </c>
      <c r="C3255" s="198" t="s">
        <v>182</v>
      </c>
      <c r="D3255" s="197" t="s">
        <v>183</v>
      </c>
      <c r="E3255" s="199">
        <v>5.0</v>
      </c>
      <c r="F3255" s="200">
        <v>45768.54166666667</v>
      </c>
      <c r="G3255" s="197" t="s">
        <v>845</v>
      </c>
      <c r="H3255" s="197" t="s">
        <v>871</v>
      </c>
    </row>
    <row r="3256" ht="15.75" customHeight="1">
      <c r="A3256" s="197" t="s">
        <v>78</v>
      </c>
      <c r="B3256" s="197" t="s">
        <v>21</v>
      </c>
      <c r="C3256" s="198" t="s">
        <v>182</v>
      </c>
      <c r="D3256" s="197" t="s">
        <v>183</v>
      </c>
      <c r="E3256" s="199">
        <v>6.0</v>
      </c>
      <c r="F3256" s="200">
        <v>45817.54166666667</v>
      </c>
      <c r="G3256" s="197" t="s">
        <v>845</v>
      </c>
      <c r="H3256" s="197" t="s">
        <v>871</v>
      </c>
    </row>
    <row r="3257" ht="15.75" customHeight="1">
      <c r="A3257" s="197" t="s">
        <v>78</v>
      </c>
      <c r="B3257" s="197" t="s">
        <v>21</v>
      </c>
      <c r="C3257" s="198" t="s">
        <v>182</v>
      </c>
      <c r="D3257" s="197" t="s">
        <v>183</v>
      </c>
      <c r="E3257" s="199">
        <v>7.0</v>
      </c>
      <c r="F3257" s="200">
        <v>45831.58333333333</v>
      </c>
      <c r="G3257" s="197" t="s">
        <v>845</v>
      </c>
      <c r="H3257" s="197" t="s">
        <v>871</v>
      </c>
    </row>
    <row r="3258" ht="15.75" customHeight="1">
      <c r="A3258" s="197" t="s">
        <v>78</v>
      </c>
      <c r="B3258" s="197" t="s">
        <v>21</v>
      </c>
      <c r="C3258" s="198" t="s">
        <v>182</v>
      </c>
      <c r="D3258" s="197" t="s">
        <v>183</v>
      </c>
      <c r="E3258" s="199">
        <v>8.0</v>
      </c>
      <c r="F3258" s="200">
        <v>45861.41666666667</v>
      </c>
      <c r="G3258" s="197" t="s">
        <v>845</v>
      </c>
      <c r="H3258" s="197" t="s">
        <v>871</v>
      </c>
    </row>
    <row r="3259" ht="15.75" customHeight="1">
      <c r="A3259" s="197" t="s">
        <v>78</v>
      </c>
      <c r="B3259" s="197" t="s">
        <v>21</v>
      </c>
      <c r="C3259" s="198" t="s">
        <v>182</v>
      </c>
      <c r="D3259" s="197" t="s">
        <v>183</v>
      </c>
      <c r="E3259" s="199">
        <v>9.0</v>
      </c>
      <c r="F3259" s="200">
        <v>45861.45833333333</v>
      </c>
      <c r="G3259" s="197" t="s">
        <v>845</v>
      </c>
      <c r="H3259" s="197" t="s">
        <v>871</v>
      </c>
    </row>
    <row r="3260" ht="15.75" customHeight="1">
      <c r="A3260" s="197" t="s">
        <v>78</v>
      </c>
      <c r="B3260" s="197" t="s">
        <v>21</v>
      </c>
      <c r="C3260" s="198" t="s">
        <v>182</v>
      </c>
      <c r="D3260" s="197" t="s">
        <v>183</v>
      </c>
      <c r="E3260" s="199">
        <v>10.0</v>
      </c>
      <c r="F3260" s="200">
        <v>45887.54166666667</v>
      </c>
      <c r="G3260" s="197" t="s">
        <v>845</v>
      </c>
      <c r="H3260" s="197" t="s">
        <v>871</v>
      </c>
    </row>
    <row r="3261" ht="15.75" customHeight="1">
      <c r="A3261" s="197" t="s">
        <v>78</v>
      </c>
      <c r="B3261" s="197" t="s">
        <v>21</v>
      </c>
      <c r="C3261" s="198" t="s">
        <v>259</v>
      </c>
      <c r="D3261" s="197" t="s">
        <v>260</v>
      </c>
      <c r="E3261" s="199">
        <v>1.0</v>
      </c>
      <c r="F3261" s="200">
        <v>45638.45833333333</v>
      </c>
      <c r="G3261" s="197" t="s">
        <v>845</v>
      </c>
      <c r="H3261" s="197" t="s">
        <v>871</v>
      </c>
    </row>
    <row r="3262" ht="15.75" customHeight="1">
      <c r="A3262" s="197" t="s">
        <v>78</v>
      </c>
      <c r="B3262" s="197" t="s">
        <v>21</v>
      </c>
      <c r="C3262" s="198" t="s">
        <v>259</v>
      </c>
      <c r="D3262" s="197" t="s">
        <v>260</v>
      </c>
      <c r="E3262" s="199">
        <v>2.0</v>
      </c>
      <c r="F3262" s="200">
        <v>45659.45833333333</v>
      </c>
      <c r="G3262" s="197" t="s">
        <v>845</v>
      </c>
      <c r="H3262" s="197" t="s">
        <v>871</v>
      </c>
    </row>
    <row r="3263" ht="15.75" customHeight="1">
      <c r="A3263" s="197" t="s">
        <v>78</v>
      </c>
      <c r="B3263" s="197" t="s">
        <v>21</v>
      </c>
      <c r="C3263" s="198" t="s">
        <v>259</v>
      </c>
      <c r="D3263" s="197" t="s">
        <v>260</v>
      </c>
      <c r="E3263" s="199">
        <v>3.0</v>
      </c>
      <c r="F3263" s="200">
        <v>45677.45833333333</v>
      </c>
      <c r="G3263" s="197" t="s">
        <v>845</v>
      </c>
      <c r="H3263" s="197" t="s">
        <v>871</v>
      </c>
    </row>
    <row r="3264" ht="15.75" customHeight="1">
      <c r="A3264" s="197" t="s">
        <v>78</v>
      </c>
      <c r="B3264" s="197" t="s">
        <v>21</v>
      </c>
      <c r="C3264" s="198" t="s">
        <v>259</v>
      </c>
      <c r="D3264" s="197" t="s">
        <v>260</v>
      </c>
      <c r="E3264" s="199">
        <v>4.0</v>
      </c>
      <c r="F3264" s="200">
        <v>45692.45833333333</v>
      </c>
      <c r="G3264" s="197" t="s">
        <v>845</v>
      </c>
      <c r="H3264" s="197" t="s">
        <v>871</v>
      </c>
    </row>
    <row r="3265" ht="15.75" customHeight="1">
      <c r="A3265" s="197" t="s">
        <v>78</v>
      </c>
      <c r="B3265" s="197" t="s">
        <v>21</v>
      </c>
      <c r="C3265" s="198" t="s">
        <v>259</v>
      </c>
      <c r="D3265" s="197" t="s">
        <v>260</v>
      </c>
      <c r="E3265" s="199">
        <v>5.0</v>
      </c>
      <c r="F3265" s="200">
        <v>45768.54166666667</v>
      </c>
      <c r="G3265" s="197" t="s">
        <v>845</v>
      </c>
      <c r="H3265" s="197" t="s">
        <v>871</v>
      </c>
    </row>
    <row r="3266" ht="15.75" customHeight="1">
      <c r="A3266" s="197" t="s">
        <v>78</v>
      </c>
      <c r="B3266" s="197" t="s">
        <v>21</v>
      </c>
      <c r="C3266" s="198" t="s">
        <v>259</v>
      </c>
      <c r="D3266" s="197" t="s">
        <v>260</v>
      </c>
      <c r="E3266" s="199">
        <v>6.0</v>
      </c>
      <c r="F3266" s="200">
        <v>45817.54166666667</v>
      </c>
      <c r="G3266" s="197" t="s">
        <v>845</v>
      </c>
      <c r="H3266" s="197" t="s">
        <v>871</v>
      </c>
    </row>
    <row r="3267" ht="15.75" customHeight="1">
      <c r="A3267" s="197" t="s">
        <v>78</v>
      </c>
      <c r="B3267" s="197" t="s">
        <v>21</v>
      </c>
      <c r="C3267" s="198" t="s">
        <v>259</v>
      </c>
      <c r="D3267" s="197" t="s">
        <v>260</v>
      </c>
      <c r="E3267" s="199">
        <v>7.0</v>
      </c>
      <c r="F3267" s="200">
        <v>45831.58333333333</v>
      </c>
      <c r="G3267" s="197" t="s">
        <v>843</v>
      </c>
      <c r="H3267" s="197" t="s">
        <v>871</v>
      </c>
    </row>
    <row r="3268" ht="15.75" customHeight="1">
      <c r="A3268" s="197" t="s">
        <v>78</v>
      </c>
      <c r="B3268" s="197" t="s">
        <v>21</v>
      </c>
      <c r="C3268" s="198" t="s">
        <v>259</v>
      </c>
      <c r="D3268" s="197" t="s">
        <v>260</v>
      </c>
      <c r="E3268" s="199">
        <v>8.0</v>
      </c>
      <c r="F3268" s="200">
        <v>45861.41666666667</v>
      </c>
      <c r="G3268" s="197" t="s">
        <v>843</v>
      </c>
      <c r="H3268" s="197" t="s">
        <v>871</v>
      </c>
    </row>
    <row r="3269" ht="15.75" customHeight="1">
      <c r="A3269" s="197" t="s">
        <v>78</v>
      </c>
      <c r="B3269" s="197" t="s">
        <v>21</v>
      </c>
      <c r="C3269" s="198" t="s">
        <v>259</v>
      </c>
      <c r="D3269" s="197" t="s">
        <v>260</v>
      </c>
      <c r="E3269" s="199">
        <v>9.0</v>
      </c>
      <c r="F3269" s="200">
        <v>45861.45833333333</v>
      </c>
      <c r="G3269" s="197" t="s">
        <v>843</v>
      </c>
      <c r="H3269" s="197" t="s">
        <v>871</v>
      </c>
    </row>
    <row r="3270" ht="15.75" customHeight="1">
      <c r="A3270" s="197" t="s">
        <v>78</v>
      </c>
      <c r="B3270" s="197" t="s">
        <v>21</v>
      </c>
      <c r="C3270" s="198" t="s">
        <v>259</v>
      </c>
      <c r="D3270" s="197" t="s">
        <v>260</v>
      </c>
      <c r="E3270" s="199">
        <v>10.0</v>
      </c>
      <c r="F3270" s="200">
        <v>45887.54166666667</v>
      </c>
      <c r="G3270" s="197" t="s">
        <v>845</v>
      </c>
      <c r="H3270" s="197" t="s">
        <v>871</v>
      </c>
    </row>
    <row r="3271" ht="15.75" customHeight="1">
      <c r="A3271" s="197" t="s">
        <v>78</v>
      </c>
      <c r="B3271" s="197" t="s">
        <v>21</v>
      </c>
      <c r="C3271" s="198" t="s">
        <v>261</v>
      </c>
      <c r="D3271" s="197" t="s">
        <v>262</v>
      </c>
      <c r="E3271" s="199">
        <v>1.0</v>
      </c>
      <c r="F3271" s="200">
        <v>45638.45833333333</v>
      </c>
      <c r="G3271" s="197" t="s">
        <v>845</v>
      </c>
      <c r="H3271" s="197" t="s">
        <v>871</v>
      </c>
    </row>
    <row r="3272" ht="15.75" customHeight="1">
      <c r="A3272" s="197" t="s">
        <v>78</v>
      </c>
      <c r="B3272" s="197" t="s">
        <v>21</v>
      </c>
      <c r="C3272" s="198" t="s">
        <v>261</v>
      </c>
      <c r="D3272" s="197" t="s">
        <v>262</v>
      </c>
      <c r="E3272" s="199">
        <v>2.0</v>
      </c>
      <c r="F3272" s="200">
        <v>45659.45833333333</v>
      </c>
      <c r="G3272" s="197" t="s">
        <v>845</v>
      </c>
      <c r="H3272" s="197" t="s">
        <v>871</v>
      </c>
    </row>
    <row r="3273" ht="15.75" customHeight="1">
      <c r="A3273" s="197" t="s">
        <v>78</v>
      </c>
      <c r="B3273" s="197" t="s">
        <v>21</v>
      </c>
      <c r="C3273" s="198" t="s">
        <v>261</v>
      </c>
      <c r="D3273" s="197" t="s">
        <v>262</v>
      </c>
      <c r="E3273" s="199">
        <v>3.0</v>
      </c>
      <c r="F3273" s="200">
        <v>45677.45833333333</v>
      </c>
      <c r="G3273" s="197" t="s">
        <v>845</v>
      </c>
      <c r="H3273" s="197" t="s">
        <v>871</v>
      </c>
    </row>
    <row r="3274" ht="15.75" customHeight="1">
      <c r="A3274" s="197" t="s">
        <v>78</v>
      </c>
      <c r="B3274" s="197" t="s">
        <v>21</v>
      </c>
      <c r="C3274" s="198" t="s">
        <v>261</v>
      </c>
      <c r="D3274" s="197" t="s">
        <v>262</v>
      </c>
      <c r="E3274" s="199">
        <v>4.0</v>
      </c>
      <c r="F3274" s="200">
        <v>45692.45833333333</v>
      </c>
      <c r="G3274" s="197" t="s">
        <v>845</v>
      </c>
      <c r="H3274" s="197" t="s">
        <v>871</v>
      </c>
    </row>
    <row r="3275" ht="15.75" customHeight="1">
      <c r="A3275" s="197" t="s">
        <v>78</v>
      </c>
      <c r="B3275" s="197" t="s">
        <v>21</v>
      </c>
      <c r="C3275" s="198" t="s">
        <v>261</v>
      </c>
      <c r="D3275" s="197" t="s">
        <v>262</v>
      </c>
      <c r="E3275" s="199">
        <v>5.0</v>
      </c>
      <c r="F3275" s="200">
        <v>45768.54166666667</v>
      </c>
      <c r="G3275" s="197" t="s">
        <v>843</v>
      </c>
      <c r="H3275" s="197" t="s">
        <v>871</v>
      </c>
    </row>
    <row r="3276" ht="15.75" customHeight="1">
      <c r="A3276" s="197" t="s">
        <v>78</v>
      </c>
      <c r="B3276" s="197" t="s">
        <v>21</v>
      </c>
      <c r="C3276" s="198" t="s">
        <v>261</v>
      </c>
      <c r="D3276" s="197" t="s">
        <v>262</v>
      </c>
      <c r="E3276" s="199">
        <v>6.0</v>
      </c>
      <c r="F3276" s="200">
        <v>45817.54166666667</v>
      </c>
      <c r="G3276" s="197" t="s">
        <v>845</v>
      </c>
      <c r="H3276" s="197" t="s">
        <v>871</v>
      </c>
    </row>
    <row r="3277" ht="15.75" customHeight="1">
      <c r="A3277" s="197" t="s">
        <v>78</v>
      </c>
      <c r="B3277" s="197" t="s">
        <v>21</v>
      </c>
      <c r="C3277" s="198" t="s">
        <v>261</v>
      </c>
      <c r="D3277" s="197" t="s">
        <v>262</v>
      </c>
      <c r="E3277" s="199">
        <v>7.0</v>
      </c>
      <c r="F3277" s="200">
        <v>45831.58333333333</v>
      </c>
      <c r="G3277" s="197" t="s">
        <v>843</v>
      </c>
      <c r="H3277" s="197" t="s">
        <v>871</v>
      </c>
    </row>
    <row r="3278" ht="15.75" customHeight="1">
      <c r="A3278" s="197" t="s">
        <v>78</v>
      </c>
      <c r="B3278" s="197" t="s">
        <v>21</v>
      </c>
      <c r="C3278" s="198" t="s">
        <v>261</v>
      </c>
      <c r="D3278" s="197" t="s">
        <v>262</v>
      </c>
      <c r="E3278" s="199">
        <v>8.0</v>
      </c>
      <c r="F3278" s="200">
        <v>45861.41666666667</v>
      </c>
      <c r="G3278" s="197" t="s">
        <v>843</v>
      </c>
      <c r="H3278" s="197" t="s">
        <v>871</v>
      </c>
    </row>
    <row r="3279" ht="15.75" customHeight="1">
      <c r="A3279" s="197" t="s">
        <v>78</v>
      </c>
      <c r="B3279" s="197" t="s">
        <v>21</v>
      </c>
      <c r="C3279" s="198" t="s">
        <v>261</v>
      </c>
      <c r="D3279" s="197" t="s">
        <v>262</v>
      </c>
      <c r="E3279" s="199">
        <v>9.0</v>
      </c>
      <c r="F3279" s="200">
        <v>45861.45833333333</v>
      </c>
      <c r="G3279" s="197" t="s">
        <v>843</v>
      </c>
      <c r="H3279" s="197" t="s">
        <v>871</v>
      </c>
    </row>
    <row r="3280" ht="15.75" customHeight="1">
      <c r="A3280" s="197" t="s">
        <v>78</v>
      </c>
      <c r="B3280" s="197" t="s">
        <v>21</v>
      </c>
      <c r="C3280" s="198" t="s">
        <v>261</v>
      </c>
      <c r="D3280" s="197" t="s">
        <v>262</v>
      </c>
      <c r="E3280" s="199">
        <v>10.0</v>
      </c>
      <c r="F3280" s="200">
        <v>45887.54166666667</v>
      </c>
      <c r="G3280" s="197" t="s">
        <v>843</v>
      </c>
      <c r="H3280" s="197" t="s">
        <v>871</v>
      </c>
    </row>
    <row r="3281" ht="15.75" customHeight="1">
      <c r="A3281" s="197" t="s">
        <v>78</v>
      </c>
      <c r="B3281" s="197" t="s">
        <v>21</v>
      </c>
      <c r="C3281" s="198" t="s">
        <v>423</v>
      </c>
      <c r="D3281" s="197" t="s">
        <v>424</v>
      </c>
      <c r="E3281" s="199">
        <v>1.0</v>
      </c>
      <c r="F3281" s="200">
        <v>45638.45833333333</v>
      </c>
      <c r="G3281" s="197" t="s">
        <v>845</v>
      </c>
      <c r="H3281" s="197" t="s">
        <v>871</v>
      </c>
    </row>
    <row r="3282" ht="15.75" customHeight="1">
      <c r="A3282" s="197" t="s">
        <v>78</v>
      </c>
      <c r="B3282" s="197" t="s">
        <v>21</v>
      </c>
      <c r="C3282" s="198" t="s">
        <v>423</v>
      </c>
      <c r="D3282" s="197" t="s">
        <v>424</v>
      </c>
      <c r="E3282" s="199">
        <v>2.0</v>
      </c>
      <c r="F3282" s="200">
        <v>45659.45833333333</v>
      </c>
      <c r="G3282" s="197" t="s">
        <v>845</v>
      </c>
      <c r="H3282" s="197" t="s">
        <v>871</v>
      </c>
    </row>
    <row r="3283" ht="15.75" customHeight="1">
      <c r="A3283" s="197" t="s">
        <v>78</v>
      </c>
      <c r="B3283" s="197" t="s">
        <v>21</v>
      </c>
      <c r="C3283" s="198" t="s">
        <v>423</v>
      </c>
      <c r="D3283" s="197" t="s">
        <v>424</v>
      </c>
      <c r="E3283" s="199">
        <v>3.0</v>
      </c>
      <c r="F3283" s="200">
        <v>45677.45833333333</v>
      </c>
      <c r="G3283" s="197" t="s">
        <v>845</v>
      </c>
      <c r="H3283" s="197" t="s">
        <v>871</v>
      </c>
    </row>
    <row r="3284" ht="15.75" customHeight="1">
      <c r="A3284" s="197" t="s">
        <v>78</v>
      </c>
      <c r="B3284" s="197" t="s">
        <v>21</v>
      </c>
      <c r="C3284" s="198" t="s">
        <v>423</v>
      </c>
      <c r="D3284" s="197" t="s">
        <v>424</v>
      </c>
      <c r="E3284" s="199">
        <v>4.0</v>
      </c>
      <c r="F3284" s="200">
        <v>45692.45833333333</v>
      </c>
      <c r="G3284" s="197" t="s">
        <v>845</v>
      </c>
      <c r="H3284" s="197" t="s">
        <v>871</v>
      </c>
    </row>
    <row r="3285" ht="15.75" customHeight="1">
      <c r="A3285" s="197" t="s">
        <v>78</v>
      </c>
      <c r="B3285" s="197" t="s">
        <v>21</v>
      </c>
      <c r="C3285" s="198" t="s">
        <v>423</v>
      </c>
      <c r="D3285" s="197" t="s">
        <v>424</v>
      </c>
      <c r="E3285" s="199">
        <v>5.0</v>
      </c>
      <c r="F3285" s="200">
        <v>45768.54166666667</v>
      </c>
      <c r="G3285" s="197" t="s">
        <v>845</v>
      </c>
      <c r="H3285" s="197" t="s">
        <v>871</v>
      </c>
    </row>
    <row r="3286" ht="15.75" customHeight="1">
      <c r="A3286" s="197" t="s">
        <v>78</v>
      </c>
      <c r="B3286" s="197" t="s">
        <v>21</v>
      </c>
      <c r="C3286" s="198" t="s">
        <v>423</v>
      </c>
      <c r="D3286" s="197" t="s">
        <v>424</v>
      </c>
      <c r="E3286" s="199">
        <v>6.0</v>
      </c>
      <c r="F3286" s="200">
        <v>45817.54166666667</v>
      </c>
      <c r="G3286" s="197" t="s">
        <v>845</v>
      </c>
      <c r="H3286" s="197" t="s">
        <v>871</v>
      </c>
    </row>
    <row r="3287" ht="15.75" customHeight="1">
      <c r="A3287" s="197" t="s">
        <v>78</v>
      </c>
      <c r="B3287" s="197" t="s">
        <v>21</v>
      </c>
      <c r="C3287" s="198" t="s">
        <v>423</v>
      </c>
      <c r="D3287" s="197" t="s">
        <v>424</v>
      </c>
      <c r="E3287" s="199">
        <v>7.0</v>
      </c>
      <c r="F3287" s="200">
        <v>45831.58333333333</v>
      </c>
      <c r="G3287" s="197" t="s">
        <v>845</v>
      </c>
      <c r="H3287" s="197" t="s">
        <v>871</v>
      </c>
    </row>
    <row r="3288" ht="15.75" customHeight="1">
      <c r="A3288" s="197" t="s">
        <v>78</v>
      </c>
      <c r="B3288" s="197" t="s">
        <v>21</v>
      </c>
      <c r="C3288" s="198" t="s">
        <v>423</v>
      </c>
      <c r="D3288" s="197" t="s">
        <v>424</v>
      </c>
      <c r="E3288" s="199">
        <v>8.0</v>
      </c>
      <c r="F3288" s="200">
        <v>45861.41666666667</v>
      </c>
      <c r="G3288" s="197" t="s">
        <v>845</v>
      </c>
      <c r="H3288" s="197" t="s">
        <v>871</v>
      </c>
    </row>
    <row r="3289" ht="15.75" customHeight="1">
      <c r="A3289" s="197" t="s">
        <v>78</v>
      </c>
      <c r="B3289" s="197" t="s">
        <v>21</v>
      </c>
      <c r="C3289" s="198" t="s">
        <v>423</v>
      </c>
      <c r="D3289" s="197" t="s">
        <v>424</v>
      </c>
      <c r="E3289" s="199">
        <v>9.0</v>
      </c>
      <c r="F3289" s="200">
        <v>45861.45833333333</v>
      </c>
      <c r="G3289" s="197" t="s">
        <v>845</v>
      </c>
      <c r="H3289" s="197" t="s">
        <v>871</v>
      </c>
    </row>
    <row r="3290" ht="15.75" customHeight="1">
      <c r="A3290" s="197" t="s">
        <v>78</v>
      </c>
      <c r="B3290" s="197" t="s">
        <v>21</v>
      </c>
      <c r="C3290" s="198" t="s">
        <v>423</v>
      </c>
      <c r="D3290" s="197" t="s">
        <v>424</v>
      </c>
      <c r="E3290" s="199">
        <v>10.0</v>
      </c>
      <c r="F3290" s="200">
        <v>45887.54166666667</v>
      </c>
      <c r="G3290" s="197" t="s">
        <v>845</v>
      </c>
      <c r="H3290" s="197" t="s">
        <v>871</v>
      </c>
    </row>
    <row r="3291" ht="15.75" customHeight="1">
      <c r="A3291" s="197" t="s">
        <v>78</v>
      </c>
      <c r="B3291" s="197" t="s">
        <v>21</v>
      </c>
      <c r="C3291" s="198" t="s">
        <v>711</v>
      </c>
      <c r="D3291" s="197" t="s">
        <v>712</v>
      </c>
      <c r="E3291" s="199">
        <v>1.0</v>
      </c>
      <c r="F3291" s="200">
        <v>45638.45833333333</v>
      </c>
      <c r="G3291" s="197" t="s">
        <v>845</v>
      </c>
      <c r="H3291" s="197" t="s">
        <v>871</v>
      </c>
    </row>
    <row r="3292" ht="15.75" customHeight="1">
      <c r="A3292" s="197" t="s">
        <v>78</v>
      </c>
      <c r="B3292" s="197" t="s">
        <v>21</v>
      </c>
      <c r="C3292" s="198" t="s">
        <v>711</v>
      </c>
      <c r="D3292" s="197" t="s">
        <v>712</v>
      </c>
      <c r="E3292" s="199">
        <v>2.0</v>
      </c>
      <c r="F3292" s="200">
        <v>45659.45833333333</v>
      </c>
      <c r="G3292" s="197" t="s">
        <v>845</v>
      </c>
      <c r="H3292" s="197" t="s">
        <v>871</v>
      </c>
    </row>
    <row r="3293" ht="15.75" customHeight="1">
      <c r="A3293" s="197" t="s">
        <v>78</v>
      </c>
      <c r="B3293" s="197" t="s">
        <v>21</v>
      </c>
      <c r="C3293" s="198" t="s">
        <v>711</v>
      </c>
      <c r="D3293" s="197" t="s">
        <v>712</v>
      </c>
      <c r="E3293" s="199">
        <v>3.0</v>
      </c>
      <c r="F3293" s="200">
        <v>45677.45833333333</v>
      </c>
      <c r="G3293" s="197" t="s">
        <v>845</v>
      </c>
      <c r="H3293" s="197" t="s">
        <v>871</v>
      </c>
    </row>
    <row r="3294" ht="15.75" customHeight="1">
      <c r="A3294" s="197" t="s">
        <v>78</v>
      </c>
      <c r="B3294" s="197" t="s">
        <v>21</v>
      </c>
      <c r="C3294" s="198" t="s">
        <v>711</v>
      </c>
      <c r="D3294" s="197" t="s">
        <v>712</v>
      </c>
      <c r="E3294" s="199">
        <v>4.0</v>
      </c>
      <c r="F3294" s="200">
        <v>45692.45833333333</v>
      </c>
      <c r="G3294" s="197" t="s">
        <v>845</v>
      </c>
      <c r="H3294" s="197" t="s">
        <v>871</v>
      </c>
    </row>
    <row r="3295" ht="15.75" customHeight="1">
      <c r="A3295" s="197" t="s">
        <v>78</v>
      </c>
      <c r="B3295" s="197" t="s">
        <v>21</v>
      </c>
      <c r="C3295" s="198" t="s">
        <v>711</v>
      </c>
      <c r="D3295" s="197" t="s">
        <v>712</v>
      </c>
      <c r="E3295" s="199">
        <v>5.0</v>
      </c>
      <c r="F3295" s="200">
        <v>45768.54166666667</v>
      </c>
      <c r="G3295" s="197" t="s">
        <v>845</v>
      </c>
      <c r="H3295" s="197" t="s">
        <v>871</v>
      </c>
    </row>
    <row r="3296" ht="15.75" customHeight="1">
      <c r="A3296" s="197" t="s">
        <v>78</v>
      </c>
      <c r="B3296" s="197" t="s">
        <v>21</v>
      </c>
      <c r="C3296" s="198" t="s">
        <v>711</v>
      </c>
      <c r="D3296" s="197" t="s">
        <v>712</v>
      </c>
      <c r="E3296" s="199">
        <v>6.0</v>
      </c>
      <c r="F3296" s="200">
        <v>45817.54166666667</v>
      </c>
      <c r="G3296" s="197" t="s">
        <v>845</v>
      </c>
      <c r="H3296" s="197" t="s">
        <v>871</v>
      </c>
    </row>
    <row r="3297" ht="15.75" customHeight="1">
      <c r="A3297" s="197" t="s">
        <v>78</v>
      </c>
      <c r="B3297" s="197" t="s">
        <v>21</v>
      </c>
      <c r="C3297" s="198" t="s">
        <v>711</v>
      </c>
      <c r="D3297" s="197" t="s">
        <v>712</v>
      </c>
      <c r="E3297" s="199">
        <v>7.0</v>
      </c>
      <c r="F3297" s="200">
        <v>45831.58333333333</v>
      </c>
      <c r="G3297" s="197" t="s">
        <v>845</v>
      </c>
      <c r="H3297" s="197" t="s">
        <v>871</v>
      </c>
    </row>
    <row r="3298" ht="15.75" customHeight="1">
      <c r="A3298" s="197" t="s">
        <v>78</v>
      </c>
      <c r="B3298" s="197" t="s">
        <v>21</v>
      </c>
      <c r="C3298" s="198" t="s">
        <v>711</v>
      </c>
      <c r="D3298" s="197" t="s">
        <v>712</v>
      </c>
      <c r="E3298" s="199">
        <v>8.0</v>
      </c>
      <c r="F3298" s="200">
        <v>45861.41666666667</v>
      </c>
      <c r="G3298" s="197" t="s">
        <v>845</v>
      </c>
      <c r="H3298" s="197" t="s">
        <v>871</v>
      </c>
    </row>
    <row r="3299" ht="15.75" customHeight="1">
      <c r="A3299" s="197" t="s">
        <v>78</v>
      </c>
      <c r="B3299" s="197" t="s">
        <v>21</v>
      </c>
      <c r="C3299" s="198" t="s">
        <v>711</v>
      </c>
      <c r="D3299" s="197" t="s">
        <v>712</v>
      </c>
      <c r="E3299" s="199">
        <v>9.0</v>
      </c>
      <c r="F3299" s="200">
        <v>45861.45833333333</v>
      </c>
      <c r="G3299" s="197" t="s">
        <v>845</v>
      </c>
      <c r="H3299" s="197" t="s">
        <v>871</v>
      </c>
    </row>
    <row r="3300" ht="15.75" customHeight="1">
      <c r="A3300" s="197" t="s">
        <v>78</v>
      </c>
      <c r="B3300" s="197" t="s">
        <v>21</v>
      </c>
      <c r="C3300" s="198" t="s">
        <v>711</v>
      </c>
      <c r="D3300" s="197" t="s">
        <v>712</v>
      </c>
      <c r="E3300" s="199">
        <v>10.0</v>
      </c>
      <c r="F3300" s="200">
        <v>45887.54166666667</v>
      </c>
      <c r="G3300" s="197" t="s">
        <v>845</v>
      </c>
      <c r="H3300" s="197" t="s">
        <v>871</v>
      </c>
    </row>
    <row r="3301" ht="15.75" customHeight="1">
      <c r="A3301" s="197" t="s">
        <v>78</v>
      </c>
      <c r="B3301" s="197" t="s">
        <v>21</v>
      </c>
      <c r="C3301" s="198" t="s">
        <v>713</v>
      </c>
      <c r="D3301" s="197" t="s">
        <v>714</v>
      </c>
      <c r="E3301" s="199">
        <v>1.0</v>
      </c>
      <c r="F3301" s="200">
        <v>45638.45833333333</v>
      </c>
      <c r="G3301" s="197" t="s">
        <v>845</v>
      </c>
      <c r="H3301" s="197" t="s">
        <v>871</v>
      </c>
    </row>
    <row r="3302" ht="15.75" customHeight="1">
      <c r="A3302" s="197" t="s">
        <v>78</v>
      </c>
      <c r="B3302" s="197" t="s">
        <v>21</v>
      </c>
      <c r="C3302" s="198" t="s">
        <v>713</v>
      </c>
      <c r="D3302" s="197" t="s">
        <v>714</v>
      </c>
      <c r="E3302" s="199">
        <v>2.0</v>
      </c>
      <c r="F3302" s="200">
        <v>45659.45833333333</v>
      </c>
      <c r="G3302" s="197" t="s">
        <v>845</v>
      </c>
      <c r="H3302" s="197" t="s">
        <v>871</v>
      </c>
    </row>
    <row r="3303" ht="15.75" customHeight="1">
      <c r="A3303" s="197" t="s">
        <v>78</v>
      </c>
      <c r="B3303" s="197" t="s">
        <v>21</v>
      </c>
      <c r="C3303" s="198" t="s">
        <v>713</v>
      </c>
      <c r="D3303" s="197" t="s">
        <v>714</v>
      </c>
      <c r="E3303" s="199">
        <v>3.0</v>
      </c>
      <c r="F3303" s="200">
        <v>45677.45833333333</v>
      </c>
      <c r="G3303" s="197" t="s">
        <v>843</v>
      </c>
      <c r="H3303" s="197" t="s">
        <v>871</v>
      </c>
    </row>
    <row r="3304" ht="15.75" customHeight="1">
      <c r="A3304" s="197" t="s">
        <v>78</v>
      </c>
      <c r="B3304" s="197" t="s">
        <v>21</v>
      </c>
      <c r="C3304" s="198" t="s">
        <v>713</v>
      </c>
      <c r="D3304" s="197" t="s">
        <v>714</v>
      </c>
      <c r="E3304" s="199">
        <v>4.0</v>
      </c>
      <c r="F3304" s="200">
        <v>45692.45833333333</v>
      </c>
      <c r="G3304" s="197" t="s">
        <v>845</v>
      </c>
      <c r="H3304" s="197" t="s">
        <v>871</v>
      </c>
    </row>
    <row r="3305" ht="15.75" customHeight="1">
      <c r="A3305" s="197" t="s">
        <v>78</v>
      </c>
      <c r="B3305" s="197" t="s">
        <v>21</v>
      </c>
      <c r="C3305" s="198" t="s">
        <v>713</v>
      </c>
      <c r="D3305" s="197" t="s">
        <v>714</v>
      </c>
      <c r="E3305" s="199">
        <v>5.0</v>
      </c>
      <c r="F3305" s="200">
        <v>45768.54166666667</v>
      </c>
      <c r="G3305" s="197" t="s">
        <v>843</v>
      </c>
      <c r="H3305" s="197" t="s">
        <v>871</v>
      </c>
    </row>
    <row r="3306" ht="15.75" customHeight="1">
      <c r="A3306" s="197" t="s">
        <v>78</v>
      </c>
      <c r="B3306" s="197" t="s">
        <v>21</v>
      </c>
      <c r="C3306" s="198" t="s">
        <v>713</v>
      </c>
      <c r="D3306" s="197" t="s">
        <v>714</v>
      </c>
      <c r="E3306" s="199">
        <v>6.0</v>
      </c>
      <c r="F3306" s="200">
        <v>45817.54166666667</v>
      </c>
      <c r="G3306" s="197" t="s">
        <v>845</v>
      </c>
      <c r="H3306" s="197" t="s">
        <v>871</v>
      </c>
    </row>
    <row r="3307" ht="15.75" customHeight="1">
      <c r="A3307" s="197" t="s">
        <v>78</v>
      </c>
      <c r="B3307" s="197" t="s">
        <v>21</v>
      </c>
      <c r="C3307" s="198" t="s">
        <v>713</v>
      </c>
      <c r="D3307" s="197" t="s">
        <v>714</v>
      </c>
      <c r="E3307" s="199">
        <v>7.0</v>
      </c>
      <c r="F3307" s="200">
        <v>45831.58333333333</v>
      </c>
      <c r="G3307" s="197" t="s">
        <v>843</v>
      </c>
      <c r="H3307" s="197" t="s">
        <v>871</v>
      </c>
    </row>
    <row r="3308" ht="15.75" customHeight="1">
      <c r="A3308" s="197" t="s">
        <v>78</v>
      </c>
      <c r="B3308" s="197" t="s">
        <v>21</v>
      </c>
      <c r="C3308" s="198" t="s">
        <v>713</v>
      </c>
      <c r="D3308" s="197" t="s">
        <v>714</v>
      </c>
      <c r="E3308" s="199">
        <v>8.0</v>
      </c>
      <c r="F3308" s="200">
        <v>45861.41666666667</v>
      </c>
      <c r="G3308" s="197" t="s">
        <v>843</v>
      </c>
      <c r="H3308" s="197" t="s">
        <v>871</v>
      </c>
    </row>
    <row r="3309" ht="15.75" customHeight="1">
      <c r="A3309" s="197" t="s">
        <v>78</v>
      </c>
      <c r="B3309" s="197" t="s">
        <v>21</v>
      </c>
      <c r="C3309" s="198" t="s">
        <v>713</v>
      </c>
      <c r="D3309" s="197" t="s">
        <v>714</v>
      </c>
      <c r="E3309" s="199">
        <v>9.0</v>
      </c>
      <c r="F3309" s="200">
        <v>45861.45833333333</v>
      </c>
      <c r="G3309" s="197" t="s">
        <v>843</v>
      </c>
      <c r="H3309" s="197" t="s">
        <v>871</v>
      </c>
    </row>
    <row r="3310" ht="15.75" customHeight="1">
      <c r="A3310" s="197" t="s">
        <v>78</v>
      </c>
      <c r="B3310" s="197" t="s">
        <v>21</v>
      </c>
      <c r="C3310" s="198" t="s">
        <v>713</v>
      </c>
      <c r="D3310" s="197" t="s">
        <v>714</v>
      </c>
      <c r="E3310" s="199">
        <v>10.0</v>
      </c>
      <c r="F3310" s="200">
        <v>45887.54166666667</v>
      </c>
      <c r="G3310" s="197" t="s">
        <v>843</v>
      </c>
      <c r="H3310" s="197" t="s">
        <v>871</v>
      </c>
    </row>
    <row r="3311" ht="15.75" customHeight="1">
      <c r="A3311" s="197" t="s">
        <v>79</v>
      </c>
      <c r="B3311" s="197" t="s">
        <v>21</v>
      </c>
      <c r="C3311" s="198" t="s">
        <v>200</v>
      </c>
      <c r="D3311" s="197" t="s">
        <v>201</v>
      </c>
      <c r="E3311" s="199">
        <v>1.0</v>
      </c>
      <c r="F3311" s="200">
        <v>45645.45833333333</v>
      </c>
      <c r="G3311" s="197" t="s">
        <v>845</v>
      </c>
      <c r="H3311" s="197" t="s">
        <v>872</v>
      </c>
    </row>
    <row r="3312" ht="15.75" customHeight="1">
      <c r="A3312" s="197" t="s">
        <v>79</v>
      </c>
      <c r="B3312" s="197" t="s">
        <v>21</v>
      </c>
      <c r="C3312" s="198" t="s">
        <v>200</v>
      </c>
      <c r="D3312" s="197" t="s">
        <v>201</v>
      </c>
      <c r="E3312" s="199">
        <v>2.0</v>
      </c>
      <c r="F3312" s="200">
        <v>45652.45833333333</v>
      </c>
      <c r="G3312" s="197" t="s">
        <v>845</v>
      </c>
      <c r="H3312" s="197" t="s">
        <v>872</v>
      </c>
    </row>
    <row r="3313" ht="15.75" customHeight="1">
      <c r="A3313" s="197" t="s">
        <v>79</v>
      </c>
      <c r="B3313" s="197" t="s">
        <v>21</v>
      </c>
      <c r="C3313" s="198" t="s">
        <v>200</v>
      </c>
      <c r="D3313" s="197" t="s">
        <v>201</v>
      </c>
      <c r="E3313" s="199">
        <v>3.0</v>
      </c>
      <c r="F3313" s="200">
        <v>45670.45833333333</v>
      </c>
      <c r="G3313" s="197" t="s">
        <v>845</v>
      </c>
      <c r="H3313" s="197" t="s">
        <v>872</v>
      </c>
    </row>
    <row r="3314" ht="15.75" customHeight="1">
      <c r="A3314" s="197" t="s">
        <v>79</v>
      </c>
      <c r="B3314" s="197" t="s">
        <v>21</v>
      </c>
      <c r="C3314" s="198" t="s">
        <v>200</v>
      </c>
      <c r="D3314" s="197" t="s">
        <v>201</v>
      </c>
      <c r="E3314" s="199">
        <v>4.0</v>
      </c>
      <c r="F3314" s="200">
        <v>45698.41666666667</v>
      </c>
      <c r="G3314" s="197" t="s">
        <v>845</v>
      </c>
      <c r="H3314" s="197" t="s">
        <v>872</v>
      </c>
    </row>
    <row r="3315" ht="15.75" customHeight="1">
      <c r="A3315" s="197" t="s">
        <v>79</v>
      </c>
      <c r="B3315" s="197" t="s">
        <v>21</v>
      </c>
      <c r="C3315" s="198" t="s">
        <v>200</v>
      </c>
      <c r="D3315" s="197" t="s">
        <v>201</v>
      </c>
      <c r="E3315" s="199">
        <v>5.0</v>
      </c>
      <c r="F3315" s="200">
        <v>45761.54166666667</v>
      </c>
      <c r="G3315" s="197" t="s">
        <v>845</v>
      </c>
      <c r="H3315" s="197" t="s">
        <v>872</v>
      </c>
    </row>
    <row r="3316" ht="15.75" customHeight="1">
      <c r="A3316" s="197" t="s">
        <v>79</v>
      </c>
      <c r="B3316" s="197" t="s">
        <v>21</v>
      </c>
      <c r="C3316" s="198" t="s">
        <v>200</v>
      </c>
      <c r="D3316" s="197" t="s">
        <v>201</v>
      </c>
      <c r="E3316" s="199">
        <v>6.0</v>
      </c>
      <c r="F3316" s="200">
        <v>45789.54166666667</v>
      </c>
      <c r="G3316" s="197" t="s">
        <v>845</v>
      </c>
      <c r="H3316" s="197" t="s">
        <v>872</v>
      </c>
    </row>
    <row r="3317" ht="15.75" customHeight="1">
      <c r="A3317" s="197" t="s">
        <v>79</v>
      </c>
      <c r="B3317" s="197" t="s">
        <v>21</v>
      </c>
      <c r="C3317" s="198" t="s">
        <v>200</v>
      </c>
      <c r="D3317" s="197" t="s">
        <v>201</v>
      </c>
      <c r="E3317" s="199">
        <v>7.0</v>
      </c>
      <c r="F3317" s="200">
        <v>45803.41666666667</v>
      </c>
      <c r="G3317" s="197" t="s">
        <v>845</v>
      </c>
      <c r="H3317" s="197" t="s">
        <v>872</v>
      </c>
    </row>
    <row r="3318" ht="15.75" customHeight="1">
      <c r="A3318" s="197" t="s">
        <v>79</v>
      </c>
      <c r="B3318" s="197" t="s">
        <v>21</v>
      </c>
      <c r="C3318" s="198" t="s">
        <v>200</v>
      </c>
      <c r="D3318" s="197" t="s">
        <v>201</v>
      </c>
      <c r="E3318" s="199">
        <v>8.0</v>
      </c>
      <c r="F3318" s="200">
        <v>45817.41666666667</v>
      </c>
      <c r="G3318" s="197" t="s">
        <v>845</v>
      </c>
      <c r="H3318" s="197" t="s">
        <v>872</v>
      </c>
    </row>
    <row r="3319" ht="15.75" customHeight="1">
      <c r="A3319" s="197" t="s">
        <v>79</v>
      </c>
      <c r="B3319" s="197" t="s">
        <v>21</v>
      </c>
      <c r="C3319" s="198" t="s">
        <v>200</v>
      </c>
      <c r="D3319" s="197" t="s">
        <v>201</v>
      </c>
      <c r="E3319" s="199">
        <v>9.0</v>
      </c>
      <c r="F3319" s="200">
        <v>45831.41666666667</v>
      </c>
      <c r="G3319" s="197" t="s">
        <v>845</v>
      </c>
      <c r="H3319" s="197" t="s">
        <v>872</v>
      </c>
    </row>
    <row r="3320" ht="15.75" customHeight="1">
      <c r="A3320" s="197" t="s">
        <v>79</v>
      </c>
      <c r="B3320" s="197" t="s">
        <v>21</v>
      </c>
      <c r="C3320" s="198" t="s">
        <v>200</v>
      </c>
      <c r="D3320" s="197" t="s">
        <v>201</v>
      </c>
      <c r="E3320" s="199">
        <v>10.0</v>
      </c>
      <c r="F3320" s="200">
        <v>45859.54166666667</v>
      </c>
      <c r="G3320" s="197" t="s">
        <v>845</v>
      </c>
      <c r="H3320" s="197" t="s">
        <v>872</v>
      </c>
    </row>
    <row r="3321" ht="15.75" customHeight="1">
      <c r="A3321" s="197" t="s">
        <v>79</v>
      </c>
      <c r="B3321" s="197" t="s">
        <v>21</v>
      </c>
      <c r="C3321" s="198" t="s">
        <v>214</v>
      </c>
      <c r="D3321" s="197" t="s">
        <v>215</v>
      </c>
      <c r="E3321" s="199">
        <v>1.0</v>
      </c>
      <c r="F3321" s="200">
        <v>45645.45833333333</v>
      </c>
      <c r="G3321" s="197" t="s">
        <v>845</v>
      </c>
      <c r="H3321" s="197" t="s">
        <v>872</v>
      </c>
    </row>
    <row r="3322" ht="15.75" customHeight="1">
      <c r="A3322" s="197" t="s">
        <v>79</v>
      </c>
      <c r="B3322" s="197" t="s">
        <v>21</v>
      </c>
      <c r="C3322" s="198" t="s">
        <v>214</v>
      </c>
      <c r="D3322" s="197" t="s">
        <v>215</v>
      </c>
      <c r="E3322" s="199">
        <v>2.0</v>
      </c>
      <c r="F3322" s="200">
        <v>45652.45833333333</v>
      </c>
      <c r="G3322" s="197" t="s">
        <v>845</v>
      </c>
      <c r="H3322" s="197" t="s">
        <v>872</v>
      </c>
    </row>
    <row r="3323" ht="15.75" customHeight="1">
      <c r="A3323" s="197" t="s">
        <v>79</v>
      </c>
      <c r="B3323" s="197" t="s">
        <v>21</v>
      </c>
      <c r="C3323" s="198" t="s">
        <v>214</v>
      </c>
      <c r="D3323" s="197" t="s">
        <v>215</v>
      </c>
      <c r="E3323" s="199">
        <v>3.0</v>
      </c>
      <c r="F3323" s="200">
        <v>45670.45833333333</v>
      </c>
      <c r="G3323" s="197" t="s">
        <v>845</v>
      </c>
      <c r="H3323" s="197" t="s">
        <v>872</v>
      </c>
    </row>
    <row r="3324" ht="15.75" customHeight="1">
      <c r="A3324" s="197" t="s">
        <v>79</v>
      </c>
      <c r="B3324" s="197" t="s">
        <v>21</v>
      </c>
      <c r="C3324" s="198" t="s">
        <v>214</v>
      </c>
      <c r="D3324" s="197" t="s">
        <v>215</v>
      </c>
      <c r="E3324" s="199">
        <v>4.0</v>
      </c>
      <c r="F3324" s="200">
        <v>45698.41666666667</v>
      </c>
      <c r="G3324" s="197" t="s">
        <v>843</v>
      </c>
      <c r="H3324" s="197" t="s">
        <v>872</v>
      </c>
    </row>
    <row r="3325" ht="15.75" customHeight="1">
      <c r="A3325" s="197" t="s">
        <v>79</v>
      </c>
      <c r="B3325" s="197" t="s">
        <v>21</v>
      </c>
      <c r="C3325" s="198" t="s">
        <v>214</v>
      </c>
      <c r="D3325" s="197" t="s">
        <v>215</v>
      </c>
      <c r="E3325" s="199">
        <v>5.0</v>
      </c>
      <c r="F3325" s="200">
        <v>45761.54166666667</v>
      </c>
      <c r="G3325" s="197" t="s">
        <v>845</v>
      </c>
      <c r="H3325" s="197" t="s">
        <v>872</v>
      </c>
    </row>
    <row r="3326" ht="15.75" customHeight="1">
      <c r="A3326" s="197" t="s">
        <v>79</v>
      </c>
      <c r="B3326" s="197" t="s">
        <v>21</v>
      </c>
      <c r="C3326" s="198" t="s">
        <v>214</v>
      </c>
      <c r="D3326" s="197" t="s">
        <v>215</v>
      </c>
      <c r="E3326" s="199">
        <v>6.0</v>
      </c>
      <c r="F3326" s="200">
        <v>45789.54166666667</v>
      </c>
      <c r="G3326" s="197" t="s">
        <v>845</v>
      </c>
      <c r="H3326" s="197" t="s">
        <v>872</v>
      </c>
    </row>
    <row r="3327" ht="15.75" customHeight="1">
      <c r="A3327" s="197" t="s">
        <v>79</v>
      </c>
      <c r="B3327" s="197" t="s">
        <v>21</v>
      </c>
      <c r="C3327" s="198" t="s">
        <v>214</v>
      </c>
      <c r="D3327" s="197" t="s">
        <v>215</v>
      </c>
      <c r="E3327" s="199">
        <v>7.0</v>
      </c>
      <c r="F3327" s="200">
        <v>45803.41666666667</v>
      </c>
      <c r="G3327" s="197" t="s">
        <v>845</v>
      </c>
      <c r="H3327" s="197" t="s">
        <v>872</v>
      </c>
    </row>
    <row r="3328" ht="15.75" customHeight="1">
      <c r="A3328" s="197" t="s">
        <v>79</v>
      </c>
      <c r="B3328" s="197" t="s">
        <v>21</v>
      </c>
      <c r="C3328" s="198" t="s">
        <v>214</v>
      </c>
      <c r="D3328" s="197" t="s">
        <v>215</v>
      </c>
      <c r="E3328" s="199">
        <v>8.0</v>
      </c>
      <c r="F3328" s="200">
        <v>45817.41666666667</v>
      </c>
      <c r="G3328" s="197" t="s">
        <v>845</v>
      </c>
      <c r="H3328" s="197" t="s">
        <v>872</v>
      </c>
    </row>
    <row r="3329" ht="15.75" customHeight="1">
      <c r="A3329" s="197" t="s">
        <v>79</v>
      </c>
      <c r="B3329" s="197" t="s">
        <v>21</v>
      </c>
      <c r="C3329" s="198" t="s">
        <v>214</v>
      </c>
      <c r="D3329" s="197" t="s">
        <v>215</v>
      </c>
      <c r="E3329" s="199">
        <v>9.0</v>
      </c>
      <c r="F3329" s="200">
        <v>45831.41666666667</v>
      </c>
      <c r="G3329" s="197" t="s">
        <v>845</v>
      </c>
      <c r="H3329" s="197" t="s">
        <v>872</v>
      </c>
    </row>
    <row r="3330" ht="15.75" customHeight="1">
      <c r="A3330" s="197" t="s">
        <v>79</v>
      </c>
      <c r="B3330" s="197" t="s">
        <v>21</v>
      </c>
      <c r="C3330" s="198" t="s">
        <v>214</v>
      </c>
      <c r="D3330" s="197" t="s">
        <v>215</v>
      </c>
      <c r="E3330" s="199">
        <v>10.0</v>
      </c>
      <c r="F3330" s="200">
        <v>45859.54166666667</v>
      </c>
      <c r="G3330" s="197" t="s">
        <v>845</v>
      </c>
      <c r="H3330" s="197" t="s">
        <v>872</v>
      </c>
    </row>
    <row r="3331" ht="15.75" customHeight="1">
      <c r="A3331" s="197" t="s">
        <v>79</v>
      </c>
      <c r="B3331" s="197" t="s">
        <v>21</v>
      </c>
      <c r="C3331" s="198" t="s">
        <v>436</v>
      </c>
      <c r="D3331" s="197" t="s">
        <v>437</v>
      </c>
      <c r="E3331" s="199">
        <v>1.0</v>
      </c>
      <c r="F3331" s="200">
        <v>45645.45833333333</v>
      </c>
      <c r="G3331" s="197" t="s">
        <v>845</v>
      </c>
      <c r="H3331" s="197" t="s">
        <v>872</v>
      </c>
    </row>
    <row r="3332" ht="15.75" customHeight="1">
      <c r="A3332" s="197" t="s">
        <v>79</v>
      </c>
      <c r="B3332" s="197" t="s">
        <v>21</v>
      </c>
      <c r="C3332" s="198" t="s">
        <v>436</v>
      </c>
      <c r="D3332" s="197" t="s">
        <v>437</v>
      </c>
      <c r="E3332" s="199">
        <v>2.0</v>
      </c>
      <c r="F3332" s="200">
        <v>45652.45833333333</v>
      </c>
      <c r="G3332" s="197" t="s">
        <v>845</v>
      </c>
      <c r="H3332" s="197" t="s">
        <v>872</v>
      </c>
    </row>
    <row r="3333" ht="15.75" customHeight="1">
      <c r="A3333" s="197" t="s">
        <v>79</v>
      </c>
      <c r="B3333" s="197" t="s">
        <v>21</v>
      </c>
      <c r="C3333" s="198" t="s">
        <v>436</v>
      </c>
      <c r="D3333" s="197" t="s">
        <v>437</v>
      </c>
      <c r="E3333" s="199">
        <v>3.0</v>
      </c>
      <c r="F3333" s="200">
        <v>45670.45833333333</v>
      </c>
      <c r="G3333" s="197" t="s">
        <v>845</v>
      </c>
      <c r="H3333" s="197" t="s">
        <v>872</v>
      </c>
    </row>
    <row r="3334" ht="15.75" customHeight="1">
      <c r="A3334" s="197" t="s">
        <v>79</v>
      </c>
      <c r="B3334" s="197" t="s">
        <v>21</v>
      </c>
      <c r="C3334" s="198" t="s">
        <v>436</v>
      </c>
      <c r="D3334" s="197" t="s">
        <v>437</v>
      </c>
      <c r="E3334" s="199">
        <v>4.0</v>
      </c>
      <c r="F3334" s="200">
        <v>45698.41666666667</v>
      </c>
      <c r="G3334" s="197" t="s">
        <v>845</v>
      </c>
      <c r="H3334" s="197" t="s">
        <v>872</v>
      </c>
    </row>
    <row r="3335" ht="15.75" customHeight="1">
      <c r="A3335" s="197" t="s">
        <v>79</v>
      </c>
      <c r="B3335" s="197" t="s">
        <v>21</v>
      </c>
      <c r="C3335" s="198" t="s">
        <v>436</v>
      </c>
      <c r="D3335" s="197" t="s">
        <v>437</v>
      </c>
      <c r="E3335" s="199">
        <v>5.0</v>
      </c>
      <c r="F3335" s="200">
        <v>45761.54166666667</v>
      </c>
      <c r="G3335" s="197" t="s">
        <v>845</v>
      </c>
      <c r="H3335" s="197" t="s">
        <v>872</v>
      </c>
    </row>
    <row r="3336" ht="15.75" customHeight="1">
      <c r="A3336" s="197" t="s">
        <v>79</v>
      </c>
      <c r="B3336" s="197" t="s">
        <v>21</v>
      </c>
      <c r="C3336" s="198" t="s">
        <v>436</v>
      </c>
      <c r="D3336" s="197" t="s">
        <v>437</v>
      </c>
      <c r="E3336" s="199">
        <v>6.0</v>
      </c>
      <c r="F3336" s="200">
        <v>45789.54166666667</v>
      </c>
      <c r="G3336" s="197" t="s">
        <v>845</v>
      </c>
      <c r="H3336" s="197" t="s">
        <v>872</v>
      </c>
    </row>
    <row r="3337" ht="15.75" customHeight="1">
      <c r="A3337" s="197" t="s">
        <v>79</v>
      </c>
      <c r="B3337" s="197" t="s">
        <v>21</v>
      </c>
      <c r="C3337" s="198" t="s">
        <v>436</v>
      </c>
      <c r="D3337" s="197" t="s">
        <v>437</v>
      </c>
      <c r="E3337" s="199">
        <v>7.0</v>
      </c>
      <c r="F3337" s="200">
        <v>45803.41666666667</v>
      </c>
      <c r="G3337" s="197" t="s">
        <v>845</v>
      </c>
      <c r="H3337" s="197" t="s">
        <v>872</v>
      </c>
    </row>
    <row r="3338" ht="15.75" customHeight="1">
      <c r="A3338" s="197" t="s">
        <v>79</v>
      </c>
      <c r="B3338" s="197" t="s">
        <v>21</v>
      </c>
      <c r="C3338" s="198" t="s">
        <v>436</v>
      </c>
      <c r="D3338" s="197" t="s">
        <v>437</v>
      </c>
      <c r="E3338" s="199">
        <v>8.0</v>
      </c>
      <c r="F3338" s="200">
        <v>45817.41666666667</v>
      </c>
      <c r="G3338" s="197" t="s">
        <v>845</v>
      </c>
      <c r="H3338" s="197" t="s">
        <v>872</v>
      </c>
    </row>
    <row r="3339" ht="15.75" customHeight="1">
      <c r="A3339" s="197" t="s">
        <v>79</v>
      </c>
      <c r="B3339" s="197" t="s">
        <v>21</v>
      </c>
      <c r="C3339" s="198" t="s">
        <v>436</v>
      </c>
      <c r="D3339" s="197" t="s">
        <v>437</v>
      </c>
      <c r="E3339" s="199">
        <v>9.0</v>
      </c>
      <c r="F3339" s="200">
        <v>45831.41666666667</v>
      </c>
      <c r="G3339" s="197" t="s">
        <v>845</v>
      </c>
      <c r="H3339" s="197" t="s">
        <v>872</v>
      </c>
    </row>
    <row r="3340" ht="15.75" customHeight="1">
      <c r="A3340" s="197" t="s">
        <v>79</v>
      </c>
      <c r="B3340" s="197" t="s">
        <v>21</v>
      </c>
      <c r="C3340" s="198" t="s">
        <v>436</v>
      </c>
      <c r="D3340" s="197" t="s">
        <v>437</v>
      </c>
      <c r="E3340" s="199">
        <v>10.0</v>
      </c>
      <c r="F3340" s="200">
        <v>45859.54166666667</v>
      </c>
      <c r="G3340" s="197" t="s">
        <v>845</v>
      </c>
      <c r="H3340" s="197" t="s">
        <v>872</v>
      </c>
    </row>
    <row r="3341" ht="15.75" customHeight="1">
      <c r="A3341" s="197" t="s">
        <v>79</v>
      </c>
      <c r="B3341" s="197" t="s">
        <v>21</v>
      </c>
      <c r="C3341" s="198" t="s">
        <v>476</v>
      </c>
      <c r="D3341" s="197" t="s">
        <v>477</v>
      </c>
      <c r="E3341" s="199">
        <v>1.0</v>
      </c>
      <c r="F3341" s="200">
        <v>45645.45833333333</v>
      </c>
      <c r="G3341" s="197" t="s">
        <v>845</v>
      </c>
      <c r="H3341" s="197" t="s">
        <v>872</v>
      </c>
    </row>
    <row r="3342" ht="15.75" customHeight="1">
      <c r="A3342" s="197" t="s">
        <v>79</v>
      </c>
      <c r="B3342" s="197" t="s">
        <v>21</v>
      </c>
      <c r="C3342" s="198" t="s">
        <v>476</v>
      </c>
      <c r="D3342" s="197" t="s">
        <v>477</v>
      </c>
      <c r="E3342" s="199">
        <v>2.0</v>
      </c>
      <c r="F3342" s="200">
        <v>45652.45833333333</v>
      </c>
      <c r="G3342" s="197" t="s">
        <v>845</v>
      </c>
      <c r="H3342" s="197" t="s">
        <v>872</v>
      </c>
    </row>
    <row r="3343" ht="15.75" customHeight="1">
      <c r="A3343" s="197" t="s">
        <v>79</v>
      </c>
      <c r="B3343" s="197" t="s">
        <v>21</v>
      </c>
      <c r="C3343" s="198" t="s">
        <v>476</v>
      </c>
      <c r="D3343" s="197" t="s">
        <v>477</v>
      </c>
      <c r="E3343" s="199">
        <v>3.0</v>
      </c>
      <c r="F3343" s="200">
        <v>45670.45833333333</v>
      </c>
      <c r="G3343" s="197" t="s">
        <v>843</v>
      </c>
      <c r="H3343" s="197" t="s">
        <v>872</v>
      </c>
    </row>
    <row r="3344" ht="15.75" customHeight="1">
      <c r="A3344" s="197" t="s">
        <v>79</v>
      </c>
      <c r="B3344" s="197" t="s">
        <v>21</v>
      </c>
      <c r="C3344" s="198" t="s">
        <v>476</v>
      </c>
      <c r="D3344" s="197" t="s">
        <v>477</v>
      </c>
      <c r="E3344" s="199">
        <v>4.0</v>
      </c>
      <c r="F3344" s="200">
        <v>45698.41666666667</v>
      </c>
      <c r="G3344" s="197" t="s">
        <v>845</v>
      </c>
      <c r="H3344" s="197" t="s">
        <v>872</v>
      </c>
    </row>
    <row r="3345" ht="15.75" customHeight="1">
      <c r="A3345" s="197" t="s">
        <v>79</v>
      </c>
      <c r="B3345" s="197" t="s">
        <v>21</v>
      </c>
      <c r="C3345" s="198" t="s">
        <v>476</v>
      </c>
      <c r="D3345" s="197" t="s">
        <v>477</v>
      </c>
      <c r="E3345" s="199">
        <v>5.0</v>
      </c>
      <c r="F3345" s="200">
        <v>45761.54166666667</v>
      </c>
      <c r="G3345" s="197" t="s">
        <v>843</v>
      </c>
      <c r="H3345" s="197" t="s">
        <v>872</v>
      </c>
    </row>
    <row r="3346" ht="15.75" customHeight="1">
      <c r="A3346" s="197" t="s">
        <v>79</v>
      </c>
      <c r="B3346" s="197" t="s">
        <v>21</v>
      </c>
      <c r="C3346" s="198" t="s">
        <v>476</v>
      </c>
      <c r="D3346" s="197" t="s">
        <v>477</v>
      </c>
      <c r="E3346" s="199">
        <v>6.0</v>
      </c>
      <c r="F3346" s="200">
        <v>45789.54166666667</v>
      </c>
      <c r="G3346" s="197" t="s">
        <v>843</v>
      </c>
      <c r="H3346" s="197" t="s">
        <v>872</v>
      </c>
    </row>
    <row r="3347" ht="15.75" customHeight="1">
      <c r="A3347" s="197" t="s">
        <v>79</v>
      </c>
      <c r="B3347" s="197" t="s">
        <v>21</v>
      </c>
      <c r="C3347" s="198" t="s">
        <v>476</v>
      </c>
      <c r="D3347" s="197" t="s">
        <v>477</v>
      </c>
      <c r="E3347" s="199">
        <v>7.0</v>
      </c>
      <c r="F3347" s="200">
        <v>45803.41666666667</v>
      </c>
      <c r="G3347" s="197" t="s">
        <v>845</v>
      </c>
      <c r="H3347" s="197" t="s">
        <v>872</v>
      </c>
    </row>
    <row r="3348" ht="15.75" customHeight="1">
      <c r="A3348" s="197" t="s">
        <v>79</v>
      </c>
      <c r="B3348" s="197" t="s">
        <v>21</v>
      </c>
      <c r="C3348" s="198" t="s">
        <v>476</v>
      </c>
      <c r="D3348" s="197" t="s">
        <v>477</v>
      </c>
      <c r="E3348" s="199">
        <v>8.0</v>
      </c>
      <c r="F3348" s="200">
        <v>45817.41666666667</v>
      </c>
      <c r="G3348" s="197" t="s">
        <v>845</v>
      </c>
      <c r="H3348" s="197" t="s">
        <v>872</v>
      </c>
    </row>
    <row r="3349" ht="15.75" customHeight="1">
      <c r="A3349" s="197" t="s">
        <v>79</v>
      </c>
      <c r="B3349" s="197" t="s">
        <v>21</v>
      </c>
      <c r="C3349" s="198" t="s">
        <v>476</v>
      </c>
      <c r="D3349" s="197" t="s">
        <v>477</v>
      </c>
      <c r="E3349" s="199">
        <v>9.0</v>
      </c>
      <c r="F3349" s="200">
        <v>45831.41666666667</v>
      </c>
      <c r="G3349" s="197" t="s">
        <v>845</v>
      </c>
      <c r="H3349" s="197" t="s">
        <v>872</v>
      </c>
    </row>
    <row r="3350" ht="15.75" customHeight="1">
      <c r="A3350" s="197" t="s">
        <v>79</v>
      </c>
      <c r="B3350" s="197" t="s">
        <v>21</v>
      </c>
      <c r="C3350" s="198" t="s">
        <v>476</v>
      </c>
      <c r="D3350" s="197" t="s">
        <v>477</v>
      </c>
      <c r="E3350" s="199">
        <v>10.0</v>
      </c>
      <c r="F3350" s="200">
        <v>45859.54166666667</v>
      </c>
      <c r="G3350" s="197" t="s">
        <v>845</v>
      </c>
      <c r="H3350" s="197" t="s">
        <v>872</v>
      </c>
    </row>
    <row r="3351" ht="15.75" customHeight="1">
      <c r="A3351" s="197" t="s">
        <v>79</v>
      </c>
      <c r="B3351" s="197" t="s">
        <v>21</v>
      </c>
      <c r="C3351" s="198" t="s">
        <v>488</v>
      </c>
      <c r="D3351" s="197" t="s">
        <v>489</v>
      </c>
      <c r="E3351" s="199">
        <v>1.0</v>
      </c>
      <c r="F3351" s="200">
        <v>45645.45833333333</v>
      </c>
      <c r="G3351" s="197" t="s">
        <v>845</v>
      </c>
      <c r="H3351" s="197" t="s">
        <v>872</v>
      </c>
    </row>
    <row r="3352" ht="15.75" customHeight="1">
      <c r="A3352" s="197" t="s">
        <v>79</v>
      </c>
      <c r="B3352" s="197" t="s">
        <v>21</v>
      </c>
      <c r="C3352" s="198" t="s">
        <v>488</v>
      </c>
      <c r="D3352" s="197" t="s">
        <v>489</v>
      </c>
      <c r="E3352" s="199">
        <v>2.0</v>
      </c>
      <c r="F3352" s="200">
        <v>45652.45833333333</v>
      </c>
      <c r="G3352" s="197" t="s">
        <v>845</v>
      </c>
      <c r="H3352" s="197" t="s">
        <v>872</v>
      </c>
    </row>
    <row r="3353" ht="15.75" customHeight="1">
      <c r="A3353" s="197" t="s">
        <v>79</v>
      </c>
      <c r="B3353" s="197" t="s">
        <v>21</v>
      </c>
      <c r="C3353" s="198" t="s">
        <v>488</v>
      </c>
      <c r="D3353" s="197" t="s">
        <v>489</v>
      </c>
      <c r="E3353" s="199">
        <v>3.0</v>
      </c>
      <c r="F3353" s="200">
        <v>45670.45833333333</v>
      </c>
      <c r="G3353" s="197" t="s">
        <v>845</v>
      </c>
      <c r="H3353" s="197" t="s">
        <v>872</v>
      </c>
    </row>
    <row r="3354" ht="15.75" customHeight="1">
      <c r="A3354" s="197" t="s">
        <v>79</v>
      </c>
      <c r="B3354" s="197" t="s">
        <v>21</v>
      </c>
      <c r="C3354" s="198" t="s">
        <v>488</v>
      </c>
      <c r="D3354" s="197" t="s">
        <v>489</v>
      </c>
      <c r="E3354" s="199">
        <v>4.0</v>
      </c>
      <c r="F3354" s="200">
        <v>45698.41666666667</v>
      </c>
      <c r="G3354" s="197" t="s">
        <v>845</v>
      </c>
      <c r="H3354" s="197" t="s">
        <v>872</v>
      </c>
    </row>
    <row r="3355" ht="15.75" customHeight="1">
      <c r="A3355" s="197" t="s">
        <v>79</v>
      </c>
      <c r="B3355" s="197" t="s">
        <v>21</v>
      </c>
      <c r="C3355" s="198" t="s">
        <v>488</v>
      </c>
      <c r="D3355" s="197" t="s">
        <v>489</v>
      </c>
      <c r="E3355" s="199">
        <v>5.0</v>
      </c>
      <c r="F3355" s="200">
        <v>45761.54166666667</v>
      </c>
      <c r="G3355" s="197" t="s">
        <v>843</v>
      </c>
      <c r="H3355" s="197" t="s">
        <v>872</v>
      </c>
    </row>
    <row r="3356" ht="15.75" customHeight="1">
      <c r="A3356" s="197" t="s">
        <v>79</v>
      </c>
      <c r="B3356" s="197" t="s">
        <v>21</v>
      </c>
      <c r="C3356" s="198" t="s">
        <v>488</v>
      </c>
      <c r="D3356" s="197" t="s">
        <v>489</v>
      </c>
      <c r="E3356" s="199">
        <v>6.0</v>
      </c>
      <c r="F3356" s="200">
        <v>45789.54166666667</v>
      </c>
      <c r="G3356" s="197" t="s">
        <v>845</v>
      </c>
      <c r="H3356" s="197" t="s">
        <v>872</v>
      </c>
    </row>
    <row r="3357" ht="15.75" customHeight="1">
      <c r="A3357" s="197" t="s">
        <v>79</v>
      </c>
      <c r="B3357" s="197" t="s">
        <v>21</v>
      </c>
      <c r="C3357" s="198" t="s">
        <v>488</v>
      </c>
      <c r="D3357" s="197" t="s">
        <v>489</v>
      </c>
      <c r="E3357" s="199">
        <v>7.0</v>
      </c>
      <c r="F3357" s="200">
        <v>45803.41666666667</v>
      </c>
      <c r="G3357" s="197" t="s">
        <v>843</v>
      </c>
      <c r="H3357" s="197" t="s">
        <v>872</v>
      </c>
    </row>
    <row r="3358" ht="15.75" customHeight="1">
      <c r="A3358" s="197" t="s">
        <v>79</v>
      </c>
      <c r="B3358" s="197" t="s">
        <v>21</v>
      </c>
      <c r="C3358" s="198" t="s">
        <v>488</v>
      </c>
      <c r="D3358" s="197" t="s">
        <v>489</v>
      </c>
      <c r="E3358" s="199">
        <v>8.0</v>
      </c>
      <c r="F3358" s="200">
        <v>45817.58333333333</v>
      </c>
      <c r="G3358" s="197" t="s">
        <v>845</v>
      </c>
      <c r="H3358" s="197" t="s">
        <v>872</v>
      </c>
    </row>
    <row r="3359" ht="15.75" customHeight="1">
      <c r="A3359" s="197" t="s">
        <v>79</v>
      </c>
      <c r="B3359" s="197" t="s">
        <v>21</v>
      </c>
      <c r="C3359" s="198" t="s">
        <v>488</v>
      </c>
      <c r="D3359" s="197" t="s">
        <v>489</v>
      </c>
      <c r="E3359" s="199">
        <v>9.0</v>
      </c>
      <c r="F3359" s="200">
        <v>45831.45833333333</v>
      </c>
      <c r="G3359" s="197" t="s">
        <v>845</v>
      </c>
      <c r="H3359" s="197" t="s">
        <v>872</v>
      </c>
    </row>
    <row r="3360" ht="15.75" customHeight="1">
      <c r="A3360" s="197" t="s">
        <v>79</v>
      </c>
      <c r="B3360" s="197" t="s">
        <v>21</v>
      </c>
      <c r="C3360" s="198" t="s">
        <v>488</v>
      </c>
      <c r="D3360" s="197" t="s">
        <v>489</v>
      </c>
      <c r="E3360" s="199">
        <v>10.0</v>
      </c>
      <c r="F3360" s="200">
        <v>45859.54166666667</v>
      </c>
      <c r="G3360" s="197" t="s">
        <v>845</v>
      </c>
      <c r="H3360" s="197" t="s">
        <v>872</v>
      </c>
    </row>
    <row r="3361" ht="15.75" customHeight="1">
      <c r="A3361" s="197" t="s">
        <v>79</v>
      </c>
      <c r="B3361" s="197" t="s">
        <v>21</v>
      </c>
      <c r="C3361" s="198" t="s">
        <v>549</v>
      </c>
      <c r="D3361" s="197" t="s">
        <v>550</v>
      </c>
      <c r="E3361" s="199">
        <v>1.0</v>
      </c>
      <c r="F3361" s="200">
        <v>45645.45833333333</v>
      </c>
      <c r="G3361" s="197" t="s">
        <v>845</v>
      </c>
      <c r="H3361" s="197" t="s">
        <v>872</v>
      </c>
    </row>
    <row r="3362" ht="15.75" customHeight="1">
      <c r="A3362" s="197" t="s">
        <v>79</v>
      </c>
      <c r="B3362" s="197" t="s">
        <v>21</v>
      </c>
      <c r="C3362" s="198" t="s">
        <v>549</v>
      </c>
      <c r="D3362" s="197" t="s">
        <v>550</v>
      </c>
      <c r="E3362" s="199">
        <v>2.0</v>
      </c>
      <c r="F3362" s="200">
        <v>45652.45833333333</v>
      </c>
      <c r="G3362" s="197" t="s">
        <v>845</v>
      </c>
      <c r="H3362" s="197" t="s">
        <v>872</v>
      </c>
    </row>
    <row r="3363" ht="15.75" customHeight="1">
      <c r="A3363" s="197" t="s">
        <v>79</v>
      </c>
      <c r="B3363" s="197" t="s">
        <v>21</v>
      </c>
      <c r="C3363" s="198" t="s">
        <v>549</v>
      </c>
      <c r="D3363" s="197" t="s">
        <v>550</v>
      </c>
      <c r="E3363" s="199">
        <v>3.0</v>
      </c>
      <c r="F3363" s="200">
        <v>45670.45833333333</v>
      </c>
      <c r="G3363" s="197" t="s">
        <v>845</v>
      </c>
      <c r="H3363" s="197" t="s">
        <v>872</v>
      </c>
    </row>
    <row r="3364" ht="15.75" customHeight="1">
      <c r="A3364" s="197" t="s">
        <v>79</v>
      </c>
      <c r="B3364" s="197" t="s">
        <v>21</v>
      </c>
      <c r="C3364" s="198" t="s">
        <v>549</v>
      </c>
      <c r="D3364" s="197" t="s">
        <v>550</v>
      </c>
      <c r="E3364" s="199">
        <v>4.0</v>
      </c>
      <c r="F3364" s="200">
        <v>45698.41666666667</v>
      </c>
      <c r="G3364" s="197" t="s">
        <v>845</v>
      </c>
      <c r="H3364" s="197" t="s">
        <v>872</v>
      </c>
    </row>
    <row r="3365" ht="15.75" customHeight="1">
      <c r="A3365" s="197" t="s">
        <v>79</v>
      </c>
      <c r="B3365" s="197" t="s">
        <v>21</v>
      </c>
      <c r="C3365" s="198" t="s">
        <v>549</v>
      </c>
      <c r="D3365" s="197" t="s">
        <v>550</v>
      </c>
      <c r="E3365" s="199">
        <v>5.0</v>
      </c>
      <c r="F3365" s="200">
        <v>45761.54166666667</v>
      </c>
      <c r="G3365" s="197" t="s">
        <v>845</v>
      </c>
      <c r="H3365" s="197" t="s">
        <v>872</v>
      </c>
    </row>
    <row r="3366" ht="15.75" customHeight="1">
      <c r="A3366" s="197" t="s">
        <v>79</v>
      </c>
      <c r="B3366" s="197" t="s">
        <v>21</v>
      </c>
      <c r="C3366" s="198" t="s">
        <v>549</v>
      </c>
      <c r="D3366" s="197" t="s">
        <v>550</v>
      </c>
      <c r="E3366" s="199">
        <v>6.0</v>
      </c>
      <c r="F3366" s="200">
        <v>45789.54166666667</v>
      </c>
      <c r="G3366" s="197" t="s">
        <v>845</v>
      </c>
      <c r="H3366" s="197" t="s">
        <v>872</v>
      </c>
    </row>
    <row r="3367" ht="15.75" customHeight="1">
      <c r="A3367" s="197" t="s">
        <v>79</v>
      </c>
      <c r="B3367" s="197" t="s">
        <v>21</v>
      </c>
      <c r="C3367" s="198" t="s">
        <v>549</v>
      </c>
      <c r="D3367" s="197" t="s">
        <v>550</v>
      </c>
      <c r="E3367" s="199">
        <v>7.0</v>
      </c>
      <c r="F3367" s="200">
        <v>45803.41666666667</v>
      </c>
      <c r="G3367" s="197" t="s">
        <v>845</v>
      </c>
      <c r="H3367" s="197" t="s">
        <v>872</v>
      </c>
    </row>
    <row r="3368" ht="15.75" customHeight="1">
      <c r="A3368" s="197" t="s">
        <v>79</v>
      </c>
      <c r="B3368" s="197" t="s">
        <v>21</v>
      </c>
      <c r="C3368" s="198" t="s">
        <v>549</v>
      </c>
      <c r="D3368" s="197" t="s">
        <v>550</v>
      </c>
      <c r="E3368" s="199">
        <v>8.0</v>
      </c>
      <c r="F3368" s="200">
        <v>45817.41666666667</v>
      </c>
      <c r="G3368" s="197" t="s">
        <v>845</v>
      </c>
      <c r="H3368" s="197" t="s">
        <v>872</v>
      </c>
    </row>
    <row r="3369" ht="15.75" customHeight="1">
      <c r="A3369" s="197" t="s">
        <v>79</v>
      </c>
      <c r="B3369" s="197" t="s">
        <v>21</v>
      </c>
      <c r="C3369" s="198" t="s">
        <v>549</v>
      </c>
      <c r="D3369" s="197" t="s">
        <v>550</v>
      </c>
      <c r="E3369" s="199">
        <v>9.0</v>
      </c>
      <c r="F3369" s="200">
        <v>45831.41666666667</v>
      </c>
      <c r="G3369" s="197" t="s">
        <v>845</v>
      </c>
      <c r="H3369" s="197" t="s">
        <v>872</v>
      </c>
    </row>
    <row r="3370" ht="15.75" customHeight="1">
      <c r="A3370" s="197" t="s">
        <v>79</v>
      </c>
      <c r="B3370" s="197" t="s">
        <v>21</v>
      </c>
      <c r="C3370" s="198" t="s">
        <v>549</v>
      </c>
      <c r="D3370" s="197" t="s">
        <v>550</v>
      </c>
      <c r="E3370" s="199">
        <v>10.0</v>
      </c>
      <c r="F3370" s="200">
        <v>45859.54166666667</v>
      </c>
      <c r="G3370" s="197" t="s">
        <v>845</v>
      </c>
      <c r="H3370" s="197" t="s">
        <v>872</v>
      </c>
    </row>
    <row r="3371" ht="15.75" customHeight="1">
      <c r="A3371" s="197" t="s">
        <v>80</v>
      </c>
      <c r="B3371" s="197" t="s">
        <v>21</v>
      </c>
      <c r="C3371" s="198" t="s">
        <v>157</v>
      </c>
      <c r="D3371" s="197" t="s">
        <v>158</v>
      </c>
      <c r="E3371" s="199">
        <v>1.0</v>
      </c>
      <c r="F3371" s="200">
        <v>45646.41666666667</v>
      </c>
      <c r="G3371" s="197" t="s">
        <v>843</v>
      </c>
      <c r="H3371" s="197" t="s">
        <v>873</v>
      </c>
    </row>
    <row r="3372" ht="15.75" customHeight="1">
      <c r="A3372" s="197" t="s">
        <v>80</v>
      </c>
      <c r="B3372" s="197" t="s">
        <v>21</v>
      </c>
      <c r="C3372" s="198" t="s">
        <v>157</v>
      </c>
      <c r="D3372" s="197" t="s">
        <v>158</v>
      </c>
      <c r="E3372" s="199">
        <v>2.0</v>
      </c>
      <c r="F3372" s="200">
        <v>45666.45833333333</v>
      </c>
      <c r="G3372" s="197" t="s">
        <v>845</v>
      </c>
      <c r="H3372" s="197" t="s">
        <v>873</v>
      </c>
    </row>
    <row r="3373" ht="15.75" customHeight="1">
      <c r="A3373" s="197" t="s">
        <v>80</v>
      </c>
      <c r="B3373" s="197" t="s">
        <v>21</v>
      </c>
      <c r="C3373" s="198" t="s">
        <v>157</v>
      </c>
      <c r="D3373" s="197" t="s">
        <v>158</v>
      </c>
      <c r="E3373" s="199">
        <v>3.0</v>
      </c>
      <c r="F3373" s="200">
        <v>45680.45833333333</v>
      </c>
      <c r="G3373" s="197" t="s">
        <v>845</v>
      </c>
      <c r="H3373" s="197" t="s">
        <v>873</v>
      </c>
    </row>
    <row r="3374" ht="15.75" customHeight="1">
      <c r="A3374" s="197" t="s">
        <v>80</v>
      </c>
      <c r="B3374" s="197" t="s">
        <v>21</v>
      </c>
      <c r="C3374" s="198" t="s">
        <v>157</v>
      </c>
      <c r="D3374" s="197" t="s">
        <v>158</v>
      </c>
      <c r="E3374" s="199">
        <v>4.0</v>
      </c>
      <c r="F3374" s="200">
        <v>45701.45833333333</v>
      </c>
      <c r="G3374" s="197" t="s">
        <v>845</v>
      </c>
      <c r="H3374" s="197" t="s">
        <v>873</v>
      </c>
    </row>
    <row r="3375" ht="15.75" customHeight="1">
      <c r="A3375" s="197" t="s">
        <v>80</v>
      </c>
      <c r="B3375" s="197" t="s">
        <v>21</v>
      </c>
      <c r="C3375" s="198" t="s">
        <v>157</v>
      </c>
      <c r="D3375" s="197" t="s">
        <v>158</v>
      </c>
      <c r="E3375" s="199">
        <v>5.0</v>
      </c>
      <c r="F3375" s="200">
        <v>45762.41666666667</v>
      </c>
      <c r="G3375" s="197" t="s">
        <v>845</v>
      </c>
      <c r="H3375" s="197" t="s">
        <v>873</v>
      </c>
    </row>
    <row r="3376" ht="15.75" customHeight="1">
      <c r="A3376" s="197" t="s">
        <v>80</v>
      </c>
      <c r="B3376" s="197" t="s">
        <v>21</v>
      </c>
      <c r="C3376" s="198" t="s">
        <v>157</v>
      </c>
      <c r="D3376" s="197" t="s">
        <v>158</v>
      </c>
      <c r="E3376" s="199">
        <v>6.0</v>
      </c>
      <c r="F3376" s="200">
        <v>45790.45833333333</v>
      </c>
      <c r="G3376" s="197" t="s">
        <v>845</v>
      </c>
      <c r="H3376" s="197" t="s">
        <v>873</v>
      </c>
    </row>
    <row r="3377" ht="15.75" customHeight="1">
      <c r="A3377" s="197" t="s">
        <v>80</v>
      </c>
      <c r="B3377" s="197" t="s">
        <v>21</v>
      </c>
      <c r="C3377" s="198" t="s">
        <v>157</v>
      </c>
      <c r="D3377" s="197" t="s">
        <v>158</v>
      </c>
      <c r="E3377" s="199">
        <v>7.0</v>
      </c>
      <c r="F3377" s="200">
        <v>45817.58333333333</v>
      </c>
      <c r="G3377" s="197" t="s">
        <v>845</v>
      </c>
      <c r="H3377" s="197" t="s">
        <v>873</v>
      </c>
    </row>
    <row r="3378" ht="15.75" customHeight="1">
      <c r="A3378" s="197" t="s">
        <v>80</v>
      </c>
      <c r="B3378" s="197" t="s">
        <v>21</v>
      </c>
      <c r="C3378" s="198" t="s">
        <v>157</v>
      </c>
      <c r="D3378" s="197" t="s">
        <v>158</v>
      </c>
      <c r="E3378" s="199">
        <v>8.0</v>
      </c>
      <c r="F3378" s="200">
        <v>45831.45833333333</v>
      </c>
      <c r="G3378" s="197" t="s">
        <v>845</v>
      </c>
      <c r="H3378" s="197" t="s">
        <v>873</v>
      </c>
    </row>
    <row r="3379" ht="15.75" customHeight="1">
      <c r="A3379" s="197" t="s">
        <v>80</v>
      </c>
      <c r="B3379" s="197" t="s">
        <v>21</v>
      </c>
      <c r="C3379" s="198" t="s">
        <v>157</v>
      </c>
      <c r="D3379" s="197" t="s">
        <v>158</v>
      </c>
      <c r="E3379" s="199">
        <v>9.0</v>
      </c>
      <c r="F3379" s="200">
        <v>45846.45833333333</v>
      </c>
      <c r="G3379" s="197" t="s">
        <v>845</v>
      </c>
      <c r="H3379" s="197" t="s">
        <v>873</v>
      </c>
    </row>
    <row r="3380" ht="15.75" customHeight="1">
      <c r="A3380" s="197" t="s">
        <v>80</v>
      </c>
      <c r="B3380" s="197" t="s">
        <v>21</v>
      </c>
      <c r="C3380" s="198" t="s">
        <v>194</v>
      </c>
      <c r="D3380" s="197" t="s">
        <v>195</v>
      </c>
      <c r="E3380" s="199">
        <v>1.0</v>
      </c>
      <c r="F3380" s="200">
        <v>45646.41666666667</v>
      </c>
      <c r="G3380" s="197" t="s">
        <v>845</v>
      </c>
      <c r="H3380" s="197" t="s">
        <v>873</v>
      </c>
    </row>
    <row r="3381" ht="15.75" customHeight="1">
      <c r="A3381" s="197" t="s">
        <v>80</v>
      </c>
      <c r="B3381" s="197" t="s">
        <v>21</v>
      </c>
      <c r="C3381" s="198" t="s">
        <v>194</v>
      </c>
      <c r="D3381" s="197" t="s">
        <v>195</v>
      </c>
      <c r="E3381" s="199">
        <v>2.0</v>
      </c>
      <c r="F3381" s="200">
        <v>45663.45833333333</v>
      </c>
      <c r="G3381" s="197" t="s">
        <v>845</v>
      </c>
      <c r="H3381" s="197" t="s">
        <v>873</v>
      </c>
    </row>
    <row r="3382" ht="15.75" customHeight="1">
      <c r="A3382" s="197" t="s">
        <v>80</v>
      </c>
      <c r="B3382" s="197" t="s">
        <v>21</v>
      </c>
      <c r="C3382" s="198" t="s">
        <v>194</v>
      </c>
      <c r="D3382" s="197" t="s">
        <v>195</v>
      </c>
      <c r="E3382" s="199">
        <v>3.0</v>
      </c>
      <c r="F3382" s="200">
        <v>45680.45833333333</v>
      </c>
      <c r="G3382" s="197" t="s">
        <v>845</v>
      </c>
      <c r="H3382" s="197" t="s">
        <v>873</v>
      </c>
    </row>
    <row r="3383" ht="15.75" customHeight="1">
      <c r="A3383" s="197" t="s">
        <v>80</v>
      </c>
      <c r="B3383" s="197" t="s">
        <v>21</v>
      </c>
      <c r="C3383" s="198" t="s">
        <v>194</v>
      </c>
      <c r="D3383" s="197" t="s">
        <v>195</v>
      </c>
      <c r="E3383" s="199">
        <v>4.0</v>
      </c>
      <c r="F3383" s="200">
        <v>45701.45833333333</v>
      </c>
      <c r="G3383" s="197" t="s">
        <v>845</v>
      </c>
      <c r="H3383" s="197" t="s">
        <v>873</v>
      </c>
    </row>
    <row r="3384" ht="15.75" customHeight="1">
      <c r="A3384" s="197" t="s">
        <v>80</v>
      </c>
      <c r="B3384" s="197" t="s">
        <v>21</v>
      </c>
      <c r="C3384" s="198" t="s">
        <v>194</v>
      </c>
      <c r="D3384" s="197" t="s">
        <v>195</v>
      </c>
      <c r="E3384" s="199">
        <v>5.0</v>
      </c>
      <c r="F3384" s="200">
        <v>45762.41666666667</v>
      </c>
      <c r="G3384" s="197" t="s">
        <v>845</v>
      </c>
      <c r="H3384" s="197" t="s">
        <v>873</v>
      </c>
    </row>
    <row r="3385" ht="15.75" customHeight="1">
      <c r="A3385" s="197" t="s">
        <v>80</v>
      </c>
      <c r="B3385" s="197" t="s">
        <v>21</v>
      </c>
      <c r="C3385" s="198" t="s">
        <v>194</v>
      </c>
      <c r="D3385" s="197" t="s">
        <v>195</v>
      </c>
      <c r="E3385" s="199">
        <v>6.0</v>
      </c>
      <c r="F3385" s="200">
        <v>45790.45833333333</v>
      </c>
      <c r="G3385" s="197" t="s">
        <v>845</v>
      </c>
      <c r="H3385" s="197" t="s">
        <v>873</v>
      </c>
    </row>
    <row r="3386" ht="15.75" customHeight="1">
      <c r="A3386" s="197" t="s">
        <v>80</v>
      </c>
      <c r="B3386" s="197" t="s">
        <v>21</v>
      </c>
      <c r="C3386" s="198" t="s">
        <v>194</v>
      </c>
      <c r="D3386" s="197" t="s">
        <v>195</v>
      </c>
      <c r="E3386" s="199">
        <v>7.0</v>
      </c>
      <c r="F3386" s="200">
        <v>45817.58333333333</v>
      </c>
      <c r="G3386" s="197" t="s">
        <v>845</v>
      </c>
      <c r="H3386" s="197" t="s">
        <v>873</v>
      </c>
    </row>
    <row r="3387" ht="15.75" customHeight="1">
      <c r="A3387" s="197" t="s">
        <v>80</v>
      </c>
      <c r="B3387" s="197" t="s">
        <v>21</v>
      </c>
      <c r="C3387" s="198" t="s">
        <v>194</v>
      </c>
      <c r="D3387" s="197" t="s">
        <v>195</v>
      </c>
      <c r="E3387" s="199">
        <v>8.0</v>
      </c>
      <c r="F3387" s="200">
        <v>45831.45833333333</v>
      </c>
      <c r="G3387" s="197" t="s">
        <v>845</v>
      </c>
      <c r="H3387" s="197" t="s">
        <v>873</v>
      </c>
    </row>
    <row r="3388" ht="15.75" customHeight="1">
      <c r="A3388" s="197" t="s">
        <v>80</v>
      </c>
      <c r="B3388" s="197" t="s">
        <v>21</v>
      </c>
      <c r="C3388" s="198" t="s">
        <v>194</v>
      </c>
      <c r="D3388" s="197" t="s">
        <v>195</v>
      </c>
      <c r="E3388" s="199">
        <v>9.0</v>
      </c>
      <c r="F3388" s="200">
        <v>45846.45833333333</v>
      </c>
      <c r="G3388" s="197" t="s">
        <v>845</v>
      </c>
      <c r="H3388" s="197" t="s">
        <v>873</v>
      </c>
    </row>
    <row r="3389" ht="15.75" customHeight="1">
      <c r="A3389" s="197" t="s">
        <v>80</v>
      </c>
      <c r="B3389" s="197" t="s">
        <v>21</v>
      </c>
      <c r="C3389" s="198" t="s">
        <v>457</v>
      </c>
      <c r="D3389" s="197" t="s">
        <v>458</v>
      </c>
      <c r="E3389" s="199">
        <v>1.0</v>
      </c>
      <c r="F3389" s="200">
        <v>45646.41666666667</v>
      </c>
      <c r="G3389" s="197" t="s">
        <v>845</v>
      </c>
      <c r="H3389" s="197" t="s">
        <v>873</v>
      </c>
    </row>
    <row r="3390" ht="15.75" customHeight="1">
      <c r="A3390" s="197" t="s">
        <v>80</v>
      </c>
      <c r="B3390" s="197" t="s">
        <v>21</v>
      </c>
      <c r="C3390" s="198" t="s">
        <v>457</v>
      </c>
      <c r="D3390" s="197" t="s">
        <v>458</v>
      </c>
      <c r="E3390" s="199">
        <v>2.0</v>
      </c>
      <c r="F3390" s="200">
        <v>45663.45833333333</v>
      </c>
      <c r="G3390" s="197" t="s">
        <v>845</v>
      </c>
      <c r="H3390" s="197" t="s">
        <v>873</v>
      </c>
    </row>
    <row r="3391" ht="15.75" customHeight="1">
      <c r="A3391" s="197" t="s">
        <v>80</v>
      </c>
      <c r="B3391" s="197" t="s">
        <v>21</v>
      </c>
      <c r="C3391" s="198" t="s">
        <v>457</v>
      </c>
      <c r="D3391" s="197" t="s">
        <v>458</v>
      </c>
      <c r="E3391" s="199">
        <v>3.0</v>
      </c>
      <c r="F3391" s="200">
        <v>45680.45833333333</v>
      </c>
      <c r="G3391" s="197" t="s">
        <v>843</v>
      </c>
      <c r="H3391" s="197" t="s">
        <v>873</v>
      </c>
    </row>
    <row r="3392" ht="15.75" customHeight="1">
      <c r="A3392" s="197" t="s">
        <v>80</v>
      </c>
      <c r="B3392" s="197" t="s">
        <v>21</v>
      </c>
      <c r="C3392" s="198" t="s">
        <v>457</v>
      </c>
      <c r="D3392" s="197" t="s">
        <v>458</v>
      </c>
      <c r="E3392" s="199">
        <v>4.0</v>
      </c>
      <c r="F3392" s="200">
        <v>45701.45833333333</v>
      </c>
      <c r="G3392" s="197" t="s">
        <v>843</v>
      </c>
      <c r="H3392" s="197" t="s">
        <v>873</v>
      </c>
    </row>
    <row r="3393" ht="15.75" customHeight="1">
      <c r="A3393" s="197" t="s">
        <v>80</v>
      </c>
      <c r="B3393" s="197" t="s">
        <v>21</v>
      </c>
      <c r="C3393" s="198" t="s">
        <v>457</v>
      </c>
      <c r="D3393" s="197" t="s">
        <v>458</v>
      </c>
      <c r="E3393" s="199">
        <v>5.0</v>
      </c>
      <c r="F3393" s="200">
        <v>45761.54166666667</v>
      </c>
      <c r="G3393" s="197" t="s">
        <v>845</v>
      </c>
      <c r="H3393" s="197" t="s">
        <v>873</v>
      </c>
    </row>
    <row r="3394" ht="15.75" customHeight="1">
      <c r="A3394" s="197" t="s">
        <v>80</v>
      </c>
      <c r="B3394" s="197" t="s">
        <v>21</v>
      </c>
      <c r="C3394" s="198" t="s">
        <v>457</v>
      </c>
      <c r="D3394" s="197" t="s">
        <v>458</v>
      </c>
      <c r="E3394" s="199">
        <v>6.0</v>
      </c>
      <c r="F3394" s="200">
        <v>45790.45833333333</v>
      </c>
      <c r="G3394" s="197" t="s">
        <v>843</v>
      </c>
      <c r="H3394" s="197" t="s">
        <v>873</v>
      </c>
    </row>
    <row r="3395" ht="15.75" customHeight="1">
      <c r="A3395" s="197" t="s">
        <v>80</v>
      </c>
      <c r="B3395" s="197" t="s">
        <v>21</v>
      </c>
      <c r="C3395" s="198" t="s">
        <v>457</v>
      </c>
      <c r="D3395" s="197" t="s">
        <v>458</v>
      </c>
      <c r="E3395" s="199">
        <v>7.0</v>
      </c>
      <c r="F3395" s="200">
        <v>45817.58333333333</v>
      </c>
      <c r="G3395" s="197" t="s">
        <v>843</v>
      </c>
      <c r="H3395" s="197" t="s">
        <v>873</v>
      </c>
    </row>
    <row r="3396" ht="15.75" customHeight="1">
      <c r="A3396" s="197" t="s">
        <v>80</v>
      </c>
      <c r="B3396" s="197" t="s">
        <v>21</v>
      </c>
      <c r="C3396" s="198" t="s">
        <v>457</v>
      </c>
      <c r="D3396" s="197" t="s">
        <v>458</v>
      </c>
      <c r="E3396" s="199">
        <v>8.0</v>
      </c>
      <c r="F3396" s="200">
        <v>45817.41666666667</v>
      </c>
      <c r="G3396" s="197" t="s">
        <v>845</v>
      </c>
      <c r="H3396" s="197" t="s">
        <v>873</v>
      </c>
    </row>
    <row r="3397" ht="15.75" customHeight="1">
      <c r="A3397" s="197" t="s">
        <v>80</v>
      </c>
      <c r="B3397" s="197" t="s">
        <v>21</v>
      </c>
      <c r="C3397" s="198" t="s">
        <v>457</v>
      </c>
      <c r="D3397" s="197" t="s">
        <v>458</v>
      </c>
      <c r="E3397" s="199">
        <v>9.0</v>
      </c>
      <c r="F3397" s="200">
        <v>45846.45833333333</v>
      </c>
      <c r="G3397" s="197" t="s">
        <v>843</v>
      </c>
      <c r="H3397" s="197" t="s">
        <v>873</v>
      </c>
    </row>
    <row r="3398" ht="15.75" customHeight="1">
      <c r="A3398" s="197" t="s">
        <v>80</v>
      </c>
      <c r="B3398" s="197" t="s">
        <v>21</v>
      </c>
      <c r="C3398" s="198" t="s">
        <v>541</v>
      </c>
      <c r="D3398" s="197" t="s">
        <v>542</v>
      </c>
      <c r="E3398" s="199">
        <v>1.0</v>
      </c>
      <c r="F3398" s="200">
        <v>45646.41666666667</v>
      </c>
      <c r="G3398" s="197" t="s">
        <v>845</v>
      </c>
      <c r="H3398" s="197" t="s">
        <v>873</v>
      </c>
    </row>
    <row r="3399" ht="15.75" customHeight="1">
      <c r="A3399" s="197" t="s">
        <v>80</v>
      </c>
      <c r="B3399" s="197" t="s">
        <v>21</v>
      </c>
      <c r="C3399" s="198" t="s">
        <v>541</v>
      </c>
      <c r="D3399" s="197" t="s">
        <v>542</v>
      </c>
      <c r="E3399" s="199">
        <v>2.0</v>
      </c>
      <c r="F3399" s="200">
        <v>45663.45833333333</v>
      </c>
      <c r="G3399" s="197" t="s">
        <v>845</v>
      </c>
      <c r="H3399" s="197" t="s">
        <v>873</v>
      </c>
    </row>
    <row r="3400" ht="15.75" customHeight="1">
      <c r="A3400" s="197" t="s">
        <v>80</v>
      </c>
      <c r="B3400" s="197" t="s">
        <v>21</v>
      </c>
      <c r="C3400" s="198" t="s">
        <v>541</v>
      </c>
      <c r="D3400" s="197" t="s">
        <v>542</v>
      </c>
      <c r="E3400" s="199">
        <v>3.0</v>
      </c>
      <c r="F3400" s="200">
        <v>45680.45833333333</v>
      </c>
      <c r="G3400" s="197" t="s">
        <v>845</v>
      </c>
      <c r="H3400" s="197" t="s">
        <v>873</v>
      </c>
    </row>
    <row r="3401" ht="15.75" customHeight="1">
      <c r="A3401" s="197" t="s">
        <v>80</v>
      </c>
      <c r="B3401" s="197" t="s">
        <v>21</v>
      </c>
      <c r="C3401" s="198" t="s">
        <v>541</v>
      </c>
      <c r="D3401" s="197" t="s">
        <v>542</v>
      </c>
      <c r="E3401" s="199">
        <v>4.0</v>
      </c>
      <c r="F3401" s="200">
        <v>45701.45833333333</v>
      </c>
      <c r="G3401" s="197" t="s">
        <v>845</v>
      </c>
      <c r="H3401" s="197" t="s">
        <v>873</v>
      </c>
    </row>
    <row r="3402" ht="15.75" customHeight="1">
      <c r="A3402" s="197" t="s">
        <v>80</v>
      </c>
      <c r="B3402" s="197" t="s">
        <v>21</v>
      </c>
      <c r="C3402" s="198" t="s">
        <v>541</v>
      </c>
      <c r="D3402" s="197" t="s">
        <v>542</v>
      </c>
      <c r="E3402" s="199">
        <v>5.0</v>
      </c>
      <c r="F3402" s="200">
        <v>45762.41666666667</v>
      </c>
      <c r="G3402" s="197" t="s">
        <v>845</v>
      </c>
      <c r="H3402" s="197" t="s">
        <v>873</v>
      </c>
    </row>
    <row r="3403" ht="15.75" customHeight="1">
      <c r="A3403" s="197" t="s">
        <v>80</v>
      </c>
      <c r="B3403" s="197" t="s">
        <v>21</v>
      </c>
      <c r="C3403" s="198" t="s">
        <v>541</v>
      </c>
      <c r="D3403" s="197" t="s">
        <v>542</v>
      </c>
      <c r="E3403" s="199">
        <v>6.0</v>
      </c>
      <c r="F3403" s="200">
        <v>45790.45833333333</v>
      </c>
      <c r="G3403" s="197" t="s">
        <v>845</v>
      </c>
      <c r="H3403" s="197" t="s">
        <v>873</v>
      </c>
    </row>
    <row r="3404" ht="15.75" customHeight="1">
      <c r="A3404" s="197" t="s">
        <v>80</v>
      </c>
      <c r="B3404" s="197" t="s">
        <v>21</v>
      </c>
      <c r="C3404" s="198" t="s">
        <v>541</v>
      </c>
      <c r="D3404" s="197" t="s">
        <v>542</v>
      </c>
      <c r="E3404" s="199">
        <v>7.0</v>
      </c>
      <c r="F3404" s="200">
        <v>45817.58333333333</v>
      </c>
      <c r="G3404" s="197" t="s">
        <v>845</v>
      </c>
      <c r="H3404" s="197" t="s">
        <v>873</v>
      </c>
    </row>
    <row r="3405" ht="15.75" customHeight="1">
      <c r="A3405" s="197" t="s">
        <v>80</v>
      </c>
      <c r="B3405" s="197" t="s">
        <v>21</v>
      </c>
      <c r="C3405" s="198" t="s">
        <v>541</v>
      </c>
      <c r="D3405" s="197" t="s">
        <v>542</v>
      </c>
      <c r="E3405" s="199">
        <v>8.0</v>
      </c>
      <c r="F3405" s="200">
        <v>45831.45833333333</v>
      </c>
      <c r="G3405" s="197" t="s">
        <v>843</v>
      </c>
      <c r="H3405" s="197" t="s">
        <v>873</v>
      </c>
    </row>
    <row r="3406" ht="15.75" customHeight="1">
      <c r="A3406" s="197" t="s">
        <v>80</v>
      </c>
      <c r="B3406" s="197" t="s">
        <v>21</v>
      </c>
      <c r="C3406" s="198" t="s">
        <v>541</v>
      </c>
      <c r="D3406" s="197" t="s">
        <v>542</v>
      </c>
      <c r="E3406" s="199">
        <v>9.0</v>
      </c>
      <c r="F3406" s="200">
        <v>45846.45833333333</v>
      </c>
      <c r="G3406" s="197" t="s">
        <v>845</v>
      </c>
      <c r="H3406" s="197" t="s">
        <v>873</v>
      </c>
    </row>
    <row r="3407" ht="15.75" customHeight="1">
      <c r="A3407" s="197" t="s">
        <v>80</v>
      </c>
      <c r="B3407" s="197" t="s">
        <v>21</v>
      </c>
      <c r="C3407" s="198" t="s">
        <v>661</v>
      </c>
      <c r="D3407" s="197" t="s">
        <v>662</v>
      </c>
      <c r="E3407" s="199">
        <v>1.0</v>
      </c>
      <c r="F3407" s="200">
        <v>45646.41666666667</v>
      </c>
      <c r="G3407" s="197" t="s">
        <v>845</v>
      </c>
      <c r="H3407" s="197" t="s">
        <v>873</v>
      </c>
    </row>
    <row r="3408" ht="15.75" customHeight="1">
      <c r="A3408" s="197" t="s">
        <v>80</v>
      </c>
      <c r="B3408" s="197" t="s">
        <v>21</v>
      </c>
      <c r="C3408" s="198" t="s">
        <v>661</v>
      </c>
      <c r="D3408" s="197" t="s">
        <v>662</v>
      </c>
      <c r="E3408" s="199">
        <v>2.0</v>
      </c>
      <c r="F3408" s="200">
        <v>45663.45833333333</v>
      </c>
      <c r="G3408" s="197" t="s">
        <v>845</v>
      </c>
      <c r="H3408" s="197" t="s">
        <v>873</v>
      </c>
    </row>
    <row r="3409" ht="15.75" customHeight="1">
      <c r="A3409" s="197" t="s">
        <v>80</v>
      </c>
      <c r="B3409" s="197" t="s">
        <v>21</v>
      </c>
      <c r="C3409" s="198" t="s">
        <v>661</v>
      </c>
      <c r="D3409" s="197" t="s">
        <v>662</v>
      </c>
      <c r="E3409" s="199">
        <v>3.0</v>
      </c>
      <c r="F3409" s="200">
        <v>45680.45833333333</v>
      </c>
      <c r="G3409" s="197" t="s">
        <v>845</v>
      </c>
      <c r="H3409" s="197" t="s">
        <v>873</v>
      </c>
    </row>
    <row r="3410" ht="15.75" customHeight="1">
      <c r="A3410" s="197" t="s">
        <v>80</v>
      </c>
      <c r="B3410" s="197" t="s">
        <v>21</v>
      </c>
      <c r="C3410" s="198" t="s">
        <v>661</v>
      </c>
      <c r="D3410" s="197" t="s">
        <v>662</v>
      </c>
      <c r="E3410" s="199">
        <v>4.0</v>
      </c>
      <c r="F3410" s="200">
        <v>45701.45833333333</v>
      </c>
      <c r="G3410" s="197" t="s">
        <v>845</v>
      </c>
      <c r="H3410" s="197" t="s">
        <v>873</v>
      </c>
    </row>
    <row r="3411" ht="15.75" customHeight="1">
      <c r="A3411" s="197" t="s">
        <v>80</v>
      </c>
      <c r="B3411" s="197" t="s">
        <v>21</v>
      </c>
      <c r="C3411" s="198" t="s">
        <v>661</v>
      </c>
      <c r="D3411" s="197" t="s">
        <v>662</v>
      </c>
      <c r="E3411" s="199">
        <v>5.0</v>
      </c>
      <c r="F3411" s="200">
        <v>45762.41666666667</v>
      </c>
      <c r="G3411" s="197" t="s">
        <v>845</v>
      </c>
      <c r="H3411" s="197" t="s">
        <v>873</v>
      </c>
    </row>
    <row r="3412" ht="15.75" customHeight="1">
      <c r="A3412" s="197" t="s">
        <v>80</v>
      </c>
      <c r="B3412" s="197" t="s">
        <v>21</v>
      </c>
      <c r="C3412" s="198" t="s">
        <v>661</v>
      </c>
      <c r="D3412" s="197" t="s">
        <v>662</v>
      </c>
      <c r="E3412" s="199">
        <v>6.0</v>
      </c>
      <c r="F3412" s="200">
        <v>45790.45833333333</v>
      </c>
      <c r="G3412" s="197" t="s">
        <v>845</v>
      </c>
      <c r="H3412" s="197" t="s">
        <v>873</v>
      </c>
    </row>
    <row r="3413" ht="15.75" customHeight="1">
      <c r="A3413" s="197" t="s">
        <v>80</v>
      </c>
      <c r="B3413" s="197" t="s">
        <v>21</v>
      </c>
      <c r="C3413" s="198" t="s">
        <v>661</v>
      </c>
      <c r="D3413" s="197" t="s">
        <v>662</v>
      </c>
      <c r="E3413" s="199">
        <v>7.0</v>
      </c>
      <c r="F3413" s="200">
        <v>45817.58333333333</v>
      </c>
      <c r="G3413" s="197" t="s">
        <v>845</v>
      </c>
      <c r="H3413" s="197" t="s">
        <v>873</v>
      </c>
    </row>
    <row r="3414" ht="15.75" customHeight="1">
      <c r="A3414" s="197" t="s">
        <v>80</v>
      </c>
      <c r="B3414" s="197" t="s">
        <v>21</v>
      </c>
      <c r="C3414" s="198" t="s">
        <v>661</v>
      </c>
      <c r="D3414" s="197" t="s">
        <v>662</v>
      </c>
      <c r="E3414" s="199">
        <v>8.0</v>
      </c>
      <c r="F3414" s="200">
        <v>45831.45833333333</v>
      </c>
      <c r="G3414" s="197" t="s">
        <v>845</v>
      </c>
      <c r="H3414" s="197" t="s">
        <v>873</v>
      </c>
    </row>
    <row r="3415" ht="15.75" customHeight="1">
      <c r="A3415" s="197" t="s">
        <v>80</v>
      </c>
      <c r="B3415" s="197" t="s">
        <v>21</v>
      </c>
      <c r="C3415" s="198" t="s">
        <v>661</v>
      </c>
      <c r="D3415" s="197" t="s">
        <v>662</v>
      </c>
      <c r="E3415" s="199">
        <v>9.0</v>
      </c>
      <c r="F3415" s="200">
        <v>45846.45833333333</v>
      </c>
      <c r="G3415" s="197" t="s">
        <v>845</v>
      </c>
      <c r="H3415" s="197" t="s">
        <v>873</v>
      </c>
    </row>
    <row r="3416" ht="15.75" customHeight="1">
      <c r="A3416" s="197" t="s">
        <v>80</v>
      </c>
      <c r="B3416" s="197" t="s">
        <v>21</v>
      </c>
      <c r="C3416" s="198" t="s">
        <v>703</v>
      </c>
      <c r="D3416" s="197" t="s">
        <v>704</v>
      </c>
      <c r="E3416" s="199">
        <v>1.0</v>
      </c>
      <c r="F3416" s="200">
        <v>45646.41666666667</v>
      </c>
      <c r="G3416" s="197" t="s">
        <v>845</v>
      </c>
      <c r="H3416" s="197" t="s">
        <v>873</v>
      </c>
    </row>
    <row r="3417" ht="15.75" customHeight="1">
      <c r="A3417" s="197" t="s">
        <v>80</v>
      </c>
      <c r="B3417" s="197" t="s">
        <v>21</v>
      </c>
      <c r="C3417" s="198" t="s">
        <v>703</v>
      </c>
      <c r="D3417" s="197" t="s">
        <v>704</v>
      </c>
      <c r="E3417" s="199">
        <v>2.0</v>
      </c>
      <c r="F3417" s="200">
        <v>45666.45833333333</v>
      </c>
      <c r="G3417" s="197" t="s">
        <v>845</v>
      </c>
      <c r="H3417" s="197" t="s">
        <v>873</v>
      </c>
    </row>
    <row r="3418" ht="15.75" customHeight="1">
      <c r="A3418" s="197" t="s">
        <v>80</v>
      </c>
      <c r="B3418" s="197" t="s">
        <v>21</v>
      </c>
      <c r="C3418" s="198" t="s">
        <v>703</v>
      </c>
      <c r="D3418" s="197" t="s">
        <v>704</v>
      </c>
      <c r="E3418" s="199">
        <v>3.0</v>
      </c>
      <c r="F3418" s="200">
        <v>45680.45833333333</v>
      </c>
      <c r="G3418" s="197" t="s">
        <v>845</v>
      </c>
      <c r="H3418" s="197" t="s">
        <v>873</v>
      </c>
    </row>
    <row r="3419" ht="15.75" customHeight="1">
      <c r="A3419" s="197" t="s">
        <v>80</v>
      </c>
      <c r="B3419" s="197" t="s">
        <v>21</v>
      </c>
      <c r="C3419" s="198" t="s">
        <v>703</v>
      </c>
      <c r="D3419" s="197" t="s">
        <v>704</v>
      </c>
      <c r="E3419" s="199">
        <v>4.0</v>
      </c>
      <c r="F3419" s="200">
        <v>45701.45833333333</v>
      </c>
      <c r="G3419" s="197" t="s">
        <v>845</v>
      </c>
      <c r="H3419" s="197" t="s">
        <v>873</v>
      </c>
    </row>
    <row r="3420" ht="15.75" customHeight="1">
      <c r="A3420" s="197" t="s">
        <v>80</v>
      </c>
      <c r="B3420" s="197" t="s">
        <v>21</v>
      </c>
      <c r="C3420" s="198" t="s">
        <v>703</v>
      </c>
      <c r="D3420" s="197" t="s">
        <v>704</v>
      </c>
      <c r="E3420" s="199">
        <v>5.0</v>
      </c>
      <c r="F3420" s="200">
        <v>45762.41666666667</v>
      </c>
      <c r="G3420" s="197" t="s">
        <v>845</v>
      </c>
      <c r="H3420" s="197" t="s">
        <v>873</v>
      </c>
    </row>
    <row r="3421" ht="15.75" customHeight="1">
      <c r="A3421" s="197" t="s">
        <v>80</v>
      </c>
      <c r="B3421" s="197" t="s">
        <v>21</v>
      </c>
      <c r="C3421" s="198" t="s">
        <v>703</v>
      </c>
      <c r="D3421" s="197" t="s">
        <v>704</v>
      </c>
      <c r="E3421" s="199">
        <v>6.0</v>
      </c>
      <c r="F3421" s="200">
        <v>45790.45833333333</v>
      </c>
      <c r="G3421" s="197" t="s">
        <v>845</v>
      </c>
      <c r="H3421" s="197" t="s">
        <v>873</v>
      </c>
    </row>
    <row r="3422" ht="15.75" customHeight="1">
      <c r="A3422" s="197" t="s">
        <v>80</v>
      </c>
      <c r="B3422" s="197" t="s">
        <v>21</v>
      </c>
      <c r="C3422" s="198" t="s">
        <v>703</v>
      </c>
      <c r="D3422" s="197" t="s">
        <v>704</v>
      </c>
      <c r="E3422" s="199">
        <v>7.0</v>
      </c>
      <c r="F3422" s="200">
        <v>45817.58333333333</v>
      </c>
      <c r="G3422" s="197" t="s">
        <v>845</v>
      </c>
      <c r="H3422" s="197" t="s">
        <v>873</v>
      </c>
    </row>
    <row r="3423" ht="15.75" customHeight="1">
      <c r="A3423" s="197" t="s">
        <v>80</v>
      </c>
      <c r="B3423" s="197" t="s">
        <v>21</v>
      </c>
      <c r="C3423" s="198" t="s">
        <v>703</v>
      </c>
      <c r="D3423" s="197" t="s">
        <v>704</v>
      </c>
      <c r="E3423" s="199">
        <v>8.0</v>
      </c>
      <c r="F3423" s="200">
        <v>45831.45833333333</v>
      </c>
      <c r="G3423" s="197" t="s">
        <v>845</v>
      </c>
      <c r="H3423" s="197" t="s">
        <v>873</v>
      </c>
    </row>
    <row r="3424" ht="15.75" customHeight="1">
      <c r="A3424" s="197" t="s">
        <v>80</v>
      </c>
      <c r="B3424" s="197" t="s">
        <v>21</v>
      </c>
      <c r="C3424" s="198" t="s">
        <v>703</v>
      </c>
      <c r="D3424" s="197" t="s">
        <v>704</v>
      </c>
      <c r="E3424" s="199">
        <v>9.0</v>
      </c>
      <c r="F3424" s="200">
        <v>45846.45833333333</v>
      </c>
      <c r="G3424" s="197" t="s">
        <v>843</v>
      </c>
      <c r="H3424" s="197" t="s">
        <v>873</v>
      </c>
    </row>
    <row r="3425" ht="15.75" customHeight="1">
      <c r="A3425" s="197" t="s">
        <v>80</v>
      </c>
      <c r="B3425" s="197" t="s">
        <v>21</v>
      </c>
      <c r="C3425" s="198" t="s">
        <v>707</v>
      </c>
      <c r="D3425" s="197" t="s">
        <v>708</v>
      </c>
      <c r="E3425" s="199">
        <v>1.0</v>
      </c>
      <c r="F3425" s="200">
        <v>45646.41666666667</v>
      </c>
      <c r="G3425" s="197" t="s">
        <v>845</v>
      </c>
      <c r="H3425" s="197" t="s">
        <v>873</v>
      </c>
    </row>
    <row r="3426" ht="15.75" customHeight="1">
      <c r="A3426" s="197" t="s">
        <v>80</v>
      </c>
      <c r="B3426" s="197" t="s">
        <v>21</v>
      </c>
      <c r="C3426" s="198" t="s">
        <v>707</v>
      </c>
      <c r="D3426" s="197" t="s">
        <v>708</v>
      </c>
      <c r="E3426" s="199">
        <v>2.0</v>
      </c>
      <c r="F3426" s="200">
        <v>45663.45833333333</v>
      </c>
      <c r="G3426" s="197" t="s">
        <v>845</v>
      </c>
      <c r="H3426" s="197" t="s">
        <v>873</v>
      </c>
    </row>
    <row r="3427" ht="15.75" customHeight="1">
      <c r="A3427" s="197" t="s">
        <v>80</v>
      </c>
      <c r="B3427" s="197" t="s">
        <v>21</v>
      </c>
      <c r="C3427" s="198" t="s">
        <v>707</v>
      </c>
      <c r="D3427" s="197" t="s">
        <v>708</v>
      </c>
      <c r="E3427" s="199">
        <v>3.0</v>
      </c>
      <c r="F3427" s="200">
        <v>45680.45833333333</v>
      </c>
      <c r="G3427" s="197" t="s">
        <v>843</v>
      </c>
      <c r="H3427" s="197" t="s">
        <v>873</v>
      </c>
    </row>
    <row r="3428" ht="15.75" customHeight="1">
      <c r="A3428" s="197" t="s">
        <v>80</v>
      </c>
      <c r="B3428" s="197" t="s">
        <v>21</v>
      </c>
      <c r="C3428" s="198" t="s">
        <v>707</v>
      </c>
      <c r="D3428" s="197" t="s">
        <v>708</v>
      </c>
      <c r="E3428" s="199">
        <v>4.0</v>
      </c>
      <c r="F3428" s="200">
        <v>45701.45833333333</v>
      </c>
      <c r="G3428" s="197" t="s">
        <v>845</v>
      </c>
      <c r="H3428" s="197" t="s">
        <v>873</v>
      </c>
    </row>
    <row r="3429" ht="15.75" customHeight="1">
      <c r="A3429" s="197" t="s">
        <v>80</v>
      </c>
      <c r="B3429" s="197" t="s">
        <v>21</v>
      </c>
      <c r="C3429" s="198" t="s">
        <v>707</v>
      </c>
      <c r="D3429" s="197" t="s">
        <v>708</v>
      </c>
      <c r="E3429" s="199">
        <v>5.0</v>
      </c>
      <c r="F3429" s="200">
        <v>45762.41666666667</v>
      </c>
      <c r="G3429" s="197" t="s">
        <v>845</v>
      </c>
      <c r="H3429" s="197" t="s">
        <v>873</v>
      </c>
    </row>
    <row r="3430" ht="15.75" customHeight="1">
      <c r="A3430" s="197" t="s">
        <v>80</v>
      </c>
      <c r="B3430" s="197" t="s">
        <v>21</v>
      </c>
      <c r="C3430" s="198" t="s">
        <v>707</v>
      </c>
      <c r="D3430" s="197" t="s">
        <v>708</v>
      </c>
      <c r="E3430" s="199">
        <v>6.0</v>
      </c>
      <c r="F3430" s="200">
        <v>45790.45833333333</v>
      </c>
      <c r="G3430" s="197" t="s">
        <v>845</v>
      </c>
      <c r="H3430" s="197" t="s">
        <v>873</v>
      </c>
    </row>
    <row r="3431" ht="15.75" customHeight="1">
      <c r="A3431" s="197" t="s">
        <v>80</v>
      </c>
      <c r="B3431" s="197" t="s">
        <v>21</v>
      </c>
      <c r="C3431" s="198" t="s">
        <v>707</v>
      </c>
      <c r="D3431" s="197" t="s">
        <v>708</v>
      </c>
      <c r="E3431" s="199">
        <v>7.0</v>
      </c>
      <c r="F3431" s="200">
        <v>45817.58333333333</v>
      </c>
      <c r="G3431" s="197" t="s">
        <v>845</v>
      </c>
      <c r="H3431" s="197" t="s">
        <v>873</v>
      </c>
    </row>
    <row r="3432" ht="15.75" customHeight="1">
      <c r="A3432" s="197" t="s">
        <v>80</v>
      </c>
      <c r="B3432" s="197" t="s">
        <v>21</v>
      </c>
      <c r="C3432" s="198" t="s">
        <v>707</v>
      </c>
      <c r="D3432" s="197" t="s">
        <v>708</v>
      </c>
      <c r="E3432" s="199">
        <v>8.0</v>
      </c>
      <c r="F3432" s="200">
        <v>45831.45833333333</v>
      </c>
      <c r="G3432" s="197" t="s">
        <v>845</v>
      </c>
      <c r="H3432" s="197" t="s">
        <v>873</v>
      </c>
    </row>
    <row r="3433" ht="15.75" customHeight="1">
      <c r="A3433" s="197" t="s">
        <v>80</v>
      </c>
      <c r="B3433" s="197" t="s">
        <v>21</v>
      </c>
      <c r="C3433" s="198" t="s">
        <v>707</v>
      </c>
      <c r="D3433" s="197" t="s">
        <v>708</v>
      </c>
      <c r="E3433" s="199">
        <v>9.0</v>
      </c>
      <c r="F3433" s="200">
        <v>45846.45833333333</v>
      </c>
      <c r="G3433" s="197" t="s">
        <v>845</v>
      </c>
      <c r="H3433" s="197" t="s">
        <v>873</v>
      </c>
    </row>
    <row r="3434" ht="15.75" customHeight="1">
      <c r="A3434" s="197" t="s">
        <v>81</v>
      </c>
      <c r="B3434" s="197" t="s">
        <v>21</v>
      </c>
      <c r="C3434" s="198" t="s">
        <v>512</v>
      </c>
      <c r="D3434" s="197" t="s">
        <v>513</v>
      </c>
      <c r="E3434" s="199">
        <v>1.0</v>
      </c>
      <c r="F3434" s="200">
        <v>45765.41666666667</v>
      </c>
      <c r="G3434" s="197" t="s">
        <v>845</v>
      </c>
      <c r="H3434" s="197" t="s">
        <v>874</v>
      </c>
    </row>
    <row r="3435" ht="15.75" customHeight="1">
      <c r="A3435" s="197" t="s">
        <v>81</v>
      </c>
      <c r="B3435" s="197" t="s">
        <v>21</v>
      </c>
      <c r="C3435" s="198" t="s">
        <v>512</v>
      </c>
      <c r="D3435" s="197" t="s">
        <v>513</v>
      </c>
      <c r="E3435" s="199">
        <v>2.0</v>
      </c>
      <c r="F3435" s="200">
        <v>45768.375</v>
      </c>
      <c r="G3435" s="197" t="s">
        <v>845</v>
      </c>
      <c r="H3435" s="197" t="s">
        <v>874</v>
      </c>
    </row>
    <row r="3436" ht="15.75" customHeight="1">
      <c r="A3436" s="197" t="s">
        <v>81</v>
      </c>
      <c r="B3436" s="197" t="s">
        <v>21</v>
      </c>
      <c r="C3436" s="198" t="s">
        <v>512</v>
      </c>
      <c r="D3436" s="197" t="s">
        <v>513</v>
      </c>
      <c r="E3436" s="199">
        <v>3.0</v>
      </c>
      <c r="F3436" s="200">
        <v>45811.45833333333</v>
      </c>
      <c r="G3436" s="197" t="s">
        <v>845</v>
      </c>
      <c r="H3436" s="197" t="s">
        <v>874</v>
      </c>
    </row>
    <row r="3437" ht="15.75" customHeight="1">
      <c r="A3437" s="197" t="s">
        <v>81</v>
      </c>
      <c r="B3437" s="197" t="s">
        <v>21</v>
      </c>
      <c r="C3437" s="198" t="s">
        <v>512</v>
      </c>
      <c r="D3437" s="197" t="s">
        <v>513</v>
      </c>
      <c r="E3437" s="199">
        <v>4.0</v>
      </c>
      <c r="F3437" s="200">
        <v>45818.45833333333</v>
      </c>
      <c r="G3437" s="197" t="s">
        <v>845</v>
      </c>
      <c r="H3437" s="197" t="s">
        <v>874</v>
      </c>
    </row>
    <row r="3438" ht="15.75" customHeight="1">
      <c r="A3438" s="197" t="s">
        <v>81</v>
      </c>
      <c r="B3438" s="197" t="s">
        <v>21</v>
      </c>
      <c r="C3438" s="198" t="s">
        <v>512</v>
      </c>
      <c r="D3438" s="197" t="s">
        <v>513</v>
      </c>
      <c r="E3438" s="199">
        <v>5.0</v>
      </c>
      <c r="F3438" s="200">
        <v>45833.45833333333</v>
      </c>
      <c r="G3438" s="197" t="s">
        <v>845</v>
      </c>
      <c r="H3438" s="197" t="s">
        <v>874</v>
      </c>
    </row>
    <row r="3439" ht="15.75" customHeight="1">
      <c r="A3439" s="197" t="s">
        <v>81</v>
      </c>
      <c r="B3439" s="197" t="s">
        <v>21</v>
      </c>
      <c r="C3439" s="198" t="s">
        <v>512</v>
      </c>
      <c r="D3439" s="197" t="s">
        <v>513</v>
      </c>
      <c r="E3439" s="199">
        <v>6.0</v>
      </c>
      <c r="F3439" s="200">
        <v>45839.45833333333</v>
      </c>
      <c r="G3439" s="197" t="s">
        <v>845</v>
      </c>
      <c r="H3439" s="197" t="s">
        <v>874</v>
      </c>
    </row>
    <row r="3440" ht="15.75" customHeight="1">
      <c r="A3440" s="197" t="s">
        <v>81</v>
      </c>
      <c r="B3440" s="197" t="s">
        <v>21</v>
      </c>
      <c r="C3440" s="198" t="s">
        <v>512</v>
      </c>
      <c r="D3440" s="197" t="s">
        <v>513</v>
      </c>
      <c r="E3440" s="199">
        <v>7.0</v>
      </c>
      <c r="F3440" s="200">
        <v>45846.54166666667</v>
      </c>
      <c r="G3440" s="197" t="s">
        <v>845</v>
      </c>
      <c r="H3440" s="197" t="s">
        <v>874</v>
      </c>
    </row>
    <row r="3441" ht="15.75" customHeight="1">
      <c r="A3441" s="197" t="s">
        <v>81</v>
      </c>
      <c r="B3441" s="197" t="s">
        <v>21</v>
      </c>
      <c r="C3441" s="198" t="s">
        <v>512</v>
      </c>
      <c r="D3441" s="197" t="s">
        <v>513</v>
      </c>
      <c r="E3441" s="199">
        <v>8.0</v>
      </c>
      <c r="F3441" s="200">
        <v>45853.45833333333</v>
      </c>
      <c r="G3441" s="197" t="s">
        <v>845</v>
      </c>
      <c r="H3441" s="197" t="s">
        <v>874</v>
      </c>
    </row>
    <row r="3442" ht="15.75" customHeight="1">
      <c r="A3442" s="197" t="s">
        <v>81</v>
      </c>
      <c r="B3442" s="197" t="s">
        <v>21</v>
      </c>
      <c r="C3442" s="198" t="s">
        <v>512</v>
      </c>
      <c r="D3442" s="197" t="s">
        <v>513</v>
      </c>
      <c r="E3442" s="199">
        <v>9.0</v>
      </c>
      <c r="F3442" s="200">
        <v>45862.45833333333</v>
      </c>
      <c r="G3442" s="197" t="s">
        <v>845</v>
      </c>
      <c r="H3442" s="197" t="s">
        <v>874</v>
      </c>
    </row>
    <row r="3443" ht="15.75" customHeight="1">
      <c r="A3443" s="197" t="s">
        <v>81</v>
      </c>
      <c r="B3443" s="197" t="s">
        <v>21</v>
      </c>
      <c r="C3443" s="198" t="s">
        <v>512</v>
      </c>
      <c r="D3443" s="197" t="s">
        <v>513</v>
      </c>
      <c r="E3443" s="199">
        <v>10.0</v>
      </c>
      <c r="F3443" s="200">
        <v>45883.41666666667</v>
      </c>
      <c r="G3443" s="197" t="s">
        <v>845</v>
      </c>
      <c r="H3443" s="197" t="s">
        <v>874</v>
      </c>
    </row>
    <row r="3444" ht="15.75" customHeight="1">
      <c r="A3444" s="197" t="s">
        <v>81</v>
      </c>
      <c r="B3444" s="197" t="s">
        <v>21</v>
      </c>
      <c r="C3444" s="198" t="s">
        <v>524</v>
      </c>
      <c r="D3444" s="197" t="s">
        <v>525</v>
      </c>
      <c r="E3444" s="199">
        <v>1.0</v>
      </c>
      <c r="F3444" s="200">
        <v>45765.41666666667</v>
      </c>
      <c r="G3444" s="197" t="s">
        <v>845</v>
      </c>
      <c r="H3444" s="197" t="s">
        <v>874</v>
      </c>
    </row>
    <row r="3445" ht="15.75" customHeight="1">
      <c r="A3445" s="197" t="s">
        <v>81</v>
      </c>
      <c r="B3445" s="197" t="s">
        <v>21</v>
      </c>
      <c r="C3445" s="198" t="s">
        <v>524</v>
      </c>
      <c r="D3445" s="197" t="s">
        <v>525</v>
      </c>
      <c r="E3445" s="199">
        <v>2.0</v>
      </c>
      <c r="F3445" s="200">
        <v>45768.375</v>
      </c>
      <c r="G3445" s="197" t="s">
        <v>845</v>
      </c>
      <c r="H3445" s="197" t="s">
        <v>874</v>
      </c>
    </row>
    <row r="3446" ht="15.75" customHeight="1">
      <c r="A3446" s="197" t="s">
        <v>81</v>
      </c>
      <c r="B3446" s="197" t="s">
        <v>21</v>
      </c>
      <c r="C3446" s="198" t="s">
        <v>524</v>
      </c>
      <c r="D3446" s="197" t="s">
        <v>525</v>
      </c>
      <c r="E3446" s="199">
        <v>3.0</v>
      </c>
      <c r="F3446" s="200">
        <v>45811.45833333333</v>
      </c>
      <c r="G3446" s="197" t="s">
        <v>845</v>
      </c>
      <c r="H3446" s="197" t="s">
        <v>874</v>
      </c>
    </row>
    <row r="3447" ht="15.75" customHeight="1">
      <c r="A3447" s="197" t="s">
        <v>81</v>
      </c>
      <c r="B3447" s="197" t="s">
        <v>21</v>
      </c>
      <c r="C3447" s="198" t="s">
        <v>524</v>
      </c>
      <c r="D3447" s="197" t="s">
        <v>525</v>
      </c>
      <c r="E3447" s="199">
        <v>4.0</v>
      </c>
      <c r="F3447" s="200">
        <v>45818.45833333333</v>
      </c>
      <c r="G3447" s="197" t="s">
        <v>845</v>
      </c>
      <c r="H3447" s="197" t="s">
        <v>874</v>
      </c>
    </row>
    <row r="3448" ht="15.75" customHeight="1">
      <c r="A3448" s="197" t="s">
        <v>81</v>
      </c>
      <c r="B3448" s="197" t="s">
        <v>21</v>
      </c>
      <c r="C3448" s="198" t="s">
        <v>524</v>
      </c>
      <c r="D3448" s="197" t="s">
        <v>525</v>
      </c>
      <c r="E3448" s="199">
        <v>5.0</v>
      </c>
      <c r="F3448" s="200">
        <v>45833.45833333333</v>
      </c>
      <c r="G3448" s="197" t="s">
        <v>845</v>
      </c>
      <c r="H3448" s="197" t="s">
        <v>874</v>
      </c>
    </row>
    <row r="3449" ht="15.75" customHeight="1">
      <c r="A3449" s="197" t="s">
        <v>81</v>
      </c>
      <c r="B3449" s="197" t="s">
        <v>21</v>
      </c>
      <c r="C3449" s="198" t="s">
        <v>524</v>
      </c>
      <c r="D3449" s="197" t="s">
        <v>525</v>
      </c>
      <c r="E3449" s="199">
        <v>6.0</v>
      </c>
      <c r="F3449" s="200">
        <v>45839.45833333333</v>
      </c>
      <c r="G3449" s="197" t="s">
        <v>845</v>
      </c>
      <c r="H3449" s="197" t="s">
        <v>874</v>
      </c>
    </row>
    <row r="3450" ht="15.75" customHeight="1">
      <c r="A3450" s="197" t="s">
        <v>81</v>
      </c>
      <c r="B3450" s="197" t="s">
        <v>21</v>
      </c>
      <c r="C3450" s="198" t="s">
        <v>524</v>
      </c>
      <c r="D3450" s="197" t="s">
        <v>525</v>
      </c>
      <c r="E3450" s="199">
        <v>7.0</v>
      </c>
      <c r="F3450" s="200">
        <v>45846.54166666667</v>
      </c>
      <c r="G3450" s="197" t="s">
        <v>845</v>
      </c>
      <c r="H3450" s="197" t="s">
        <v>874</v>
      </c>
    </row>
    <row r="3451" ht="15.75" customHeight="1">
      <c r="A3451" s="197" t="s">
        <v>81</v>
      </c>
      <c r="B3451" s="197" t="s">
        <v>21</v>
      </c>
      <c r="C3451" s="198" t="s">
        <v>524</v>
      </c>
      <c r="D3451" s="197" t="s">
        <v>525</v>
      </c>
      <c r="E3451" s="199">
        <v>8.0</v>
      </c>
      <c r="F3451" s="200">
        <v>45853.45833333333</v>
      </c>
      <c r="G3451" s="197" t="s">
        <v>845</v>
      </c>
      <c r="H3451" s="197" t="s">
        <v>874</v>
      </c>
    </row>
    <row r="3452" ht="15.75" customHeight="1">
      <c r="A3452" s="197" t="s">
        <v>81</v>
      </c>
      <c r="B3452" s="197" t="s">
        <v>21</v>
      </c>
      <c r="C3452" s="198" t="s">
        <v>524</v>
      </c>
      <c r="D3452" s="197" t="s">
        <v>525</v>
      </c>
      <c r="E3452" s="199">
        <v>9.0</v>
      </c>
      <c r="F3452" s="200">
        <v>45862.45833333333</v>
      </c>
      <c r="G3452" s="197" t="s">
        <v>845</v>
      </c>
      <c r="H3452" s="197" t="s">
        <v>874</v>
      </c>
    </row>
    <row r="3453" ht="15.75" customHeight="1">
      <c r="A3453" s="197" t="s">
        <v>81</v>
      </c>
      <c r="B3453" s="197" t="s">
        <v>21</v>
      </c>
      <c r="C3453" s="198" t="s">
        <v>524</v>
      </c>
      <c r="D3453" s="197" t="s">
        <v>525</v>
      </c>
      <c r="E3453" s="199">
        <v>10.0</v>
      </c>
      <c r="F3453" s="200">
        <v>45883.41666666667</v>
      </c>
      <c r="G3453" s="197" t="s">
        <v>845</v>
      </c>
      <c r="H3453" s="197" t="s">
        <v>874</v>
      </c>
    </row>
    <row r="3454" ht="15.75" customHeight="1">
      <c r="A3454" s="197" t="s">
        <v>81</v>
      </c>
      <c r="B3454" s="197" t="s">
        <v>21</v>
      </c>
      <c r="C3454" s="198" t="s">
        <v>530</v>
      </c>
      <c r="D3454" s="197" t="s">
        <v>531</v>
      </c>
      <c r="E3454" s="199">
        <v>1.0</v>
      </c>
      <c r="F3454" s="200">
        <v>45765.41666666667</v>
      </c>
      <c r="G3454" s="197" t="s">
        <v>845</v>
      </c>
      <c r="H3454" s="197" t="s">
        <v>874</v>
      </c>
    </row>
    <row r="3455" ht="15.75" customHeight="1">
      <c r="A3455" s="197" t="s">
        <v>81</v>
      </c>
      <c r="B3455" s="197" t="s">
        <v>21</v>
      </c>
      <c r="C3455" s="198" t="s">
        <v>530</v>
      </c>
      <c r="D3455" s="197" t="s">
        <v>531</v>
      </c>
      <c r="E3455" s="199">
        <v>2.0</v>
      </c>
      <c r="F3455" s="200">
        <v>45768.375</v>
      </c>
      <c r="G3455" s="197" t="s">
        <v>845</v>
      </c>
      <c r="H3455" s="197" t="s">
        <v>874</v>
      </c>
    </row>
    <row r="3456" ht="15.75" customHeight="1">
      <c r="A3456" s="197" t="s">
        <v>81</v>
      </c>
      <c r="B3456" s="197" t="s">
        <v>21</v>
      </c>
      <c r="C3456" s="198" t="s">
        <v>530</v>
      </c>
      <c r="D3456" s="197" t="s">
        <v>531</v>
      </c>
      <c r="E3456" s="199">
        <v>3.0</v>
      </c>
      <c r="F3456" s="200">
        <v>45811.45833333333</v>
      </c>
      <c r="G3456" s="197" t="s">
        <v>845</v>
      </c>
      <c r="H3456" s="197" t="s">
        <v>874</v>
      </c>
    </row>
    <row r="3457" ht="15.75" customHeight="1">
      <c r="A3457" s="197" t="s">
        <v>81</v>
      </c>
      <c r="B3457" s="197" t="s">
        <v>21</v>
      </c>
      <c r="C3457" s="198" t="s">
        <v>530</v>
      </c>
      <c r="D3457" s="197" t="s">
        <v>531</v>
      </c>
      <c r="E3457" s="199">
        <v>4.0</v>
      </c>
      <c r="F3457" s="200">
        <v>45818.45833333333</v>
      </c>
      <c r="G3457" s="197" t="s">
        <v>845</v>
      </c>
      <c r="H3457" s="197" t="s">
        <v>874</v>
      </c>
    </row>
    <row r="3458" ht="15.75" customHeight="1">
      <c r="A3458" s="197" t="s">
        <v>81</v>
      </c>
      <c r="B3458" s="197" t="s">
        <v>21</v>
      </c>
      <c r="C3458" s="198" t="s">
        <v>530</v>
      </c>
      <c r="D3458" s="197" t="s">
        <v>531</v>
      </c>
      <c r="E3458" s="199">
        <v>5.0</v>
      </c>
      <c r="F3458" s="200">
        <v>45833.45833333333</v>
      </c>
      <c r="G3458" s="197" t="s">
        <v>845</v>
      </c>
      <c r="H3458" s="197" t="s">
        <v>874</v>
      </c>
    </row>
    <row r="3459" ht="15.75" customHeight="1">
      <c r="A3459" s="197" t="s">
        <v>81</v>
      </c>
      <c r="B3459" s="197" t="s">
        <v>21</v>
      </c>
      <c r="C3459" s="198" t="s">
        <v>530</v>
      </c>
      <c r="D3459" s="197" t="s">
        <v>531</v>
      </c>
      <c r="E3459" s="199">
        <v>6.0</v>
      </c>
      <c r="F3459" s="200">
        <v>45839.45833333333</v>
      </c>
      <c r="G3459" s="197" t="s">
        <v>845</v>
      </c>
      <c r="H3459" s="197" t="s">
        <v>874</v>
      </c>
    </row>
    <row r="3460" ht="15.75" customHeight="1">
      <c r="A3460" s="197" t="s">
        <v>81</v>
      </c>
      <c r="B3460" s="197" t="s">
        <v>21</v>
      </c>
      <c r="C3460" s="198" t="s">
        <v>530</v>
      </c>
      <c r="D3460" s="197" t="s">
        <v>531</v>
      </c>
      <c r="E3460" s="199">
        <v>7.0</v>
      </c>
      <c r="F3460" s="200">
        <v>45846.54166666667</v>
      </c>
      <c r="G3460" s="197" t="s">
        <v>845</v>
      </c>
      <c r="H3460" s="197" t="s">
        <v>874</v>
      </c>
    </row>
    <row r="3461" ht="15.75" customHeight="1">
      <c r="A3461" s="197" t="s">
        <v>81</v>
      </c>
      <c r="B3461" s="197" t="s">
        <v>21</v>
      </c>
      <c r="C3461" s="198" t="s">
        <v>530</v>
      </c>
      <c r="D3461" s="197" t="s">
        <v>531</v>
      </c>
      <c r="E3461" s="199">
        <v>8.0</v>
      </c>
      <c r="F3461" s="200">
        <v>45853.45833333333</v>
      </c>
      <c r="G3461" s="197" t="s">
        <v>845</v>
      </c>
      <c r="H3461" s="197" t="s">
        <v>874</v>
      </c>
    </row>
    <row r="3462" ht="15.75" customHeight="1">
      <c r="A3462" s="197" t="s">
        <v>81</v>
      </c>
      <c r="B3462" s="197" t="s">
        <v>21</v>
      </c>
      <c r="C3462" s="198" t="s">
        <v>530</v>
      </c>
      <c r="D3462" s="197" t="s">
        <v>531</v>
      </c>
      <c r="E3462" s="199">
        <v>9.0</v>
      </c>
      <c r="F3462" s="200">
        <v>45862.45833333333</v>
      </c>
      <c r="G3462" s="197" t="s">
        <v>845</v>
      </c>
      <c r="H3462" s="197" t="s">
        <v>874</v>
      </c>
    </row>
    <row r="3463" ht="15.75" customHeight="1">
      <c r="A3463" s="197" t="s">
        <v>81</v>
      </c>
      <c r="B3463" s="197" t="s">
        <v>21</v>
      </c>
      <c r="C3463" s="198" t="s">
        <v>530</v>
      </c>
      <c r="D3463" s="197" t="s">
        <v>531</v>
      </c>
      <c r="E3463" s="199">
        <v>10.0</v>
      </c>
      <c r="F3463" s="200">
        <v>45883.41666666667</v>
      </c>
      <c r="G3463" s="197" t="s">
        <v>845</v>
      </c>
      <c r="H3463" s="197" t="s">
        <v>874</v>
      </c>
    </row>
    <row r="3464" ht="15.75" customHeight="1">
      <c r="A3464" s="197" t="s">
        <v>81</v>
      </c>
      <c r="B3464" s="197" t="s">
        <v>21</v>
      </c>
      <c r="C3464" s="198" t="s">
        <v>621</v>
      </c>
      <c r="D3464" s="197" t="s">
        <v>622</v>
      </c>
      <c r="E3464" s="199">
        <v>1.0</v>
      </c>
      <c r="F3464" s="200">
        <v>45765.41666666667</v>
      </c>
      <c r="G3464" s="197" t="s">
        <v>845</v>
      </c>
      <c r="H3464" s="197" t="s">
        <v>874</v>
      </c>
    </row>
    <row r="3465" ht="15.75" customHeight="1">
      <c r="A3465" s="197" t="s">
        <v>81</v>
      </c>
      <c r="B3465" s="197" t="s">
        <v>21</v>
      </c>
      <c r="C3465" s="198" t="s">
        <v>621</v>
      </c>
      <c r="D3465" s="197" t="s">
        <v>622</v>
      </c>
      <c r="E3465" s="199">
        <v>2.0</v>
      </c>
      <c r="F3465" s="200">
        <v>45768.375</v>
      </c>
      <c r="G3465" s="197" t="s">
        <v>845</v>
      </c>
      <c r="H3465" s="197" t="s">
        <v>874</v>
      </c>
    </row>
    <row r="3466" ht="15.75" customHeight="1">
      <c r="A3466" s="197" t="s">
        <v>81</v>
      </c>
      <c r="B3466" s="197" t="s">
        <v>21</v>
      </c>
      <c r="C3466" s="198" t="s">
        <v>621</v>
      </c>
      <c r="D3466" s="197" t="s">
        <v>622</v>
      </c>
      <c r="E3466" s="199">
        <v>3.0</v>
      </c>
      <c r="F3466" s="200">
        <v>45811.45833333333</v>
      </c>
      <c r="G3466" s="197" t="s">
        <v>845</v>
      </c>
      <c r="H3466" s="197" t="s">
        <v>874</v>
      </c>
    </row>
    <row r="3467" ht="15.75" customHeight="1">
      <c r="A3467" s="197" t="s">
        <v>81</v>
      </c>
      <c r="B3467" s="197" t="s">
        <v>21</v>
      </c>
      <c r="C3467" s="198" t="s">
        <v>621</v>
      </c>
      <c r="D3467" s="197" t="s">
        <v>622</v>
      </c>
      <c r="E3467" s="199">
        <v>4.0</v>
      </c>
      <c r="F3467" s="200">
        <v>45818.45833333333</v>
      </c>
      <c r="G3467" s="197" t="s">
        <v>845</v>
      </c>
      <c r="H3467" s="197" t="s">
        <v>874</v>
      </c>
    </row>
    <row r="3468" ht="15.75" customHeight="1">
      <c r="A3468" s="197" t="s">
        <v>81</v>
      </c>
      <c r="B3468" s="197" t="s">
        <v>21</v>
      </c>
      <c r="C3468" s="198" t="s">
        <v>621</v>
      </c>
      <c r="D3468" s="197" t="s">
        <v>622</v>
      </c>
      <c r="E3468" s="199">
        <v>5.0</v>
      </c>
      <c r="F3468" s="200">
        <v>45833.45833333333</v>
      </c>
      <c r="G3468" s="197" t="s">
        <v>845</v>
      </c>
      <c r="H3468" s="197" t="s">
        <v>874</v>
      </c>
    </row>
    <row r="3469" ht="15.75" customHeight="1">
      <c r="A3469" s="197" t="s">
        <v>81</v>
      </c>
      <c r="B3469" s="197" t="s">
        <v>21</v>
      </c>
      <c r="C3469" s="198" t="s">
        <v>621</v>
      </c>
      <c r="D3469" s="197" t="s">
        <v>622</v>
      </c>
      <c r="E3469" s="199">
        <v>6.0</v>
      </c>
      <c r="F3469" s="200">
        <v>45839.45833333333</v>
      </c>
      <c r="G3469" s="197" t="s">
        <v>845</v>
      </c>
      <c r="H3469" s="197" t="s">
        <v>874</v>
      </c>
    </row>
    <row r="3470" ht="15.75" customHeight="1">
      <c r="A3470" s="197" t="s">
        <v>81</v>
      </c>
      <c r="B3470" s="197" t="s">
        <v>21</v>
      </c>
      <c r="C3470" s="198" t="s">
        <v>621</v>
      </c>
      <c r="D3470" s="197" t="s">
        <v>622</v>
      </c>
      <c r="E3470" s="199">
        <v>7.0</v>
      </c>
      <c r="F3470" s="200">
        <v>45846.54166666667</v>
      </c>
      <c r="G3470" s="197" t="s">
        <v>845</v>
      </c>
      <c r="H3470" s="197" t="s">
        <v>874</v>
      </c>
    </row>
    <row r="3471" ht="15.75" customHeight="1">
      <c r="A3471" s="197" t="s">
        <v>81</v>
      </c>
      <c r="B3471" s="197" t="s">
        <v>21</v>
      </c>
      <c r="C3471" s="198" t="s">
        <v>621</v>
      </c>
      <c r="D3471" s="197" t="s">
        <v>622</v>
      </c>
      <c r="E3471" s="199">
        <v>8.0</v>
      </c>
      <c r="F3471" s="200">
        <v>45853.45833333333</v>
      </c>
      <c r="G3471" s="197" t="s">
        <v>845</v>
      </c>
      <c r="H3471" s="197" t="s">
        <v>874</v>
      </c>
    </row>
    <row r="3472" ht="15.75" customHeight="1">
      <c r="A3472" s="197" t="s">
        <v>81</v>
      </c>
      <c r="B3472" s="197" t="s">
        <v>21</v>
      </c>
      <c r="C3472" s="198" t="s">
        <v>621</v>
      </c>
      <c r="D3472" s="197" t="s">
        <v>622</v>
      </c>
      <c r="E3472" s="199">
        <v>9.0</v>
      </c>
      <c r="F3472" s="200">
        <v>45862.45833333333</v>
      </c>
      <c r="G3472" s="197" t="s">
        <v>845</v>
      </c>
      <c r="H3472" s="197" t="s">
        <v>874</v>
      </c>
    </row>
    <row r="3473" ht="15.75" customHeight="1">
      <c r="A3473" s="197" t="s">
        <v>81</v>
      </c>
      <c r="B3473" s="197" t="s">
        <v>21</v>
      </c>
      <c r="C3473" s="198" t="s">
        <v>621</v>
      </c>
      <c r="D3473" s="197" t="s">
        <v>622</v>
      </c>
      <c r="E3473" s="199">
        <v>10.0</v>
      </c>
      <c r="F3473" s="200">
        <v>45883.41666666667</v>
      </c>
      <c r="G3473" s="197" t="s">
        <v>845</v>
      </c>
      <c r="H3473" s="197" t="s">
        <v>874</v>
      </c>
    </row>
    <row r="3474" ht="15.75" customHeight="1">
      <c r="A3474" s="197" t="s">
        <v>82</v>
      </c>
      <c r="B3474" s="197" t="s">
        <v>21</v>
      </c>
      <c r="C3474" s="198" t="s">
        <v>271</v>
      </c>
      <c r="D3474" s="197" t="s">
        <v>272</v>
      </c>
      <c r="E3474" s="199">
        <v>1.0</v>
      </c>
      <c r="F3474" s="200">
        <v>45765.58333333333</v>
      </c>
      <c r="G3474" s="197" t="s">
        <v>845</v>
      </c>
      <c r="H3474" s="197" t="s">
        <v>875</v>
      </c>
    </row>
    <row r="3475" ht="15.75" customHeight="1">
      <c r="A3475" s="197" t="s">
        <v>82</v>
      </c>
      <c r="B3475" s="197" t="s">
        <v>21</v>
      </c>
      <c r="C3475" s="198" t="s">
        <v>271</v>
      </c>
      <c r="D3475" s="197" t="s">
        <v>272</v>
      </c>
      <c r="E3475" s="199">
        <v>2.0</v>
      </c>
      <c r="F3475" s="200">
        <v>45770.58333333333</v>
      </c>
      <c r="G3475" s="197" t="s">
        <v>845</v>
      </c>
      <c r="H3475" s="197" t="s">
        <v>875</v>
      </c>
    </row>
    <row r="3476" ht="15.75" customHeight="1">
      <c r="A3476" s="197" t="s">
        <v>82</v>
      </c>
      <c r="B3476" s="197" t="s">
        <v>21</v>
      </c>
      <c r="C3476" s="198" t="s">
        <v>271</v>
      </c>
      <c r="D3476" s="197" t="s">
        <v>272</v>
      </c>
      <c r="E3476" s="199">
        <v>3.0</v>
      </c>
      <c r="F3476" s="200">
        <v>45783.54166666667</v>
      </c>
      <c r="G3476" s="197" t="s">
        <v>845</v>
      </c>
      <c r="H3476" s="197" t="s">
        <v>875</v>
      </c>
    </row>
    <row r="3477" ht="15.75" customHeight="1">
      <c r="A3477" s="197" t="s">
        <v>82</v>
      </c>
      <c r="B3477" s="197" t="s">
        <v>21</v>
      </c>
      <c r="C3477" s="198" t="s">
        <v>271</v>
      </c>
      <c r="D3477" s="197" t="s">
        <v>272</v>
      </c>
      <c r="E3477" s="199">
        <v>4.0</v>
      </c>
      <c r="F3477" s="200">
        <v>45791.58333333333</v>
      </c>
      <c r="G3477" s="197" t="s">
        <v>845</v>
      </c>
      <c r="H3477" s="197" t="s">
        <v>875</v>
      </c>
    </row>
    <row r="3478" ht="15.75" customHeight="1">
      <c r="A3478" s="197" t="s">
        <v>82</v>
      </c>
      <c r="B3478" s="197" t="s">
        <v>21</v>
      </c>
      <c r="C3478" s="198" t="s">
        <v>271</v>
      </c>
      <c r="D3478" s="197" t="s">
        <v>272</v>
      </c>
      <c r="E3478" s="199">
        <v>5.0</v>
      </c>
      <c r="F3478" s="200">
        <v>45792.54166666667</v>
      </c>
      <c r="G3478" s="197" t="s">
        <v>845</v>
      </c>
      <c r="H3478" s="197" t="s">
        <v>875</v>
      </c>
    </row>
    <row r="3479" ht="15.75" customHeight="1">
      <c r="A3479" s="197" t="s">
        <v>82</v>
      </c>
      <c r="B3479" s="197" t="s">
        <v>21</v>
      </c>
      <c r="C3479" s="198" t="s">
        <v>271</v>
      </c>
      <c r="D3479" s="197" t="s">
        <v>272</v>
      </c>
      <c r="E3479" s="199">
        <v>6.0</v>
      </c>
      <c r="F3479" s="200">
        <v>45805.58333333333</v>
      </c>
      <c r="G3479" s="197" t="s">
        <v>845</v>
      </c>
      <c r="H3479" s="197" t="s">
        <v>875</v>
      </c>
    </row>
    <row r="3480" ht="15.75" customHeight="1">
      <c r="A3480" s="197" t="s">
        <v>82</v>
      </c>
      <c r="B3480" s="197" t="s">
        <v>21</v>
      </c>
      <c r="C3480" s="198" t="s">
        <v>271</v>
      </c>
      <c r="D3480" s="197" t="s">
        <v>272</v>
      </c>
      <c r="E3480" s="199">
        <v>7.0</v>
      </c>
      <c r="F3480" s="200">
        <v>45811.54166666667</v>
      </c>
      <c r="G3480" s="197" t="s">
        <v>843</v>
      </c>
      <c r="H3480" s="197" t="s">
        <v>875</v>
      </c>
    </row>
    <row r="3481" ht="15.75" customHeight="1">
      <c r="A3481" s="197" t="s">
        <v>82</v>
      </c>
      <c r="B3481" s="197" t="s">
        <v>21</v>
      </c>
      <c r="C3481" s="198" t="s">
        <v>271</v>
      </c>
      <c r="D3481" s="197" t="s">
        <v>272</v>
      </c>
      <c r="E3481" s="199">
        <v>8.0</v>
      </c>
      <c r="F3481" s="200">
        <v>45819.54166666667</v>
      </c>
      <c r="G3481" s="197" t="s">
        <v>845</v>
      </c>
      <c r="H3481" s="197" t="s">
        <v>875</v>
      </c>
    </row>
    <row r="3482" ht="15.75" customHeight="1">
      <c r="A3482" s="197" t="s">
        <v>82</v>
      </c>
      <c r="B3482" s="197" t="s">
        <v>21</v>
      </c>
      <c r="C3482" s="198" t="s">
        <v>271</v>
      </c>
      <c r="D3482" s="197" t="s">
        <v>272</v>
      </c>
      <c r="E3482" s="199">
        <v>9.0</v>
      </c>
      <c r="F3482" s="200">
        <v>45825.54166666667</v>
      </c>
      <c r="G3482" s="197" t="s">
        <v>845</v>
      </c>
      <c r="H3482" s="197" t="s">
        <v>875</v>
      </c>
    </row>
    <row r="3483" ht="15.75" customHeight="1">
      <c r="A3483" s="197" t="s">
        <v>82</v>
      </c>
      <c r="B3483" s="197" t="s">
        <v>21</v>
      </c>
      <c r="C3483" s="198" t="s">
        <v>271</v>
      </c>
      <c r="D3483" s="197" t="s">
        <v>272</v>
      </c>
      <c r="E3483" s="199">
        <v>10.0</v>
      </c>
      <c r="F3483" s="200">
        <v>45853.54166666667</v>
      </c>
      <c r="G3483" s="197" t="s">
        <v>845</v>
      </c>
      <c r="H3483" s="197" t="s">
        <v>875</v>
      </c>
    </row>
    <row r="3484" ht="15.75" customHeight="1">
      <c r="A3484" s="197" t="s">
        <v>82</v>
      </c>
      <c r="B3484" s="197" t="s">
        <v>22</v>
      </c>
      <c r="C3484" s="198" t="s">
        <v>271</v>
      </c>
      <c r="D3484" s="197" t="s">
        <v>272</v>
      </c>
      <c r="E3484" s="199">
        <v>1.0</v>
      </c>
      <c r="F3484" s="200">
        <v>45881.54166666667</v>
      </c>
      <c r="G3484" s="197" t="s">
        <v>845</v>
      </c>
      <c r="H3484" s="197" t="s">
        <v>875</v>
      </c>
    </row>
    <row r="3485" ht="15.75" customHeight="1">
      <c r="A3485" s="197" t="s">
        <v>82</v>
      </c>
      <c r="B3485" s="197" t="s">
        <v>22</v>
      </c>
      <c r="C3485" s="198" t="s">
        <v>271</v>
      </c>
      <c r="D3485" s="197" t="s">
        <v>272</v>
      </c>
      <c r="E3485" s="199">
        <v>2.0</v>
      </c>
      <c r="F3485" s="200">
        <v>45896.54166666667</v>
      </c>
      <c r="G3485" s="197" t="s">
        <v>845</v>
      </c>
      <c r="H3485" s="197" t="s">
        <v>875</v>
      </c>
    </row>
    <row r="3486" ht="15.75" customHeight="1">
      <c r="A3486" s="197" t="s">
        <v>82</v>
      </c>
      <c r="B3486" s="197" t="s">
        <v>22</v>
      </c>
      <c r="C3486" s="198" t="s">
        <v>271</v>
      </c>
      <c r="D3486" s="197" t="s">
        <v>272</v>
      </c>
      <c r="E3486" s="199">
        <v>3.0</v>
      </c>
      <c r="F3486" s="200">
        <v>45909.58333333333</v>
      </c>
      <c r="G3486" s="197" t="s">
        <v>845</v>
      </c>
      <c r="H3486" s="197" t="s">
        <v>875</v>
      </c>
    </row>
    <row r="3487" ht="15.75" customHeight="1">
      <c r="A3487" s="197" t="s">
        <v>82</v>
      </c>
      <c r="B3487" s="197" t="s">
        <v>22</v>
      </c>
      <c r="C3487" s="198" t="s">
        <v>271</v>
      </c>
      <c r="D3487" s="197" t="s">
        <v>272</v>
      </c>
      <c r="E3487" s="199">
        <v>4.0</v>
      </c>
      <c r="F3487" s="200">
        <v>45923.58333333333</v>
      </c>
      <c r="G3487" s="197" t="s">
        <v>845</v>
      </c>
      <c r="H3487" s="197" t="s">
        <v>875</v>
      </c>
    </row>
    <row r="3488" ht="15.75" customHeight="1">
      <c r="A3488" s="197" t="s">
        <v>82</v>
      </c>
      <c r="B3488" s="197" t="s">
        <v>22</v>
      </c>
      <c r="C3488" s="198" t="s">
        <v>271</v>
      </c>
      <c r="D3488" s="197" t="s">
        <v>272</v>
      </c>
      <c r="E3488" s="199">
        <v>5.0</v>
      </c>
      <c r="F3488" s="200">
        <v>45930.58333333333</v>
      </c>
      <c r="G3488" s="197" t="s">
        <v>845</v>
      </c>
      <c r="H3488" s="197" t="s">
        <v>875</v>
      </c>
    </row>
    <row r="3489" ht="15.75" customHeight="1">
      <c r="A3489" s="197" t="s">
        <v>82</v>
      </c>
      <c r="B3489" s="197" t="s">
        <v>22</v>
      </c>
      <c r="C3489" s="198" t="s">
        <v>271</v>
      </c>
      <c r="D3489" s="197" t="s">
        <v>272</v>
      </c>
      <c r="E3489" s="199">
        <v>6.0</v>
      </c>
      <c r="F3489" s="200">
        <v>45937.58333333333</v>
      </c>
      <c r="G3489" s="197" t="s">
        <v>843</v>
      </c>
      <c r="H3489" s="197" t="s">
        <v>875</v>
      </c>
    </row>
    <row r="3490" ht="15.75" customHeight="1">
      <c r="A3490" s="197" t="s">
        <v>82</v>
      </c>
      <c r="B3490" s="197" t="s">
        <v>22</v>
      </c>
      <c r="C3490" s="198" t="s">
        <v>271</v>
      </c>
      <c r="D3490" s="197" t="s">
        <v>272</v>
      </c>
      <c r="E3490" s="199">
        <v>8.0</v>
      </c>
      <c r="F3490" s="200">
        <v>45951.58333333333</v>
      </c>
      <c r="G3490" s="197" t="s">
        <v>843</v>
      </c>
      <c r="H3490" s="197" t="s">
        <v>875</v>
      </c>
    </row>
    <row r="3491" ht="15.75" customHeight="1">
      <c r="A3491" s="197" t="s">
        <v>82</v>
      </c>
      <c r="B3491" s="197" t="s">
        <v>22</v>
      </c>
      <c r="C3491" s="198" t="s">
        <v>271</v>
      </c>
      <c r="D3491" s="197" t="s">
        <v>272</v>
      </c>
      <c r="E3491" s="199">
        <v>9.0</v>
      </c>
      <c r="F3491" s="200">
        <v>45958.58333333333</v>
      </c>
      <c r="G3491" s="197" t="s">
        <v>843</v>
      </c>
      <c r="H3491" s="197" t="s">
        <v>875</v>
      </c>
    </row>
    <row r="3492" ht="15.75" customHeight="1">
      <c r="A3492" s="197" t="s">
        <v>82</v>
      </c>
      <c r="B3492" s="197" t="s">
        <v>22</v>
      </c>
      <c r="C3492" s="198" t="s">
        <v>271</v>
      </c>
      <c r="D3492" s="197" t="s">
        <v>272</v>
      </c>
      <c r="E3492" s="199">
        <v>10.0</v>
      </c>
      <c r="F3492" s="200">
        <v>45966.45833333333</v>
      </c>
      <c r="G3492" s="197" t="s">
        <v>843</v>
      </c>
      <c r="H3492" s="197" t="s">
        <v>875</v>
      </c>
    </row>
    <row r="3493" ht="15.75" customHeight="1">
      <c r="A3493" s="197" t="s">
        <v>82</v>
      </c>
      <c r="B3493" s="197" t="s">
        <v>22</v>
      </c>
      <c r="C3493" s="198" t="s">
        <v>271</v>
      </c>
      <c r="D3493" s="197" t="s">
        <v>272</v>
      </c>
      <c r="E3493" s="199">
        <v>11.0</v>
      </c>
      <c r="F3493" s="200">
        <v>45980.45833333333</v>
      </c>
      <c r="G3493" s="197" t="s">
        <v>843</v>
      </c>
      <c r="H3493" s="197" t="s">
        <v>875</v>
      </c>
    </row>
    <row r="3494" ht="15.75" customHeight="1">
      <c r="A3494" s="197" t="s">
        <v>82</v>
      </c>
      <c r="B3494" s="197" t="s">
        <v>22</v>
      </c>
      <c r="C3494" s="198" t="s">
        <v>271</v>
      </c>
      <c r="D3494" s="197" t="s">
        <v>272</v>
      </c>
      <c r="E3494" s="199">
        <v>12.0</v>
      </c>
      <c r="F3494" s="200">
        <v>45987.58333333333</v>
      </c>
      <c r="G3494" s="197" t="s">
        <v>843</v>
      </c>
      <c r="H3494" s="197" t="s">
        <v>875</v>
      </c>
    </row>
    <row r="3495" ht="15.75" customHeight="1">
      <c r="A3495" s="197" t="s">
        <v>82</v>
      </c>
      <c r="B3495" s="197" t="s">
        <v>22</v>
      </c>
      <c r="C3495" s="198" t="s">
        <v>271</v>
      </c>
      <c r="D3495" s="197" t="s">
        <v>272</v>
      </c>
      <c r="E3495" s="199">
        <v>13.0</v>
      </c>
      <c r="F3495" s="200">
        <v>45994.41666666667</v>
      </c>
      <c r="G3495" s="197" t="s">
        <v>845</v>
      </c>
      <c r="H3495" s="197" t="s">
        <v>875</v>
      </c>
    </row>
    <row r="3496" ht="15.75" customHeight="1">
      <c r="A3496" s="197" t="s">
        <v>82</v>
      </c>
      <c r="B3496" s="197" t="s">
        <v>22</v>
      </c>
      <c r="C3496" s="198" t="s">
        <v>271</v>
      </c>
      <c r="D3496" s="197" t="s">
        <v>272</v>
      </c>
      <c r="E3496" s="199">
        <v>14.0</v>
      </c>
      <c r="F3496" s="200">
        <v>46006.625</v>
      </c>
      <c r="G3496" s="197" t="s">
        <v>843</v>
      </c>
      <c r="H3496" s="197" t="s">
        <v>875</v>
      </c>
    </row>
    <row r="3497" ht="15.75" customHeight="1">
      <c r="A3497" s="197" t="s">
        <v>82</v>
      </c>
      <c r="B3497" s="197" t="s">
        <v>22</v>
      </c>
      <c r="C3497" s="198" t="s">
        <v>271</v>
      </c>
      <c r="D3497" s="197" t="s">
        <v>272</v>
      </c>
      <c r="E3497" s="199">
        <v>15.0</v>
      </c>
      <c r="F3497" s="200">
        <v>46013.625</v>
      </c>
      <c r="G3497" s="197" t="s">
        <v>843</v>
      </c>
      <c r="H3497" s="197" t="s">
        <v>875</v>
      </c>
    </row>
    <row r="3498" ht="15.75" customHeight="1">
      <c r="A3498" s="197" t="s">
        <v>82</v>
      </c>
      <c r="B3498" s="197" t="s">
        <v>22</v>
      </c>
      <c r="C3498" s="198" t="s">
        <v>271</v>
      </c>
      <c r="D3498" s="197" t="s">
        <v>272</v>
      </c>
      <c r="E3498" s="199">
        <v>16.0</v>
      </c>
      <c r="F3498" s="200">
        <v>46035.41666666667</v>
      </c>
      <c r="G3498" s="197" t="s">
        <v>843</v>
      </c>
      <c r="H3498" s="197" t="s">
        <v>875</v>
      </c>
    </row>
    <row r="3499" ht="15.75" customHeight="1">
      <c r="A3499" s="197" t="s">
        <v>82</v>
      </c>
      <c r="B3499" s="197" t="s">
        <v>21</v>
      </c>
      <c r="C3499" s="198" t="s">
        <v>279</v>
      </c>
      <c r="D3499" s="197" t="s">
        <v>280</v>
      </c>
      <c r="E3499" s="199">
        <v>1.0</v>
      </c>
      <c r="F3499" s="200">
        <v>45765.58333333333</v>
      </c>
      <c r="G3499" s="197" t="s">
        <v>845</v>
      </c>
      <c r="H3499" s="197" t="s">
        <v>875</v>
      </c>
    </row>
    <row r="3500" ht="15.75" customHeight="1">
      <c r="A3500" s="197" t="s">
        <v>82</v>
      </c>
      <c r="B3500" s="197" t="s">
        <v>21</v>
      </c>
      <c r="C3500" s="198" t="s">
        <v>279</v>
      </c>
      <c r="D3500" s="197" t="s">
        <v>280</v>
      </c>
      <c r="E3500" s="199">
        <v>2.0</v>
      </c>
      <c r="F3500" s="200">
        <v>45770.58333333333</v>
      </c>
      <c r="G3500" s="197" t="s">
        <v>845</v>
      </c>
      <c r="H3500" s="197" t="s">
        <v>875</v>
      </c>
    </row>
    <row r="3501" ht="15.75" customHeight="1">
      <c r="A3501" s="197" t="s">
        <v>82</v>
      </c>
      <c r="B3501" s="197" t="s">
        <v>21</v>
      </c>
      <c r="C3501" s="198" t="s">
        <v>279</v>
      </c>
      <c r="D3501" s="197" t="s">
        <v>280</v>
      </c>
      <c r="E3501" s="199">
        <v>3.0</v>
      </c>
      <c r="F3501" s="200">
        <v>45783.54166666667</v>
      </c>
      <c r="G3501" s="197" t="s">
        <v>845</v>
      </c>
      <c r="H3501" s="197" t="s">
        <v>875</v>
      </c>
    </row>
    <row r="3502" ht="15.75" customHeight="1">
      <c r="A3502" s="197" t="s">
        <v>82</v>
      </c>
      <c r="B3502" s="197" t="s">
        <v>21</v>
      </c>
      <c r="C3502" s="198" t="s">
        <v>279</v>
      </c>
      <c r="D3502" s="197" t="s">
        <v>280</v>
      </c>
      <c r="E3502" s="199">
        <v>4.0</v>
      </c>
      <c r="F3502" s="200">
        <v>45791.58333333333</v>
      </c>
      <c r="G3502" s="197" t="s">
        <v>845</v>
      </c>
      <c r="H3502" s="197" t="s">
        <v>875</v>
      </c>
    </row>
    <row r="3503" ht="15.75" customHeight="1">
      <c r="A3503" s="197" t="s">
        <v>82</v>
      </c>
      <c r="B3503" s="197" t="s">
        <v>21</v>
      </c>
      <c r="C3503" s="198" t="s">
        <v>279</v>
      </c>
      <c r="D3503" s="197" t="s">
        <v>280</v>
      </c>
      <c r="E3503" s="199">
        <v>5.0</v>
      </c>
      <c r="F3503" s="200">
        <v>45792.54166666667</v>
      </c>
      <c r="G3503" s="197" t="s">
        <v>845</v>
      </c>
      <c r="H3503" s="197" t="s">
        <v>875</v>
      </c>
    </row>
    <row r="3504" ht="15.75" customHeight="1">
      <c r="A3504" s="197" t="s">
        <v>82</v>
      </c>
      <c r="B3504" s="197" t="s">
        <v>21</v>
      </c>
      <c r="C3504" s="198" t="s">
        <v>279</v>
      </c>
      <c r="D3504" s="197" t="s">
        <v>280</v>
      </c>
      <c r="E3504" s="199">
        <v>6.0</v>
      </c>
      <c r="F3504" s="200">
        <v>45805.58333333333</v>
      </c>
      <c r="G3504" s="197" t="s">
        <v>845</v>
      </c>
      <c r="H3504" s="197" t="s">
        <v>875</v>
      </c>
    </row>
    <row r="3505" ht="15.75" customHeight="1">
      <c r="A3505" s="197" t="s">
        <v>82</v>
      </c>
      <c r="B3505" s="197" t="s">
        <v>21</v>
      </c>
      <c r="C3505" s="198" t="s">
        <v>279</v>
      </c>
      <c r="D3505" s="197" t="s">
        <v>280</v>
      </c>
      <c r="E3505" s="199">
        <v>7.0</v>
      </c>
      <c r="F3505" s="200">
        <v>45811.54166666667</v>
      </c>
      <c r="G3505" s="197" t="s">
        <v>845</v>
      </c>
      <c r="H3505" s="197" t="s">
        <v>875</v>
      </c>
    </row>
    <row r="3506" ht="15.75" customHeight="1">
      <c r="A3506" s="197" t="s">
        <v>82</v>
      </c>
      <c r="B3506" s="197" t="s">
        <v>21</v>
      </c>
      <c r="C3506" s="198" t="s">
        <v>279</v>
      </c>
      <c r="D3506" s="197" t="s">
        <v>280</v>
      </c>
      <c r="E3506" s="199">
        <v>8.0</v>
      </c>
      <c r="F3506" s="200">
        <v>45819.54166666667</v>
      </c>
      <c r="G3506" s="197" t="s">
        <v>845</v>
      </c>
      <c r="H3506" s="197" t="s">
        <v>875</v>
      </c>
    </row>
    <row r="3507" ht="15.75" customHeight="1">
      <c r="A3507" s="197" t="s">
        <v>82</v>
      </c>
      <c r="B3507" s="197" t="s">
        <v>21</v>
      </c>
      <c r="C3507" s="198" t="s">
        <v>279</v>
      </c>
      <c r="D3507" s="197" t="s">
        <v>280</v>
      </c>
      <c r="E3507" s="199">
        <v>9.0</v>
      </c>
      <c r="F3507" s="200">
        <v>45825.54166666667</v>
      </c>
      <c r="G3507" s="197" t="s">
        <v>845</v>
      </c>
      <c r="H3507" s="197" t="s">
        <v>875</v>
      </c>
    </row>
    <row r="3508" ht="15.75" customHeight="1">
      <c r="A3508" s="197" t="s">
        <v>82</v>
      </c>
      <c r="B3508" s="197" t="s">
        <v>21</v>
      </c>
      <c r="C3508" s="198" t="s">
        <v>279</v>
      </c>
      <c r="D3508" s="197" t="s">
        <v>280</v>
      </c>
      <c r="E3508" s="199">
        <v>10.0</v>
      </c>
      <c r="F3508" s="200">
        <v>45853.54166666667</v>
      </c>
      <c r="G3508" s="197" t="s">
        <v>845</v>
      </c>
      <c r="H3508" s="197" t="s">
        <v>875</v>
      </c>
    </row>
    <row r="3509" ht="15.75" customHeight="1">
      <c r="A3509" s="197" t="s">
        <v>82</v>
      </c>
      <c r="B3509" s="197" t="s">
        <v>22</v>
      </c>
      <c r="C3509" s="198" t="s">
        <v>279</v>
      </c>
      <c r="D3509" s="197" t="s">
        <v>280</v>
      </c>
      <c r="E3509" s="199">
        <v>1.0</v>
      </c>
      <c r="F3509" s="200">
        <v>45881.54166666667</v>
      </c>
      <c r="G3509" s="197" t="s">
        <v>845</v>
      </c>
      <c r="H3509" s="197" t="s">
        <v>875</v>
      </c>
    </row>
    <row r="3510" ht="15.75" customHeight="1">
      <c r="A3510" s="197" t="s">
        <v>82</v>
      </c>
      <c r="B3510" s="197" t="s">
        <v>22</v>
      </c>
      <c r="C3510" s="198" t="s">
        <v>279</v>
      </c>
      <c r="D3510" s="197" t="s">
        <v>280</v>
      </c>
      <c r="E3510" s="199">
        <v>2.0</v>
      </c>
      <c r="F3510" s="200">
        <v>45896.54166666667</v>
      </c>
      <c r="G3510" s="197" t="s">
        <v>845</v>
      </c>
      <c r="H3510" s="197" t="s">
        <v>875</v>
      </c>
    </row>
    <row r="3511" ht="15.75" customHeight="1">
      <c r="A3511" s="197" t="s">
        <v>82</v>
      </c>
      <c r="B3511" s="197" t="s">
        <v>22</v>
      </c>
      <c r="C3511" s="198" t="s">
        <v>279</v>
      </c>
      <c r="D3511" s="197" t="s">
        <v>280</v>
      </c>
      <c r="E3511" s="199">
        <v>3.0</v>
      </c>
      <c r="F3511" s="200">
        <v>45909.58333333333</v>
      </c>
      <c r="G3511" s="197" t="s">
        <v>845</v>
      </c>
      <c r="H3511" s="197" t="s">
        <v>875</v>
      </c>
    </row>
    <row r="3512" ht="15.75" customHeight="1">
      <c r="A3512" s="197" t="s">
        <v>82</v>
      </c>
      <c r="B3512" s="197" t="s">
        <v>22</v>
      </c>
      <c r="C3512" s="198" t="s">
        <v>279</v>
      </c>
      <c r="D3512" s="197" t="s">
        <v>280</v>
      </c>
      <c r="E3512" s="199">
        <v>4.0</v>
      </c>
      <c r="F3512" s="200">
        <v>45923.58333333333</v>
      </c>
      <c r="G3512" s="197" t="s">
        <v>845</v>
      </c>
      <c r="H3512" s="197" t="s">
        <v>875</v>
      </c>
    </row>
    <row r="3513" ht="15.75" customHeight="1">
      <c r="A3513" s="197" t="s">
        <v>82</v>
      </c>
      <c r="B3513" s="197" t="s">
        <v>22</v>
      </c>
      <c r="C3513" s="198" t="s">
        <v>279</v>
      </c>
      <c r="D3513" s="197" t="s">
        <v>280</v>
      </c>
      <c r="E3513" s="199">
        <v>5.0</v>
      </c>
      <c r="F3513" s="200">
        <v>45930.58333333333</v>
      </c>
      <c r="G3513" s="197" t="s">
        <v>845</v>
      </c>
      <c r="H3513" s="197" t="s">
        <v>875</v>
      </c>
    </row>
    <row r="3514" ht="15.75" customHeight="1">
      <c r="A3514" s="197" t="s">
        <v>82</v>
      </c>
      <c r="B3514" s="197" t="s">
        <v>22</v>
      </c>
      <c r="C3514" s="198" t="s">
        <v>279</v>
      </c>
      <c r="D3514" s="197" t="s">
        <v>280</v>
      </c>
      <c r="E3514" s="199">
        <v>6.0</v>
      </c>
      <c r="F3514" s="200">
        <v>45937.58333333333</v>
      </c>
      <c r="G3514" s="197" t="s">
        <v>845</v>
      </c>
      <c r="H3514" s="197" t="s">
        <v>875</v>
      </c>
    </row>
    <row r="3515" ht="15.75" customHeight="1">
      <c r="A3515" s="197" t="s">
        <v>82</v>
      </c>
      <c r="B3515" s="197" t="s">
        <v>22</v>
      </c>
      <c r="C3515" s="198" t="s">
        <v>279</v>
      </c>
      <c r="D3515" s="197" t="s">
        <v>280</v>
      </c>
      <c r="E3515" s="199">
        <v>8.0</v>
      </c>
      <c r="F3515" s="200">
        <v>45951.58333333333</v>
      </c>
      <c r="G3515" s="197" t="s">
        <v>843</v>
      </c>
      <c r="H3515" s="197" t="s">
        <v>875</v>
      </c>
    </row>
    <row r="3516" ht="15.75" customHeight="1">
      <c r="A3516" s="197" t="s">
        <v>82</v>
      </c>
      <c r="B3516" s="197" t="s">
        <v>22</v>
      </c>
      <c r="C3516" s="198" t="s">
        <v>279</v>
      </c>
      <c r="D3516" s="197" t="s">
        <v>280</v>
      </c>
      <c r="E3516" s="199">
        <v>9.0</v>
      </c>
      <c r="F3516" s="200">
        <v>45958.58333333333</v>
      </c>
      <c r="G3516" s="197" t="s">
        <v>845</v>
      </c>
      <c r="H3516" s="197" t="s">
        <v>875</v>
      </c>
    </row>
    <row r="3517" ht="15.75" customHeight="1">
      <c r="A3517" s="197" t="s">
        <v>82</v>
      </c>
      <c r="B3517" s="197" t="s">
        <v>22</v>
      </c>
      <c r="C3517" s="198" t="s">
        <v>279</v>
      </c>
      <c r="D3517" s="197" t="s">
        <v>280</v>
      </c>
      <c r="E3517" s="199">
        <v>10.0</v>
      </c>
      <c r="F3517" s="200">
        <v>45966.45833333333</v>
      </c>
      <c r="G3517" s="197" t="s">
        <v>845</v>
      </c>
      <c r="H3517" s="197" t="s">
        <v>875</v>
      </c>
    </row>
    <row r="3518" ht="15.75" customHeight="1">
      <c r="A3518" s="197" t="s">
        <v>82</v>
      </c>
      <c r="B3518" s="197" t="s">
        <v>21</v>
      </c>
      <c r="C3518" s="198" t="s">
        <v>300</v>
      </c>
      <c r="D3518" s="197" t="s">
        <v>301</v>
      </c>
      <c r="E3518" s="199">
        <v>1.0</v>
      </c>
      <c r="F3518" s="200">
        <v>45765.58333333333</v>
      </c>
      <c r="G3518" s="197" t="s">
        <v>845</v>
      </c>
      <c r="H3518" s="197" t="s">
        <v>875</v>
      </c>
    </row>
    <row r="3519" ht="15.75" customHeight="1">
      <c r="A3519" s="197" t="s">
        <v>82</v>
      </c>
      <c r="B3519" s="197" t="s">
        <v>21</v>
      </c>
      <c r="C3519" s="198" t="s">
        <v>300</v>
      </c>
      <c r="D3519" s="197" t="s">
        <v>301</v>
      </c>
      <c r="E3519" s="199">
        <v>2.0</v>
      </c>
      <c r="F3519" s="200">
        <v>45770.58333333333</v>
      </c>
      <c r="G3519" s="197" t="s">
        <v>845</v>
      </c>
      <c r="H3519" s="197" t="s">
        <v>875</v>
      </c>
    </row>
    <row r="3520" ht="15.75" customHeight="1">
      <c r="A3520" s="197" t="s">
        <v>82</v>
      </c>
      <c r="B3520" s="197" t="s">
        <v>21</v>
      </c>
      <c r="C3520" s="198" t="s">
        <v>300</v>
      </c>
      <c r="D3520" s="197" t="s">
        <v>301</v>
      </c>
      <c r="E3520" s="199">
        <v>3.0</v>
      </c>
      <c r="F3520" s="200">
        <v>45783.54166666667</v>
      </c>
      <c r="G3520" s="197" t="s">
        <v>845</v>
      </c>
      <c r="H3520" s="197" t="s">
        <v>875</v>
      </c>
    </row>
    <row r="3521" ht="15.75" customHeight="1">
      <c r="A3521" s="197" t="s">
        <v>82</v>
      </c>
      <c r="B3521" s="197" t="s">
        <v>21</v>
      </c>
      <c r="C3521" s="198" t="s">
        <v>300</v>
      </c>
      <c r="D3521" s="197" t="s">
        <v>301</v>
      </c>
      <c r="E3521" s="199">
        <v>4.0</v>
      </c>
      <c r="F3521" s="200">
        <v>45791.58333333333</v>
      </c>
      <c r="G3521" s="197" t="s">
        <v>845</v>
      </c>
      <c r="H3521" s="197" t="s">
        <v>875</v>
      </c>
    </row>
    <row r="3522" ht="15.75" customHeight="1">
      <c r="A3522" s="197" t="s">
        <v>82</v>
      </c>
      <c r="B3522" s="197" t="s">
        <v>21</v>
      </c>
      <c r="C3522" s="198" t="s">
        <v>300</v>
      </c>
      <c r="D3522" s="197" t="s">
        <v>301</v>
      </c>
      <c r="E3522" s="199">
        <v>5.0</v>
      </c>
      <c r="F3522" s="200">
        <v>45792.54166666667</v>
      </c>
      <c r="G3522" s="197" t="s">
        <v>845</v>
      </c>
      <c r="H3522" s="197" t="s">
        <v>875</v>
      </c>
    </row>
    <row r="3523" ht="15.75" customHeight="1">
      <c r="A3523" s="197" t="s">
        <v>82</v>
      </c>
      <c r="B3523" s="197" t="s">
        <v>21</v>
      </c>
      <c r="C3523" s="198" t="s">
        <v>300</v>
      </c>
      <c r="D3523" s="197" t="s">
        <v>301</v>
      </c>
      <c r="E3523" s="199">
        <v>6.0</v>
      </c>
      <c r="F3523" s="200">
        <v>45805.58333333333</v>
      </c>
      <c r="G3523" s="197" t="s">
        <v>845</v>
      </c>
      <c r="H3523" s="197" t="s">
        <v>875</v>
      </c>
    </row>
    <row r="3524" ht="15.75" customHeight="1">
      <c r="A3524" s="197" t="s">
        <v>82</v>
      </c>
      <c r="B3524" s="197" t="s">
        <v>21</v>
      </c>
      <c r="C3524" s="198" t="s">
        <v>300</v>
      </c>
      <c r="D3524" s="197" t="s">
        <v>301</v>
      </c>
      <c r="E3524" s="199">
        <v>7.0</v>
      </c>
      <c r="F3524" s="200">
        <v>45811.54166666667</v>
      </c>
      <c r="G3524" s="197" t="s">
        <v>845</v>
      </c>
      <c r="H3524" s="197" t="s">
        <v>875</v>
      </c>
    </row>
    <row r="3525" ht="15.75" customHeight="1">
      <c r="A3525" s="197" t="s">
        <v>82</v>
      </c>
      <c r="B3525" s="197" t="s">
        <v>21</v>
      </c>
      <c r="C3525" s="198" t="s">
        <v>300</v>
      </c>
      <c r="D3525" s="197" t="s">
        <v>301</v>
      </c>
      <c r="E3525" s="199">
        <v>8.0</v>
      </c>
      <c r="F3525" s="200">
        <v>45819.54166666667</v>
      </c>
      <c r="G3525" s="197" t="s">
        <v>845</v>
      </c>
      <c r="H3525" s="197" t="s">
        <v>875</v>
      </c>
    </row>
    <row r="3526" ht="15.75" customHeight="1">
      <c r="A3526" s="197" t="s">
        <v>82</v>
      </c>
      <c r="B3526" s="197" t="s">
        <v>21</v>
      </c>
      <c r="C3526" s="198" t="s">
        <v>300</v>
      </c>
      <c r="D3526" s="197" t="s">
        <v>301</v>
      </c>
      <c r="E3526" s="199">
        <v>9.0</v>
      </c>
      <c r="F3526" s="200">
        <v>45825.54166666667</v>
      </c>
      <c r="G3526" s="197" t="s">
        <v>845</v>
      </c>
      <c r="H3526" s="197" t="s">
        <v>875</v>
      </c>
    </row>
    <row r="3527" ht="15.75" customHeight="1">
      <c r="A3527" s="197" t="s">
        <v>82</v>
      </c>
      <c r="B3527" s="197" t="s">
        <v>21</v>
      </c>
      <c r="C3527" s="198" t="s">
        <v>300</v>
      </c>
      <c r="D3527" s="197" t="s">
        <v>301</v>
      </c>
      <c r="E3527" s="199">
        <v>10.0</v>
      </c>
      <c r="F3527" s="200">
        <v>45853.54166666667</v>
      </c>
      <c r="G3527" s="197" t="s">
        <v>845</v>
      </c>
      <c r="H3527" s="197" t="s">
        <v>875</v>
      </c>
    </row>
    <row r="3528" ht="15.75" customHeight="1">
      <c r="A3528" s="197" t="s">
        <v>82</v>
      </c>
      <c r="B3528" s="197" t="s">
        <v>22</v>
      </c>
      <c r="C3528" s="198" t="s">
        <v>300</v>
      </c>
      <c r="D3528" s="197" t="s">
        <v>301</v>
      </c>
      <c r="E3528" s="199">
        <v>1.0</v>
      </c>
      <c r="F3528" s="200">
        <v>45881.54166666667</v>
      </c>
      <c r="G3528" s="197" t="s">
        <v>845</v>
      </c>
      <c r="H3528" s="197" t="s">
        <v>875</v>
      </c>
    </row>
    <row r="3529" ht="15.75" customHeight="1">
      <c r="A3529" s="197" t="s">
        <v>82</v>
      </c>
      <c r="B3529" s="197" t="s">
        <v>22</v>
      </c>
      <c r="C3529" s="198" t="s">
        <v>300</v>
      </c>
      <c r="D3529" s="197" t="s">
        <v>301</v>
      </c>
      <c r="E3529" s="199">
        <v>2.0</v>
      </c>
      <c r="F3529" s="200">
        <v>45896.54166666667</v>
      </c>
      <c r="G3529" s="197" t="s">
        <v>845</v>
      </c>
      <c r="H3529" s="197" t="s">
        <v>875</v>
      </c>
    </row>
    <row r="3530" ht="15.75" customHeight="1">
      <c r="A3530" s="197" t="s">
        <v>82</v>
      </c>
      <c r="B3530" s="197" t="s">
        <v>22</v>
      </c>
      <c r="C3530" s="198" t="s">
        <v>300</v>
      </c>
      <c r="D3530" s="197" t="s">
        <v>301</v>
      </c>
      <c r="E3530" s="199">
        <v>3.0</v>
      </c>
      <c r="F3530" s="200">
        <v>45909.58333333333</v>
      </c>
      <c r="G3530" s="197" t="s">
        <v>845</v>
      </c>
      <c r="H3530" s="197" t="s">
        <v>875</v>
      </c>
    </row>
    <row r="3531" ht="15.75" customHeight="1">
      <c r="A3531" s="197" t="s">
        <v>82</v>
      </c>
      <c r="B3531" s="197" t="s">
        <v>22</v>
      </c>
      <c r="C3531" s="198" t="s">
        <v>300</v>
      </c>
      <c r="D3531" s="197" t="s">
        <v>301</v>
      </c>
      <c r="E3531" s="199">
        <v>4.0</v>
      </c>
      <c r="F3531" s="200">
        <v>45923.58333333333</v>
      </c>
      <c r="G3531" s="197" t="s">
        <v>845</v>
      </c>
      <c r="H3531" s="197" t="s">
        <v>875</v>
      </c>
    </row>
    <row r="3532" ht="15.75" customHeight="1">
      <c r="A3532" s="197" t="s">
        <v>82</v>
      </c>
      <c r="B3532" s="197" t="s">
        <v>22</v>
      </c>
      <c r="C3532" s="198" t="s">
        <v>300</v>
      </c>
      <c r="D3532" s="197" t="s">
        <v>301</v>
      </c>
      <c r="E3532" s="199">
        <v>5.0</v>
      </c>
      <c r="F3532" s="200">
        <v>45930.58333333333</v>
      </c>
      <c r="G3532" s="197" t="s">
        <v>845</v>
      </c>
      <c r="H3532" s="197" t="s">
        <v>875</v>
      </c>
    </row>
    <row r="3533" ht="15.75" customHeight="1">
      <c r="A3533" s="197" t="s">
        <v>82</v>
      </c>
      <c r="B3533" s="197" t="s">
        <v>22</v>
      </c>
      <c r="C3533" s="198" t="s">
        <v>300</v>
      </c>
      <c r="D3533" s="197" t="s">
        <v>301</v>
      </c>
      <c r="E3533" s="199">
        <v>6.0</v>
      </c>
      <c r="F3533" s="200">
        <v>45937.58333333333</v>
      </c>
      <c r="G3533" s="197" t="s">
        <v>845</v>
      </c>
      <c r="H3533" s="197" t="s">
        <v>875</v>
      </c>
    </row>
    <row r="3534" ht="15.75" customHeight="1">
      <c r="A3534" s="197" t="s">
        <v>82</v>
      </c>
      <c r="B3534" s="197" t="s">
        <v>22</v>
      </c>
      <c r="C3534" s="198" t="s">
        <v>300</v>
      </c>
      <c r="D3534" s="197" t="s">
        <v>301</v>
      </c>
      <c r="E3534" s="199">
        <v>8.0</v>
      </c>
      <c r="F3534" s="200">
        <v>45951.58333333333</v>
      </c>
      <c r="G3534" s="197" t="s">
        <v>845</v>
      </c>
      <c r="H3534" s="197" t="s">
        <v>875</v>
      </c>
    </row>
    <row r="3535" ht="15.75" customHeight="1">
      <c r="A3535" s="197" t="s">
        <v>82</v>
      </c>
      <c r="B3535" s="197" t="s">
        <v>22</v>
      </c>
      <c r="C3535" s="198" t="s">
        <v>300</v>
      </c>
      <c r="D3535" s="197" t="s">
        <v>301</v>
      </c>
      <c r="E3535" s="199">
        <v>9.0</v>
      </c>
      <c r="F3535" s="200">
        <v>45958.58333333333</v>
      </c>
      <c r="G3535" s="197" t="s">
        <v>845</v>
      </c>
      <c r="H3535" s="197" t="s">
        <v>875</v>
      </c>
    </row>
    <row r="3536" ht="15.75" customHeight="1">
      <c r="A3536" s="197" t="s">
        <v>82</v>
      </c>
      <c r="B3536" s="197" t="s">
        <v>22</v>
      </c>
      <c r="C3536" s="198" t="s">
        <v>300</v>
      </c>
      <c r="D3536" s="197" t="s">
        <v>301</v>
      </c>
      <c r="E3536" s="199">
        <v>10.0</v>
      </c>
      <c r="F3536" s="200">
        <v>45966.45833333333</v>
      </c>
      <c r="G3536" s="197" t="s">
        <v>845</v>
      </c>
      <c r="H3536" s="197" t="s">
        <v>875</v>
      </c>
    </row>
    <row r="3537" ht="15.75" customHeight="1">
      <c r="A3537" s="197" t="s">
        <v>82</v>
      </c>
      <c r="B3537" s="197" t="s">
        <v>22</v>
      </c>
      <c r="C3537" s="198" t="s">
        <v>300</v>
      </c>
      <c r="D3537" s="197" t="s">
        <v>301</v>
      </c>
      <c r="E3537" s="199">
        <v>11.0</v>
      </c>
      <c r="F3537" s="200">
        <v>45980.45833333333</v>
      </c>
      <c r="G3537" s="197" t="s">
        <v>843</v>
      </c>
      <c r="H3537" s="197" t="s">
        <v>875</v>
      </c>
    </row>
    <row r="3538" ht="15.75" customHeight="1">
      <c r="A3538" s="197" t="s">
        <v>82</v>
      </c>
      <c r="B3538" s="197" t="s">
        <v>22</v>
      </c>
      <c r="C3538" s="198" t="s">
        <v>300</v>
      </c>
      <c r="D3538" s="197" t="s">
        <v>301</v>
      </c>
      <c r="E3538" s="199">
        <v>12.0</v>
      </c>
      <c r="F3538" s="200">
        <v>45987.58333333333</v>
      </c>
      <c r="G3538" s="197" t="s">
        <v>845</v>
      </c>
      <c r="H3538" s="197" t="s">
        <v>875</v>
      </c>
    </row>
    <row r="3539" ht="15.75" customHeight="1">
      <c r="A3539" s="197" t="s">
        <v>82</v>
      </c>
      <c r="B3539" s="197" t="s">
        <v>22</v>
      </c>
      <c r="C3539" s="198" t="s">
        <v>300</v>
      </c>
      <c r="D3539" s="197" t="s">
        <v>301</v>
      </c>
      <c r="E3539" s="199">
        <v>13.0</v>
      </c>
      <c r="F3539" s="200">
        <v>45994.41666666667</v>
      </c>
      <c r="G3539" s="197" t="s">
        <v>845</v>
      </c>
      <c r="H3539" s="197" t="s">
        <v>875</v>
      </c>
    </row>
    <row r="3540" ht="15.75" customHeight="1">
      <c r="A3540" s="197" t="s">
        <v>82</v>
      </c>
      <c r="B3540" s="197" t="s">
        <v>22</v>
      </c>
      <c r="C3540" s="198" t="s">
        <v>300</v>
      </c>
      <c r="D3540" s="197" t="s">
        <v>301</v>
      </c>
      <c r="E3540" s="199">
        <v>14.0</v>
      </c>
      <c r="F3540" s="200">
        <v>46006.625</v>
      </c>
      <c r="G3540" s="197" t="s">
        <v>843</v>
      </c>
      <c r="H3540" s="197" t="s">
        <v>875</v>
      </c>
    </row>
    <row r="3541" ht="15.75" customHeight="1">
      <c r="A3541" s="197" t="s">
        <v>82</v>
      </c>
      <c r="B3541" s="197" t="s">
        <v>22</v>
      </c>
      <c r="C3541" s="198" t="s">
        <v>300</v>
      </c>
      <c r="D3541" s="197" t="s">
        <v>301</v>
      </c>
      <c r="E3541" s="199">
        <v>15.0</v>
      </c>
      <c r="F3541" s="200">
        <v>46013.625</v>
      </c>
      <c r="G3541" s="197" t="s">
        <v>845</v>
      </c>
      <c r="H3541" s="197" t="s">
        <v>875</v>
      </c>
    </row>
    <row r="3542" ht="15.75" customHeight="1">
      <c r="A3542" s="197" t="s">
        <v>82</v>
      </c>
      <c r="B3542" s="197" t="s">
        <v>22</v>
      </c>
      <c r="C3542" s="198" t="s">
        <v>300</v>
      </c>
      <c r="D3542" s="197" t="s">
        <v>301</v>
      </c>
      <c r="E3542" s="199">
        <v>16.0</v>
      </c>
      <c r="F3542" s="200">
        <v>46035.41666666667</v>
      </c>
      <c r="G3542" s="197" t="s">
        <v>845</v>
      </c>
      <c r="H3542" s="197" t="s">
        <v>875</v>
      </c>
    </row>
    <row r="3543" ht="15.75" customHeight="1">
      <c r="A3543" s="197" t="s">
        <v>82</v>
      </c>
      <c r="B3543" s="197" t="s">
        <v>22</v>
      </c>
      <c r="C3543" s="198" t="s">
        <v>309</v>
      </c>
      <c r="D3543" s="197" t="s">
        <v>310</v>
      </c>
      <c r="E3543" s="199">
        <v>1.0</v>
      </c>
      <c r="F3543" s="200">
        <v>45881.54166666667</v>
      </c>
      <c r="G3543" s="197" t="s">
        <v>845</v>
      </c>
      <c r="H3543" s="197" t="s">
        <v>875</v>
      </c>
    </row>
    <row r="3544" ht="15.75" customHeight="1">
      <c r="A3544" s="197" t="s">
        <v>82</v>
      </c>
      <c r="B3544" s="197" t="s">
        <v>22</v>
      </c>
      <c r="C3544" s="198" t="s">
        <v>309</v>
      </c>
      <c r="D3544" s="197" t="s">
        <v>310</v>
      </c>
      <c r="E3544" s="199">
        <v>2.0</v>
      </c>
      <c r="F3544" s="200">
        <v>45896.54166666667</v>
      </c>
      <c r="G3544" s="197" t="s">
        <v>845</v>
      </c>
      <c r="H3544" s="197" t="s">
        <v>875</v>
      </c>
    </row>
    <row r="3545" ht="15.75" customHeight="1">
      <c r="A3545" s="197" t="s">
        <v>82</v>
      </c>
      <c r="B3545" s="197" t="s">
        <v>22</v>
      </c>
      <c r="C3545" s="198" t="s">
        <v>309</v>
      </c>
      <c r="D3545" s="197" t="s">
        <v>310</v>
      </c>
      <c r="E3545" s="199">
        <v>3.0</v>
      </c>
      <c r="F3545" s="200">
        <v>45909.58333333333</v>
      </c>
      <c r="G3545" s="197" t="s">
        <v>845</v>
      </c>
      <c r="H3545" s="197" t="s">
        <v>875</v>
      </c>
    </row>
    <row r="3546" ht="15.75" customHeight="1">
      <c r="A3546" s="197" t="s">
        <v>82</v>
      </c>
      <c r="B3546" s="197" t="s">
        <v>22</v>
      </c>
      <c r="C3546" s="198" t="s">
        <v>309</v>
      </c>
      <c r="D3546" s="197" t="s">
        <v>310</v>
      </c>
      <c r="E3546" s="199">
        <v>4.0</v>
      </c>
      <c r="F3546" s="200">
        <v>45923.58333333333</v>
      </c>
      <c r="G3546" s="197" t="s">
        <v>845</v>
      </c>
      <c r="H3546" s="197" t="s">
        <v>875</v>
      </c>
    </row>
    <row r="3547" ht="15.75" customHeight="1">
      <c r="A3547" s="197" t="s">
        <v>82</v>
      </c>
      <c r="B3547" s="197" t="s">
        <v>22</v>
      </c>
      <c r="C3547" s="198" t="s">
        <v>309</v>
      </c>
      <c r="D3547" s="197" t="s">
        <v>310</v>
      </c>
      <c r="E3547" s="199">
        <v>5.0</v>
      </c>
      <c r="F3547" s="200">
        <v>45930.58333333333</v>
      </c>
      <c r="G3547" s="197" t="s">
        <v>845</v>
      </c>
      <c r="H3547" s="197" t="s">
        <v>875</v>
      </c>
    </row>
    <row r="3548" ht="15.75" customHeight="1">
      <c r="A3548" s="197" t="s">
        <v>82</v>
      </c>
      <c r="B3548" s="197" t="s">
        <v>22</v>
      </c>
      <c r="C3548" s="198" t="s">
        <v>309</v>
      </c>
      <c r="D3548" s="197" t="s">
        <v>310</v>
      </c>
      <c r="E3548" s="199">
        <v>6.0</v>
      </c>
      <c r="F3548" s="200">
        <v>45937.58333333333</v>
      </c>
      <c r="G3548" s="197" t="s">
        <v>845</v>
      </c>
      <c r="H3548" s="197" t="s">
        <v>875</v>
      </c>
    </row>
    <row r="3549" ht="15.75" customHeight="1">
      <c r="A3549" s="197" t="s">
        <v>82</v>
      </c>
      <c r="B3549" s="197" t="s">
        <v>22</v>
      </c>
      <c r="C3549" s="198" t="s">
        <v>309</v>
      </c>
      <c r="D3549" s="197" t="s">
        <v>310</v>
      </c>
      <c r="E3549" s="199">
        <v>8.0</v>
      </c>
      <c r="F3549" s="200">
        <v>45951.58333333333</v>
      </c>
      <c r="G3549" s="197" t="s">
        <v>845</v>
      </c>
      <c r="H3549" s="197" t="s">
        <v>875</v>
      </c>
    </row>
    <row r="3550" ht="15.75" customHeight="1">
      <c r="A3550" s="197" t="s">
        <v>82</v>
      </c>
      <c r="B3550" s="197" t="s">
        <v>22</v>
      </c>
      <c r="C3550" s="198" t="s">
        <v>309</v>
      </c>
      <c r="D3550" s="197" t="s">
        <v>310</v>
      </c>
      <c r="E3550" s="199">
        <v>9.0</v>
      </c>
      <c r="F3550" s="200">
        <v>45958.58333333333</v>
      </c>
      <c r="G3550" s="197" t="s">
        <v>845</v>
      </c>
      <c r="H3550" s="197" t="s">
        <v>875</v>
      </c>
    </row>
    <row r="3551" ht="15.75" customHeight="1">
      <c r="A3551" s="197" t="s">
        <v>82</v>
      </c>
      <c r="B3551" s="197" t="s">
        <v>22</v>
      </c>
      <c r="C3551" s="198" t="s">
        <v>309</v>
      </c>
      <c r="D3551" s="197" t="s">
        <v>310</v>
      </c>
      <c r="E3551" s="199">
        <v>10.0</v>
      </c>
      <c r="F3551" s="200">
        <v>45966.45833333333</v>
      </c>
      <c r="G3551" s="197" t="s">
        <v>845</v>
      </c>
      <c r="H3551" s="197" t="s">
        <v>875</v>
      </c>
    </row>
    <row r="3552" ht="15.75" customHeight="1">
      <c r="A3552" s="197" t="s">
        <v>82</v>
      </c>
      <c r="B3552" s="197" t="s">
        <v>22</v>
      </c>
      <c r="C3552" s="198" t="s">
        <v>309</v>
      </c>
      <c r="D3552" s="197" t="s">
        <v>310</v>
      </c>
      <c r="E3552" s="199">
        <v>11.0</v>
      </c>
      <c r="F3552" s="200">
        <v>45980.45833333333</v>
      </c>
      <c r="G3552" s="197" t="s">
        <v>845</v>
      </c>
      <c r="H3552" s="197" t="s">
        <v>875</v>
      </c>
    </row>
    <row r="3553" ht="15.75" customHeight="1">
      <c r="A3553" s="197" t="s">
        <v>82</v>
      </c>
      <c r="B3553" s="197" t="s">
        <v>22</v>
      </c>
      <c r="C3553" s="198" t="s">
        <v>309</v>
      </c>
      <c r="D3553" s="197" t="s">
        <v>310</v>
      </c>
      <c r="E3553" s="199">
        <v>12.0</v>
      </c>
      <c r="F3553" s="200">
        <v>45987.58333333333</v>
      </c>
      <c r="G3553" s="197" t="s">
        <v>843</v>
      </c>
      <c r="H3553" s="197" t="s">
        <v>875</v>
      </c>
    </row>
    <row r="3554" ht="15.75" customHeight="1">
      <c r="A3554" s="197" t="s">
        <v>82</v>
      </c>
      <c r="B3554" s="197" t="s">
        <v>22</v>
      </c>
      <c r="C3554" s="198" t="s">
        <v>309</v>
      </c>
      <c r="D3554" s="197" t="s">
        <v>310</v>
      </c>
      <c r="E3554" s="199">
        <v>13.0</v>
      </c>
      <c r="F3554" s="200">
        <v>45994.41666666667</v>
      </c>
      <c r="G3554" s="197" t="s">
        <v>845</v>
      </c>
      <c r="H3554" s="197" t="s">
        <v>875</v>
      </c>
    </row>
    <row r="3555" ht="15.75" customHeight="1">
      <c r="A3555" s="197" t="s">
        <v>82</v>
      </c>
      <c r="B3555" s="197" t="s">
        <v>22</v>
      </c>
      <c r="C3555" s="198" t="s">
        <v>309</v>
      </c>
      <c r="D3555" s="197" t="s">
        <v>310</v>
      </c>
      <c r="E3555" s="199">
        <v>14.0</v>
      </c>
      <c r="F3555" s="200">
        <v>46006.625</v>
      </c>
      <c r="G3555" s="197" t="s">
        <v>845</v>
      </c>
      <c r="H3555" s="197" t="s">
        <v>875</v>
      </c>
    </row>
    <row r="3556" ht="15.75" customHeight="1">
      <c r="A3556" s="197" t="s">
        <v>82</v>
      </c>
      <c r="B3556" s="197" t="s">
        <v>22</v>
      </c>
      <c r="C3556" s="198" t="s">
        <v>309</v>
      </c>
      <c r="D3556" s="197" t="s">
        <v>310</v>
      </c>
      <c r="E3556" s="199">
        <v>15.0</v>
      </c>
      <c r="F3556" s="200">
        <v>46013.625</v>
      </c>
      <c r="G3556" s="197" t="s">
        <v>845</v>
      </c>
      <c r="H3556" s="197" t="s">
        <v>875</v>
      </c>
    </row>
    <row r="3557" ht="15.75" customHeight="1">
      <c r="A3557" s="197" t="s">
        <v>82</v>
      </c>
      <c r="B3557" s="197" t="s">
        <v>22</v>
      </c>
      <c r="C3557" s="198" t="s">
        <v>309</v>
      </c>
      <c r="D3557" s="197" t="s">
        <v>310</v>
      </c>
      <c r="E3557" s="199">
        <v>16.0</v>
      </c>
      <c r="F3557" s="200">
        <v>46035.41666666667</v>
      </c>
      <c r="G3557" s="197" t="s">
        <v>845</v>
      </c>
      <c r="H3557" s="197" t="s">
        <v>875</v>
      </c>
    </row>
    <row r="3558" ht="15.75" customHeight="1">
      <c r="A3558" s="197" t="s">
        <v>82</v>
      </c>
      <c r="B3558" s="197" t="s">
        <v>22</v>
      </c>
      <c r="C3558" s="198" t="s">
        <v>332</v>
      </c>
      <c r="D3558" s="197" t="s">
        <v>333</v>
      </c>
      <c r="E3558" s="199">
        <v>1.0</v>
      </c>
      <c r="F3558" s="200">
        <v>45881.54166666667</v>
      </c>
      <c r="G3558" s="197" t="s">
        <v>845</v>
      </c>
      <c r="H3558" s="197" t="s">
        <v>875</v>
      </c>
    </row>
    <row r="3559" ht="15.75" customHeight="1">
      <c r="A3559" s="197" t="s">
        <v>82</v>
      </c>
      <c r="B3559" s="197" t="s">
        <v>22</v>
      </c>
      <c r="C3559" s="198" t="s">
        <v>332</v>
      </c>
      <c r="D3559" s="197" t="s">
        <v>333</v>
      </c>
      <c r="E3559" s="199">
        <v>2.0</v>
      </c>
      <c r="F3559" s="200">
        <v>45896.54166666667</v>
      </c>
      <c r="G3559" s="197" t="s">
        <v>845</v>
      </c>
      <c r="H3559" s="197" t="s">
        <v>875</v>
      </c>
    </row>
    <row r="3560" ht="15.75" customHeight="1">
      <c r="A3560" s="197" t="s">
        <v>82</v>
      </c>
      <c r="B3560" s="197" t="s">
        <v>22</v>
      </c>
      <c r="C3560" s="198" t="s">
        <v>332</v>
      </c>
      <c r="D3560" s="197" t="s">
        <v>333</v>
      </c>
      <c r="E3560" s="199">
        <v>3.0</v>
      </c>
      <c r="F3560" s="200">
        <v>45909.58333333333</v>
      </c>
      <c r="G3560" s="197" t="s">
        <v>845</v>
      </c>
      <c r="H3560" s="197" t="s">
        <v>875</v>
      </c>
    </row>
    <row r="3561" ht="15.75" customHeight="1">
      <c r="A3561" s="197" t="s">
        <v>82</v>
      </c>
      <c r="B3561" s="197" t="s">
        <v>22</v>
      </c>
      <c r="C3561" s="198" t="s">
        <v>332</v>
      </c>
      <c r="D3561" s="197" t="s">
        <v>333</v>
      </c>
      <c r="E3561" s="199">
        <v>4.0</v>
      </c>
      <c r="F3561" s="200">
        <v>45923.58333333333</v>
      </c>
      <c r="G3561" s="197" t="s">
        <v>845</v>
      </c>
      <c r="H3561" s="197" t="s">
        <v>875</v>
      </c>
    </row>
    <row r="3562" ht="15.75" customHeight="1">
      <c r="A3562" s="197" t="s">
        <v>82</v>
      </c>
      <c r="B3562" s="197" t="s">
        <v>22</v>
      </c>
      <c r="C3562" s="198" t="s">
        <v>332</v>
      </c>
      <c r="D3562" s="197" t="s">
        <v>333</v>
      </c>
      <c r="E3562" s="199">
        <v>5.0</v>
      </c>
      <c r="F3562" s="200">
        <v>45930.58333333333</v>
      </c>
      <c r="G3562" s="197" t="s">
        <v>845</v>
      </c>
      <c r="H3562" s="197" t="s">
        <v>875</v>
      </c>
    </row>
    <row r="3563" ht="15.75" customHeight="1">
      <c r="A3563" s="197" t="s">
        <v>82</v>
      </c>
      <c r="B3563" s="197" t="s">
        <v>22</v>
      </c>
      <c r="C3563" s="198" t="s">
        <v>332</v>
      </c>
      <c r="D3563" s="197" t="s">
        <v>333</v>
      </c>
      <c r="E3563" s="199">
        <v>6.0</v>
      </c>
      <c r="F3563" s="200">
        <v>45937.58333333333</v>
      </c>
      <c r="G3563" s="197" t="s">
        <v>845</v>
      </c>
      <c r="H3563" s="197" t="s">
        <v>875</v>
      </c>
    </row>
    <row r="3564" ht="15.75" customHeight="1">
      <c r="A3564" s="197" t="s">
        <v>82</v>
      </c>
      <c r="B3564" s="197" t="s">
        <v>22</v>
      </c>
      <c r="C3564" s="198" t="s">
        <v>332</v>
      </c>
      <c r="D3564" s="197" t="s">
        <v>333</v>
      </c>
      <c r="E3564" s="199">
        <v>8.0</v>
      </c>
      <c r="F3564" s="200">
        <v>45951.58333333333</v>
      </c>
      <c r="G3564" s="197" t="s">
        <v>845</v>
      </c>
      <c r="H3564" s="197" t="s">
        <v>875</v>
      </c>
    </row>
    <row r="3565" ht="15.75" customHeight="1">
      <c r="A3565" s="197" t="s">
        <v>82</v>
      </c>
      <c r="B3565" s="197" t="s">
        <v>22</v>
      </c>
      <c r="C3565" s="198" t="s">
        <v>332</v>
      </c>
      <c r="D3565" s="197" t="s">
        <v>333</v>
      </c>
      <c r="E3565" s="199">
        <v>9.0</v>
      </c>
      <c r="F3565" s="200">
        <v>45958.58333333333</v>
      </c>
      <c r="G3565" s="197" t="s">
        <v>845</v>
      </c>
      <c r="H3565" s="197" t="s">
        <v>875</v>
      </c>
    </row>
    <row r="3566" ht="15.75" customHeight="1">
      <c r="A3566" s="197" t="s">
        <v>82</v>
      </c>
      <c r="B3566" s="197" t="s">
        <v>22</v>
      </c>
      <c r="C3566" s="198" t="s">
        <v>332</v>
      </c>
      <c r="D3566" s="197" t="s">
        <v>333</v>
      </c>
      <c r="E3566" s="199">
        <v>10.0</v>
      </c>
      <c r="F3566" s="200">
        <v>45966.45833333333</v>
      </c>
      <c r="G3566" s="197" t="s">
        <v>845</v>
      </c>
      <c r="H3566" s="197" t="s">
        <v>875</v>
      </c>
    </row>
    <row r="3567" ht="15.75" customHeight="1">
      <c r="A3567" s="197" t="s">
        <v>82</v>
      </c>
      <c r="B3567" s="197" t="s">
        <v>22</v>
      </c>
      <c r="C3567" s="198" t="s">
        <v>332</v>
      </c>
      <c r="D3567" s="197" t="s">
        <v>333</v>
      </c>
      <c r="E3567" s="199">
        <v>11.0</v>
      </c>
      <c r="F3567" s="200">
        <v>45980.45833333333</v>
      </c>
      <c r="G3567" s="197" t="s">
        <v>845</v>
      </c>
      <c r="H3567" s="197" t="s">
        <v>875</v>
      </c>
    </row>
    <row r="3568" ht="15.75" customHeight="1">
      <c r="A3568" s="197" t="s">
        <v>82</v>
      </c>
      <c r="B3568" s="197" t="s">
        <v>22</v>
      </c>
      <c r="C3568" s="198" t="s">
        <v>332</v>
      </c>
      <c r="D3568" s="197" t="s">
        <v>333</v>
      </c>
      <c r="E3568" s="199">
        <v>12.0</v>
      </c>
      <c r="F3568" s="200">
        <v>45987.58333333333</v>
      </c>
      <c r="G3568" s="197" t="s">
        <v>845</v>
      </c>
      <c r="H3568" s="197" t="s">
        <v>875</v>
      </c>
    </row>
    <row r="3569" ht="15.75" customHeight="1">
      <c r="A3569" s="197" t="s">
        <v>82</v>
      </c>
      <c r="B3569" s="197" t="s">
        <v>22</v>
      </c>
      <c r="C3569" s="198" t="s">
        <v>332</v>
      </c>
      <c r="D3569" s="197" t="s">
        <v>333</v>
      </c>
      <c r="E3569" s="199">
        <v>13.0</v>
      </c>
      <c r="F3569" s="200">
        <v>45994.41666666667</v>
      </c>
      <c r="G3569" s="197" t="s">
        <v>845</v>
      </c>
      <c r="H3569" s="197" t="s">
        <v>875</v>
      </c>
    </row>
    <row r="3570" ht="15.75" customHeight="1">
      <c r="A3570" s="197" t="s">
        <v>82</v>
      </c>
      <c r="B3570" s="197" t="s">
        <v>22</v>
      </c>
      <c r="C3570" s="198" t="s">
        <v>332</v>
      </c>
      <c r="D3570" s="197" t="s">
        <v>333</v>
      </c>
      <c r="E3570" s="199">
        <v>14.0</v>
      </c>
      <c r="F3570" s="200">
        <v>46006.625</v>
      </c>
      <c r="G3570" s="197" t="s">
        <v>845</v>
      </c>
      <c r="H3570" s="197" t="s">
        <v>875</v>
      </c>
    </row>
    <row r="3571" ht="15.75" customHeight="1">
      <c r="A3571" s="197" t="s">
        <v>82</v>
      </c>
      <c r="B3571" s="197" t="s">
        <v>22</v>
      </c>
      <c r="C3571" s="198" t="s">
        <v>332</v>
      </c>
      <c r="D3571" s="197" t="s">
        <v>333</v>
      </c>
      <c r="E3571" s="199">
        <v>15.0</v>
      </c>
      <c r="F3571" s="200">
        <v>46013.625</v>
      </c>
      <c r="G3571" s="197" t="s">
        <v>845</v>
      </c>
      <c r="H3571" s="197" t="s">
        <v>875</v>
      </c>
    </row>
    <row r="3572" ht="15.75" customHeight="1">
      <c r="A3572" s="197" t="s">
        <v>82</v>
      </c>
      <c r="B3572" s="197" t="s">
        <v>22</v>
      </c>
      <c r="C3572" s="198" t="s">
        <v>332</v>
      </c>
      <c r="D3572" s="197" t="s">
        <v>333</v>
      </c>
      <c r="E3572" s="199">
        <v>16.0</v>
      </c>
      <c r="F3572" s="200">
        <v>46035.41666666667</v>
      </c>
      <c r="G3572" s="197" t="s">
        <v>845</v>
      </c>
      <c r="H3572" s="197" t="s">
        <v>875</v>
      </c>
    </row>
    <row r="3573" ht="15.75" customHeight="1">
      <c r="A3573" s="197" t="s">
        <v>82</v>
      </c>
      <c r="B3573" s="197" t="s">
        <v>21</v>
      </c>
      <c r="C3573" s="198" t="s">
        <v>350</v>
      </c>
      <c r="D3573" s="197" t="s">
        <v>351</v>
      </c>
      <c r="E3573" s="199">
        <v>1.0</v>
      </c>
      <c r="F3573" s="200">
        <v>45765.58333333333</v>
      </c>
      <c r="G3573" s="197" t="s">
        <v>845</v>
      </c>
      <c r="H3573" s="197" t="s">
        <v>875</v>
      </c>
    </row>
    <row r="3574" ht="15.75" customHeight="1">
      <c r="A3574" s="197" t="s">
        <v>82</v>
      </c>
      <c r="B3574" s="197" t="s">
        <v>21</v>
      </c>
      <c r="C3574" s="198" t="s">
        <v>350</v>
      </c>
      <c r="D3574" s="197" t="s">
        <v>351</v>
      </c>
      <c r="E3574" s="199">
        <v>2.0</v>
      </c>
      <c r="F3574" s="200">
        <v>45770.58333333333</v>
      </c>
      <c r="G3574" s="197" t="s">
        <v>845</v>
      </c>
      <c r="H3574" s="197" t="s">
        <v>875</v>
      </c>
    </row>
    <row r="3575" ht="15.75" customHeight="1">
      <c r="A3575" s="197" t="s">
        <v>82</v>
      </c>
      <c r="B3575" s="197" t="s">
        <v>21</v>
      </c>
      <c r="C3575" s="198" t="s">
        <v>350</v>
      </c>
      <c r="D3575" s="197" t="s">
        <v>351</v>
      </c>
      <c r="E3575" s="199">
        <v>3.0</v>
      </c>
      <c r="F3575" s="200">
        <v>45783.54166666667</v>
      </c>
      <c r="G3575" s="197" t="s">
        <v>843</v>
      </c>
      <c r="H3575" s="197" t="s">
        <v>875</v>
      </c>
    </row>
    <row r="3576" ht="15.75" customHeight="1">
      <c r="A3576" s="197" t="s">
        <v>82</v>
      </c>
      <c r="B3576" s="197" t="s">
        <v>21</v>
      </c>
      <c r="C3576" s="198" t="s">
        <v>350</v>
      </c>
      <c r="D3576" s="197" t="s">
        <v>351</v>
      </c>
      <c r="E3576" s="199">
        <v>4.0</v>
      </c>
      <c r="F3576" s="200">
        <v>45791.58333333333</v>
      </c>
      <c r="G3576" s="197" t="s">
        <v>845</v>
      </c>
      <c r="H3576" s="197" t="s">
        <v>875</v>
      </c>
    </row>
    <row r="3577" ht="15.75" customHeight="1">
      <c r="A3577" s="197" t="s">
        <v>82</v>
      </c>
      <c r="B3577" s="197" t="s">
        <v>21</v>
      </c>
      <c r="C3577" s="198" t="s">
        <v>350</v>
      </c>
      <c r="D3577" s="197" t="s">
        <v>351</v>
      </c>
      <c r="E3577" s="199">
        <v>5.0</v>
      </c>
      <c r="F3577" s="200">
        <v>45792.54166666667</v>
      </c>
      <c r="G3577" s="197" t="s">
        <v>845</v>
      </c>
      <c r="H3577" s="197" t="s">
        <v>875</v>
      </c>
    </row>
    <row r="3578" ht="15.75" customHeight="1">
      <c r="A3578" s="197" t="s">
        <v>82</v>
      </c>
      <c r="B3578" s="197" t="s">
        <v>21</v>
      </c>
      <c r="C3578" s="198" t="s">
        <v>350</v>
      </c>
      <c r="D3578" s="197" t="s">
        <v>351</v>
      </c>
      <c r="E3578" s="199">
        <v>6.0</v>
      </c>
      <c r="F3578" s="200">
        <v>45805.58333333333</v>
      </c>
      <c r="G3578" s="197" t="s">
        <v>845</v>
      </c>
      <c r="H3578" s="197" t="s">
        <v>875</v>
      </c>
    </row>
    <row r="3579" ht="15.75" customHeight="1">
      <c r="A3579" s="197" t="s">
        <v>82</v>
      </c>
      <c r="B3579" s="197" t="s">
        <v>21</v>
      </c>
      <c r="C3579" s="198" t="s">
        <v>350</v>
      </c>
      <c r="D3579" s="197" t="s">
        <v>351</v>
      </c>
      <c r="E3579" s="199">
        <v>7.0</v>
      </c>
      <c r="F3579" s="200">
        <v>45811.54166666667</v>
      </c>
      <c r="G3579" s="197" t="s">
        <v>843</v>
      </c>
      <c r="H3579" s="197" t="s">
        <v>875</v>
      </c>
    </row>
    <row r="3580" ht="15.75" customHeight="1">
      <c r="A3580" s="197" t="s">
        <v>82</v>
      </c>
      <c r="B3580" s="197" t="s">
        <v>21</v>
      </c>
      <c r="C3580" s="198" t="s">
        <v>350</v>
      </c>
      <c r="D3580" s="197" t="s">
        <v>351</v>
      </c>
      <c r="E3580" s="199">
        <v>8.0</v>
      </c>
      <c r="F3580" s="200">
        <v>45819.54166666667</v>
      </c>
      <c r="G3580" s="197" t="s">
        <v>845</v>
      </c>
      <c r="H3580" s="197" t="s">
        <v>875</v>
      </c>
    </row>
    <row r="3581" ht="15.75" customHeight="1">
      <c r="A3581" s="197" t="s">
        <v>82</v>
      </c>
      <c r="B3581" s="197" t="s">
        <v>21</v>
      </c>
      <c r="C3581" s="198" t="s">
        <v>350</v>
      </c>
      <c r="D3581" s="197" t="s">
        <v>351</v>
      </c>
      <c r="E3581" s="199">
        <v>9.0</v>
      </c>
      <c r="F3581" s="200">
        <v>45825.54166666667</v>
      </c>
      <c r="G3581" s="197" t="s">
        <v>845</v>
      </c>
      <c r="H3581" s="197" t="s">
        <v>875</v>
      </c>
    </row>
    <row r="3582" ht="15.75" customHeight="1">
      <c r="A3582" s="197" t="s">
        <v>82</v>
      </c>
      <c r="B3582" s="197" t="s">
        <v>21</v>
      </c>
      <c r="C3582" s="198" t="s">
        <v>350</v>
      </c>
      <c r="D3582" s="197" t="s">
        <v>351</v>
      </c>
      <c r="E3582" s="199">
        <v>10.0</v>
      </c>
      <c r="F3582" s="200">
        <v>45853.54166666667</v>
      </c>
      <c r="G3582" s="197" t="s">
        <v>845</v>
      </c>
      <c r="H3582" s="197" t="s">
        <v>875</v>
      </c>
    </row>
    <row r="3583" ht="15.75" customHeight="1">
      <c r="A3583" s="197" t="s">
        <v>82</v>
      </c>
      <c r="B3583" s="197" t="s">
        <v>21</v>
      </c>
      <c r="C3583" s="198" t="s">
        <v>526</v>
      </c>
      <c r="D3583" s="197" t="s">
        <v>527</v>
      </c>
      <c r="E3583" s="199">
        <v>1.0</v>
      </c>
      <c r="F3583" s="200">
        <v>45765.58333333333</v>
      </c>
      <c r="G3583" s="197" t="s">
        <v>845</v>
      </c>
      <c r="H3583" s="197" t="s">
        <v>875</v>
      </c>
    </row>
    <row r="3584" ht="15.75" customHeight="1">
      <c r="A3584" s="197" t="s">
        <v>82</v>
      </c>
      <c r="B3584" s="197" t="s">
        <v>21</v>
      </c>
      <c r="C3584" s="198" t="s">
        <v>526</v>
      </c>
      <c r="D3584" s="197" t="s">
        <v>527</v>
      </c>
      <c r="E3584" s="199">
        <v>2.0</v>
      </c>
      <c r="F3584" s="200">
        <v>45770.58333333333</v>
      </c>
      <c r="G3584" s="197" t="s">
        <v>845</v>
      </c>
      <c r="H3584" s="197" t="s">
        <v>875</v>
      </c>
    </row>
    <row r="3585" ht="15.75" customHeight="1">
      <c r="A3585" s="197" t="s">
        <v>82</v>
      </c>
      <c r="B3585" s="197" t="s">
        <v>21</v>
      </c>
      <c r="C3585" s="198" t="s">
        <v>526</v>
      </c>
      <c r="D3585" s="197" t="s">
        <v>527</v>
      </c>
      <c r="E3585" s="199">
        <v>3.0</v>
      </c>
      <c r="F3585" s="200">
        <v>45783.54166666667</v>
      </c>
      <c r="G3585" s="197" t="s">
        <v>845</v>
      </c>
      <c r="H3585" s="197" t="s">
        <v>875</v>
      </c>
    </row>
    <row r="3586" ht="15.75" customHeight="1">
      <c r="A3586" s="197" t="s">
        <v>82</v>
      </c>
      <c r="B3586" s="197" t="s">
        <v>21</v>
      </c>
      <c r="C3586" s="198" t="s">
        <v>526</v>
      </c>
      <c r="D3586" s="197" t="s">
        <v>527</v>
      </c>
      <c r="E3586" s="199">
        <v>4.0</v>
      </c>
      <c r="F3586" s="200">
        <v>45791.58333333333</v>
      </c>
      <c r="G3586" s="197" t="s">
        <v>845</v>
      </c>
      <c r="H3586" s="197" t="s">
        <v>875</v>
      </c>
    </row>
    <row r="3587" ht="15.75" customHeight="1">
      <c r="A3587" s="197" t="s">
        <v>82</v>
      </c>
      <c r="B3587" s="197" t="s">
        <v>21</v>
      </c>
      <c r="C3587" s="198" t="s">
        <v>526</v>
      </c>
      <c r="D3587" s="197" t="s">
        <v>527</v>
      </c>
      <c r="E3587" s="199">
        <v>5.0</v>
      </c>
      <c r="F3587" s="200">
        <v>45792.54166666667</v>
      </c>
      <c r="G3587" s="197" t="s">
        <v>845</v>
      </c>
      <c r="H3587" s="197" t="s">
        <v>875</v>
      </c>
    </row>
    <row r="3588" ht="15.75" customHeight="1">
      <c r="A3588" s="197" t="s">
        <v>82</v>
      </c>
      <c r="B3588" s="197" t="s">
        <v>21</v>
      </c>
      <c r="C3588" s="198" t="s">
        <v>526</v>
      </c>
      <c r="D3588" s="197" t="s">
        <v>527</v>
      </c>
      <c r="E3588" s="199">
        <v>6.0</v>
      </c>
      <c r="F3588" s="200">
        <v>45805.58333333333</v>
      </c>
      <c r="G3588" s="197" t="s">
        <v>845</v>
      </c>
      <c r="H3588" s="197" t="s">
        <v>875</v>
      </c>
    </row>
    <row r="3589" ht="15.75" customHeight="1">
      <c r="A3589" s="197" t="s">
        <v>82</v>
      </c>
      <c r="B3589" s="197" t="s">
        <v>21</v>
      </c>
      <c r="C3589" s="198" t="s">
        <v>526</v>
      </c>
      <c r="D3589" s="197" t="s">
        <v>527</v>
      </c>
      <c r="E3589" s="199">
        <v>7.0</v>
      </c>
      <c r="F3589" s="200">
        <v>45811.54166666667</v>
      </c>
      <c r="G3589" s="197" t="s">
        <v>845</v>
      </c>
      <c r="H3589" s="197" t="s">
        <v>875</v>
      </c>
    </row>
    <row r="3590" ht="15.75" customHeight="1">
      <c r="A3590" s="197" t="s">
        <v>82</v>
      </c>
      <c r="B3590" s="197" t="s">
        <v>21</v>
      </c>
      <c r="C3590" s="198" t="s">
        <v>526</v>
      </c>
      <c r="D3590" s="197" t="s">
        <v>527</v>
      </c>
      <c r="E3590" s="199">
        <v>8.0</v>
      </c>
      <c r="F3590" s="200">
        <v>45819.54166666667</v>
      </c>
      <c r="G3590" s="197" t="s">
        <v>845</v>
      </c>
      <c r="H3590" s="197" t="s">
        <v>875</v>
      </c>
    </row>
    <row r="3591" ht="15.75" customHeight="1">
      <c r="A3591" s="197" t="s">
        <v>82</v>
      </c>
      <c r="B3591" s="197" t="s">
        <v>21</v>
      </c>
      <c r="C3591" s="198" t="s">
        <v>526</v>
      </c>
      <c r="D3591" s="197" t="s">
        <v>527</v>
      </c>
      <c r="E3591" s="199">
        <v>9.0</v>
      </c>
      <c r="F3591" s="200">
        <v>45825.54166666667</v>
      </c>
      <c r="G3591" s="197" t="s">
        <v>845</v>
      </c>
      <c r="H3591" s="197" t="s">
        <v>875</v>
      </c>
    </row>
    <row r="3592" ht="15.75" customHeight="1">
      <c r="A3592" s="197" t="s">
        <v>82</v>
      </c>
      <c r="B3592" s="197" t="s">
        <v>21</v>
      </c>
      <c r="C3592" s="198" t="s">
        <v>526</v>
      </c>
      <c r="D3592" s="197" t="s">
        <v>527</v>
      </c>
      <c r="E3592" s="199">
        <v>10.0</v>
      </c>
      <c r="F3592" s="200">
        <v>45853.54166666667</v>
      </c>
      <c r="G3592" s="197" t="s">
        <v>845</v>
      </c>
      <c r="H3592" s="197" t="s">
        <v>875</v>
      </c>
    </row>
    <row r="3593" ht="15.75" customHeight="1">
      <c r="A3593" s="197" t="s">
        <v>82</v>
      </c>
      <c r="B3593" s="197" t="s">
        <v>22</v>
      </c>
      <c r="C3593" s="198" t="s">
        <v>526</v>
      </c>
      <c r="D3593" s="197" t="s">
        <v>527</v>
      </c>
      <c r="E3593" s="199">
        <v>1.0</v>
      </c>
      <c r="F3593" s="200">
        <v>45881.54166666667</v>
      </c>
      <c r="G3593" s="197" t="s">
        <v>845</v>
      </c>
      <c r="H3593" s="197" t="s">
        <v>875</v>
      </c>
    </row>
    <row r="3594" ht="15.75" customHeight="1">
      <c r="A3594" s="197" t="s">
        <v>82</v>
      </c>
      <c r="B3594" s="197" t="s">
        <v>22</v>
      </c>
      <c r="C3594" s="198" t="s">
        <v>526</v>
      </c>
      <c r="D3594" s="197" t="s">
        <v>527</v>
      </c>
      <c r="E3594" s="199">
        <v>2.0</v>
      </c>
      <c r="F3594" s="200">
        <v>45896.54166666667</v>
      </c>
      <c r="G3594" s="197" t="s">
        <v>845</v>
      </c>
      <c r="H3594" s="197" t="s">
        <v>875</v>
      </c>
    </row>
    <row r="3595" ht="15.75" customHeight="1">
      <c r="A3595" s="197" t="s">
        <v>82</v>
      </c>
      <c r="B3595" s="197" t="s">
        <v>22</v>
      </c>
      <c r="C3595" s="198" t="s">
        <v>526</v>
      </c>
      <c r="D3595" s="197" t="s">
        <v>527</v>
      </c>
      <c r="E3595" s="199">
        <v>3.0</v>
      </c>
      <c r="F3595" s="200">
        <v>45909.58333333333</v>
      </c>
      <c r="G3595" s="197" t="s">
        <v>845</v>
      </c>
      <c r="H3595" s="197" t="s">
        <v>875</v>
      </c>
    </row>
    <row r="3596" ht="15.75" customHeight="1">
      <c r="A3596" s="197" t="s">
        <v>82</v>
      </c>
      <c r="B3596" s="197" t="s">
        <v>22</v>
      </c>
      <c r="C3596" s="198" t="s">
        <v>526</v>
      </c>
      <c r="D3596" s="197" t="s">
        <v>527</v>
      </c>
      <c r="E3596" s="199">
        <v>4.0</v>
      </c>
      <c r="F3596" s="200">
        <v>45923.58333333333</v>
      </c>
      <c r="G3596" s="197" t="s">
        <v>845</v>
      </c>
      <c r="H3596" s="197" t="s">
        <v>875</v>
      </c>
    </row>
    <row r="3597" ht="15.75" customHeight="1">
      <c r="A3597" s="197" t="s">
        <v>82</v>
      </c>
      <c r="B3597" s="197" t="s">
        <v>22</v>
      </c>
      <c r="C3597" s="198" t="s">
        <v>526</v>
      </c>
      <c r="D3597" s="197" t="s">
        <v>527</v>
      </c>
      <c r="E3597" s="199">
        <v>5.0</v>
      </c>
      <c r="F3597" s="200">
        <v>45930.58333333333</v>
      </c>
      <c r="G3597" s="197" t="s">
        <v>845</v>
      </c>
      <c r="H3597" s="197" t="s">
        <v>875</v>
      </c>
    </row>
    <row r="3598" ht="15.75" customHeight="1">
      <c r="A3598" s="197" t="s">
        <v>82</v>
      </c>
      <c r="B3598" s="197" t="s">
        <v>22</v>
      </c>
      <c r="C3598" s="198" t="s">
        <v>526</v>
      </c>
      <c r="D3598" s="197" t="s">
        <v>527</v>
      </c>
      <c r="E3598" s="199">
        <v>6.0</v>
      </c>
      <c r="F3598" s="200">
        <v>45937.58333333333</v>
      </c>
      <c r="G3598" s="197" t="s">
        <v>845</v>
      </c>
      <c r="H3598" s="197" t="s">
        <v>875</v>
      </c>
    </row>
    <row r="3599" ht="15.75" customHeight="1">
      <c r="A3599" s="197" t="s">
        <v>82</v>
      </c>
      <c r="B3599" s="197" t="s">
        <v>22</v>
      </c>
      <c r="C3599" s="198" t="s">
        <v>526</v>
      </c>
      <c r="D3599" s="197" t="s">
        <v>527</v>
      </c>
      <c r="E3599" s="199">
        <v>8.0</v>
      </c>
      <c r="F3599" s="200">
        <v>45951.58333333333</v>
      </c>
      <c r="G3599" s="197" t="s">
        <v>845</v>
      </c>
      <c r="H3599" s="197" t="s">
        <v>875</v>
      </c>
    </row>
    <row r="3600" ht="15.75" customHeight="1">
      <c r="A3600" s="197" t="s">
        <v>82</v>
      </c>
      <c r="B3600" s="197" t="s">
        <v>22</v>
      </c>
      <c r="C3600" s="198" t="s">
        <v>526</v>
      </c>
      <c r="D3600" s="197" t="s">
        <v>527</v>
      </c>
      <c r="E3600" s="199">
        <v>9.0</v>
      </c>
      <c r="F3600" s="200">
        <v>45958.58333333333</v>
      </c>
      <c r="G3600" s="197" t="s">
        <v>845</v>
      </c>
      <c r="H3600" s="197" t="s">
        <v>875</v>
      </c>
    </row>
    <row r="3601" ht="15.75" customHeight="1">
      <c r="A3601" s="197" t="s">
        <v>82</v>
      </c>
      <c r="B3601" s="197" t="s">
        <v>22</v>
      </c>
      <c r="C3601" s="198" t="s">
        <v>526</v>
      </c>
      <c r="D3601" s="197" t="s">
        <v>527</v>
      </c>
      <c r="E3601" s="199">
        <v>10.0</v>
      </c>
      <c r="F3601" s="200">
        <v>45966.45833333333</v>
      </c>
      <c r="G3601" s="197" t="s">
        <v>843</v>
      </c>
      <c r="H3601" s="197" t="s">
        <v>875</v>
      </c>
    </row>
    <row r="3602" ht="15.75" customHeight="1">
      <c r="A3602" s="197" t="s">
        <v>82</v>
      </c>
      <c r="B3602" s="197" t="s">
        <v>22</v>
      </c>
      <c r="C3602" s="198" t="s">
        <v>526</v>
      </c>
      <c r="D3602" s="197" t="s">
        <v>527</v>
      </c>
      <c r="E3602" s="199">
        <v>11.0</v>
      </c>
      <c r="F3602" s="200">
        <v>45980.45833333333</v>
      </c>
      <c r="G3602" s="197" t="s">
        <v>845</v>
      </c>
      <c r="H3602" s="197" t="s">
        <v>875</v>
      </c>
    </row>
    <row r="3603" ht="15.75" customHeight="1">
      <c r="A3603" s="197" t="s">
        <v>82</v>
      </c>
      <c r="B3603" s="197" t="s">
        <v>22</v>
      </c>
      <c r="C3603" s="198" t="s">
        <v>526</v>
      </c>
      <c r="D3603" s="197" t="s">
        <v>527</v>
      </c>
      <c r="E3603" s="199">
        <v>12.0</v>
      </c>
      <c r="F3603" s="200">
        <v>45987.58333333333</v>
      </c>
      <c r="G3603" s="197" t="s">
        <v>845</v>
      </c>
      <c r="H3603" s="197" t="s">
        <v>875</v>
      </c>
    </row>
    <row r="3604" ht="15.75" customHeight="1">
      <c r="A3604" s="197" t="s">
        <v>82</v>
      </c>
      <c r="B3604" s="197" t="s">
        <v>22</v>
      </c>
      <c r="C3604" s="198" t="s">
        <v>526</v>
      </c>
      <c r="D3604" s="197" t="s">
        <v>527</v>
      </c>
      <c r="E3604" s="199">
        <v>13.0</v>
      </c>
      <c r="F3604" s="200">
        <v>45994.41666666667</v>
      </c>
      <c r="G3604" s="197" t="s">
        <v>845</v>
      </c>
      <c r="H3604" s="197" t="s">
        <v>875</v>
      </c>
    </row>
    <row r="3605" ht="15.75" customHeight="1">
      <c r="A3605" s="197" t="s">
        <v>82</v>
      </c>
      <c r="B3605" s="197" t="s">
        <v>22</v>
      </c>
      <c r="C3605" s="198" t="s">
        <v>526</v>
      </c>
      <c r="D3605" s="197" t="s">
        <v>527</v>
      </c>
      <c r="E3605" s="199">
        <v>14.0</v>
      </c>
      <c r="F3605" s="200">
        <v>46006.625</v>
      </c>
      <c r="G3605" s="197" t="s">
        <v>845</v>
      </c>
      <c r="H3605" s="197" t="s">
        <v>875</v>
      </c>
    </row>
    <row r="3606" ht="15.75" customHeight="1">
      <c r="A3606" s="197" t="s">
        <v>82</v>
      </c>
      <c r="B3606" s="197" t="s">
        <v>22</v>
      </c>
      <c r="C3606" s="198" t="s">
        <v>526</v>
      </c>
      <c r="D3606" s="197" t="s">
        <v>527</v>
      </c>
      <c r="E3606" s="199">
        <v>15.0</v>
      </c>
      <c r="F3606" s="200">
        <v>46013.625</v>
      </c>
      <c r="G3606" s="197" t="s">
        <v>845</v>
      </c>
      <c r="H3606" s="197" t="s">
        <v>875</v>
      </c>
    </row>
    <row r="3607" ht="15.75" customHeight="1">
      <c r="A3607" s="197" t="s">
        <v>82</v>
      </c>
      <c r="B3607" s="197" t="s">
        <v>22</v>
      </c>
      <c r="C3607" s="198" t="s">
        <v>526</v>
      </c>
      <c r="D3607" s="197" t="s">
        <v>527</v>
      </c>
      <c r="E3607" s="199">
        <v>16.0</v>
      </c>
      <c r="F3607" s="200">
        <v>46035.41666666667</v>
      </c>
      <c r="G3607" s="197" t="s">
        <v>845</v>
      </c>
      <c r="H3607" s="197" t="s">
        <v>875</v>
      </c>
    </row>
    <row r="3608" ht="15.75" customHeight="1">
      <c r="A3608" s="197" t="s">
        <v>82</v>
      </c>
      <c r="B3608" s="197" t="s">
        <v>22</v>
      </c>
      <c r="C3608" s="198" t="s">
        <v>562</v>
      </c>
      <c r="D3608" s="197" t="s">
        <v>563</v>
      </c>
      <c r="E3608" s="199">
        <v>1.0</v>
      </c>
      <c r="F3608" s="200">
        <v>45881.54166666667</v>
      </c>
      <c r="G3608" s="197" t="s">
        <v>845</v>
      </c>
      <c r="H3608" s="197" t="s">
        <v>875</v>
      </c>
    </row>
    <row r="3609" ht="15.75" customHeight="1">
      <c r="A3609" s="197" t="s">
        <v>82</v>
      </c>
      <c r="B3609" s="197" t="s">
        <v>22</v>
      </c>
      <c r="C3609" s="198" t="s">
        <v>562</v>
      </c>
      <c r="D3609" s="197" t="s">
        <v>563</v>
      </c>
      <c r="E3609" s="199">
        <v>2.0</v>
      </c>
      <c r="F3609" s="200">
        <v>45896.54166666667</v>
      </c>
      <c r="G3609" s="197" t="s">
        <v>845</v>
      </c>
      <c r="H3609" s="197" t="s">
        <v>875</v>
      </c>
    </row>
    <row r="3610" ht="15.75" customHeight="1">
      <c r="A3610" s="197" t="s">
        <v>82</v>
      </c>
      <c r="B3610" s="197" t="s">
        <v>22</v>
      </c>
      <c r="C3610" s="198" t="s">
        <v>562</v>
      </c>
      <c r="D3610" s="197" t="s">
        <v>563</v>
      </c>
      <c r="E3610" s="199">
        <v>3.0</v>
      </c>
      <c r="F3610" s="200">
        <v>45909.58333333333</v>
      </c>
      <c r="G3610" s="197" t="s">
        <v>845</v>
      </c>
      <c r="H3610" s="197" t="s">
        <v>875</v>
      </c>
    </row>
    <row r="3611" ht="15.75" customHeight="1">
      <c r="A3611" s="197" t="s">
        <v>82</v>
      </c>
      <c r="B3611" s="197" t="s">
        <v>22</v>
      </c>
      <c r="C3611" s="198" t="s">
        <v>562</v>
      </c>
      <c r="D3611" s="197" t="s">
        <v>563</v>
      </c>
      <c r="E3611" s="199">
        <v>4.0</v>
      </c>
      <c r="F3611" s="200">
        <v>45923.58333333333</v>
      </c>
      <c r="G3611" s="197" t="s">
        <v>845</v>
      </c>
      <c r="H3611" s="197" t="s">
        <v>875</v>
      </c>
    </row>
    <row r="3612" ht="15.75" customHeight="1">
      <c r="A3612" s="197" t="s">
        <v>82</v>
      </c>
      <c r="B3612" s="197" t="s">
        <v>22</v>
      </c>
      <c r="C3612" s="198" t="s">
        <v>562</v>
      </c>
      <c r="D3612" s="197" t="s">
        <v>563</v>
      </c>
      <c r="E3612" s="199">
        <v>5.0</v>
      </c>
      <c r="F3612" s="200">
        <v>45930.58333333333</v>
      </c>
      <c r="G3612" s="197" t="s">
        <v>845</v>
      </c>
      <c r="H3612" s="197" t="s">
        <v>875</v>
      </c>
    </row>
    <row r="3613" ht="15.75" customHeight="1">
      <c r="A3613" s="197" t="s">
        <v>82</v>
      </c>
      <c r="B3613" s="197" t="s">
        <v>22</v>
      </c>
      <c r="C3613" s="198" t="s">
        <v>562</v>
      </c>
      <c r="D3613" s="197" t="s">
        <v>563</v>
      </c>
      <c r="E3613" s="199">
        <v>6.0</v>
      </c>
      <c r="F3613" s="200">
        <v>45937.58333333333</v>
      </c>
      <c r="G3613" s="197" t="s">
        <v>845</v>
      </c>
      <c r="H3613" s="197" t="s">
        <v>875</v>
      </c>
    </row>
    <row r="3614" ht="15.75" customHeight="1">
      <c r="A3614" s="197" t="s">
        <v>82</v>
      </c>
      <c r="B3614" s="197" t="s">
        <v>22</v>
      </c>
      <c r="C3614" s="198" t="s">
        <v>562</v>
      </c>
      <c r="D3614" s="197" t="s">
        <v>563</v>
      </c>
      <c r="E3614" s="199">
        <v>8.0</v>
      </c>
      <c r="F3614" s="200">
        <v>45951.58333333333</v>
      </c>
      <c r="G3614" s="197" t="s">
        <v>843</v>
      </c>
      <c r="H3614" s="197" t="s">
        <v>875</v>
      </c>
    </row>
    <row r="3615" ht="15.75" customHeight="1">
      <c r="A3615" s="197" t="s">
        <v>82</v>
      </c>
      <c r="B3615" s="197" t="s">
        <v>22</v>
      </c>
      <c r="C3615" s="198" t="s">
        <v>562</v>
      </c>
      <c r="D3615" s="197" t="s">
        <v>563</v>
      </c>
      <c r="E3615" s="199">
        <v>9.0</v>
      </c>
      <c r="F3615" s="200">
        <v>45958.58333333333</v>
      </c>
      <c r="G3615" s="197" t="s">
        <v>845</v>
      </c>
      <c r="H3615" s="197" t="s">
        <v>875</v>
      </c>
    </row>
    <row r="3616" ht="15.75" customHeight="1">
      <c r="A3616" s="197" t="s">
        <v>82</v>
      </c>
      <c r="B3616" s="197" t="s">
        <v>22</v>
      </c>
      <c r="C3616" s="198" t="s">
        <v>562</v>
      </c>
      <c r="D3616" s="197" t="s">
        <v>563</v>
      </c>
      <c r="E3616" s="199">
        <v>10.0</v>
      </c>
      <c r="F3616" s="200">
        <v>45966.45833333333</v>
      </c>
      <c r="G3616" s="197" t="s">
        <v>845</v>
      </c>
      <c r="H3616" s="197" t="s">
        <v>875</v>
      </c>
    </row>
    <row r="3617" ht="15.75" customHeight="1">
      <c r="A3617" s="197" t="s">
        <v>82</v>
      </c>
      <c r="B3617" s="197" t="s">
        <v>22</v>
      </c>
      <c r="C3617" s="198" t="s">
        <v>562</v>
      </c>
      <c r="D3617" s="197" t="s">
        <v>563</v>
      </c>
      <c r="E3617" s="199">
        <v>11.0</v>
      </c>
      <c r="F3617" s="200">
        <v>45980.45833333333</v>
      </c>
      <c r="G3617" s="197" t="s">
        <v>843</v>
      </c>
      <c r="H3617" s="197" t="s">
        <v>875</v>
      </c>
    </row>
    <row r="3618" ht="15.75" customHeight="1">
      <c r="A3618" s="197" t="s">
        <v>82</v>
      </c>
      <c r="B3618" s="197" t="s">
        <v>22</v>
      </c>
      <c r="C3618" s="198" t="s">
        <v>562</v>
      </c>
      <c r="D3618" s="197" t="s">
        <v>563</v>
      </c>
      <c r="E3618" s="199">
        <v>12.0</v>
      </c>
      <c r="F3618" s="200">
        <v>45987.58333333333</v>
      </c>
      <c r="G3618" s="197" t="s">
        <v>845</v>
      </c>
      <c r="H3618" s="197" t="s">
        <v>875</v>
      </c>
    </row>
    <row r="3619" ht="15.75" customHeight="1">
      <c r="A3619" s="197" t="s">
        <v>82</v>
      </c>
      <c r="B3619" s="197" t="s">
        <v>22</v>
      </c>
      <c r="C3619" s="198" t="s">
        <v>562</v>
      </c>
      <c r="D3619" s="197" t="s">
        <v>563</v>
      </c>
      <c r="E3619" s="199">
        <v>13.0</v>
      </c>
      <c r="F3619" s="200">
        <v>45994.41666666667</v>
      </c>
      <c r="G3619" s="197" t="s">
        <v>845</v>
      </c>
      <c r="H3619" s="197" t="s">
        <v>875</v>
      </c>
    </row>
    <row r="3620" ht="15.75" customHeight="1">
      <c r="A3620" s="197" t="s">
        <v>82</v>
      </c>
      <c r="B3620" s="197" t="s">
        <v>22</v>
      </c>
      <c r="C3620" s="198" t="s">
        <v>562</v>
      </c>
      <c r="D3620" s="197" t="s">
        <v>563</v>
      </c>
      <c r="E3620" s="199">
        <v>14.0</v>
      </c>
      <c r="F3620" s="200">
        <v>46006.625</v>
      </c>
      <c r="G3620" s="197" t="s">
        <v>845</v>
      </c>
      <c r="H3620" s="197" t="s">
        <v>875</v>
      </c>
    </row>
    <row r="3621" ht="15.75" customHeight="1">
      <c r="A3621" s="197" t="s">
        <v>82</v>
      </c>
      <c r="B3621" s="197" t="s">
        <v>22</v>
      </c>
      <c r="C3621" s="198" t="s">
        <v>562</v>
      </c>
      <c r="D3621" s="197" t="s">
        <v>563</v>
      </c>
      <c r="E3621" s="199">
        <v>15.0</v>
      </c>
      <c r="F3621" s="200">
        <v>46013.625</v>
      </c>
      <c r="G3621" s="197" t="s">
        <v>845</v>
      </c>
      <c r="H3621" s="197" t="s">
        <v>875</v>
      </c>
    </row>
    <row r="3622" ht="15.75" customHeight="1">
      <c r="A3622" s="197" t="s">
        <v>82</v>
      </c>
      <c r="B3622" s="197" t="s">
        <v>22</v>
      </c>
      <c r="C3622" s="198" t="s">
        <v>562</v>
      </c>
      <c r="D3622" s="197" t="s">
        <v>563</v>
      </c>
      <c r="E3622" s="199">
        <v>16.0</v>
      </c>
      <c r="F3622" s="200">
        <v>46035.41666666667</v>
      </c>
      <c r="G3622" s="197" t="s">
        <v>845</v>
      </c>
      <c r="H3622" s="197" t="s">
        <v>875</v>
      </c>
    </row>
    <row r="3623" ht="15.75" customHeight="1">
      <c r="A3623" s="197" t="s">
        <v>82</v>
      </c>
      <c r="B3623" s="197" t="s">
        <v>22</v>
      </c>
      <c r="C3623" s="198" t="s">
        <v>693</v>
      </c>
      <c r="D3623" s="197" t="s">
        <v>694</v>
      </c>
      <c r="E3623" s="199">
        <v>1.0</v>
      </c>
      <c r="F3623" s="200">
        <v>45881.54166666667</v>
      </c>
      <c r="G3623" s="197" t="s">
        <v>845</v>
      </c>
      <c r="H3623" s="197" t="s">
        <v>875</v>
      </c>
    </row>
    <row r="3624" ht="15.75" customHeight="1">
      <c r="A3624" s="197" t="s">
        <v>82</v>
      </c>
      <c r="B3624" s="197" t="s">
        <v>22</v>
      </c>
      <c r="C3624" s="198" t="s">
        <v>693</v>
      </c>
      <c r="D3624" s="197" t="s">
        <v>694</v>
      </c>
      <c r="E3624" s="199">
        <v>2.0</v>
      </c>
      <c r="F3624" s="200">
        <v>45896.54166666667</v>
      </c>
      <c r="G3624" s="197" t="s">
        <v>845</v>
      </c>
      <c r="H3624" s="197" t="s">
        <v>875</v>
      </c>
    </row>
    <row r="3625" ht="15.75" customHeight="1">
      <c r="A3625" s="197" t="s">
        <v>82</v>
      </c>
      <c r="B3625" s="197" t="s">
        <v>22</v>
      </c>
      <c r="C3625" s="198" t="s">
        <v>693</v>
      </c>
      <c r="D3625" s="197" t="s">
        <v>694</v>
      </c>
      <c r="E3625" s="199">
        <v>3.0</v>
      </c>
      <c r="F3625" s="200">
        <v>45909.58333333333</v>
      </c>
      <c r="G3625" s="197" t="s">
        <v>843</v>
      </c>
      <c r="H3625" s="197" t="s">
        <v>875</v>
      </c>
    </row>
    <row r="3626" ht="15.75" customHeight="1">
      <c r="A3626" s="197" t="s">
        <v>82</v>
      </c>
      <c r="B3626" s="197" t="s">
        <v>22</v>
      </c>
      <c r="C3626" s="198" t="s">
        <v>693</v>
      </c>
      <c r="D3626" s="197" t="s">
        <v>694</v>
      </c>
      <c r="E3626" s="199">
        <v>4.0</v>
      </c>
      <c r="F3626" s="200">
        <v>45923.58333333333</v>
      </c>
      <c r="G3626" s="197" t="s">
        <v>845</v>
      </c>
      <c r="H3626" s="197" t="s">
        <v>875</v>
      </c>
    </row>
    <row r="3627" ht="15.75" customHeight="1">
      <c r="A3627" s="197" t="s">
        <v>82</v>
      </c>
      <c r="B3627" s="197" t="s">
        <v>22</v>
      </c>
      <c r="C3627" s="198" t="s">
        <v>693</v>
      </c>
      <c r="D3627" s="197" t="s">
        <v>694</v>
      </c>
      <c r="E3627" s="199">
        <v>5.0</v>
      </c>
      <c r="F3627" s="200">
        <v>45930.58333333333</v>
      </c>
      <c r="G3627" s="197" t="s">
        <v>845</v>
      </c>
      <c r="H3627" s="197" t="s">
        <v>875</v>
      </c>
    </row>
    <row r="3628" ht="15.75" customHeight="1">
      <c r="A3628" s="197" t="s">
        <v>82</v>
      </c>
      <c r="B3628" s="197" t="s">
        <v>22</v>
      </c>
      <c r="C3628" s="198" t="s">
        <v>693</v>
      </c>
      <c r="D3628" s="197" t="s">
        <v>694</v>
      </c>
      <c r="E3628" s="199">
        <v>6.0</v>
      </c>
      <c r="F3628" s="200">
        <v>45937.58333333333</v>
      </c>
      <c r="G3628" s="197" t="s">
        <v>845</v>
      </c>
      <c r="H3628" s="197" t="s">
        <v>875</v>
      </c>
    </row>
    <row r="3629" ht="15.75" customHeight="1">
      <c r="A3629" s="197" t="s">
        <v>82</v>
      </c>
      <c r="B3629" s="197" t="s">
        <v>22</v>
      </c>
      <c r="C3629" s="198" t="s">
        <v>693</v>
      </c>
      <c r="D3629" s="197" t="s">
        <v>694</v>
      </c>
      <c r="E3629" s="199">
        <v>8.0</v>
      </c>
      <c r="F3629" s="200">
        <v>45951.58333333333</v>
      </c>
      <c r="G3629" s="197" t="s">
        <v>843</v>
      </c>
      <c r="H3629" s="197" t="s">
        <v>875</v>
      </c>
    </row>
    <row r="3630" ht="15.75" customHeight="1">
      <c r="A3630" s="197" t="s">
        <v>82</v>
      </c>
      <c r="B3630" s="197" t="s">
        <v>22</v>
      </c>
      <c r="C3630" s="198" t="s">
        <v>693</v>
      </c>
      <c r="D3630" s="197" t="s">
        <v>694</v>
      </c>
      <c r="E3630" s="199">
        <v>9.0</v>
      </c>
      <c r="F3630" s="200">
        <v>45958.58333333333</v>
      </c>
      <c r="G3630" s="197" t="s">
        <v>843</v>
      </c>
      <c r="H3630" s="197" t="s">
        <v>875</v>
      </c>
    </row>
    <row r="3631" ht="15.75" customHeight="1">
      <c r="A3631" s="197" t="s">
        <v>82</v>
      </c>
      <c r="B3631" s="197" t="s">
        <v>22</v>
      </c>
      <c r="C3631" s="198" t="s">
        <v>693</v>
      </c>
      <c r="D3631" s="197" t="s">
        <v>694</v>
      </c>
      <c r="E3631" s="199">
        <v>10.0</v>
      </c>
      <c r="F3631" s="200">
        <v>45966.45833333333</v>
      </c>
      <c r="G3631" s="197" t="s">
        <v>845</v>
      </c>
      <c r="H3631" s="197" t="s">
        <v>875</v>
      </c>
    </row>
    <row r="3632" ht="15.75" customHeight="1">
      <c r="A3632" s="197" t="s">
        <v>82</v>
      </c>
      <c r="B3632" s="197" t="s">
        <v>22</v>
      </c>
      <c r="C3632" s="198" t="s">
        <v>693</v>
      </c>
      <c r="D3632" s="197" t="s">
        <v>694</v>
      </c>
      <c r="E3632" s="199">
        <v>11.0</v>
      </c>
      <c r="F3632" s="200">
        <v>45980.45833333333</v>
      </c>
      <c r="G3632" s="197" t="s">
        <v>845</v>
      </c>
      <c r="H3632" s="197" t="s">
        <v>875</v>
      </c>
    </row>
    <row r="3633" ht="15.75" customHeight="1">
      <c r="A3633" s="197" t="s">
        <v>82</v>
      </c>
      <c r="B3633" s="197" t="s">
        <v>22</v>
      </c>
      <c r="C3633" s="198" t="s">
        <v>693</v>
      </c>
      <c r="D3633" s="197" t="s">
        <v>694</v>
      </c>
      <c r="E3633" s="199">
        <v>12.0</v>
      </c>
      <c r="F3633" s="200">
        <v>45987.58333333333</v>
      </c>
      <c r="G3633" s="197" t="s">
        <v>845</v>
      </c>
      <c r="H3633" s="197" t="s">
        <v>875</v>
      </c>
    </row>
    <row r="3634" ht="15.75" customHeight="1">
      <c r="A3634" s="197" t="s">
        <v>82</v>
      </c>
      <c r="B3634" s="197" t="s">
        <v>22</v>
      </c>
      <c r="C3634" s="198" t="s">
        <v>693</v>
      </c>
      <c r="D3634" s="197" t="s">
        <v>694</v>
      </c>
      <c r="E3634" s="199">
        <v>13.0</v>
      </c>
      <c r="F3634" s="200">
        <v>45994.41666666667</v>
      </c>
      <c r="G3634" s="197" t="s">
        <v>845</v>
      </c>
      <c r="H3634" s="197" t="s">
        <v>875</v>
      </c>
    </row>
    <row r="3635" ht="15.75" customHeight="1">
      <c r="A3635" s="197" t="s">
        <v>82</v>
      </c>
      <c r="B3635" s="197" t="s">
        <v>22</v>
      </c>
      <c r="C3635" s="198" t="s">
        <v>693</v>
      </c>
      <c r="D3635" s="197" t="s">
        <v>694</v>
      </c>
      <c r="E3635" s="199">
        <v>14.0</v>
      </c>
      <c r="F3635" s="200">
        <v>46006.625</v>
      </c>
      <c r="G3635" s="197" t="s">
        <v>845</v>
      </c>
      <c r="H3635" s="197" t="s">
        <v>875</v>
      </c>
    </row>
    <row r="3636" ht="15.75" customHeight="1">
      <c r="A3636" s="197" t="s">
        <v>82</v>
      </c>
      <c r="B3636" s="197" t="s">
        <v>22</v>
      </c>
      <c r="C3636" s="198" t="s">
        <v>693</v>
      </c>
      <c r="D3636" s="197" t="s">
        <v>694</v>
      </c>
      <c r="E3636" s="199">
        <v>15.0</v>
      </c>
      <c r="F3636" s="200">
        <v>46013.625</v>
      </c>
      <c r="G3636" s="197" t="s">
        <v>843</v>
      </c>
      <c r="H3636" s="197" t="s">
        <v>875</v>
      </c>
    </row>
    <row r="3637" ht="15.75" customHeight="1">
      <c r="A3637" s="197" t="s">
        <v>82</v>
      </c>
      <c r="B3637" s="197" t="s">
        <v>22</v>
      </c>
      <c r="C3637" s="198" t="s">
        <v>693</v>
      </c>
      <c r="D3637" s="197" t="s">
        <v>694</v>
      </c>
      <c r="E3637" s="199">
        <v>16.0</v>
      </c>
      <c r="F3637" s="200">
        <v>46035.41666666667</v>
      </c>
      <c r="G3637" s="197" t="s">
        <v>845</v>
      </c>
      <c r="H3637" s="197" t="s">
        <v>875</v>
      </c>
    </row>
    <row r="3638" ht="15.75" customHeight="1">
      <c r="A3638" s="197" t="s">
        <v>83</v>
      </c>
      <c r="B3638" s="197" t="s">
        <v>21</v>
      </c>
      <c r="C3638" s="198" t="s">
        <v>208</v>
      </c>
      <c r="D3638" s="197" t="s">
        <v>209</v>
      </c>
      <c r="E3638" s="199">
        <v>1.0</v>
      </c>
      <c r="F3638" s="200">
        <v>45764.41666666667</v>
      </c>
      <c r="G3638" s="197" t="s">
        <v>845</v>
      </c>
      <c r="H3638" s="197" t="s">
        <v>876</v>
      </c>
    </row>
    <row r="3639" ht="15.75" customHeight="1">
      <c r="A3639" s="197" t="s">
        <v>83</v>
      </c>
      <c r="B3639" s="197" t="s">
        <v>21</v>
      </c>
      <c r="C3639" s="198" t="s">
        <v>208</v>
      </c>
      <c r="D3639" s="197" t="s">
        <v>209</v>
      </c>
      <c r="E3639" s="199">
        <v>2.0</v>
      </c>
      <c r="F3639" s="200">
        <v>45784.58333333333</v>
      </c>
      <c r="G3639" s="197" t="s">
        <v>845</v>
      </c>
      <c r="H3639" s="197" t="s">
        <v>876</v>
      </c>
    </row>
    <row r="3640" ht="15.75" customHeight="1">
      <c r="A3640" s="197" t="s">
        <v>83</v>
      </c>
      <c r="B3640" s="197" t="s">
        <v>21</v>
      </c>
      <c r="C3640" s="198" t="s">
        <v>208</v>
      </c>
      <c r="D3640" s="197" t="s">
        <v>209</v>
      </c>
      <c r="E3640" s="199">
        <v>3.0</v>
      </c>
      <c r="F3640" s="200">
        <v>45804.375</v>
      </c>
      <c r="G3640" s="197" t="s">
        <v>845</v>
      </c>
      <c r="H3640" s="197" t="s">
        <v>876</v>
      </c>
    </row>
    <row r="3641" ht="15.75" customHeight="1">
      <c r="A3641" s="197" t="s">
        <v>83</v>
      </c>
      <c r="B3641" s="197" t="s">
        <v>21</v>
      </c>
      <c r="C3641" s="198" t="s">
        <v>208</v>
      </c>
      <c r="D3641" s="197" t="s">
        <v>209</v>
      </c>
      <c r="E3641" s="199">
        <v>4.0</v>
      </c>
      <c r="F3641" s="200">
        <v>45805.41666666667</v>
      </c>
      <c r="G3641" s="197" t="s">
        <v>845</v>
      </c>
      <c r="H3641" s="197" t="s">
        <v>876</v>
      </c>
    </row>
    <row r="3642" ht="15.75" customHeight="1">
      <c r="A3642" s="197" t="s">
        <v>83</v>
      </c>
      <c r="B3642" s="197" t="s">
        <v>21</v>
      </c>
      <c r="C3642" s="198" t="s">
        <v>208</v>
      </c>
      <c r="D3642" s="197" t="s">
        <v>209</v>
      </c>
      <c r="E3642" s="199">
        <v>5.0</v>
      </c>
      <c r="F3642" s="200">
        <v>45812.45833333333</v>
      </c>
      <c r="G3642" s="197" t="s">
        <v>845</v>
      </c>
      <c r="H3642" s="197" t="s">
        <v>876</v>
      </c>
    </row>
    <row r="3643" ht="15.75" customHeight="1">
      <c r="A3643" s="197" t="s">
        <v>83</v>
      </c>
      <c r="B3643" s="197" t="s">
        <v>21</v>
      </c>
      <c r="C3643" s="198" t="s">
        <v>208</v>
      </c>
      <c r="D3643" s="197" t="s">
        <v>209</v>
      </c>
      <c r="E3643" s="199">
        <v>6.0</v>
      </c>
      <c r="F3643" s="200">
        <v>45819.45833333333</v>
      </c>
      <c r="G3643" s="197" t="s">
        <v>845</v>
      </c>
      <c r="H3643" s="197" t="s">
        <v>876</v>
      </c>
    </row>
    <row r="3644" ht="15.75" customHeight="1">
      <c r="A3644" s="197" t="s">
        <v>83</v>
      </c>
      <c r="B3644" s="197" t="s">
        <v>21</v>
      </c>
      <c r="C3644" s="198" t="s">
        <v>208</v>
      </c>
      <c r="D3644" s="197" t="s">
        <v>209</v>
      </c>
      <c r="E3644" s="199">
        <v>7.0</v>
      </c>
      <c r="F3644" s="200">
        <v>45827.41666666667</v>
      </c>
      <c r="G3644" s="197" t="s">
        <v>845</v>
      </c>
      <c r="H3644" s="197" t="s">
        <v>876</v>
      </c>
    </row>
    <row r="3645" ht="15.75" customHeight="1">
      <c r="A3645" s="197" t="s">
        <v>83</v>
      </c>
      <c r="B3645" s="197" t="s">
        <v>21</v>
      </c>
      <c r="C3645" s="198" t="s">
        <v>208</v>
      </c>
      <c r="D3645" s="197" t="s">
        <v>209</v>
      </c>
      <c r="E3645" s="199">
        <v>8.0</v>
      </c>
      <c r="F3645" s="200">
        <v>45833.375</v>
      </c>
      <c r="G3645" s="197" t="s">
        <v>845</v>
      </c>
      <c r="H3645" s="197" t="s">
        <v>876</v>
      </c>
    </row>
    <row r="3646" ht="15.75" customHeight="1">
      <c r="A3646" s="197" t="s">
        <v>83</v>
      </c>
      <c r="B3646" s="197" t="s">
        <v>21</v>
      </c>
      <c r="C3646" s="198" t="s">
        <v>208</v>
      </c>
      <c r="D3646" s="197" t="s">
        <v>209</v>
      </c>
      <c r="E3646" s="199">
        <v>9.0</v>
      </c>
      <c r="F3646" s="200">
        <v>45840.41666666667</v>
      </c>
      <c r="G3646" s="197" t="s">
        <v>845</v>
      </c>
      <c r="H3646" s="197" t="s">
        <v>876</v>
      </c>
    </row>
    <row r="3647" ht="15.75" customHeight="1">
      <c r="A3647" s="197" t="s">
        <v>83</v>
      </c>
      <c r="B3647" s="197" t="s">
        <v>21</v>
      </c>
      <c r="C3647" s="198" t="s">
        <v>208</v>
      </c>
      <c r="D3647" s="197" t="s">
        <v>209</v>
      </c>
      <c r="E3647" s="199">
        <v>10.0</v>
      </c>
      <c r="F3647" s="200">
        <v>45861.54166666667</v>
      </c>
      <c r="G3647" s="197" t="s">
        <v>845</v>
      </c>
      <c r="H3647" s="197" t="s">
        <v>876</v>
      </c>
    </row>
    <row r="3648" ht="15.75" customHeight="1">
      <c r="A3648" s="197" t="s">
        <v>83</v>
      </c>
      <c r="B3648" s="197" t="s">
        <v>22</v>
      </c>
      <c r="C3648" s="198" t="s">
        <v>208</v>
      </c>
      <c r="D3648" s="197" t="s">
        <v>209</v>
      </c>
      <c r="E3648" s="199">
        <v>1.0</v>
      </c>
      <c r="F3648" s="200">
        <v>45882.41666666667</v>
      </c>
      <c r="G3648" s="197" t="s">
        <v>845</v>
      </c>
      <c r="H3648" s="197" t="s">
        <v>876</v>
      </c>
    </row>
    <row r="3649" ht="15.75" customHeight="1">
      <c r="A3649" s="197" t="s">
        <v>83</v>
      </c>
      <c r="B3649" s="197" t="s">
        <v>22</v>
      </c>
      <c r="C3649" s="198" t="s">
        <v>208</v>
      </c>
      <c r="D3649" s="197" t="s">
        <v>209</v>
      </c>
      <c r="E3649" s="199">
        <v>2.0</v>
      </c>
      <c r="F3649" s="200">
        <v>45889.41666666667</v>
      </c>
      <c r="G3649" s="197" t="s">
        <v>845</v>
      </c>
      <c r="H3649" s="197" t="s">
        <v>876</v>
      </c>
    </row>
    <row r="3650" ht="15.75" customHeight="1">
      <c r="A3650" s="197" t="s">
        <v>83</v>
      </c>
      <c r="B3650" s="197" t="s">
        <v>22</v>
      </c>
      <c r="C3650" s="198" t="s">
        <v>208</v>
      </c>
      <c r="D3650" s="197" t="s">
        <v>209</v>
      </c>
      <c r="E3650" s="199">
        <v>3.0</v>
      </c>
      <c r="F3650" s="200">
        <v>45896.41666666667</v>
      </c>
      <c r="G3650" s="197" t="s">
        <v>845</v>
      </c>
      <c r="H3650" s="197" t="s">
        <v>876</v>
      </c>
    </row>
    <row r="3651" ht="15.75" customHeight="1">
      <c r="A3651" s="197" t="s">
        <v>83</v>
      </c>
      <c r="B3651" s="197" t="s">
        <v>22</v>
      </c>
      <c r="C3651" s="198" t="s">
        <v>208</v>
      </c>
      <c r="D3651" s="197" t="s">
        <v>209</v>
      </c>
      <c r="E3651" s="199">
        <v>4.0</v>
      </c>
      <c r="F3651" s="200">
        <v>45903.41666666667</v>
      </c>
      <c r="G3651" s="197" t="s">
        <v>845</v>
      </c>
      <c r="H3651" s="197" t="s">
        <v>876</v>
      </c>
    </row>
    <row r="3652" ht="15.75" customHeight="1">
      <c r="A3652" s="197" t="s">
        <v>83</v>
      </c>
      <c r="B3652" s="197" t="s">
        <v>22</v>
      </c>
      <c r="C3652" s="198" t="s">
        <v>208</v>
      </c>
      <c r="D3652" s="197" t="s">
        <v>209</v>
      </c>
      <c r="E3652" s="199">
        <v>5.0</v>
      </c>
      <c r="F3652" s="200">
        <v>45910.41666666667</v>
      </c>
      <c r="G3652" s="197" t="s">
        <v>845</v>
      </c>
      <c r="H3652" s="197" t="s">
        <v>876</v>
      </c>
    </row>
    <row r="3653" ht="15.75" customHeight="1">
      <c r="A3653" s="197" t="s">
        <v>83</v>
      </c>
      <c r="B3653" s="197" t="s">
        <v>22</v>
      </c>
      <c r="C3653" s="198" t="s">
        <v>208</v>
      </c>
      <c r="D3653" s="197" t="s">
        <v>209</v>
      </c>
      <c r="E3653" s="199">
        <v>6.0</v>
      </c>
      <c r="F3653" s="200">
        <v>45924.45833333333</v>
      </c>
      <c r="G3653" s="197" t="s">
        <v>845</v>
      </c>
      <c r="H3653" s="197" t="s">
        <v>876</v>
      </c>
    </row>
    <row r="3654" ht="15.75" customHeight="1">
      <c r="A3654" s="197" t="s">
        <v>83</v>
      </c>
      <c r="B3654" s="197" t="s">
        <v>22</v>
      </c>
      <c r="C3654" s="198" t="s">
        <v>208</v>
      </c>
      <c r="D3654" s="197" t="s">
        <v>209</v>
      </c>
      <c r="E3654" s="199">
        <v>7.0</v>
      </c>
      <c r="F3654" s="200">
        <v>45931.41666666667</v>
      </c>
      <c r="G3654" s="197" t="s">
        <v>845</v>
      </c>
      <c r="H3654" s="197" t="s">
        <v>876</v>
      </c>
    </row>
    <row r="3655" ht="15.75" customHeight="1">
      <c r="A3655" s="197" t="s">
        <v>83</v>
      </c>
      <c r="B3655" s="197" t="s">
        <v>22</v>
      </c>
      <c r="C3655" s="198" t="s">
        <v>208</v>
      </c>
      <c r="D3655" s="197" t="s">
        <v>209</v>
      </c>
      <c r="E3655" s="199">
        <v>8.0</v>
      </c>
      <c r="F3655" s="200">
        <v>45938.45833333333</v>
      </c>
      <c r="G3655" s="197" t="s">
        <v>845</v>
      </c>
      <c r="H3655" s="197" t="s">
        <v>876</v>
      </c>
    </row>
    <row r="3656" ht="15.75" customHeight="1">
      <c r="A3656" s="197" t="s">
        <v>83</v>
      </c>
      <c r="B3656" s="197" t="s">
        <v>22</v>
      </c>
      <c r="C3656" s="198" t="s">
        <v>208</v>
      </c>
      <c r="D3656" s="197" t="s">
        <v>209</v>
      </c>
      <c r="E3656" s="199">
        <v>9.0</v>
      </c>
      <c r="F3656" s="200">
        <v>45980.41666666667</v>
      </c>
      <c r="G3656" s="197" t="s">
        <v>845</v>
      </c>
      <c r="H3656" s="197" t="s">
        <v>876</v>
      </c>
    </row>
    <row r="3657" ht="15.75" customHeight="1">
      <c r="A3657" s="197" t="s">
        <v>83</v>
      </c>
      <c r="B3657" s="197" t="s">
        <v>22</v>
      </c>
      <c r="C3657" s="198" t="s">
        <v>208</v>
      </c>
      <c r="D3657" s="197" t="s">
        <v>209</v>
      </c>
      <c r="E3657" s="199">
        <v>10.0</v>
      </c>
      <c r="F3657" s="200">
        <v>45987.41666666667</v>
      </c>
      <c r="G3657" s="197" t="s">
        <v>845</v>
      </c>
      <c r="H3657" s="197" t="s">
        <v>876</v>
      </c>
    </row>
    <row r="3658" ht="15.75" customHeight="1">
      <c r="A3658" s="197" t="s">
        <v>83</v>
      </c>
      <c r="B3658" s="197" t="s">
        <v>22</v>
      </c>
      <c r="C3658" s="198" t="s">
        <v>208</v>
      </c>
      <c r="D3658" s="197" t="s">
        <v>209</v>
      </c>
      <c r="E3658" s="199">
        <v>11.0</v>
      </c>
      <c r="F3658" s="200">
        <v>45994.58333333333</v>
      </c>
      <c r="G3658" s="197" t="s">
        <v>845</v>
      </c>
      <c r="H3658" s="197" t="s">
        <v>876</v>
      </c>
    </row>
    <row r="3659" ht="15.75" customHeight="1">
      <c r="A3659" s="197" t="s">
        <v>83</v>
      </c>
      <c r="B3659" s="197" t="s">
        <v>22</v>
      </c>
      <c r="C3659" s="198" t="s">
        <v>208</v>
      </c>
      <c r="D3659" s="197" t="s">
        <v>209</v>
      </c>
      <c r="E3659" s="199">
        <v>12.0</v>
      </c>
      <c r="F3659" s="200">
        <v>46008.41666666667</v>
      </c>
      <c r="G3659" s="197" t="s">
        <v>845</v>
      </c>
      <c r="H3659" s="197" t="s">
        <v>876</v>
      </c>
    </row>
    <row r="3660" ht="15.75" customHeight="1">
      <c r="A3660" s="197" t="s">
        <v>83</v>
      </c>
      <c r="B3660" s="197" t="s">
        <v>22</v>
      </c>
      <c r="C3660" s="198" t="s">
        <v>208</v>
      </c>
      <c r="D3660" s="197" t="s">
        <v>209</v>
      </c>
      <c r="E3660" s="199">
        <v>13.0</v>
      </c>
      <c r="F3660" s="200">
        <v>46036.41666666667</v>
      </c>
      <c r="G3660" s="197" t="s">
        <v>845</v>
      </c>
      <c r="H3660" s="197" t="s">
        <v>876</v>
      </c>
    </row>
    <row r="3661" ht="15.75" customHeight="1">
      <c r="A3661" s="197" t="s">
        <v>83</v>
      </c>
      <c r="B3661" s="197" t="s">
        <v>22</v>
      </c>
      <c r="C3661" s="198" t="s">
        <v>208</v>
      </c>
      <c r="D3661" s="197" t="s">
        <v>209</v>
      </c>
      <c r="E3661" s="199">
        <v>14.0</v>
      </c>
      <c r="F3661" s="200">
        <v>46043.45833333333</v>
      </c>
      <c r="G3661" s="197" t="s">
        <v>845</v>
      </c>
      <c r="H3661" s="197" t="s">
        <v>876</v>
      </c>
    </row>
    <row r="3662" ht="15.75" customHeight="1">
      <c r="A3662" s="197" t="s">
        <v>83</v>
      </c>
      <c r="B3662" s="197" t="s">
        <v>22</v>
      </c>
      <c r="C3662" s="198" t="s">
        <v>208</v>
      </c>
      <c r="D3662" s="197" t="s">
        <v>209</v>
      </c>
      <c r="E3662" s="199">
        <v>15.0</v>
      </c>
      <c r="F3662" s="200">
        <v>46050.41666666667</v>
      </c>
      <c r="G3662" s="197" t="s">
        <v>845</v>
      </c>
      <c r="H3662" s="197" t="s">
        <v>876</v>
      </c>
    </row>
    <row r="3663" ht="15.75" customHeight="1">
      <c r="A3663" s="197" t="s">
        <v>83</v>
      </c>
      <c r="B3663" s="197" t="s">
        <v>22</v>
      </c>
      <c r="C3663" s="198" t="s">
        <v>208</v>
      </c>
      <c r="D3663" s="197" t="s">
        <v>209</v>
      </c>
      <c r="E3663" s="199">
        <v>16.0</v>
      </c>
      <c r="F3663" s="200">
        <v>46106.54166666667</v>
      </c>
      <c r="G3663" s="197" t="s">
        <v>845</v>
      </c>
      <c r="H3663" s="197" t="s">
        <v>876</v>
      </c>
    </row>
    <row r="3664" ht="15.75" customHeight="1">
      <c r="A3664" s="197" t="s">
        <v>83</v>
      </c>
      <c r="B3664" s="197" t="s">
        <v>22</v>
      </c>
      <c r="C3664" s="198" t="s">
        <v>241</v>
      </c>
      <c r="D3664" s="197" t="s">
        <v>242</v>
      </c>
      <c r="E3664" s="199">
        <v>1.0</v>
      </c>
      <c r="F3664" s="200">
        <v>45882.58333333333</v>
      </c>
      <c r="G3664" s="197" t="s">
        <v>845</v>
      </c>
      <c r="H3664" s="197" t="s">
        <v>876</v>
      </c>
    </row>
    <row r="3665" ht="15.75" customHeight="1">
      <c r="A3665" s="197" t="s">
        <v>83</v>
      </c>
      <c r="B3665" s="197" t="s">
        <v>22</v>
      </c>
      <c r="C3665" s="198" t="s">
        <v>241</v>
      </c>
      <c r="D3665" s="197" t="s">
        <v>242</v>
      </c>
      <c r="E3665" s="199">
        <v>2.0</v>
      </c>
      <c r="F3665" s="200">
        <v>45889.54166666667</v>
      </c>
      <c r="G3665" s="197" t="s">
        <v>845</v>
      </c>
      <c r="H3665" s="197" t="s">
        <v>876</v>
      </c>
    </row>
    <row r="3666" ht="15.75" customHeight="1">
      <c r="A3666" s="197" t="s">
        <v>83</v>
      </c>
      <c r="B3666" s="197" t="s">
        <v>22</v>
      </c>
      <c r="C3666" s="198" t="s">
        <v>241</v>
      </c>
      <c r="D3666" s="197" t="s">
        <v>242</v>
      </c>
      <c r="E3666" s="199">
        <v>3.0</v>
      </c>
      <c r="F3666" s="200">
        <v>45895.54166666667</v>
      </c>
      <c r="G3666" s="197" t="s">
        <v>845</v>
      </c>
      <c r="H3666" s="197" t="s">
        <v>876</v>
      </c>
    </row>
    <row r="3667" ht="15.75" customHeight="1">
      <c r="A3667" s="197" t="s">
        <v>83</v>
      </c>
      <c r="B3667" s="197" t="s">
        <v>22</v>
      </c>
      <c r="C3667" s="198" t="s">
        <v>241</v>
      </c>
      <c r="D3667" s="197" t="s">
        <v>242</v>
      </c>
      <c r="E3667" s="199">
        <v>4.0</v>
      </c>
      <c r="F3667" s="200">
        <v>45903.54166666667</v>
      </c>
      <c r="G3667" s="197" t="s">
        <v>845</v>
      </c>
      <c r="H3667" s="197" t="s">
        <v>876</v>
      </c>
    </row>
    <row r="3668" ht="15.75" customHeight="1">
      <c r="A3668" s="197" t="s">
        <v>83</v>
      </c>
      <c r="B3668" s="197" t="s">
        <v>22</v>
      </c>
      <c r="C3668" s="198" t="s">
        <v>241</v>
      </c>
      <c r="D3668" s="197" t="s">
        <v>242</v>
      </c>
      <c r="E3668" s="199">
        <v>5.0</v>
      </c>
      <c r="F3668" s="200">
        <v>45910.58333333333</v>
      </c>
      <c r="G3668" s="197" t="s">
        <v>845</v>
      </c>
      <c r="H3668" s="197" t="s">
        <v>876</v>
      </c>
    </row>
    <row r="3669" ht="15.75" customHeight="1">
      <c r="A3669" s="197" t="s">
        <v>83</v>
      </c>
      <c r="B3669" s="197" t="s">
        <v>22</v>
      </c>
      <c r="C3669" s="198" t="s">
        <v>241</v>
      </c>
      <c r="D3669" s="197" t="s">
        <v>242</v>
      </c>
      <c r="E3669" s="199">
        <v>6.0</v>
      </c>
      <c r="F3669" s="200">
        <v>45924.45833333333</v>
      </c>
      <c r="G3669" s="197" t="s">
        <v>843</v>
      </c>
      <c r="H3669" s="197" t="s">
        <v>876</v>
      </c>
    </row>
    <row r="3670" ht="15.75" customHeight="1">
      <c r="A3670" s="197" t="s">
        <v>83</v>
      </c>
      <c r="B3670" s="197" t="s">
        <v>22</v>
      </c>
      <c r="C3670" s="198" t="s">
        <v>241</v>
      </c>
      <c r="D3670" s="197" t="s">
        <v>242</v>
      </c>
      <c r="E3670" s="199">
        <v>7.0</v>
      </c>
      <c r="F3670" s="200">
        <v>45931.41666666667</v>
      </c>
      <c r="G3670" s="197" t="s">
        <v>845</v>
      </c>
      <c r="H3670" s="197" t="s">
        <v>876</v>
      </c>
    </row>
    <row r="3671" ht="15.75" customHeight="1">
      <c r="A3671" s="197" t="s">
        <v>83</v>
      </c>
      <c r="B3671" s="197" t="s">
        <v>22</v>
      </c>
      <c r="C3671" s="198" t="s">
        <v>241</v>
      </c>
      <c r="D3671" s="197" t="s">
        <v>242</v>
      </c>
      <c r="E3671" s="199">
        <v>8.0</v>
      </c>
      <c r="F3671" s="200">
        <v>45938.45833333333</v>
      </c>
      <c r="G3671" s="197" t="s">
        <v>845</v>
      </c>
      <c r="H3671" s="197" t="s">
        <v>876</v>
      </c>
    </row>
    <row r="3672" ht="15.75" customHeight="1">
      <c r="A3672" s="197" t="s">
        <v>83</v>
      </c>
      <c r="B3672" s="197" t="s">
        <v>22</v>
      </c>
      <c r="C3672" s="198" t="s">
        <v>241</v>
      </c>
      <c r="D3672" s="197" t="s">
        <v>242</v>
      </c>
      <c r="E3672" s="199">
        <v>9.0</v>
      </c>
      <c r="F3672" s="200">
        <v>45980.41666666667</v>
      </c>
      <c r="G3672" s="197" t="s">
        <v>845</v>
      </c>
      <c r="H3672" s="197" t="s">
        <v>876</v>
      </c>
    </row>
    <row r="3673" ht="15.75" customHeight="1">
      <c r="A3673" s="197" t="s">
        <v>83</v>
      </c>
      <c r="B3673" s="197" t="s">
        <v>22</v>
      </c>
      <c r="C3673" s="198" t="s">
        <v>241</v>
      </c>
      <c r="D3673" s="197" t="s">
        <v>242</v>
      </c>
      <c r="E3673" s="199">
        <v>10.0</v>
      </c>
      <c r="F3673" s="200">
        <v>45987.41666666667</v>
      </c>
      <c r="G3673" s="197" t="s">
        <v>845</v>
      </c>
      <c r="H3673" s="197" t="s">
        <v>876</v>
      </c>
    </row>
    <row r="3674" ht="15.75" customHeight="1">
      <c r="A3674" s="197" t="s">
        <v>83</v>
      </c>
      <c r="B3674" s="197" t="s">
        <v>22</v>
      </c>
      <c r="C3674" s="198" t="s">
        <v>241</v>
      </c>
      <c r="D3674" s="197" t="s">
        <v>242</v>
      </c>
      <c r="E3674" s="199">
        <v>11.0</v>
      </c>
      <c r="F3674" s="200">
        <v>45994.58333333333</v>
      </c>
      <c r="G3674" s="197" t="s">
        <v>845</v>
      </c>
      <c r="H3674" s="197" t="s">
        <v>876</v>
      </c>
    </row>
    <row r="3675" ht="15.75" customHeight="1">
      <c r="A3675" s="197" t="s">
        <v>83</v>
      </c>
      <c r="B3675" s="197" t="s">
        <v>22</v>
      </c>
      <c r="C3675" s="198" t="s">
        <v>241</v>
      </c>
      <c r="D3675" s="197" t="s">
        <v>242</v>
      </c>
      <c r="E3675" s="199">
        <v>12.0</v>
      </c>
      <c r="F3675" s="200">
        <v>46008.41666666667</v>
      </c>
      <c r="G3675" s="197" t="s">
        <v>845</v>
      </c>
      <c r="H3675" s="197" t="s">
        <v>876</v>
      </c>
    </row>
    <row r="3676" ht="15.75" customHeight="1">
      <c r="A3676" s="197" t="s">
        <v>83</v>
      </c>
      <c r="B3676" s="197" t="s">
        <v>22</v>
      </c>
      <c r="C3676" s="198" t="s">
        <v>241</v>
      </c>
      <c r="D3676" s="197" t="s">
        <v>242</v>
      </c>
      <c r="E3676" s="199">
        <v>13.0</v>
      </c>
      <c r="F3676" s="200">
        <v>46036.41666666667</v>
      </c>
      <c r="G3676" s="197" t="s">
        <v>845</v>
      </c>
      <c r="H3676" s="197" t="s">
        <v>876</v>
      </c>
    </row>
    <row r="3677" ht="15.75" customHeight="1">
      <c r="A3677" s="197" t="s">
        <v>83</v>
      </c>
      <c r="B3677" s="197" t="s">
        <v>22</v>
      </c>
      <c r="C3677" s="198" t="s">
        <v>241</v>
      </c>
      <c r="D3677" s="197" t="s">
        <v>242</v>
      </c>
      <c r="E3677" s="199">
        <v>14.0</v>
      </c>
      <c r="F3677" s="200">
        <v>46043.45833333333</v>
      </c>
      <c r="G3677" s="197" t="s">
        <v>845</v>
      </c>
      <c r="H3677" s="197" t="s">
        <v>876</v>
      </c>
    </row>
    <row r="3678" ht="15.75" customHeight="1">
      <c r="A3678" s="197" t="s">
        <v>83</v>
      </c>
      <c r="B3678" s="197" t="s">
        <v>22</v>
      </c>
      <c r="C3678" s="198" t="s">
        <v>241</v>
      </c>
      <c r="D3678" s="197" t="s">
        <v>242</v>
      </c>
      <c r="E3678" s="199">
        <v>15.0</v>
      </c>
      <c r="F3678" s="200">
        <v>46050.41666666667</v>
      </c>
      <c r="G3678" s="197" t="s">
        <v>845</v>
      </c>
      <c r="H3678" s="197" t="s">
        <v>876</v>
      </c>
    </row>
    <row r="3679" ht="15.75" customHeight="1">
      <c r="A3679" s="197" t="s">
        <v>83</v>
      </c>
      <c r="B3679" s="197" t="s">
        <v>22</v>
      </c>
      <c r="C3679" s="198" t="s">
        <v>241</v>
      </c>
      <c r="D3679" s="197" t="s">
        <v>242</v>
      </c>
      <c r="E3679" s="199">
        <v>16.0</v>
      </c>
      <c r="F3679" s="200">
        <v>46106.54166666667</v>
      </c>
      <c r="G3679" s="197" t="s">
        <v>845</v>
      </c>
      <c r="H3679" s="197" t="s">
        <v>876</v>
      </c>
    </row>
    <row r="3680" ht="15.75" customHeight="1">
      <c r="A3680" s="197" t="s">
        <v>83</v>
      </c>
      <c r="B3680" s="197" t="s">
        <v>21</v>
      </c>
      <c r="C3680" s="198" t="s">
        <v>243</v>
      </c>
      <c r="D3680" s="197" t="s">
        <v>244</v>
      </c>
      <c r="E3680" s="199">
        <v>1.0</v>
      </c>
      <c r="F3680" s="200">
        <v>45764.41666666667</v>
      </c>
      <c r="G3680" s="197" t="s">
        <v>845</v>
      </c>
      <c r="H3680" s="197" t="s">
        <v>876</v>
      </c>
    </row>
    <row r="3681" ht="15.75" customHeight="1">
      <c r="A3681" s="197" t="s">
        <v>83</v>
      </c>
      <c r="B3681" s="197" t="s">
        <v>21</v>
      </c>
      <c r="C3681" s="198" t="s">
        <v>243</v>
      </c>
      <c r="D3681" s="197" t="s">
        <v>244</v>
      </c>
      <c r="E3681" s="199">
        <v>2.0</v>
      </c>
      <c r="F3681" s="200">
        <v>45784.58333333333</v>
      </c>
      <c r="G3681" s="197" t="s">
        <v>845</v>
      </c>
      <c r="H3681" s="197" t="s">
        <v>876</v>
      </c>
    </row>
    <row r="3682" ht="15.75" customHeight="1">
      <c r="A3682" s="197" t="s">
        <v>83</v>
      </c>
      <c r="B3682" s="197" t="s">
        <v>21</v>
      </c>
      <c r="C3682" s="198" t="s">
        <v>243</v>
      </c>
      <c r="D3682" s="197" t="s">
        <v>244</v>
      </c>
      <c r="E3682" s="199">
        <v>3.0</v>
      </c>
      <c r="F3682" s="200">
        <v>45804.375</v>
      </c>
      <c r="G3682" s="197" t="s">
        <v>845</v>
      </c>
      <c r="H3682" s="197" t="s">
        <v>876</v>
      </c>
    </row>
    <row r="3683" ht="15.75" customHeight="1">
      <c r="A3683" s="197" t="s">
        <v>83</v>
      </c>
      <c r="B3683" s="197" t="s">
        <v>21</v>
      </c>
      <c r="C3683" s="198" t="s">
        <v>243</v>
      </c>
      <c r="D3683" s="197" t="s">
        <v>244</v>
      </c>
      <c r="E3683" s="199">
        <v>4.0</v>
      </c>
      <c r="F3683" s="200">
        <v>45805.41666666667</v>
      </c>
      <c r="G3683" s="197" t="s">
        <v>845</v>
      </c>
      <c r="H3683" s="197" t="s">
        <v>876</v>
      </c>
    </row>
    <row r="3684" ht="15.75" customHeight="1">
      <c r="A3684" s="197" t="s">
        <v>83</v>
      </c>
      <c r="B3684" s="197" t="s">
        <v>21</v>
      </c>
      <c r="C3684" s="198" t="s">
        <v>243</v>
      </c>
      <c r="D3684" s="197" t="s">
        <v>244</v>
      </c>
      <c r="E3684" s="199">
        <v>5.0</v>
      </c>
      <c r="F3684" s="200">
        <v>45812.45833333333</v>
      </c>
      <c r="G3684" s="197" t="s">
        <v>845</v>
      </c>
      <c r="H3684" s="197" t="s">
        <v>876</v>
      </c>
    </row>
    <row r="3685" ht="15.75" customHeight="1">
      <c r="A3685" s="197" t="s">
        <v>83</v>
      </c>
      <c r="B3685" s="197" t="s">
        <v>21</v>
      </c>
      <c r="C3685" s="198" t="s">
        <v>243</v>
      </c>
      <c r="D3685" s="197" t="s">
        <v>244</v>
      </c>
      <c r="E3685" s="199">
        <v>6.0</v>
      </c>
      <c r="F3685" s="200">
        <v>45819.45833333333</v>
      </c>
      <c r="G3685" s="197" t="s">
        <v>845</v>
      </c>
      <c r="H3685" s="197" t="s">
        <v>876</v>
      </c>
    </row>
    <row r="3686" ht="15.75" customHeight="1">
      <c r="A3686" s="197" t="s">
        <v>83</v>
      </c>
      <c r="B3686" s="197" t="s">
        <v>21</v>
      </c>
      <c r="C3686" s="198" t="s">
        <v>243</v>
      </c>
      <c r="D3686" s="197" t="s">
        <v>244</v>
      </c>
      <c r="E3686" s="199">
        <v>7.0</v>
      </c>
      <c r="F3686" s="200">
        <v>45827.41666666667</v>
      </c>
      <c r="G3686" s="197" t="s">
        <v>845</v>
      </c>
      <c r="H3686" s="197" t="s">
        <v>876</v>
      </c>
    </row>
    <row r="3687" ht="15.75" customHeight="1">
      <c r="A3687" s="197" t="s">
        <v>83</v>
      </c>
      <c r="B3687" s="197" t="s">
        <v>21</v>
      </c>
      <c r="C3687" s="198" t="s">
        <v>243</v>
      </c>
      <c r="D3687" s="197" t="s">
        <v>244</v>
      </c>
      <c r="E3687" s="199">
        <v>8.0</v>
      </c>
      <c r="F3687" s="200">
        <v>45833.375</v>
      </c>
      <c r="G3687" s="197" t="s">
        <v>845</v>
      </c>
      <c r="H3687" s="197" t="s">
        <v>876</v>
      </c>
    </row>
    <row r="3688" ht="15.75" customHeight="1">
      <c r="A3688" s="197" t="s">
        <v>83</v>
      </c>
      <c r="B3688" s="197" t="s">
        <v>21</v>
      </c>
      <c r="C3688" s="198" t="s">
        <v>243</v>
      </c>
      <c r="D3688" s="197" t="s">
        <v>244</v>
      </c>
      <c r="E3688" s="199">
        <v>9.0</v>
      </c>
      <c r="F3688" s="200">
        <v>45840.41666666667</v>
      </c>
      <c r="G3688" s="197" t="s">
        <v>845</v>
      </c>
      <c r="H3688" s="197" t="s">
        <v>876</v>
      </c>
    </row>
    <row r="3689" ht="15.75" customHeight="1">
      <c r="A3689" s="197" t="s">
        <v>83</v>
      </c>
      <c r="B3689" s="197" t="s">
        <v>21</v>
      </c>
      <c r="C3689" s="198" t="s">
        <v>243</v>
      </c>
      <c r="D3689" s="197" t="s">
        <v>244</v>
      </c>
      <c r="E3689" s="199">
        <v>10.0</v>
      </c>
      <c r="F3689" s="200">
        <v>45861.54166666667</v>
      </c>
      <c r="G3689" s="197" t="s">
        <v>845</v>
      </c>
      <c r="H3689" s="197" t="s">
        <v>876</v>
      </c>
    </row>
    <row r="3690" ht="15.75" customHeight="1">
      <c r="A3690" s="197" t="s">
        <v>83</v>
      </c>
      <c r="B3690" s="197" t="s">
        <v>22</v>
      </c>
      <c r="C3690" s="198" t="s">
        <v>243</v>
      </c>
      <c r="D3690" s="197" t="s">
        <v>244</v>
      </c>
      <c r="E3690" s="199">
        <v>1.0</v>
      </c>
      <c r="F3690" s="200">
        <v>45882.41666666667</v>
      </c>
      <c r="G3690" s="197" t="s">
        <v>843</v>
      </c>
      <c r="H3690" s="197" t="s">
        <v>876</v>
      </c>
    </row>
    <row r="3691" ht="15.75" customHeight="1">
      <c r="A3691" s="197" t="s">
        <v>83</v>
      </c>
      <c r="B3691" s="197" t="s">
        <v>22</v>
      </c>
      <c r="C3691" s="198" t="s">
        <v>243</v>
      </c>
      <c r="D3691" s="197" t="s">
        <v>244</v>
      </c>
      <c r="E3691" s="199">
        <v>2.0</v>
      </c>
      <c r="F3691" s="200">
        <v>45889.41666666667</v>
      </c>
      <c r="G3691" s="197" t="s">
        <v>845</v>
      </c>
      <c r="H3691" s="197" t="s">
        <v>876</v>
      </c>
    </row>
    <row r="3692" ht="15.75" customHeight="1">
      <c r="A3692" s="197" t="s">
        <v>83</v>
      </c>
      <c r="B3692" s="197" t="s">
        <v>22</v>
      </c>
      <c r="C3692" s="198" t="s">
        <v>243</v>
      </c>
      <c r="D3692" s="197" t="s">
        <v>244</v>
      </c>
      <c r="E3692" s="199">
        <v>3.0</v>
      </c>
      <c r="F3692" s="200">
        <v>45896.41666666667</v>
      </c>
      <c r="G3692" s="197" t="s">
        <v>845</v>
      </c>
      <c r="H3692" s="197" t="s">
        <v>876</v>
      </c>
    </row>
    <row r="3693" ht="15.75" customHeight="1">
      <c r="A3693" s="197" t="s">
        <v>83</v>
      </c>
      <c r="B3693" s="197" t="s">
        <v>22</v>
      </c>
      <c r="C3693" s="198" t="s">
        <v>243</v>
      </c>
      <c r="D3693" s="197" t="s">
        <v>244</v>
      </c>
      <c r="E3693" s="199">
        <v>4.0</v>
      </c>
      <c r="F3693" s="200">
        <v>45903.41666666667</v>
      </c>
      <c r="G3693" s="197" t="s">
        <v>845</v>
      </c>
      <c r="H3693" s="197" t="s">
        <v>876</v>
      </c>
    </row>
    <row r="3694" ht="15.75" customHeight="1">
      <c r="A3694" s="197" t="s">
        <v>83</v>
      </c>
      <c r="B3694" s="197" t="s">
        <v>22</v>
      </c>
      <c r="C3694" s="198" t="s">
        <v>243</v>
      </c>
      <c r="D3694" s="197" t="s">
        <v>244</v>
      </c>
      <c r="E3694" s="199">
        <v>5.0</v>
      </c>
      <c r="F3694" s="200">
        <v>45910.41666666667</v>
      </c>
      <c r="G3694" s="197" t="s">
        <v>845</v>
      </c>
      <c r="H3694" s="197" t="s">
        <v>876</v>
      </c>
    </row>
    <row r="3695" ht="15.75" customHeight="1">
      <c r="A3695" s="197" t="s">
        <v>83</v>
      </c>
      <c r="B3695" s="197" t="s">
        <v>22</v>
      </c>
      <c r="C3695" s="198" t="s">
        <v>243</v>
      </c>
      <c r="D3695" s="197" t="s">
        <v>244</v>
      </c>
      <c r="E3695" s="199">
        <v>6.0</v>
      </c>
      <c r="F3695" s="200">
        <v>45924.45833333333</v>
      </c>
      <c r="G3695" s="197" t="s">
        <v>845</v>
      </c>
      <c r="H3695" s="197" t="s">
        <v>876</v>
      </c>
    </row>
    <row r="3696" ht="15.75" customHeight="1">
      <c r="A3696" s="197" t="s">
        <v>83</v>
      </c>
      <c r="B3696" s="197" t="s">
        <v>22</v>
      </c>
      <c r="C3696" s="198" t="s">
        <v>243</v>
      </c>
      <c r="D3696" s="197" t="s">
        <v>244</v>
      </c>
      <c r="E3696" s="199">
        <v>7.0</v>
      </c>
      <c r="F3696" s="200">
        <v>45931.41666666667</v>
      </c>
      <c r="G3696" s="197" t="s">
        <v>843</v>
      </c>
      <c r="H3696" s="197" t="s">
        <v>876</v>
      </c>
    </row>
    <row r="3697" ht="15.75" customHeight="1">
      <c r="A3697" s="197" t="s">
        <v>83</v>
      </c>
      <c r="B3697" s="197" t="s">
        <v>22</v>
      </c>
      <c r="C3697" s="198" t="s">
        <v>243</v>
      </c>
      <c r="D3697" s="197" t="s">
        <v>244</v>
      </c>
      <c r="E3697" s="199">
        <v>8.0</v>
      </c>
      <c r="F3697" s="200">
        <v>45938.45833333333</v>
      </c>
      <c r="G3697" s="197" t="s">
        <v>845</v>
      </c>
      <c r="H3697" s="197" t="s">
        <v>876</v>
      </c>
    </row>
    <row r="3698" ht="15.75" customHeight="1">
      <c r="A3698" s="197" t="s">
        <v>83</v>
      </c>
      <c r="B3698" s="197" t="s">
        <v>22</v>
      </c>
      <c r="C3698" s="198" t="s">
        <v>243</v>
      </c>
      <c r="D3698" s="197" t="s">
        <v>244</v>
      </c>
      <c r="E3698" s="199">
        <v>9.0</v>
      </c>
      <c r="F3698" s="200">
        <v>45980.41666666667</v>
      </c>
      <c r="G3698" s="197" t="s">
        <v>845</v>
      </c>
      <c r="H3698" s="197" t="s">
        <v>876</v>
      </c>
    </row>
    <row r="3699" ht="15.75" customHeight="1">
      <c r="A3699" s="197" t="s">
        <v>83</v>
      </c>
      <c r="B3699" s="197" t="s">
        <v>22</v>
      </c>
      <c r="C3699" s="198" t="s">
        <v>243</v>
      </c>
      <c r="D3699" s="197" t="s">
        <v>244</v>
      </c>
      <c r="E3699" s="199">
        <v>10.0</v>
      </c>
      <c r="F3699" s="200">
        <v>45987.41666666667</v>
      </c>
      <c r="G3699" s="197" t="s">
        <v>845</v>
      </c>
      <c r="H3699" s="197" t="s">
        <v>876</v>
      </c>
    </row>
    <row r="3700" ht="15.75" customHeight="1">
      <c r="A3700" s="197" t="s">
        <v>83</v>
      </c>
      <c r="B3700" s="197" t="s">
        <v>22</v>
      </c>
      <c r="C3700" s="198" t="s">
        <v>243</v>
      </c>
      <c r="D3700" s="197" t="s">
        <v>244</v>
      </c>
      <c r="E3700" s="199">
        <v>11.0</v>
      </c>
      <c r="F3700" s="200">
        <v>45994.58333333333</v>
      </c>
      <c r="G3700" s="197" t="s">
        <v>845</v>
      </c>
      <c r="H3700" s="197" t="s">
        <v>876</v>
      </c>
    </row>
    <row r="3701" ht="15.75" customHeight="1">
      <c r="A3701" s="197" t="s">
        <v>83</v>
      </c>
      <c r="B3701" s="197" t="s">
        <v>22</v>
      </c>
      <c r="C3701" s="198" t="s">
        <v>243</v>
      </c>
      <c r="D3701" s="197" t="s">
        <v>244</v>
      </c>
      <c r="E3701" s="199">
        <v>12.0</v>
      </c>
      <c r="F3701" s="200">
        <v>46008.41666666667</v>
      </c>
      <c r="G3701" s="197" t="s">
        <v>845</v>
      </c>
      <c r="H3701" s="197" t="s">
        <v>876</v>
      </c>
    </row>
    <row r="3702" ht="15.75" customHeight="1">
      <c r="A3702" s="197" t="s">
        <v>83</v>
      </c>
      <c r="B3702" s="197" t="s">
        <v>22</v>
      </c>
      <c r="C3702" s="198" t="s">
        <v>243</v>
      </c>
      <c r="D3702" s="197" t="s">
        <v>244</v>
      </c>
      <c r="E3702" s="199">
        <v>13.0</v>
      </c>
      <c r="F3702" s="200">
        <v>46036.41666666667</v>
      </c>
      <c r="G3702" s="197" t="s">
        <v>843</v>
      </c>
      <c r="H3702" s="197" t="s">
        <v>876</v>
      </c>
    </row>
    <row r="3703" ht="15.75" customHeight="1">
      <c r="A3703" s="197" t="s">
        <v>83</v>
      </c>
      <c r="B3703" s="197" t="s">
        <v>22</v>
      </c>
      <c r="C3703" s="198" t="s">
        <v>243</v>
      </c>
      <c r="D3703" s="197" t="s">
        <v>244</v>
      </c>
      <c r="E3703" s="199">
        <v>14.0</v>
      </c>
      <c r="F3703" s="200">
        <v>46043.45833333333</v>
      </c>
      <c r="G3703" s="197" t="s">
        <v>843</v>
      </c>
      <c r="H3703" s="197" t="s">
        <v>876</v>
      </c>
    </row>
    <row r="3704" ht="15.75" customHeight="1">
      <c r="A3704" s="197" t="s">
        <v>83</v>
      </c>
      <c r="B3704" s="197" t="s">
        <v>22</v>
      </c>
      <c r="C3704" s="198" t="s">
        <v>243</v>
      </c>
      <c r="D3704" s="197" t="s">
        <v>244</v>
      </c>
      <c r="E3704" s="199">
        <v>15.0</v>
      </c>
      <c r="F3704" s="200">
        <v>46050.41666666667</v>
      </c>
      <c r="G3704" s="197" t="s">
        <v>845</v>
      </c>
      <c r="H3704" s="197" t="s">
        <v>876</v>
      </c>
    </row>
    <row r="3705" ht="15.75" customHeight="1">
      <c r="A3705" s="197" t="s">
        <v>83</v>
      </c>
      <c r="B3705" s="197" t="s">
        <v>22</v>
      </c>
      <c r="C3705" s="198" t="s">
        <v>243</v>
      </c>
      <c r="D3705" s="197" t="s">
        <v>244</v>
      </c>
      <c r="E3705" s="199">
        <v>16.0</v>
      </c>
      <c r="F3705" s="200">
        <v>46106.54166666667</v>
      </c>
      <c r="G3705" s="197" t="s">
        <v>845</v>
      </c>
      <c r="H3705" s="197" t="s">
        <v>876</v>
      </c>
    </row>
    <row r="3706" ht="15.75" customHeight="1">
      <c r="A3706" s="197" t="s">
        <v>83</v>
      </c>
      <c r="B3706" s="197" t="s">
        <v>21</v>
      </c>
      <c r="C3706" s="198" t="s">
        <v>305</v>
      </c>
      <c r="D3706" s="197" t="s">
        <v>306</v>
      </c>
      <c r="E3706" s="199">
        <v>1.0</v>
      </c>
      <c r="F3706" s="200">
        <v>45764.41666666667</v>
      </c>
      <c r="G3706" s="197" t="s">
        <v>845</v>
      </c>
      <c r="H3706" s="197" t="s">
        <v>876</v>
      </c>
    </row>
    <row r="3707" ht="15.75" customHeight="1">
      <c r="A3707" s="197" t="s">
        <v>83</v>
      </c>
      <c r="B3707" s="197" t="s">
        <v>21</v>
      </c>
      <c r="C3707" s="198" t="s">
        <v>305</v>
      </c>
      <c r="D3707" s="197" t="s">
        <v>306</v>
      </c>
      <c r="E3707" s="199">
        <v>2.0</v>
      </c>
      <c r="F3707" s="200">
        <v>45784.58333333333</v>
      </c>
      <c r="G3707" s="197" t="s">
        <v>845</v>
      </c>
      <c r="H3707" s="197" t="s">
        <v>876</v>
      </c>
    </row>
    <row r="3708" ht="15.75" customHeight="1">
      <c r="A3708" s="197" t="s">
        <v>83</v>
      </c>
      <c r="B3708" s="197" t="s">
        <v>21</v>
      </c>
      <c r="C3708" s="198" t="s">
        <v>305</v>
      </c>
      <c r="D3708" s="197" t="s">
        <v>306</v>
      </c>
      <c r="E3708" s="199">
        <v>3.0</v>
      </c>
      <c r="F3708" s="200">
        <v>45804.375</v>
      </c>
      <c r="G3708" s="197" t="s">
        <v>845</v>
      </c>
      <c r="H3708" s="197" t="s">
        <v>876</v>
      </c>
    </row>
    <row r="3709" ht="15.75" customHeight="1">
      <c r="A3709" s="197" t="s">
        <v>83</v>
      </c>
      <c r="B3709" s="197" t="s">
        <v>21</v>
      </c>
      <c r="C3709" s="198" t="s">
        <v>305</v>
      </c>
      <c r="D3709" s="197" t="s">
        <v>306</v>
      </c>
      <c r="E3709" s="199">
        <v>4.0</v>
      </c>
      <c r="F3709" s="200">
        <v>45805.41666666667</v>
      </c>
      <c r="G3709" s="197" t="s">
        <v>845</v>
      </c>
      <c r="H3709" s="197" t="s">
        <v>876</v>
      </c>
    </row>
    <row r="3710" ht="15.75" customHeight="1">
      <c r="A3710" s="197" t="s">
        <v>83</v>
      </c>
      <c r="B3710" s="197" t="s">
        <v>21</v>
      </c>
      <c r="C3710" s="198" t="s">
        <v>305</v>
      </c>
      <c r="D3710" s="197" t="s">
        <v>306</v>
      </c>
      <c r="E3710" s="199">
        <v>5.0</v>
      </c>
      <c r="F3710" s="200">
        <v>45812.45833333333</v>
      </c>
      <c r="G3710" s="197" t="s">
        <v>845</v>
      </c>
      <c r="H3710" s="197" t="s">
        <v>876</v>
      </c>
    </row>
    <row r="3711" ht="15.75" customHeight="1">
      <c r="A3711" s="197" t="s">
        <v>83</v>
      </c>
      <c r="B3711" s="197" t="s">
        <v>21</v>
      </c>
      <c r="C3711" s="198" t="s">
        <v>305</v>
      </c>
      <c r="D3711" s="197" t="s">
        <v>306</v>
      </c>
      <c r="E3711" s="199">
        <v>6.0</v>
      </c>
      <c r="F3711" s="200">
        <v>45819.45833333333</v>
      </c>
      <c r="G3711" s="197" t="s">
        <v>845</v>
      </c>
      <c r="H3711" s="197" t="s">
        <v>876</v>
      </c>
    </row>
    <row r="3712" ht="15.75" customHeight="1">
      <c r="A3712" s="197" t="s">
        <v>83</v>
      </c>
      <c r="B3712" s="197" t="s">
        <v>21</v>
      </c>
      <c r="C3712" s="198" t="s">
        <v>305</v>
      </c>
      <c r="D3712" s="197" t="s">
        <v>306</v>
      </c>
      <c r="E3712" s="199">
        <v>7.0</v>
      </c>
      <c r="F3712" s="200">
        <v>45827.41666666667</v>
      </c>
      <c r="G3712" s="197" t="s">
        <v>845</v>
      </c>
      <c r="H3712" s="197" t="s">
        <v>876</v>
      </c>
    </row>
    <row r="3713" ht="15.75" customHeight="1">
      <c r="A3713" s="197" t="s">
        <v>83</v>
      </c>
      <c r="B3713" s="197" t="s">
        <v>21</v>
      </c>
      <c r="C3713" s="198" t="s">
        <v>305</v>
      </c>
      <c r="D3713" s="197" t="s">
        <v>306</v>
      </c>
      <c r="E3713" s="199">
        <v>8.0</v>
      </c>
      <c r="F3713" s="200">
        <v>45833.375</v>
      </c>
      <c r="G3713" s="197" t="s">
        <v>845</v>
      </c>
      <c r="H3713" s="197" t="s">
        <v>876</v>
      </c>
    </row>
    <row r="3714" ht="15.75" customHeight="1">
      <c r="A3714" s="197" t="s">
        <v>83</v>
      </c>
      <c r="B3714" s="197" t="s">
        <v>21</v>
      </c>
      <c r="C3714" s="198" t="s">
        <v>305</v>
      </c>
      <c r="D3714" s="197" t="s">
        <v>306</v>
      </c>
      <c r="E3714" s="199">
        <v>9.0</v>
      </c>
      <c r="F3714" s="200">
        <v>45840.41666666667</v>
      </c>
      <c r="G3714" s="197" t="s">
        <v>845</v>
      </c>
      <c r="H3714" s="197" t="s">
        <v>876</v>
      </c>
    </row>
    <row r="3715" ht="15.75" customHeight="1">
      <c r="A3715" s="197" t="s">
        <v>83</v>
      </c>
      <c r="B3715" s="197" t="s">
        <v>21</v>
      </c>
      <c r="C3715" s="198" t="s">
        <v>305</v>
      </c>
      <c r="D3715" s="197" t="s">
        <v>306</v>
      </c>
      <c r="E3715" s="199">
        <v>10.0</v>
      </c>
      <c r="F3715" s="200">
        <v>45861.54166666667</v>
      </c>
      <c r="G3715" s="197" t="s">
        <v>845</v>
      </c>
      <c r="H3715" s="197" t="s">
        <v>876</v>
      </c>
    </row>
    <row r="3716" ht="15.75" customHeight="1">
      <c r="A3716" s="197" t="s">
        <v>83</v>
      </c>
      <c r="B3716" s="197" t="s">
        <v>22</v>
      </c>
      <c r="C3716" s="198" t="s">
        <v>305</v>
      </c>
      <c r="D3716" s="197" t="s">
        <v>306</v>
      </c>
      <c r="E3716" s="199">
        <v>1.0</v>
      </c>
      <c r="F3716" s="200">
        <v>45882.41666666667</v>
      </c>
      <c r="G3716" s="197" t="s">
        <v>845</v>
      </c>
      <c r="H3716" s="197" t="s">
        <v>876</v>
      </c>
    </row>
    <row r="3717" ht="15.75" customHeight="1">
      <c r="A3717" s="197" t="s">
        <v>83</v>
      </c>
      <c r="B3717" s="197" t="s">
        <v>22</v>
      </c>
      <c r="C3717" s="198" t="s">
        <v>305</v>
      </c>
      <c r="D3717" s="197" t="s">
        <v>306</v>
      </c>
      <c r="E3717" s="199">
        <v>2.0</v>
      </c>
      <c r="F3717" s="200">
        <v>45889.41666666667</v>
      </c>
      <c r="G3717" s="197" t="s">
        <v>845</v>
      </c>
      <c r="H3717" s="197" t="s">
        <v>876</v>
      </c>
    </row>
    <row r="3718" ht="15.75" customHeight="1">
      <c r="A3718" s="197" t="s">
        <v>83</v>
      </c>
      <c r="B3718" s="197" t="s">
        <v>22</v>
      </c>
      <c r="C3718" s="198" t="s">
        <v>305</v>
      </c>
      <c r="D3718" s="197" t="s">
        <v>306</v>
      </c>
      <c r="E3718" s="199">
        <v>3.0</v>
      </c>
      <c r="F3718" s="200">
        <v>45896.41666666667</v>
      </c>
      <c r="G3718" s="197" t="s">
        <v>845</v>
      </c>
      <c r="H3718" s="197" t="s">
        <v>876</v>
      </c>
    </row>
    <row r="3719" ht="15.75" customHeight="1">
      <c r="A3719" s="197" t="s">
        <v>83</v>
      </c>
      <c r="B3719" s="197" t="s">
        <v>22</v>
      </c>
      <c r="C3719" s="198" t="s">
        <v>305</v>
      </c>
      <c r="D3719" s="197" t="s">
        <v>306</v>
      </c>
      <c r="E3719" s="199">
        <v>4.0</v>
      </c>
      <c r="F3719" s="200">
        <v>45903.41666666667</v>
      </c>
      <c r="G3719" s="197" t="s">
        <v>845</v>
      </c>
      <c r="H3719" s="197" t="s">
        <v>876</v>
      </c>
    </row>
    <row r="3720" ht="15.75" customHeight="1">
      <c r="A3720" s="197" t="s">
        <v>83</v>
      </c>
      <c r="B3720" s="197" t="s">
        <v>22</v>
      </c>
      <c r="C3720" s="198" t="s">
        <v>305</v>
      </c>
      <c r="D3720" s="197" t="s">
        <v>306</v>
      </c>
      <c r="E3720" s="199">
        <v>5.0</v>
      </c>
      <c r="F3720" s="200">
        <v>45910.41666666667</v>
      </c>
      <c r="G3720" s="197" t="s">
        <v>845</v>
      </c>
      <c r="H3720" s="197" t="s">
        <v>876</v>
      </c>
    </row>
    <row r="3721" ht="15.75" customHeight="1">
      <c r="A3721" s="197" t="s">
        <v>83</v>
      </c>
      <c r="B3721" s="197" t="s">
        <v>22</v>
      </c>
      <c r="C3721" s="198" t="s">
        <v>305</v>
      </c>
      <c r="D3721" s="197" t="s">
        <v>306</v>
      </c>
      <c r="E3721" s="199">
        <v>6.0</v>
      </c>
      <c r="F3721" s="200">
        <v>45924.45833333333</v>
      </c>
      <c r="G3721" s="197" t="s">
        <v>845</v>
      </c>
      <c r="H3721" s="197" t="s">
        <v>876</v>
      </c>
    </row>
    <row r="3722" ht="15.75" customHeight="1">
      <c r="A3722" s="197" t="s">
        <v>83</v>
      </c>
      <c r="B3722" s="197" t="s">
        <v>22</v>
      </c>
      <c r="C3722" s="198" t="s">
        <v>305</v>
      </c>
      <c r="D3722" s="197" t="s">
        <v>306</v>
      </c>
      <c r="E3722" s="199">
        <v>7.0</v>
      </c>
      <c r="F3722" s="200">
        <v>45931.41666666667</v>
      </c>
      <c r="G3722" s="197" t="s">
        <v>845</v>
      </c>
      <c r="H3722" s="197" t="s">
        <v>876</v>
      </c>
    </row>
    <row r="3723" ht="15.75" customHeight="1">
      <c r="A3723" s="197" t="s">
        <v>83</v>
      </c>
      <c r="B3723" s="197" t="s">
        <v>22</v>
      </c>
      <c r="C3723" s="198" t="s">
        <v>305</v>
      </c>
      <c r="D3723" s="197" t="s">
        <v>306</v>
      </c>
      <c r="E3723" s="199">
        <v>8.0</v>
      </c>
      <c r="F3723" s="200">
        <v>45938.45833333333</v>
      </c>
      <c r="G3723" s="197" t="s">
        <v>845</v>
      </c>
      <c r="H3723" s="197" t="s">
        <v>876</v>
      </c>
    </row>
    <row r="3724" ht="15.75" customHeight="1">
      <c r="A3724" s="197" t="s">
        <v>83</v>
      </c>
      <c r="B3724" s="197" t="s">
        <v>22</v>
      </c>
      <c r="C3724" s="198" t="s">
        <v>305</v>
      </c>
      <c r="D3724" s="197" t="s">
        <v>306</v>
      </c>
      <c r="E3724" s="199">
        <v>9.0</v>
      </c>
      <c r="F3724" s="200">
        <v>45980.41666666667</v>
      </c>
      <c r="G3724" s="197" t="s">
        <v>845</v>
      </c>
      <c r="H3724" s="197" t="s">
        <v>876</v>
      </c>
    </row>
    <row r="3725" ht="15.75" customHeight="1">
      <c r="A3725" s="197" t="s">
        <v>83</v>
      </c>
      <c r="B3725" s="197" t="s">
        <v>22</v>
      </c>
      <c r="C3725" s="198" t="s">
        <v>305</v>
      </c>
      <c r="D3725" s="197" t="s">
        <v>306</v>
      </c>
      <c r="E3725" s="199">
        <v>10.0</v>
      </c>
      <c r="F3725" s="200">
        <v>45987.41666666667</v>
      </c>
      <c r="G3725" s="197" t="s">
        <v>843</v>
      </c>
      <c r="H3725" s="197" t="s">
        <v>876</v>
      </c>
    </row>
    <row r="3726" ht="15.75" customHeight="1">
      <c r="A3726" s="197" t="s">
        <v>83</v>
      </c>
      <c r="B3726" s="197" t="s">
        <v>22</v>
      </c>
      <c r="C3726" s="198" t="s">
        <v>305</v>
      </c>
      <c r="D3726" s="197" t="s">
        <v>306</v>
      </c>
      <c r="E3726" s="199">
        <v>11.0</v>
      </c>
      <c r="F3726" s="200">
        <v>45994.58333333333</v>
      </c>
      <c r="G3726" s="197" t="s">
        <v>845</v>
      </c>
      <c r="H3726" s="197" t="s">
        <v>876</v>
      </c>
    </row>
    <row r="3727" ht="15.75" customHeight="1">
      <c r="A3727" s="197" t="s">
        <v>83</v>
      </c>
      <c r="B3727" s="197" t="s">
        <v>22</v>
      </c>
      <c r="C3727" s="198" t="s">
        <v>305</v>
      </c>
      <c r="D3727" s="197" t="s">
        <v>306</v>
      </c>
      <c r="E3727" s="199">
        <v>12.0</v>
      </c>
      <c r="F3727" s="200">
        <v>46008.41666666667</v>
      </c>
      <c r="G3727" s="197" t="s">
        <v>845</v>
      </c>
      <c r="H3727" s="197" t="s">
        <v>876</v>
      </c>
    </row>
    <row r="3728" ht="15.75" customHeight="1">
      <c r="A3728" s="197" t="s">
        <v>83</v>
      </c>
      <c r="B3728" s="197" t="s">
        <v>22</v>
      </c>
      <c r="C3728" s="198" t="s">
        <v>305</v>
      </c>
      <c r="D3728" s="197" t="s">
        <v>306</v>
      </c>
      <c r="E3728" s="199">
        <v>13.0</v>
      </c>
      <c r="F3728" s="200">
        <v>46036.41666666667</v>
      </c>
      <c r="G3728" s="197" t="s">
        <v>845</v>
      </c>
      <c r="H3728" s="197" t="s">
        <v>876</v>
      </c>
    </row>
    <row r="3729" ht="15.75" customHeight="1">
      <c r="A3729" s="197" t="s">
        <v>83</v>
      </c>
      <c r="B3729" s="197" t="s">
        <v>22</v>
      </c>
      <c r="C3729" s="198" t="s">
        <v>305</v>
      </c>
      <c r="D3729" s="197" t="s">
        <v>306</v>
      </c>
      <c r="E3729" s="199">
        <v>14.0</v>
      </c>
      <c r="F3729" s="200">
        <v>46043.45833333333</v>
      </c>
      <c r="G3729" s="197" t="s">
        <v>845</v>
      </c>
      <c r="H3729" s="197" t="s">
        <v>876</v>
      </c>
    </row>
    <row r="3730" ht="15.75" customHeight="1">
      <c r="A3730" s="197" t="s">
        <v>83</v>
      </c>
      <c r="B3730" s="197" t="s">
        <v>22</v>
      </c>
      <c r="C3730" s="198" t="s">
        <v>305</v>
      </c>
      <c r="D3730" s="197" t="s">
        <v>306</v>
      </c>
      <c r="E3730" s="199">
        <v>15.0</v>
      </c>
      <c r="F3730" s="200">
        <v>46050.41666666667</v>
      </c>
      <c r="G3730" s="197" t="s">
        <v>845</v>
      </c>
      <c r="H3730" s="197" t="s">
        <v>876</v>
      </c>
    </row>
    <row r="3731" ht="15.75" customHeight="1">
      <c r="A3731" s="197" t="s">
        <v>83</v>
      </c>
      <c r="B3731" s="197" t="s">
        <v>22</v>
      </c>
      <c r="C3731" s="198" t="s">
        <v>305</v>
      </c>
      <c r="D3731" s="197" t="s">
        <v>306</v>
      </c>
      <c r="E3731" s="199">
        <v>16.0</v>
      </c>
      <c r="F3731" s="200">
        <v>46106.54166666667</v>
      </c>
      <c r="G3731" s="197" t="s">
        <v>845</v>
      </c>
      <c r="H3731" s="197" t="s">
        <v>876</v>
      </c>
    </row>
    <row r="3732" ht="15.75" customHeight="1">
      <c r="A3732" s="197" t="s">
        <v>83</v>
      </c>
      <c r="B3732" s="197" t="s">
        <v>21</v>
      </c>
      <c r="C3732" s="198" t="s">
        <v>442</v>
      </c>
      <c r="D3732" s="197" t="s">
        <v>443</v>
      </c>
      <c r="E3732" s="199">
        <v>1.0</v>
      </c>
      <c r="F3732" s="200">
        <v>45764.41666666667</v>
      </c>
      <c r="G3732" s="197" t="s">
        <v>845</v>
      </c>
      <c r="H3732" s="197" t="s">
        <v>876</v>
      </c>
    </row>
    <row r="3733" ht="15.75" customHeight="1">
      <c r="A3733" s="197" t="s">
        <v>83</v>
      </c>
      <c r="B3733" s="197" t="s">
        <v>21</v>
      </c>
      <c r="C3733" s="198" t="s">
        <v>442</v>
      </c>
      <c r="D3733" s="197" t="s">
        <v>443</v>
      </c>
      <c r="E3733" s="199">
        <v>2.0</v>
      </c>
      <c r="F3733" s="200">
        <v>45784.58333333333</v>
      </c>
      <c r="G3733" s="197" t="s">
        <v>845</v>
      </c>
      <c r="H3733" s="197" t="s">
        <v>876</v>
      </c>
    </row>
    <row r="3734" ht="15.75" customHeight="1">
      <c r="A3734" s="197" t="s">
        <v>83</v>
      </c>
      <c r="B3734" s="197" t="s">
        <v>21</v>
      </c>
      <c r="C3734" s="198" t="s">
        <v>442</v>
      </c>
      <c r="D3734" s="197" t="s">
        <v>443</v>
      </c>
      <c r="E3734" s="199">
        <v>3.0</v>
      </c>
      <c r="F3734" s="200">
        <v>45804.375</v>
      </c>
      <c r="G3734" s="197" t="s">
        <v>845</v>
      </c>
      <c r="H3734" s="197" t="s">
        <v>876</v>
      </c>
    </row>
    <row r="3735" ht="15.75" customHeight="1">
      <c r="A3735" s="197" t="s">
        <v>83</v>
      </c>
      <c r="B3735" s="197" t="s">
        <v>21</v>
      </c>
      <c r="C3735" s="198" t="s">
        <v>442</v>
      </c>
      <c r="D3735" s="197" t="s">
        <v>443</v>
      </c>
      <c r="E3735" s="199">
        <v>4.0</v>
      </c>
      <c r="F3735" s="200">
        <v>45805.41666666667</v>
      </c>
      <c r="G3735" s="197" t="s">
        <v>845</v>
      </c>
      <c r="H3735" s="197" t="s">
        <v>876</v>
      </c>
    </row>
    <row r="3736" ht="15.75" customHeight="1">
      <c r="A3736" s="197" t="s">
        <v>83</v>
      </c>
      <c r="B3736" s="197" t="s">
        <v>21</v>
      </c>
      <c r="C3736" s="198" t="s">
        <v>442</v>
      </c>
      <c r="D3736" s="197" t="s">
        <v>443</v>
      </c>
      <c r="E3736" s="199">
        <v>5.0</v>
      </c>
      <c r="F3736" s="200">
        <v>45812.45833333333</v>
      </c>
      <c r="G3736" s="197" t="s">
        <v>843</v>
      </c>
      <c r="H3736" s="197" t="s">
        <v>876</v>
      </c>
    </row>
    <row r="3737" ht="15.75" customHeight="1">
      <c r="A3737" s="197" t="s">
        <v>83</v>
      </c>
      <c r="B3737" s="197" t="s">
        <v>21</v>
      </c>
      <c r="C3737" s="198" t="s">
        <v>442</v>
      </c>
      <c r="D3737" s="197" t="s">
        <v>443</v>
      </c>
      <c r="E3737" s="199">
        <v>6.0</v>
      </c>
      <c r="F3737" s="200">
        <v>45819.45833333333</v>
      </c>
      <c r="G3737" s="197" t="s">
        <v>845</v>
      </c>
      <c r="H3737" s="197" t="s">
        <v>876</v>
      </c>
    </row>
    <row r="3738" ht="15.75" customHeight="1">
      <c r="A3738" s="197" t="s">
        <v>83</v>
      </c>
      <c r="B3738" s="197" t="s">
        <v>21</v>
      </c>
      <c r="C3738" s="198" t="s">
        <v>442</v>
      </c>
      <c r="D3738" s="197" t="s">
        <v>443</v>
      </c>
      <c r="E3738" s="199">
        <v>7.0</v>
      </c>
      <c r="F3738" s="200">
        <v>45827.41666666667</v>
      </c>
      <c r="G3738" s="197" t="s">
        <v>845</v>
      </c>
      <c r="H3738" s="197" t="s">
        <v>876</v>
      </c>
    </row>
    <row r="3739" ht="15.75" customHeight="1">
      <c r="A3739" s="197" t="s">
        <v>83</v>
      </c>
      <c r="B3739" s="197" t="s">
        <v>21</v>
      </c>
      <c r="C3739" s="198" t="s">
        <v>442</v>
      </c>
      <c r="D3739" s="197" t="s">
        <v>443</v>
      </c>
      <c r="E3739" s="199">
        <v>8.0</v>
      </c>
      <c r="F3739" s="200">
        <v>45833.375</v>
      </c>
      <c r="G3739" s="197" t="s">
        <v>845</v>
      </c>
      <c r="H3739" s="197" t="s">
        <v>876</v>
      </c>
    </row>
    <row r="3740" ht="15.75" customHeight="1">
      <c r="A3740" s="197" t="s">
        <v>83</v>
      </c>
      <c r="B3740" s="197" t="s">
        <v>21</v>
      </c>
      <c r="C3740" s="198" t="s">
        <v>442</v>
      </c>
      <c r="D3740" s="197" t="s">
        <v>443</v>
      </c>
      <c r="E3740" s="199">
        <v>9.0</v>
      </c>
      <c r="F3740" s="200">
        <v>45840.41666666667</v>
      </c>
      <c r="G3740" s="197" t="s">
        <v>845</v>
      </c>
      <c r="H3740" s="197" t="s">
        <v>876</v>
      </c>
    </row>
    <row r="3741" ht="15.75" customHeight="1">
      <c r="A3741" s="197" t="s">
        <v>83</v>
      </c>
      <c r="B3741" s="197" t="s">
        <v>21</v>
      </c>
      <c r="C3741" s="198" t="s">
        <v>442</v>
      </c>
      <c r="D3741" s="197" t="s">
        <v>443</v>
      </c>
      <c r="E3741" s="199">
        <v>10.0</v>
      </c>
      <c r="F3741" s="200">
        <v>45861.54166666667</v>
      </c>
      <c r="G3741" s="197" t="s">
        <v>845</v>
      </c>
      <c r="H3741" s="197" t="s">
        <v>876</v>
      </c>
    </row>
    <row r="3742" ht="15.75" customHeight="1">
      <c r="A3742" s="197" t="s">
        <v>83</v>
      </c>
      <c r="B3742" s="197" t="s">
        <v>22</v>
      </c>
      <c r="C3742" s="198" t="s">
        <v>442</v>
      </c>
      <c r="D3742" s="197" t="s">
        <v>443</v>
      </c>
      <c r="E3742" s="199">
        <v>1.0</v>
      </c>
      <c r="F3742" s="200">
        <v>45882.41666666667</v>
      </c>
      <c r="G3742" s="197" t="s">
        <v>845</v>
      </c>
      <c r="H3742" s="197" t="s">
        <v>876</v>
      </c>
    </row>
    <row r="3743" ht="15.75" customHeight="1">
      <c r="A3743" s="197" t="s">
        <v>83</v>
      </c>
      <c r="B3743" s="197" t="s">
        <v>22</v>
      </c>
      <c r="C3743" s="198" t="s">
        <v>442</v>
      </c>
      <c r="D3743" s="197" t="s">
        <v>443</v>
      </c>
      <c r="E3743" s="199">
        <v>2.0</v>
      </c>
      <c r="F3743" s="200">
        <v>45889.41666666667</v>
      </c>
      <c r="G3743" s="197" t="s">
        <v>845</v>
      </c>
      <c r="H3743" s="197" t="s">
        <v>876</v>
      </c>
    </row>
    <row r="3744" ht="15.75" customHeight="1">
      <c r="A3744" s="197" t="s">
        <v>83</v>
      </c>
      <c r="B3744" s="197" t="s">
        <v>22</v>
      </c>
      <c r="C3744" s="198" t="s">
        <v>442</v>
      </c>
      <c r="D3744" s="197" t="s">
        <v>443</v>
      </c>
      <c r="E3744" s="199">
        <v>3.0</v>
      </c>
      <c r="F3744" s="200">
        <v>45896.41666666667</v>
      </c>
      <c r="G3744" s="197" t="s">
        <v>845</v>
      </c>
      <c r="H3744" s="197" t="s">
        <v>876</v>
      </c>
    </row>
    <row r="3745" ht="15.75" customHeight="1">
      <c r="A3745" s="197" t="s">
        <v>83</v>
      </c>
      <c r="B3745" s="197" t="s">
        <v>22</v>
      </c>
      <c r="C3745" s="198" t="s">
        <v>442</v>
      </c>
      <c r="D3745" s="197" t="s">
        <v>443</v>
      </c>
      <c r="E3745" s="199">
        <v>4.0</v>
      </c>
      <c r="F3745" s="200">
        <v>45903.41666666667</v>
      </c>
      <c r="G3745" s="197" t="s">
        <v>845</v>
      </c>
      <c r="H3745" s="197" t="s">
        <v>876</v>
      </c>
    </row>
    <row r="3746" ht="15.75" customHeight="1">
      <c r="A3746" s="197" t="s">
        <v>83</v>
      </c>
      <c r="B3746" s="197" t="s">
        <v>22</v>
      </c>
      <c r="C3746" s="198" t="s">
        <v>442</v>
      </c>
      <c r="D3746" s="197" t="s">
        <v>443</v>
      </c>
      <c r="E3746" s="199">
        <v>5.0</v>
      </c>
      <c r="F3746" s="200">
        <v>45910.41666666667</v>
      </c>
      <c r="G3746" s="197" t="s">
        <v>845</v>
      </c>
      <c r="H3746" s="197" t="s">
        <v>876</v>
      </c>
    </row>
    <row r="3747" ht="15.75" customHeight="1">
      <c r="A3747" s="197" t="s">
        <v>83</v>
      </c>
      <c r="B3747" s="197" t="s">
        <v>22</v>
      </c>
      <c r="C3747" s="198" t="s">
        <v>442</v>
      </c>
      <c r="D3747" s="197" t="s">
        <v>443</v>
      </c>
      <c r="E3747" s="199">
        <v>6.0</v>
      </c>
      <c r="F3747" s="200">
        <v>45924.45833333333</v>
      </c>
      <c r="G3747" s="197" t="s">
        <v>845</v>
      </c>
      <c r="H3747" s="197" t="s">
        <v>876</v>
      </c>
    </row>
    <row r="3748" ht="15.75" customHeight="1">
      <c r="A3748" s="197" t="s">
        <v>83</v>
      </c>
      <c r="B3748" s="197" t="s">
        <v>22</v>
      </c>
      <c r="C3748" s="198" t="s">
        <v>442</v>
      </c>
      <c r="D3748" s="197" t="s">
        <v>443</v>
      </c>
      <c r="E3748" s="199">
        <v>7.0</v>
      </c>
      <c r="F3748" s="200">
        <v>45931.41666666667</v>
      </c>
      <c r="G3748" s="197" t="s">
        <v>845</v>
      </c>
      <c r="H3748" s="197" t="s">
        <v>876</v>
      </c>
    </row>
    <row r="3749" ht="15.75" customHeight="1">
      <c r="A3749" s="197" t="s">
        <v>83</v>
      </c>
      <c r="B3749" s="197" t="s">
        <v>22</v>
      </c>
      <c r="C3749" s="198" t="s">
        <v>442</v>
      </c>
      <c r="D3749" s="197" t="s">
        <v>443</v>
      </c>
      <c r="E3749" s="199">
        <v>8.0</v>
      </c>
      <c r="F3749" s="200">
        <v>45938.45833333333</v>
      </c>
      <c r="G3749" s="197" t="s">
        <v>845</v>
      </c>
      <c r="H3749" s="197" t="s">
        <v>876</v>
      </c>
    </row>
    <row r="3750" ht="15.75" customHeight="1">
      <c r="A3750" s="197" t="s">
        <v>83</v>
      </c>
      <c r="B3750" s="197" t="s">
        <v>22</v>
      </c>
      <c r="C3750" s="198" t="s">
        <v>442</v>
      </c>
      <c r="D3750" s="197" t="s">
        <v>443</v>
      </c>
      <c r="E3750" s="199">
        <v>9.0</v>
      </c>
      <c r="F3750" s="200">
        <v>45980.41666666667</v>
      </c>
      <c r="G3750" s="197" t="s">
        <v>845</v>
      </c>
      <c r="H3750" s="197" t="s">
        <v>876</v>
      </c>
    </row>
    <row r="3751" ht="15.75" customHeight="1">
      <c r="A3751" s="197" t="s">
        <v>83</v>
      </c>
      <c r="B3751" s="197" t="s">
        <v>22</v>
      </c>
      <c r="C3751" s="198" t="s">
        <v>442</v>
      </c>
      <c r="D3751" s="197" t="s">
        <v>443</v>
      </c>
      <c r="E3751" s="199">
        <v>10.0</v>
      </c>
      <c r="F3751" s="200">
        <v>45987.41666666667</v>
      </c>
      <c r="G3751" s="197" t="s">
        <v>845</v>
      </c>
      <c r="H3751" s="197" t="s">
        <v>876</v>
      </c>
    </row>
    <row r="3752" ht="15.75" customHeight="1">
      <c r="A3752" s="197" t="s">
        <v>83</v>
      </c>
      <c r="B3752" s="197" t="s">
        <v>22</v>
      </c>
      <c r="C3752" s="198" t="s">
        <v>442</v>
      </c>
      <c r="D3752" s="197" t="s">
        <v>443</v>
      </c>
      <c r="E3752" s="199">
        <v>11.0</v>
      </c>
      <c r="F3752" s="200">
        <v>45994.58333333333</v>
      </c>
      <c r="G3752" s="197" t="s">
        <v>845</v>
      </c>
      <c r="H3752" s="197" t="s">
        <v>876</v>
      </c>
    </row>
    <row r="3753" ht="15.75" customHeight="1">
      <c r="A3753" s="197" t="s">
        <v>83</v>
      </c>
      <c r="B3753" s="197" t="s">
        <v>22</v>
      </c>
      <c r="C3753" s="198" t="s">
        <v>442</v>
      </c>
      <c r="D3753" s="197" t="s">
        <v>443</v>
      </c>
      <c r="E3753" s="199">
        <v>12.0</v>
      </c>
      <c r="F3753" s="200">
        <v>46008.41666666667</v>
      </c>
      <c r="G3753" s="197" t="s">
        <v>845</v>
      </c>
      <c r="H3753" s="197" t="s">
        <v>876</v>
      </c>
    </row>
    <row r="3754" ht="15.75" customHeight="1">
      <c r="A3754" s="197" t="s">
        <v>83</v>
      </c>
      <c r="B3754" s="197" t="s">
        <v>22</v>
      </c>
      <c r="C3754" s="198" t="s">
        <v>442</v>
      </c>
      <c r="D3754" s="197" t="s">
        <v>443</v>
      </c>
      <c r="E3754" s="199">
        <v>13.0</v>
      </c>
      <c r="F3754" s="200">
        <v>46036.41666666667</v>
      </c>
      <c r="G3754" s="197" t="s">
        <v>845</v>
      </c>
      <c r="H3754" s="197" t="s">
        <v>876</v>
      </c>
    </row>
    <row r="3755" ht="15.75" customHeight="1">
      <c r="A3755" s="197" t="s">
        <v>83</v>
      </c>
      <c r="B3755" s="197" t="s">
        <v>22</v>
      </c>
      <c r="C3755" s="198" t="s">
        <v>442</v>
      </c>
      <c r="D3755" s="197" t="s">
        <v>443</v>
      </c>
      <c r="E3755" s="199">
        <v>14.0</v>
      </c>
      <c r="F3755" s="200">
        <v>46043.45833333333</v>
      </c>
      <c r="G3755" s="197" t="s">
        <v>845</v>
      </c>
      <c r="H3755" s="197" t="s">
        <v>876</v>
      </c>
    </row>
    <row r="3756" ht="15.75" customHeight="1">
      <c r="A3756" s="197" t="s">
        <v>83</v>
      </c>
      <c r="B3756" s="197" t="s">
        <v>22</v>
      </c>
      <c r="C3756" s="198" t="s">
        <v>442</v>
      </c>
      <c r="D3756" s="197" t="s">
        <v>443</v>
      </c>
      <c r="E3756" s="199">
        <v>15.0</v>
      </c>
      <c r="F3756" s="200">
        <v>46050.41666666667</v>
      </c>
      <c r="G3756" s="197" t="s">
        <v>845</v>
      </c>
      <c r="H3756" s="197" t="s">
        <v>876</v>
      </c>
    </row>
    <row r="3757" ht="15.75" customHeight="1">
      <c r="A3757" s="197" t="s">
        <v>83</v>
      </c>
      <c r="B3757" s="197" t="s">
        <v>22</v>
      </c>
      <c r="C3757" s="198" t="s">
        <v>442</v>
      </c>
      <c r="D3757" s="197" t="s">
        <v>443</v>
      </c>
      <c r="E3757" s="199">
        <v>16.0</v>
      </c>
      <c r="F3757" s="200">
        <v>46106.54166666667</v>
      </c>
      <c r="G3757" s="197" t="s">
        <v>845</v>
      </c>
      <c r="H3757" s="197" t="s">
        <v>876</v>
      </c>
    </row>
    <row r="3758" ht="15.75" customHeight="1">
      <c r="A3758" s="197" t="s">
        <v>83</v>
      </c>
      <c r="B3758" s="197" t="s">
        <v>22</v>
      </c>
      <c r="C3758" s="198" t="s">
        <v>463</v>
      </c>
      <c r="D3758" s="197" t="s">
        <v>464</v>
      </c>
      <c r="E3758" s="199">
        <v>1.0</v>
      </c>
      <c r="F3758" s="200">
        <v>45882.58333333333</v>
      </c>
      <c r="G3758" s="197" t="s">
        <v>845</v>
      </c>
      <c r="H3758" s="197" t="s">
        <v>876</v>
      </c>
    </row>
    <row r="3759" ht="15.75" customHeight="1">
      <c r="A3759" s="197" t="s">
        <v>83</v>
      </c>
      <c r="B3759" s="197" t="s">
        <v>22</v>
      </c>
      <c r="C3759" s="198" t="s">
        <v>463</v>
      </c>
      <c r="D3759" s="197" t="s">
        <v>464</v>
      </c>
      <c r="E3759" s="199">
        <v>2.0</v>
      </c>
      <c r="F3759" s="200">
        <v>45889.54166666667</v>
      </c>
      <c r="G3759" s="197" t="s">
        <v>845</v>
      </c>
      <c r="H3759" s="197" t="s">
        <v>876</v>
      </c>
    </row>
    <row r="3760" ht="15.75" customHeight="1">
      <c r="A3760" s="197" t="s">
        <v>83</v>
      </c>
      <c r="B3760" s="197" t="s">
        <v>22</v>
      </c>
      <c r="C3760" s="198" t="s">
        <v>463</v>
      </c>
      <c r="D3760" s="197" t="s">
        <v>464</v>
      </c>
      <c r="E3760" s="199">
        <v>3.0</v>
      </c>
      <c r="F3760" s="200">
        <v>45895.54166666667</v>
      </c>
      <c r="G3760" s="197" t="s">
        <v>845</v>
      </c>
      <c r="H3760" s="197" t="s">
        <v>876</v>
      </c>
    </row>
    <row r="3761" ht="15.75" customHeight="1">
      <c r="A3761" s="197" t="s">
        <v>83</v>
      </c>
      <c r="B3761" s="197" t="s">
        <v>22</v>
      </c>
      <c r="C3761" s="198" t="s">
        <v>463</v>
      </c>
      <c r="D3761" s="197" t="s">
        <v>464</v>
      </c>
      <c r="E3761" s="199">
        <v>4.0</v>
      </c>
      <c r="F3761" s="200">
        <v>45903.54166666667</v>
      </c>
      <c r="G3761" s="197" t="s">
        <v>845</v>
      </c>
      <c r="H3761" s="197" t="s">
        <v>876</v>
      </c>
    </row>
    <row r="3762" ht="15.75" customHeight="1">
      <c r="A3762" s="197" t="s">
        <v>83</v>
      </c>
      <c r="B3762" s="197" t="s">
        <v>22</v>
      </c>
      <c r="C3762" s="198" t="s">
        <v>463</v>
      </c>
      <c r="D3762" s="197" t="s">
        <v>464</v>
      </c>
      <c r="E3762" s="199">
        <v>5.0</v>
      </c>
      <c r="F3762" s="200">
        <v>45910.58333333333</v>
      </c>
      <c r="G3762" s="197" t="s">
        <v>845</v>
      </c>
      <c r="H3762" s="197" t="s">
        <v>876</v>
      </c>
    </row>
    <row r="3763" ht="15.75" customHeight="1">
      <c r="A3763" s="197" t="s">
        <v>83</v>
      </c>
      <c r="B3763" s="197" t="s">
        <v>22</v>
      </c>
      <c r="C3763" s="198" t="s">
        <v>463</v>
      </c>
      <c r="D3763" s="197" t="s">
        <v>464</v>
      </c>
      <c r="E3763" s="199">
        <v>6.0</v>
      </c>
      <c r="F3763" s="200">
        <v>45924.45833333333</v>
      </c>
      <c r="G3763" s="197" t="s">
        <v>843</v>
      </c>
      <c r="H3763" s="197" t="s">
        <v>876</v>
      </c>
    </row>
    <row r="3764" ht="15.75" customHeight="1">
      <c r="A3764" s="197" t="s">
        <v>83</v>
      </c>
      <c r="B3764" s="197" t="s">
        <v>22</v>
      </c>
      <c r="C3764" s="198" t="s">
        <v>463</v>
      </c>
      <c r="D3764" s="197" t="s">
        <v>464</v>
      </c>
      <c r="E3764" s="199">
        <v>7.0</v>
      </c>
      <c r="F3764" s="200">
        <v>45931.41666666667</v>
      </c>
      <c r="G3764" s="197" t="s">
        <v>845</v>
      </c>
      <c r="H3764" s="197" t="s">
        <v>876</v>
      </c>
    </row>
    <row r="3765" ht="15.75" customHeight="1">
      <c r="A3765" s="197" t="s">
        <v>83</v>
      </c>
      <c r="B3765" s="197" t="s">
        <v>22</v>
      </c>
      <c r="C3765" s="198" t="s">
        <v>463</v>
      </c>
      <c r="D3765" s="197" t="s">
        <v>464</v>
      </c>
      <c r="E3765" s="199">
        <v>8.0</v>
      </c>
      <c r="F3765" s="200">
        <v>45938.45833333333</v>
      </c>
      <c r="G3765" s="197" t="s">
        <v>845</v>
      </c>
      <c r="H3765" s="197" t="s">
        <v>876</v>
      </c>
    </row>
    <row r="3766" ht="15.75" customHeight="1">
      <c r="A3766" s="197" t="s">
        <v>83</v>
      </c>
      <c r="B3766" s="197" t="s">
        <v>22</v>
      </c>
      <c r="C3766" s="198" t="s">
        <v>463</v>
      </c>
      <c r="D3766" s="197" t="s">
        <v>464</v>
      </c>
      <c r="E3766" s="199">
        <v>9.0</v>
      </c>
      <c r="F3766" s="200">
        <v>45980.41666666667</v>
      </c>
      <c r="G3766" s="197" t="s">
        <v>845</v>
      </c>
      <c r="H3766" s="197" t="s">
        <v>876</v>
      </c>
    </row>
    <row r="3767" ht="15.75" customHeight="1">
      <c r="A3767" s="197" t="s">
        <v>83</v>
      </c>
      <c r="B3767" s="197" t="s">
        <v>22</v>
      </c>
      <c r="C3767" s="198" t="s">
        <v>463</v>
      </c>
      <c r="D3767" s="197" t="s">
        <v>464</v>
      </c>
      <c r="E3767" s="199">
        <v>10.0</v>
      </c>
      <c r="F3767" s="200">
        <v>45987.41666666667</v>
      </c>
      <c r="G3767" s="197" t="s">
        <v>845</v>
      </c>
      <c r="H3767" s="197" t="s">
        <v>876</v>
      </c>
    </row>
    <row r="3768" ht="15.75" customHeight="1">
      <c r="A3768" s="197" t="s">
        <v>83</v>
      </c>
      <c r="B3768" s="197" t="s">
        <v>22</v>
      </c>
      <c r="C3768" s="198" t="s">
        <v>463</v>
      </c>
      <c r="D3768" s="197" t="s">
        <v>464</v>
      </c>
      <c r="E3768" s="199">
        <v>11.0</v>
      </c>
      <c r="F3768" s="200">
        <v>45994.58333333333</v>
      </c>
      <c r="G3768" s="197" t="s">
        <v>845</v>
      </c>
      <c r="H3768" s="197" t="s">
        <v>876</v>
      </c>
    </row>
    <row r="3769" ht="15.75" customHeight="1">
      <c r="A3769" s="197" t="s">
        <v>83</v>
      </c>
      <c r="B3769" s="197" t="s">
        <v>22</v>
      </c>
      <c r="C3769" s="198" t="s">
        <v>463</v>
      </c>
      <c r="D3769" s="197" t="s">
        <v>464</v>
      </c>
      <c r="E3769" s="199">
        <v>12.0</v>
      </c>
      <c r="F3769" s="200">
        <v>46008.41666666667</v>
      </c>
      <c r="G3769" s="197" t="s">
        <v>845</v>
      </c>
      <c r="H3769" s="197" t="s">
        <v>876</v>
      </c>
    </row>
    <row r="3770" ht="15.75" customHeight="1">
      <c r="A3770" s="197" t="s">
        <v>83</v>
      </c>
      <c r="B3770" s="197" t="s">
        <v>22</v>
      </c>
      <c r="C3770" s="198" t="s">
        <v>463</v>
      </c>
      <c r="D3770" s="197" t="s">
        <v>464</v>
      </c>
      <c r="E3770" s="199">
        <v>13.0</v>
      </c>
      <c r="F3770" s="200">
        <v>46036.41666666667</v>
      </c>
      <c r="G3770" s="197" t="s">
        <v>845</v>
      </c>
      <c r="H3770" s="197" t="s">
        <v>876</v>
      </c>
    </row>
    <row r="3771" ht="15.75" customHeight="1">
      <c r="A3771" s="197" t="s">
        <v>83</v>
      </c>
      <c r="B3771" s="197" t="s">
        <v>22</v>
      </c>
      <c r="C3771" s="198" t="s">
        <v>463</v>
      </c>
      <c r="D3771" s="197" t="s">
        <v>464</v>
      </c>
      <c r="E3771" s="199">
        <v>14.0</v>
      </c>
      <c r="F3771" s="200">
        <v>46043.45833333333</v>
      </c>
      <c r="G3771" s="197" t="s">
        <v>845</v>
      </c>
      <c r="H3771" s="197" t="s">
        <v>876</v>
      </c>
    </row>
    <row r="3772" ht="15.75" customHeight="1">
      <c r="A3772" s="197" t="s">
        <v>83</v>
      </c>
      <c r="B3772" s="197" t="s">
        <v>22</v>
      </c>
      <c r="C3772" s="198" t="s">
        <v>463</v>
      </c>
      <c r="D3772" s="197" t="s">
        <v>464</v>
      </c>
      <c r="E3772" s="199">
        <v>15.0</v>
      </c>
      <c r="F3772" s="200">
        <v>46050.41666666667</v>
      </c>
      <c r="G3772" s="197" t="s">
        <v>845</v>
      </c>
      <c r="H3772" s="197" t="s">
        <v>876</v>
      </c>
    </row>
    <row r="3773" ht="15.75" customHeight="1">
      <c r="A3773" s="197" t="s">
        <v>83</v>
      </c>
      <c r="B3773" s="197" t="s">
        <v>22</v>
      </c>
      <c r="C3773" s="198" t="s">
        <v>463</v>
      </c>
      <c r="D3773" s="197" t="s">
        <v>464</v>
      </c>
      <c r="E3773" s="199">
        <v>16.0</v>
      </c>
      <c r="F3773" s="200">
        <v>46106.54166666667</v>
      </c>
      <c r="G3773" s="197" t="s">
        <v>843</v>
      </c>
      <c r="H3773" s="197" t="s">
        <v>876</v>
      </c>
    </row>
    <row r="3774" ht="15.75" customHeight="1">
      <c r="A3774" s="197" t="s">
        <v>83</v>
      </c>
      <c r="B3774" s="197" t="s">
        <v>21</v>
      </c>
      <c r="C3774" s="198" t="s">
        <v>633</v>
      </c>
      <c r="D3774" s="197" t="s">
        <v>634</v>
      </c>
      <c r="E3774" s="199">
        <v>1.0</v>
      </c>
      <c r="F3774" s="200">
        <v>45764.41666666667</v>
      </c>
      <c r="G3774" s="197" t="s">
        <v>845</v>
      </c>
      <c r="H3774" s="197" t="s">
        <v>876</v>
      </c>
    </row>
    <row r="3775" ht="15.75" customHeight="1">
      <c r="A3775" s="197" t="s">
        <v>83</v>
      </c>
      <c r="B3775" s="197" t="s">
        <v>21</v>
      </c>
      <c r="C3775" s="198" t="s">
        <v>633</v>
      </c>
      <c r="D3775" s="197" t="s">
        <v>634</v>
      </c>
      <c r="E3775" s="199">
        <v>2.0</v>
      </c>
      <c r="F3775" s="200">
        <v>45784.58333333333</v>
      </c>
      <c r="G3775" s="197" t="s">
        <v>843</v>
      </c>
      <c r="H3775" s="197" t="s">
        <v>876</v>
      </c>
    </row>
    <row r="3776" ht="15.75" customHeight="1">
      <c r="A3776" s="197" t="s">
        <v>83</v>
      </c>
      <c r="B3776" s="197" t="s">
        <v>21</v>
      </c>
      <c r="C3776" s="198" t="s">
        <v>633</v>
      </c>
      <c r="D3776" s="197" t="s">
        <v>634</v>
      </c>
      <c r="E3776" s="199">
        <v>3.0</v>
      </c>
      <c r="F3776" s="200">
        <v>45804.375</v>
      </c>
      <c r="G3776" s="197" t="s">
        <v>845</v>
      </c>
      <c r="H3776" s="197" t="s">
        <v>876</v>
      </c>
    </row>
    <row r="3777" ht="15.75" customHeight="1">
      <c r="A3777" s="197" t="s">
        <v>83</v>
      </c>
      <c r="B3777" s="197" t="s">
        <v>21</v>
      </c>
      <c r="C3777" s="198" t="s">
        <v>633</v>
      </c>
      <c r="D3777" s="197" t="s">
        <v>634</v>
      </c>
      <c r="E3777" s="199">
        <v>4.0</v>
      </c>
      <c r="F3777" s="200">
        <v>45805.41666666667</v>
      </c>
      <c r="G3777" s="197" t="s">
        <v>845</v>
      </c>
      <c r="H3777" s="197" t="s">
        <v>876</v>
      </c>
    </row>
    <row r="3778" ht="15.75" customHeight="1">
      <c r="A3778" s="197" t="s">
        <v>83</v>
      </c>
      <c r="B3778" s="197" t="s">
        <v>21</v>
      </c>
      <c r="C3778" s="198" t="s">
        <v>633</v>
      </c>
      <c r="D3778" s="197" t="s">
        <v>634</v>
      </c>
      <c r="E3778" s="199">
        <v>5.0</v>
      </c>
      <c r="F3778" s="200">
        <v>45812.45833333333</v>
      </c>
      <c r="G3778" s="197" t="s">
        <v>845</v>
      </c>
      <c r="H3778" s="197" t="s">
        <v>876</v>
      </c>
    </row>
    <row r="3779" ht="15.75" customHeight="1">
      <c r="A3779" s="197" t="s">
        <v>83</v>
      </c>
      <c r="B3779" s="197" t="s">
        <v>21</v>
      </c>
      <c r="C3779" s="198" t="s">
        <v>633</v>
      </c>
      <c r="D3779" s="197" t="s">
        <v>634</v>
      </c>
      <c r="E3779" s="199">
        <v>6.0</v>
      </c>
      <c r="F3779" s="200">
        <v>45819.45833333333</v>
      </c>
      <c r="G3779" s="197" t="s">
        <v>845</v>
      </c>
      <c r="H3779" s="197" t="s">
        <v>876</v>
      </c>
    </row>
    <row r="3780" ht="15.75" customHeight="1">
      <c r="A3780" s="197" t="s">
        <v>83</v>
      </c>
      <c r="B3780" s="197" t="s">
        <v>21</v>
      </c>
      <c r="C3780" s="198" t="s">
        <v>633</v>
      </c>
      <c r="D3780" s="197" t="s">
        <v>634</v>
      </c>
      <c r="E3780" s="199">
        <v>7.0</v>
      </c>
      <c r="F3780" s="200">
        <v>45827.41666666667</v>
      </c>
      <c r="G3780" s="197" t="s">
        <v>845</v>
      </c>
      <c r="H3780" s="197" t="s">
        <v>876</v>
      </c>
    </row>
    <row r="3781" ht="15.75" customHeight="1">
      <c r="A3781" s="197" t="s">
        <v>83</v>
      </c>
      <c r="B3781" s="197" t="s">
        <v>21</v>
      </c>
      <c r="C3781" s="198" t="s">
        <v>633</v>
      </c>
      <c r="D3781" s="197" t="s">
        <v>634</v>
      </c>
      <c r="E3781" s="199">
        <v>8.0</v>
      </c>
      <c r="F3781" s="200">
        <v>45833.375</v>
      </c>
      <c r="G3781" s="197" t="s">
        <v>845</v>
      </c>
      <c r="H3781" s="197" t="s">
        <v>876</v>
      </c>
    </row>
    <row r="3782" ht="15.75" customHeight="1">
      <c r="A3782" s="197" t="s">
        <v>83</v>
      </c>
      <c r="B3782" s="197" t="s">
        <v>21</v>
      </c>
      <c r="C3782" s="198" t="s">
        <v>633</v>
      </c>
      <c r="D3782" s="197" t="s">
        <v>634</v>
      </c>
      <c r="E3782" s="199">
        <v>9.0</v>
      </c>
      <c r="F3782" s="200">
        <v>45840.41666666667</v>
      </c>
      <c r="G3782" s="197" t="s">
        <v>845</v>
      </c>
      <c r="H3782" s="197" t="s">
        <v>876</v>
      </c>
    </row>
    <row r="3783" ht="15.75" customHeight="1">
      <c r="A3783" s="197" t="s">
        <v>83</v>
      </c>
      <c r="B3783" s="197" t="s">
        <v>21</v>
      </c>
      <c r="C3783" s="198" t="s">
        <v>633</v>
      </c>
      <c r="D3783" s="197" t="s">
        <v>634</v>
      </c>
      <c r="E3783" s="199">
        <v>10.0</v>
      </c>
      <c r="F3783" s="200">
        <v>45861.54166666667</v>
      </c>
      <c r="G3783" s="197" t="s">
        <v>845</v>
      </c>
      <c r="H3783" s="197" t="s">
        <v>876</v>
      </c>
    </row>
    <row r="3784" ht="15.75" customHeight="1">
      <c r="A3784" s="197" t="s">
        <v>83</v>
      </c>
      <c r="B3784" s="197" t="s">
        <v>22</v>
      </c>
      <c r="C3784" s="198" t="s">
        <v>633</v>
      </c>
      <c r="D3784" s="197" t="s">
        <v>634</v>
      </c>
      <c r="E3784" s="199">
        <v>1.0</v>
      </c>
      <c r="F3784" s="200">
        <v>45882.41666666667</v>
      </c>
      <c r="G3784" s="197" t="s">
        <v>845</v>
      </c>
      <c r="H3784" s="197" t="s">
        <v>876</v>
      </c>
    </row>
    <row r="3785" ht="15.75" customHeight="1">
      <c r="A3785" s="197" t="s">
        <v>83</v>
      </c>
      <c r="B3785" s="197" t="s">
        <v>22</v>
      </c>
      <c r="C3785" s="198" t="s">
        <v>633</v>
      </c>
      <c r="D3785" s="197" t="s">
        <v>634</v>
      </c>
      <c r="E3785" s="199">
        <v>2.0</v>
      </c>
      <c r="F3785" s="200">
        <v>45889.41666666667</v>
      </c>
      <c r="G3785" s="197" t="s">
        <v>845</v>
      </c>
      <c r="H3785" s="197" t="s">
        <v>876</v>
      </c>
    </row>
    <row r="3786" ht="15.75" customHeight="1">
      <c r="A3786" s="197" t="s">
        <v>83</v>
      </c>
      <c r="B3786" s="197" t="s">
        <v>22</v>
      </c>
      <c r="C3786" s="198" t="s">
        <v>633</v>
      </c>
      <c r="D3786" s="197" t="s">
        <v>634</v>
      </c>
      <c r="E3786" s="199">
        <v>3.0</v>
      </c>
      <c r="F3786" s="200">
        <v>45896.41666666667</v>
      </c>
      <c r="G3786" s="197" t="s">
        <v>843</v>
      </c>
      <c r="H3786" s="197" t="s">
        <v>876</v>
      </c>
    </row>
    <row r="3787" ht="15.75" customHeight="1">
      <c r="A3787" s="197" t="s">
        <v>83</v>
      </c>
      <c r="B3787" s="197" t="s">
        <v>22</v>
      </c>
      <c r="C3787" s="198" t="s">
        <v>633</v>
      </c>
      <c r="D3787" s="197" t="s">
        <v>634</v>
      </c>
      <c r="E3787" s="199">
        <v>4.0</v>
      </c>
      <c r="F3787" s="200">
        <v>45903.41666666667</v>
      </c>
      <c r="G3787" s="197" t="s">
        <v>843</v>
      </c>
      <c r="H3787" s="197" t="s">
        <v>876</v>
      </c>
    </row>
    <row r="3788" ht="15.75" customHeight="1">
      <c r="A3788" s="197" t="s">
        <v>83</v>
      </c>
      <c r="B3788" s="197" t="s">
        <v>22</v>
      </c>
      <c r="C3788" s="198" t="s">
        <v>633</v>
      </c>
      <c r="D3788" s="197" t="s">
        <v>634</v>
      </c>
      <c r="E3788" s="199">
        <v>5.0</v>
      </c>
      <c r="F3788" s="200">
        <v>45910.41666666667</v>
      </c>
      <c r="G3788" s="197" t="s">
        <v>845</v>
      </c>
      <c r="H3788" s="197" t="s">
        <v>876</v>
      </c>
    </row>
    <row r="3789" ht="15.75" customHeight="1">
      <c r="A3789" s="197" t="s">
        <v>83</v>
      </c>
      <c r="B3789" s="197" t="s">
        <v>22</v>
      </c>
      <c r="C3789" s="198" t="s">
        <v>633</v>
      </c>
      <c r="D3789" s="197" t="s">
        <v>634</v>
      </c>
      <c r="E3789" s="199">
        <v>6.0</v>
      </c>
      <c r="F3789" s="200">
        <v>45924.45833333333</v>
      </c>
      <c r="G3789" s="197" t="s">
        <v>845</v>
      </c>
      <c r="H3789" s="197" t="s">
        <v>876</v>
      </c>
    </row>
    <row r="3790" ht="15.75" customHeight="1">
      <c r="A3790" s="197" t="s">
        <v>83</v>
      </c>
      <c r="B3790" s="197" t="s">
        <v>22</v>
      </c>
      <c r="C3790" s="198" t="s">
        <v>633</v>
      </c>
      <c r="D3790" s="197" t="s">
        <v>634</v>
      </c>
      <c r="E3790" s="199">
        <v>7.0</v>
      </c>
      <c r="F3790" s="200">
        <v>45931.41666666667</v>
      </c>
      <c r="G3790" s="197" t="s">
        <v>845</v>
      </c>
      <c r="H3790" s="197" t="s">
        <v>876</v>
      </c>
    </row>
    <row r="3791" ht="15.75" customHeight="1">
      <c r="A3791" s="197" t="s">
        <v>83</v>
      </c>
      <c r="B3791" s="197" t="s">
        <v>22</v>
      </c>
      <c r="C3791" s="198" t="s">
        <v>633</v>
      </c>
      <c r="D3791" s="197" t="s">
        <v>634</v>
      </c>
      <c r="E3791" s="199">
        <v>8.0</v>
      </c>
      <c r="F3791" s="200">
        <v>45938.45833333333</v>
      </c>
      <c r="G3791" s="197" t="s">
        <v>845</v>
      </c>
      <c r="H3791" s="197" t="s">
        <v>876</v>
      </c>
    </row>
    <row r="3792" ht="15.75" customHeight="1">
      <c r="A3792" s="197" t="s">
        <v>83</v>
      </c>
      <c r="B3792" s="197" t="s">
        <v>22</v>
      </c>
      <c r="C3792" s="198" t="s">
        <v>633</v>
      </c>
      <c r="D3792" s="197" t="s">
        <v>634</v>
      </c>
      <c r="E3792" s="199">
        <v>9.0</v>
      </c>
      <c r="F3792" s="200">
        <v>45980.41666666667</v>
      </c>
      <c r="G3792" s="197" t="s">
        <v>845</v>
      </c>
      <c r="H3792" s="197" t="s">
        <v>876</v>
      </c>
    </row>
    <row r="3793" ht="15.75" customHeight="1">
      <c r="A3793" s="197" t="s">
        <v>83</v>
      </c>
      <c r="B3793" s="197" t="s">
        <v>22</v>
      </c>
      <c r="C3793" s="198" t="s">
        <v>633</v>
      </c>
      <c r="D3793" s="197" t="s">
        <v>634</v>
      </c>
      <c r="E3793" s="199">
        <v>10.0</v>
      </c>
      <c r="F3793" s="200">
        <v>45987.41666666667</v>
      </c>
      <c r="G3793" s="197" t="s">
        <v>845</v>
      </c>
      <c r="H3793" s="197" t="s">
        <v>876</v>
      </c>
    </row>
    <row r="3794" ht="15.75" customHeight="1">
      <c r="A3794" s="197" t="s">
        <v>83</v>
      </c>
      <c r="B3794" s="197" t="s">
        <v>22</v>
      </c>
      <c r="C3794" s="198" t="s">
        <v>633</v>
      </c>
      <c r="D3794" s="197" t="s">
        <v>634</v>
      </c>
      <c r="E3794" s="199">
        <v>11.0</v>
      </c>
      <c r="F3794" s="200">
        <v>45994.58333333333</v>
      </c>
      <c r="G3794" s="197" t="s">
        <v>845</v>
      </c>
      <c r="H3794" s="197" t="s">
        <v>876</v>
      </c>
    </row>
    <row r="3795" ht="15.75" customHeight="1">
      <c r="A3795" s="197" t="s">
        <v>83</v>
      </c>
      <c r="B3795" s="197" t="s">
        <v>22</v>
      </c>
      <c r="C3795" s="198" t="s">
        <v>633</v>
      </c>
      <c r="D3795" s="197" t="s">
        <v>634</v>
      </c>
      <c r="E3795" s="199">
        <v>12.0</v>
      </c>
      <c r="F3795" s="200">
        <v>46008.41666666667</v>
      </c>
      <c r="G3795" s="197" t="s">
        <v>845</v>
      </c>
      <c r="H3795" s="197" t="s">
        <v>876</v>
      </c>
    </row>
    <row r="3796" ht="15.75" customHeight="1">
      <c r="A3796" s="197" t="s">
        <v>83</v>
      </c>
      <c r="B3796" s="197" t="s">
        <v>22</v>
      </c>
      <c r="C3796" s="198" t="s">
        <v>633</v>
      </c>
      <c r="D3796" s="197" t="s">
        <v>634</v>
      </c>
      <c r="E3796" s="199">
        <v>13.0</v>
      </c>
      <c r="F3796" s="200">
        <v>46036.41666666667</v>
      </c>
      <c r="G3796" s="197" t="s">
        <v>845</v>
      </c>
      <c r="H3796" s="197" t="s">
        <v>876</v>
      </c>
    </row>
    <row r="3797" ht="15.75" customHeight="1">
      <c r="A3797" s="197" t="s">
        <v>83</v>
      </c>
      <c r="B3797" s="197" t="s">
        <v>22</v>
      </c>
      <c r="C3797" s="198" t="s">
        <v>633</v>
      </c>
      <c r="D3797" s="197" t="s">
        <v>634</v>
      </c>
      <c r="E3797" s="199">
        <v>14.0</v>
      </c>
      <c r="F3797" s="200">
        <v>46043.45833333333</v>
      </c>
      <c r="G3797" s="197" t="s">
        <v>843</v>
      </c>
      <c r="H3797" s="197" t="s">
        <v>876</v>
      </c>
    </row>
    <row r="3798" ht="15.75" customHeight="1">
      <c r="A3798" s="197" t="s">
        <v>83</v>
      </c>
      <c r="B3798" s="197" t="s">
        <v>22</v>
      </c>
      <c r="C3798" s="198" t="s">
        <v>633</v>
      </c>
      <c r="D3798" s="197" t="s">
        <v>634</v>
      </c>
      <c r="E3798" s="199">
        <v>15.0</v>
      </c>
      <c r="F3798" s="200">
        <v>46050.41666666667</v>
      </c>
      <c r="G3798" s="197" t="s">
        <v>845</v>
      </c>
      <c r="H3798" s="197" t="s">
        <v>876</v>
      </c>
    </row>
    <row r="3799" ht="15.75" customHeight="1">
      <c r="A3799" s="197" t="s">
        <v>83</v>
      </c>
      <c r="B3799" s="197" t="s">
        <v>22</v>
      </c>
      <c r="C3799" s="198" t="s">
        <v>633</v>
      </c>
      <c r="D3799" s="197" t="s">
        <v>634</v>
      </c>
      <c r="E3799" s="199">
        <v>16.0</v>
      </c>
      <c r="F3799" s="200">
        <v>46106.54166666667</v>
      </c>
      <c r="G3799" s="197" t="s">
        <v>845</v>
      </c>
      <c r="H3799" s="197" t="s">
        <v>876</v>
      </c>
    </row>
    <row r="3800" ht="15.75" customHeight="1">
      <c r="A3800" s="197" t="s">
        <v>83</v>
      </c>
      <c r="B3800" s="197" t="s">
        <v>21</v>
      </c>
      <c r="C3800" s="198" t="s">
        <v>641</v>
      </c>
      <c r="D3800" s="197" t="s">
        <v>642</v>
      </c>
      <c r="E3800" s="199">
        <v>1.0</v>
      </c>
      <c r="F3800" s="200">
        <v>45764.41666666667</v>
      </c>
      <c r="G3800" s="197" t="s">
        <v>845</v>
      </c>
      <c r="H3800" s="197" t="s">
        <v>876</v>
      </c>
    </row>
    <row r="3801" ht="15.75" customHeight="1">
      <c r="A3801" s="197" t="s">
        <v>83</v>
      </c>
      <c r="B3801" s="197" t="s">
        <v>21</v>
      </c>
      <c r="C3801" s="198" t="s">
        <v>641</v>
      </c>
      <c r="D3801" s="197" t="s">
        <v>642</v>
      </c>
      <c r="E3801" s="199">
        <v>2.0</v>
      </c>
      <c r="F3801" s="200">
        <v>45784.58333333333</v>
      </c>
      <c r="G3801" s="197" t="s">
        <v>845</v>
      </c>
      <c r="H3801" s="197" t="s">
        <v>876</v>
      </c>
    </row>
    <row r="3802" ht="15.75" customHeight="1">
      <c r="A3802" s="197" t="s">
        <v>83</v>
      </c>
      <c r="B3802" s="197" t="s">
        <v>21</v>
      </c>
      <c r="C3802" s="198" t="s">
        <v>641</v>
      </c>
      <c r="D3802" s="197" t="s">
        <v>642</v>
      </c>
      <c r="E3802" s="199">
        <v>3.0</v>
      </c>
      <c r="F3802" s="200">
        <v>45804.375</v>
      </c>
      <c r="G3802" s="197" t="s">
        <v>845</v>
      </c>
      <c r="H3802" s="197" t="s">
        <v>876</v>
      </c>
    </row>
    <row r="3803" ht="15.75" customHeight="1">
      <c r="A3803" s="197" t="s">
        <v>83</v>
      </c>
      <c r="B3803" s="197" t="s">
        <v>21</v>
      </c>
      <c r="C3803" s="198" t="s">
        <v>641</v>
      </c>
      <c r="D3803" s="197" t="s">
        <v>642</v>
      </c>
      <c r="E3803" s="199">
        <v>4.0</v>
      </c>
      <c r="F3803" s="200">
        <v>45805.41666666667</v>
      </c>
      <c r="G3803" s="197" t="s">
        <v>845</v>
      </c>
      <c r="H3803" s="197" t="s">
        <v>876</v>
      </c>
    </row>
    <row r="3804" ht="15.75" customHeight="1">
      <c r="A3804" s="197" t="s">
        <v>83</v>
      </c>
      <c r="B3804" s="197" t="s">
        <v>21</v>
      </c>
      <c r="C3804" s="198" t="s">
        <v>641</v>
      </c>
      <c r="D3804" s="197" t="s">
        <v>642</v>
      </c>
      <c r="E3804" s="199">
        <v>5.0</v>
      </c>
      <c r="F3804" s="200">
        <v>45812.45833333333</v>
      </c>
      <c r="G3804" s="197" t="s">
        <v>843</v>
      </c>
      <c r="H3804" s="197" t="s">
        <v>876</v>
      </c>
    </row>
    <row r="3805" ht="15.75" customHeight="1">
      <c r="A3805" s="197" t="s">
        <v>83</v>
      </c>
      <c r="B3805" s="197" t="s">
        <v>21</v>
      </c>
      <c r="C3805" s="198" t="s">
        <v>641</v>
      </c>
      <c r="D3805" s="197" t="s">
        <v>642</v>
      </c>
      <c r="E3805" s="199">
        <v>6.0</v>
      </c>
      <c r="F3805" s="200">
        <v>45819.45833333333</v>
      </c>
      <c r="G3805" s="197" t="s">
        <v>845</v>
      </c>
      <c r="H3805" s="197" t="s">
        <v>876</v>
      </c>
    </row>
    <row r="3806" ht="15.75" customHeight="1">
      <c r="A3806" s="197" t="s">
        <v>83</v>
      </c>
      <c r="B3806" s="197" t="s">
        <v>21</v>
      </c>
      <c r="C3806" s="198" t="s">
        <v>641</v>
      </c>
      <c r="D3806" s="197" t="s">
        <v>642</v>
      </c>
      <c r="E3806" s="199">
        <v>7.0</v>
      </c>
      <c r="F3806" s="200">
        <v>45827.41666666667</v>
      </c>
      <c r="G3806" s="197" t="s">
        <v>845</v>
      </c>
      <c r="H3806" s="197" t="s">
        <v>876</v>
      </c>
    </row>
    <row r="3807" ht="15.75" customHeight="1">
      <c r="A3807" s="197" t="s">
        <v>83</v>
      </c>
      <c r="B3807" s="197" t="s">
        <v>21</v>
      </c>
      <c r="C3807" s="198" t="s">
        <v>641</v>
      </c>
      <c r="D3807" s="197" t="s">
        <v>642</v>
      </c>
      <c r="E3807" s="199">
        <v>8.0</v>
      </c>
      <c r="F3807" s="200">
        <v>45833.375</v>
      </c>
      <c r="G3807" s="197" t="s">
        <v>845</v>
      </c>
      <c r="H3807" s="197" t="s">
        <v>876</v>
      </c>
    </row>
    <row r="3808" ht="15.75" customHeight="1">
      <c r="A3808" s="197" t="s">
        <v>83</v>
      </c>
      <c r="B3808" s="197" t="s">
        <v>21</v>
      </c>
      <c r="C3808" s="198" t="s">
        <v>641</v>
      </c>
      <c r="D3808" s="197" t="s">
        <v>642</v>
      </c>
      <c r="E3808" s="199">
        <v>9.0</v>
      </c>
      <c r="F3808" s="200">
        <v>45840.41666666667</v>
      </c>
      <c r="G3808" s="197" t="s">
        <v>845</v>
      </c>
      <c r="H3808" s="197" t="s">
        <v>876</v>
      </c>
    </row>
    <row r="3809" ht="15.75" customHeight="1">
      <c r="A3809" s="197" t="s">
        <v>83</v>
      </c>
      <c r="B3809" s="197" t="s">
        <v>21</v>
      </c>
      <c r="C3809" s="198" t="s">
        <v>641</v>
      </c>
      <c r="D3809" s="197" t="s">
        <v>642</v>
      </c>
      <c r="E3809" s="199">
        <v>10.0</v>
      </c>
      <c r="F3809" s="200">
        <v>45861.54166666667</v>
      </c>
      <c r="G3809" s="197" t="s">
        <v>845</v>
      </c>
      <c r="H3809" s="197" t="s">
        <v>876</v>
      </c>
    </row>
    <row r="3810" ht="15.75" customHeight="1">
      <c r="A3810" s="197" t="s">
        <v>83</v>
      </c>
      <c r="B3810" s="197" t="s">
        <v>22</v>
      </c>
      <c r="C3810" s="198" t="s">
        <v>641</v>
      </c>
      <c r="D3810" s="197" t="s">
        <v>642</v>
      </c>
      <c r="E3810" s="199">
        <v>1.0</v>
      </c>
      <c r="F3810" s="200">
        <v>45882.41666666667</v>
      </c>
      <c r="G3810" s="197" t="s">
        <v>845</v>
      </c>
      <c r="H3810" s="197" t="s">
        <v>876</v>
      </c>
    </row>
    <row r="3811" ht="15.75" customHeight="1">
      <c r="A3811" s="197" t="s">
        <v>83</v>
      </c>
      <c r="B3811" s="197" t="s">
        <v>22</v>
      </c>
      <c r="C3811" s="198" t="s">
        <v>641</v>
      </c>
      <c r="D3811" s="197" t="s">
        <v>642</v>
      </c>
      <c r="E3811" s="199">
        <v>2.0</v>
      </c>
      <c r="F3811" s="200">
        <v>45889.41666666667</v>
      </c>
      <c r="G3811" s="197" t="s">
        <v>845</v>
      </c>
      <c r="H3811" s="197" t="s">
        <v>876</v>
      </c>
    </row>
    <row r="3812" ht="15.75" customHeight="1">
      <c r="A3812" s="197" t="s">
        <v>83</v>
      </c>
      <c r="B3812" s="197" t="s">
        <v>22</v>
      </c>
      <c r="C3812" s="198" t="s">
        <v>641</v>
      </c>
      <c r="D3812" s="197" t="s">
        <v>642</v>
      </c>
      <c r="E3812" s="199">
        <v>3.0</v>
      </c>
      <c r="F3812" s="200">
        <v>45896.41666666667</v>
      </c>
      <c r="G3812" s="197" t="s">
        <v>845</v>
      </c>
      <c r="H3812" s="197" t="s">
        <v>876</v>
      </c>
    </row>
    <row r="3813" ht="15.75" customHeight="1">
      <c r="A3813" s="197" t="s">
        <v>83</v>
      </c>
      <c r="B3813" s="197" t="s">
        <v>22</v>
      </c>
      <c r="C3813" s="198" t="s">
        <v>641</v>
      </c>
      <c r="D3813" s="197" t="s">
        <v>642</v>
      </c>
      <c r="E3813" s="199">
        <v>4.0</v>
      </c>
      <c r="F3813" s="200">
        <v>45903.41666666667</v>
      </c>
      <c r="G3813" s="197" t="s">
        <v>845</v>
      </c>
      <c r="H3813" s="197" t="s">
        <v>876</v>
      </c>
    </row>
    <row r="3814" ht="15.75" customHeight="1">
      <c r="A3814" s="197" t="s">
        <v>83</v>
      </c>
      <c r="B3814" s="197" t="s">
        <v>22</v>
      </c>
      <c r="C3814" s="198" t="s">
        <v>641</v>
      </c>
      <c r="D3814" s="197" t="s">
        <v>642</v>
      </c>
      <c r="E3814" s="199">
        <v>5.0</v>
      </c>
      <c r="F3814" s="200">
        <v>45910.41666666667</v>
      </c>
      <c r="G3814" s="197" t="s">
        <v>845</v>
      </c>
      <c r="H3814" s="197" t="s">
        <v>876</v>
      </c>
    </row>
    <row r="3815" ht="15.75" customHeight="1">
      <c r="A3815" s="197" t="s">
        <v>83</v>
      </c>
      <c r="B3815" s="197" t="s">
        <v>22</v>
      </c>
      <c r="C3815" s="198" t="s">
        <v>641</v>
      </c>
      <c r="D3815" s="197" t="s">
        <v>642</v>
      </c>
      <c r="E3815" s="199">
        <v>6.0</v>
      </c>
      <c r="F3815" s="200">
        <v>45924.45833333333</v>
      </c>
      <c r="G3815" s="197" t="s">
        <v>845</v>
      </c>
      <c r="H3815" s="197" t="s">
        <v>876</v>
      </c>
    </row>
    <row r="3816" ht="15.75" customHeight="1">
      <c r="A3816" s="197" t="s">
        <v>83</v>
      </c>
      <c r="B3816" s="197" t="s">
        <v>22</v>
      </c>
      <c r="C3816" s="198" t="s">
        <v>641</v>
      </c>
      <c r="D3816" s="197" t="s">
        <v>642</v>
      </c>
      <c r="E3816" s="199">
        <v>7.0</v>
      </c>
      <c r="F3816" s="200">
        <v>45931.41666666667</v>
      </c>
      <c r="G3816" s="197" t="s">
        <v>845</v>
      </c>
      <c r="H3816" s="197" t="s">
        <v>876</v>
      </c>
    </row>
    <row r="3817" ht="15.75" customHeight="1">
      <c r="A3817" s="197" t="s">
        <v>83</v>
      </c>
      <c r="B3817" s="197" t="s">
        <v>22</v>
      </c>
      <c r="C3817" s="198" t="s">
        <v>641</v>
      </c>
      <c r="D3817" s="197" t="s">
        <v>642</v>
      </c>
      <c r="E3817" s="199">
        <v>8.0</v>
      </c>
      <c r="F3817" s="200">
        <v>45938.45833333333</v>
      </c>
      <c r="G3817" s="197" t="s">
        <v>845</v>
      </c>
      <c r="H3817" s="197" t="s">
        <v>876</v>
      </c>
    </row>
    <row r="3818" ht="15.75" customHeight="1">
      <c r="A3818" s="197" t="s">
        <v>83</v>
      </c>
      <c r="B3818" s="197" t="s">
        <v>22</v>
      </c>
      <c r="C3818" s="198" t="s">
        <v>641</v>
      </c>
      <c r="D3818" s="197" t="s">
        <v>642</v>
      </c>
      <c r="E3818" s="199">
        <v>9.0</v>
      </c>
      <c r="F3818" s="200">
        <v>45980.41666666667</v>
      </c>
      <c r="G3818" s="197" t="s">
        <v>845</v>
      </c>
      <c r="H3818" s="197" t="s">
        <v>876</v>
      </c>
    </row>
    <row r="3819" ht="15.75" customHeight="1">
      <c r="A3819" s="197" t="s">
        <v>83</v>
      </c>
      <c r="B3819" s="197" t="s">
        <v>22</v>
      </c>
      <c r="C3819" s="198" t="s">
        <v>641</v>
      </c>
      <c r="D3819" s="197" t="s">
        <v>642</v>
      </c>
      <c r="E3819" s="199">
        <v>10.0</v>
      </c>
      <c r="F3819" s="200">
        <v>45987.41666666667</v>
      </c>
      <c r="G3819" s="197" t="s">
        <v>845</v>
      </c>
      <c r="H3819" s="197" t="s">
        <v>876</v>
      </c>
    </row>
    <row r="3820" ht="15.75" customHeight="1">
      <c r="A3820" s="197" t="s">
        <v>83</v>
      </c>
      <c r="B3820" s="197" t="s">
        <v>22</v>
      </c>
      <c r="C3820" s="198" t="s">
        <v>641</v>
      </c>
      <c r="D3820" s="197" t="s">
        <v>642</v>
      </c>
      <c r="E3820" s="199">
        <v>11.0</v>
      </c>
      <c r="F3820" s="200">
        <v>45994.58333333333</v>
      </c>
      <c r="G3820" s="197" t="s">
        <v>845</v>
      </c>
      <c r="H3820" s="197" t="s">
        <v>876</v>
      </c>
    </row>
    <row r="3821" ht="15.75" customHeight="1">
      <c r="A3821" s="197" t="s">
        <v>83</v>
      </c>
      <c r="B3821" s="197" t="s">
        <v>22</v>
      </c>
      <c r="C3821" s="198" t="s">
        <v>641</v>
      </c>
      <c r="D3821" s="197" t="s">
        <v>642</v>
      </c>
      <c r="E3821" s="199">
        <v>12.0</v>
      </c>
      <c r="F3821" s="200">
        <v>46008.41666666667</v>
      </c>
      <c r="G3821" s="197" t="s">
        <v>845</v>
      </c>
      <c r="H3821" s="197" t="s">
        <v>876</v>
      </c>
    </row>
    <row r="3822" ht="15.75" customHeight="1">
      <c r="A3822" s="197" t="s">
        <v>83</v>
      </c>
      <c r="B3822" s="197" t="s">
        <v>22</v>
      </c>
      <c r="C3822" s="198" t="s">
        <v>641</v>
      </c>
      <c r="D3822" s="197" t="s">
        <v>642</v>
      </c>
      <c r="E3822" s="199">
        <v>13.0</v>
      </c>
      <c r="F3822" s="200">
        <v>46036.41666666667</v>
      </c>
      <c r="G3822" s="197" t="s">
        <v>845</v>
      </c>
      <c r="H3822" s="197" t="s">
        <v>876</v>
      </c>
    </row>
    <row r="3823" ht="15.75" customHeight="1">
      <c r="A3823" s="197" t="s">
        <v>83</v>
      </c>
      <c r="B3823" s="197" t="s">
        <v>22</v>
      </c>
      <c r="C3823" s="198" t="s">
        <v>641</v>
      </c>
      <c r="D3823" s="197" t="s">
        <v>642</v>
      </c>
      <c r="E3823" s="199">
        <v>14.0</v>
      </c>
      <c r="F3823" s="200">
        <v>46043.45833333333</v>
      </c>
      <c r="G3823" s="197" t="s">
        <v>845</v>
      </c>
      <c r="H3823" s="197" t="s">
        <v>876</v>
      </c>
    </row>
    <row r="3824" ht="15.75" customHeight="1">
      <c r="A3824" s="197" t="s">
        <v>83</v>
      </c>
      <c r="B3824" s="197" t="s">
        <v>22</v>
      </c>
      <c r="C3824" s="198" t="s">
        <v>641</v>
      </c>
      <c r="D3824" s="197" t="s">
        <v>642</v>
      </c>
      <c r="E3824" s="199">
        <v>15.0</v>
      </c>
      <c r="F3824" s="200">
        <v>46050.41666666667</v>
      </c>
      <c r="G3824" s="197" t="s">
        <v>845</v>
      </c>
      <c r="H3824" s="197" t="s">
        <v>876</v>
      </c>
    </row>
    <row r="3825" ht="15.75" customHeight="1">
      <c r="A3825" s="197" t="s">
        <v>83</v>
      </c>
      <c r="B3825" s="197" t="s">
        <v>22</v>
      </c>
      <c r="C3825" s="198" t="s">
        <v>641</v>
      </c>
      <c r="D3825" s="197" t="s">
        <v>642</v>
      </c>
      <c r="E3825" s="199">
        <v>16.0</v>
      </c>
      <c r="F3825" s="200">
        <v>46106.54166666667</v>
      </c>
      <c r="G3825" s="197" t="s">
        <v>845</v>
      </c>
      <c r="H3825" s="197" t="s">
        <v>876</v>
      </c>
    </row>
    <row r="3826" ht="15.75" customHeight="1">
      <c r="A3826" s="197" t="s">
        <v>83</v>
      </c>
      <c r="B3826" s="197" t="s">
        <v>21</v>
      </c>
      <c r="C3826" s="198" t="s">
        <v>671</v>
      </c>
      <c r="D3826" s="197" t="s">
        <v>672</v>
      </c>
      <c r="E3826" s="199">
        <v>1.0</v>
      </c>
      <c r="F3826" s="200">
        <v>45764.41666666667</v>
      </c>
      <c r="G3826" s="197" t="s">
        <v>845</v>
      </c>
      <c r="H3826" s="197" t="s">
        <v>876</v>
      </c>
    </row>
    <row r="3827" ht="15.75" customHeight="1">
      <c r="A3827" s="197" t="s">
        <v>83</v>
      </c>
      <c r="B3827" s="197" t="s">
        <v>21</v>
      </c>
      <c r="C3827" s="198" t="s">
        <v>671</v>
      </c>
      <c r="D3827" s="197" t="s">
        <v>672</v>
      </c>
      <c r="E3827" s="199">
        <v>2.0</v>
      </c>
      <c r="F3827" s="200">
        <v>45784.58333333333</v>
      </c>
      <c r="G3827" s="197" t="s">
        <v>843</v>
      </c>
      <c r="H3827" s="197" t="s">
        <v>876</v>
      </c>
    </row>
    <row r="3828" ht="15.75" customHeight="1">
      <c r="A3828" s="197" t="s">
        <v>83</v>
      </c>
      <c r="B3828" s="197" t="s">
        <v>21</v>
      </c>
      <c r="C3828" s="198" t="s">
        <v>671</v>
      </c>
      <c r="D3828" s="197" t="s">
        <v>672</v>
      </c>
      <c r="E3828" s="199">
        <v>3.0</v>
      </c>
      <c r="F3828" s="200">
        <v>45804.375</v>
      </c>
      <c r="G3828" s="197" t="s">
        <v>845</v>
      </c>
      <c r="H3828" s="197" t="s">
        <v>876</v>
      </c>
    </row>
    <row r="3829" ht="15.75" customHeight="1">
      <c r="A3829" s="197" t="s">
        <v>83</v>
      </c>
      <c r="B3829" s="197" t="s">
        <v>21</v>
      </c>
      <c r="C3829" s="198" t="s">
        <v>671</v>
      </c>
      <c r="D3829" s="197" t="s">
        <v>672</v>
      </c>
      <c r="E3829" s="199">
        <v>4.0</v>
      </c>
      <c r="F3829" s="200">
        <v>45805.41666666667</v>
      </c>
      <c r="G3829" s="197" t="s">
        <v>845</v>
      </c>
      <c r="H3829" s="197" t="s">
        <v>876</v>
      </c>
    </row>
    <row r="3830" ht="15.75" customHeight="1">
      <c r="A3830" s="197" t="s">
        <v>83</v>
      </c>
      <c r="B3830" s="197" t="s">
        <v>21</v>
      </c>
      <c r="C3830" s="198" t="s">
        <v>671</v>
      </c>
      <c r="D3830" s="197" t="s">
        <v>672</v>
      </c>
      <c r="E3830" s="199">
        <v>5.0</v>
      </c>
      <c r="F3830" s="200">
        <v>45812.45833333333</v>
      </c>
      <c r="G3830" s="197" t="s">
        <v>845</v>
      </c>
      <c r="H3830" s="197" t="s">
        <v>876</v>
      </c>
    </row>
    <row r="3831" ht="15.75" customHeight="1">
      <c r="A3831" s="197" t="s">
        <v>83</v>
      </c>
      <c r="B3831" s="197" t="s">
        <v>21</v>
      </c>
      <c r="C3831" s="198" t="s">
        <v>671</v>
      </c>
      <c r="D3831" s="197" t="s">
        <v>672</v>
      </c>
      <c r="E3831" s="199">
        <v>6.0</v>
      </c>
      <c r="F3831" s="200">
        <v>45819.45833333333</v>
      </c>
      <c r="G3831" s="197" t="s">
        <v>845</v>
      </c>
      <c r="H3831" s="197" t="s">
        <v>876</v>
      </c>
    </row>
    <row r="3832" ht="15.75" customHeight="1">
      <c r="A3832" s="197" t="s">
        <v>83</v>
      </c>
      <c r="B3832" s="197" t="s">
        <v>21</v>
      </c>
      <c r="C3832" s="198" t="s">
        <v>671</v>
      </c>
      <c r="D3832" s="197" t="s">
        <v>672</v>
      </c>
      <c r="E3832" s="199">
        <v>7.0</v>
      </c>
      <c r="F3832" s="200">
        <v>45827.41666666667</v>
      </c>
      <c r="G3832" s="197" t="s">
        <v>845</v>
      </c>
      <c r="H3832" s="197" t="s">
        <v>876</v>
      </c>
    </row>
    <row r="3833" ht="15.75" customHeight="1">
      <c r="A3833" s="197" t="s">
        <v>83</v>
      </c>
      <c r="B3833" s="197" t="s">
        <v>21</v>
      </c>
      <c r="C3833" s="198" t="s">
        <v>671</v>
      </c>
      <c r="D3833" s="197" t="s">
        <v>672</v>
      </c>
      <c r="E3833" s="199">
        <v>8.0</v>
      </c>
      <c r="F3833" s="200">
        <v>45833.375</v>
      </c>
      <c r="G3833" s="197" t="s">
        <v>845</v>
      </c>
      <c r="H3833" s="197" t="s">
        <v>876</v>
      </c>
    </row>
    <row r="3834" ht="15.75" customHeight="1">
      <c r="A3834" s="197" t="s">
        <v>83</v>
      </c>
      <c r="B3834" s="197" t="s">
        <v>21</v>
      </c>
      <c r="C3834" s="198" t="s">
        <v>671</v>
      </c>
      <c r="D3834" s="197" t="s">
        <v>672</v>
      </c>
      <c r="E3834" s="199">
        <v>9.0</v>
      </c>
      <c r="F3834" s="200">
        <v>45840.41666666667</v>
      </c>
      <c r="G3834" s="197" t="s">
        <v>845</v>
      </c>
      <c r="H3834" s="197" t="s">
        <v>876</v>
      </c>
    </row>
    <row r="3835" ht="15.75" customHeight="1">
      <c r="A3835" s="197" t="s">
        <v>83</v>
      </c>
      <c r="B3835" s="197" t="s">
        <v>21</v>
      </c>
      <c r="C3835" s="198" t="s">
        <v>671</v>
      </c>
      <c r="D3835" s="197" t="s">
        <v>672</v>
      </c>
      <c r="E3835" s="199">
        <v>10.0</v>
      </c>
      <c r="F3835" s="200">
        <v>45861.54166666667</v>
      </c>
      <c r="G3835" s="197" t="s">
        <v>845</v>
      </c>
      <c r="H3835" s="197" t="s">
        <v>876</v>
      </c>
    </row>
    <row r="3836" ht="15.75" customHeight="1">
      <c r="A3836" s="197" t="s">
        <v>83</v>
      </c>
      <c r="B3836" s="197" t="s">
        <v>22</v>
      </c>
      <c r="C3836" s="198" t="s">
        <v>671</v>
      </c>
      <c r="D3836" s="197" t="s">
        <v>672</v>
      </c>
      <c r="E3836" s="199">
        <v>1.0</v>
      </c>
      <c r="F3836" s="200">
        <v>45882.41666666667</v>
      </c>
      <c r="G3836" s="197" t="s">
        <v>845</v>
      </c>
      <c r="H3836" s="197" t="s">
        <v>876</v>
      </c>
    </row>
    <row r="3837" ht="15.75" customHeight="1">
      <c r="A3837" s="197" t="s">
        <v>83</v>
      </c>
      <c r="B3837" s="197" t="s">
        <v>22</v>
      </c>
      <c r="C3837" s="198" t="s">
        <v>671</v>
      </c>
      <c r="D3837" s="197" t="s">
        <v>672</v>
      </c>
      <c r="E3837" s="199">
        <v>2.0</v>
      </c>
      <c r="F3837" s="200">
        <v>45889.41666666667</v>
      </c>
      <c r="G3837" s="197" t="s">
        <v>845</v>
      </c>
      <c r="H3837" s="197" t="s">
        <v>876</v>
      </c>
    </row>
    <row r="3838" ht="15.75" customHeight="1">
      <c r="A3838" s="197" t="s">
        <v>83</v>
      </c>
      <c r="B3838" s="197" t="s">
        <v>22</v>
      </c>
      <c r="C3838" s="198" t="s">
        <v>671</v>
      </c>
      <c r="D3838" s="197" t="s">
        <v>672</v>
      </c>
      <c r="E3838" s="199">
        <v>3.0</v>
      </c>
      <c r="F3838" s="200">
        <v>45896.41666666667</v>
      </c>
      <c r="G3838" s="197" t="s">
        <v>845</v>
      </c>
      <c r="H3838" s="197" t="s">
        <v>876</v>
      </c>
    </row>
    <row r="3839" ht="15.75" customHeight="1">
      <c r="A3839" s="197" t="s">
        <v>83</v>
      </c>
      <c r="B3839" s="197" t="s">
        <v>22</v>
      </c>
      <c r="C3839" s="198" t="s">
        <v>671</v>
      </c>
      <c r="D3839" s="197" t="s">
        <v>672</v>
      </c>
      <c r="E3839" s="199">
        <v>4.0</v>
      </c>
      <c r="F3839" s="200">
        <v>45903.41666666667</v>
      </c>
      <c r="G3839" s="197" t="s">
        <v>845</v>
      </c>
      <c r="H3839" s="197" t="s">
        <v>876</v>
      </c>
    </row>
    <row r="3840" ht="15.75" customHeight="1">
      <c r="A3840" s="197" t="s">
        <v>83</v>
      </c>
      <c r="B3840" s="197" t="s">
        <v>22</v>
      </c>
      <c r="C3840" s="198" t="s">
        <v>671</v>
      </c>
      <c r="D3840" s="197" t="s">
        <v>672</v>
      </c>
      <c r="E3840" s="199">
        <v>5.0</v>
      </c>
      <c r="F3840" s="200">
        <v>45910.41666666667</v>
      </c>
      <c r="G3840" s="197" t="s">
        <v>845</v>
      </c>
      <c r="H3840" s="197" t="s">
        <v>876</v>
      </c>
    </row>
    <row r="3841" ht="15.75" customHeight="1">
      <c r="A3841" s="197" t="s">
        <v>83</v>
      </c>
      <c r="B3841" s="197" t="s">
        <v>22</v>
      </c>
      <c r="C3841" s="198" t="s">
        <v>671</v>
      </c>
      <c r="D3841" s="197" t="s">
        <v>672</v>
      </c>
      <c r="E3841" s="199">
        <v>6.0</v>
      </c>
      <c r="F3841" s="200">
        <v>45924.45833333333</v>
      </c>
      <c r="G3841" s="197" t="s">
        <v>845</v>
      </c>
      <c r="H3841" s="197" t="s">
        <v>876</v>
      </c>
    </row>
    <row r="3842" ht="15.75" customHeight="1">
      <c r="A3842" s="197" t="s">
        <v>83</v>
      </c>
      <c r="B3842" s="197" t="s">
        <v>22</v>
      </c>
      <c r="C3842" s="198" t="s">
        <v>671</v>
      </c>
      <c r="D3842" s="197" t="s">
        <v>672</v>
      </c>
      <c r="E3842" s="199">
        <v>7.0</v>
      </c>
      <c r="F3842" s="200">
        <v>45931.41666666667</v>
      </c>
      <c r="G3842" s="197" t="s">
        <v>845</v>
      </c>
      <c r="H3842" s="197" t="s">
        <v>876</v>
      </c>
    </row>
    <row r="3843" ht="15.75" customHeight="1">
      <c r="A3843" s="197" t="s">
        <v>83</v>
      </c>
      <c r="B3843" s="197" t="s">
        <v>22</v>
      </c>
      <c r="C3843" s="198" t="s">
        <v>671</v>
      </c>
      <c r="D3843" s="197" t="s">
        <v>672</v>
      </c>
      <c r="E3843" s="199">
        <v>8.0</v>
      </c>
      <c r="F3843" s="200">
        <v>45938.45833333333</v>
      </c>
      <c r="G3843" s="197" t="s">
        <v>845</v>
      </c>
      <c r="H3843" s="197" t="s">
        <v>876</v>
      </c>
    </row>
    <row r="3844" ht="15.75" customHeight="1">
      <c r="A3844" s="197" t="s">
        <v>83</v>
      </c>
      <c r="B3844" s="197" t="s">
        <v>22</v>
      </c>
      <c r="C3844" s="198" t="s">
        <v>671</v>
      </c>
      <c r="D3844" s="197" t="s">
        <v>672</v>
      </c>
      <c r="E3844" s="199">
        <v>9.0</v>
      </c>
      <c r="F3844" s="200">
        <v>45980.41666666667</v>
      </c>
      <c r="G3844" s="197" t="s">
        <v>845</v>
      </c>
      <c r="H3844" s="197" t="s">
        <v>876</v>
      </c>
    </row>
    <row r="3845" ht="15.75" customHeight="1">
      <c r="A3845" s="197" t="s">
        <v>83</v>
      </c>
      <c r="B3845" s="197" t="s">
        <v>22</v>
      </c>
      <c r="C3845" s="198" t="s">
        <v>671</v>
      </c>
      <c r="D3845" s="197" t="s">
        <v>672</v>
      </c>
      <c r="E3845" s="199">
        <v>10.0</v>
      </c>
      <c r="F3845" s="200">
        <v>45987.41666666667</v>
      </c>
      <c r="G3845" s="197" t="s">
        <v>843</v>
      </c>
      <c r="H3845" s="197" t="s">
        <v>876</v>
      </c>
    </row>
    <row r="3846" ht="15.75" customHeight="1">
      <c r="A3846" s="197" t="s">
        <v>83</v>
      </c>
      <c r="B3846" s="197" t="s">
        <v>22</v>
      </c>
      <c r="C3846" s="198" t="s">
        <v>671</v>
      </c>
      <c r="D3846" s="197" t="s">
        <v>672</v>
      </c>
      <c r="E3846" s="199">
        <v>11.0</v>
      </c>
      <c r="F3846" s="200">
        <v>45994.58333333333</v>
      </c>
      <c r="G3846" s="197" t="s">
        <v>845</v>
      </c>
      <c r="H3846" s="197" t="s">
        <v>876</v>
      </c>
    </row>
    <row r="3847" ht="15.75" customHeight="1">
      <c r="A3847" s="197" t="s">
        <v>83</v>
      </c>
      <c r="B3847" s="197" t="s">
        <v>22</v>
      </c>
      <c r="C3847" s="198" t="s">
        <v>671</v>
      </c>
      <c r="D3847" s="197" t="s">
        <v>672</v>
      </c>
      <c r="E3847" s="199">
        <v>12.0</v>
      </c>
      <c r="F3847" s="200">
        <v>46008.41666666667</v>
      </c>
      <c r="G3847" s="197" t="s">
        <v>845</v>
      </c>
      <c r="H3847" s="197" t="s">
        <v>876</v>
      </c>
    </row>
    <row r="3848" ht="15.75" customHeight="1">
      <c r="A3848" s="197" t="s">
        <v>83</v>
      </c>
      <c r="B3848" s="197" t="s">
        <v>22</v>
      </c>
      <c r="C3848" s="198" t="s">
        <v>671</v>
      </c>
      <c r="D3848" s="197" t="s">
        <v>672</v>
      </c>
      <c r="E3848" s="199">
        <v>13.0</v>
      </c>
      <c r="F3848" s="200">
        <v>46036.41666666667</v>
      </c>
      <c r="G3848" s="197" t="s">
        <v>845</v>
      </c>
      <c r="H3848" s="197" t="s">
        <v>876</v>
      </c>
    </row>
    <row r="3849" ht="15.75" customHeight="1">
      <c r="A3849" s="197" t="s">
        <v>83</v>
      </c>
      <c r="B3849" s="197" t="s">
        <v>22</v>
      </c>
      <c r="C3849" s="198" t="s">
        <v>671</v>
      </c>
      <c r="D3849" s="197" t="s">
        <v>672</v>
      </c>
      <c r="E3849" s="199">
        <v>14.0</v>
      </c>
      <c r="F3849" s="200">
        <v>46043.45833333333</v>
      </c>
      <c r="G3849" s="197" t="s">
        <v>845</v>
      </c>
      <c r="H3849" s="197" t="s">
        <v>876</v>
      </c>
    </row>
    <row r="3850" ht="15.75" customHeight="1">
      <c r="A3850" s="197" t="s">
        <v>83</v>
      </c>
      <c r="B3850" s="197" t="s">
        <v>22</v>
      </c>
      <c r="C3850" s="198" t="s">
        <v>671</v>
      </c>
      <c r="D3850" s="197" t="s">
        <v>672</v>
      </c>
      <c r="E3850" s="199">
        <v>15.0</v>
      </c>
      <c r="F3850" s="200">
        <v>46050.41666666667</v>
      </c>
      <c r="G3850" s="197" t="s">
        <v>845</v>
      </c>
      <c r="H3850" s="197" t="s">
        <v>876</v>
      </c>
    </row>
    <row r="3851" ht="15.75" customHeight="1">
      <c r="A3851" s="197" t="s">
        <v>83</v>
      </c>
      <c r="B3851" s="197" t="s">
        <v>22</v>
      </c>
      <c r="C3851" s="198" t="s">
        <v>671</v>
      </c>
      <c r="D3851" s="197" t="s">
        <v>672</v>
      </c>
      <c r="E3851" s="199">
        <v>16.0</v>
      </c>
      <c r="F3851" s="200">
        <v>46106.54166666667</v>
      </c>
      <c r="G3851" s="197" t="s">
        <v>845</v>
      </c>
      <c r="H3851" s="197" t="s">
        <v>876</v>
      </c>
    </row>
    <row r="3852" ht="15.75" customHeight="1">
      <c r="A3852" s="197" t="s">
        <v>84</v>
      </c>
      <c r="B3852" s="197" t="s">
        <v>21</v>
      </c>
      <c r="C3852" s="198" t="s">
        <v>241</v>
      </c>
      <c r="D3852" s="197" t="s">
        <v>242</v>
      </c>
      <c r="E3852" s="199">
        <v>1.0</v>
      </c>
      <c r="F3852" s="200">
        <v>45764.58333333333</v>
      </c>
      <c r="G3852" s="197" t="s">
        <v>843</v>
      </c>
      <c r="H3852" s="197" t="s">
        <v>877</v>
      </c>
    </row>
    <row r="3853" ht="15.75" customHeight="1">
      <c r="A3853" s="197" t="s">
        <v>84</v>
      </c>
      <c r="B3853" s="197" t="s">
        <v>21</v>
      </c>
      <c r="C3853" s="198" t="s">
        <v>241</v>
      </c>
      <c r="D3853" s="197" t="s">
        <v>242</v>
      </c>
      <c r="E3853" s="199">
        <v>2.0</v>
      </c>
      <c r="F3853" s="200">
        <v>45784.54166666667</v>
      </c>
      <c r="G3853" s="197" t="s">
        <v>845</v>
      </c>
      <c r="H3853" s="197" t="s">
        <v>877</v>
      </c>
    </row>
    <row r="3854" ht="15.75" customHeight="1">
      <c r="A3854" s="197" t="s">
        <v>84</v>
      </c>
      <c r="B3854" s="197" t="s">
        <v>21</v>
      </c>
      <c r="C3854" s="198" t="s">
        <v>241</v>
      </c>
      <c r="D3854" s="197" t="s">
        <v>242</v>
      </c>
      <c r="E3854" s="199">
        <v>3.0</v>
      </c>
      <c r="F3854" s="200">
        <v>45791.54166666667</v>
      </c>
      <c r="G3854" s="197" t="s">
        <v>845</v>
      </c>
      <c r="H3854" s="197" t="s">
        <v>877</v>
      </c>
    </row>
    <row r="3855" ht="15.75" customHeight="1">
      <c r="A3855" s="197" t="s">
        <v>84</v>
      </c>
      <c r="B3855" s="197" t="s">
        <v>21</v>
      </c>
      <c r="C3855" s="198" t="s">
        <v>241</v>
      </c>
      <c r="D3855" s="197" t="s">
        <v>242</v>
      </c>
      <c r="E3855" s="199">
        <v>4.0</v>
      </c>
      <c r="F3855" s="200">
        <v>45804.58333333333</v>
      </c>
      <c r="G3855" s="197" t="s">
        <v>845</v>
      </c>
      <c r="H3855" s="197" t="s">
        <v>877</v>
      </c>
    </row>
    <row r="3856" ht="15.75" customHeight="1">
      <c r="A3856" s="197" t="s">
        <v>84</v>
      </c>
      <c r="B3856" s="197" t="s">
        <v>21</v>
      </c>
      <c r="C3856" s="198" t="s">
        <v>241</v>
      </c>
      <c r="D3856" s="197" t="s">
        <v>242</v>
      </c>
      <c r="E3856" s="199">
        <v>5.0</v>
      </c>
      <c r="F3856" s="200">
        <v>45812.58333333333</v>
      </c>
      <c r="G3856" s="197" t="s">
        <v>845</v>
      </c>
      <c r="H3856" s="197" t="s">
        <v>877</v>
      </c>
    </row>
    <row r="3857" ht="15.75" customHeight="1">
      <c r="A3857" s="197" t="s">
        <v>84</v>
      </c>
      <c r="B3857" s="197" t="s">
        <v>21</v>
      </c>
      <c r="C3857" s="198" t="s">
        <v>241</v>
      </c>
      <c r="D3857" s="197" t="s">
        <v>242</v>
      </c>
      <c r="E3857" s="199">
        <v>6.0</v>
      </c>
      <c r="F3857" s="200">
        <v>45813.54166666667</v>
      </c>
      <c r="G3857" s="197" t="s">
        <v>845</v>
      </c>
      <c r="H3857" s="197" t="s">
        <v>877</v>
      </c>
    </row>
    <row r="3858" ht="15.75" customHeight="1">
      <c r="A3858" s="197" t="s">
        <v>84</v>
      </c>
      <c r="B3858" s="197" t="s">
        <v>21</v>
      </c>
      <c r="C3858" s="198" t="s">
        <v>241</v>
      </c>
      <c r="D3858" s="197" t="s">
        <v>242</v>
      </c>
      <c r="E3858" s="199">
        <v>7.0</v>
      </c>
      <c r="F3858" s="200">
        <v>45818.54166666667</v>
      </c>
      <c r="G3858" s="197" t="s">
        <v>845</v>
      </c>
      <c r="H3858" s="197" t="s">
        <v>877</v>
      </c>
    </row>
    <row r="3859" ht="15.75" customHeight="1">
      <c r="A3859" s="197" t="s">
        <v>84</v>
      </c>
      <c r="B3859" s="197" t="s">
        <v>21</v>
      </c>
      <c r="C3859" s="198" t="s">
        <v>241</v>
      </c>
      <c r="D3859" s="197" t="s">
        <v>242</v>
      </c>
      <c r="E3859" s="199">
        <v>8.0</v>
      </c>
      <c r="F3859" s="200">
        <v>45827.54166666667</v>
      </c>
      <c r="G3859" s="197" t="s">
        <v>845</v>
      </c>
      <c r="H3859" s="197" t="s">
        <v>877</v>
      </c>
    </row>
    <row r="3860" ht="15.75" customHeight="1">
      <c r="A3860" s="197" t="s">
        <v>84</v>
      </c>
      <c r="B3860" s="197" t="s">
        <v>21</v>
      </c>
      <c r="C3860" s="198" t="s">
        <v>241</v>
      </c>
      <c r="D3860" s="197" t="s">
        <v>242</v>
      </c>
      <c r="E3860" s="199">
        <v>9.0</v>
      </c>
      <c r="F3860" s="200">
        <v>45833.54166666667</v>
      </c>
      <c r="G3860" s="197" t="s">
        <v>845</v>
      </c>
      <c r="H3860" s="197" t="s">
        <v>877</v>
      </c>
    </row>
    <row r="3861" ht="15.75" customHeight="1">
      <c r="A3861" s="197" t="s">
        <v>84</v>
      </c>
      <c r="B3861" s="197" t="s">
        <v>21</v>
      </c>
      <c r="C3861" s="198" t="s">
        <v>241</v>
      </c>
      <c r="D3861" s="197" t="s">
        <v>242</v>
      </c>
      <c r="E3861" s="199">
        <v>10.0</v>
      </c>
      <c r="F3861" s="200">
        <v>45860.41666666667</v>
      </c>
      <c r="G3861" s="197" t="s">
        <v>845</v>
      </c>
      <c r="H3861" s="197" t="s">
        <v>877</v>
      </c>
    </row>
    <row r="3862" ht="15.75" customHeight="1">
      <c r="A3862" s="197" t="s">
        <v>84</v>
      </c>
      <c r="B3862" s="197" t="s">
        <v>24</v>
      </c>
      <c r="C3862" s="198" t="s">
        <v>253</v>
      </c>
      <c r="D3862" s="197" t="s">
        <v>254</v>
      </c>
      <c r="E3862" s="199">
        <v>1.0</v>
      </c>
      <c r="F3862" s="200">
        <v>46091.54166666667</v>
      </c>
      <c r="G3862" s="197" t="s">
        <v>845</v>
      </c>
      <c r="H3862" s="197" t="s">
        <v>877</v>
      </c>
    </row>
    <row r="3863" ht="15.75" customHeight="1">
      <c r="A3863" s="197" t="s">
        <v>84</v>
      </c>
      <c r="B3863" s="197" t="s">
        <v>24</v>
      </c>
      <c r="C3863" s="198" t="s">
        <v>253</v>
      </c>
      <c r="D3863" s="197" t="s">
        <v>254</v>
      </c>
      <c r="E3863" s="199">
        <v>2.0</v>
      </c>
      <c r="F3863" s="200">
        <v>46098.54166666667</v>
      </c>
      <c r="G3863" s="197" t="s">
        <v>845</v>
      </c>
      <c r="H3863" s="197" t="s">
        <v>877</v>
      </c>
    </row>
    <row r="3864" ht="15.75" customHeight="1">
      <c r="A3864" s="197" t="s">
        <v>84</v>
      </c>
      <c r="B3864" s="197" t="s">
        <v>24</v>
      </c>
      <c r="C3864" s="198" t="s">
        <v>253</v>
      </c>
      <c r="D3864" s="197" t="s">
        <v>254</v>
      </c>
      <c r="E3864" s="199">
        <v>3.0</v>
      </c>
      <c r="F3864" s="200">
        <v>46105.54166666667</v>
      </c>
      <c r="G3864" s="197" t="s">
        <v>843</v>
      </c>
      <c r="H3864" s="197" t="s">
        <v>877</v>
      </c>
    </row>
    <row r="3865" ht="15.75" customHeight="1">
      <c r="A3865" s="197" t="s">
        <v>84</v>
      </c>
      <c r="B3865" s="197" t="s">
        <v>24</v>
      </c>
      <c r="C3865" s="198" t="s">
        <v>253</v>
      </c>
      <c r="D3865" s="197" t="s">
        <v>254</v>
      </c>
      <c r="E3865" s="199">
        <v>4.0</v>
      </c>
      <c r="F3865" s="200">
        <v>46114.54166666667</v>
      </c>
      <c r="G3865" s="197" t="s">
        <v>845</v>
      </c>
      <c r="H3865" s="197" t="s">
        <v>877</v>
      </c>
    </row>
    <row r="3866" ht="15.75" customHeight="1">
      <c r="A3866" s="197" t="s">
        <v>84</v>
      </c>
      <c r="B3866" s="197" t="s">
        <v>24</v>
      </c>
      <c r="C3866" s="198" t="s">
        <v>253</v>
      </c>
      <c r="D3866" s="197" t="s">
        <v>254</v>
      </c>
      <c r="E3866" s="199">
        <v>5.0</v>
      </c>
      <c r="F3866" s="200">
        <v>46119.54166666667</v>
      </c>
      <c r="G3866" s="197" t="s">
        <v>845</v>
      </c>
      <c r="H3866" s="197" t="s">
        <v>877</v>
      </c>
    </row>
    <row r="3867" ht="15.75" customHeight="1">
      <c r="A3867" s="197" t="s">
        <v>84</v>
      </c>
      <c r="B3867" s="197" t="s">
        <v>24</v>
      </c>
      <c r="C3867" s="198" t="s">
        <v>253</v>
      </c>
      <c r="D3867" s="197" t="s">
        <v>254</v>
      </c>
      <c r="E3867" s="199">
        <v>6.0</v>
      </c>
      <c r="F3867" s="200">
        <v>46126.54166666667</v>
      </c>
      <c r="G3867" s="197" t="s">
        <v>845</v>
      </c>
      <c r="H3867" s="197" t="s">
        <v>877</v>
      </c>
    </row>
    <row r="3868" ht="15.75" customHeight="1">
      <c r="A3868" s="197" t="s">
        <v>84</v>
      </c>
      <c r="B3868" s="197" t="s">
        <v>21</v>
      </c>
      <c r="C3868" s="198" t="s">
        <v>253</v>
      </c>
      <c r="D3868" s="197" t="s">
        <v>254</v>
      </c>
      <c r="E3868" s="199">
        <v>1.0</v>
      </c>
      <c r="F3868" s="200">
        <v>45764.58333333333</v>
      </c>
      <c r="G3868" s="197" t="s">
        <v>845</v>
      </c>
      <c r="H3868" s="197" t="s">
        <v>877</v>
      </c>
    </row>
    <row r="3869" ht="15.75" customHeight="1">
      <c r="A3869" s="197" t="s">
        <v>84</v>
      </c>
      <c r="B3869" s="197" t="s">
        <v>21</v>
      </c>
      <c r="C3869" s="198" t="s">
        <v>253</v>
      </c>
      <c r="D3869" s="197" t="s">
        <v>254</v>
      </c>
      <c r="E3869" s="199">
        <v>2.0</v>
      </c>
      <c r="F3869" s="200">
        <v>45784.54166666667</v>
      </c>
      <c r="G3869" s="197" t="s">
        <v>845</v>
      </c>
      <c r="H3869" s="197" t="s">
        <v>877</v>
      </c>
    </row>
    <row r="3870" ht="15.75" customHeight="1">
      <c r="A3870" s="197" t="s">
        <v>84</v>
      </c>
      <c r="B3870" s="197" t="s">
        <v>21</v>
      </c>
      <c r="C3870" s="198" t="s">
        <v>253</v>
      </c>
      <c r="D3870" s="197" t="s">
        <v>254</v>
      </c>
      <c r="E3870" s="199">
        <v>3.0</v>
      </c>
      <c r="F3870" s="200">
        <v>45791.54166666667</v>
      </c>
      <c r="G3870" s="197" t="s">
        <v>845</v>
      </c>
      <c r="H3870" s="197" t="s">
        <v>877</v>
      </c>
    </row>
    <row r="3871" ht="15.75" customHeight="1">
      <c r="A3871" s="197" t="s">
        <v>84</v>
      </c>
      <c r="B3871" s="197" t="s">
        <v>21</v>
      </c>
      <c r="C3871" s="198" t="s">
        <v>253</v>
      </c>
      <c r="D3871" s="197" t="s">
        <v>254</v>
      </c>
      <c r="E3871" s="199">
        <v>4.0</v>
      </c>
      <c r="F3871" s="200">
        <v>45804.58333333333</v>
      </c>
      <c r="G3871" s="197" t="s">
        <v>845</v>
      </c>
      <c r="H3871" s="197" t="s">
        <v>877</v>
      </c>
    </row>
    <row r="3872" ht="15.75" customHeight="1">
      <c r="A3872" s="197" t="s">
        <v>84</v>
      </c>
      <c r="B3872" s="197" t="s">
        <v>21</v>
      </c>
      <c r="C3872" s="198" t="s">
        <v>253</v>
      </c>
      <c r="D3872" s="197" t="s">
        <v>254</v>
      </c>
      <c r="E3872" s="199">
        <v>5.0</v>
      </c>
      <c r="F3872" s="200">
        <v>45812.58333333333</v>
      </c>
      <c r="G3872" s="197" t="s">
        <v>845</v>
      </c>
      <c r="H3872" s="197" t="s">
        <v>877</v>
      </c>
    </row>
    <row r="3873" ht="15.75" customHeight="1">
      <c r="A3873" s="197" t="s">
        <v>84</v>
      </c>
      <c r="B3873" s="197" t="s">
        <v>21</v>
      </c>
      <c r="C3873" s="198" t="s">
        <v>253</v>
      </c>
      <c r="D3873" s="197" t="s">
        <v>254</v>
      </c>
      <c r="E3873" s="199">
        <v>6.0</v>
      </c>
      <c r="F3873" s="200">
        <v>45813.54166666667</v>
      </c>
      <c r="G3873" s="197" t="s">
        <v>845</v>
      </c>
      <c r="H3873" s="197" t="s">
        <v>877</v>
      </c>
    </row>
    <row r="3874" ht="15.75" customHeight="1">
      <c r="A3874" s="197" t="s">
        <v>84</v>
      </c>
      <c r="B3874" s="197" t="s">
        <v>21</v>
      </c>
      <c r="C3874" s="198" t="s">
        <v>253</v>
      </c>
      <c r="D3874" s="197" t="s">
        <v>254</v>
      </c>
      <c r="E3874" s="199">
        <v>7.0</v>
      </c>
      <c r="F3874" s="200">
        <v>45818.54166666667</v>
      </c>
      <c r="G3874" s="197" t="s">
        <v>845</v>
      </c>
      <c r="H3874" s="197" t="s">
        <v>877</v>
      </c>
    </row>
    <row r="3875" ht="15.75" customHeight="1">
      <c r="A3875" s="197" t="s">
        <v>84</v>
      </c>
      <c r="B3875" s="197" t="s">
        <v>21</v>
      </c>
      <c r="C3875" s="198" t="s">
        <v>253</v>
      </c>
      <c r="D3875" s="197" t="s">
        <v>254</v>
      </c>
      <c r="E3875" s="199">
        <v>8.0</v>
      </c>
      <c r="F3875" s="200">
        <v>45827.54166666667</v>
      </c>
      <c r="G3875" s="197" t="s">
        <v>845</v>
      </c>
      <c r="H3875" s="197" t="s">
        <v>877</v>
      </c>
    </row>
    <row r="3876" ht="15.75" customHeight="1">
      <c r="A3876" s="197" t="s">
        <v>84</v>
      </c>
      <c r="B3876" s="197" t="s">
        <v>21</v>
      </c>
      <c r="C3876" s="198" t="s">
        <v>253</v>
      </c>
      <c r="D3876" s="197" t="s">
        <v>254</v>
      </c>
      <c r="E3876" s="199">
        <v>9.0</v>
      </c>
      <c r="F3876" s="200">
        <v>45833.54166666667</v>
      </c>
      <c r="G3876" s="197" t="s">
        <v>845</v>
      </c>
      <c r="H3876" s="197" t="s">
        <v>877</v>
      </c>
    </row>
    <row r="3877" ht="15.75" customHeight="1">
      <c r="A3877" s="197" t="s">
        <v>84</v>
      </c>
      <c r="B3877" s="197" t="s">
        <v>21</v>
      </c>
      <c r="C3877" s="198" t="s">
        <v>253</v>
      </c>
      <c r="D3877" s="197" t="s">
        <v>254</v>
      </c>
      <c r="E3877" s="199">
        <v>10.0</v>
      </c>
      <c r="F3877" s="200">
        <v>45860.41666666667</v>
      </c>
      <c r="G3877" s="197" t="s">
        <v>845</v>
      </c>
      <c r="H3877" s="197" t="s">
        <v>877</v>
      </c>
    </row>
    <row r="3878" ht="15.75" customHeight="1">
      <c r="A3878" s="197" t="s">
        <v>84</v>
      </c>
      <c r="B3878" s="197" t="s">
        <v>22</v>
      </c>
      <c r="C3878" s="198" t="s">
        <v>253</v>
      </c>
      <c r="D3878" s="197" t="s">
        <v>254</v>
      </c>
      <c r="E3878" s="199">
        <v>1.0</v>
      </c>
      <c r="F3878" s="200">
        <v>45882.58333333333</v>
      </c>
      <c r="G3878" s="197" t="s">
        <v>843</v>
      </c>
      <c r="H3878" s="197" t="s">
        <v>877</v>
      </c>
    </row>
    <row r="3879" ht="15.75" customHeight="1">
      <c r="A3879" s="197" t="s">
        <v>84</v>
      </c>
      <c r="B3879" s="197" t="s">
        <v>22</v>
      </c>
      <c r="C3879" s="198" t="s">
        <v>253</v>
      </c>
      <c r="D3879" s="197" t="s">
        <v>254</v>
      </c>
      <c r="E3879" s="199">
        <v>2.0</v>
      </c>
      <c r="F3879" s="200">
        <v>45889.54166666667</v>
      </c>
      <c r="G3879" s="197" t="s">
        <v>845</v>
      </c>
      <c r="H3879" s="197" t="s">
        <v>877</v>
      </c>
    </row>
    <row r="3880" ht="15.75" customHeight="1">
      <c r="A3880" s="197" t="s">
        <v>84</v>
      </c>
      <c r="B3880" s="197" t="s">
        <v>22</v>
      </c>
      <c r="C3880" s="198" t="s">
        <v>253</v>
      </c>
      <c r="D3880" s="197" t="s">
        <v>254</v>
      </c>
      <c r="E3880" s="199">
        <v>3.0</v>
      </c>
      <c r="F3880" s="200">
        <v>45895.54166666667</v>
      </c>
      <c r="G3880" s="197" t="s">
        <v>845</v>
      </c>
      <c r="H3880" s="197" t="s">
        <v>877</v>
      </c>
    </row>
    <row r="3881" ht="15.75" customHeight="1">
      <c r="A3881" s="197" t="s">
        <v>84</v>
      </c>
      <c r="B3881" s="197" t="s">
        <v>22</v>
      </c>
      <c r="C3881" s="198" t="s">
        <v>253</v>
      </c>
      <c r="D3881" s="197" t="s">
        <v>254</v>
      </c>
      <c r="E3881" s="199">
        <v>4.0</v>
      </c>
      <c r="F3881" s="200">
        <v>45903.54166666667</v>
      </c>
      <c r="G3881" s="197" t="s">
        <v>845</v>
      </c>
      <c r="H3881" s="197" t="s">
        <v>877</v>
      </c>
    </row>
    <row r="3882" ht="15.75" customHeight="1">
      <c r="A3882" s="197" t="s">
        <v>84</v>
      </c>
      <c r="B3882" s="197" t="s">
        <v>22</v>
      </c>
      <c r="C3882" s="198" t="s">
        <v>253</v>
      </c>
      <c r="D3882" s="197" t="s">
        <v>254</v>
      </c>
      <c r="E3882" s="199">
        <v>5.0</v>
      </c>
      <c r="F3882" s="200">
        <v>45910.58333333333</v>
      </c>
      <c r="G3882" s="197" t="s">
        <v>845</v>
      </c>
      <c r="H3882" s="197" t="s">
        <v>877</v>
      </c>
    </row>
    <row r="3883" ht="15.75" customHeight="1">
      <c r="A3883" s="197" t="s">
        <v>84</v>
      </c>
      <c r="B3883" s="197" t="s">
        <v>22</v>
      </c>
      <c r="C3883" s="198" t="s">
        <v>253</v>
      </c>
      <c r="D3883" s="197" t="s">
        <v>254</v>
      </c>
      <c r="E3883" s="199">
        <v>6.0</v>
      </c>
      <c r="F3883" s="200">
        <v>45917.54166666667</v>
      </c>
      <c r="G3883" s="197" t="s">
        <v>845</v>
      </c>
      <c r="H3883" s="197" t="s">
        <v>877</v>
      </c>
    </row>
    <row r="3884" ht="15.75" customHeight="1">
      <c r="A3884" s="197" t="s">
        <v>84</v>
      </c>
      <c r="B3884" s="197" t="s">
        <v>22</v>
      </c>
      <c r="C3884" s="198" t="s">
        <v>253</v>
      </c>
      <c r="D3884" s="197" t="s">
        <v>254</v>
      </c>
      <c r="E3884" s="199">
        <v>7.0</v>
      </c>
      <c r="F3884" s="200">
        <v>45924.58333333333</v>
      </c>
      <c r="G3884" s="197" t="s">
        <v>845</v>
      </c>
      <c r="H3884" s="197" t="s">
        <v>877</v>
      </c>
    </row>
    <row r="3885" ht="15.75" customHeight="1">
      <c r="A3885" s="197" t="s">
        <v>84</v>
      </c>
      <c r="B3885" s="197" t="s">
        <v>22</v>
      </c>
      <c r="C3885" s="198" t="s">
        <v>253</v>
      </c>
      <c r="D3885" s="197" t="s">
        <v>254</v>
      </c>
      <c r="E3885" s="199">
        <v>8.0</v>
      </c>
      <c r="F3885" s="200">
        <v>45940.58333333333</v>
      </c>
      <c r="G3885" s="197" t="s">
        <v>845</v>
      </c>
      <c r="H3885" s="197" t="s">
        <v>877</v>
      </c>
    </row>
    <row r="3886" ht="15.75" customHeight="1">
      <c r="A3886" s="197" t="s">
        <v>84</v>
      </c>
      <c r="B3886" s="197" t="s">
        <v>22</v>
      </c>
      <c r="C3886" s="198" t="s">
        <v>253</v>
      </c>
      <c r="D3886" s="197" t="s">
        <v>254</v>
      </c>
      <c r="E3886" s="199">
        <v>9.0</v>
      </c>
      <c r="F3886" s="200">
        <v>45943.58333333333</v>
      </c>
      <c r="G3886" s="197" t="s">
        <v>843</v>
      </c>
      <c r="H3886" s="197" t="s">
        <v>877</v>
      </c>
    </row>
    <row r="3887" ht="15.75" customHeight="1">
      <c r="A3887" s="197" t="s">
        <v>84</v>
      </c>
      <c r="B3887" s="197" t="s">
        <v>22</v>
      </c>
      <c r="C3887" s="198" t="s">
        <v>253</v>
      </c>
      <c r="D3887" s="197" t="s">
        <v>254</v>
      </c>
      <c r="E3887" s="199">
        <v>10.0</v>
      </c>
      <c r="F3887" s="200">
        <v>45954.54166666667</v>
      </c>
      <c r="G3887" s="197" t="s">
        <v>845</v>
      </c>
      <c r="H3887" s="197" t="s">
        <v>877</v>
      </c>
    </row>
    <row r="3888" ht="15.75" customHeight="1">
      <c r="A3888" s="197" t="s">
        <v>84</v>
      </c>
      <c r="B3888" s="197" t="s">
        <v>22</v>
      </c>
      <c r="C3888" s="198" t="s">
        <v>253</v>
      </c>
      <c r="D3888" s="197" t="s">
        <v>254</v>
      </c>
      <c r="E3888" s="199">
        <v>11.0</v>
      </c>
      <c r="F3888" s="200">
        <v>45961.54166666667</v>
      </c>
      <c r="G3888" s="197" t="s">
        <v>845</v>
      </c>
      <c r="H3888" s="197" t="s">
        <v>877</v>
      </c>
    </row>
    <row r="3889" ht="15.75" customHeight="1">
      <c r="A3889" s="197" t="s">
        <v>84</v>
      </c>
      <c r="B3889" s="197" t="s">
        <v>22</v>
      </c>
      <c r="C3889" s="198" t="s">
        <v>253</v>
      </c>
      <c r="D3889" s="197" t="s">
        <v>254</v>
      </c>
      <c r="E3889" s="199">
        <v>12.0</v>
      </c>
      <c r="F3889" s="200">
        <v>45965.54166666667</v>
      </c>
      <c r="G3889" s="197" t="s">
        <v>845</v>
      </c>
      <c r="H3889" s="197" t="s">
        <v>877</v>
      </c>
    </row>
    <row r="3890" ht="15.75" customHeight="1">
      <c r="A3890" s="197" t="s">
        <v>84</v>
      </c>
      <c r="B3890" s="197" t="s">
        <v>22</v>
      </c>
      <c r="C3890" s="198" t="s">
        <v>253</v>
      </c>
      <c r="D3890" s="197" t="s">
        <v>254</v>
      </c>
      <c r="E3890" s="199">
        <v>13.0</v>
      </c>
      <c r="F3890" s="200">
        <v>45974.54166666667</v>
      </c>
      <c r="G3890" s="197" t="s">
        <v>845</v>
      </c>
      <c r="H3890" s="197" t="s">
        <v>877</v>
      </c>
    </row>
    <row r="3891" ht="15.75" customHeight="1">
      <c r="A3891" s="197" t="s">
        <v>84</v>
      </c>
      <c r="B3891" s="197" t="s">
        <v>22</v>
      </c>
      <c r="C3891" s="198" t="s">
        <v>253</v>
      </c>
      <c r="D3891" s="197" t="s">
        <v>254</v>
      </c>
      <c r="E3891" s="199">
        <v>14.0</v>
      </c>
      <c r="F3891" s="200">
        <v>45980.54166666667</v>
      </c>
      <c r="G3891" s="197" t="s">
        <v>845</v>
      </c>
      <c r="H3891" s="197" t="s">
        <v>877</v>
      </c>
    </row>
    <row r="3892" ht="15.75" customHeight="1">
      <c r="A3892" s="197" t="s">
        <v>84</v>
      </c>
      <c r="B3892" s="197" t="s">
        <v>22</v>
      </c>
      <c r="C3892" s="198" t="s">
        <v>253</v>
      </c>
      <c r="D3892" s="197" t="s">
        <v>254</v>
      </c>
      <c r="E3892" s="199">
        <v>15.0</v>
      </c>
      <c r="F3892" s="200">
        <v>45987.54166666667</v>
      </c>
      <c r="G3892" s="197" t="s">
        <v>845</v>
      </c>
      <c r="H3892" s="197" t="s">
        <v>877</v>
      </c>
    </row>
    <row r="3893" ht="15.75" customHeight="1">
      <c r="A3893" s="197" t="s">
        <v>84</v>
      </c>
      <c r="B3893" s="197" t="s">
        <v>22</v>
      </c>
      <c r="C3893" s="198" t="s">
        <v>253</v>
      </c>
      <c r="D3893" s="197" t="s">
        <v>254</v>
      </c>
      <c r="E3893" s="199">
        <v>16.0</v>
      </c>
      <c r="F3893" s="200">
        <v>46045.54166666667</v>
      </c>
      <c r="G3893" s="197" t="s">
        <v>845</v>
      </c>
      <c r="H3893" s="197" t="s">
        <v>877</v>
      </c>
    </row>
    <row r="3894" ht="15.75" customHeight="1">
      <c r="A3894" s="197" t="s">
        <v>84</v>
      </c>
      <c r="B3894" s="197" t="s">
        <v>24</v>
      </c>
      <c r="C3894" s="198" t="s">
        <v>447</v>
      </c>
      <c r="D3894" s="197" t="s">
        <v>448</v>
      </c>
      <c r="E3894" s="199">
        <v>1.0</v>
      </c>
      <c r="F3894" s="200">
        <v>46091.54166666667</v>
      </c>
      <c r="G3894" s="197" t="s">
        <v>845</v>
      </c>
      <c r="H3894" s="197" t="s">
        <v>877</v>
      </c>
    </row>
    <row r="3895" ht="15.75" customHeight="1">
      <c r="A3895" s="197" t="s">
        <v>84</v>
      </c>
      <c r="B3895" s="197" t="s">
        <v>24</v>
      </c>
      <c r="C3895" s="198" t="s">
        <v>447</v>
      </c>
      <c r="D3895" s="197" t="s">
        <v>448</v>
      </c>
      <c r="E3895" s="199">
        <v>2.0</v>
      </c>
      <c r="F3895" s="200">
        <v>46098.54166666667</v>
      </c>
      <c r="G3895" s="197" t="s">
        <v>845</v>
      </c>
      <c r="H3895" s="197" t="s">
        <v>877</v>
      </c>
    </row>
    <row r="3896" ht="15.75" customHeight="1">
      <c r="A3896" s="197" t="s">
        <v>84</v>
      </c>
      <c r="B3896" s="197" t="s">
        <v>24</v>
      </c>
      <c r="C3896" s="198" t="s">
        <v>447</v>
      </c>
      <c r="D3896" s="197" t="s">
        <v>448</v>
      </c>
      <c r="E3896" s="199">
        <v>3.0</v>
      </c>
      <c r="F3896" s="200">
        <v>46105.54166666667</v>
      </c>
      <c r="G3896" s="197" t="s">
        <v>843</v>
      </c>
      <c r="H3896" s="197" t="s">
        <v>877</v>
      </c>
    </row>
    <row r="3897" ht="15.75" customHeight="1">
      <c r="A3897" s="197" t="s">
        <v>84</v>
      </c>
      <c r="B3897" s="197" t="s">
        <v>24</v>
      </c>
      <c r="C3897" s="198" t="s">
        <v>447</v>
      </c>
      <c r="D3897" s="197" t="s">
        <v>448</v>
      </c>
      <c r="E3897" s="199">
        <v>4.0</v>
      </c>
      <c r="F3897" s="200">
        <v>46114.54166666667</v>
      </c>
      <c r="G3897" s="197" t="s">
        <v>845</v>
      </c>
      <c r="H3897" s="197" t="s">
        <v>877</v>
      </c>
    </row>
    <row r="3898" ht="15.75" customHeight="1">
      <c r="A3898" s="197" t="s">
        <v>84</v>
      </c>
      <c r="B3898" s="197" t="s">
        <v>24</v>
      </c>
      <c r="C3898" s="198" t="s">
        <v>447</v>
      </c>
      <c r="D3898" s="197" t="s">
        <v>448</v>
      </c>
      <c r="E3898" s="199">
        <v>5.0</v>
      </c>
      <c r="F3898" s="200">
        <v>46119.54166666667</v>
      </c>
      <c r="G3898" s="197" t="s">
        <v>843</v>
      </c>
      <c r="H3898" s="197" t="s">
        <v>877</v>
      </c>
    </row>
    <row r="3899" ht="15.75" customHeight="1">
      <c r="A3899" s="197" t="s">
        <v>84</v>
      </c>
      <c r="B3899" s="197" t="s">
        <v>24</v>
      </c>
      <c r="C3899" s="198" t="s">
        <v>447</v>
      </c>
      <c r="D3899" s="197" t="s">
        <v>448</v>
      </c>
      <c r="E3899" s="199">
        <v>6.0</v>
      </c>
      <c r="F3899" s="200">
        <v>46126.54166666667</v>
      </c>
      <c r="G3899" s="197" t="s">
        <v>845</v>
      </c>
      <c r="H3899" s="197" t="s">
        <v>877</v>
      </c>
    </row>
    <row r="3900" ht="15.75" customHeight="1">
      <c r="A3900" s="197" t="s">
        <v>84</v>
      </c>
      <c r="B3900" s="197" t="s">
        <v>21</v>
      </c>
      <c r="C3900" s="198" t="s">
        <v>447</v>
      </c>
      <c r="D3900" s="197" t="s">
        <v>448</v>
      </c>
      <c r="E3900" s="199">
        <v>1.0</v>
      </c>
      <c r="F3900" s="200">
        <v>45764.58333333333</v>
      </c>
      <c r="G3900" s="197" t="s">
        <v>845</v>
      </c>
      <c r="H3900" s="197" t="s">
        <v>877</v>
      </c>
    </row>
    <row r="3901" ht="15.75" customHeight="1">
      <c r="A3901" s="197" t="s">
        <v>84</v>
      </c>
      <c r="B3901" s="197" t="s">
        <v>21</v>
      </c>
      <c r="C3901" s="198" t="s">
        <v>447</v>
      </c>
      <c r="D3901" s="197" t="s">
        <v>448</v>
      </c>
      <c r="E3901" s="199">
        <v>2.0</v>
      </c>
      <c r="F3901" s="200">
        <v>45784.54166666667</v>
      </c>
      <c r="G3901" s="197" t="s">
        <v>843</v>
      </c>
      <c r="H3901" s="197" t="s">
        <v>877</v>
      </c>
    </row>
    <row r="3902" ht="15.75" customHeight="1">
      <c r="A3902" s="197" t="s">
        <v>84</v>
      </c>
      <c r="B3902" s="197" t="s">
        <v>21</v>
      </c>
      <c r="C3902" s="198" t="s">
        <v>447</v>
      </c>
      <c r="D3902" s="197" t="s">
        <v>448</v>
      </c>
      <c r="E3902" s="199">
        <v>3.0</v>
      </c>
      <c r="F3902" s="200">
        <v>45791.54166666667</v>
      </c>
      <c r="G3902" s="197" t="s">
        <v>845</v>
      </c>
      <c r="H3902" s="197" t="s">
        <v>877</v>
      </c>
    </row>
    <row r="3903" ht="15.75" customHeight="1">
      <c r="A3903" s="197" t="s">
        <v>84</v>
      </c>
      <c r="B3903" s="197" t="s">
        <v>21</v>
      </c>
      <c r="C3903" s="198" t="s">
        <v>447</v>
      </c>
      <c r="D3903" s="197" t="s">
        <v>448</v>
      </c>
      <c r="E3903" s="199">
        <v>4.0</v>
      </c>
      <c r="F3903" s="200">
        <v>45804.58333333333</v>
      </c>
      <c r="G3903" s="197" t="s">
        <v>845</v>
      </c>
      <c r="H3903" s="197" t="s">
        <v>877</v>
      </c>
    </row>
    <row r="3904" ht="15.75" customHeight="1">
      <c r="A3904" s="197" t="s">
        <v>84</v>
      </c>
      <c r="B3904" s="197" t="s">
        <v>21</v>
      </c>
      <c r="C3904" s="198" t="s">
        <v>447</v>
      </c>
      <c r="D3904" s="197" t="s">
        <v>448</v>
      </c>
      <c r="E3904" s="199">
        <v>5.0</v>
      </c>
      <c r="F3904" s="200">
        <v>45812.58333333333</v>
      </c>
      <c r="G3904" s="197" t="s">
        <v>845</v>
      </c>
      <c r="H3904" s="197" t="s">
        <v>877</v>
      </c>
    </row>
    <row r="3905" ht="15.75" customHeight="1">
      <c r="A3905" s="197" t="s">
        <v>84</v>
      </c>
      <c r="B3905" s="197" t="s">
        <v>21</v>
      </c>
      <c r="C3905" s="198" t="s">
        <v>447</v>
      </c>
      <c r="D3905" s="197" t="s">
        <v>448</v>
      </c>
      <c r="E3905" s="199">
        <v>6.0</v>
      </c>
      <c r="F3905" s="200">
        <v>45813.54166666667</v>
      </c>
      <c r="G3905" s="197" t="s">
        <v>845</v>
      </c>
      <c r="H3905" s="197" t="s">
        <v>877</v>
      </c>
    </row>
    <row r="3906" ht="15.75" customHeight="1">
      <c r="A3906" s="197" t="s">
        <v>84</v>
      </c>
      <c r="B3906" s="197" t="s">
        <v>21</v>
      </c>
      <c r="C3906" s="198" t="s">
        <v>447</v>
      </c>
      <c r="D3906" s="197" t="s">
        <v>448</v>
      </c>
      <c r="E3906" s="199">
        <v>7.0</v>
      </c>
      <c r="F3906" s="200">
        <v>45818.54166666667</v>
      </c>
      <c r="G3906" s="197" t="s">
        <v>845</v>
      </c>
      <c r="H3906" s="197" t="s">
        <v>877</v>
      </c>
    </row>
    <row r="3907" ht="15.75" customHeight="1">
      <c r="A3907" s="197" t="s">
        <v>84</v>
      </c>
      <c r="B3907" s="197" t="s">
        <v>21</v>
      </c>
      <c r="C3907" s="198" t="s">
        <v>447</v>
      </c>
      <c r="D3907" s="197" t="s">
        <v>448</v>
      </c>
      <c r="E3907" s="199">
        <v>8.0</v>
      </c>
      <c r="F3907" s="200">
        <v>45827.54166666667</v>
      </c>
      <c r="G3907" s="197" t="s">
        <v>845</v>
      </c>
      <c r="H3907" s="197" t="s">
        <v>877</v>
      </c>
    </row>
    <row r="3908" ht="15.75" customHeight="1">
      <c r="A3908" s="197" t="s">
        <v>84</v>
      </c>
      <c r="B3908" s="197" t="s">
        <v>21</v>
      </c>
      <c r="C3908" s="198" t="s">
        <v>447</v>
      </c>
      <c r="D3908" s="197" t="s">
        <v>448</v>
      </c>
      <c r="E3908" s="199">
        <v>9.0</v>
      </c>
      <c r="F3908" s="200">
        <v>45833.54166666667</v>
      </c>
      <c r="G3908" s="197" t="s">
        <v>845</v>
      </c>
      <c r="H3908" s="197" t="s">
        <v>877</v>
      </c>
    </row>
    <row r="3909" ht="15.75" customHeight="1">
      <c r="A3909" s="197" t="s">
        <v>84</v>
      </c>
      <c r="B3909" s="197" t="s">
        <v>21</v>
      </c>
      <c r="C3909" s="198" t="s">
        <v>447</v>
      </c>
      <c r="D3909" s="197" t="s">
        <v>448</v>
      </c>
      <c r="E3909" s="199">
        <v>10.0</v>
      </c>
      <c r="F3909" s="200">
        <v>45860.41666666667</v>
      </c>
      <c r="G3909" s="197" t="s">
        <v>845</v>
      </c>
      <c r="H3909" s="197" t="s">
        <v>877</v>
      </c>
    </row>
    <row r="3910" ht="15.75" customHeight="1">
      <c r="A3910" s="197" t="s">
        <v>84</v>
      </c>
      <c r="B3910" s="197" t="s">
        <v>22</v>
      </c>
      <c r="C3910" s="198" t="s">
        <v>447</v>
      </c>
      <c r="D3910" s="197" t="s">
        <v>448</v>
      </c>
      <c r="E3910" s="199">
        <v>1.0</v>
      </c>
      <c r="F3910" s="200">
        <v>45882.58333333333</v>
      </c>
      <c r="G3910" s="197" t="s">
        <v>845</v>
      </c>
      <c r="H3910" s="197" t="s">
        <v>877</v>
      </c>
    </row>
    <row r="3911" ht="15.75" customHeight="1">
      <c r="A3911" s="197" t="s">
        <v>84</v>
      </c>
      <c r="B3911" s="197" t="s">
        <v>22</v>
      </c>
      <c r="C3911" s="198" t="s">
        <v>447</v>
      </c>
      <c r="D3911" s="197" t="s">
        <v>448</v>
      </c>
      <c r="E3911" s="199">
        <v>2.0</v>
      </c>
      <c r="F3911" s="200">
        <v>45889.54166666667</v>
      </c>
      <c r="G3911" s="197" t="s">
        <v>845</v>
      </c>
      <c r="H3911" s="197" t="s">
        <v>877</v>
      </c>
    </row>
    <row r="3912" ht="15.75" customHeight="1">
      <c r="A3912" s="197" t="s">
        <v>84</v>
      </c>
      <c r="B3912" s="197" t="s">
        <v>22</v>
      </c>
      <c r="C3912" s="198" t="s">
        <v>447</v>
      </c>
      <c r="D3912" s="197" t="s">
        <v>448</v>
      </c>
      <c r="E3912" s="199">
        <v>3.0</v>
      </c>
      <c r="F3912" s="200">
        <v>45895.54166666667</v>
      </c>
      <c r="G3912" s="197" t="s">
        <v>845</v>
      </c>
      <c r="H3912" s="197" t="s">
        <v>877</v>
      </c>
    </row>
    <row r="3913" ht="15.75" customHeight="1">
      <c r="A3913" s="197" t="s">
        <v>84</v>
      </c>
      <c r="B3913" s="197" t="s">
        <v>22</v>
      </c>
      <c r="C3913" s="198" t="s">
        <v>447</v>
      </c>
      <c r="D3913" s="197" t="s">
        <v>448</v>
      </c>
      <c r="E3913" s="199">
        <v>4.0</v>
      </c>
      <c r="F3913" s="200">
        <v>45903.54166666667</v>
      </c>
      <c r="G3913" s="197" t="s">
        <v>845</v>
      </c>
      <c r="H3913" s="197" t="s">
        <v>877</v>
      </c>
    </row>
    <row r="3914" ht="15.75" customHeight="1">
      <c r="A3914" s="197" t="s">
        <v>84</v>
      </c>
      <c r="B3914" s="197" t="s">
        <v>22</v>
      </c>
      <c r="C3914" s="198" t="s">
        <v>447</v>
      </c>
      <c r="D3914" s="197" t="s">
        <v>448</v>
      </c>
      <c r="E3914" s="199">
        <v>5.0</v>
      </c>
      <c r="F3914" s="200">
        <v>45910.58333333333</v>
      </c>
      <c r="G3914" s="197" t="s">
        <v>843</v>
      </c>
      <c r="H3914" s="197" t="s">
        <v>877</v>
      </c>
    </row>
    <row r="3915" ht="15.75" customHeight="1">
      <c r="A3915" s="197" t="s">
        <v>84</v>
      </c>
      <c r="B3915" s="197" t="s">
        <v>22</v>
      </c>
      <c r="C3915" s="198" t="s">
        <v>447</v>
      </c>
      <c r="D3915" s="197" t="s">
        <v>448</v>
      </c>
      <c r="E3915" s="199">
        <v>6.0</v>
      </c>
      <c r="F3915" s="200">
        <v>45917.54166666667</v>
      </c>
      <c r="G3915" s="197" t="s">
        <v>845</v>
      </c>
      <c r="H3915" s="197" t="s">
        <v>877</v>
      </c>
    </row>
    <row r="3916" ht="15.75" customHeight="1">
      <c r="A3916" s="197" t="s">
        <v>84</v>
      </c>
      <c r="B3916" s="197" t="s">
        <v>22</v>
      </c>
      <c r="C3916" s="198" t="s">
        <v>447</v>
      </c>
      <c r="D3916" s="197" t="s">
        <v>448</v>
      </c>
      <c r="E3916" s="199">
        <v>7.0</v>
      </c>
      <c r="F3916" s="200">
        <v>45924.58333333333</v>
      </c>
      <c r="G3916" s="197" t="s">
        <v>845</v>
      </c>
      <c r="H3916" s="197" t="s">
        <v>877</v>
      </c>
    </row>
    <row r="3917" ht="15.75" customHeight="1">
      <c r="A3917" s="197" t="s">
        <v>84</v>
      </c>
      <c r="B3917" s="197" t="s">
        <v>22</v>
      </c>
      <c r="C3917" s="198" t="s">
        <v>447</v>
      </c>
      <c r="D3917" s="197" t="s">
        <v>448</v>
      </c>
      <c r="E3917" s="199">
        <v>8.0</v>
      </c>
      <c r="F3917" s="200">
        <v>45940.58333333333</v>
      </c>
      <c r="G3917" s="197" t="s">
        <v>845</v>
      </c>
      <c r="H3917" s="197" t="s">
        <v>877</v>
      </c>
    </row>
    <row r="3918" ht="15.75" customHeight="1">
      <c r="A3918" s="197" t="s">
        <v>84</v>
      </c>
      <c r="B3918" s="197" t="s">
        <v>22</v>
      </c>
      <c r="C3918" s="198" t="s">
        <v>447</v>
      </c>
      <c r="D3918" s="197" t="s">
        <v>448</v>
      </c>
      <c r="E3918" s="199">
        <v>9.0</v>
      </c>
      <c r="F3918" s="200">
        <v>45943.58333333333</v>
      </c>
      <c r="G3918" s="197" t="s">
        <v>845</v>
      </c>
      <c r="H3918" s="197" t="s">
        <v>877</v>
      </c>
    </row>
    <row r="3919" ht="15.75" customHeight="1">
      <c r="A3919" s="197" t="s">
        <v>84</v>
      </c>
      <c r="B3919" s="197" t="s">
        <v>22</v>
      </c>
      <c r="C3919" s="198" t="s">
        <v>447</v>
      </c>
      <c r="D3919" s="197" t="s">
        <v>448</v>
      </c>
      <c r="E3919" s="199">
        <v>10.0</v>
      </c>
      <c r="F3919" s="200">
        <v>45954.54166666667</v>
      </c>
      <c r="G3919" s="197" t="s">
        <v>845</v>
      </c>
      <c r="H3919" s="197" t="s">
        <v>877</v>
      </c>
    </row>
    <row r="3920" ht="15.75" customHeight="1">
      <c r="A3920" s="197" t="s">
        <v>84</v>
      </c>
      <c r="B3920" s="197" t="s">
        <v>22</v>
      </c>
      <c r="C3920" s="198" t="s">
        <v>447</v>
      </c>
      <c r="D3920" s="197" t="s">
        <v>448</v>
      </c>
      <c r="E3920" s="199">
        <v>11.0</v>
      </c>
      <c r="F3920" s="200">
        <v>45961.54166666667</v>
      </c>
      <c r="G3920" s="197" t="s">
        <v>845</v>
      </c>
      <c r="H3920" s="197" t="s">
        <v>877</v>
      </c>
    </row>
    <row r="3921" ht="15.75" customHeight="1">
      <c r="A3921" s="197" t="s">
        <v>84</v>
      </c>
      <c r="B3921" s="197" t="s">
        <v>22</v>
      </c>
      <c r="C3921" s="198" t="s">
        <v>447</v>
      </c>
      <c r="D3921" s="197" t="s">
        <v>448</v>
      </c>
      <c r="E3921" s="199">
        <v>12.0</v>
      </c>
      <c r="F3921" s="200">
        <v>45965.54166666667</v>
      </c>
      <c r="G3921" s="197" t="s">
        <v>845</v>
      </c>
      <c r="H3921" s="197" t="s">
        <v>877</v>
      </c>
    </row>
    <row r="3922" ht="15.75" customHeight="1">
      <c r="A3922" s="197" t="s">
        <v>84</v>
      </c>
      <c r="B3922" s="197" t="s">
        <v>22</v>
      </c>
      <c r="C3922" s="198" t="s">
        <v>447</v>
      </c>
      <c r="D3922" s="197" t="s">
        <v>448</v>
      </c>
      <c r="E3922" s="199">
        <v>13.0</v>
      </c>
      <c r="F3922" s="200">
        <v>45974.54166666667</v>
      </c>
      <c r="G3922" s="197" t="s">
        <v>845</v>
      </c>
      <c r="H3922" s="197" t="s">
        <v>877</v>
      </c>
    </row>
    <row r="3923" ht="15.75" customHeight="1">
      <c r="A3923" s="197" t="s">
        <v>84</v>
      </c>
      <c r="B3923" s="197" t="s">
        <v>22</v>
      </c>
      <c r="C3923" s="198" t="s">
        <v>447</v>
      </c>
      <c r="D3923" s="197" t="s">
        <v>448</v>
      </c>
      <c r="E3923" s="199">
        <v>14.0</v>
      </c>
      <c r="F3923" s="200">
        <v>45980.54166666667</v>
      </c>
      <c r="G3923" s="197" t="s">
        <v>843</v>
      </c>
      <c r="H3923" s="197" t="s">
        <v>877</v>
      </c>
    </row>
    <row r="3924" ht="15.75" customHeight="1">
      <c r="A3924" s="197" t="s">
        <v>84</v>
      </c>
      <c r="B3924" s="197" t="s">
        <v>22</v>
      </c>
      <c r="C3924" s="198" t="s">
        <v>447</v>
      </c>
      <c r="D3924" s="197" t="s">
        <v>448</v>
      </c>
      <c r="E3924" s="199">
        <v>15.0</v>
      </c>
      <c r="F3924" s="200">
        <v>45987.54166666667</v>
      </c>
      <c r="G3924" s="197" t="s">
        <v>845</v>
      </c>
      <c r="H3924" s="197" t="s">
        <v>877</v>
      </c>
    </row>
    <row r="3925" ht="15.75" customHeight="1">
      <c r="A3925" s="197" t="s">
        <v>84</v>
      </c>
      <c r="B3925" s="197" t="s">
        <v>22</v>
      </c>
      <c r="C3925" s="198" t="s">
        <v>447</v>
      </c>
      <c r="D3925" s="197" t="s">
        <v>448</v>
      </c>
      <c r="E3925" s="199">
        <v>16.0</v>
      </c>
      <c r="F3925" s="200">
        <v>46045.54166666667</v>
      </c>
      <c r="G3925" s="197" t="s">
        <v>845</v>
      </c>
      <c r="H3925" s="197" t="s">
        <v>877</v>
      </c>
    </row>
    <row r="3926" ht="15.75" customHeight="1">
      <c r="A3926" s="197" t="s">
        <v>84</v>
      </c>
      <c r="B3926" s="197" t="s">
        <v>21</v>
      </c>
      <c r="C3926" s="198" t="s">
        <v>463</v>
      </c>
      <c r="D3926" s="197" t="s">
        <v>464</v>
      </c>
      <c r="E3926" s="199">
        <v>1.0</v>
      </c>
      <c r="F3926" s="200">
        <v>45764.58333333333</v>
      </c>
      <c r="G3926" s="197" t="s">
        <v>845</v>
      </c>
      <c r="H3926" s="197" t="s">
        <v>877</v>
      </c>
    </row>
    <row r="3927" ht="15.75" customHeight="1">
      <c r="A3927" s="197" t="s">
        <v>84</v>
      </c>
      <c r="B3927" s="197" t="s">
        <v>21</v>
      </c>
      <c r="C3927" s="198" t="s">
        <v>463</v>
      </c>
      <c r="D3927" s="197" t="s">
        <v>464</v>
      </c>
      <c r="E3927" s="199">
        <v>2.0</v>
      </c>
      <c r="F3927" s="200">
        <v>45784.54166666667</v>
      </c>
      <c r="G3927" s="197" t="s">
        <v>845</v>
      </c>
      <c r="H3927" s="197" t="s">
        <v>877</v>
      </c>
    </row>
    <row r="3928" ht="15.75" customHeight="1">
      <c r="A3928" s="197" t="s">
        <v>84</v>
      </c>
      <c r="B3928" s="197" t="s">
        <v>21</v>
      </c>
      <c r="C3928" s="198" t="s">
        <v>463</v>
      </c>
      <c r="D3928" s="197" t="s">
        <v>464</v>
      </c>
      <c r="E3928" s="199">
        <v>3.0</v>
      </c>
      <c r="F3928" s="200">
        <v>45791.54166666667</v>
      </c>
      <c r="G3928" s="197" t="s">
        <v>845</v>
      </c>
      <c r="H3928" s="197" t="s">
        <v>877</v>
      </c>
    </row>
    <row r="3929" ht="15.75" customHeight="1">
      <c r="A3929" s="197" t="s">
        <v>84</v>
      </c>
      <c r="B3929" s="197" t="s">
        <v>21</v>
      </c>
      <c r="C3929" s="198" t="s">
        <v>463</v>
      </c>
      <c r="D3929" s="197" t="s">
        <v>464</v>
      </c>
      <c r="E3929" s="199">
        <v>4.0</v>
      </c>
      <c r="F3929" s="200">
        <v>45804.58333333333</v>
      </c>
      <c r="G3929" s="197" t="s">
        <v>845</v>
      </c>
      <c r="H3929" s="197" t="s">
        <v>877</v>
      </c>
    </row>
    <row r="3930" ht="15.75" customHeight="1">
      <c r="A3930" s="197" t="s">
        <v>84</v>
      </c>
      <c r="B3930" s="197" t="s">
        <v>21</v>
      </c>
      <c r="C3930" s="198" t="s">
        <v>463</v>
      </c>
      <c r="D3930" s="197" t="s">
        <v>464</v>
      </c>
      <c r="E3930" s="199">
        <v>5.0</v>
      </c>
      <c r="F3930" s="200">
        <v>45812.58333333333</v>
      </c>
      <c r="G3930" s="197" t="s">
        <v>845</v>
      </c>
      <c r="H3930" s="197" t="s">
        <v>877</v>
      </c>
    </row>
    <row r="3931" ht="15.75" customHeight="1">
      <c r="A3931" s="197" t="s">
        <v>84</v>
      </c>
      <c r="B3931" s="197" t="s">
        <v>21</v>
      </c>
      <c r="C3931" s="198" t="s">
        <v>463</v>
      </c>
      <c r="D3931" s="197" t="s">
        <v>464</v>
      </c>
      <c r="E3931" s="199">
        <v>6.0</v>
      </c>
      <c r="F3931" s="200">
        <v>45813.54166666667</v>
      </c>
      <c r="G3931" s="197" t="s">
        <v>845</v>
      </c>
      <c r="H3931" s="197" t="s">
        <v>877</v>
      </c>
    </row>
    <row r="3932" ht="15.75" customHeight="1">
      <c r="A3932" s="197" t="s">
        <v>84</v>
      </c>
      <c r="B3932" s="197" t="s">
        <v>21</v>
      </c>
      <c r="C3932" s="198" t="s">
        <v>463</v>
      </c>
      <c r="D3932" s="197" t="s">
        <v>464</v>
      </c>
      <c r="E3932" s="199">
        <v>7.0</v>
      </c>
      <c r="F3932" s="200">
        <v>45818.54166666667</v>
      </c>
      <c r="G3932" s="197" t="s">
        <v>845</v>
      </c>
      <c r="H3932" s="197" t="s">
        <v>877</v>
      </c>
    </row>
    <row r="3933" ht="15.75" customHeight="1">
      <c r="A3933" s="197" t="s">
        <v>84</v>
      </c>
      <c r="B3933" s="197" t="s">
        <v>21</v>
      </c>
      <c r="C3933" s="198" t="s">
        <v>463</v>
      </c>
      <c r="D3933" s="197" t="s">
        <v>464</v>
      </c>
      <c r="E3933" s="199">
        <v>8.0</v>
      </c>
      <c r="F3933" s="200">
        <v>45827.54166666667</v>
      </c>
      <c r="G3933" s="197" t="s">
        <v>845</v>
      </c>
      <c r="H3933" s="197" t="s">
        <v>877</v>
      </c>
    </row>
    <row r="3934" ht="15.75" customHeight="1">
      <c r="A3934" s="197" t="s">
        <v>84</v>
      </c>
      <c r="B3934" s="197" t="s">
        <v>21</v>
      </c>
      <c r="C3934" s="198" t="s">
        <v>463</v>
      </c>
      <c r="D3934" s="197" t="s">
        <v>464</v>
      </c>
      <c r="E3934" s="199">
        <v>9.0</v>
      </c>
      <c r="F3934" s="200">
        <v>45833.54166666667</v>
      </c>
      <c r="G3934" s="197" t="s">
        <v>845</v>
      </c>
      <c r="H3934" s="197" t="s">
        <v>877</v>
      </c>
    </row>
    <row r="3935" ht="15.75" customHeight="1">
      <c r="A3935" s="197" t="s">
        <v>84</v>
      </c>
      <c r="B3935" s="197" t="s">
        <v>21</v>
      </c>
      <c r="C3935" s="198" t="s">
        <v>463</v>
      </c>
      <c r="D3935" s="197" t="s">
        <v>464</v>
      </c>
      <c r="E3935" s="199">
        <v>10.0</v>
      </c>
      <c r="F3935" s="200">
        <v>45860.41666666667</v>
      </c>
      <c r="G3935" s="197" t="s">
        <v>845</v>
      </c>
      <c r="H3935" s="197" t="s">
        <v>877</v>
      </c>
    </row>
    <row r="3936" ht="15.75" customHeight="1">
      <c r="A3936" s="197" t="s">
        <v>84</v>
      </c>
      <c r="B3936" s="197" t="s">
        <v>21</v>
      </c>
      <c r="C3936" s="198" t="s">
        <v>472</v>
      </c>
      <c r="D3936" s="197" t="s">
        <v>473</v>
      </c>
      <c r="E3936" s="199">
        <v>1.0</v>
      </c>
      <c r="F3936" s="200">
        <v>45764.58333333333</v>
      </c>
      <c r="G3936" s="197" t="s">
        <v>845</v>
      </c>
      <c r="H3936" s="197" t="s">
        <v>877</v>
      </c>
    </row>
    <row r="3937" ht="15.75" customHeight="1">
      <c r="A3937" s="197" t="s">
        <v>84</v>
      </c>
      <c r="B3937" s="197" t="s">
        <v>21</v>
      </c>
      <c r="C3937" s="198" t="s">
        <v>472</v>
      </c>
      <c r="D3937" s="197" t="s">
        <v>473</v>
      </c>
      <c r="E3937" s="199">
        <v>2.0</v>
      </c>
      <c r="F3937" s="200">
        <v>45784.54166666667</v>
      </c>
      <c r="G3937" s="197" t="s">
        <v>845</v>
      </c>
      <c r="H3937" s="197" t="s">
        <v>877</v>
      </c>
    </row>
    <row r="3938" ht="15.75" customHeight="1">
      <c r="A3938" s="197" t="s">
        <v>84</v>
      </c>
      <c r="B3938" s="197" t="s">
        <v>21</v>
      </c>
      <c r="C3938" s="198" t="s">
        <v>472</v>
      </c>
      <c r="D3938" s="197" t="s">
        <v>473</v>
      </c>
      <c r="E3938" s="199">
        <v>3.0</v>
      </c>
      <c r="F3938" s="200">
        <v>45791.54166666667</v>
      </c>
      <c r="G3938" s="197" t="s">
        <v>843</v>
      </c>
      <c r="H3938" s="197" t="s">
        <v>877</v>
      </c>
    </row>
    <row r="3939" ht="15.75" customHeight="1">
      <c r="A3939" s="197" t="s">
        <v>84</v>
      </c>
      <c r="B3939" s="197" t="s">
        <v>21</v>
      </c>
      <c r="C3939" s="198" t="s">
        <v>472</v>
      </c>
      <c r="D3939" s="197" t="s">
        <v>473</v>
      </c>
      <c r="E3939" s="199">
        <v>4.0</v>
      </c>
      <c r="F3939" s="200">
        <v>45804.58333333333</v>
      </c>
      <c r="G3939" s="197" t="s">
        <v>845</v>
      </c>
      <c r="H3939" s="197" t="s">
        <v>877</v>
      </c>
    </row>
    <row r="3940" ht="15.75" customHeight="1">
      <c r="A3940" s="197" t="s">
        <v>84</v>
      </c>
      <c r="B3940" s="197" t="s">
        <v>21</v>
      </c>
      <c r="C3940" s="198" t="s">
        <v>472</v>
      </c>
      <c r="D3940" s="197" t="s">
        <v>473</v>
      </c>
      <c r="E3940" s="199">
        <v>5.0</v>
      </c>
      <c r="F3940" s="200">
        <v>45812.58333333333</v>
      </c>
      <c r="G3940" s="197" t="s">
        <v>845</v>
      </c>
      <c r="H3940" s="197" t="s">
        <v>877</v>
      </c>
    </row>
    <row r="3941" ht="15.75" customHeight="1">
      <c r="A3941" s="197" t="s">
        <v>84</v>
      </c>
      <c r="B3941" s="197" t="s">
        <v>21</v>
      </c>
      <c r="C3941" s="198" t="s">
        <v>472</v>
      </c>
      <c r="D3941" s="197" t="s">
        <v>473</v>
      </c>
      <c r="E3941" s="199">
        <v>6.0</v>
      </c>
      <c r="F3941" s="200">
        <v>45813.54166666667</v>
      </c>
      <c r="G3941" s="197" t="s">
        <v>845</v>
      </c>
      <c r="H3941" s="197" t="s">
        <v>877</v>
      </c>
    </row>
    <row r="3942" ht="15.75" customHeight="1">
      <c r="A3942" s="197" t="s">
        <v>84</v>
      </c>
      <c r="B3942" s="197" t="s">
        <v>21</v>
      </c>
      <c r="C3942" s="198" t="s">
        <v>472</v>
      </c>
      <c r="D3942" s="197" t="s">
        <v>473</v>
      </c>
      <c r="E3942" s="199">
        <v>7.0</v>
      </c>
      <c r="F3942" s="200">
        <v>45818.54166666667</v>
      </c>
      <c r="G3942" s="197" t="s">
        <v>845</v>
      </c>
      <c r="H3942" s="197" t="s">
        <v>877</v>
      </c>
    </row>
    <row r="3943" ht="15.75" customHeight="1">
      <c r="A3943" s="197" t="s">
        <v>84</v>
      </c>
      <c r="B3943" s="197" t="s">
        <v>21</v>
      </c>
      <c r="C3943" s="198" t="s">
        <v>472</v>
      </c>
      <c r="D3943" s="197" t="s">
        <v>473</v>
      </c>
      <c r="E3943" s="199">
        <v>8.0</v>
      </c>
      <c r="F3943" s="200">
        <v>45827.54166666667</v>
      </c>
      <c r="G3943" s="197" t="s">
        <v>845</v>
      </c>
      <c r="H3943" s="197" t="s">
        <v>877</v>
      </c>
    </row>
    <row r="3944" ht="15.75" customHeight="1">
      <c r="A3944" s="197" t="s">
        <v>84</v>
      </c>
      <c r="B3944" s="197" t="s">
        <v>21</v>
      </c>
      <c r="C3944" s="198" t="s">
        <v>472</v>
      </c>
      <c r="D3944" s="197" t="s">
        <v>473</v>
      </c>
      <c r="E3944" s="199">
        <v>9.0</v>
      </c>
      <c r="F3944" s="200">
        <v>45833.54166666667</v>
      </c>
      <c r="G3944" s="197" t="s">
        <v>843</v>
      </c>
      <c r="H3944" s="197" t="s">
        <v>877</v>
      </c>
    </row>
    <row r="3945" ht="15.75" customHeight="1">
      <c r="A3945" s="197" t="s">
        <v>84</v>
      </c>
      <c r="B3945" s="197" t="s">
        <v>21</v>
      </c>
      <c r="C3945" s="198" t="s">
        <v>472</v>
      </c>
      <c r="D3945" s="197" t="s">
        <v>473</v>
      </c>
      <c r="E3945" s="199">
        <v>10.0</v>
      </c>
      <c r="F3945" s="200">
        <v>45860.41666666667</v>
      </c>
      <c r="G3945" s="197" t="s">
        <v>843</v>
      </c>
      <c r="H3945" s="197" t="s">
        <v>877</v>
      </c>
    </row>
    <row r="3946" ht="15.75" customHeight="1">
      <c r="A3946" s="197" t="s">
        <v>84</v>
      </c>
      <c r="B3946" s="197" t="s">
        <v>24</v>
      </c>
      <c r="C3946" s="198" t="s">
        <v>486</v>
      </c>
      <c r="D3946" s="197" t="s">
        <v>487</v>
      </c>
      <c r="E3946" s="199">
        <v>1.0</v>
      </c>
      <c r="F3946" s="200">
        <v>46091.54166666667</v>
      </c>
      <c r="G3946" s="197" t="s">
        <v>845</v>
      </c>
      <c r="H3946" s="197" t="s">
        <v>877</v>
      </c>
    </row>
    <row r="3947" ht="15.75" customHeight="1">
      <c r="A3947" s="197" t="s">
        <v>84</v>
      </c>
      <c r="B3947" s="197" t="s">
        <v>24</v>
      </c>
      <c r="C3947" s="198" t="s">
        <v>486</v>
      </c>
      <c r="D3947" s="197" t="s">
        <v>487</v>
      </c>
      <c r="E3947" s="199">
        <v>2.0</v>
      </c>
      <c r="F3947" s="200">
        <v>46098.54166666667</v>
      </c>
      <c r="G3947" s="197" t="s">
        <v>845</v>
      </c>
      <c r="H3947" s="197" t="s">
        <v>877</v>
      </c>
    </row>
    <row r="3948" ht="15.75" customHeight="1">
      <c r="A3948" s="197" t="s">
        <v>84</v>
      </c>
      <c r="B3948" s="197" t="s">
        <v>24</v>
      </c>
      <c r="C3948" s="198" t="s">
        <v>486</v>
      </c>
      <c r="D3948" s="197" t="s">
        <v>487</v>
      </c>
      <c r="E3948" s="199">
        <v>3.0</v>
      </c>
      <c r="F3948" s="200">
        <v>46105.54166666667</v>
      </c>
      <c r="G3948" s="197" t="s">
        <v>845</v>
      </c>
      <c r="H3948" s="197" t="s">
        <v>877</v>
      </c>
    </row>
    <row r="3949" ht="15.75" customHeight="1">
      <c r="A3949" s="197" t="s">
        <v>84</v>
      </c>
      <c r="B3949" s="197" t="s">
        <v>24</v>
      </c>
      <c r="C3949" s="198" t="s">
        <v>486</v>
      </c>
      <c r="D3949" s="197" t="s">
        <v>487</v>
      </c>
      <c r="E3949" s="199">
        <v>4.0</v>
      </c>
      <c r="F3949" s="200">
        <v>46114.54166666667</v>
      </c>
      <c r="G3949" s="197" t="s">
        <v>843</v>
      </c>
      <c r="H3949" s="197" t="s">
        <v>877</v>
      </c>
    </row>
    <row r="3950" ht="15.75" customHeight="1">
      <c r="A3950" s="197" t="s">
        <v>84</v>
      </c>
      <c r="B3950" s="197" t="s">
        <v>24</v>
      </c>
      <c r="C3950" s="198" t="s">
        <v>486</v>
      </c>
      <c r="D3950" s="197" t="s">
        <v>487</v>
      </c>
      <c r="E3950" s="199">
        <v>5.0</v>
      </c>
      <c r="F3950" s="200">
        <v>46119.54166666667</v>
      </c>
      <c r="G3950" s="197" t="s">
        <v>845</v>
      </c>
      <c r="H3950" s="197" t="s">
        <v>877</v>
      </c>
    </row>
    <row r="3951" ht="15.75" customHeight="1">
      <c r="A3951" s="197" t="s">
        <v>84</v>
      </c>
      <c r="B3951" s="197" t="s">
        <v>24</v>
      </c>
      <c r="C3951" s="198" t="s">
        <v>486</v>
      </c>
      <c r="D3951" s="197" t="s">
        <v>487</v>
      </c>
      <c r="E3951" s="199">
        <v>6.0</v>
      </c>
      <c r="F3951" s="200">
        <v>46126.54166666667</v>
      </c>
      <c r="G3951" s="197" t="s">
        <v>845</v>
      </c>
      <c r="H3951" s="197" t="s">
        <v>877</v>
      </c>
    </row>
    <row r="3952" ht="15.75" customHeight="1">
      <c r="A3952" s="197" t="s">
        <v>84</v>
      </c>
      <c r="B3952" s="197" t="s">
        <v>21</v>
      </c>
      <c r="C3952" s="198" t="s">
        <v>486</v>
      </c>
      <c r="D3952" s="197" t="s">
        <v>487</v>
      </c>
      <c r="E3952" s="199">
        <v>1.0</v>
      </c>
      <c r="F3952" s="200">
        <v>45764.58333333333</v>
      </c>
      <c r="G3952" s="197" t="s">
        <v>845</v>
      </c>
      <c r="H3952" s="197" t="s">
        <v>877</v>
      </c>
    </row>
    <row r="3953" ht="15.75" customHeight="1">
      <c r="A3953" s="197" t="s">
        <v>84</v>
      </c>
      <c r="B3953" s="197" t="s">
        <v>21</v>
      </c>
      <c r="C3953" s="198" t="s">
        <v>486</v>
      </c>
      <c r="D3953" s="197" t="s">
        <v>487</v>
      </c>
      <c r="E3953" s="199">
        <v>2.0</v>
      </c>
      <c r="F3953" s="200">
        <v>45784.54166666667</v>
      </c>
      <c r="G3953" s="197" t="s">
        <v>845</v>
      </c>
      <c r="H3953" s="197" t="s">
        <v>877</v>
      </c>
    </row>
    <row r="3954" ht="15.75" customHeight="1">
      <c r="A3954" s="197" t="s">
        <v>84</v>
      </c>
      <c r="B3954" s="197" t="s">
        <v>21</v>
      </c>
      <c r="C3954" s="198" t="s">
        <v>486</v>
      </c>
      <c r="D3954" s="197" t="s">
        <v>487</v>
      </c>
      <c r="E3954" s="199">
        <v>3.0</v>
      </c>
      <c r="F3954" s="200">
        <v>45791.54166666667</v>
      </c>
      <c r="G3954" s="197" t="s">
        <v>845</v>
      </c>
      <c r="H3954" s="197" t="s">
        <v>877</v>
      </c>
    </row>
    <row r="3955" ht="15.75" customHeight="1">
      <c r="A3955" s="197" t="s">
        <v>84</v>
      </c>
      <c r="B3955" s="197" t="s">
        <v>21</v>
      </c>
      <c r="C3955" s="198" t="s">
        <v>486</v>
      </c>
      <c r="D3955" s="197" t="s">
        <v>487</v>
      </c>
      <c r="E3955" s="199">
        <v>4.0</v>
      </c>
      <c r="F3955" s="200">
        <v>45804.58333333333</v>
      </c>
      <c r="G3955" s="197" t="s">
        <v>845</v>
      </c>
      <c r="H3955" s="197" t="s">
        <v>877</v>
      </c>
    </row>
    <row r="3956" ht="15.75" customHeight="1">
      <c r="A3956" s="197" t="s">
        <v>84</v>
      </c>
      <c r="B3956" s="197" t="s">
        <v>21</v>
      </c>
      <c r="C3956" s="198" t="s">
        <v>486</v>
      </c>
      <c r="D3956" s="197" t="s">
        <v>487</v>
      </c>
      <c r="E3956" s="199">
        <v>5.0</v>
      </c>
      <c r="F3956" s="200">
        <v>45812.58333333333</v>
      </c>
      <c r="G3956" s="197" t="s">
        <v>845</v>
      </c>
      <c r="H3956" s="197" t="s">
        <v>877</v>
      </c>
    </row>
    <row r="3957" ht="15.75" customHeight="1">
      <c r="A3957" s="197" t="s">
        <v>84</v>
      </c>
      <c r="B3957" s="197" t="s">
        <v>21</v>
      </c>
      <c r="C3957" s="198" t="s">
        <v>486</v>
      </c>
      <c r="D3957" s="197" t="s">
        <v>487</v>
      </c>
      <c r="E3957" s="199">
        <v>6.0</v>
      </c>
      <c r="F3957" s="200">
        <v>45813.54166666667</v>
      </c>
      <c r="G3957" s="197" t="s">
        <v>845</v>
      </c>
      <c r="H3957" s="197" t="s">
        <v>877</v>
      </c>
    </row>
    <row r="3958" ht="15.75" customHeight="1">
      <c r="A3958" s="197" t="s">
        <v>84</v>
      </c>
      <c r="B3958" s="197" t="s">
        <v>21</v>
      </c>
      <c r="C3958" s="198" t="s">
        <v>486</v>
      </c>
      <c r="D3958" s="197" t="s">
        <v>487</v>
      </c>
      <c r="E3958" s="199">
        <v>7.0</v>
      </c>
      <c r="F3958" s="200">
        <v>45818.54166666667</v>
      </c>
      <c r="G3958" s="197" t="s">
        <v>845</v>
      </c>
      <c r="H3958" s="197" t="s">
        <v>877</v>
      </c>
    </row>
    <row r="3959" ht="15.75" customHeight="1">
      <c r="A3959" s="197" t="s">
        <v>84</v>
      </c>
      <c r="B3959" s="197" t="s">
        <v>21</v>
      </c>
      <c r="C3959" s="198" t="s">
        <v>486</v>
      </c>
      <c r="D3959" s="197" t="s">
        <v>487</v>
      </c>
      <c r="E3959" s="199">
        <v>8.0</v>
      </c>
      <c r="F3959" s="200">
        <v>45827.54166666667</v>
      </c>
      <c r="G3959" s="197" t="s">
        <v>845</v>
      </c>
      <c r="H3959" s="197" t="s">
        <v>877</v>
      </c>
    </row>
    <row r="3960" ht="15.75" customHeight="1">
      <c r="A3960" s="197" t="s">
        <v>84</v>
      </c>
      <c r="B3960" s="197" t="s">
        <v>21</v>
      </c>
      <c r="C3960" s="198" t="s">
        <v>486</v>
      </c>
      <c r="D3960" s="197" t="s">
        <v>487</v>
      </c>
      <c r="E3960" s="199">
        <v>9.0</v>
      </c>
      <c r="F3960" s="200">
        <v>45833.54166666667</v>
      </c>
      <c r="G3960" s="197" t="s">
        <v>845</v>
      </c>
      <c r="H3960" s="197" t="s">
        <v>877</v>
      </c>
    </row>
    <row r="3961" ht="15.75" customHeight="1">
      <c r="A3961" s="197" t="s">
        <v>84</v>
      </c>
      <c r="B3961" s="197" t="s">
        <v>21</v>
      </c>
      <c r="C3961" s="198" t="s">
        <v>486</v>
      </c>
      <c r="D3961" s="197" t="s">
        <v>487</v>
      </c>
      <c r="E3961" s="199">
        <v>10.0</v>
      </c>
      <c r="F3961" s="200">
        <v>45860.41666666667</v>
      </c>
      <c r="G3961" s="197" t="s">
        <v>845</v>
      </c>
      <c r="H3961" s="197" t="s">
        <v>877</v>
      </c>
    </row>
    <row r="3962" ht="15.75" customHeight="1">
      <c r="A3962" s="197" t="s">
        <v>84</v>
      </c>
      <c r="B3962" s="197" t="s">
        <v>22</v>
      </c>
      <c r="C3962" s="198" t="s">
        <v>486</v>
      </c>
      <c r="D3962" s="197" t="s">
        <v>487</v>
      </c>
      <c r="E3962" s="199">
        <v>1.0</v>
      </c>
      <c r="F3962" s="200">
        <v>45882.58333333333</v>
      </c>
      <c r="G3962" s="197" t="s">
        <v>845</v>
      </c>
      <c r="H3962" s="197" t="s">
        <v>877</v>
      </c>
    </row>
    <row r="3963" ht="15.75" customHeight="1">
      <c r="A3963" s="197" t="s">
        <v>84</v>
      </c>
      <c r="B3963" s="197" t="s">
        <v>22</v>
      </c>
      <c r="C3963" s="198" t="s">
        <v>486</v>
      </c>
      <c r="D3963" s="197" t="s">
        <v>487</v>
      </c>
      <c r="E3963" s="199">
        <v>2.0</v>
      </c>
      <c r="F3963" s="200">
        <v>45889.54166666667</v>
      </c>
      <c r="G3963" s="197" t="s">
        <v>845</v>
      </c>
      <c r="H3963" s="197" t="s">
        <v>877</v>
      </c>
    </row>
    <row r="3964" ht="15.75" customHeight="1">
      <c r="A3964" s="197" t="s">
        <v>84</v>
      </c>
      <c r="B3964" s="197" t="s">
        <v>22</v>
      </c>
      <c r="C3964" s="198" t="s">
        <v>486</v>
      </c>
      <c r="D3964" s="197" t="s">
        <v>487</v>
      </c>
      <c r="E3964" s="199">
        <v>3.0</v>
      </c>
      <c r="F3964" s="200">
        <v>45895.54166666667</v>
      </c>
      <c r="G3964" s="197" t="s">
        <v>845</v>
      </c>
      <c r="H3964" s="197" t="s">
        <v>877</v>
      </c>
    </row>
    <row r="3965" ht="15.75" customHeight="1">
      <c r="A3965" s="197" t="s">
        <v>84</v>
      </c>
      <c r="B3965" s="197" t="s">
        <v>22</v>
      </c>
      <c r="C3965" s="198" t="s">
        <v>486</v>
      </c>
      <c r="D3965" s="197" t="s">
        <v>487</v>
      </c>
      <c r="E3965" s="199">
        <v>4.0</v>
      </c>
      <c r="F3965" s="200">
        <v>45903.54166666667</v>
      </c>
      <c r="G3965" s="197" t="s">
        <v>845</v>
      </c>
      <c r="H3965" s="197" t="s">
        <v>877</v>
      </c>
    </row>
    <row r="3966" ht="15.75" customHeight="1">
      <c r="A3966" s="197" t="s">
        <v>84</v>
      </c>
      <c r="B3966" s="197" t="s">
        <v>22</v>
      </c>
      <c r="C3966" s="198" t="s">
        <v>486</v>
      </c>
      <c r="D3966" s="197" t="s">
        <v>487</v>
      </c>
      <c r="E3966" s="199">
        <v>5.0</v>
      </c>
      <c r="F3966" s="200">
        <v>45910.58333333333</v>
      </c>
      <c r="G3966" s="197" t="s">
        <v>845</v>
      </c>
      <c r="H3966" s="197" t="s">
        <v>877</v>
      </c>
    </row>
    <row r="3967" ht="15.75" customHeight="1">
      <c r="A3967" s="197" t="s">
        <v>84</v>
      </c>
      <c r="B3967" s="197" t="s">
        <v>22</v>
      </c>
      <c r="C3967" s="198" t="s">
        <v>486</v>
      </c>
      <c r="D3967" s="197" t="s">
        <v>487</v>
      </c>
      <c r="E3967" s="199">
        <v>6.0</v>
      </c>
      <c r="F3967" s="200">
        <v>45917.54166666667</v>
      </c>
      <c r="G3967" s="197" t="s">
        <v>843</v>
      </c>
      <c r="H3967" s="197" t="s">
        <v>877</v>
      </c>
    </row>
    <row r="3968" ht="15.75" customHeight="1">
      <c r="A3968" s="197" t="s">
        <v>84</v>
      </c>
      <c r="B3968" s="197" t="s">
        <v>22</v>
      </c>
      <c r="C3968" s="198" t="s">
        <v>486</v>
      </c>
      <c r="D3968" s="197" t="s">
        <v>487</v>
      </c>
      <c r="E3968" s="199">
        <v>7.0</v>
      </c>
      <c r="F3968" s="200">
        <v>45924.58333333333</v>
      </c>
      <c r="G3968" s="197" t="s">
        <v>845</v>
      </c>
      <c r="H3968" s="197" t="s">
        <v>877</v>
      </c>
    </row>
    <row r="3969" ht="15.75" customHeight="1">
      <c r="A3969" s="197" t="s">
        <v>84</v>
      </c>
      <c r="B3969" s="197" t="s">
        <v>22</v>
      </c>
      <c r="C3969" s="198" t="s">
        <v>486</v>
      </c>
      <c r="D3969" s="197" t="s">
        <v>487</v>
      </c>
      <c r="E3969" s="199">
        <v>8.0</v>
      </c>
      <c r="F3969" s="200">
        <v>45940.58333333333</v>
      </c>
      <c r="G3969" s="197" t="s">
        <v>845</v>
      </c>
      <c r="H3969" s="197" t="s">
        <v>877</v>
      </c>
    </row>
    <row r="3970" ht="15.75" customHeight="1">
      <c r="A3970" s="197" t="s">
        <v>84</v>
      </c>
      <c r="B3970" s="197" t="s">
        <v>22</v>
      </c>
      <c r="C3970" s="198" t="s">
        <v>486</v>
      </c>
      <c r="D3970" s="197" t="s">
        <v>487</v>
      </c>
      <c r="E3970" s="199">
        <v>9.0</v>
      </c>
      <c r="F3970" s="200">
        <v>45943.58333333333</v>
      </c>
      <c r="G3970" s="197" t="s">
        <v>843</v>
      </c>
      <c r="H3970" s="197" t="s">
        <v>877</v>
      </c>
    </row>
    <row r="3971" ht="15.75" customHeight="1">
      <c r="A3971" s="197" t="s">
        <v>84</v>
      </c>
      <c r="B3971" s="197" t="s">
        <v>22</v>
      </c>
      <c r="C3971" s="198" t="s">
        <v>486</v>
      </c>
      <c r="D3971" s="197" t="s">
        <v>487</v>
      </c>
      <c r="E3971" s="199">
        <v>10.0</v>
      </c>
      <c r="F3971" s="200">
        <v>45954.54166666667</v>
      </c>
      <c r="G3971" s="197" t="s">
        <v>845</v>
      </c>
      <c r="H3971" s="197" t="s">
        <v>877</v>
      </c>
    </row>
    <row r="3972" ht="15.75" customHeight="1">
      <c r="A3972" s="197" t="s">
        <v>84</v>
      </c>
      <c r="B3972" s="197" t="s">
        <v>22</v>
      </c>
      <c r="C3972" s="198" t="s">
        <v>486</v>
      </c>
      <c r="D3972" s="197" t="s">
        <v>487</v>
      </c>
      <c r="E3972" s="199">
        <v>11.0</v>
      </c>
      <c r="F3972" s="200">
        <v>45961.54166666667</v>
      </c>
      <c r="G3972" s="197" t="s">
        <v>845</v>
      </c>
      <c r="H3972" s="197" t="s">
        <v>877</v>
      </c>
    </row>
    <row r="3973" ht="15.75" customHeight="1">
      <c r="A3973" s="197" t="s">
        <v>84</v>
      </c>
      <c r="B3973" s="197" t="s">
        <v>22</v>
      </c>
      <c r="C3973" s="198" t="s">
        <v>486</v>
      </c>
      <c r="D3973" s="197" t="s">
        <v>487</v>
      </c>
      <c r="E3973" s="199">
        <v>12.0</v>
      </c>
      <c r="F3973" s="200">
        <v>45965.54166666667</v>
      </c>
      <c r="G3973" s="197" t="s">
        <v>845</v>
      </c>
      <c r="H3973" s="197" t="s">
        <v>877</v>
      </c>
    </row>
    <row r="3974" ht="15.75" customHeight="1">
      <c r="A3974" s="197" t="s">
        <v>84</v>
      </c>
      <c r="B3974" s="197" t="s">
        <v>22</v>
      </c>
      <c r="C3974" s="198" t="s">
        <v>486</v>
      </c>
      <c r="D3974" s="197" t="s">
        <v>487</v>
      </c>
      <c r="E3974" s="199">
        <v>13.0</v>
      </c>
      <c r="F3974" s="200">
        <v>45974.54166666667</v>
      </c>
      <c r="G3974" s="197" t="s">
        <v>845</v>
      </c>
      <c r="H3974" s="197" t="s">
        <v>877</v>
      </c>
    </row>
    <row r="3975" ht="15.75" customHeight="1">
      <c r="A3975" s="197" t="s">
        <v>84</v>
      </c>
      <c r="B3975" s="197" t="s">
        <v>22</v>
      </c>
      <c r="C3975" s="198" t="s">
        <v>486</v>
      </c>
      <c r="D3975" s="197" t="s">
        <v>487</v>
      </c>
      <c r="E3975" s="199">
        <v>14.0</v>
      </c>
      <c r="F3975" s="200">
        <v>45980.54166666667</v>
      </c>
      <c r="G3975" s="197" t="s">
        <v>845</v>
      </c>
      <c r="H3975" s="197" t="s">
        <v>877</v>
      </c>
    </row>
    <row r="3976" ht="15.75" customHeight="1">
      <c r="A3976" s="197" t="s">
        <v>84</v>
      </c>
      <c r="B3976" s="197" t="s">
        <v>22</v>
      </c>
      <c r="C3976" s="198" t="s">
        <v>486</v>
      </c>
      <c r="D3976" s="197" t="s">
        <v>487</v>
      </c>
      <c r="E3976" s="199">
        <v>15.0</v>
      </c>
      <c r="F3976" s="200">
        <v>45987.54166666667</v>
      </c>
      <c r="G3976" s="197" t="s">
        <v>845</v>
      </c>
      <c r="H3976" s="197" t="s">
        <v>877</v>
      </c>
    </row>
    <row r="3977" ht="15.75" customHeight="1">
      <c r="A3977" s="197" t="s">
        <v>84</v>
      </c>
      <c r="B3977" s="197" t="s">
        <v>22</v>
      </c>
      <c r="C3977" s="198" t="s">
        <v>486</v>
      </c>
      <c r="D3977" s="197" t="s">
        <v>487</v>
      </c>
      <c r="E3977" s="199">
        <v>16.0</v>
      </c>
      <c r="F3977" s="200">
        <v>46045.54166666667</v>
      </c>
      <c r="G3977" s="197" t="s">
        <v>845</v>
      </c>
      <c r="H3977" s="197" t="s">
        <v>877</v>
      </c>
    </row>
    <row r="3978" ht="15.75" customHeight="1">
      <c r="A3978" s="197" t="s">
        <v>84</v>
      </c>
      <c r="B3978" s="197" t="s">
        <v>24</v>
      </c>
      <c r="C3978" s="198" t="s">
        <v>508</v>
      </c>
      <c r="D3978" s="197" t="s">
        <v>509</v>
      </c>
      <c r="E3978" s="199">
        <v>1.0</v>
      </c>
      <c r="F3978" s="200">
        <v>46091.54166666667</v>
      </c>
      <c r="G3978" s="197" t="s">
        <v>845</v>
      </c>
      <c r="H3978" s="197" t="s">
        <v>877</v>
      </c>
    </row>
    <row r="3979" ht="15.75" customHeight="1">
      <c r="A3979" s="197" t="s">
        <v>84</v>
      </c>
      <c r="B3979" s="197" t="s">
        <v>24</v>
      </c>
      <c r="C3979" s="198" t="s">
        <v>508</v>
      </c>
      <c r="D3979" s="197" t="s">
        <v>509</v>
      </c>
      <c r="E3979" s="199">
        <v>2.0</v>
      </c>
      <c r="F3979" s="200">
        <v>46098.54166666667</v>
      </c>
      <c r="G3979" s="197" t="s">
        <v>845</v>
      </c>
      <c r="H3979" s="197" t="s">
        <v>877</v>
      </c>
    </row>
    <row r="3980" ht="15.75" customHeight="1">
      <c r="A3980" s="197" t="s">
        <v>84</v>
      </c>
      <c r="B3980" s="197" t="s">
        <v>24</v>
      </c>
      <c r="C3980" s="198" t="s">
        <v>508</v>
      </c>
      <c r="D3980" s="197" t="s">
        <v>509</v>
      </c>
      <c r="E3980" s="199">
        <v>3.0</v>
      </c>
      <c r="F3980" s="200">
        <v>46105.54166666667</v>
      </c>
      <c r="G3980" s="197" t="s">
        <v>845</v>
      </c>
      <c r="H3980" s="197" t="s">
        <v>877</v>
      </c>
    </row>
    <row r="3981" ht="15.75" customHeight="1">
      <c r="A3981" s="197" t="s">
        <v>84</v>
      </c>
      <c r="B3981" s="197" t="s">
        <v>24</v>
      </c>
      <c r="C3981" s="198" t="s">
        <v>508</v>
      </c>
      <c r="D3981" s="197" t="s">
        <v>509</v>
      </c>
      <c r="E3981" s="199">
        <v>4.0</v>
      </c>
      <c r="F3981" s="200">
        <v>46114.54166666667</v>
      </c>
      <c r="G3981" s="197" t="s">
        <v>843</v>
      </c>
      <c r="H3981" s="197" t="s">
        <v>877</v>
      </c>
    </row>
    <row r="3982" ht="15.75" customHeight="1">
      <c r="A3982" s="197" t="s">
        <v>84</v>
      </c>
      <c r="B3982" s="197" t="s">
        <v>24</v>
      </c>
      <c r="C3982" s="198" t="s">
        <v>508</v>
      </c>
      <c r="D3982" s="197" t="s">
        <v>509</v>
      </c>
      <c r="E3982" s="199">
        <v>5.0</v>
      </c>
      <c r="F3982" s="200">
        <v>46119.54166666667</v>
      </c>
      <c r="G3982" s="197" t="s">
        <v>845</v>
      </c>
      <c r="H3982" s="197" t="s">
        <v>877</v>
      </c>
    </row>
    <row r="3983" ht="15.75" customHeight="1">
      <c r="A3983" s="197" t="s">
        <v>84</v>
      </c>
      <c r="B3983" s="197" t="s">
        <v>24</v>
      </c>
      <c r="C3983" s="198" t="s">
        <v>508</v>
      </c>
      <c r="D3983" s="197" t="s">
        <v>509</v>
      </c>
      <c r="E3983" s="199">
        <v>6.0</v>
      </c>
      <c r="F3983" s="200">
        <v>46126.54166666667</v>
      </c>
      <c r="G3983" s="197" t="s">
        <v>843</v>
      </c>
      <c r="H3983" s="197" t="s">
        <v>877</v>
      </c>
    </row>
    <row r="3984" ht="15.75" customHeight="1">
      <c r="A3984" s="197" t="s">
        <v>84</v>
      </c>
      <c r="B3984" s="197" t="s">
        <v>21</v>
      </c>
      <c r="C3984" s="198" t="s">
        <v>508</v>
      </c>
      <c r="D3984" s="197" t="s">
        <v>509</v>
      </c>
      <c r="E3984" s="199">
        <v>1.0</v>
      </c>
      <c r="F3984" s="200">
        <v>45764.58333333333</v>
      </c>
      <c r="G3984" s="197" t="s">
        <v>845</v>
      </c>
      <c r="H3984" s="197" t="s">
        <v>877</v>
      </c>
    </row>
    <row r="3985" ht="15.75" customHeight="1">
      <c r="A3985" s="197" t="s">
        <v>84</v>
      </c>
      <c r="B3985" s="197" t="s">
        <v>21</v>
      </c>
      <c r="C3985" s="198" t="s">
        <v>508</v>
      </c>
      <c r="D3985" s="197" t="s">
        <v>509</v>
      </c>
      <c r="E3985" s="199">
        <v>2.0</v>
      </c>
      <c r="F3985" s="200">
        <v>45784.54166666667</v>
      </c>
      <c r="G3985" s="197" t="s">
        <v>845</v>
      </c>
      <c r="H3985" s="197" t="s">
        <v>877</v>
      </c>
    </row>
    <row r="3986" ht="15.75" customHeight="1">
      <c r="A3986" s="197" t="s">
        <v>84</v>
      </c>
      <c r="B3986" s="197" t="s">
        <v>21</v>
      </c>
      <c r="C3986" s="198" t="s">
        <v>508</v>
      </c>
      <c r="D3986" s="197" t="s">
        <v>509</v>
      </c>
      <c r="E3986" s="199">
        <v>3.0</v>
      </c>
      <c r="F3986" s="200">
        <v>45791.54166666667</v>
      </c>
      <c r="G3986" s="197" t="s">
        <v>845</v>
      </c>
      <c r="H3986" s="197" t="s">
        <v>877</v>
      </c>
    </row>
    <row r="3987" ht="15.75" customHeight="1">
      <c r="A3987" s="197" t="s">
        <v>84</v>
      </c>
      <c r="B3987" s="197" t="s">
        <v>21</v>
      </c>
      <c r="C3987" s="198" t="s">
        <v>508</v>
      </c>
      <c r="D3987" s="197" t="s">
        <v>509</v>
      </c>
      <c r="E3987" s="199">
        <v>4.0</v>
      </c>
      <c r="F3987" s="200">
        <v>45804.58333333333</v>
      </c>
      <c r="G3987" s="197" t="s">
        <v>845</v>
      </c>
      <c r="H3987" s="197" t="s">
        <v>877</v>
      </c>
    </row>
    <row r="3988" ht="15.75" customHeight="1">
      <c r="A3988" s="197" t="s">
        <v>84</v>
      </c>
      <c r="B3988" s="197" t="s">
        <v>21</v>
      </c>
      <c r="C3988" s="198" t="s">
        <v>508</v>
      </c>
      <c r="D3988" s="197" t="s">
        <v>509</v>
      </c>
      <c r="E3988" s="199">
        <v>6.0</v>
      </c>
      <c r="F3988" s="200">
        <v>45813.54166666667</v>
      </c>
      <c r="G3988" s="197" t="s">
        <v>843</v>
      </c>
      <c r="H3988" s="197" t="s">
        <v>877</v>
      </c>
    </row>
    <row r="3989" ht="15.75" customHeight="1">
      <c r="A3989" s="197" t="s">
        <v>84</v>
      </c>
      <c r="B3989" s="197" t="s">
        <v>21</v>
      </c>
      <c r="C3989" s="198" t="s">
        <v>508</v>
      </c>
      <c r="D3989" s="197" t="s">
        <v>509</v>
      </c>
      <c r="E3989" s="199">
        <v>7.0</v>
      </c>
      <c r="F3989" s="200">
        <v>45818.54166666667</v>
      </c>
      <c r="G3989" s="197" t="s">
        <v>845</v>
      </c>
      <c r="H3989" s="197" t="s">
        <v>877</v>
      </c>
    </row>
    <row r="3990" ht="15.75" customHeight="1">
      <c r="A3990" s="197" t="s">
        <v>84</v>
      </c>
      <c r="B3990" s="197" t="s">
        <v>21</v>
      </c>
      <c r="C3990" s="198" t="s">
        <v>508</v>
      </c>
      <c r="D3990" s="197" t="s">
        <v>509</v>
      </c>
      <c r="E3990" s="199">
        <v>8.0</v>
      </c>
      <c r="F3990" s="200">
        <v>45827.54166666667</v>
      </c>
      <c r="G3990" s="197" t="s">
        <v>845</v>
      </c>
      <c r="H3990" s="197" t="s">
        <v>877</v>
      </c>
    </row>
    <row r="3991" ht="15.75" customHeight="1">
      <c r="A3991" s="197" t="s">
        <v>84</v>
      </c>
      <c r="B3991" s="197" t="s">
        <v>21</v>
      </c>
      <c r="C3991" s="198" t="s">
        <v>508</v>
      </c>
      <c r="D3991" s="197" t="s">
        <v>509</v>
      </c>
      <c r="E3991" s="199">
        <v>9.0</v>
      </c>
      <c r="F3991" s="200">
        <v>45833.54166666667</v>
      </c>
      <c r="G3991" s="197" t="s">
        <v>845</v>
      </c>
      <c r="H3991" s="197" t="s">
        <v>877</v>
      </c>
    </row>
    <row r="3992" ht="15.75" customHeight="1">
      <c r="A3992" s="197" t="s">
        <v>84</v>
      </c>
      <c r="B3992" s="197" t="s">
        <v>21</v>
      </c>
      <c r="C3992" s="198" t="s">
        <v>508</v>
      </c>
      <c r="D3992" s="197" t="s">
        <v>509</v>
      </c>
      <c r="E3992" s="199">
        <v>10.0</v>
      </c>
      <c r="F3992" s="200">
        <v>45860.41666666667</v>
      </c>
      <c r="G3992" s="197" t="s">
        <v>845</v>
      </c>
      <c r="H3992" s="197" t="s">
        <v>877</v>
      </c>
    </row>
    <row r="3993" ht="15.75" customHeight="1">
      <c r="A3993" s="197" t="s">
        <v>84</v>
      </c>
      <c r="B3993" s="197" t="s">
        <v>22</v>
      </c>
      <c r="C3993" s="198" t="s">
        <v>508</v>
      </c>
      <c r="D3993" s="197" t="s">
        <v>509</v>
      </c>
      <c r="E3993" s="199">
        <v>1.0</v>
      </c>
      <c r="F3993" s="200">
        <v>45882.58333333333</v>
      </c>
      <c r="G3993" s="197" t="s">
        <v>845</v>
      </c>
      <c r="H3993" s="197" t="s">
        <v>877</v>
      </c>
    </row>
    <row r="3994" ht="15.75" customHeight="1">
      <c r="A3994" s="197" t="s">
        <v>84</v>
      </c>
      <c r="B3994" s="197" t="s">
        <v>22</v>
      </c>
      <c r="C3994" s="198" t="s">
        <v>508</v>
      </c>
      <c r="D3994" s="197" t="s">
        <v>509</v>
      </c>
      <c r="E3994" s="199">
        <v>2.0</v>
      </c>
      <c r="F3994" s="200">
        <v>45889.54166666667</v>
      </c>
      <c r="G3994" s="197" t="s">
        <v>845</v>
      </c>
      <c r="H3994" s="197" t="s">
        <v>877</v>
      </c>
    </row>
    <row r="3995" ht="15.75" customHeight="1">
      <c r="A3995" s="197" t="s">
        <v>84</v>
      </c>
      <c r="B3995" s="197" t="s">
        <v>22</v>
      </c>
      <c r="C3995" s="198" t="s">
        <v>508</v>
      </c>
      <c r="D3995" s="197" t="s">
        <v>509</v>
      </c>
      <c r="E3995" s="199">
        <v>3.0</v>
      </c>
      <c r="F3995" s="200">
        <v>45895.54166666667</v>
      </c>
      <c r="G3995" s="197" t="s">
        <v>845</v>
      </c>
      <c r="H3995" s="197" t="s">
        <v>877</v>
      </c>
    </row>
    <row r="3996" ht="15.75" customHeight="1">
      <c r="A3996" s="197" t="s">
        <v>84</v>
      </c>
      <c r="B3996" s="197" t="s">
        <v>22</v>
      </c>
      <c r="C3996" s="198" t="s">
        <v>508</v>
      </c>
      <c r="D3996" s="197" t="s">
        <v>509</v>
      </c>
      <c r="E3996" s="199">
        <v>4.0</v>
      </c>
      <c r="F3996" s="200">
        <v>45903.54166666667</v>
      </c>
      <c r="G3996" s="197" t="s">
        <v>843</v>
      </c>
      <c r="H3996" s="197" t="s">
        <v>877</v>
      </c>
    </row>
    <row r="3997" ht="15.75" customHeight="1">
      <c r="A3997" s="197" t="s">
        <v>84</v>
      </c>
      <c r="B3997" s="197" t="s">
        <v>22</v>
      </c>
      <c r="C3997" s="198" t="s">
        <v>508</v>
      </c>
      <c r="D3997" s="197" t="s">
        <v>509</v>
      </c>
      <c r="E3997" s="199">
        <v>5.0</v>
      </c>
      <c r="F3997" s="200">
        <v>45910.58333333333</v>
      </c>
      <c r="G3997" s="197" t="s">
        <v>845</v>
      </c>
      <c r="H3997" s="197" t="s">
        <v>877</v>
      </c>
    </row>
    <row r="3998" ht="15.75" customHeight="1">
      <c r="A3998" s="197" t="s">
        <v>84</v>
      </c>
      <c r="B3998" s="197" t="s">
        <v>22</v>
      </c>
      <c r="C3998" s="198" t="s">
        <v>508</v>
      </c>
      <c r="D3998" s="197" t="s">
        <v>509</v>
      </c>
      <c r="E3998" s="199">
        <v>6.0</v>
      </c>
      <c r="F3998" s="200">
        <v>45917.54166666667</v>
      </c>
      <c r="G3998" s="197" t="s">
        <v>845</v>
      </c>
      <c r="H3998" s="197" t="s">
        <v>877</v>
      </c>
    </row>
    <row r="3999" ht="15.75" customHeight="1">
      <c r="A3999" s="197" t="s">
        <v>84</v>
      </c>
      <c r="B3999" s="197" t="s">
        <v>22</v>
      </c>
      <c r="C3999" s="198" t="s">
        <v>508</v>
      </c>
      <c r="D3999" s="197" t="s">
        <v>509</v>
      </c>
      <c r="E3999" s="199">
        <v>7.0</v>
      </c>
      <c r="F3999" s="200">
        <v>45924.58333333333</v>
      </c>
      <c r="G3999" s="197" t="s">
        <v>845</v>
      </c>
      <c r="H3999" s="197" t="s">
        <v>877</v>
      </c>
    </row>
    <row r="4000" ht="15.75" customHeight="1">
      <c r="A4000" s="197" t="s">
        <v>84</v>
      </c>
      <c r="B4000" s="197" t="s">
        <v>22</v>
      </c>
      <c r="C4000" s="198" t="s">
        <v>508</v>
      </c>
      <c r="D4000" s="197" t="s">
        <v>509</v>
      </c>
      <c r="E4000" s="199">
        <v>8.0</v>
      </c>
      <c r="F4000" s="200">
        <v>45940.58333333333</v>
      </c>
      <c r="G4000" s="197" t="s">
        <v>845</v>
      </c>
      <c r="H4000" s="197" t="s">
        <v>877</v>
      </c>
    </row>
    <row r="4001" ht="15.75" customHeight="1">
      <c r="A4001" s="197" t="s">
        <v>84</v>
      </c>
      <c r="B4001" s="197" t="s">
        <v>22</v>
      </c>
      <c r="C4001" s="198" t="s">
        <v>508</v>
      </c>
      <c r="D4001" s="197" t="s">
        <v>509</v>
      </c>
      <c r="E4001" s="199">
        <v>9.0</v>
      </c>
      <c r="F4001" s="200">
        <v>45943.58333333333</v>
      </c>
      <c r="G4001" s="197" t="s">
        <v>845</v>
      </c>
      <c r="H4001" s="197" t="s">
        <v>877</v>
      </c>
    </row>
    <row r="4002" ht="15.75" customHeight="1">
      <c r="A4002" s="197" t="s">
        <v>84</v>
      </c>
      <c r="B4002" s="197" t="s">
        <v>22</v>
      </c>
      <c r="C4002" s="198" t="s">
        <v>508</v>
      </c>
      <c r="D4002" s="197" t="s">
        <v>509</v>
      </c>
      <c r="E4002" s="199">
        <v>10.0</v>
      </c>
      <c r="F4002" s="200">
        <v>45954.54166666667</v>
      </c>
      <c r="G4002" s="197" t="s">
        <v>845</v>
      </c>
      <c r="H4002" s="197" t="s">
        <v>877</v>
      </c>
    </row>
    <row r="4003" ht="15.75" customHeight="1">
      <c r="A4003" s="197" t="s">
        <v>84</v>
      </c>
      <c r="B4003" s="197" t="s">
        <v>22</v>
      </c>
      <c r="C4003" s="198" t="s">
        <v>508</v>
      </c>
      <c r="D4003" s="197" t="s">
        <v>509</v>
      </c>
      <c r="E4003" s="199">
        <v>11.0</v>
      </c>
      <c r="F4003" s="200">
        <v>45961.54166666667</v>
      </c>
      <c r="G4003" s="197" t="s">
        <v>845</v>
      </c>
      <c r="H4003" s="197" t="s">
        <v>877</v>
      </c>
    </row>
    <row r="4004" ht="15.75" customHeight="1">
      <c r="A4004" s="197" t="s">
        <v>84</v>
      </c>
      <c r="B4004" s="197" t="s">
        <v>22</v>
      </c>
      <c r="C4004" s="198" t="s">
        <v>508</v>
      </c>
      <c r="D4004" s="197" t="s">
        <v>509</v>
      </c>
      <c r="E4004" s="199">
        <v>12.0</v>
      </c>
      <c r="F4004" s="200">
        <v>45965.54166666667</v>
      </c>
      <c r="G4004" s="197" t="s">
        <v>845</v>
      </c>
      <c r="H4004" s="197" t="s">
        <v>877</v>
      </c>
    </row>
    <row r="4005" ht="15.75" customHeight="1">
      <c r="A4005" s="197" t="s">
        <v>84</v>
      </c>
      <c r="B4005" s="197" t="s">
        <v>22</v>
      </c>
      <c r="C4005" s="198" t="s">
        <v>508</v>
      </c>
      <c r="D4005" s="197" t="s">
        <v>509</v>
      </c>
      <c r="E4005" s="199">
        <v>13.0</v>
      </c>
      <c r="F4005" s="200">
        <v>45974.54166666667</v>
      </c>
      <c r="G4005" s="197" t="s">
        <v>845</v>
      </c>
      <c r="H4005" s="197" t="s">
        <v>877</v>
      </c>
    </row>
    <row r="4006" ht="15.75" customHeight="1">
      <c r="A4006" s="197" t="s">
        <v>84</v>
      </c>
      <c r="B4006" s="197" t="s">
        <v>22</v>
      </c>
      <c r="C4006" s="198" t="s">
        <v>508</v>
      </c>
      <c r="D4006" s="197" t="s">
        <v>509</v>
      </c>
      <c r="E4006" s="199">
        <v>14.0</v>
      </c>
      <c r="F4006" s="200">
        <v>45980.54166666667</v>
      </c>
      <c r="G4006" s="197" t="s">
        <v>845</v>
      </c>
      <c r="H4006" s="197" t="s">
        <v>877</v>
      </c>
    </row>
    <row r="4007" ht="15.75" customHeight="1">
      <c r="A4007" s="197" t="s">
        <v>84</v>
      </c>
      <c r="B4007" s="197" t="s">
        <v>22</v>
      </c>
      <c r="C4007" s="198" t="s">
        <v>508</v>
      </c>
      <c r="D4007" s="197" t="s">
        <v>509</v>
      </c>
      <c r="E4007" s="199">
        <v>15.0</v>
      </c>
      <c r="F4007" s="200">
        <v>45987.54166666667</v>
      </c>
      <c r="G4007" s="197" t="s">
        <v>845</v>
      </c>
      <c r="H4007" s="197" t="s">
        <v>877</v>
      </c>
    </row>
    <row r="4008" ht="15.75" customHeight="1">
      <c r="A4008" s="197" t="s">
        <v>84</v>
      </c>
      <c r="B4008" s="197" t="s">
        <v>22</v>
      </c>
      <c r="C4008" s="198" t="s">
        <v>508</v>
      </c>
      <c r="D4008" s="197" t="s">
        <v>509</v>
      </c>
      <c r="E4008" s="199">
        <v>16.0</v>
      </c>
      <c r="F4008" s="200">
        <v>46045.54166666667</v>
      </c>
      <c r="G4008" s="197" t="s">
        <v>845</v>
      </c>
      <c r="H4008" s="197" t="s">
        <v>877</v>
      </c>
    </row>
    <row r="4009" ht="15.75" customHeight="1">
      <c r="A4009" s="197" t="s">
        <v>84</v>
      </c>
      <c r="B4009" s="197" t="s">
        <v>24</v>
      </c>
      <c r="C4009" s="198" t="s">
        <v>597</v>
      </c>
      <c r="D4009" s="197" t="s">
        <v>598</v>
      </c>
      <c r="E4009" s="199">
        <v>1.0</v>
      </c>
      <c r="F4009" s="200">
        <v>46091.54166666667</v>
      </c>
      <c r="G4009" s="197" t="s">
        <v>845</v>
      </c>
      <c r="H4009" s="197" t="s">
        <v>877</v>
      </c>
    </row>
    <row r="4010" ht="15.75" customHeight="1">
      <c r="A4010" s="197" t="s">
        <v>84</v>
      </c>
      <c r="B4010" s="197" t="s">
        <v>24</v>
      </c>
      <c r="C4010" s="198" t="s">
        <v>597</v>
      </c>
      <c r="D4010" s="197" t="s">
        <v>598</v>
      </c>
      <c r="E4010" s="199">
        <v>2.0</v>
      </c>
      <c r="F4010" s="200">
        <v>46098.54166666667</v>
      </c>
      <c r="G4010" s="197" t="s">
        <v>845</v>
      </c>
      <c r="H4010" s="197" t="s">
        <v>877</v>
      </c>
    </row>
    <row r="4011" ht="15.75" customHeight="1">
      <c r="A4011" s="197" t="s">
        <v>84</v>
      </c>
      <c r="B4011" s="197" t="s">
        <v>24</v>
      </c>
      <c r="C4011" s="198" t="s">
        <v>597</v>
      </c>
      <c r="D4011" s="197" t="s">
        <v>598</v>
      </c>
      <c r="E4011" s="199">
        <v>3.0</v>
      </c>
      <c r="F4011" s="200">
        <v>46105.54166666667</v>
      </c>
      <c r="G4011" s="197" t="s">
        <v>845</v>
      </c>
      <c r="H4011" s="197" t="s">
        <v>877</v>
      </c>
    </row>
    <row r="4012" ht="15.75" customHeight="1">
      <c r="A4012" s="197" t="s">
        <v>84</v>
      </c>
      <c r="B4012" s="197" t="s">
        <v>24</v>
      </c>
      <c r="C4012" s="198" t="s">
        <v>597</v>
      </c>
      <c r="D4012" s="197" t="s">
        <v>598</v>
      </c>
      <c r="E4012" s="199">
        <v>4.0</v>
      </c>
      <c r="F4012" s="200">
        <v>46114.54166666667</v>
      </c>
      <c r="G4012" s="197" t="s">
        <v>845</v>
      </c>
      <c r="H4012" s="197" t="s">
        <v>877</v>
      </c>
    </row>
    <row r="4013" ht="15.75" customHeight="1">
      <c r="A4013" s="197" t="s">
        <v>84</v>
      </c>
      <c r="B4013" s="197" t="s">
        <v>24</v>
      </c>
      <c r="C4013" s="198" t="s">
        <v>597</v>
      </c>
      <c r="D4013" s="197" t="s">
        <v>598</v>
      </c>
      <c r="E4013" s="199">
        <v>5.0</v>
      </c>
      <c r="F4013" s="200">
        <v>46119.54166666667</v>
      </c>
      <c r="G4013" s="197" t="s">
        <v>845</v>
      </c>
      <c r="H4013" s="197" t="s">
        <v>877</v>
      </c>
    </row>
    <row r="4014" ht="15.75" customHeight="1">
      <c r="A4014" s="197" t="s">
        <v>84</v>
      </c>
      <c r="B4014" s="197" t="s">
        <v>24</v>
      </c>
      <c r="C4014" s="198" t="s">
        <v>597</v>
      </c>
      <c r="D4014" s="197" t="s">
        <v>598</v>
      </c>
      <c r="E4014" s="199">
        <v>6.0</v>
      </c>
      <c r="F4014" s="200">
        <v>46126.54166666667</v>
      </c>
      <c r="G4014" s="197" t="s">
        <v>845</v>
      </c>
      <c r="H4014" s="197" t="s">
        <v>877</v>
      </c>
    </row>
    <row r="4015" ht="15.75" customHeight="1">
      <c r="A4015" s="197" t="s">
        <v>84</v>
      </c>
      <c r="B4015" s="197" t="s">
        <v>21</v>
      </c>
      <c r="C4015" s="198" t="s">
        <v>597</v>
      </c>
      <c r="D4015" s="197" t="s">
        <v>598</v>
      </c>
      <c r="E4015" s="199">
        <v>1.0</v>
      </c>
      <c r="F4015" s="200">
        <v>45764.58333333333</v>
      </c>
      <c r="G4015" s="197" t="s">
        <v>845</v>
      </c>
      <c r="H4015" s="197" t="s">
        <v>877</v>
      </c>
    </row>
    <row r="4016" ht="15.75" customHeight="1">
      <c r="A4016" s="197" t="s">
        <v>84</v>
      </c>
      <c r="B4016" s="197" t="s">
        <v>21</v>
      </c>
      <c r="C4016" s="198" t="s">
        <v>597</v>
      </c>
      <c r="D4016" s="197" t="s">
        <v>598</v>
      </c>
      <c r="E4016" s="199">
        <v>2.0</v>
      </c>
      <c r="F4016" s="200">
        <v>45784.54166666667</v>
      </c>
      <c r="G4016" s="197" t="s">
        <v>845</v>
      </c>
      <c r="H4016" s="197" t="s">
        <v>877</v>
      </c>
    </row>
    <row r="4017" ht="15.75" customHeight="1">
      <c r="A4017" s="197" t="s">
        <v>84</v>
      </c>
      <c r="B4017" s="197" t="s">
        <v>21</v>
      </c>
      <c r="C4017" s="198" t="s">
        <v>597</v>
      </c>
      <c r="D4017" s="197" t="s">
        <v>598</v>
      </c>
      <c r="E4017" s="199">
        <v>3.0</v>
      </c>
      <c r="F4017" s="200">
        <v>45791.54166666667</v>
      </c>
      <c r="G4017" s="197" t="s">
        <v>845</v>
      </c>
      <c r="H4017" s="197" t="s">
        <v>877</v>
      </c>
    </row>
    <row r="4018" ht="15.75" customHeight="1">
      <c r="A4018" s="197" t="s">
        <v>84</v>
      </c>
      <c r="B4018" s="197" t="s">
        <v>21</v>
      </c>
      <c r="C4018" s="198" t="s">
        <v>597</v>
      </c>
      <c r="D4018" s="197" t="s">
        <v>598</v>
      </c>
      <c r="E4018" s="199">
        <v>4.0</v>
      </c>
      <c r="F4018" s="200">
        <v>45804.58333333333</v>
      </c>
      <c r="G4018" s="197" t="s">
        <v>845</v>
      </c>
      <c r="H4018" s="197" t="s">
        <v>877</v>
      </c>
    </row>
    <row r="4019" ht="15.75" customHeight="1">
      <c r="A4019" s="197" t="s">
        <v>84</v>
      </c>
      <c r="B4019" s="197" t="s">
        <v>21</v>
      </c>
      <c r="C4019" s="198" t="s">
        <v>597</v>
      </c>
      <c r="D4019" s="197" t="s">
        <v>598</v>
      </c>
      <c r="E4019" s="199">
        <v>5.0</v>
      </c>
      <c r="F4019" s="200">
        <v>45812.58333333333</v>
      </c>
      <c r="G4019" s="197" t="s">
        <v>845</v>
      </c>
      <c r="H4019" s="197" t="s">
        <v>877</v>
      </c>
    </row>
    <row r="4020" ht="15.75" customHeight="1">
      <c r="A4020" s="197" t="s">
        <v>84</v>
      </c>
      <c r="B4020" s="197" t="s">
        <v>21</v>
      </c>
      <c r="C4020" s="198" t="s">
        <v>597</v>
      </c>
      <c r="D4020" s="197" t="s">
        <v>598</v>
      </c>
      <c r="E4020" s="199">
        <v>6.0</v>
      </c>
      <c r="F4020" s="200">
        <v>45813.54166666667</v>
      </c>
      <c r="G4020" s="197" t="s">
        <v>845</v>
      </c>
      <c r="H4020" s="197" t="s">
        <v>877</v>
      </c>
    </row>
    <row r="4021" ht="15.75" customHeight="1">
      <c r="A4021" s="197" t="s">
        <v>84</v>
      </c>
      <c r="B4021" s="197" t="s">
        <v>21</v>
      </c>
      <c r="C4021" s="198" t="s">
        <v>597</v>
      </c>
      <c r="D4021" s="197" t="s">
        <v>598</v>
      </c>
      <c r="E4021" s="199">
        <v>7.0</v>
      </c>
      <c r="F4021" s="200">
        <v>45818.54166666667</v>
      </c>
      <c r="G4021" s="197" t="s">
        <v>845</v>
      </c>
      <c r="H4021" s="197" t="s">
        <v>877</v>
      </c>
    </row>
    <row r="4022" ht="15.75" customHeight="1">
      <c r="A4022" s="197" t="s">
        <v>84</v>
      </c>
      <c r="B4022" s="197" t="s">
        <v>21</v>
      </c>
      <c r="C4022" s="198" t="s">
        <v>597</v>
      </c>
      <c r="D4022" s="197" t="s">
        <v>598</v>
      </c>
      <c r="E4022" s="199">
        <v>8.0</v>
      </c>
      <c r="F4022" s="200">
        <v>45827.54166666667</v>
      </c>
      <c r="G4022" s="197" t="s">
        <v>845</v>
      </c>
      <c r="H4022" s="197" t="s">
        <v>877</v>
      </c>
    </row>
    <row r="4023" ht="15.75" customHeight="1">
      <c r="A4023" s="197" t="s">
        <v>84</v>
      </c>
      <c r="B4023" s="197" t="s">
        <v>21</v>
      </c>
      <c r="C4023" s="198" t="s">
        <v>597</v>
      </c>
      <c r="D4023" s="197" t="s">
        <v>598</v>
      </c>
      <c r="E4023" s="199">
        <v>9.0</v>
      </c>
      <c r="F4023" s="200">
        <v>45833.54166666667</v>
      </c>
      <c r="G4023" s="197" t="s">
        <v>845</v>
      </c>
      <c r="H4023" s="197" t="s">
        <v>877</v>
      </c>
    </row>
    <row r="4024" ht="15.75" customHeight="1">
      <c r="A4024" s="197" t="s">
        <v>84</v>
      </c>
      <c r="B4024" s="197" t="s">
        <v>21</v>
      </c>
      <c r="C4024" s="198" t="s">
        <v>597</v>
      </c>
      <c r="D4024" s="197" t="s">
        <v>598</v>
      </c>
      <c r="E4024" s="199">
        <v>10.0</v>
      </c>
      <c r="F4024" s="200">
        <v>45860.41666666667</v>
      </c>
      <c r="G4024" s="197" t="s">
        <v>845</v>
      </c>
      <c r="H4024" s="197" t="s">
        <v>877</v>
      </c>
    </row>
    <row r="4025" ht="15.75" customHeight="1">
      <c r="A4025" s="197" t="s">
        <v>84</v>
      </c>
      <c r="B4025" s="197" t="s">
        <v>22</v>
      </c>
      <c r="C4025" s="198" t="s">
        <v>597</v>
      </c>
      <c r="D4025" s="197" t="s">
        <v>598</v>
      </c>
      <c r="E4025" s="199">
        <v>1.0</v>
      </c>
      <c r="F4025" s="200">
        <v>45882.58333333333</v>
      </c>
      <c r="G4025" s="197" t="s">
        <v>845</v>
      </c>
      <c r="H4025" s="197" t="s">
        <v>877</v>
      </c>
    </row>
    <row r="4026" ht="15.75" customHeight="1">
      <c r="A4026" s="197" t="s">
        <v>84</v>
      </c>
      <c r="B4026" s="197" t="s">
        <v>22</v>
      </c>
      <c r="C4026" s="198" t="s">
        <v>597</v>
      </c>
      <c r="D4026" s="197" t="s">
        <v>598</v>
      </c>
      <c r="E4026" s="199">
        <v>2.0</v>
      </c>
      <c r="F4026" s="200">
        <v>45889.54166666667</v>
      </c>
      <c r="G4026" s="197" t="s">
        <v>845</v>
      </c>
      <c r="H4026" s="197" t="s">
        <v>877</v>
      </c>
    </row>
    <row r="4027" ht="15.75" customHeight="1">
      <c r="A4027" s="197" t="s">
        <v>84</v>
      </c>
      <c r="B4027" s="197" t="s">
        <v>22</v>
      </c>
      <c r="C4027" s="198" t="s">
        <v>597</v>
      </c>
      <c r="D4027" s="197" t="s">
        <v>598</v>
      </c>
      <c r="E4027" s="199">
        <v>3.0</v>
      </c>
      <c r="F4027" s="200">
        <v>45895.54166666667</v>
      </c>
      <c r="G4027" s="197" t="s">
        <v>845</v>
      </c>
      <c r="H4027" s="197" t="s">
        <v>877</v>
      </c>
    </row>
    <row r="4028" ht="15.75" customHeight="1">
      <c r="A4028" s="197" t="s">
        <v>84</v>
      </c>
      <c r="B4028" s="197" t="s">
        <v>22</v>
      </c>
      <c r="C4028" s="198" t="s">
        <v>597</v>
      </c>
      <c r="D4028" s="197" t="s">
        <v>598</v>
      </c>
      <c r="E4028" s="199">
        <v>4.0</v>
      </c>
      <c r="F4028" s="200">
        <v>45903.54166666667</v>
      </c>
      <c r="G4028" s="197" t="s">
        <v>845</v>
      </c>
      <c r="H4028" s="197" t="s">
        <v>877</v>
      </c>
    </row>
    <row r="4029" ht="15.75" customHeight="1">
      <c r="A4029" s="197" t="s">
        <v>84</v>
      </c>
      <c r="B4029" s="197" t="s">
        <v>22</v>
      </c>
      <c r="C4029" s="198" t="s">
        <v>597</v>
      </c>
      <c r="D4029" s="197" t="s">
        <v>598</v>
      </c>
      <c r="E4029" s="199">
        <v>5.0</v>
      </c>
      <c r="F4029" s="200">
        <v>45910.58333333333</v>
      </c>
      <c r="G4029" s="197" t="s">
        <v>845</v>
      </c>
      <c r="H4029" s="197" t="s">
        <v>877</v>
      </c>
    </row>
    <row r="4030" ht="15.75" customHeight="1">
      <c r="A4030" s="197" t="s">
        <v>84</v>
      </c>
      <c r="B4030" s="197" t="s">
        <v>22</v>
      </c>
      <c r="C4030" s="198" t="s">
        <v>597</v>
      </c>
      <c r="D4030" s="197" t="s">
        <v>598</v>
      </c>
      <c r="E4030" s="199">
        <v>6.0</v>
      </c>
      <c r="F4030" s="200">
        <v>45917.54166666667</v>
      </c>
      <c r="G4030" s="197" t="s">
        <v>845</v>
      </c>
      <c r="H4030" s="197" t="s">
        <v>877</v>
      </c>
    </row>
    <row r="4031" ht="15.75" customHeight="1">
      <c r="A4031" s="197" t="s">
        <v>84</v>
      </c>
      <c r="B4031" s="197" t="s">
        <v>22</v>
      </c>
      <c r="C4031" s="198" t="s">
        <v>597</v>
      </c>
      <c r="D4031" s="197" t="s">
        <v>598</v>
      </c>
      <c r="E4031" s="199">
        <v>7.0</v>
      </c>
      <c r="F4031" s="200">
        <v>45924.58333333333</v>
      </c>
      <c r="G4031" s="197" t="s">
        <v>845</v>
      </c>
      <c r="H4031" s="197" t="s">
        <v>877</v>
      </c>
    </row>
    <row r="4032" ht="15.75" customHeight="1">
      <c r="A4032" s="197" t="s">
        <v>84</v>
      </c>
      <c r="B4032" s="197" t="s">
        <v>22</v>
      </c>
      <c r="C4032" s="198" t="s">
        <v>597</v>
      </c>
      <c r="D4032" s="197" t="s">
        <v>598</v>
      </c>
      <c r="E4032" s="199">
        <v>8.0</v>
      </c>
      <c r="F4032" s="200">
        <v>45940.58333333333</v>
      </c>
      <c r="G4032" s="197" t="s">
        <v>845</v>
      </c>
      <c r="H4032" s="197" t="s">
        <v>877</v>
      </c>
    </row>
    <row r="4033" ht="15.75" customHeight="1">
      <c r="A4033" s="197" t="s">
        <v>84</v>
      </c>
      <c r="B4033" s="197" t="s">
        <v>22</v>
      </c>
      <c r="C4033" s="198" t="s">
        <v>597</v>
      </c>
      <c r="D4033" s="197" t="s">
        <v>598</v>
      </c>
      <c r="E4033" s="199">
        <v>9.0</v>
      </c>
      <c r="F4033" s="200">
        <v>45943.58333333333</v>
      </c>
      <c r="G4033" s="197" t="s">
        <v>845</v>
      </c>
      <c r="H4033" s="197" t="s">
        <v>877</v>
      </c>
    </row>
    <row r="4034" ht="15.75" customHeight="1">
      <c r="A4034" s="197" t="s">
        <v>84</v>
      </c>
      <c r="B4034" s="197" t="s">
        <v>22</v>
      </c>
      <c r="C4034" s="198" t="s">
        <v>597</v>
      </c>
      <c r="D4034" s="197" t="s">
        <v>598</v>
      </c>
      <c r="E4034" s="199">
        <v>10.0</v>
      </c>
      <c r="F4034" s="200">
        <v>45954.54166666667</v>
      </c>
      <c r="G4034" s="197" t="s">
        <v>845</v>
      </c>
      <c r="H4034" s="197" t="s">
        <v>877</v>
      </c>
    </row>
    <row r="4035" ht="15.75" customHeight="1">
      <c r="A4035" s="197" t="s">
        <v>84</v>
      </c>
      <c r="B4035" s="197" t="s">
        <v>22</v>
      </c>
      <c r="C4035" s="198" t="s">
        <v>597</v>
      </c>
      <c r="D4035" s="197" t="s">
        <v>598</v>
      </c>
      <c r="E4035" s="199">
        <v>11.0</v>
      </c>
      <c r="F4035" s="200">
        <v>45961.54166666667</v>
      </c>
      <c r="G4035" s="197" t="s">
        <v>845</v>
      </c>
      <c r="H4035" s="197" t="s">
        <v>877</v>
      </c>
    </row>
    <row r="4036" ht="15.75" customHeight="1">
      <c r="A4036" s="197" t="s">
        <v>84</v>
      </c>
      <c r="B4036" s="197" t="s">
        <v>22</v>
      </c>
      <c r="C4036" s="198" t="s">
        <v>597</v>
      </c>
      <c r="D4036" s="197" t="s">
        <v>598</v>
      </c>
      <c r="E4036" s="199">
        <v>12.0</v>
      </c>
      <c r="F4036" s="200">
        <v>45965.54166666667</v>
      </c>
      <c r="G4036" s="197" t="s">
        <v>845</v>
      </c>
      <c r="H4036" s="197" t="s">
        <v>877</v>
      </c>
    </row>
    <row r="4037" ht="15.75" customHeight="1">
      <c r="A4037" s="197" t="s">
        <v>84</v>
      </c>
      <c r="B4037" s="197" t="s">
        <v>22</v>
      </c>
      <c r="C4037" s="198" t="s">
        <v>597</v>
      </c>
      <c r="D4037" s="197" t="s">
        <v>598</v>
      </c>
      <c r="E4037" s="199">
        <v>13.0</v>
      </c>
      <c r="F4037" s="200">
        <v>45974.54166666667</v>
      </c>
      <c r="G4037" s="197" t="s">
        <v>845</v>
      </c>
      <c r="H4037" s="197" t="s">
        <v>877</v>
      </c>
    </row>
    <row r="4038" ht="15.75" customHeight="1">
      <c r="A4038" s="197" t="s">
        <v>84</v>
      </c>
      <c r="B4038" s="197" t="s">
        <v>22</v>
      </c>
      <c r="C4038" s="198" t="s">
        <v>597</v>
      </c>
      <c r="D4038" s="197" t="s">
        <v>598</v>
      </c>
      <c r="E4038" s="199">
        <v>14.0</v>
      </c>
      <c r="F4038" s="200">
        <v>45980.54166666667</v>
      </c>
      <c r="G4038" s="197" t="s">
        <v>845</v>
      </c>
      <c r="H4038" s="197" t="s">
        <v>877</v>
      </c>
    </row>
    <row r="4039" ht="15.75" customHeight="1">
      <c r="A4039" s="197" t="s">
        <v>84</v>
      </c>
      <c r="B4039" s="197" t="s">
        <v>22</v>
      </c>
      <c r="C4039" s="198" t="s">
        <v>597</v>
      </c>
      <c r="D4039" s="197" t="s">
        <v>598</v>
      </c>
      <c r="E4039" s="199">
        <v>15.0</v>
      </c>
      <c r="F4039" s="200">
        <v>45987.54166666667</v>
      </c>
      <c r="G4039" s="197" t="s">
        <v>845</v>
      </c>
      <c r="H4039" s="197" t="s">
        <v>877</v>
      </c>
    </row>
    <row r="4040" ht="15.75" customHeight="1">
      <c r="A4040" s="197" t="s">
        <v>84</v>
      </c>
      <c r="B4040" s="197" t="s">
        <v>22</v>
      </c>
      <c r="C4040" s="198" t="s">
        <v>597</v>
      </c>
      <c r="D4040" s="197" t="s">
        <v>598</v>
      </c>
      <c r="E4040" s="199">
        <v>16.0</v>
      </c>
      <c r="F4040" s="200">
        <v>46045.54166666667</v>
      </c>
      <c r="G4040" s="197" t="s">
        <v>845</v>
      </c>
      <c r="H4040" s="197" t="s">
        <v>877</v>
      </c>
    </row>
    <row r="4041" ht="15.75" customHeight="1">
      <c r="A4041" s="197" t="s">
        <v>84</v>
      </c>
      <c r="B4041" s="197" t="s">
        <v>24</v>
      </c>
      <c r="C4041" s="198" t="s">
        <v>623</v>
      </c>
      <c r="D4041" s="197" t="s">
        <v>624</v>
      </c>
      <c r="E4041" s="199">
        <v>1.0</v>
      </c>
      <c r="F4041" s="200">
        <v>46091.54166666667</v>
      </c>
      <c r="G4041" s="197" t="s">
        <v>845</v>
      </c>
      <c r="H4041" s="197" t="s">
        <v>877</v>
      </c>
    </row>
    <row r="4042" ht="15.75" customHeight="1">
      <c r="A4042" s="197" t="s">
        <v>84</v>
      </c>
      <c r="B4042" s="197" t="s">
        <v>24</v>
      </c>
      <c r="C4042" s="198" t="s">
        <v>623</v>
      </c>
      <c r="D4042" s="197" t="s">
        <v>624</v>
      </c>
      <c r="E4042" s="199">
        <v>2.0</v>
      </c>
      <c r="F4042" s="200">
        <v>46098.54166666667</v>
      </c>
      <c r="G4042" s="197" t="s">
        <v>845</v>
      </c>
      <c r="H4042" s="197" t="s">
        <v>877</v>
      </c>
    </row>
    <row r="4043" ht="15.75" customHeight="1">
      <c r="A4043" s="197" t="s">
        <v>84</v>
      </c>
      <c r="B4043" s="197" t="s">
        <v>24</v>
      </c>
      <c r="C4043" s="198" t="s">
        <v>623</v>
      </c>
      <c r="D4043" s="197" t="s">
        <v>624</v>
      </c>
      <c r="E4043" s="199">
        <v>3.0</v>
      </c>
      <c r="F4043" s="200">
        <v>46105.54166666667</v>
      </c>
      <c r="G4043" s="197" t="s">
        <v>843</v>
      </c>
      <c r="H4043" s="197" t="s">
        <v>877</v>
      </c>
    </row>
    <row r="4044" ht="15.75" customHeight="1">
      <c r="A4044" s="197" t="s">
        <v>84</v>
      </c>
      <c r="B4044" s="197" t="s">
        <v>24</v>
      </c>
      <c r="C4044" s="198" t="s">
        <v>623</v>
      </c>
      <c r="D4044" s="197" t="s">
        <v>624</v>
      </c>
      <c r="E4044" s="199">
        <v>4.0</v>
      </c>
      <c r="F4044" s="200">
        <v>46114.54166666667</v>
      </c>
      <c r="G4044" s="197" t="s">
        <v>843</v>
      </c>
      <c r="H4044" s="197" t="s">
        <v>877</v>
      </c>
    </row>
    <row r="4045" ht="15.75" customHeight="1">
      <c r="A4045" s="197" t="s">
        <v>84</v>
      </c>
      <c r="B4045" s="197" t="s">
        <v>24</v>
      </c>
      <c r="C4045" s="198" t="s">
        <v>623</v>
      </c>
      <c r="D4045" s="197" t="s">
        <v>624</v>
      </c>
      <c r="E4045" s="199">
        <v>5.0</v>
      </c>
      <c r="F4045" s="200">
        <v>46119.54166666667</v>
      </c>
      <c r="G4045" s="197" t="s">
        <v>843</v>
      </c>
      <c r="H4045" s="197" t="s">
        <v>877</v>
      </c>
    </row>
    <row r="4046" ht="15.75" customHeight="1">
      <c r="A4046" s="197" t="s">
        <v>84</v>
      </c>
      <c r="B4046" s="197" t="s">
        <v>24</v>
      </c>
      <c r="C4046" s="198" t="s">
        <v>623</v>
      </c>
      <c r="D4046" s="197" t="s">
        <v>624</v>
      </c>
      <c r="E4046" s="199">
        <v>6.0</v>
      </c>
      <c r="F4046" s="200">
        <v>46126.54166666667</v>
      </c>
      <c r="G4046" s="197" t="s">
        <v>843</v>
      </c>
      <c r="H4046" s="197" t="s">
        <v>877</v>
      </c>
    </row>
    <row r="4047" ht="15.75" customHeight="1">
      <c r="A4047" s="197" t="s">
        <v>84</v>
      </c>
      <c r="B4047" s="197" t="s">
        <v>21</v>
      </c>
      <c r="C4047" s="198" t="s">
        <v>623</v>
      </c>
      <c r="D4047" s="197" t="s">
        <v>624</v>
      </c>
      <c r="E4047" s="199">
        <v>1.0</v>
      </c>
      <c r="F4047" s="200">
        <v>45764.58333333333</v>
      </c>
      <c r="G4047" s="197" t="s">
        <v>845</v>
      </c>
      <c r="H4047" s="197" t="s">
        <v>877</v>
      </c>
    </row>
    <row r="4048" ht="15.75" customHeight="1">
      <c r="A4048" s="197" t="s">
        <v>84</v>
      </c>
      <c r="B4048" s="197" t="s">
        <v>21</v>
      </c>
      <c r="C4048" s="198" t="s">
        <v>623</v>
      </c>
      <c r="D4048" s="197" t="s">
        <v>624</v>
      </c>
      <c r="E4048" s="199">
        <v>2.0</v>
      </c>
      <c r="F4048" s="200">
        <v>45784.54166666667</v>
      </c>
      <c r="G4048" s="197" t="s">
        <v>845</v>
      </c>
      <c r="H4048" s="197" t="s">
        <v>877</v>
      </c>
    </row>
    <row r="4049" ht="15.75" customHeight="1">
      <c r="A4049" s="197" t="s">
        <v>84</v>
      </c>
      <c r="B4049" s="197" t="s">
        <v>21</v>
      </c>
      <c r="C4049" s="198" t="s">
        <v>623</v>
      </c>
      <c r="D4049" s="197" t="s">
        <v>624</v>
      </c>
      <c r="E4049" s="199">
        <v>3.0</v>
      </c>
      <c r="F4049" s="200">
        <v>45791.54166666667</v>
      </c>
      <c r="G4049" s="197" t="s">
        <v>845</v>
      </c>
      <c r="H4049" s="197" t="s">
        <v>877</v>
      </c>
    </row>
    <row r="4050" ht="15.75" customHeight="1">
      <c r="A4050" s="197" t="s">
        <v>84</v>
      </c>
      <c r="B4050" s="197" t="s">
        <v>21</v>
      </c>
      <c r="C4050" s="198" t="s">
        <v>623</v>
      </c>
      <c r="D4050" s="197" t="s">
        <v>624</v>
      </c>
      <c r="E4050" s="199">
        <v>4.0</v>
      </c>
      <c r="F4050" s="200">
        <v>45804.58333333333</v>
      </c>
      <c r="G4050" s="197" t="s">
        <v>845</v>
      </c>
      <c r="H4050" s="197" t="s">
        <v>877</v>
      </c>
    </row>
    <row r="4051" ht="15.75" customHeight="1">
      <c r="A4051" s="197" t="s">
        <v>84</v>
      </c>
      <c r="B4051" s="197" t="s">
        <v>21</v>
      </c>
      <c r="C4051" s="198" t="s">
        <v>623</v>
      </c>
      <c r="D4051" s="197" t="s">
        <v>624</v>
      </c>
      <c r="E4051" s="199">
        <v>5.0</v>
      </c>
      <c r="F4051" s="200">
        <v>45812.58333333333</v>
      </c>
      <c r="G4051" s="197" t="s">
        <v>845</v>
      </c>
      <c r="H4051" s="197" t="s">
        <v>877</v>
      </c>
    </row>
    <row r="4052" ht="15.75" customHeight="1">
      <c r="A4052" s="197" t="s">
        <v>84</v>
      </c>
      <c r="B4052" s="197" t="s">
        <v>21</v>
      </c>
      <c r="C4052" s="198" t="s">
        <v>623</v>
      </c>
      <c r="D4052" s="197" t="s">
        <v>624</v>
      </c>
      <c r="E4052" s="199">
        <v>6.0</v>
      </c>
      <c r="F4052" s="200">
        <v>45813.54166666667</v>
      </c>
      <c r="G4052" s="197" t="s">
        <v>845</v>
      </c>
      <c r="H4052" s="197" t="s">
        <v>877</v>
      </c>
    </row>
    <row r="4053" ht="15.75" customHeight="1">
      <c r="A4053" s="197" t="s">
        <v>84</v>
      </c>
      <c r="B4053" s="197" t="s">
        <v>21</v>
      </c>
      <c r="C4053" s="198" t="s">
        <v>623</v>
      </c>
      <c r="D4053" s="197" t="s">
        <v>624</v>
      </c>
      <c r="E4053" s="199">
        <v>7.0</v>
      </c>
      <c r="F4053" s="200">
        <v>45818.54166666667</v>
      </c>
      <c r="G4053" s="197" t="s">
        <v>845</v>
      </c>
      <c r="H4053" s="197" t="s">
        <v>877</v>
      </c>
    </row>
    <row r="4054" ht="15.75" customHeight="1">
      <c r="A4054" s="197" t="s">
        <v>84</v>
      </c>
      <c r="B4054" s="197" t="s">
        <v>21</v>
      </c>
      <c r="C4054" s="198" t="s">
        <v>623</v>
      </c>
      <c r="D4054" s="197" t="s">
        <v>624</v>
      </c>
      <c r="E4054" s="199">
        <v>8.0</v>
      </c>
      <c r="F4054" s="200">
        <v>45827.54166666667</v>
      </c>
      <c r="G4054" s="197" t="s">
        <v>845</v>
      </c>
      <c r="H4054" s="197" t="s">
        <v>877</v>
      </c>
    </row>
    <row r="4055" ht="15.75" customHeight="1">
      <c r="A4055" s="197" t="s">
        <v>84</v>
      </c>
      <c r="B4055" s="197" t="s">
        <v>21</v>
      </c>
      <c r="C4055" s="198" t="s">
        <v>623</v>
      </c>
      <c r="D4055" s="197" t="s">
        <v>624</v>
      </c>
      <c r="E4055" s="199">
        <v>9.0</v>
      </c>
      <c r="F4055" s="200">
        <v>45833.54166666667</v>
      </c>
      <c r="G4055" s="197" t="s">
        <v>845</v>
      </c>
      <c r="H4055" s="197" t="s">
        <v>877</v>
      </c>
    </row>
    <row r="4056" ht="15.75" customHeight="1">
      <c r="A4056" s="197" t="s">
        <v>84</v>
      </c>
      <c r="B4056" s="197" t="s">
        <v>21</v>
      </c>
      <c r="C4056" s="198" t="s">
        <v>623</v>
      </c>
      <c r="D4056" s="197" t="s">
        <v>624</v>
      </c>
      <c r="E4056" s="199">
        <v>10.0</v>
      </c>
      <c r="F4056" s="200">
        <v>45860.41666666667</v>
      </c>
      <c r="G4056" s="197" t="s">
        <v>845</v>
      </c>
      <c r="H4056" s="197" t="s">
        <v>877</v>
      </c>
    </row>
    <row r="4057" ht="15.75" customHeight="1">
      <c r="A4057" s="197" t="s">
        <v>84</v>
      </c>
      <c r="B4057" s="197" t="s">
        <v>22</v>
      </c>
      <c r="C4057" s="198" t="s">
        <v>623</v>
      </c>
      <c r="D4057" s="197" t="s">
        <v>624</v>
      </c>
      <c r="E4057" s="199">
        <v>1.0</v>
      </c>
      <c r="F4057" s="200">
        <v>45882.58333333333</v>
      </c>
      <c r="G4057" s="197" t="s">
        <v>843</v>
      </c>
      <c r="H4057" s="197" t="s">
        <v>877</v>
      </c>
    </row>
    <row r="4058" ht="15.75" customHeight="1">
      <c r="A4058" s="197" t="s">
        <v>84</v>
      </c>
      <c r="B4058" s="197" t="s">
        <v>22</v>
      </c>
      <c r="C4058" s="198" t="s">
        <v>623</v>
      </c>
      <c r="D4058" s="197" t="s">
        <v>624</v>
      </c>
      <c r="E4058" s="199">
        <v>2.0</v>
      </c>
      <c r="F4058" s="200">
        <v>45889.54166666667</v>
      </c>
      <c r="G4058" s="197" t="s">
        <v>843</v>
      </c>
      <c r="H4058" s="197" t="s">
        <v>877</v>
      </c>
    </row>
    <row r="4059" ht="15.75" customHeight="1">
      <c r="A4059" s="197" t="s">
        <v>84</v>
      </c>
      <c r="B4059" s="197" t="s">
        <v>22</v>
      </c>
      <c r="C4059" s="198" t="s">
        <v>623</v>
      </c>
      <c r="D4059" s="197" t="s">
        <v>624</v>
      </c>
      <c r="E4059" s="199">
        <v>3.0</v>
      </c>
      <c r="F4059" s="200">
        <v>45895.54166666667</v>
      </c>
      <c r="G4059" s="197" t="s">
        <v>843</v>
      </c>
      <c r="H4059" s="197" t="s">
        <v>877</v>
      </c>
    </row>
    <row r="4060" ht="15.75" customHeight="1">
      <c r="A4060" s="197" t="s">
        <v>84</v>
      </c>
      <c r="B4060" s="197" t="s">
        <v>22</v>
      </c>
      <c r="C4060" s="198" t="s">
        <v>623</v>
      </c>
      <c r="D4060" s="197" t="s">
        <v>624</v>
      </c>
      <c r="E4060" s="199">
        <v>4.0</v>
      </c>
      <c r="F4060" s="200">
        <v>45903.54166666667</v>
      </c>
      <c r="G4060" s="197" t="s">
        <v>843</v>
      </c>
      <c r="H4060" s="197" t="s">
        <v>877</v>
      </c>
    </row>
    <row r="4061" ht="15.75" customHeight="1">
      <c r="A4061" s="197" t="s">
        <v>84</v>
      </c>
      <c r="B4061" s="197" t="s">
        <v>22</v>
      </c>
      <c r="C4061" s="198" t="s">
        <v>623</v>
      </c>
      <c r="D4061" s="197" t="s">
        <v>624</v>
      </c>
      <c r="E4061" s="199">
        <v>5.0</v>
      </c>
      <c r="F4061" s="200">
        <v>45910.58333333333</v>
      </c>
      <c r="G4061" s="197" t="s">
        <v>843</v>
      </c>
      <c r="H4061" s="197" t="s">
        <v>877</v>
      </c>
    </row>
    <row r="4062" ht="15.75" customHeight="1">
      <c r="A4062" s="197" t="s">
        <v>84</v>
      </c>
      <c r="B4062" s="197" t="s">
        <v>22</v>
      </c>
      <c r="C4062" s="198" t="s">
        <v>623</v>
      </c>
      <c r="D4062" s="197" t="s">
        <v>624</v>
      </c>
      <c r="E4062" s="199">
        <v>6.0</v>
      </c>
      <c r="F4062" s="200">
        <v>45917.54166666667</v>
      </c>
      <c r="G4062" s="197" t="s">
        <v>843</v>
      </c>
      <c r="H4062" s="197" t="s">
        <v>877</v>
      </c>
    </row>
    <row r="4063" ht="15.75" customHeight="1">
      <c r="A4063" s="197" t="s">
        <v>84</v>
      </c>
      <c r="B4063" s="197" t="s">
        <v>22</v>
      </c>
      <c r="C4063" s="198" t="s">
        <v>623</v>
      </c>
      <c r="D4063" s="197" t="s">
        <v>624</v>
      </c>
      <c r="E4063" s="199">
        <v>7.0</v>
      </c>
      <c r="F4063" s="200">
        <v>45924.58333333333</v>
      </c>
      <c r="G4063" s="197" t="s">
        <v>843</v>
      </c>
      <c r="H4063" s="197" t="s">
        <v>877</v>
      </c>
    </row>
    <row r="4064" ht="15.75" customHeight="1">
      <c r="A4064" s="197" t="s">
        <v>84</v>
      </c>
      <c r="B4064" s="197" t="s">
        <v>22</v>
      </c>
      <c r="C4064" s="198" t="s">
        <v>623</v>
      </c>
      <c r="D4064" s="197" t="s">
        <v>624</v>
      </c>
      <c r="E4064" s="199">
        <v>8.0</v>
      </c>
      <c r="F4064" s="200">
        <v>45940.58333333333</v>
      </c>
      <c r="G4064" s="197" t="s">
        <v>843</v>
      </c>
      <c r="H4064" s="197" t="s">
        <v>877</v>
      </c>
    </row>
    <row r="4065" ht="15.75" customHeight="1">
      <c r="A4065" s="197" t="s">
        <v>84</v>
      </c>
      <c r="B4065" s="197" t="s">
        <v>22</v>
      </c>
      <c r="C4065" s="198" t="s">
        <v>623</v>
      </c>
      <c r="D4065" s="197" t="s">
        <v>624</v>
      </c>
      <c r="E4065" s="199">
        <v>9.0</v>
      </c>
      <c r="F4065" s="200">
        <v>45943.58333333333</v>
      </c>
      <c r="G4065" s="197" t="s">
        <v>843</v>
      </c>
      <c r="H4065" s="197" t="s">
        <v>877</v>
      </c>
    </row>
    <row r="4066" ht="15.75" customHeight="1">
      <c r="A4066" s="197" t="s">
        <v>84</v>
      </c>
      <c r="B4066" s="197" t="s">
        <v>22</v>
      </c>
      <c r="C4066" s="198" t="s">
        <v>623</v>
      </c>
      <c r="D4066" s="197" t="s">
        <v>624</v>
      </c>
      <c r="E4066" s="199">
        <v>10.0</v>
      </c>
      <c r="F4066" s="200">
        <v>45954.54166666667</v>
      </c>
      <c r="G4066" s="197" t="s">
        <v>843</v>
      </c>
      <c r="H4066" s="197" t="s">
        <v>877</v>
      </c>
    </row>
    <row r="4067" ht="15.75" customHeight="1">
      <c r="A4067" s="197" t="s">
        <v>84</v>
      </c>
      <c r="B4067" s="197" t="s">
        <v>22</v>
      </c>
      <c r="C4067" s="198" t="s">
        <v>623</v>
      </c>
      <c r="D4067" s="197" t="s">
        <v>624</v>
      </c>
      <c r="E4067" s="199">
        <v>11.0</v>
      </c>
      <c r="F4067" s="200">
        <v>45961.54166666667</v>
      </c>
      <c r="G4067" s="197" t="s">
        <v>843</v>
      </c>
      <c r="H4067" s="197" t="s">
        <v>877</v>
      </c>
    </row>
    <row r="4068" ht="15.75" customHeight="1">
      <c r="A4068" s="197" t="s">
        <v>84</v>
      </c>
      <c r="B4068" s="197" t="s">
        <v>22</v>
      </c>
      <c r="C4068" s="198" t="s">
        <v>623</v>
      </c>
      <c r="D4068" s="197" t="s">
        <v>624</v>
      </c>
      <c r="E4068" s="199">
        <v>12.0</v>
      </c>
      <c r="F4068" s="200">
        <v>45965.54166666667</v>
      </c>
      <c r="G4068" s="197" t="s">
        <v>843</v>
      </c>
      <c r="H4068" s="197" t="s">
        <v>877</v>
      </c>
    </row>
    <row r="4069" ht="15.75" customHeight="1">
      <c r="A4069" s="197" t="s">
        <v>84</v>
      </c>
      <c r="B4069" s="197" t="s">
        <v>22</v>
      </c>
      <c r="C4069" s="198" t="s">
        <v>623</v>
      </c>
      <c r="D4069" s="197" t="s">
        <v>624</v>
      </c>
      <c r="E4069" s="199">
        <v>13.0</v>
      </c>
      <c r="F4069" s="200">
        <v>45974.54166666667</v>
      </c>
      <c r="G4069" s="197" t="s">
        <v>843</v>
      </c>
      <c r="H4069" s="197" t="s">
        <v>877</v>
      </c>
    </row>
    <row r="4070" ht="15.75" customHeight="1">
      <c r="A4070" s="197" t="s">
        <v>84</v>
      </c>
      <c r="B4070" s="197" t="s">
        <v>22</v>
      </c>
      <c r="C4070" s="198" t="s">
        <v>623</v>
      </c>
      <c r="D4070" s="197" t="s">
        <v>624</v>
      </c>
      <c r="E4070" s="199">
        <v>14.0</v>
      </c>
      <c r="F4070" s="200">
        <v>45980.54166666667</v>
      </c>
      <c r="G4070" s="197" t="s">
        <v>843</v>
      </c>
      <c r="H4070" s="197" t="s">
        <v>877</v>
      </c>
    </row>
    <row r="4071" ht="15.75" customHeight="1">
      <c r="A4071" s="197" t="s">
        <v>84</v>
      </c>
      <c r="B4071" s="197" t="s">
        <v>22</v>
      </c>
      <c r="C4071" s="198" t="s">
        <v>623</v>
      </c>
      <c r="D4071" s="197" t="s">
        <v>624</v>
      </c>
      <c r="E4071" s="199">
        <v>15.0</v>
      </c>
      <c r="F4071" s="200">
        <v>45987.54166666667</v>
      </c>
      <c r="G4071" s="197" t="s">
        <v>843</v>
      </c>
      <c r="H4071" s="197" t="s">
        <v>877</v>
      </c>
    </row>
    <row r="4072" ht="15.75" customHeight="1">
      <c r="A4072" s="197" t="s">
        <v>84</v>
      </c>
      <c r="B4072" s="197" t="s">
        <v>22</v>
      </c>
      <c r="C4072" s="198" t="s">
        <v>623</v>
      </c>
      <c r="D4072" s="197" t="s">
        <v>624</v>
      </c>
      <c r="E4072" s="199">
        <v>16.0</v>
      </c>
      <c r="F4072" s="200">
        <v>46045.54166666667</v>
      </c>
      <c r="G4072" s="197" t="s">
        <v>843</v>
      </c>
      <c r="H4072" s="197" t="s">
        <v>877</v>
      </c>
    </row>
    <row r="4073" ht="15.75" customHeight="1">
      <c r="A4073" s="197" t="s">
        <v>84</v>
      </c>
      <c r="B4073" s="197" t="s">
        <v>24</v>
      </c>
      <c r="C4073" s="198" t="s">
        <v>649</v>
      </c>
      <c r="D4073" s="197" t="s">
        <v>650</v>
      </c>
      <c r="E4073" s="199">
        <v>2.0</v>
      </c>
      <c r="F4073" s="200">
        <v>46098.54166666667</v>
      </c>
      <c r="G4073" s="197" t="s">
        <v>845</v>
      </c>
      <c r="H4073" s="197" t="s">
        <v>877</v>
      </c>
    </row>
    <row r="4074" ht="15.75" customHeight="1">
      <c r="A4074" s="197" t="s">
        <v>84</v>
      </c>
      <c r="B4074" s="197" t="s">
        <v>24</v>
      </c>
      <c r="C4074" s="198" t="s">
        <v>649</v>
      </c>
      <c r="D4074" s="197" t="s">
        <v>650</v>
      </c>
      <c r="E4074" s="199">
        <v>3.0</v>
      </c>
      <c r="F4074" s="200">
        <v>46105.54166666667</v>
      </c>
      <c r="G4074" s="197" t="s">
        <v>845</v>
      </c>
      <c r="H4074" s="197" t="s">
        <v>877</v>
      </c>
    </row>
    <row r="4075" ht="15.75" customHeight="1">
      <c r="A4075" s="197" t="s">
        <v>84</v>
      </c>
      <c r="B4075" s="197" t="s">
        <v>24</v>
      </c>
      <c r="C4075" s="198" t="s">
        <v>649</v>
      </c>
      <c r="D4075" s="197" t="s">
        <v>650</v>
      </c>
      <c r="E4075" s="199">
        <v>4.0</v>
      </c>
      <c r="F4075" s="200">
        <v>46114.54166666667</v>
      </c>
      <c r="G4075" s="197" t="s">
        <v>845</v>
      </c>
      <c r="H4075" s="197" t="s">
        <v>877</v>
      </c>
    </row>
    <row r="4076" ht="15.75" customHeight="1">
      <c r="A4076" s="197" t="s">
        <v>84</v>
      </c>
      <c r="B4076" s="197" t="s">
        <v>24</v>
      </c>
      <c r="C4076" s="198" t="s">
        <v>649</v>
      </c>
      <c r="D4076" s="197" t="s">
        <v>650</v>
      </c>
      <c r="E4076" s="199">
        <v>5.0</v>
      </c>
      <c r="F4076" s="200">
        <v>46119.54166666667</v>
      </c>
      <c r="G4076" s="197" t="s">
        <v>845</v>
      </c>
      <c r="H4076" s="197" t="s">
        <v>877</v>
      </c>
    </row>
    <row r="4077" ht="15.75" customHeight="1">
      <c r="A4077" s="197" t="s">
        <v>84</v>
      </c>
      <c r="B4077" s="197" t="s">
        <v>24</v>
      </c>
      <c r="C4077" s="198" t="s">
        <v>649</v>
      </c>
      <c r="D4077" s="197" t="s">
        <v>650</v>
      </c>
      <c r="E4077" s="199">
        <v>6.0</v>
      </c>
      <c r="F4077" s="200">
        <v>46126.54166666667</v>
      </c>
      <c r="G4077" s="197" t="s">
        <v>843</v>
      </c>
      <c r="H4077" s="197" t="s">
        <v>877</v>
      </c>
    </row>
    <row r="4078" ht="15.75" customHeight="1">
      <c r="A4078" s="197" t="s">
        <v>84</v>
      </c>
      <c r="B4078" s="197" t="s">
        <v>21</v>
      </c>
      <c r="C4078" s="198" t="s">
        <v>649</v>
      </c>
      <c r="D4078" s="197" t="s">
        <v>650</v>
      </c>
      <c r="E4078" s="199">
        <v>1.0</v>
      </c>
      <c r="F4078" s="200">
        <v>45764.58333333333</v>
      </c>
      <c r="G4078" s="197" t="s">
        <v>845</v>
      </c>
      <c r="H4078" s="197" t="s">
        <v>877</v>
      </c>
    </row>
    <row r="4079" ht="15.75" customHeight="1">
      <c r="A4079" s="197" t="s">
        <v>84</v>
      </c>
      <c r="B4079" s="197" t="s">
        <v>21</v>
      </c>
      <c r="C4079" s="198" t="s">
        <v>649</v>
      </c>
      <c r="D4079" s="197" t="s">
        <v>650</v>
      </c>
      <c r="E4079" s="199">
        <v>2.0</v>
      </c>
      <c r="F4079" s="200">
        <v>45784.54166666667</v>
      </c>
      <c r="G4079" s="197" t="s">
        <v>845</v>
      </c>
      <c r="H4079" s="197" t="s">
        <v>877</v>
      </c>
    </row>
    <row r="4080" ht="15.75" customHeight="1">
      <c r="A4080" s="197" t="s">
        <v>84</v>
      </c>
      <c r="B4080" s="197" t="s">
        <v>21</v>
      </c>
      <c r="C4080" s="198" t="s">
        <v>649</v>
      </c>
      <c r="D4080" s="197" t="s">
        <v>650</v>
      </c>
      <c r="E4080" s="199">
        <v>3.0</v>
      </c>
      <c r="F4080" s="200">
        <v>45791.54166666667</v>
      </c>
      <c r="G4080" s="197" t="s">
        <v>843</v>
      </c>
      <c r="H4080" s="197" t="s">
        <v>877</v>
      </c>
    </row>
    <row r="4081" ht="15.75" customHeight="1">
      <c r="A4081" s="197" t="s">
        <v>84</v>
      </c>
      <c r="B4081" s="197" t="s">
        <v>21</v>
      </c>
      <c r="C4081" s="198" t="s">
        <v>649</v>
      </c>
      <c r="D4081" s="197" t="s">
        <v>650</v>
      </c>
      <c r="E4081" s="199">
        <v>4.0</v>
      </c>
      <c r="F4081" s="200">
        <v>45804.58333333333</v>
      </c>
      <c r="G4081" s="197" t="s">
        <v>845</v>
      </c>
      <c r="H4081" s="197" t="s">
        <v>877</v>
      </c>
    </row>
    <row r="4082" ht="15.75" customHeight="1">
      <c r="A4082" s="197" t="s">
        <v>84</v>
      </c>
      <c r="B4082" s="197" t="s">
        <v>21</v>
      </c>
      <c r="C4082" s="198" t="s">
        <v>649</v>
      </c>
      <c r="D4082" s="197" t="s">
        <v>650</v>
      </c>
      <c r="E4082" s="199">
        <v>5.0</v>
      </c>
      <c r="F4082" s="200">
        <v>45812.58333333333</v>
      </c>
      <c r="G4082" s="197" t="s">
        <v>845</v>
      </c>
      <c r="H4082" s="197" t="s">
        <v>877</v>
      </c>
    </row>
    <row r="4083" ht="15.75" customHeight="1">
      <c r="A4083" s="197" t="s">
        <v>84</v>
      </c>
      <c r="B4083" s="197" t="s">
        <v>21</v>
      </c>
      <c r="C4083" s="198" t="s">
        <v>649</v>
      </c>
      <c r="D4083" s="197" t="s">
        <v>650</v>
      </c>
      <c r="E4083" s="199">
        <v>6.0</v>
      </c>
      <c r="F4083" s="200">
        <v>45813.54166666667</v>
      </c>
      <c r="G4083" s="197" t="s">
        <v>845</v>
      </c>
      <c r="H4083" s="197" t="s">
        <v>877</v>
      </c>
    </row>
    <row r="4084" ht="15.75" customHeight="1">
      <c r="A4084" s="197" t="s">
        <v>84</v>
      </c>
      <c r="B4084" s="197" t="s">
        <v>21</v>
      </c>
      <c r="C4084" s="198" t="s">
        <v>649</v>
      </c>
      <c r="D4084" s="197" t="s">
        <v>650</v>
      </c>
      <c r="E4084" s="199">
        <v>7.0</v>
      </c>
      <c r="F4084" s="200">
        <v>45818.54166666667</v>
      </c>
      <c r="G4084" s="197" t="s">
        <v>845</v>
      </c>
      <c r="H4084" s="197" t="s">
        <v>877</v>
      </c>
    </row>
    <row r="4085" ht="15.75" customHeight="1">
      <c r="A4085" s="197" t="s">
        <v>84</v>
      </c>
      <c r="B4085" s="197" t="s">
        <v>21</v>
      </c>
      <c r="C4085" s="198" t="s">
        <v>649</v>
      </c>
      <c r="D4085" s="197" t="s">
        <v>650</v>
      </c>
      <c r="E4085" s="199">
        <v>8.0</v>
      </c>
      <c r="F4085" s="200">
        <v>45827.54166666667</v>
      </c>
      <c r="G4085" s="197" t="s">
        <v>845</v>
      </c>
      <c r="H4085" s="197" t="s">
        <v>877</v>
      </c>
    </row>
    <row r="4086" ht="15.75" customHeight="1">
      <c r="A4086" s="197" t="s">
        <v>84</v>
      </c>
      <c r="B4086" s="197" t="s">
        <v>21</v>
      </c>
      <c r="C4086" s="198" t="s">
        <v>649</v>
      </c>
      <c r="D4086" s="197" t="s">
        <v>650</v>
      </c>
      <c r="E4086" s="199">
        <v>9.0</v>
      </c>
      <c r="F4086" s="200">
        <v>45833.54166666667</v>
      </c>
      <c r="G4086" s="197" t="s">
        <v>845</v>
      </c>
      <c r="H4086" s="197" t="s">
        <v>877</v>
      </c>
    </row>
    <row r="4087" ht="15.75" customHeight="1">
      <c r="A4087" s="197" t="s">
        <v>84</v>
      </c>
      <c r="B4087" s="197" t="s">
        <v>21</v>
      </c>
      <c r="C4087" s="198" t="s">
        <v>649</v>
      </c>
      <c r="D4087" s="197" t="s">
        <v>650</v>
      </c>
      <c r="E4087" s="199">
        <v>10.0</v>
      </c>
      <c r="F4087" s="200">
        <v>45860.41666666667</v>
      </c>
      <c r="G4087" s="197" t="s">
        <v>845</v>
      </c>
      <c r="H4087" s="197" t="s">
        <v>877</v>
      </c>
    </row>
    <row r="4088" ht="15.75" customHeight="1">
      <c r="A4088" s="197" t="s">
        <v>84</v>
      </c>
      <c r="B4088" s="197" t="s">
        <v>22</v>
      </c>
      <c r="C4088" s="198" t="s">
        <v>649</v>
      </c>
      <c r="D4088" s="197" t="s">
        <v>650</v>
      </c>
      <c r="E4088" s="199">
        <v>1.0</v>
      </c>
      <c r="F4088" s="200">
        <v>45882.58333333333</v>
      </c>
      <c r="G4088" s="197" t="s">
        <v>843</v>
      </c>
      <c r="H4088" s="197" t="s">
        <v>877</v>
      </c>
    </row>
    <row r="4089" ht="15.75" customHeight="1">
      <c r="A4089" s="197" t="s">
        <v>84</v>
      </c>
      <c r="B4089" s="197" t="s">
        <v>22</v>
      </c>
      <c r="C4089" s="198" t="s">
        <v>649</v>
      </c>
      <c r="D4089" s="197" t="s">
        <v>650</v>
      </c>
      <c r="E4089" s="199">
        <v>2.0</v>
      </c>
      <c r="F4089" s="200">
        <v>45889.54166666667</v>
      </c>
      <c r="G4089" s="197" t="s">
        <v>845</v>
      </c>
      <c r="H4089" s="197" t="s">
        <v>877</v>
      </c>
    </row>
    <row r="4090" ht="15.75" customHeight="1">
      <c r="A4090" s="197" t="s">
        <v>84</v>
      </c>
      <c r="B4090" s="197" t="s">
        <v>22</v>
      </c>
      <c r="C4090" s="198" t="s">
        <v>649</v>
      </c>
      <c r="D4090" s="197" t="s">
        <v>650</v>
      </c>
      <c r="E4090" s="199">
        <v>3.0</v>
      </c>
      <c r="F4090" s="200">
        <v>45895.54166666667</v>
      </c>
      <c r="G4090" s="197" t="s">
        <v>845</v>
      </c>
      <c r="H4090" s="197" t="s">
        <v>877</v>
      </c>
    </row>
    <row r="4091" ht="15.75" customHeight="1">
      <c r="A4091" s="197" t="s">
        <v>84</v>
      </c>
      <c r="B4091" s="197" t="s">
        <v>22</v>
      </c>
      <c r="C4091" s="198" t="s">
        <v>649</v>
      </c>
      <c r="D4091" s="197" t="s">
        <v>650</v>
      </c>
      <c r="E4091" s="199">
        <v>4.0</v>
      </c>
      <c r="F4091" s="200">
        <v>45903.54166666667</v>
      </c>
      <c r="G4091" s="197" t="s">
        <v>845</v>
      </c>
      <c r="H4091" s="197" t="s">
        <v>877</v>
      </c>
    </row>
    <row r="4092" ht="15.75" customHeight="1">
      <c r="A4092" s="197" t="s">
        <v>84</v>
      </c>
      <c r="B4092" s="197" t="s">
        <v>22</v>
      </c>
      <c r="C4092" s="198" t="s">
        <v>649</v>
      </c>
      <c r="D4092" s="197" t="s">
        <v>650</v>
      </c>
      <c r="E4092" s="199">
        <v>5.0</v>
      </c>
      <c r="F4092" s="200">
        <v>45910.58333333333</v>
      </c>
      <c r="G4092" s="197" t="s">
        <v>845</v>
      </c>
      <c r="H4092" s="197" t="s">
        <v>877</v>
      </c>
    </row>
    <row r="4093" ht="15.75" customHeight="1">
      <c r="A4093" s="197" t="s">
        <v>84</v>
      </c>
      <c r="B4093" s="197" t="s">
        <v>22</v>
      </c>
      <c r="C4093" s="198" t="s">
        <v>649</v>
      </c>
      <c r="D4093" s="197" t="s">
        <v>650</v>
      </c>
      <c r="E4093" s="199">
        <v>6.0</v>
      </c>
      <c r="F4093" s="200">
        <v>45917.54166666667</v>
      </c>
      <c r="G4093" s="197" t="s">
        <v>845</v>
      </c>
      <c r="H4093" s="197" t="s">
        <v>877</v>
      </c>
    </row>
    <row r="4094" ht="15.75" customHeight="1">
      <c r="A4094" s="197" t="s">
        <v>84</v>
      </c>
      <c r="B4094" s="197" t="s">
        <v>22</v>
      </c>
      <c r="C4094" s="198" t="s">
        <v>649</v>
      </c>
      <c r="D4094" s="197" t="s">
        <v>650</v>
      </c>
      <c r="E4094" s="199">
        <v>7.0</v>
      </c>
      <c r="F4094" s="200">
        <v>45924.58333333333</v>
      </c>
      <c r="G4094" s="197" t="s">
        <v>845</v>
      </c>
      <c r="H4094" s="197" t="s">
        <v>877</v>
      </c>
    </row>
    <row r="4095" ht="15.75" customHeight="1">
      <c r="A4095" s="197" t="s">
        <v>84</v>
      </c>
      <c r="B4095" s="197" t="s">
        <v>22</v>
      </c>
      <c r="C4095" s="198" t="s">
        <v>649</v>
      </c>
      <c r="D4095" s="197" t="s">
        <v>650</v>
      </c>
      <c r="E4095" s="199">
        <v>8.0</v>
      </c>
      <c r="F4095" s="200">
        <v>45940.58333333333</v>
      </c>
      <c r="G4095" s="197" t="s">
        <v>845</v>
      </c>
      <c r="H4095" s="197" t="s">
        <v>877</v>
      </c>
    </row>
    <row r="4096" ht="15.75" customHeight="1">
      <c r="A4096" s="197" t="s">
        <v>84</v>
      </c>
      <c r="B4096" s="197" t="s">
        <v>22</v>
      </c>
      <c r="C4096" s="198" t="s">
        <v>649</v>
      </c>
      <c r="D4096" s="197" t="s">
        <v>650</v>
      </c>
      <c r="E4096" s="199">
        <v>9.0</v>
      </c>
      <c r="F4096" s="200">
        <v>45943.58333333333</v>
      </c>
      <c r="G4096" s="197" t="s">
        <v>845</v>
      </c>
      <c r="H4096" s="197" t="s">
        <v>877</v>
      </c>
    </row>
    <row r="4097" ht="15.75" customHeight="1">
      <c r="A4097" s="197" t="s">
        <v>84</v>
      </c>
      <c r="B4097" s="197" t="s">
        <v>22</v>
      </c>
      <c r="C4097" s="198" t="s">
        <v>649</v>
      </c>
      <c r="D4097" s="197" t="s">
        <v>650</v>
      </c>
      <c r="E4097" s="199">
        <v>10.0</v>
      </c>
      <c r="F4097" s="200">
        <v>45954.54166666667</v>
      </c>
      <c r="G4097" s="197" t="s">
        <v>845</v>
      </c>
      <c r="H4097" s="197" t="s">
        <v>877</v>
      </c>
    </row>
    <row r="4098" ht="15.75" customHeight="1">
      <c r="A4098" s="197" t="s">
        <v>84</v>
      </c>
      <c r="B4098" s="197" t="s">
        <v>22</v>
      </c>
      <c r="C4098" s="198" t="s">
        <v>649</v>
      </c>
      <c r="D4098" s="197" t="s">
        <v>650</v>
      </c>
      <c r="E4098" s="199">
        <v>11.0</v>
      </c>
      <c r="F4098" s="200">
        <v>45961.54166666667</v>
      </c>
      <c r="G4098" s="197" t="s">
        <v>845</v>
      </c>
      <c r="H4098" s="197" t="s">
        <v>877</v>
      </c>
    </row>
    <row r="4099" ht="15.75" customHeight="1">
      <c r="A4099" s="197" t="s">
        <v>84</v>
      </c>
      <c r="B4099" s="197" t="s">
        <v>22</v>
      </c>
      <c r="C4099" s="198" t="s">
        <v>649</v>
      </c>
      <c r="D4099" s="197" t="s">
        <v>650</v>
      </c>
      <c r="E4099" s="199">
        <v>12.0</v>
      </c>
      <c r="F4099" s="200">
        <v>45965.54166666667</v>
      </c>
      <c r="G4099" s="197" t="s">
        <v>845</v>
      </c>
      <c r="H4099" s="197" t="s">
        <v>877</v>
      </c>
    </row>
    <row r="4100" ht="15.75" customHeight="1">
      <c r="A4100" s="197" t="s">
        <v>84</v>
      </c>
      <c r="B4100" s="197" t="s">
        <v>22</v>
      </c>
      <c r="C4100" s="198" t="s">
        <v>649</v>
      </c>
      <c r="D4100" s="197" t="s">
        <v>650</v>
      </c>
      <c r="E4100" s="199">
        <v>13.0</v>
      </c>
      <c r="F4100" s="200">
        <v>45974.54166666667</v>
      </c>
      <c r="G4100" s="197" t="s">
        <v>845</v>
      </c>
      <c r="H4100" s="197" t="s">
        <v>877</v>
      </c>
    </row>
    <row r="4101" ht="15.75" customHeight="1">
      <c r="A4101" s="197" t="s">
        <v>84</v>
      </c>
      <c r="B4101" s="197" t="s">
        <v>22</v>
      </c>
      <c r="C4101" s="198" t="s">
        <v>649</v>
      </c>
      <c r="D4101" s="197" t="s">
        <v>650</v>
      </c>
      <c r="E4101" s="199">
        <v>14.0</v>
      </c>
      <c r="F4101" s="200">
        <v>45980.54166666667</v>
      </c>
      <c r="G4101" s="197" t="s">
        <v>845</v>
      </c>
      <c r="H4101" s="197" t="s">
        <v>877</v>
      </c>
    </row>
    <row r="4102" ht="15.75" customHeight="1">
      <c r="A4102" s="197" t="s">
        <v>84</v>
      </c>
      <c r="B4102" s="197" t="s">
        <v>22</v>
      </c>
      <c r="C4102" s="198" t="s">
        <v>649</v>
      </c>
      <c r="D4102" s="197" t="s">
        <v>650</v>
      </c>
      <c r="E4102" s="199">
        <v>15.0</v>
      </c>
      <c r="F4102" s="200">
        <v>45987.54166666667</v>
      </c>
      <c r="G4102" s="197" t="s">
        <v>845</v>
      </c>
      <c r="H4102" s="197" t="s">
        <v>877</v>
      </c>
    </row>
    <row r="4103" ht="15.75" customHeight="1">
      <c r="A4103" s="197" t="s">
        <v>84</v>
      </c>
      <c r="B4103" s="197" t="s">
        <v>22</v>
      </c>
      <c r="C4103" s="198" t="s">
        <v>649</v>
      </c>
      <c r="D4103" s="197" t="s">
        <v>650</v>
      </c>
      <c r="E4103" s="199">
        <v>16.0</v>
      </c>
      <c r="F4103" s="200">
        <v>46045.54166666667</v>
      </c>
      <c r="G4103" s="197" t="s">
        <v>845</v>
      </c>
      <c r="H4103" s="197" t="s">
        <v>877</v>
      </c>
    </row>
    <row r="4104" ht="15.75" customHeight="1">
      <c r="A4104" s="197" t="s">
        <v>85</v>
      </c>
      <c r="B4104" s="197" t="s">
        <v>24</v>
      </c>
      <c r="C4104" s="198" t="s">
        <v>136</v>
      </c>
      <c r="D4104" s="197" t="s">
        <v>137</v>
      </c>
      <c r="E4104" s="199">
        <v>1.0</v>
      </c>
      <c r="F4104" s="200">
        <v>46086.45833333333</v>
      </c>
      <c r="G4104" s="197" t="s">
        <v>845</v>
      </c>
      <c r="H4104" s="197" t="s">
        <v>878</v>
      </c>
    </row>
    <row r="4105" ht="15.75" customHeight="1">
      <c r="A4105" s="197" t="s">
        <v>85</v>
      </c>
      <c r="B4105" s="197" t="s">
        <v>24</v>
      </c>
      <c r="C4105" s="198" t="s">
        <v>136</v>
      </c>
      <c r="D4105" s="197" t="s">
        <v>137</v>
      </c>
      <c r="E4105" s="199">
        <v>2.0</v>
      </c>
      <c r="F4105" s="200">
        <v>46098.45833333333</v>
      </c>
      <c r="G4105" s="197" t="s">
        <v>843</v>
      </c>
      <c r="H4105" s="197" t="s">
        <v>878</v>
      </c>
    </row>
    <row r="4106" ht="15.75" customHeight="1">
      <c r="A4106" s="197" t="s">
        <v>85</v>
      </c>
      <c r="B4106" s="197" t="s">
        <v>24</v>
      </c>
      <c r="C4106" s="198" t="s">
        <v>136</v>
      </c>
      <c r="D4106" s="197" t="s">
        <v>137</v>
      </c>
      <c r="E4106" s="199">
        <v>3.0</v>
      </c>
      <c r="F4106" s="200">
        <v>46105.45833333333</v>
      </c>
      <c r="G4106" s="197" t="s">
        <v>843</v>
      </c>
      <c r="H4106" s="197" t="s">
        <v>878</v>
      </c>
    </row>
    <row r="4107" ht="15.75" customHeight="1">
      <c r="A4107" s="197" t="s">
        <v>85</v>
      </c>
      <c r="B4107" s="197" t="s">
        <v>24</v>
      </c>
      <c r="C4107" s="198" t="s">
        <v>136</v>
      </c>
      <c r="D4107" s="197" t="s">
        <v>137</v>
      </c>
      <c r="E4107" s="199">
        <v>4.0</v>
      </c>
      <c r="F4107" s="200">
        <v>46113.625</v>
      </c>
      <c r="G4107" s="197" t="s">
        <v>843</v>
      </c>
      <c r="H4107" s="197" t="s">
        <v>878</v>
      </c>
    </row>
    <row r="4108" ht="15.75" customHeight="1">
      <c r="A4108" s="197" t="s">
        <v>85</v>
      </c>
      <c r="B4108" s="197" t="s">
        <v>24</v>
      </c>
      <c r="C4108" s="198" t="s">
        <v>136</v>
      </c>
      <c r="D4108" s="197" t="s">
        <v>137</v>
      </c>
      <c r="E4108" s="199">
        <v>5.0</v>
      </c>
      <c r="F4108" s="200">
        <v>46120.625</v>
      </c>
      <c r="G4108" s="197" t="s">
        <v>843</v>
      </c>
      <c r="H4108" s="197" t="s">
        <v>878</v>
      </c>
    </row>
    <row r="4109" ht="15.75" customHeight="1">
      <c r="A4109" s="197" t="s">
        <v>85</v>
      </c>
      <c r="B4109" s="197" t="s">
        <v>24</v>
      </c>
      <c r="C4109" s="198" t="s">
        <v>136</v>
      </c>
      <c r="D4109" s="197" t="s">
        <v>137</v>
      </c>
      <c r="E4109" s="199">
        <v>6.0</v>
      </c>
      <c r="F4109" s="200">
        <v>46127.625</v>
      </c>
      <c r="G4109" s="197" t="s">
        <v>843</v>
      </c>
      <c r="H4109" s="197" t="s">
        <v>878</v>
      </c>
    </row>
    <row r="4110" ht="15.75" customHeight="1">
      <c r="A4110" s="197" t="s">
        <v>85</v>
      </c>
      <c r="B4110" s="197" t="s">
        <v>21</v>
      </c>
      <c r="C4110" s="198" t="s">
        <v>136</v>
      </c>
      <c r="D4110" s="197" t="s">
        <v>137</v>
      </c>
      <c r="E4110" s="199">
        <v>1.0</v>
      </c>
      <c r="F4110" s="200">
        <v>45772.58333333333</v>
      </c>
      <c r="G4110" s="197" t="s">
        <v>845</v>
      </c>
      <c r="H4110" s="197" t="s">
        <v>878</v>
      </c>
    </row>
    <row r="4111" ht="15.75" customHeight="1">
      <c r="A4111" s="197" t="s">
        <v>85</v>
      </c>
      <c r="B4111" s="197" t="s">
        <v>21</v>
      </c>
      <c r="C4111" s="198" t="s">
        <v>136</v>
      </c>
      <c r="D4111" s="197" t="s">
        <v>137</v>
      </c>
      <c r="E4111" s="199">
        <v>2.0</v>
      </c>
      <c r="F4111" s="200">
        <v>45783.58333333333</v>
      </c>
      <c r="G4111" s="197" t="s">
        <v>845</v>
      </c>
      <c r="H4111" s="197" t="s">
        <v>878</v>
      </c>
    </row>
    <row r="4112" ht="15.75" customHeight="1">
      <c r="A4112" s="197" t="s">
        <v>85</v>
      </c>
      <c r="B4112" s="197" t="s">
        <v>21</v>
      </c>
      <c r="C4112" s="198" t="s">
        <v>136</v>
      </c>
      <c r="D4112" s="197" t="s">
        <v>137</v>
      </c>
      <c r="E4112" s="199">
        <v>3.0</v>
      </c>
      <c r="F4112" s="200">
        <v>45790.375</v>
      </c>
      <c r="G4112" s="197" t="s">
        <v>845</v>
      </c>
      <c r="H4112" s="197" t="s">
        <v>878</v>
      </c>
    </row>
    <row r="4113" ht="15.75" customHeight="1">
      <c r="A4113" s="197" t="s">
        <v>85</v>
      </c>
      <c r="B4113" s="197" t="s">
        <v>21</v>
      </c>
      <c r="C4113" s="198" t="s">
        <v>136</v>
      </c>
      <c r="D4113" s="197" t="s">
        <v>137</v>
      </c>
      <c r="E4113" s="199">
        <v>4.0</v>
      </c>
      <c r="F4113" s="200">
        <v>45804.45833333333</v>
      </c>
      <c r="G4113" s="197" t="s">
        <v>845</v>
      </c>
      <c r="H4113" s="197" t="s">
        <v>878</v>
      </c>
    </row>
    <row r="4114" ht="15.75" customHeight="1">
      <c r="A4114" s="197" t="s">
        <v>85</v>
      </c>
      <c r="B4114" s="197" t="s">
        <v>21</v>
      </c>
      <c r="C4114" s="198" t="s">
        <v>136</v>
      </c>
      <c r="D4114" s="197" t="s">
        <v>137</v>
      </c>
      <c r="E4114" s="199">
        <v>5.0</v>
      </c>
      <c r="F4114" s="200">
        <v>45812.54166666667</v>
      </c>
      <c r="G4114" s="197" t="s">
        <v>843</v>
      </c>
      <c r="H4114" s="197" t="s">
        <v>878</v>
      </c>
    </row>
    <row r="4115" ht="15.75" customHeight="1">
      <c r="A4115" s="197" t="s">
        <v>85</v>
      </c>
      <c r="B4115" s="197" t="s">
        <v>21</v>
      </c>
      <c r="C4115" s="198" t="s">
        <v>136</v>
      </c>
      <c r="D4115" s="197" t="s">
        <v>137</v>
      </c>
      <c r="E4115" s="199">
        <v>6.0</v>
      </c>
      <c r="F4115" s="200">
        <v>45820.54166666667</v>
      </c>
      <c r="G4115" s="197" t="s">
        <v>845</v>
      </c>
      <c r="H4115" s="197" t="s">
        <v>878</v>
      </c>
    </row>
    <row r="4116" ht="15.75" customHeight="1">
      <c r="A4116" s="197" t="s">
        <v>85</v>
      </c>
      <c r="B4116" s="197" t="s">
        <v>21</v>
      </c>
      <c r="C4116" s="198" t="s">
        <v>136</v>
      </c>
      <c r="D4116" s="197" t="s">
        <v>137</v>
      </c>
      <c r="E4116" s="199">
        <v>7.0</v>
      </c>
      <c r="F4116" s="200">
        <v>45826.45833333333</v>
      </c>
      <c r="G4116" s="197" t="s">
        <v>845</v>
      </c>
      <c r="H4116" s="197" t="s">
        <v>878</v>
      </c>
    </row>
    <row r="4117" ht="15.75" customHeight="1">
      <c r="A4117" s="197" t="s">
        <v>85</v>
      </c>
      <c r="B4117" s="197" t="s">
        <v>21</v>
      </c>
      <c r="C4117" s="198" t="s">
        <v>136</v>
      </c>
      <c r="D4117" s="197" t="s">
        <v>137</v>
      </c>
      <c r="E4117" s="199">
        <v>8.0</v>
      </c>
      <c r="F4117" s="200">
        <v>45833.58333333333</v>
      </c>
      <c r="G4117" s="197" t="s">
        <v>845</v>
      </c>
      <c r="H4117" s="197" t="s">
        <v>878</v>
      </c>
    </row>
    <row r="4118" ht="15.75" customHeight="1">
      <c r="A4118" s="197" t="s">
        <v>85</v>
      </c>
      <c r="B4118" s="197" t="s">
        <v>21</v>
      </c>
      <c r="C4118" s="198" t="s">
        <v>136</v>
      </c>
      <c r="D4118" s="197" t="s">
        <v>137</v>
      </c>
      <c r="E4118" s="199">
        <v>9.0</v>
      </c>
      <c r="F4118" s="200">
        <v>45839.54166666667</v>
      </c>
      <c r="G4118" s="197" t="s">
        <v>845</v>
      </c>
      <c r="H4118" s="197" t="s">
        <v>878</v>
      </c>
    </row>
    <row r="4119" ht="15.75" customHeight="1">
      <c r="A4119" s="197" t="s">
        <v>85</v>
      </c>
      <c r="B4119" s="197" t="s">
        <v>21</v>
      </c>
      <c r="C4119" s="198" t="s">
        <v>136</v>
      </c>
      <c r="D4119" s="197" t="s">
        <v>137</v>
      </c>
      <c r="E4119" s="199">
        <v>10.0</v>
      </c>
      <c r="F4119" s="200">
        <v>45868.54166666667</v>
      </c>
      <c r="G4119" s="197" t="s">
        <v>845</v>
      </c>
      <c r="H4119" s="197" t="s">
        <v>878</v>
      </c>
    </row>
    <row r="4120" ht="15.75" customHeight="1">
      <c r="A4120" s="197" t="s">
        <v>85</v>
      </c>
      <c r="B4120" s="197" t="s">
        <v>22</v>
      </c>
      <c r="C4120" s="198" t="s">
        <v>136</v>
      </c>
      <c r="D4120" s="197" t="s">
        <v>137</v>
      </c>
      <c r="E4120" s="199">
        <v>1.0</v>
      </c>
      <c r="F4120" s="200">
        <v>45910.54166666667</v>
      </c>
      <c r="G4120" s="197" t="s">
        <v>845</v>
      </c>
      <c r="H4120" s="197" t="s">
        <v>878</v>
      </c>
    </row>
    <row r="4121" ht="15.75" customHeight="1">
      <c r="A4121" s="197" t="s">
        <v>85</v>
      </c>
      <c r="B4121" s="197" t="s">
        <v>22</v>
      </c>
      <c r="C4121" s="198" t="s">
        <v>136</v>
      </c>
      <c r="D4121" s="197" t="s">
        <v>137</v>
      </c>
      <c r="E4121" s="199">
        <v>2.0</v>
      </c>
      <c r="F4121" s="200">
        <v>45916.54166666667</v>
      </c>
      <c r="G4121" s="197" t="s">
        <v>845</v>
      </c>
      <c r="H4121" s="197" t="s">
        <v>878</v>
      </c>
    </row>
    <row r="4122" ht="15.75" customHeight="1">
      <c r="A4122" s="197" t="s">
        <v>85</v>
      </c>
      <c r="B4122" s="197" t="s">
        <v>22</v>
      </c>
      <c r="C4122" s="198" t="s">
        <v>136</v>
      </c>
      <c r="D4122" s="197" t="s">
        <v>137</v>
      </c>
      <c r="E4122" s="199">
        <v>3.0</v>
      </c>
      <c r="F4122" s="200">
        <v>45924.54166666667</v>
      </c>
      <c r="G4122" s="197" t="s">
        <v>845</v>
      </c>
      <c r="H4122" s="197" t="s">
        <v>878</v>
      </c>
    </row>
    <row r="4123" ht="15.75" customHeight="1">
      <c r="A4123" s="197" t="s">
        <v>85</v>
      </c>
      <c r="B4123" s="197" t="s">
        <v>22</v>
      </c>
      <c r="C4123" s="198" t="s">
        <v>136</v>
      </c>
      <c r="D4123" s="197" t="s">
        <v>137</v>
      </c>
      <c r="E4123" s="199">
        <v>4.0</v>
      </c>
      <c r="F4123" s="200">
        <v>45931.54166666667</v>
      </c>
      <c r="G4123" s="197" t="s">
        <v>845</v>
      </c>
      <c r="H4123" s="197" t="s">
        <v>878</v>
      </c>
    </row>
    <row r="4124" ht="15.75" customHeight="1">
      <c r="A4124" s="197" t="s">
        <v>85</v>
      </c>
      <c r="B4124" s="197" t="s">
        <v>22</v>
      </c>
      <c r="C4124" s="198" t="s">
        <v>136</v>
      </c>
      <c r="D4124" s="197" t="s">
        <v>137</v>
      </c>
      <c r="E4124" s="199">
        <v>5.0</v>
      </c>
      <c r="F4124" s="200">
        <v>45938.41666666667</v>
      </c>
      <c r="G4124" s="197" t="s">
        <v>845</v>
      </c>
      <c r="H4124" s="197" t="s">
        <v>878</v>
      </c>
    </row>
    <row r="4125" ht="15.75" customHeight="1">
      <c r="A4125" s="197" t="s">
        <v>85</v>
      </c>
      <c r="B4125" s="197" t="s">
        <v>22</v>
      </c>
      <c r="C4125" s="198" t="s">
        <v>136</v>
      </c>
      <c r="D4125" s="197" t="s">
        <v>137</v>
      </c>
      <c r="E4125" s="199">
        <v>6.0</v>
      </c>
      <c r="F4125" s="200">
        <v>45951.41666666667</v>
      </c>
      <c r="G4125" s="197" t="s">
        <v>843</v>
      </c>
      <c r="H4125" s="197" t="s">
        <v>878</v>
      </c>
    </row>
    <row r="4126" ht="15.75" customHeight="1">
      <c r="A4126" s="197" t="s">
        <v>85</v>
      </c>
      <c r="B4126" s="197" t="s">
        <v>22</v>
      </c>
      <c r="C4126" s="198" t="s">
        <v>136</v>
      </c>
      <c r="D4126" s="197" t="s">
        <v>137</v>
      </c>
      <c r="E4126" s="199">
        <v>7.0</v>
      </c>
      <c r="F4126" s="200">
        <v>45952.41666666667</v>
      </c>
      <c r="G4126" s="197" t="s">
        <v>845</v>
      </c>
      <c r="H4126" s="197" t="s">
        <v>878</v>
      </c>
    </row>
    <row r="4127" ht="15.75" customHeight="1">
      <c r="A4127" s="197" t="s">
        <v>85</v>
      </c>
      <c r="B4127" s="197" t="s">
        <v>22</v>
      </c>
      <c r="C4127" s="198" t="s">
        <v>136</v>
      </c>
      <c r="D4127" s="197" t="s">
        <v>137</v>
      </c>
      <c r="E4127" s="199">
        <v>8.0</v>
      </c>
      <c r="F4127" s="200">
        <v>45959.45833333333</v>
      </c>
      <c r="G4127" s="197" t="s">
        <v>845</v>
      </c>
      <c r="H4127" s="197" t="s">
        <v>878</v>
      </c>
    </row>
    <row r="4128" ht="15.75" customHeight="1">
      <c r="A4128" s="197" t="s">
        <v>85</v>
      </c>
      <c r="B4128" s="197" t="s">
        <v>22</v>
      </c>
      <c r="C4128" s="198" t="s">
        <v>136</v>
      </c>
      <c r="D4128" s="197" t="s">
        <v>137</v>
      </c>
      <c r="E4128" s="199">
        <v>9.0</v>
      </c>
      <c r="F4128" s="200">
        <v>45967.45833333333</v>
      </c>
      <c r="G4128" s="197" t="s">
        <v>845</v>
      </c>
      <c r="H4128" s="197" t="s">
        <v>878</v>
      </c>
    </row>
    <row r="4129" ht="15.75" customHeight="1">
      <c r="A4129" s="197" t="s">
        <v>85</v>
      </c>
      <c r="B4129" s="197" t="s">
        <v>22</v>
      </c>
      <c r="C4129" s="198" t="s">
        <v>136</v>
      </c>
      <c r="D4129" s="197" t="s">
        <v>137</v>
      </c>
      <c r="E4129" s="199">
        <v>10.0</v>
      </c>
      <c r="F4129" s="200">
        <v>45974.45833333333</v>
      </c>
      <c r="G4129" s="197" t="s">
        <v>843</v>
      </c>
      <c r="H4129" s="197" t="s">
        <v>878</v>
      </c>
    </row>
    <row r="4130" ht="15.75" customHeight="1">
      <c r="A4130" s="197" t="s">
        <v>85</v>
      </c>
      <c r="B4130" s="197" t="s">
        <v>22</v>
      </c>
      <c r="C4130" s="198" t="s">
        <v>136</v>
      </c>
      <c r="D4130" s="197" t="s">
        <v>137</v>
      </c>
      <c r="E4130" s="199">
        <v>11.0</v>
      </c>
      <c r="F4130" s="200">
        <v>45981.45833333333</v>
      </c>
      <c r="G4130" s="197" t="s">
        <v>845</v>
      </c>
      <c r="H4130" s="197" t="s">
        <v>878</v>
      </c>
    </row>
    <row r="4131" ht="15.75" customHeight="1">
      <c r="A4131" s="197" t="s">
        <v>85</v>
      </c>
      <c r="B4131" s="197" t="s">
        <v>22</v>
      </c>
      <c r="C4131" s="198" t="s">
        <v>136</v>
      </c>
      <c r="D4131" s="197" t="s">
        <v>137</v>
      </c>
      <c r="E4131" s="199">
        <v>12.0</v>
      </c>
      <c r="F4131" s="200">
        <v>45988.45833333333</v>
      </c>
      <c r="G4131" s="197" t="s">
        <v>845</v>
      </c>
      <c r="H4131" s="197" t="s">
        <v>878</v>
      </c>
    </row>
    <row r="4132" ht="15.75" customHeight="1">
      <c r="A4132" s="197" t="s">
        <v>85</v>
      </c>
      <c r="B4132" s="197" t="s">
        <v>22</v>
      </c>
      <c r="C4132" s="198" t="s">
        <v>136</v>
      </c>
      <c r="D4132" s="197" t="s">
        <v>137</v>
      </c>
      <c r="E4132" s="199">
        <v>13.0</v>
      </c>
      <c r="F4132" s="200">
        <v>45995.45833333333</v>
      </c>
      <c r="G4132" s="197" t="s">
        <v>845</v>
      </c>
      <c r="H4132" s="197" t="s">
        <v>878</v>
      </c>
    </row>
    <row r="4133" ht="15.75" customHeight="1">
      <c r="A4133" s="197" t="s">
        <v>85</v>
      </c>
      <c r="B4133" s="197" t="s">
        <v>22</v>
      </c>
      <c r="C4133" s="198" t="s">
        <v>136</v>
      </c>
      <c r="D4133" s="197" t="s">
        <v>137</v>
      </c>
      <c r="E4133" s="199">
        <v>14.0</v>
      </c>
      <c r="F4133" s="200">
        <v>46007.54166666667</v>
      </c>
      <c r="G4133" s="197" t="s">
        <v>845</v>
      </c>
      <c r="H4133" s="197" t="s">
        <v>878</v>
      </c>
    </row>
    <row r="4134" ht="15.75" customHeight="1">
      <c r="A4134" s="197" t="s">
        <v>85</v>
      </c>
      <c r="B4134" s="197" t="s">
        <v>22</v>
      </c>
      <c r="C4134" s="198" t="s">
        <v>136</v>
      </c>
      <c r="D4134" s="197" t="s">
        <v>137</v>
      </c>
      <c r="E4134" s="199">
        <v>15.0</v>
      </c>
      <c r="F4134" s="200">
        <v>46021.45833333333</v>
      </c>
      <c r="G4134" s="197" t="s">
        <v>843</v>
      </c>
      <c r="H4134" s="197" t="s">
        <v>878</v>
      </c>
    </row>
    <row r="4135" ht="15.75" customHeight="1">
      <c r="A4135" s="197" t="s">
        <v>85</v>
      </c>
      <c r="B4135" s="197" t="s">
        <v>22</v>
      </c>
      <c r="C4135" s="198" t="s">
        <v>136</v>
      </c>
      <c r="D4135" s="197" t="s">
        <v>137</v>
      </c>
      <c r="E4135" s="199">
        <v>16.0</v>
      </c>
      <c r="F4135" s="200">
        <v>46051.41666666667</v>
      </c>
      <c r="G4135" s="197" t="s">
        <v>845</v>
      </c>
      <c r="H4135" s="197" t="s">
        <v>878</v>
      </c>
    </row>
    <row r="4136" ht="15.75" customHeight="1">
      <c r="A4136" s="197" t="s">
        <v>85</v>
      </c>
      <c r="B4136" s="197" t="s">
        <v>21</v>
      </c>
      <c r="C4136" s="198" t="s">
        <v>165</v>
      </c>
      <c r="D4136" s="197" t="s">
        <v>166</v>
      </c>
      <c r="E4136" s="199">
        <v>1.0</v>
      </c>
      <c r="F4136" s="200">
        <v>45764.45833333333</v>
      </c>
      <c r="G4136" s="197" t="s">
        <v>845</v>
      </c>
      <c r="H4136" s="197" t="s">
        <v>878</v>
      </c>
    </row>
    <row r="4137" ht="15.75" customHeight="1">
      <c r="A4137" s="197" t="s">
        <v>85</v>
      </c>
      <c r="B4137" s="197" t="s">
        <v>21</v>
      </c>
      <c r="C4137" s="198" t="s">
        <v>165</v>
      </c>
      <c r="D4137" s="197" t="s">
        <v>166</v>
      </c>
      <c r="E4137" s="199">
        <v>2.0</v>
      </c>
      <c r="F4137" s="200">
        <v>45783.58333333333</v>
      </c>
      <c r="G4137" s="197" t="s">
        <v>845</v>
      </c>
      <c r="H4137" s="197" t="s">
        <v>878</v>
      </c>
    </row>
    <row r="4138" ht="15.75" customHeight="1">
      <c r="A4138" s="197" t="s">
        <v>85</v>
      </c>
      <c r="B4138" s="197" t="s">
        <v>21</v>
      </c>
      <c r="C4138" s="198" t="s">
        <v>165</v>
      </c>
      <c r="D4138" s="197" t="s">
        <v>166</v>
      </c>
      <c r="E4138" s="199">
        <v>3.0</v>
      </c>
      <c r="F4138" s="200">
        <v>45790.375</v>
      </c>
      <c r="G4138" s="197" t="s">
        <v>845</v>
      </c>
      <c r="H4138" s="197" t="s">
        <v>878</v>
      </c>
    </row>
    <row r="4139" ht="15.75" customHeight="1">
      <c r="A4139" s="197" t="s">
        <v>85</v>
      </c>
      <c r="B4139" s="197" t="s">
        <v>21</v>
      </c>
      <c r="C4139" s="198" t="s">
        <v>165</v>
      </c>
      <c r="D4139" s="197" t="s">
        <v>166</v>
      </c>
      <c r="E4139" s="199">
        <v>4.0</v>
      </c>
      <c r="F4139" s="200">
        <v>45804.45833333333</v>
      </c>
      <c r="G4139" s="197" t="s">
        <v>845</v>
      </c>
      <c r="H4139" s="197" t="s">
        <v>878</v>
      </c>
    </row>
    <row r="4140" ht="15.75" customHeight="1">
      <c r="A4140" s="197" t="s">
        <v>85</v>
      </c>
      <c r="B4140" s="197" t="s">
        <v>21</v>
      </c>
      <c r="C4140" s="198" t="s">
        <v>165</v>
      </c>
      <c r="D4140" s="197" t="s">
        <v>166</v>
      </c>
      <c r="E4140" s="199">
        <v>5.0</v>
      </c>
      <c r="F4140" s="200">
        <v>45812.54166666667</v>
      </c>
      <c r="G4140" s="197" t="s">
        <v>845</v>
      </c>
      <c r="H4140" s="197" t="s">
        <v>878</v>
      </c>
    </row>
    <row r="4141" ht="15.75" customHeight="1">
      <c r="A4141" s="197" t="s">
        <v>85</v>
      </c>
      <c r="B4141" s="197" t="s">
        <v>21</v>
      </c>
      <c r="C4141" s="198" t="s">
        <v>165</v>
      </c>
      <c r="D4141" s="197" t="s">
        <v>166</v>
      </c>
      <c r="E4141" s="199">
        <v>6.0</v>
      </c>
      <c r="F4141" s="200">
        <v>45820.54166666667</v>
      </c>
      <c r="G4141" s="197" t="s">
        <v>845</v>
      </c>
      <c r="H4141" s="197" t="s">
        <v>878</v>
      </c>
    </row>
    <row r="4142" ht="15.75" customHeight="1">
      <c r="A4142" s="197" t="s">
        <v>85</v>
      </c>
      <c r="B4142" s="197" t="s">
        <v>21</v>
      </c>
      <c r="C4142" s="198" t="s">
        <v>165</v>
      </c>
      <c r="D4142" s="197" t="s">
        <v>166</v>
      </c>
      <c r="E4142" s="199">
        <v>7.0</v>
      </c>
      <c r="F4142" s="200">
        <v>45826.45833333333</v>
      </c>
      <c r="G4142" s="197" t="s">
        <v>845</v>
      </c>
      <c r="H4142" s="197" t="s">
        <v>878</v>
      </c>
    </row>
    <row r="4143" ht="15.75" customHeight="1">
      <c r="A4143" s="197" t="s">
        <v>85</v>
      </c>
      <c r="B4143" s="197" t="s">
        <v>21</v>
      </c>
      <c r="C4143" s="198" t="s">
        <v>165</v>
      </c>
      <c r="D4143" s="197" t="s">
        <v>166</v>
      </c>
      <c r="E4143" s="199">
        <v>8.0</v>
      </c>
      <c r="F4143" s="200">
        <v>45833.58333333333</v>
      </c>
      <c r="G4143" s="197" t="s">
        <v>845</v>
      </c>
      <c r="H4143" s="197" t="s">
        <v>878</v>
      </c>
    </row>
    <row r="4144" ht="15.75" customHeight="1">
      <c r="A4144" s="197" t="s">
        <v>85</v>
      </c>
      <c r="B4144" s="197" t="s">
        <v>21</v>
      </c>
      <c r="C4144" s="198" t="s">
        <v>165</v>
      </c>
      <c r="D4144" s="197" t="s">
        <v>166</v>
      </c>
      <c r="E4144" s="199">
        <v>9.0</v>
      </c>
      <c r="F4144" s="200">
        <v>45839.54166666667</v>
      </c>
      <c r="G4144" s="197" t="s">
        <v>845</v>
      </c>
      <c r="H4144" s="197" t="s">
        <v>878</v>
      </c>
    </row>
    <row r="4145" ht="15.75" customHeight="1">
      <c r="A4145" s="197" t="s">
        <v>85</v>
      </c>
      <c r="B4145" s="197" t="s">
        <v>21</v>
      </c>
      <c r="C4145" s="198" t="s">
        <v>165</v>
      </c>
      <c r="D4145" s="197" t="s">
        <v>166</v>
      </c>
      <c r="E4145" s="199">
        <v>10.0</v>
      </c>
      <c r="F4145" s="200">
        <v>45868.54166666667</v>
      </c>
      <c r="G4145" s="197" t="s">
        <v>845</v>
      </c>
      <c r="H4145" s="197" t="s">
        <v>878</v>
      </c>
    </row>
    <row r="4146" ht="15.75" customHeight="1">
      <c r="A4146" s="197" t="s">
        <v>85</v>
      </c>
      <c r="B4146" s="197" t="s">
        <v>22</v>
      </c>
      <c r="C4146" s="198" t="s">
        <v>165</v>
      </c>
      <c r="D4146" s="197" t="s">
        <v>166</v>
      </c>
      <c r="E4146" s="199">
        <v>1.0</v>
      </c>
      <c r="F4146" s="200">
        <v>45910.54166666667</v>
      </c>
      <c r="G4146" s="197" t="s">
        <v>845</v>
      </c>
      <c r="H4146" s="197" t="s">
        <v>878</v>
      </c>
    </row>
    <row r="4147" ht="15.75" customHeight="1">
      <c r="A4147" s="197" t="s">
        <v>85</v>
      </c>
      <c r="B4147" s="197" t="s">
        <v>22</v>
      </c>
      <c r="C4147" s="198" t="s">
        <v>165</v>
      </c>
      <c r="D4147" s="197" t="s">
        <v>166</v>
      </c>
      <c r="E4147" s="199">
        <v>2.0</v>
      </c>
      <c r="F4147" s="200">
        <v>45916.54166666667</v>
      </c>
      <c r="G4147" s="197" t="s">
        <v>845</v>
      </c>
      <c r="H4147" s="197" t="s">
        <v>878</v>
      </c>
    </row>
    <row r="4148" ht="15.75" customHeight="1">
      <c r="A4148" s="197" t="s">
        <v>85</v>
      </c>
      <c r="B4148" s="197" t="s">
        <v>22</v>
      </c>
      <c r="C4148" s="198" t="s">
        <v>165</v>
      </c>
      <c r="D4148" s="197" t="s">
        <v>166</v>
      </c>
      <c r="E4148" s="199">
        <v>3.0</v>
      </c>
      <c r="F4148" s="200">
        <v>45924.54166666667</v>
      </c>
      <c r="G4148" s="197" t="s">
        <v>845</v>
      </c>
      <c r="H4148" s="197" t="s">
        <v>878</v>
      </c>
    </row>
    <row r="4149" ht="15.75" customHeight="1">
      <c r="A4149" s="197" t="s">
        <v>85</v>
      </c>
      <c r="B4149" s="197" t="s">
        <v>22</v>
      </c>
      <c r="C4149" s="198" t="s">
        <v>165</v>
      </c>
      <c r="D4149" s="197" t="s">
        <v>166</v>
      </c>
      <c r="E4149" s="199">
        <v>4.0</v>
      </c>
      <c r="F4149" s="200">
        <v>45931.54166666667</v>
      </c>
      <c r="G4149" s="197" t="s">
        <v>845</v>
      </c>
      <c r="H4149" s="197" t="s">
        <v>878</v>
      </c>
    </row>
    <row r="4150" ht="15.75" customHeight="1">
      <c r="A4150" s="197" t="s">
        <v>85</v>
      </c>
      <c r="B4150" s="197" t="s">
        <v>22</v>
      </c>
      <c r="C4150" s="198" t="s">
        <v>165</v>
      </c>
      <c r="D4150" s="197" t="s">
        <v>166</v>
      </c>
      <c r="E4150" s="199">
        <v>5.0</v>
      </c>
      <c r="F4150" s="200">
        <v>45938.41666666667</v>
      </c>
      <c r="G4150" s="197" t="s">
        <v>845</v>
      </c>
      <c r="H4150" s="197" t="s">
        <v>878</v>
      </c>
    </row>
    <row r="4151" ht="15.75" customHeight="1">
      <c r="A4151" s="197" t="s">
        <v>85</v>
      </c>
      <c r="B4151" s="197" t="s">
        <v>22</v>
      </c>
      <c r="C4151" s="198" t="s">
        <v>165</v>
      </c>
      <c r="D4151" s="197" t="s">
        <v>166</v>
      </c>
      <c r="E4151" s="199">
        <v>6.0</v>
      </c>
      <c r="F4151" s="200">
        <v>45951.41666666667</v>
      </c>
      <c r="G4151" s="197" t="s">
        <v>845</v>
      </c>
      <c r="H4151" s="197" t="s">
        <v>878</v>
      </c>
    </row>
    <row r="4152" ht="15.75" customHeight="1">
      <c r="A4152" s="197" t="s">
        <v>85</v>
      </c>
      <c r="B4152" s="197" t="s">
        <v>22</v>
      </c>
      <c r="C4152" s="198" t="s">
        <v>165</v>
      </c>
      <c r="D4152" s="197" t="s">
        <v>166</v>
      </c>
      <c r="E4152" s="199">
        <v>7.0</v>
      </c>
      <c r="F4152" s="200">
        <v>45952.41666666667</v>
      </c>
      <c r="G4152" s="197" t="s">
        <v>845</v>
      </c>
      <c r="H4152" s="197" t="s">
        <v>878</v>
      </c>
    </row>
    <row r="4153" ht="15.75" customHeight="1">
      <c r="A4153" s="197" t="s">
        <v>85</v>
      </c>
      <c r="B4153" s="197" t="s">
        <v>22</v>
      </c>
      <c r="C4153" s="198" t="s">
        <v>165</v>
      </c>
      <c r="D4153" s="197" t="s">
        <v>166</v>
      </c>
      <c r="E4153" s="199">
        <v>8.0</v>
      </c>
      <c r="F4153" s="200">
        <v>45959.45833333333</v>
      </c>
      <c r="G4153" s="197" t="s">
        <v>845</v>
      </c>
      <c r="H4153" s="197" t="s">
        <v>878</v>
      </c>
    </row>
    <row r="4154" ht="15.75" customHeight="1">
      <c r="A4154" s="197" t="s">
        <v>85</v>
      </c>
      <c r="B4154" s="197" t="s">
        <v>22</v>
      </c>
      <c r="C4154" s="198" t="s">
        <v>165</v>
      </c>
      <c r="D4154" s="197" t="s">
        <v>166</v>
      </c>
      <c r="E4154" s="199">
        <v>9.0</v>
      </c>
      <c r="F4154" s="200">
        <v>45967.45833333333</v>
      </c>
      <c r="G4154" s="197" t="s">
        <v>845</v>
      </c>
      <c r="H4154" s="197" t="s">
        <v>878</v>
      </c>
    </row>
    <row r="4155" ht="15.75" customHeight="1">
      <c r="A4155" s="197" t="s">
        <v>85</v>
      </c>
      <c r="B4155" s="197" t="s">
        <v>22</v>
      </c>
      <c r="C4155" s="198" t="s">
        <v>165</v>
      </c>
      <c r="D4155" s="197" t="s">
        <v>166</v>
      </c>
      <c r="E4155" s="199">
        <v>10.0</v>
      </c>
      <c r="F4155" s="200">
        <v>45974.45833333333</v>
      </c>
      <c r="G4155" s="197" t="s">
        <v>843</v>
      </c>
      <c r="H4155" s="197" t="s">
        <v>878</v>
      </c>
    </row>
    <row r="4156" ht="15.75" customHeight="1">
      <c r="A4156" s="197" t="s">
        <v>85</v>
      </c>
      <c r="B4156" s="197" t="s">
        <v>22</v>
      </c>
      <c r="C4156" s="198" t="s">
        <v>165</v>
      </c>
      <c r="D4156" s="197" t="s">
        <v>166</v>
      </c>
      <c r="E4156" s="199">
        <v>13.0</v>
      </c>
      <c r="F4156" s="200">
        <v>45995.45833333333</v>
      </c>
      <c r="G4156" s="197" t="s">
        <v>843</v>
      </c>
      <c r="H4156" s="197" t="s">
        <v>878</v>
      </c>
    </row>
    <row r="4157" ht="15.75" customHeight="1">
      <c r="A4157" s="197" t="s">
        <v>85</v>
      </c>
      <c r="B4157" s="197" t="s">
        <v>22</v>
      </c>
      <c r="C4157" s="198" t="s">
        <v>165</v>
      </c>
      <c r="D4157" s="197" t="s">
        <v>166</v>
      </c>
      <c r="E4157" s="199">
        <v>14.0</v>
      </c>
      <c r="F4157" s="200">
        <v>46007.54166666667</v>
      </c>
      <c r="G4157" s="197" t="s">
        <v>843</v>
      </c>
      <c r="H4157" s="197" t="s">
        <v>878</v>
      </c>
    </row>
    <row r="4158" ht="15.75" customHeight="1">
      <c r="A4158" s="197" t="s">
        <v>85</v>
      </c>
      <c r="B4158" s="197" t="s">
        <v>22</v>
      </c>
      <c r="C4158" s="198" t="s">
        <v>165</v>
      </c>
      <c r="D4158" s="197" t="s">
        <v>166</v>
      </c>
      <c r="E4158" s="199">
        <v>15.0</v>
      </c>
      <c r="F4158" s="200">
        <v>46021.45833333333</v>
      </c>
      <c r="G4158" s="197" t="s">
        <v>843</v>
      </c>
      <c r="H4158" s="197" t="s">
        <v>878</v>
      </c>
    </row>
    <row r="4159" ht="15.75" customHeight="1">
      <c r="A4159" s="197" t="s">
        <v>85</v>
      </c>
      <c r="B4159" s="197" t="s">
        <v>22</v>
      </c>
      <c r="C4159" s="198" t="s">
        <v>165</v>
      </c>
      <c r="D4159" s="197" t="s">
        <v>166</v>
      </c>
      <c r="E4159" s="199">
        <v>16.0</v>
      </c>
      <c r="F4159" s="200">
        <v>46051.41666666667</v>
      </c>
      <c r="G4159" s="197" t="s">
        <v>843</v>
      </c>
      <c r="H4159" s="197" t="s">
        <v>878</v>
      </c>
    </row>
    <row r="4160" ht="15.75" customHeight="1">
      <c r="A4160" s="197" t="s">
        <v>85</v>
      </c>
      <c r="B4160" s="197" t="s">
        <v>24</v>
      </c>
      <c r="C4160" s="198" t="s">
        <v>208</v>
      </c>
      <c r="D4160" s="197" t="s">
        <v>209</v>
      </c>
      <c r="E4160" s="199">
        <v>3.0</v>
      </c>
      <c r="F4160" s="200">
        <v>46105.45833333333</v>
      </c>
      <c r="G4160" s="197" t="s">
        <v>843</v>
      </c>
      <c r="H4160" s="197" t="s">
        <v>878</v>
      </c>
    </row>
    <row r="4161" ht="15.75" customHeight="1">
      <c r="A4161" s="197" t="s">
        <v>85</v>
      </c>
      <c r="B4161" s="197" t="s">
        <v>24</v>
      </c>
      <c r="C4161" s="198" t="s">
        <v>208</v>
      </c>
      <c r="D4161" s="197" t="s">
        <v>209</v>
      </c>
      <c r="E4161" s="199">
        <v>4.0</v>
      </c>
      <c r="F4161" s="200">
        <v>46113.625</v>
      </c>
      <c r="G4161" s="197" t="s">
        <v>845</v>
      </c>
      <c r="H4161" s="197" t="s">
        <v>878</v>
      </c>
    </row>
    <row r="4162" ht="15.75" customHeight="1">
      <c r="A4162" s="197" t="s">
        <v>85</v>
      </c>
      <c r="B4162" s="197" t="s">
        <v>24</v>
      </c>
      <c r="C4162" s="198" t="s">
        <v>208</v>
      </c>
      <c r="D4162" s="197" t="s">
        <v>209</v>
      </c>
      <c r="E4162" s="199">
        <v>5.0</v>
      </c>
      <c r="F4162" s="200">
        <v>46120.625</v>
      </c>
      <c r="G4162" s="197" t="s">
        <v>845</v>
      </c>
      <c r="H4162" s="197" t="s">
        <v>878</v>
      </c>
    </row>
    <row r="4163" ht="15.75" customHeight="1">
      <c r="A4163" s="197" t="s">
        <v>85</v>
      </c>
      <c r="B4163" s="197" t="s">
        <v>24</v>
      </c>
      <c r="C4163" s="198" t="s">
        <v>208</v>
      </c>
      <c r="D4163" s="197" t="s">
        <v>209</v>
      </c>
      <c r="E4163" s="199">
        <v>6.0</v>
      </c>
      <c r="F4163" s="200">
        <v>46127.625</v>
      </c>
      <c r="G4163" s="197" t="s">
        <v>845</v>
      </c>
      <c r="H4163" s="197" t="s">
        <v>878</v>
      </c>
    </row>
    <row r="4164" ht="15.75" customHeight="1">
      <c r="A4164" s="197" t="s">
        <v>85</v>
      </c>
      <c r="B4164" s="197" t="s">
        <v>21</v>
      </c>
      <c r="C4164" s="198" t="s">
        <v>275</v>
      </c>
      <c r="D4164" s="197" t="s">
        <v>276</v>
      </c>
      <c r="E4164" s="199">
        <v>1.0</v>
      </c>
      <c r="F4164" s="200">
        <v>45764.45833333333</v>
      </c>
      <c r="G4164" s="197" t="s">
        <v>845</v>
      </c>
      <c r="H4164" s="197" t="s">
        <v>878</v>
      </c>
    </row>
    <row r="4165" ht="15.75" customHeight="1">
      <c r="A4165" s="197" t="s">
        <v>85</v>
      </c>
      <c r="B4165" s="197" t="s">
        <v>21</v>
      </c>
      <c r="C4165" s="198" t="s">
        <v>275</v>
      </c>
      <c r="D4165" s="197" t="s">
        <v>276</v>
      </c>
      <c r="E4165" s="199">
        <v>2.0</v>
      </c>
      <c r="F4165" s="200">
        <v>45783.58333333333</v>
      </c>
      <c r="G4165" s="197" t="s">
        <v>845</v>
      </c>
      <c r="H4165" s="197" t="s">
        <v>878</v>
      </c>
    </row>
    <row r="4166" ht="15.75" customHeight="1">
      <c r="A4166" s="197" t="s">
        <v>85</v>
      </c>
      <c r="B4166" s="197" t="s">
        <v>21</v>
      </c>
      <c r="C4166" s="198" t="s">
        <v>275</v>
      </c>
      <c r="D4166" s="197" t="s">
        <v>276</v>
      </c>
      <c r="E4166" s="199">
        <v>3.0</v>
      </c>
      <c r="F4166" s="200">
        <v>45790.375</v>
      </c>
      <c r="G4166" s="197" t="s">
        <v>845</v>
      </c>
      <c r="H4166" s="197" t="s">
        <v>878</v>
      </c>
    </row>
    <row r="4167" ht="15.75" customHeight="1">
      <c r="A4167" s="197" t="s">
        <v>85</v>
      </c>
      <c r="B4167" s="197" t="s">
        <v>21</v>
      </c>
      <c r="C4167" s="198" t="s">
        <v>275</v>
      </c>
      <c r="D4167" s="197" t="s">
        <v>276</v>
      </c>
      <c r="E4167" s="199">
        <v>4.0</v>
      </c>
      <c r="F4167" s="200">
        <v>45804.45833333333</v>
      </c>
      <c r="G4167" s="197" t="s">
        <v>845</v>
      </c>
      <c r="H4167" s="197" t="s">
        <v>878</v>
      </c>
    </row>
    <row r="4168" ht="15.75" customHeight="1">
      <c r="A4168" s="197" t="s">
        <v>85</v>
      </c>
      <c r="B4168" s="197" t="s">
        <v>21</v>
      </c>
      <c r="C4168" s="198" t="s">
        <v>275</v>
      </c>
      <c r="D4168" s="197" t="s">
        <v>276</v>
      </c>
      <c r="E4168" s="199">
        <v>5.0</v>
      </c>
      <c r="F4168" s="200">
        <v>45812.54166666667</v>
      </c>
      <c r="G4168" s="197" t="s">
        <v>845</v>
      </c>
      <c r="H4168" s="197" t="s">
        <v>878</v>
      </c>
    </row>
    <row r="4169" ht="15.75" customHeight="1">
      <c r="A4169" s="197" t="s">
        <v>85</v>
      </c>
      <c r="B4169" s="197" t="s">
        <v>21</v>
      </c>
      <c r="C4169" s="198" t="s">
        <v>275</v>
      </c>
      <c r="D4169" s="197" t="s">
        <v>276</v>
      </c>
      <c r="E4169" s="199">
        <v>6.0</v>
      </c>
      <c r="F4169" s="200">
        <v>45820.54166666667</v>
      </c>
      <c r="G4169" s="197" t="s">
        <v>845</v>
      </c>
      <c r="H4169" s="197" t="s">
        <v>878</v>
      </c>
    </row>
    <row r="4170" ht="15.75" customHeight="1">
      <c r="A4170" s="197" t="s">
        <v>85</v>
      </c>
      <c r="B4170" s="197" t="s">
        <v>21</v>
      </c>
      <c r="C4170" s="198" t="s">
        <v>275</v>
      </c>
      <c r="D4170" s="197" t="s">
        <v>276</v>
      </c>
      <c r="E4170" s="199">
        <v>7.0</v>
      </c>
      <c r="F4170" s="200">
        <v>45826.45833333333</v>
      </c>
      <c r="G4170" s="197" t="s">
        <v>845</v>
      </c>
      <c r="H4170" s="197" t="s">
        <v>878</v>
      </c>
    </row>
    <row r="4171" ht="15.75" customHeight="1">
      <c r="A4171" s="197" t="s">
        <v>85</v>
      </c>
      <c r="B4171" s="197" t="s">
        <v>21</v>
      </c>
      <c r="C4171" s="198" t="s">
        <v>275</v>
      </c>
      <c r="D4171" s="197" t="s">
        <v>276</v>
      </c>
      <c r="E4171" s="199">
        <v>8.0</v>
      </c>
      <c r="F4171" s="200">
        <v>45833.58333333333</v>
      </c>
      <c r="G4171" s="197" t="s">
        <v>845</v>
      </c>
      <c r="H4171" s="197" t="s">
        <v>878</v>
      </c>
    </row>
    <row r="4172" ht="15.75" customHeight="1">
      <c r="A4172" s="197" t="s">
        <v>85</v>
      </c>
      <c r="B4172" s="197" t="s">
        <v>21</v>
      </c>
      <c r="C4172" s="198" t="s">
        <v>275</v>
      </c>
      <c r="D4172" s="197" t="s">
        <v>276</v>
      </c>
      <c r="E4172" s="199">
        <v>9.0</v>
      </c>
      <c r="F4172" s="200">
        <v>45839.54166666667</v>
      </c>
      <c r="G4172" s="197" t="s">
        <v>845</v>
      </c>
      <c r="H4172" s="197" t="s">
        <v>878</v>
      </c>
    </row>
    <row r="4173" ht="15.75" customHeight="1">
      <c r="A4173" s="197" t="s">
        <v>85</v>
      </c>
      <c r="B4173" s="197" t="s">
        <v>21</v>
      </c>
      <c r="C4173" s="198" t="s">
        <v>275</v>
      </c>
      <c r="D4173" s="197" t="s">
        <v>276</v>
      </c>
      <c r="E4173" s="199">
        <v>10.0</v>
      </c>
      <c r="F4173" s="200">
        <v>45868.54166666667</v>
      </c>
      <c r="G4173" s="197" t="s">
        <v>845</v>
      </c>
      <c r="H4173" s="197" t="s">
        <v>878</v>
      </c>
    </row>
    <row r="4174" ht="15.75" customHeight="1">
      <c r="A4174" s="197" t="s">
        <v>85</v>
      </c>
      <c r="B4174" s="197" t="s">
        <v>22</v>
      </c>
      <c r="C4174" s="198" t="s">
        <v>275</v>
      </c>
      <c r="D4174" s="197" t="s">
        <v>276</v>
      </c>
      <c r="E4174" s="199">
        <v>1.0</v>
      </c>
      <c r="F4174" s="200">
        <v>45910.54166666667</v>
      </c>
      <c r="G4174" s="197" t="s">
        <v>843</v>
      </c>
      <c r="H4174" s="197" t="s">
        <v>878</v>
      </c>
    </row>
    <row r="4175" ht="15.75" customHeight="1">
      <c r="A4175" s="197" t="s">
        <v>85</v>
      </c>
      <c r="B4175" s="197" t="s">
        <v>22</v>
      </c>
      <c r="C4175" s="198" t="s">
        <v>275</v>
      </c>
      <c r="D4175" s="197" t="s">
        <v>276</v>
      </c>
      <c r="E4175" s="199">
        <v>2.0</v>
      </c>
      <c r="F4175" s="200">
        <v>45916.54166666667</v>
      </c>
      <c r="G4175" s="197" t="s">
        <v>843</v>
      </c>
      <c r="H4175" s="197" t="s">
        <v>878</v>
      </c>
    </row>
    <row r="4176" ht="15.75" customHeight="1">
      <c r="A4176" s="197" t="s">
        <v>85</v>
      </c>
      <c r="B4176" s="197" t="s">
        <v>22</v>
      </c>
      <c r="C4176" s="198" t="s">
        <v>275</v>
      </c>
      <c r="D4176" s="197" t="s">
        <v>276</v>
      </c>
      <c r="E4176" s="199">
        <v>3.0</v>
      </c>
      <c r="F4176" s="200">
        <v>45924.54166666667</v>
      </c>
      <c r="G4176" s="197" t="s">
        <v>843</v>
      </c>
      <c r="H4176" s="197" t="s">
        <v>878</v>
      </c>
    </row>
    <row r="4177" ht="15.75" customHeight="1">
      <c r="A4177" s="197" t="s">
        <v>85</v>
      </c>
      <c r="B4177" s="197" t="s">
        <v>22</v>
      </c>
      <c r="C4177" s="198" t="s">
        <v>275</v>
      </c>
      <c r="D4177" s="197" t="s">
        <v>276</v>
      </c>
      <c r="E4177" s="199">
        <v>4.0</v>
      </c>
      <c r="F4177" s="200">
        <v>45931.54166666667</v>
      </c>
      <c r="G4177" s="197" t="s">
        <v>843</v>
      </c>
      <c r="H4177" s="197" t="s">
        <v>878</v>
      </c>
    </row>
    <row r="4178" ht="15.75" customHeight="1">
      <c r="A4178" s="197" t="s">
        <v>85</v>
      </c>
      <c r="B4178" s="197" t="s">
        <v>22</v>
      </c>
      <c r="C4178" s="198" t="s">
        <v>275</v>
      </c>
      <c r="D4178" s="197" t="s">
        <v>276</v>
      </c>
      <c r="E4178" s="199">
        <v>5.0</v>
      </c>
      <c r="F4178" s="200">
        <v>45938.41666666667</v>
      </c>
      <c r="G4178" s="197" t="s">
        <v>843</v>
      </c>
      <c r="H4178" s="197" t="s">
        <v>878</v>
      </c>
    </row>
    <row r="4179" ht="15.75" customHeight="1">
      <c r="A4179" s="197" t="s">
        <v>85</v>
      </c>
      <c r="B4179" s="197" t="s">
        <v>22</v>
      </c>
      <c r="C4179" s="198" t="s">
        <v>275</v>
      </c>
      <c r="D4179" s="197" t="s">
        <v>276</v>
      </c>
      <c r="E4179" s="199">
        <v>6.0</v>
      </c>
      <c r="F4179" s="200">
        <v>45951.41666666667</v>
      </c>
      <c r="G4179" s="197" t="s">
        <v>843</v>
      </c>
      <c r="H4179" s="197" t="s">
        <v>878</v>
      </c>
    </row>
    <row r="4180" ht="15.75" customHeight="1">
      <c r="A4180" s="197" t="s">
        <v>85</v>
      </c>
      <c r="B4180" s="197" t="s">
        <v>22</v>
      </c>
      <c r="C4180" s="198" t="s">
        <v>275</v>
      </c>
      <c r="D4180" s="197" t="s">
        <v>276</v>
      </c>
      <c r="E4180" s="199">
        <v>7.0</v>
      </c>
      <c r="F4180" s="200">
        <v>45952.41666666667</v>
      </c>
      <c r="G4180" s="197" t="s">
        <v>843</v>
      </c>
      <c r="H4180" s="197" t="s">
        <v>878</v>
      </c>
    </row>
    <row r="4181" ht="15.75" customHeight="1">
      <c r="A4181" s="197" t="s">
        <v>85</v>
      </c>
      <c r="B4181" s="197" t="s">
        <v>22</v>
      </c>
      <c r="C4181" s="198" t="s">
        <v>275</v>
      </c>
      <c r="D4181" s="197" t="s">
        <v>276</v>
      </c>
      <c r="E4181" s="199">
        <v>8.0</v>
      </c>
      <c r="F4181" s="200">
        <v>45959.45833333333</v>
      </c>
      <c r="G4181" s="197" t="s">
        <v>843</v>
      </c>
      <c r="H4181" s="197" t="s">
        <v>878</v>
      </c>
    </row>
    <row r="4182" ht="15.75" customHeight="1">
      <c r="A4182" s="197" t="s">
        <v>85</v>
      </c>
      <c r="B4182" s="197" t="s">
        <v>22</v>
      </c>
      <c r="C4182" s="198" t="s">
        <v>275</v>
      </c>
      <c r="D4182" s="197" t="s">
        <v>276</v>
      </c>
      <c r="E4182" s="199">
        <v>9.0</v>
      </c>
      <c r="F4182" s="200">
        <v>45967.45833333333</v>
      </c>
      <c r="G4182" s="197" t="s">
        <v>843</v>
      </c>
      <c r="H4182" s="197" t="s">
        <v>878</v>
      </c>
    </row>
    <row r="4183" ht="15.75" customHeight="1">
      <c r="A4183" s="197" t="s">
        <v>85</v>
      </c>
      <c r="B4183" s="197" t="s">
        <v>22</v>
      </c>
      <c r="C4183" s="198" t="s">
        <v>275</v>
      </c>
      <c r="D4183" s="197" t="s">
        <v>276</v>
      </c>
      <c r="E4183" s="199">
        <v>10.0</v>
      </c>
      <c r="F4183" s="200">
        <v>45974.45833333333</v>
      </c>
      <c r="G4183" s="197" t="s">
        <v>843</v>
      </c>
      <c r="H4183" s="197" t="s">
        <v>878</v>
      </c>
    </row>
    <row r="4184" ht="15.75" customHeight="1">
      <c r="A4184" s="197" t="s">
        <v>85</v>
      </c>
      <c r="B4184" s="197" t="s">
        <v>22</v>
      </c>
      <c r="C4184" s="198" t="s">
        <v>275</v>
      </c>
      <c r="D4184" s="197" t="s">
        <v>276</v>
      </c>
      <c r="E4184" s="199">
        <v>11.0</v>
      </c>
      <c r="F4184" s="200">
        <v>45981.45833333333</v>
      </c>
      <c r="G4184" s="197" t="s">
        <v>843</v>
      </c>
      <c r="H4184" s="197" t="s">
        <v>878</v>
      </c>
    </row>
    <row r="4185" ht="15.75" customHeight="1">
      <c r="A4185" s="197" t="s">
        <v>85</v>
      </c>
      <c r="B4185" s="197" t="s">
        <v>22</v>
      </c>
      <c r="C4185" s="198" t="s">
        <v>275</v>
      </c>
      <c r="D4185" s="197" t="s">
        <v>276</v>
      </c>
      <c r="E4185" s="199">
        <v>12.0</v>
      </c>
      <c r="F4185" s="200">
        <v>45988.45833333333</v>
      </c>
      <c r="G4185" s="197" t="s">
        <v>843</v>
      </c>
      <c r="H4185" s="197" t="s">
        <v>878</v>
      </c>
    </row>
    <row r="4186" ht="15.75" customHeight="1">
      <c r="A4186" s="197" t="s">
        <v>85</v>
      </c>
      <c r="B4186" s="197" t="s">
        <v>22</v>
      </c>
      <c r="C4186" s="198" t="s">
        <v>275</v>
      </c>
      <c r="D4186" s="197" t="s">
        <v>276</v>
      </c>
      <c r="E4186" s="199">
        <v>13.0</v>
      </c>
      <c r="F4186" s="200">
        <v>45995.45833333333</v>
      </c>
      <c r="G4186" s="197" t="s">
        <v>843</v>
      </c>
      <c r="H4186" s="197" t="s">
        <v>878</v>
      </c>
    </row>
    <row r="4187" ht="15.75" customHeight="1">
      <c r="A4187" s="197" t="s">
        <v>85</v>
      </c>
      <c r="B4187" s="197" t="s">
        <v>22</v>
      </c>
      <c r="C4187" s="198" t="s">
        <v>275</v>
      </c>
      <c r="D4187" s="197" t="s">
        <v>276</v>
      </c>
      <c r="E4187" s="199">
        <v>14.0</v>
      </c>
      <c r="F4187" s="200">
        <v>46007.54166666667</v>
      </c>
      <c r="G4187" s="197" t="s">
        <v>843</v>
      </c>
      <c r="H4187" s="197" t="s">
        <v>878</v>
      </c>
    </row>
    <row r="4188" ht="15.75" customHeight="1">
      <c r="A4188" s="197" t="s">
        <v>85</v>
      </c>
      <c r="B4188" s="197" t="s">
        <v>22</v>
      </c>
      <c r="C4188" s="198" t="s">
        <v>275</v>
      </c>
      <c r="D4188" s="197" t="s">
        <v>276</v>
      </c>
      <c r="E4188" s="199">
        <v>15.0</v>
      </c>
      <c r="F4188" s="200">
        <v>46021.45833333333</v>
      </c>
      <c r="G4188" s="197" t="s">
        <v>843</v>
      </c>
      <c r="H4188" s="197" t="s">
        <v>878</v>
      </c>
    </row>
    <row r="4189" ht="15.75" customHeight="1">
      <c r="A4189" s="197" t="s">
        <v>85</v>
      </c>
      <c r="B4189" s="197" t="s">
        <v>22</v>
      </c>
      <c r="C4189" s="198" t="s">
        <v>275</v>
      </c>
      <c r="D4189" s="197" t="s">
        <v>276</v>
      </c>
      <c r="E4189" s="199">
        <v>16.0</v>
      </c>
      <c r="F4189" s="200">
        <v>46051.41666666667</v>
      </c>
      <c r="G4189" s="197" t="s">
        <v>843</v>
      </c>
      <c r="H4189" s="197" t="s">
        <v>878</v>
      </c>
    </row>
    <row r="4190" ht="15.75" customHeight="1">
      <c r="A4190" s="197" t="s">
        <v>85</v>
      </c>
      <c r="B4190" s="197" t="s">
        <v>24</v>
      </c>
      <c r="C4190" s="198" t="s">
        <v>300</v>
      </c>
      <c r="D4190" s="197" t="s">
        <v>301</v>
      </c>
      <c r="E4190" s="199">
        <v>1.0</v>
      </c>
      <c r="F4190" s="200">
        <v>46086.45833333333</v>
      </c>
      <c r="G4190" s="197" t="s">
        <v>845</v>
      </c>
      <c r="H4190" s="197" t="s">
        <v>878</v>
      </c>
    </row>
    <row r="4191" ht="15.75" customHeight="1">
      <c r="A4191" s="197" t="s">
        <v>85</v>
      </c>
      <c r="B4191" s="197" t="s">
        <v>24</v>
      </c>
      <c r="C4191" s="198" t="s">
        <v>300</v>
      </c>
      <c r="D4191" s="197" t="s">
        <v>301</v>
      </c>
      <c r="E4191" s="199">
        <v>2.0</v>
      </c>
      <c r="F4191" s="200">
        <v>46098.45833333333</v>
      </c>
      <c r="G4191" s="197" t="s">
        <v>845</v>
      </c>
      <c r="H4191" s="197" t="s">
        <v>878</v>
      </c>
    </row>
    <row r="4192" ht="15.75" customHeight="1">
      <c r="A4192" s="197" t="s">
        <v>85</v>
      </c>
      <c r="B4192" s="197" t="s">
        <v>24</v>
      </c>
      <c r="C4192" s="198" t="s">
        <v>300</v>
      </c>
      <c r="D4192" s="197" t="s">
        <v>301</v>
      </c>
      <c r="E4192" s="199">
        <v>3.0</v>
      </c>
      <c r="F4192" s="200">
        <v>46105.45833333333</v>
      </c>
      <c r="G4192" s="197" t="s">
        <v>843</v>
      </c>
      <c r="H4192" s="197" t="s">
        <v>878</v>
      </c>
    </row>
    <row r="4193" ht="15.75" customHeight="1">
      <c r="A4193" s="197" t="s">
        <v>85</v>
      </c>
      <c r="B4193" s="197" t="s">
        <v>24</v>
      </c>
      <c r="C4193" s="198" t="s">
        <v>300</v>
      </c>
      <c r="D4193" s="197" t="s">
        <v>301</v>
      </c>
      <c r="E4193" s="199">
        <v>4.0</v>
      </c>
      <c r="F4193" s="200">
        <v>46113.625</v>
      </c>
      <c r="G4193" s="197" t="s">
        <v>843</v>
      </c>
      <c r="H4193" s="197" t="s">
        <v>878</v>
      </c>
    </row>
    <row r="4194" ht="15.75" customHeight="1">
      <c r="A4194" s="197" t="s">
        <v>85</v>
      </c>
      <c r="B4194" s="197" t="s">
        <v>24</v>
      </c>
      <c r="C4194" s="198" t="s">
        <v>300</v>
      </c>
      <c r="D4194" s="197" t="s">
        <v>301</v>
      </c>
      <c r="E4194" s="199">
        <v>5.0</v>
      </c>
      <c r="F4194" s="200">
        <v>46120.625</v>
      </c>
      <c r="G4194" s="197" t="s">
        <v>845</v>
      </c>
      <c r="H4194" s="197" t="s">
        <v>878</v>
      </c>
    </row>
    <row r="4195" ht="15.75" customHeight="1">
      <c r="A4195" s="197" t="s">
        <v>85</v>
      </c>
      <c r="B4195" s="197" t="s">
        <v>24</v>
      </c>
      <c r="C4195" s="198" t="s">
        <v>300</v>
      </c>
      <c r="D4195" s="197" t="s">
        <v>301</v>
      </c>
      <c r="E4195" s="199">
        <v>6.0</v>
      </c>
      <c r="F4195" s="200">
        <v>46127.625</v>
      </c>
      <c r="G4195" s="197" t="s">
        <v>845</v>
      </c>
      <c r="H4195" s="197" t="s">
        <v>878</v>
      </c>
    </row>
    <row r="4196" ht="15.75" customHeight="1">
      <c r="A4196" s="197" t="s">
        <v>85</v>
      </c>
      <c r="B4196" s="197" t="s">
        <v>24</v>
      </c>
      <c r="C4196" s="198" t="s">
        <v>309</v>
      </c>
      <c r="D4196" s="197" t="s">
        <v>310</v>
      </c>
      <c r="E4196" s="199">
        <v>1.0</v>
      </c>
      <c r="F4196" s="200">
        <v>46086.45833333333</v>
      </c>
      <c r="G4196" s="197" t="s">
        <v>845</v>
      </c>
      <c r="H4196" s="197" t="s">
        <v>878</v>
      </c>
    </row>
    <row r="4197" ht="15.75" customHeight="1">
      <c r="A4197" s="197" t="s">
        <v>85</v>
      </c>
      <c r="B4197" s="197" t="s">
        <v>24</v>
      </c>
      <c r="C4197" s="198" t="s">
        <v>309</v>
      </c>
      <c r="D4197" s="197" t="s">
        <v>310</v>
      </c>
      <c r="E4197" s="199">
        <v>2.0</v>
      </c>
      <c r="F4197" s="200">
        <v>46098.45833333333</v>
      </c>
      <c r="G4197" s="197" t="s">
        <v>845</v>
      </c>
      <c r="H4197" s="197" t="s">
        <v>878</v>
      </c>
    </row>
    <row r="4198" ht="15.75" customHeight="1">
      <c r="A4198" s="197" t="s">
        <v>85</v>
      </c>
      <c r="B4198" s="197" t="s">
        <v>24</v>
      </c>
      <c r="C4198" s="198" t="s">
        <v>309</v>
      </c>
      <c r="D4198" s="197" t="s">
        <v>310</v>
      </c>
      <c r="E4198" s="199">
        <v>3.0</v>
      </c>
      <c r="F4198" s="200">
        <v>46105.45833333333</v>
      </c>
      <c r="G4198" s="197" t="s">
        <v>845</v>
      </c>
      <c r="H4198" s="197" t="s">
        <v>878</v>
      </c>
    </row>
    <row r="4199" ht="15.75" customHeight="1">
      <c r="A4199" s="197" t="s">
        <v>85</v>
      </c>
      <c r="B4199" s="197" t="s">
        <v>24</v>
      </c>
      <c r="C4199" s="198" t="s">
        <v>309</v>
      </c>
      <c r="D4199" s="197" t="s">
        <v>310</v>
      </c>
      <c r="E4199" s="199">
        <v>4.0</v>
      </c>
      <c r="F4199" s="200">
        <v>46113.625</v>
      </c>
      <c r="G4199" s="197" t="s">
        <v>845</v>
      </c>
      <c r="H4199" s="197" t="s">
        <v>878</v>
      </c>
    </row>
    <row r="4200" ht="15.75" customHeight="1">
      <c r="A4200" s="197" t="s">
        <v>85</v>
      </c>
      <c r="B4200" s="197" t="s">
        <v>24</v>
      </c>
      <c r="C4200" s="198" t="s">
        <v>309</v>
      </c>
      <c r="D4200" s="197" t="s">
        <v>310</v>
      </c>
      <c r="E4200" s="199">
        <v>5.0</v>
      </c>
      <c r="F4200" s="200">
        <v>46120.625</v>
      </c>
      <c r="G4200" s="197" t="s">
        <v>845</v>
      </c>
      <c r="H4200" s="197" t="s">
        <v>878</v>
      </c>
    </row>
    <row r="4201" ht="15.75" customHeight="1">
      <c r="A4201" s="197" t="s">
        <v>85</v>
      </c>
      <c r="B4201" s="197" t="s">
        <v>24</v>
      </c>
      <c r="C4201" s="198" t="s">
        <v>309</v>
      </c>
      <c r="D4201" s="197" t="s">
        <v>310</v>
      </c>
      <c r="E4201" s="199">
        <v>6.0</v>
      </c>
      <c r="F4201" s="200">
        <v>46127.625</v>
      </c>
      <c r="G4201" s="197" t="s">
        <v>845</v>
      </c>
      <c r="H4201" s="197" t="s">
        <v>878</v>
      </c>
    </row>
    <row r="4202" ht="15.75" customHeight="1">
      <c r="A4202" s="197" t="s">
        <v>85</v>
      </c>
      <c r="B4202" s="197" t="s">
        <v>24</v>
      </c>
      <c r="C4202" s="198" t="s">
        <v>397</v>
      </c>
      <c r="D4202" s="197" t="s">
        <v>398</v>
      </c>
      <c r="E4202" s="199">
        <v>1.0</v>
      </c>
      <c r="F4202" s="200">
        <v>46086.45833333333</v>
      </c>
      <c r="G4202" s="197" t="s">
        <v>845</v>
      </c>
      <c r="H4202" s="197" t="s">
        <v>878</v>
      </c>
    </row>
    <row r="4203" ht="15.75" customHeight="1">
      <c r="A4203" s="197" t="s">
        <v>85</v>
      </c>
      <c r="B4203" s="197" t="s">
        <v>24</v>
      </c>
      <c r="C4203" s="198" t="s">
        <v>397</v>
      </c>
      <c r="D4203" s="197" t="s">
        <v>398</v>
      </c>
      <c r="E4203" s="199">
        <v>2.0</v>
      </c>
      <c r="F4203" s="200">
        <v>46098.45833333333</v>
      </c>
      <c r="G4203" s="197" t="s">
        <v>845</v>
      </c>
      <c r="H4203" s="197" t="s">
        <v>878</v>
      </c>
    </row>
    <row r="4204" ht="15.75" customHeight="1">
      <c r="A4204" s="197" t="s">
        <v>85</v>
      </c>
      <c r="B4204" s="197" t="s">
        <v>24</v>
      </c>
      <c r="C4204" s="198" t="s">
        <v>397</v>
      </c>
      <c r="D4204" s="197" t="s">
        <v>398</v>
      </c>
      <c r="E4204" s="199">
        <v>3.0</v>
      </c>
      <c r="F4204" s="200">
        <v>46105.45833333333</v>
      </c>
      <c r="G4204" s="197" t="s">
        <v>843</v>
      </c>
      <c r="H4204" s="197" t="s">
        <v>878</v>
      </c>
    </row>
    <row r="4205" ht="15.75" customHeight="1">
      <c r="A4205" s="197" t="s">
        <v>85</v>
      </c>
      <c r="B4205" s="197" t="s">
        <v>24</v>
      </c>
      <c r="C4205" s="198" t="s">
        <v>397</v>
      </c>
      <c r="D4205" s="197" t="s">
        <v>398</v>
      </c>
      <c r="E4205" s="199">
        <v>4.0</v>
      </c>
      <c r="F4205" s="200">
        <v>46113.625</v>
      </c>
      <c r="G4205" s="197" t="s">
        <v>845</v>
      </c>
      <c r="H4205" s="197" t="s">
        <v>878</v>
      </c>
    </row>
    <row r="4206" ht="15.75" customHeight="1">
      <c r="A4206" s="197" t="s">
        <v>85</v>
      </c>
      <c r="B4206" s="197" t="s">
        <v>24</v>
      </c>
      <c r="C4206" s="198" t="s">
        <v>397</v>
      </c>
      <c r="D4206" s="197" t="s">
        <v>398</v>
      </c>
      <c r="E4206" s="199">
        <v>5.0</v>
      </c>
      <c r="F4206" s="200">
        <v>46120.625</v>
      </c>
      <c r="G4206" s="197" t="s">
        <v>845</v>
      </c>
      <c r="H4206" s="197" t="s">
        <v>878</v>
      </c>
    </row>
    <row r="4207" ht="15.75" customHeight="1">
      <c r="A4207" s="197" t="s">
        <v>85</v>
      </c>
      <c r="B4207" s="197" t="s">
        <v>24</v>
      </c>
      <c r="C4207" s="198" t="s">
        <v>397</v>
      </c>
      <c r="D4207" s="197" t="s">
        <v>398</v>
      </c>
      <c r="E4207" s="199">
        <v>6.0</v>
      </c>
      <c r="F4207" s="200">
        <v>46127.625</v>
      </c>
      <c r="G4207" s="197" t="s">
        <v>845</v>
      </c>
      <c r="H4207" s="197" t="s">
        <v>878</v>
      </c>
    </row>
    <row r="4208" ht="15.75" customHeight="1">
      <c r="A4208" s="197" t="s">
        <v>85</v>
      </c>
      <c r="B4208" s="197" t="s">
        <v>21</v>
      </c>
      <c r="C4208" s="198" t="s">
        <v>397</v>
      </c>
      <c r="D4208" s="197" t="s">
        <v>398</v>
      </c>
      <c r="E4208" s="199">
        <v>1.0</v>
      </c>
      <c r="F4208" s="200">
        <v>45765.41666666667</v>
      </c>
      <c r="G4208" s="197" t="s">
        <v>845</v>
      </c>
      <c r="H4208" s="197" t="s">
        <v>878</v>
      </c>
    </row>
    <row r="4209" ht="15.75" customHeight="1">
      <c r="A4209" s="197" t="s">
        <v>85</v>
      </c>
      <c r="B4209" s="197" t="s">
        <v>21</v>
      </c>
      <c r="C4209" s="198" t="s">
        <v>397</v>
      </c>
      <c r="D4209" s="197" t="s">
        <v>398</v>
      </c>
      <c r="E4209" s="199">
        <v>2.0</v>
      </c>
      <c r="F4209" s="200">
        <v>45783.58333333333</v>
      </c>
      <c r="G4209" s="197" t="s">
        <v>845</v>
      </c>
      <c r="H4209" s="197" t="s">
        <v>878</v>
      </c>
    </row>
    <row r="4210" ht="15.75" customHeight="1">
      <c r="A4210" s="197" t="s">
        <v>85</v>
      </c>
      <c r="B4210" s="197" t="s">
        <v>21</v>
      </c>
      <c r="C4210" s="198" t="s">
        <v>397</v>
      </c>
      <c r="D4210" s="197" t="s">
        <v>398</v>
      </c>
      <c r="E4210" s="199">
        <v>3.0</v>
      </c>
      <c r="F4210" s="200">
        <v>45790.375</v>
      </c>
      <c r="G4210" s="197" t="s">
        <v>845</v>
      </c>
      <c r="H4210" s="197" t="s">
        <v>878</v>
      </c>
    </row>
    <row r="4211" ht="15.75" customHeight="1">
      <c r="A4211" s="197" t="s">
        <v>85</v>
      </c>
      <c r="B4211" s="197" t="s">
        <v>21</v>
      </c>
      <c r="C4211" s="198" t="s">
        <v>397</v>
      </c>
      <c r="D4211" s="197" t="s">
        <v>398</v>
      </c>
      <c r="E4211" s="199">
        <v>4.0</v>
      </c>
      <c r="F4211" s="200">
        <v>45804.45833333333</v>
      </c>
      <c r="G4211" s="197" t="s">
        <v>845</v>
      </c>
      <c r="H4211" s="197" t="s">
        <v>878</v>
      </c>
    </row>
    <row r="4212" ht="15.75" customHeight="1">
      <c r="A4212" s="197" t="s">
        <v>85</v>
      </c>
      <c r="B4212" s="197" t="s">
        <v>21</v>
      </c>
      <c r="C4212" s="198" t="s">
        <v>397</v>
      </c>
      <c r="D4212" s="197" t="s">
        <v>398</v>
      </c>
      <c r="E4212" s="199">
        <v>5.0</v>
      </c>
      <c r="F4212" s="200">
        <v>45812.54166666667</v>
      </c>
      <c r="G4212" s="197" t="s">
        <v>845</v>
      </c>
      <c r="H4212" s="197" t="s">
        <v>878</v>
      </c>
    </row>
    <row r="4213" ht="15.75" customHeight="1">
      <c r="A4213" s="197" t="s">
        <v>85</v>
      </c>
      <c r="B4213" s="197" t="s">
        <v>21</v>
      </c>
      <c r="C4213" s="198" t="s">
        <v>397</v>
      </c>
      <c r="D4213" s="197" t="s">
        <v>398</v>
      </c>
      <c r="E4213" s="199">
        <v>6.0</v>
      </c>
      <c r="F4213" s="200">
        <v>45820.54166666667</v>
      </c>
      <c r="G4213" s="197" t="s">
        <v>843</v>
      </c>
      <c r="H4213" s="197" t="s">
        <v>878</v>
      </c>
    </row>
    <row r="4214" ht="15.75" customHeight="1">
      <c r="A4214" s="197" t="s">
        <v>85</v>
      </c>
      <c r="B4214" s="197" t="s">
        <v>21</v>
      </c>
      <c r="C4214" s="198" t="s">
        <v>397</v>
      </c>
      <c r="D4214" s="197" t="s">
        <v>398</v>
      </c>
      <c r="E4214" s="199">
        <v>7.0</v>
      </c>
      <c r="F4214" s="200">
        <v>45826.45833333333</v>
      </c>
      <c r="G4214" s="197" t="s">
        <v>845</v>
      </c>
      <c r="H4214" s="197" t="s">
        <v>878</v>
      </c>
    </row>
    <row r="4215" ht="15.75" customHeight="1">
      <c r="A4215" s="197" t="s">
        <v>85</v>
      </c>
      <c r="B4215" s="197" t="s">
        <v>21</v>
      </c>
      <c r="C4215" s="198" t="s">
        <v>397</v>
      </c>
      <c r="D4215" s="197" t="s">
        <v>398</v>
      </c>
      <c r="E4215" s="199">
        <v>8.0</v>
      </c>
      <c r="F4215" s="200">
        <v>45833.58333333333</v>
      </c>
      <c r="G4215" s="197" t="s">
        <v>845</v>
      </c>
      <c r="H4215" s="197" t="s">
        <v>878</v>
      </c>
    </row>
    <row r="4216" ht="15.75" customHeight="1">
      <c r="A4216" s="197" t="s">
        <v>85</v>
      </c>
      <c r="B4216" s="197" t="s">
        <v>21</v>
      </c>
      <c r="C4216" s="198" t="s">
        <v>397</v>
      </c>
      <c r="D4216" s="197" t="s">
        <v>398</v>
      </c>
      <c r="E4216" s="199">
        <v>9.0</v>
      </c>
      <c r="F4216" s="200">
        <v>45839.54166666667</v>
      </c>
      <c r="G4216" s="197" t="s">
        <v>845</v>
      </c>
      <c r="H4216" s="197" t="s">
        <v>878</v>
      </c>
    </row>
    <row r="4217" ht="15.75" customHeight="1">
      <c r="A4217" s="197" t="s">
        <v>85</v>
      </c>
      <c r="B4217" s="197" t="s">
        <v>21</v>
      </c>
      <c r="C4217" s="198" t="s">
        <v>397</v>
      </c>
      <c r="D4217" s="197" t="s">
        <v>398</v>
      </c>
      <c r="E4217" s="199">
        <v>10.0</v>
      </c>
      <c r="F4217" s="200">
        <v>45868.54166666667</v>
      </c>
      <c r="G4217" s="197" t="s">
        <v>845</v>
      </c>
      <c r="H4217" s="197" t="s">
        <v>878</v>
      </c>
    </row>
    <row r="4218" ht="15.75" customHeight="1">
      <c r="A4218" s="197" t="s">
        <v>85</v>
      </c>
      <c r="B4218" s="197" t="s">
        <v>22</v>
      </c>
      <c r="C4218" s="198" t="s">
        <v>397</v>
      </c>
      <c r="D4218" s="197" t="s">
        <v>398</v>
      </c>
      <c r="E4218" s="199">
        <v>1.0</v>
      </c>
      <c r="F4218" s="200">
        <v>45910.54166666667</v>
      </c>
      <c r="G4218" s="197" t="s">
        <v>845</v>
      </c>
      <c r="H4218" s="197" t="s">
        <v>878</v>
      </c>
    </row>
    <row r="4219" ht="15.75" customHeight="1">
      <c r="A4219" s="197" t="s">
        <v>85</v>
      </c>
      <c r="B4219" s="197" t="s">
        <v>22</v>
      </c>
      <c r="C4219" s="198" t="s">
        <v>397</v>
      </c>
      <c r="D4219" s="197" t="s">
        <v>398</v>
      </c>
      <c r="E4219" s="199">
        <v>2.0</v>
      </c>
      <c r="F4219" s="200">
        <v>45916.54166666667</v>
      </c>
      <c r="G4219" s="197" t="s">
        <v>845</v>
      </c>
      <c r="H4219" s="197" t="s">
        <v>878</v>
      </c>
    </row>
    <row r="4220" ht="15.75" customHeight="1">
      <c r="A4220" s="197" t="s">
        <v>85</v>
      </c>
      <c r="B4220" s="197" t="s">
        <v>22</v>
      </c>
      <c r="C4220" s="198" t="s">
        <v>397</v>
      </c>
      <c r="D4220" s="197" t="s">
        <v>398</v>
      </c>
      <c r="E4220" s="199">
        <v>3.0</v>
      </c>
      <c r="F4220" s="200">
        <v>45924.54166666667</v>
      </c>
      <c r="G4220" s="197" t="s">
        <v>845</v>
      </c>
      <c r="H4220" s="197" t="s">
        <v>878</v>
      </c>
    </row>
    <row r="4221" ht="15.75" customHeight="1">
      <c r="A4221" s="197" t="s">
        <v>85</v>
      </c>
      <c r="B4221" s="197" t="s">
        <v>22</v>
      </c>
      <c r="C4221" s="198" t="s">
        <v>397</v>
      </c>
      <c r="D4221" s="197" t="s">
        <v>398</v>
      </c>
      <c r="E4221" s="199">
        <v>4.0</v>
      </c>
      <c r="F4221" s="200">
        <v>45931.54166666667</v>
      </c>
      <c r="G4221" s="197" t="s">
        <v>845</v>
      </c>
      <c r="H4221" s="197" t="s">
        <v>878</v>
      </c>
    </row>
    <row r="4222" ht="15.75" customHeight="1">
      <c r="A4222" s="197" t="s">
        <v>85</v>
      </c>
      <c r="B4222" s="197" t="s">
        <v>22</v>
      </c>
      <c r="C4222" s="198" t="s">
        <v>397</v>
      </c>
      <c r="D4222" s="197" t="s">
        <v>398</v>
      </c>
      <c r="E4222" s="199">
        <v>5.0</v>
      </c>
      <c r="F4222" s="200">
        <v>45938.41666666667</v>
      </c>
      <c r="G4222" s="197" t="s">
        <v>845</v>
      </c>
      <c r="H4222" s="197" t="s">
        <v>878</v>
      </c>
    </row>
    <row r="4223" ht="15.75" customHeight="1">
      <c r="A4223" s="197" t="s">
        <v>85</v>
      </c>
      <c r="B4223" s="197" t="s">
        <v>22</v>
      </c>
      <c r="C4223" s="198" t="s">
        <v>397</v>
      </c>
      <c r="D4223" s="197" t="s">
        <v>398</v>
      </c>
      <c r="E4223" s="199">
        <v>6.0</v>
      </c>
      <c r="F4223" s="200">
        <v>45951.41666666667</v>
      </c>
      <c r="G4223" s="197" t="s">
        <v>845</v>
      </c>
      <c r="H4223" s="197" t="s">
        <v>878</v>
      </c>
    </row>
    <row r="4224" ht="15.75" customHeight="1">
      <c r="A4224" s="197" t="s">
        <v>85</v>
      </c>
      <c r="B4224" s="197" t="s">
        <v>22</v>
      </c>
      <c r="C4224" s="198" t="s">
        <v>397</v>
      </c>
      <c r="D4224" s="197" t="s">
        <v>398</v>
      </c>
      <c r="E4224" s="199">
        <v>7.0</v>
      </c>
      <c r="F4224" s="200">
        <v>45952.41666666667</v>
      </c>
      <c r="G4224" s="197" t="s">
        <v>845</v>
      </c>
      <c r="H4224" s="197" t="s">
        <v>878</v>
      </c>
    </row>
    <row r="4225" ht="15.75" customHeight="1">
      <c r="A4225" s="197" t="s">
        <v>85</v>
      </c>
      <c r="B4225" s="197" t="s">
        <v>22</v>
      </c>
      <c r="C4225" s="198" t="s">
        <v>397</v>
      </c>
      <c r="D4225" s="197" t="s">
        <v>398</v>
      </c>
      <c r="E4225" s="199">
        <v>8.0</v>
      </c>
      <c r="F4225" s="200">
        <v>45959.45833333333</v>
      </c>
      <c r="G4225" s="197" t="s">
        <v>845</v>
      </c>
      <c r="H4225" s="197" t="s">
        <v>878</v>
      </c>
    </row>
    <row r="4226" ht="15.75" customHeight="1">
      <c r="A4226" s="197" t="s">
        <v>85</v>
      </c>
      <c r="B4226" s="197" t="s">
        <v>22</v>
      </c>
      <c r="C4226" s="198" t="s">
        <v>397</v>
      </c>
      <c r="D4226" s="197" t="s">
        <v>398</v>
      </c>
      <c r="E4226" s="199">
        <v>9.0</v>
      </c>
      <c r="F4226" s="200">
        <v>45967.45833333333</v>
      </c>
      <c r="G4226" s="197" t="s">
        <v>845</v>
      </c>
      <c r="H4226" s="197" t="s">
        <v>878</v>
      </c>
    </row>
    <row r="4227" ht="15.75" customHeight="1">
      <c r="A4227" s="197" t="s">
        <v>85</v>
      </c>
      <c r="B4227" s="197" t="s">
        <v>22</v>
      </c>
      <c r="C4227" s="198" t="s">
        <v>397</v>
      </c>
      <c r="D4227" s="197" t="s">
        <v>398</v>
      </c>
      <c r="E4227" s="199">
        <v>10.0</v>
      </c>
      <c r="F4227" s="200">
        <v>45974.45833333333</v>
      </c>
      <c r="G4227" s="197" t="s">
        <v>845</v>
      </c>
      <c r="H4227" s="197" t="s">
        <v>878</v>
      </c>
    </row>
    <row r="4228" ht="15.75" customHeight="1">
      <c r="A4228" s="197" t="s">
        <v>85</v>
      </c>
      <c r="B4228" s="197" t="s">
        <v>22</v>
      </c>
      <c r="C4228" s="198" t="s">
        <v>397</v>
      </c>
      <c r="D4228" s="197" t="s">
        <v>398</v>
      </c>
      <c r="E4228" s="199">
        <v>11.0</v>
      </c>
      <c r="F4228" s="200">
        <v>45981.45833333333</v>
      </c>
      <c r="G4228" s="197" t="s">
        <v>845</v>
      </c>
      <c r="H4228" s="197" t="s">
        <v>878</v>
      </c>
    </row>
    <row r="4229" ht="15.75" customHeight="1">
      <c r="A4229" s="197" t="s">
        <v>85</v>
      </c>
      <c r="B4229" s="197" t="s">
        <v>22</v>
      </c>
      <c r="C4229" s="198" t="s">
        <v>397</v>
      </c>
      <c r="D4229" s="197" t="s">
        <v>398</v>
      </c>
      <c r="E4229" s="199">
        <v>12.0</v>
      </c>
      <c r="F4229" s="200">
        <v>45988.45833333333</v>
      </c>
      <c r="G4229" s="197" t="s">
        <v>845</v>
      </c>
      <c r="H4229" s="197" t="s">
        <v>878</v>
      </c>
    </row>
    <row r="4230" ht="15.75" customHeight="1">
      <c r="A4230" s="197" t="s">
        <v>85</v>
      </c>
      <c r="B4230" s="197" t="s">
        <v>22</v>
      </c>
      <c r="C4230" s="198" t="s">
        <v>397</v>
      </c>
      <c r="D4230" s="197" t="s">
        <v>398</v>
      </c>
      <c r="E4230" s="199">
        <v>13.0</v>
      </c>
      <c r="F4230" s="200">
        <v>45995.45833333333</v>
      </c>
      <c r="G4230" s="197" t="s">
        <v>845</v>
      </c>
      <c r="H4230" s="197" t="s">
        <v>878</v>
      </c>
    </row>
    <row r="4231" ht="15.75" customHeight="1">
      <c r="A4231" s="197" t="s">
        <v>85</v>
      </c>
      <c r="B4231" s="197" t="s">
        <v>22</v>
      </c>
      <c r="C4231" s="198" t="s">
        <v>397</v>
      </c>
      <c r="D4231" s="197" t="s">
        <v>398</v>
      </c>
      <c r="E4231" s="199">
        <v>14.0</v>
      </c>
      <c r="F4231" s="200">
        <v>46007.54166666667</v>
      </c>
      <c r="G4231" s="197" t="s">
        <v>845</v>
      </c>
      <c r="H4231" s="197" t="s">
        <v>878</v>
      </c>
    </row>
    <row r="4232" ht="15.75" customHeight="1">
      <c r="A4232" s="197" t="s">
        <v>85</v>
      </c>
      <c r="B4232" s="197" t="s">
        <v>22</v>
      </c>
      <c r="C4232" s="198" t="s">
        <v>397</v>
      </c>
      <c r="D4232" s="197" t="s">
        <v>398</v>
      </c>
      <c r="E4232" s="199">
        <v>15.0</v>
      </c>
      <c r="F4232" s="200">
        <v>46021.45833333333</v>
      </c>
      <c r="G4232" s="197" t="s">
        <v>845</v>
      </c>
      <c r="H4232" s="197" t="s">
        <v>878</v>
      </c>
    </row>
    <row r="4233" ht="15.75" customHeight="1">
      <c r="A4233" s="197" t="s">
        <v>85</v>
      </c>
      <c r="B4233" s="197" t="s">
        <v>22</v>
      </c>
      <c r="C4233" s="198" t="s">
        <v>397</v>
      </c>
      <c r="D4233" s="197" t="s">
        <v>398</v>
      </c>
      <c r="E4233" s="199">
        <v>16.0</v>
      </c>
      <c r="F4233" s="200">
        <v>46051.41666666667</v>
      </c>
      <c r="G4233" s="197" t="s">
        <v>845</v>
      </c>
      <c r="H4233" s="197" t="s">
        <v>878</v>
      </c>
    </row>
    <row r="4234" ht="15.75" customHeight="1">
      <c r="A4234" s="197" t="s">
        <v>85</v>
      </c>
      <c r="B4234" s="197" t="s">
        <v>22</v>
      </c>
      <c r="C4234" s="198" t="s">
        <v>512</v>
      </c>
      <c r="D4234" s="197" t="s">
        <v>513</v>
      </c>
      <c r="E4234" s="199">
        <v>1.0</v>
      </c>
      <c r="F4234" s="200">
        <v>45910.54166666667</v>
      </c>
      <c r="G4234" s="197" t="s">
        <v>845</v>
      </c>
      <c r="H4234" s="197" t="s">
        <v>878</v>
      </c>
    </row>
    <row r="4235" ht="15.75" customHeight="1">
      <c r="A4235" s="197" t="s">
        <v>85</v>
      </c>
      <c r="B4235" s="197" t="s">
        <v>22</v>
      </c>
      <c r="C4235" s="198" t="s">
        <v>512</v>
      </c>
      <c r="D4235" s="197" t="s">
        <v>513</v>
      </c>
      <c r="E4235" s="199">
        <v>2.0</v>
      </c>
      <c r="F4235" s="200">
        <v>45916.54166666667</v>
      </c>
      <c r="G4235" s="197" t="s">
        <v>845</v>
      </c>
      <c r="H4235" s="197" t="s">
        <v>878</v>
      </c>
    </row>
    <row r="4236" ht="15.75" customHeight="1">
      <c r="A4236" s="197" t="s">
        <v>85</v>
      </c>
      <c r="B4236" s="197" t="s">
        <v>22</v>
      </c>
      <c r="C4236" s="198" t="s">
        <v>512</v>
      </c>
      <c r="D4236" s="197" t="s">
        <v>513</v>
      </c>
      <c r="E4236" s="199">
        <v>3.0</v>
      </c>
      <c r="F4236" s="200">
        <v>45924.54166666667</v>
      </c>
      <c r="G4236" s="197" t="s">
        <v>845</v>
      </c>
      <c r="H4236" s="197" t="s">
        <v>878</v>
      </c>
    </row>
    <row r="4237" ht="15.75" customHeight="1">
      <c r="A4237" s="197" t="s">
        <v>85</v>
      </c>
      <c r="B4237" s="197" t="s">
        <v>22</v>
      </c>
      <c r="C4237" s="198" t="s">
        <v>512</v>
      </c>
      <c r="D4237" s="197" t="s">
        <v>513</v>
      </c>
      <c r="E4237" s="199">
        <v>4.0</v>
      </c>
      <c r="F4237" s="200">
        <v>45931.54166666667</v>
      </c>
      <c r="G4237" s="197" t="s">
        <v>845</v>
      </c>
      <c r="H4237" s="197" t="s">
        <v>878</v>
      </c>
    </row>
    <row r="4238" ht="15.75" customHeight="1">
      <c r="A4238" s="197" t="s">
        <v>85</v>
      </c>
      <c r="B4238" s="197" t="s">
        <v>22</v>
      </c>
      <c r="C4238" s="198" t="s">
        <v>512</v>
      </c>
      <c r="D4238" s="197" t="s">
        <v>513</v>
      </c>
      <c r="E4238" s="199">
        <v>5.0</v>
      </c>
      <c r="F4238" s="200">
        <v>45938.41666666667</v>
      </c>
      <c r="G4238" s="197" t="s">
        <v>845</v>
      </c>
      <c r="H4238" s="197" t="s">
        <v>878</v>
      </c>
    </row>
    <row r="4239" ht="15.75" customHeight="1">
      <c r="A4239" s="197" t="s">
        <v>85</v>
      </c>
      <c r="B4239" s="197" t="s">
        <v>22</v>
      </c>
      <c r="C4239" s="198" t="s">
        <v>512</v>
      </c>
      <c r="D4239" s="197" t="s">
        <v>513</v>
      </c>
      <c r="E4239" s="199">
        <v>6.0</v>
      </c>
      <c r="F4239" s="200">
        <v>45951.41666666667</v>
      </c>
      <c r="G4239" s="197" t="s">
        <v>843</v>
      </c>
      <c r="H4239" s="197" t="s">
        <v>878</v>
      </c>
    </row>
    <row r="4240" ht="15.75" customHeight="1">
      <c r="A4240" s="197" t="s">
        <v>85</v>
      </c>
      <c r="B4240" s="197" t="s">
        <v>22</v>
      </c>
      <c r="C4240" s="198" t="s">
        <v>512</v>
      </c>
      <c r="D4240" s="197" t="s">
        <v>513</v>
      </c>
      <c r="E4240" s="199">
        <v>7.0</v>
      </c>
      <c r="F4240" s="200">
        <v>45952.41666666667</v>
      </c>
      <c r="G4240" s="197" t="s">
        <v>843</v>
      </c>
      <c r="H4240" s="197" t="s">
        <v>878</v>
      </c>
    </row>
    <row r="4241" ht="15.75" customHeight="1">
      <c r="A4241" s="197" t="s">
        <v>85</v>
      </c>
      <c r="B4241" s="197" t="s">
        <v>22</v>
      </c>
      <c r="C4241" s="198" t="s">
        <v>512</v>
      </c>
      <c r="D4241" s="197" t="s">
        <v>513</v>
      </c>
      <c r="E4241" s="199">
        <v>8.0</v>
      </c>
      <c r="F4241" s="200">
        <v>45959.45833333333</v>
      </c>
      <c r="G4241" s="197" t="s">
        <v>845</v>
      </c>
      <c r="H4241" s="197" t="s">
        <v>878</v>
      </c>
    </row>
    <row r="4242" ht="15.75" customHeight="1">
      <c r="A4242" s="197" t="s">
        <v>85</v>
      </c>
      <c r="B4242" s="197" t="s">
        <v>22</v>
      </c>
      <c r="C4242" s="198" t="s">
        <v>512</v>
      </c>
      <c r="D4242" s="197" t="s">
        <v>513</v>
      </c>
      <c r="E4242" s="199">
        <v>9.0</v>
      </c>
      <c r="F4242" s="200">
        <v>45967.45833333333</v>
      </c>
      <c r="G4242" s="197" t="s">
        <v>845</v>
      </c>
      <c r="H4242" s="197" t="s">
        <v>878</v>
      </c>
    </row>
    <row r="4243" ht="15.75" customHeight="1">
      <c r="A4243" s="197" t="s">
        <v>85</v>
      </c>
      <c r="B4243" s="197" t="s">
        <v>22</v>
      </c>
      <c r="C4243" s="198" t="s">
        <v>512</v>
      </c>
      <c r="D4243" s="197" t="s">
        <v>513</v>
      </c>
      <c r="E4243" s="199">
        <v>10.0</v>
      </c>
      <c r="F4243" s="200">
        <v>45974.45833333333</v>
      </c>
      <c r="G4243" s="197" t="s">
        <v>845</v>
      </c>
      <c r="H4243" s="197" t="s">
        <v>878</v>
      </c>
    </row>
    <row r="4244" ht="15.75" customHeight="1">
      <c r="A4244" s="197" t="s">
        <v>85</v>
      </c>
      <c r="B4244" s="197" t="s">
        <v>22</v>
      </c>
      <c r="C4244" s="198" t="s">
        <v>524</v>
      </c>
      <c r="D4244" s="197" t="s">
        <v>525</v>
      </c>
      <c r="E4244" s="199">
        <v>1.0</v>
      </c>
      <c r="F4244" s="200">
        <v>45910.54166666667</v>
      </c>
      <c r="G4244" s="197" t="s">
        <v>845</v>
      </c>
      <c r="H4244" s="197" t="s">
        <v>878</v>
      </c>
    </row>
    <row r="4245" ht="15.75" customHeight="1">
      <c r="A4245" s="197" t="s">
        <v>85</v>
      </c>
      <c r="B4245" s="197" t="s">
        <v>22</v>
      </c>
      <c r="C4245" s="198" t="s">
        <v>524</v>
      </c>
      <c r="D4245" s="197" t="s">
        <v>525</v>
      </c>
      <c r="E4245" s="199">
        <v>2.0</v>
      </c>
      <c r="F4245" s="200">
        <v>45916.54166666667</v>
      </c>
      <c r="G4245" s="197" t="s">
        <v>845</v>
      </c>
      <c r="H4245" s="197" t="s">
        <v>878</v>
      </c>
    </row>
    <row r="4246" ht="15.75" customHeight="1">
      <c r="A4246" s="197" t="s">
        <v>85</v>
      </c>
      <c r="B4246" s="197" t="s">
        <v>22</v>
      </c>
      <c r="C4246" s="198" t="s">
        <v>524</v>
      </c>
      <c r="D4246" s="197" t="s">
        <v>525</v>
      </c>
      <c r="E4246" s="199">
        <v>3.0</v>
      </c>
      <c r="F4246" s="200">
        <v>45924.54166666667</v>
      </c>
      <c r="G4246" s="197" t="s">
        <v>845</v>
      </c>
      <c r="H4246" s="197" t="s">
        <v>878</v>
      </c>
    </row>
    <row r="4247" ht="15.75" customHeight="1">
      <c r="A4247" s="197" t="s">
        <v>85</v>
      </c>
      <c r="B4247" s="197" t="s">
        <v>22</v>
      </c>
      <c r="C4247" s="198" t="s">
        <v>524</v>
      </c>
      <c r="D4247" s="197" t="s">
        <v>525</v>
      </c>
      <c r="E4247" s="199">
        <v>4.0</v>
      </c>
      <c r="F4247" s="200">
        <v>45931.54166666667</v>
      </c>
      <c r="G4247" s="197" t="s">
        <v>845</v>
      </c>
      <c r="H4247" s="197" t="s">
        <v>878</v>
      </c>
    </row>
    <row r="4248" ht="15.75" customHeight="1">
      <c r="A4248" s="197" t="s">
        <v>85</v>
      </c>
      <c r="B4248" s="197" t="s">
        <v>22</v>
      </c>
      <c r="C4248" s="198" t="s">
        <v>524</v>
      </c>
      <c r="D4248" s="197" t="s">
        <v>525</v>
      </c>
      <c r="E4248" s="199">
        <v>5.0</v>
      </c>
      <c r="F4248" s="200">
        <v>45938.41666666667</v>
      </c>
      <c r="G4248" s="197" t="s">
        <v>845</v>
      </c>
      <c r="H4248" s="197" t="s">
        <v>878</v>
      </c>
    </row>
    <row r="4249" ht="15.75" customHeight="1">
      <c r="A4249" s="197" t="s">
        <v>85</v>
      </c>
      <c r="B4249" s="197" t="s">
        <v>22</v>
      </c>
      <c r="C4249" s="198" t="s">
        <v>524</v>
      </c>
      <c r="D4249" s="197" t="s">
        <v>525</v>
      </c>
      <c r="E4249" s="199">
        <v>6.0</v>
      </c>
      <c r="F4249" s="200">
        <v>45951.41666666667</v>
      </c>
      <c r="G4249" s="197" t="s">
        <v>843</v>
      </c>
      <c r="H4249" s="197" t="s">
        <v>878</v>
      </c>
    </row>
    <row r="4250" ht="15.75" customHeight="1">
      <c r="A4250" s="197" t="s">
        <v>85</v>
      </c>
      <c r="B4250" s="197" t="s">
        <v>22</v>
      </c>
      <c r="C4250" s="198" t="s">
        <v>524</v>
      </c>
      <c r="D4250" s="197" t="s">
        <v>525</v>
      </c>
      <c r="E4250" s="199">
        <v>7.0</v>
      </c>
      <c r="F4250" s="200">
        <v>45952.41666666667</v>
      </c>
      <c r="G4250" s="197" t="s">
        <v>843</v>
      </c>
      <c r="H4250" s="197" t="s">
        <v>878</v>
      </c>
    </row>
    <row r="4251" ht="15.75" customHeight="1">
      <c r="A4251" s="197" t="s">
        <v>85</v>
      </c>
      <c r="B4251" s="197" t="s">
        <v>22</v>
      </c>
      <c r="C4251" s="198" t="s">
        <v>524</v>
      </c>
      <c r="D4251" s="197" t="s">
        <v>525</v>
      </c>
      <c r="E4251" s="199">
        <v>8.0</v>
      </c>
      <c r="F4251" s="200">
        <v>45959.45833333333</v>
      </c>
      <c r="G4251" s="197" t="s">
        <v>845</v>
      </c>
      <c r="H4251" s="197" t="s">
        <v>878</v>
      </c>
    </row>
    <row r="4252" ht="15.75" customHeight="1">
      <c r="A4252" s="197" t="s">
        <v>85</v>
      </c>
      <c r="B4252" s="197" t="s">
        <v>22</v>
      </c>
      <c r="C4252" s="198" t="s">
        <v>524</v>
      </c>
      <c r="D4252" s="197" t="s">
        <v>525</v>
      </c>
      <c r="E4252" s="199">
        <v>9.0</v>
      </c>
      <c r="F4252" s="200">
        <v>45967.45833333333</v>
      </c>
      <c r="G4252" s="197" t="s">
        <v>845</v>
      </c>
      <c r="H4252" s="197" t="s">
        <v>878</v>
      </c>
    </row>
    <row r="4253" ht="15.75" customHeight="1">
      <c r="A4253" s="197" t="s">
        <v>85</v>
      </c>
      <c r="B4253" s="197" t="s">
        <v>22</v>
      </c>
      <c r="C4253" s="198" t="s">
        <v>524</v>
      </c>
      <c r="D4253" s="197" t="s">
        <v>525</v>
      </c>
      <c r="E4253" s="199">
        <v>10.0</v>
      </c>
      <c r="F4253" s="200">
        <v>45974.45833333333</v>
      </c>
      <c r="G4253" s="197" t="s">
        <v>845</v>
      </c>
      <c r="H4253" s="197" t="s">
        <v>878</v>
      </c>
    </row>
    <row r="4254" ht="15.75" customHeight="1">
      <c r="A4254" s="197" t="s">
        <v>85</v>
      </c>
      <c r="B4254" s="197" t="s">
        <v>22</v>
      </c>
      <c r="C4254" s="198" t="s">
        <v>524</v>
      </c>
      <c r="D4254" s="197" t="s">
        <v>525</v>
      </c>
      <c r="E4254" s="199">
        <v>11.0</v>
      </c>
      <c r="F4254" s="200">
        <v>45981.45833333333</v>
      </c>
      <c r="G4254" s="197" t="s">
        <v>845</v>
      </c>
      <c r="H4254" s="197" t="s">
        <v>878</v>
      </c>
    </row>
    <row r="4255" ht="15.75" customHeight="1">
      <c r="A4255" s="197" t="s">
        <v>85</v>
      </c>
      <c r="B4255" s="197" t="s">
        <v>22</v>
      </c>
      <c r="C4255" s="198" t="s">
        <v>524</v>
      </c>
      <c r="D4255" s="197" t="s">
        <v>525</v>
      </c>
      <c r="E4255" s="199">
        <v>12.0</v>
      </c>
      <c r="F4255" s="200">
        <v>45988.45833333333</v>
      </c>
      <c r="G4255" s="197" t="s">
        <v>845</v>
      </c>
      <c r="H4255" s="197" t="s">
        <v>878</v>
      </c>
    </row>
    <row r="4256" ht="15.75" customHeight="1">
      <c r="A4256" s="197" t="s">
        <v>85</v>
      </c>
      <c r="B4256" s="197" t="s">
        <v>22</v>
      </c>
      <c r="C4256" s="198" t="s">
        <v>524</v>
      </c>
      <c r="D4256" s="197" t="s">
        <v>525</v>
      </c>
      <c r="E4256" s="199">
        <v>13.0</v>
      </c>
      <c r="F4256" s="200">
        <v>45995.45833333333</v>
      </c>
      <c r="G4256" s="197" t="s">
        <v>845</v>
      </c>
      <c r="H4256" s="197" t="s">
        <v>878</v>
      </c>
    </row>
    <row r="4257" ht="15.75" customHeight="1">
      <c r="A4257" s="197" t="s">
        <v>85</v>
      </c>
      <c r="B4257" s="197" t="s">
        <v>22</v>
      </c>
      <c r="C4257" s="198" t="s">
        <v>524</v>
      </c>
      <c r="D4257" s="197" t="s">
        <v>525</v>
      </c>
      <c r="E4257" s="199">
        <v>14.0</v>
      </c>
      <c r="F4257" s="200">
        <v>46007.54166666667</v>
      </c>
      <c r="G4257" s="197" t="s">
        <v>845</v>
      </c>
      <c r="H4257" s="197" t="s">
        <v>878</v>
      </c>
    </row>
    <row r="4258" ht="15.75" customHeight="1">
      <c r="A4258" s="197" t="s">
        <v>85</v>
      </c>
      <c r="B4258" s="197" t="s">
        <v>22</v>
      </c>
      <c r="C4258" s="198" t="s">
        <v>524</v>
      </c>
      <c r="D4258" s="197" t="s">
        <v>525</v>
      </c>
      <c r="E4258" s="199">
        <v>15.0</v>
      </c>
      <c r="F4258" s="200">
        <v>46021.45833333333</v>
      </c>
      <c r="G4258" s="197" t="s">
        <v>845</v>
      </c>
      <c r="H4258" s="197" t="s">
        <v>878</v>
      </c>
    </row>
    <row r="4259" ht="15.75" customHeight="1">
      <c r="A4259" s="197" t="s">
        <v>85</v>
      </c>
      <c r="B4259" s="197" t="s">
        <v>22</v>
      </c>
      <c r="C4259" s="198" t="s">
        <v>524</v>
      </c>
      <c r="D4259" s="197" t="s">
        <v>525</v>
      </c>
      <c r="E4259" s="199">
        <v>16.0</v>
      </c>
      <c r="F4259" s="200">
        <v>46051.41666666667</v>
      </c>
      <c r="G4259" s="197" t="s">
        <v>845</v>
      </c>
      <c r="H4259" s="197" t="s">
        <v>878</v>
      </c>
    </row>
    <row r="4260" ht="15.75" customHeight="1">
      <c r="A4260" s="197" t="s">
        <v>85</v>
      </c>
      <c r="B4260" s="197" t="s">
        <v>24</v>
      </c>
      <c r="C4260" s="198" t="s">
        <v>530</v>
      </c>
      <c r="D4260" s="197" t="s">
        <v>531</v>
      </c>
      <c r="E4260" s="199">
        <v>1.0</v>
      </c>
      <c r="F4260" s="200">
        <v>46086.45833333333</v>
      </c>
      <c r="G4260" s="197" t="s">
        <v>845</v>
      </c>
      <c r="H4260" s="197" t="s">
        <v>878</v>
      </c>
    </row>
    <row r="4261" ht="15.75" customHeight="1">
      <c r="A4261" s="197" t="s">
        <v>85</v>
      </c>
      <c r="B4261" s="197" t="s">
        <v>24</v>
      </c>
      <c r="C4261" s="198" t="s">
        <v>530</v>
      </c>
      <c r="D4261" s="197" t="s">
        <v>531</v>
      </c>
      <c r="E4261" s="199">
        <v>2.0</v>
      </c>
      <c r="F4261" s="200">
        <v>46098.45833333333</v>
      </c>
      <c r="G4261" s="197" t="s">
        <v>845</v>
      </c>
      <c r="H4261" s="197" t="s">
        <v>878</v>
      </c>
    </row>
    <row r="4262" ht="15.75" customHeight="1">
      <c r="A4262" s="197" t="s">
        <v>85</v>
      </c>
      <c r="B4262" s="197" t="s">
        <v>24</v>
      </c>
      <c r="C4262" s="198" t="s">
        <v>530</v>
      </c>
      <c r="D4262" s="197" t="s">
        <v>531</v>
      </c>
      <c r="E4262" s="199">
        <v>3.0</v>
      </c>
      <c r="F4262" s="200">
        <v>46105.45833333333</v>
      </c>
      <c r="G4262" s="197" t="s">
        <v>845</v>
      </c>
      <c r="H4262" s="197" t="s">
        <v>878</v>
      </c>
    </row>
    <row r="4263" ht="15.75" customHeight="1">
      <c r="A4263" s="197" t="s">
        <v>85</v>
      </c>
      <c r="B4263" s="197" t="s">
        <v>24</v>
      </c>
      <c r="C4263" s="198" t="s">
        <v>530</v>
      </c>
      <c r="D4263" s="197" t="s">
        <v>531</v>
      </c>
      <c r="E4263" s="199">
        <v>4.0</v>
      </c>
      <c r="F4263" s="200">
        <v>46113.625</v>
      </c>
      <c r="G4263" s="197" t="s">
        <v>845</v>
      </c>
      <c r="H4263" s="197" t="s">
        <v>878</v>
      </c>
    </row>
    <row r="4264" ht="15.75" customHeight="1">
      <c r="A4264" s="197" t="s">
        <v>85</v>
      </c>
      <c r="B4264" s="197" t="s">
        <v>24</v>
      </c>
      <c r="C4264" s="198" t="s">
        <v>530</v>
      </c>
      <c r="D4264" s="197" t="s">
        <v>531</v>
      </c>
      <c r="E4264" s="199">
        <v>5.0</v>
      </c>
      <c r="F4264" s="200">
        <v>46120.625</v>
      </c>
      <c r="G4264" s="197" t="s">
        <v>845</v>
      </c>
      <c r="H4264" s="197" t="s">
        <v>878</v>
      </c>
    </row>
    <row r="4265" ht="15.75" customHeight="1">
      <c r="A4265" s="197" t="s">
        <v>85</v>
      </c>
      <c r="B4265" s="197" t="s">
        <v>24</v>
      </c>
      <c r="C4265" s="198" t="s">
        <v>530</v>
      </c>
      <c r="D4265" s="197" t="s">
        <v>531</v>
      </c>
      <c r="E4265" s="199">
        <v>6.0</v>
      </c>
      <c r="F4265" s="200">
        <v>46127.625</v>
      </c>
      <c r="G4265" s="197" t="s">
        <v>845</v>
      </c>
      <c r="H4265" s="197" t="s">
        <v>878</v>
      </c>
    </row>
    <row r="4266" ht="15.75" customHeight="1">
      <c r="A4266" s="197" t="s">
        <v>85</v>
      </c>
      <c r="B4266" s="197" t="s">
        <v>22</v>
      </c>
      <c r="C4266" s="198" t="s">
        <v>530</v>
      </c>
      <c r="D4266" s="197" t="s">
        <v>531</v>
      </c>
      <c r="E4266" s="199">
        <v>1.0</v>
      </c>
      <c r="F4266" s="200">
        <v>45910.54166666667</v>
      </c>
      <c r="G4266" s="197" t="s">
        <v>845</v>
      </c>
      <c r="H4266" s="197" t="s">
        <v>878</v>
      </c>
    </row>
    <row r="4267" ht="15.75" customHeight="1">
      <c r="A4267" s="197" t="s">
        <v>85</v>
      </c>
      <c r="B4267" s="197" t="s">
        <v>22</v>
      </c>
      <c r="C4267" s="198" t="s">
        <v>530</v>
      </c>
      <c r="D4267" s="197" t="s">
        <v>531</v>
      </c>
      <c r="E4267" s="199">
        <v>2.0</v>
      </c>
      <c r="F4267" s="200">
        <v>45916.54166666667</v>
      </c>
      <c r="G4267" s="197" t="s">
        <v>845</v>
      </c>
      <c r="H4267" s="197" t="s">
        <v>878</v>
      </c>
    </row>
    <row r="4268" ht="15.75" customHeight="1">
      <c r="A4268" s="197" t="s">
        <v>85</v>
      </c>
      <c r="B4268" s="197" t="s">
        <v>22</v>
      </c>
      <c r="C4268" s="198" t="s">
        <v>530</v>
      </c>
      <c r="D4268" s="197" t="s">
        <v>531</v>
      </c>
      <c r="E4268" s="199">
        <v>3.0</v>
      </c>
      <c r="F4268" s="200">
        <v>45924.54166666667</v>
      </c>
      <c r="G4268" s="197" t="s">
        <v>845</v>
      </c>
      <c r="H4268" s="197" t="s">
        <v>878</v>
      </c>
    </row>
    <row r="4269" ht="15.75" customHeight="1">
      <c r="A4269" s="197" t="s">
        <v>85</v>
      </c>
      <c r="B4269" s="197" t="s">
        <v>22</v>
      </c>
      <c r="C4269" s="198" t="s">
        <v>530</v>
      </c>
      <c r="D4269" s="197" t="s">
        <v>531</v>
      </c>
      <c r="E4269" s="199">
        <v>4.0</v>
      </c>
      <c r="F4269" s="200">
        <v>45931.54166666667</v>
      </c>
      <c r="G4269" s="197" t="s">
        <v>845</v>
      </c>
      <c r="H4269" s="197" t="s">
        <v>878</v>
      </c>
    </row>
    <row r="4270" ht="15.75" customHeight="1">
      <c r="A4270" s="197" t="s">
        <v>85</v>
      </c>
      <c r="B4270" s="197" t="s">
        <v>22</v>
      </c>
      <c r="C4270" s="198" t="s">
        <v>530</v>
      </c>
      <c r="D4270" s="197" t="s">
        <v>531</v>
      </c>
      <c r="E4270" s="199">
        <v>5.0</v>
      </c>
      <c r="F4270" s="200">
        <v>45938.41666666667</v>
      </c>
      <c r="G4270" s="197" t="s">
        <v>845</v>
      </c>
      <c r="H4270" s="197" t="s">
        <v>878</v>
      </c>
    </row>
    <row r="4271" ht="15.75" customHeight="1">
      <c r="A4271" s="197" t="s">
        <v>85</v>
      </c>
      <c r="B4271" s="197" t="s">
        <v>22</v>
      </c>
      <c r="C4271" s="198" t="s">
        <v>530</v>
      </c>
      <c r="D4271" s="197" t="s">
        <v>531</v>
      </c>
      <c r="E4271" s="199">
        <v>6.0</v>
      </c>
      <c r="F4271" s="200">
        <v>45951.41666666667</v>
      </c>
      <c r="G4271" s="197" t="s">
        <v>845</v>
      </c>
      <c r="H4271" s="197" t="s">
        <v>878</v>
      </c>
    </row>
    <row r="4272" ht="15.75" customHeight="1">
      <c r="A4272" s="197" t="s">
        <v>85</v>
      </c>
      <c r="B4272" s="197" t="s">
        <v>22</v>
      </c>
      <c r="C4272" s="198" t="s">
        <v>530</v>
      </c>
      <c r="D4272" s="197" t="s">
        <v>531</v>
      </c>
      <c r="E4272" s="199">
        <v>7.0</v>
      </c>
      <c r="F4272" s="200">
        <v>45952.41666666667</v>
      </c>
      <c r="G4272" s="197" t="s">
        <v>845</v>
      </c>
      <c r="H4272" s="197" t="s">
        <v>878</v>
      </c>
    </row>
    <row r="4273" ht="15.75" customHeight="1">
      <c r="A4273" s="197" t="s">
        <v>85</v>
      </c>
      <c r="B4273" s="197" t="s">
        <v>22</v>
      </c>
      <c r="C4273" s="198" t="s">
        <v>530</v>
      </c>
      <c r="D4273" s="197" t="s">
        <v>531</v>
      </c>
      <c r="E4273" s="199">
        <v>8.0</v>
      </c>
      <c r="F4273" s="200">
        <v>45959.45833333333</v>
      </c>
      <c r="G4273" s="197" t="s">
        <v>845</v>
      </c>
      <c r="H4273" s="197" t="s">
        <v>878</v>
      </c>
    </row>
    <row r="4274" ht="15.75" customHeight="1">
      <c r="A4274" s="197" t="s">
        <v>85</v>
      </c>
      <c r="B4274" s="197" t="s">
        <v>22</v>
      </c>
      <c r="C4274" s="198" t="s">
        <v>530</v>
      </c>
      <c r="D4274" s="197" t="s">
        <v>531</v>
      </c>
      <c r="E4274" s="199">
        <v>9.0</v>
      </c>
      <c r="F4274" s="200">
        <v>45967.45833333333</v>
      </c>
      <c r="G4274" s="197" t="s">
        <v>845</v>
      </c>
      <c r="H4274" s="197" t="s">
        <v>878</v>
      </c>
    </row>
    <row r="4275" ht="15.75" customHeight="1">
      <c r="A4275" s="197" t="s">
        <v>85</v>
      </c>
      <c r="B4275" s="197" t="s">
        <v>22</v>
      </c>
      <c r="C4275" s="198" t="s">
        <v>530</v>
      </c>
      <c r="D4275" s="197" t="s">
        <v>531</v>
      </c>
      <c r="E4275" s="199">
        <v>10.0</v>
      </c>
      <c r="F4275" s="200">
        <v>45974.45833333333</v>
      </c>
      <c r="G4275" s="197" t="s">
        <v>845</v>
      </c>
      <c r="H4275" s="197" t="s">
        <v>878</v>
      </c>
    </row>
    <row r="4276" ht="15.75" customHeight="1">
      <c r="A4276" s="197" t="s">
        <v>85</v>
      </c>
      <c r="B4276" s="197" t="s">
        <v>22</v>
      </c>
      <c r="C4276" s="198" t="s">
        <v>530</v>
      </c>
      <c r="D4276" s="197" t="s">
        <v>531</v>
      </c>
      <c r="E4276" s="199">
        <v>11.0</v>
      </c>
      <c r="F4276" s="200">
        <v>45981.45833333333</v>
      </c>
      <c r="G4276" s="197" t="s">
        <v>845</v>
      </c>
      <c r="H4276" s="197" t="s">
        <v>878</v>
      </c>
    </row>
    <row r="4277" ht="15.75" customHeight="1">
      <c r="A4277" s="197" t="s">
        <v>85</v>
      </c>
      <c r="B4277" s="197" t="s">
        <v>22</v>
      </c>
      <c r="C4277" s="198" t="s">
        <v>530</v>
      </c>
      <c r="D4277" s="197" t="s">
        <v>531</v>
      </c>
      <c r="E4277" s="199">
        <v>12.0</v>
      </c>
      <c r="F4277" s="200">
        <v>45988.45833333333</v>
      </c>
      <c r="G4277" s="197" t="s">
        <v>845</v>
      </c>
      <c r="H4277" s="197" t="s">
        <v>878</v>
      </c>
    </row>
    <row r="4278" ht="15.75" customHeight="1">
      <c r="A4278" s="197" t="s">
        <v>85</v>
      </c>
      <c r="B4278" s="197" t="s">
        <v>22</v>
      </c>
      <c r="C4278" s="198" t="s">
        <v>530</v>
      </c>
      <c r="D4278" s="197" t="s">
        <v>531</v>
      </c>
      <c r="E4278" s="199">
        <v>13.0</v>
      </c>
      <c r="F4278" s="200">
        <v>45995.45833333333</v>
      </c>
      <c r="G4278" s="197" t="s">
        <v>845</v>
      </c>
      <c r="H4278" s="197" t="s">
        <v>878</v>
      </c>
    </row>
    <row r="4279" ht="15.75" customHeight="1">
      <c r="A4279" s="197" t="s">
        <v>85</v>
      </c>
      <c r="B4279" s="197" t="s">
        <v>22</v>
      </c>
      <c r="C4279" s="198" t="s">
        <v>530</v>
      </c>
      <c r="D4279" s="197" t="s">
        <v>531</v>
      </c>
      <c r="E4279" s="199">
        <v>14.0</v>
      </c>
      <c r="F4279" s="200">
        <v>46007.54166666667</v>
      </c>
      <c r="G4279" s="197" t="s">
        <v>845</v>
      </c>
      <c r="H4279" s="197" t="s">
        <v>878</v>
      </c>
    </row>
    <row r="4280" ht="15.75" customHeight="1">
      <c r="A4280" s="197" t="s">
        <v>85</v>
      </c>
      <c r="B4280" s="197" t="s">
        <v>22</v>
      </c>
      <c r="C4280" s="198" t="s">
        <v>530</v>
      </c>
      <c r="D4280" s="197" t="s">
        <v>531</v>
      </c>
      <c r="E4280" s="199">
        <v>15.0</v>
      </c>
      <c r="F4280" s="200">
        <v>46021.45833333333</v>
      </c>
      <c r="G4280" s="197" t="s">
        <v>845</v>
      </c>
      <c r="H4280" s="197" t="s">
        <v>878</v>
      </c>
    </row>
    <row r="4281" ht="15.75" customHeight="1">
      <c r="A4281" s="197" t="s">
        <v>85</v>
      </c>
      <c r="B4281" s="197" t="s">
        <v>22</v>
      </c>
      <c r="C4281" s="198" t="s">
        <v>530</v>
      </c>
      <c r="D4281" s="197" t="s">
        <v>531</v>
      </c>
      <c r="E4281" s="199">
        <v>16.0</v>
      </c>
      <c r="F4281" s="200">
        <v>46051.41666666667</v>
      </c>
      <c r="G4281" s="197" t="s">
        <v>845</v>
      </c>
      <c r="H4281" s="197" t="s">
        <v>878</v>
      </c>
    </row>
    <row r="4282" ht="15.75" customHeight="1">
      <c r="A4282" s="197" t="s">
        <v>85</v>
      </c>
      <c r="B4282" s="197" t="s">
        <v>24</v>
      </c>
      <c r="C4282" s="198" t="s">
        <v>621</v>
      </c>
      <c r="D4282" s="197" t="s">
        <v>622</v>
      </c>
      <c r="E4282" s="199">
        <v>1.0</v>
      </c>
      <c r="F4282" s="200">
        <v>46086.45833333333</v>
      </c>
      <c r="G4282" s="197" t="s">
        <v>845</v>
      </c>
      <c r="H4282" s="197" t="s">
        <v>878</v>
      </c>
    </row>
    <row r="4283" ht="15.75" customHeight="1">
      <c r="A4283" s="197" t="s">
        <v>85</v>
      </c>
      <c r="B4283" s="197" t="s">
        <v>24</v>
      </c>
      <c r="C4283" s="198" t="s">
        <v>621</v>
      </c>
      <c r="D4283" s="197" t="s">
        <v>622</v>
      </c>
      <c r="E4283" s="199">
        <v>2.0</v>
      </c>
      <c r="F4283" s="200">
        <v>46098.45833333333</v>
      </c>
      <c r="G4283" s="197" t="s">
        <v>845</v>
      </c>
      <c r="H4283" s="197" t="s">
        <v>878</v>
      </c>
    </row>
    <row r="4284" ht="15.75" customHeight="1">
      <c r="A4284" s="197" t="s">
        <v>85</v>
      </c>
      <c r="B4284" s="197" t="s">
        <v>24</v>
      </c>
      <c r="C4284" s="198" t="s">
        <v>621</v>
      </c>
      <c r="D4284" s="197" t="s">
        <v>622</v>
      </c>
      <c r="E4284" s="199">
        <v>3.0</v>
      </c>
      <c r="F4284" s="200">
        <v>46105.45833333333</v>
      </c>
      <c r="G4284" s="197" t="s">
        <v>845</v>
      </c>
      <c r="H4284" s="197" t="s">
        <v>878</v>
      </c>
    </row>
    <row r="4285" ht="15.75" customHeight="1">
      <c r="A4285" s="197" t="s">
        <v>85</v>
      </c>
      <c r="B4285" s="197" t="s">
        <v>24</v>
      </c>
      <c r="C4285" s="198" t="s">
        <v>621</v>
      </c>
      <c r="D4285" s="197" t="s">
        <v>622</v>
      </c>
      <c r="E4285" s="199">
        <v>4.0</v>
      </c>
      <c r="F4285" s="200">
        <v>46113.625</v>
      </c>
      <c r="G4285" s="197" t="s">
        <v>845</v>
      </c>
      <c r="H4285" s="197" t="s">
        <v>878</v>
      </c>
    </row>
    <row r="4286" ht="15.75" customHeight="1">
      <c r="A4286" s="197" t="s">
        <v>85</v>
      </c>
      <c r="B4286" s="197" t="s">
        <v>24</v>
      </c>
      <c r="C4286" s="198" t="s">
        <v>621</v>
      </c>
      <c r="D4286" s="197" t="s">
        <v>622</v>
      </c>
      <c r="E4286" s="199">
        <v>5.0</v>
      </c>
      <c r="F4286" s="200">
        <v>46120.625</v>
      </c>
      <c r="G4286" s="197" t="s">
        <v>845</v>
      </c>
      <c r="H4286" s="197" t="s">
        <v>878</v>
      </c>
    </row>
    <row r="4287" ht="15.75" customHeight="1">
      <c r="A4287" s="197" t="s">
        <v>85</v>
      </c>
      <c r="B4287" s="197" t="s">
        <v>24</v>
      </c>
      <c r="C4287" s="198" t="s">
        <v>621</v>
      </c>
      <c r="D4287" s="197" t="s">
        <v>622</v>
      </c>
      <c r="E4287" s="199">
        <v>6.0</v>
      </c>
      <c r="F4287" s="200">
        <v>46127.625</v>
      </c>
      <c r="G4287" s="197" t="s">
        <v>845</v>
      </c>
      <c r="H4287" s="197" t="s">
        <v>878</v>
      </c>
    </row>
    <row r="4288" ht="15.75" customHeight="1">
      <c r="A4288" s="197" t="s">
        <v>85</v>
      </c>
      <c r="B4288" s="197" t="s">
        <v>22</v>
      </c>
      <c r="C4288" s="198" t="s">
        <v>621</v>
      </c>
      <c r="D4288" s="197" t="s">
        <v>622</v>
      </c>
      <c r="E4288" s="199">
        <v>1.0</v>
      </c>
      <c r="F4288" s="200">
        <v>45910.54166666667</v>
      </c>
      <c r="G4288" s="197" t="s">
        <v>845</v>
      </c>
      <c r="H4288" s="197" t="s">
        <v>878</v>
      </c>
    </row>
    <row r="4289" ht="15.75" customHeight="1">
      <c r="A4289" s="197" t="s">
        <v>85</v>
      </c>
      <c r="B4289" s="197" t="s">
        <v>22</v>
      </c>
      <c r="C4289" s="198" t="s">
        <v>621</v>
      </c>
      <c r="D4289" s="197" t="s">
        <v>622</v>
      </c>
      <c r="E4289" s="199">
        <v>2.0</v>
      </c>
      <c r="F4289" s="200">
        <v>45916.54166666667</v>
      </c>
      <c r="G4289" s="197" t="s">
        <v>845</v>
      </c>
      <c r="H4289" s="197" t="s">
        <v>878</v>
      </c>
    </row>
    <row r="4290" ht="15.75" customHeight="1">
      <c r="A4290" s="197" t="s">
        <v>85</v>
      </c>
      <c r="B4290" s="197" t="s">
        <v>22</v>
      </c>
      <c r="C4290" s="198" t="s">
        <v>621</v>
      </c>
      <c r="D4290" s="197" t="s">
        <v>622</v>
      </c>
      <c r="E4290" s="199">
        <v>3.0</v>
      </c>
      <c r="F4290" s="200">
        <v>45924.54166666667</v>
      </c>
      <c r="G4290" s="197" t="s">
        <v>845</v>
      </c>
      <c r="H4290" s="197" t="s">
        <v>878</v>
      </c>
    </row>
    <row r="4291" ht="15.75" customHeight="1">
      <c r="A4291" s="197" t="s">
        <v>85</v>
      </c>
      <c r="B4291" s="197" t="s">
        <v>22</v>
      </c>
      <c r="C4291" s="198" t="s">
        <v>621</v>
      </c>
      <c r="D4291" s="197" t="s">
        <v>622</v>
      </c>
      <c r="E4291" s="199">
        <v>4.0</v>
      </c>
      <c r="F4291" s="200">
        <v>45931.54166666667</v>
      </c>
      <c r="G4291" s="197" t="s">
        <v>845</v>
      </c>
      <c r="H4291" s="197" t="s">
        <v>878</v>
      </c>
    </row>
    <row r="4292" ht="15.75" customHeight="1">
      <c r="A4292" s="197" t="s">
        <v>85</v>
      </c>
      <c r="B4292" s="197" t="s">
        <v>22</v>
      </c>
      <c r="C4292" s="198" t="s">
        <v>621</v>
      </c>
      <c r="D4292" s="197" t="s">
        <v>622</v>
      </c>
      <c r="E4292" s="199">
        <v>5.0</v>
      </c>
      <c r="F4292" s="200">
        <v>45938.41666666667</v>
      </c>
      <c r="G4292" s="197" t="s">
        <v>845</v>
      </c>
      <c r="H4292" s="197" t="s">
        <v>878</v>
      </c>
    </row>
    <row r="4293" ht="15.75" customHeight="1">
      <c r="A4293" s="197" t="s">
        <v>85</v>
      </c>
      <c r="B4293" s="197" t="s">
        <v>22</v>
      </c>
      <c r="C4293" s="198" t="s">
        <v>621</v>
      </c>
      <c r="D4293" s="197" t="s">
        <v>622</v>
      </c>
      <c r="E4293" s="199">
        <v>6.0</v>
      </c>
      <c r="F4293" s="200">
        <v>45951.41666666667</v>
      </c>
      <c r="G4293" s="197" t="s">
        <v>845</v>
      </c>
      <c r="H4293" s="197" t="s">
        <v>878</v>
      </c>
    </row>
    <row r="4294" ht="15.75" customHeight="1">
      <c r="A4294" s="197" t="s">
        <v>85</v>
      </c>
      <c r="B4294" s="197" t="s">
        <v>22</v>
      </c>
      <c r="C4294" s="198" t="s">
        <v>621</v>
      </c>
      <c r="D4294" s="197" t="s">
        <v>622</v>
      </c>
      <c r="E4294" s="199">
        <v>7.0</v>
      </c>
      <c r="F4294" s="200">
        <v>45952.41666666667</v>
      </c>
      <c r="G4294" s="197" t="s">
        <v>845</v>
      </c>
      <c r="H4294" s="197" t="s">
        <v>878</v>
      </c>
    </row>
    <row r="4295" ht="15.75" customHeight="1">
      <c r="A4295" s="197" t="s">
        <v>85</v>
      </c>
      <c r="B4295" s="197" t="s">
        <v>22</v>
      </c>
      <c r="C4295" s="198" t="s">
        <v>621</v>
      </c>
      <c r="D4295" s="197" t="s">
        <v>622</v>
      </c>
      <c r="E4295" s="199">
        <v>8.0</v>
      </c>
      <c r="F4295" s="200">
        <v>45959.45833333333</v>
      </c>
      <c r="G4295" s="197" t="s">
        <v>845</v>
      </c>
      <c r="H4295" s="197" t="s">
        <v>878</v>
      </c>
    </row>
    <row r="4296" ht="15.75" customHeight="1">
      <c r="A4296" s="197" t="s">
        <v>85</v>
      </c>
      <c r="B4296" s="197" t="s">
        <v>22</v>
      </c>
      <c r="C4296" s="198" t="s">
        <v>621</v>
      </c>
      <c r="D4296" s="197" t="s">
        <v>622</v>
      </c>
      <c r="E4296" s="199">
        <v>9.0</v>
      </c>
      <c r="F4296" s="200">
        <v>45967.45833333333</v>
      </c>
      <c r="G4296" s="197" t="s">
        <v>845</v>
      </c>
      <c r="H4296" s="197" t="s">
        <v>878</v>
      </c>
    </row>
    <row r="4297" ht="15.75" customHeight="1">
      <c r="A4297" s="197" t="s">
        <v>85</v>
      </c>
      <c r="B4297" s="197" t="s">
        <v>22</v>
      </c>
      <c r="C4297" s="198" t="s">
        <v>621</v>
      </c>
      <c r="D4297" s="197" t="s">
        <v>622</v>
      </c>
      <c r="E4297" s="199">
        <v>10.0</v>
      </c>
      <c r="F4297" s="200">
        <v>45974.45833333333</v>
      </c>
      <c r="G4297" s="197" t="s">
        <v>843</v>
      </c>
      <c r="H4297" s="197" t="s">
        <v>878</v>
      </c>
    </row>
    <row r="4298" ht="15.75" customHeight="1">
      <c r="A4298" s="197" t="s">
        <v>85</v>
      </c>
      <c r="B4298" s="197" t="s">
        <v>22</v>
      </c>
      <c r="C4298" s="198" t="s">
        <v>621</v>
      </c>
      <c r="D4298" s="197" t="s">
        <v>622</v>
      </c>
      <c r="E4298" s="199">
        <v>11.0</v>
      </c>
      <c r="F4298" s="200">
        <v>45981.45833333333</v>
      </c>
      <c r="G4298" s="197" t="s">
        <v>845</v>
      </c>
      <c r="H4298" s="197" t="s">
        <v>878</v>
      </c>
    </row>
    <row r="4299" ht="15.75" customHeight="1">
      <c r="A4299" s="197" t="s">
        <v>85</v>
      </c>
      <c r="B4299" s="197" t="s">
        <v>22</v>
      </c>
      <c r="C4299" s="198" t="s">
        <v>621</v>
      </c>
      <c r="D4299" s="197" t="s">
        <v>622</v>
      </c>
      <c r="E4299" s="199">
        <v>12.0</v>
      </c>
      <c r="F4299" s="200">
        <v>45988.45833333333</v>
      </c>
      <c r="G4299" s="197" t="s">
        <v>845</v>
      </c>
      <c r="H4299" s="197" t="s">
        <v>878</v>
      </c>
    </row>
    <row r="4300" ht="15.75" customHeight="1">
      <c r="A4300" s="197" t="s">
        <v>85</v>
      </c>
      <c r="B4300" s="197" t="s">
        <v>22</v>
      </c>
      <c r="C4300" s="198" t="s">
        <v>621</v>
      </c>
      <c r="D4300" s="197" t="s">
        <v>622</v>
      </c>
      <c r="E4300" s="199">
        <v>13.0</v>
      </c>
      <c r="F4300" s="200">
        <v>45995.45833333333</v>
      </c>
      <c r="G4300" s="197" t="s">
        <v>845</v>
      </c>
      <c r="H4300" s="197" t="s">
        <v>878</v>
      </c>
    </row>
    <row r="4301" ht="15.75" customHeight="1">
      <c r="A4301" s="197" t="s">
        <v>85</v>
      </c>
      <c r="B4301" s="197" t="s">
        <v>22</v>
      </c>
      <c r="C4301" s="198" t="s">
        <v>621</v>
      </c>
      <c r="D4301" s="197" t="s">
        <v>622</v>
      </c>
      <c r="E4301" s="199">
        <v>14.0</v>
      </c>
      <c r="F4301" s="200">
        <v>46007.54166666667</v>
      </c>
      <c r="G4301" s="197" t="s">
        <v>845</v>
      </c>
      <c r="H4301" s="197" t="s">
        <v>878</v>
      </c>
    </row>
    <row r="4302" ht="15.75" customHeight="1">
      <c r="A4302" s="197" t="s">
        <v>85</v>
      </c>
      <c r="B4302" s="197" t="s">
        <v>22</v>
      </c>
      <c r="C4302" s="198" t="s">
        <v>621</v>
      </c>
      <c r="D4302" s="197" t="s">
        <v>622</v>
      </c>
      <c r="E4302" s="199">
        <v>15.0</v>
      </c>
      <c r="F4302" s="200">
        <v>46021.45833333333</v>
      </c>
      <c r="G4302" s="197" t="s">
        <v>845</v>
      </c>
      <c r="H4302" s="197" t="s">
        <v>878</v>
      </c>
    </row>
    <row r="4303" ht="15.75" customHeight="1">
      <c r="A4303" s="197" t="s">
        <v>85</v>
      </c>
      <c r="B4303" s="197" t="s">
        <v>22</v>
      </c>
      <c r="C4303" s="198" t="s">
        <v>621</v>
      </c>
      <c r="D4303" s="197" t="s">
        <v>622</v>
      </c>
      <c r="E4303" s="199">
        <v>16.0</v>
      </c>
      <c r="F4303" s="200">
        <v>46051.41666666667</v>
      </c>
      <c r="G4303" s="197" t="s">
        <v>845</v>
      </c>
      <c r="H4303" s="197" t="s">
        <v>878</v>
      </c>
    </row>
    <row r="4304" ht="15.75" customHeight="1">
      <c r="A4304" s="197" t="s">
        <v>85</v>
      </c>
      <c r="B4304" s="197" t="s">
        <v>21</v>
      </c>
      <c r="C4304" s="198" t="s">
        <v>681</v>
      </c>
      <c r="D4304" s="197" t="s">
        <v>682</v>
      </c>
      <c r="E4304" s="199">
        <v>1.0</v>
      </c>
      <c r="F4304" s="200">
        <v>45764.45833333333</v>
      </c>
      <c r="G4304" s="197" t="s">
        <v>845</v>
      </c>
      <c r="H4304" s="197" t="s">
        <v>878</v>
      </c>
    </row>
    <row r="4305" ht="15.75" customHeight="1">
      <c r="A4305" s="197" t="s">
        <v>85</v>
      </c>
      <c r="B4305" s="197" t="s">
        <v>21</v>
      </c>
      <c r="C4305" s="198" t="s">
        <v>681</v>
      </c>
      <c r="D4305" s="197" t="s">
        <v>682</v>
      </c>
      <c r="E4305" s="199">
        <v>2.0</v>
      </c>
      <c r="F4305" s="200">
        <v>45783.58333333333</v>
      </c>
      <c r="G4305" s="197" t="s">
        <v>845</v>
      </c>
      <c r="H4305" s="197" t="s">
        <v>878</v>
      </c>
    </row>
    <row r="4306" ht="15.75" customHeight="1">
      <c r="A4306" s="197" t="s">
        <v>85</v>
      </c>
      <c r="B4306" s="197" t="s">
        <v>21</v>
      </c>
      <c r="C4306" s="198" t="s">
        <v>681</v>
      </c>
      <c r="D4306" s="197" t="s">
        <v>682</v>
      </c>
      <c r="E4306" s="199">
        <v>3.0</v>
      </c>
      <c r="F4306" s="200">
        <v>45790.375</v>
      </c>
      <c r="G4306" s="197" t="s">
        <v>845</v>
      </c>
      <c r="H4306" s="197" t="s">
        <v>878</v>
      </c>
    </row>
    <row r="4307" ht="15.75" customHeight="1">
      <c r="A4307" s="197" t="s">
        <v>85</v>
      </c>
      <c r="B4307" s="197" t="s">
        <v>21</v>
      </c>
      <c r="C4307" s="198" t="s">
        <v>681</v>
      </c>
      <c r="D4307" s="197" t="s">
        <v>682</v>
      </c>
      <c r="E4307" s="199">
        <v>4.0</v>
      </c>
      <c r="F4307" s="200">
        <v>45804.45833333333</v>
      </c>
      <c r="G4307" s="197" t="s">
        <v>845</v>
      </c>
      <c r="H4307" s="197" t="s">
        <v>878</v>
      </c>
    </row>
    <row r="4308" ht="15.75" customHeight="1">
      <c r="A4308" s="197" t="s">
        <v>85</v>
      </c>
      <c r="B4308" s="197" t="s">
        <v>21</v>
      </c>
      <c r="C4308" s="198" t="s">
        <v>681</v>
      </c>
      <c r="D4308" s="197" t="s">
        <v>682</v>
      </c>
      <c r="E4308" s="199">
        <v>5.0</v>
      </c>
      <c r="F4308" s="200">
        <v>45812.54166666667</v>
      </c>
      <c r="G4308" s="197" t="s">
        <v>845</v>
      </c>
      <c r="H4308" s="197" t="s">
        <v>878</v>
      </c>
    </row>
    <row r="4309" ht="15.75" customHeight="1">
      <c r="A4309" s="197" t="s">
        <v>85</v>
      </c>
      <c r="B4309" s="197" t="s">
        <v>21</v>
      </c>
      <c r="C4309" s="198" t="s">
        <v>681</v>
      </c>
      <c r="D4309" s="197" t="s">
        <v>682</v>
      </c>
      <c r="E4309" s="199">
        <v>6.0</v>
      </c>
      <c r="F4309" s="200">
        <v>45820.54166666667</v>
      </c>
      <c r="G4309" s="197" t="s">
        <v>845</v>
      </c>
      <c r="H4309" s="197" t="s">
        <v>878</v>
      </c>
    </row>
    <row r="4310" ht="15.75" customHeight="1">
      <c r="A4310" s="197" t="s">
        <v>85</v>
      </c>
      <c r="B4310" s="197" t="s">
        <v>21</v>
      </c>
      <c r="C4310" s="198" t="s">
        <v>681</v>
      </c>
      <c r="D4310" s="197" t="s">
        <v>682</v>
      </c>
      <c r="E4310" s="199">
        <v>7.0</v>
      </c>
      <c r="F4310" s="200">
        <v>45826.45833333333</v>
      </c>
      <c r="G4310" s="197" t="s">
        <v>845</v>
      </c>
      <c r="H4310" s="197" t="s">
        <v>878</v>
      </c>
    </row>
    <row r="4311" ht="15.75" customHeight="1">
      <c r="A4311" s="197" t="s">
        <v>85</v>
      </c>
      <c r="B4311" s="197" t="s">
        <v>21</v>
      </c>
      <c r="C4311" s="198" t="s">
        <v>681</v>
      </c>
      <c r="D4311" s="197" t="s">
        <v>682</v>
      </c>
      <c r="E4311" s="199">
        <v>8.0</v>
      </c>
      <c r="F4311" s="200">
        <v>45833.58333333333</v>
      </c>
      <c r="G4311" s="197" t="s">
        <v>845</v>
      </c>
      <c r="H4311" s="197" t="s">
        <v>878</v>
      </c>
    </row>
    <row r="4312" ht="15.75" customHeight="1">
      <c r="A4312" s="197" t="s">
        <v>85</v>
      </c>
      <c r="B4312" s="197" t="s">
        <v>21</v>
      </c>
      <c r="C4312" s="198" t="s">
        <v>681</v>
      </c>
      <c r="D4312" s="197" t="s">
        <v>682</v>
      </c>
      <c r="E4312" s="199">
        <v>9.0</v>
      </c>
      <c r="F4312" s="200">
        <v>45839.54166666667</v>
      </c>
      <c r="G4312" s="197" t="s">
        <v>845</v>
      </c>
      <c r="H4312" s="197" t="s">
        <v>878</v>
      </c>
    </row>
    <row r="4313" ht="15.75" customHeight="1">
      <c r="A4313" s="197" t="s">
        <v>85</v>
      </c>
      <c r="B4313" s="197" t="s">
        <v>21</v>
      </c>
      <c r="C4313" s="198" t="s">
        <v>681</v>
      </c>
      <c r="D4313" s="197" t="s">
        <v>682</v>
      </c>
      <c r="E4313" s="199">
        <v>10.0</v>
      </c>
      <c r="F4313" s="200">
        <v>45868.54166666667</v>
      </c>
      <c r="G4313" s="197" t="s">
        <v>845</v>
      </c>
      <c r="H4313" s="197" t="s">
        <v>878</v>
      </c>
    </row>
    <row r="4314" ht="15.75" customHeight="1">
      <c r="A4314" s="197" t="s">
        <v>85</v>
      </c>
      <c r="B4314" s="197" t="s">
        <v>21</v>
      </c>
      <c r="C4314" s="198" t="s">
        <v>719</v>
      </c>
      <c r="D4314" s="197" t="s">
        <v>720</v>
      </c>
      <c r="E4314" s="199">
        <v>1.0</v>
      </c>
      <c r="F4314" s="200">
        <v>45772.58333333333</v>
      </c>
      <c r="G4314" s="197" t="s">
        <v>843</v>
      </c>
      <c r="H4314" s="197" t="s">
        <v>878</v>
      </c>
    </row>
    <row r="4315" ht="15.75" customHeight="1">
      <c r="A4315" s="197" t="s">
        <v>85</v>
      </c>
      <c r="B4315" s="197" t="s">
        <v>21</v>
      </c>
      <c r="C4315" s="198" t="s">
        <v>719</v>
      </c>
      <c r="D4315" s="197" t="s">
        <v>720</v>
      </c>
      <c r="E4315" s="199">
        <v>2.0</v>
      </c>
      <c r="F4315" s="200">
        <v>45783.58333333333</v>
      </c>
      <c r="G4315" s="197" t="s">
        <v>845</v>
      </c>
      <c r="H4315" s="197" t="s">
        <v>878</v>
      </c>
    </row>
    <row r="4316" ht="15.75" customHeight="1">
      <c r="A4316" s="197" t="s">
        <v>85</v>
      </c>
      <c r="B4316" s="197" t="s">
        <v>21</v>
      </c>
      <c r="C4316" s="198" t="s">
        <v>719</v>
      </c>
      <c r="D4316" s="197" t="s">
        <v>720</v>
      </c>
      <c r="E4316" s="199">
        <v>3.0</v>
      </c>
      <c r="F4316" s="200">
        <v>45790.375</v>
      </c>
      <c r="G4316" s="197" t="s">
        <v>845</v>
      </c>
      <c r="H4316" s="197" t="s">
        <v>878</v>
      </c>
    </row>
    <row r="4317" ht="15.75" customHeight="1">
      <c r="A4317" s="197" t="s">
        <v>85</v>
      </c>
      <c r="B4317" s="197" t="s">
        <v>21</v>
      </c>
      <c r="C4317" s="198" t="s">
        <v>719</v>
      </c>
      <c r="D4317" s="197" t="s">
        <v>720</v>
      </c>
      <c r="E4317" s="199">
        <v>4.0</v>
      </c>
      <c r="F4317" s="200">
        <v>45804.45833333333</v>
      </c>
      <c r="G4317" s="197" t="s">
        <v>845</v>
      </c>
      <c r="H4317" s="197" t="s">
        <v>878</v>
      </c>
    </row>
    <row r="4318" ht="15.75" customHeight="1">
      <c r="A4318" s="197" t="s">
        <v>85</v>
      </c>
      <c r="B4318" s="197" t="s">
        <v>21</v>
      </c>
      <c r="C4318" s="198" t="s">
        <v>719</v>
      </c>
      <c r="D4318" s="197" t="s">
        <v>720</v>
      </c>
      <c r="E4318" s="199">
        <v>5.0</v>
      </c>
      <c r="F4318" s="200">
        <v>45812.54166666667</v>
      </c>
      <c r="G4318" s="197" t="s">
        <v>845</v>
      </c>
      <c r="H4318" s="197" t="s">
        <v>878</v>
      </c>
    </row>
    <row r="4319" ht="15.75" customHeight="1">
      <c r="A4319" s="197" t="s">
        <v>85</v>
      </c>
      <c r="B4319" s="197" t="s">
        <v>21</v>
      </c>
      <c r="C4319" s="198" t="s">
        <v>719</v>
      </c>
      <c r="D4319" s="197" t="s">
        <v>720</v>
      </c>
      <c r="E4319" s="199">
        <v>6.0</v>
      </c>
      <c r="F4319" s="200">
        <v>45820.54166666667</v>
      </c>
      <c r="G4319" s="197" t="s">
        <v>845</v>
      </c>
      <c r="H4319" s="197" t="s">
        <v>878</v>
      </c>
    </row>
    <row r="4320" ht="15.75" customHeight="1">
      <c r="A4320" s="197" t="s">
        <v>85</v>
      </c>
      <c r="B4320" s="197" t="s">
        <v>21</v>
      </c>
      <c r="C4320" s="198" t="s">
        <v>719</v>
      </c>
      <c r="D4320" s="197" t="s">
        <v>720</v>
      </c>
      <c r="E4320" s="199">
        <v>7.0</v>
      </c>
      <c r="F4320" s="200">
        <v>45826.45833333333</v>
      </c>
      <c r="G4320" s="197" t="s">
        <v>845</v>
      </c>
      <c r="H4320" s="197" t="s">
        <v>878</v>
      </c>
    </row>
    <row r="4321" ht="15.75" customHeight="1">
      <c r="A4321" s="197" t="s">
        <v>85</v>
      </c>
      <c r="B4321" s="197" t="s">
        <v>21</v>
      </c>
      <c r="C4321" s="198" t="s">
        <v>719</v>
      </c>
      <c r="D4321" s="197" t="s">
        <v>720</v>
      </c>
      <c r="E4321" s="199">
        <v>8.0</v>
      </c>
      <c r="F4321" s="200">
        <v>45833.58333333333</v>
      </c>
      <c r="G4321" s="197" t="s">
        <v>845</v>
      </c>
      <c r="H4321" s="197" t="s">
        <v>878</v>
      </c>
    </row>
    <row r="4322" ht="15.75" customHeight="1">
      <c r="A4322" s="197" t="s">
        <v>85</v>
      </c>
      <c r="B4322" s="197" t="s">
        <v>21</v>
      </c>
      <c r="C4322" s="198" t="s">
        <v>719</v>
      </c>
      <c r="D4322" s="197" t="s">
        <v>720</v>
      </c>
      <c r="E4322" s="199">
        <v>9.0</v>
      </c>
      <c r="F4322" s="200">
        <v>45839.54166666667</v>
      </c>
      <c r="G4322" s="197" t="s">
        <v>845</v>
      </c>
      <c r="H4322" s="197" t="s">
        <v>878</v>
      </c>
    </row>
    <row r="4323" ht="15.75" customHeight="1">
      <c r="A4323" s="197" t="s">
        <v>85</v>
      </c>
      <c r="B4323" s="197" t="s">
        <v>21</v>
      </c>
      <c r="C4323" s="198" t="s">
        <v>719</v>
      </c>
      <c r="D4323" s="197" t="s">
        <v>720</v>
      </c>
      <c r="E4323" s="199">
        <v>10.0</v>
      </c>
      <c r="F4323" s="200">
        <v>45868.54166666667</v>
      </c>
      <c r="G4323" s="197" t="s">
        <v>845</v>
      </c>
      <c r="H4323" s="197" t="s">
        <v>878</v>
      </c>
    </row>
    <row r="4324" ht="15.75" customHeight="1">
      <c r="A4324" s="197" t="s">
        <v>85</v>
      </c>
      <c r="B4324" s="197" t="s">
        <v>22</v>
      </c>
      <c r="C4324" s="198" t="s">
        <v>719</v>
      </c>
      <c r="D4324" s="197" t="s">
        <v>720</v>
      </c>
      <c r="E4324" s="199">
        <v>1.0</v>
      </c>
      <c r="F4324" s="200">
        <v>45910.54166666667</v>
      </c>
      <c r="G4324" s="197" t="s">
        <v>845</v>
      </c>
      <c r="H4324" s="197" t="s">
        <v>878</v>
      </c>
    </row>
    <row r="4325" ht="15.75" customHeight="1">
      <c r="A4325" s="197" t="s">
        <v>85</v>
      </c>
      <c r="B4325" s="197" t="s">
        <v>22</v>
      </c>
      <c r="C4325" s="198" t="s">
        <v>719</v>
      </c>
      <c r="D4325" s="197" t="s">
        <v>720</v>
      </c>
      <c r="E4325" s="199">
        <v>3.0</v>
      </c>
      <c r="F4325" s="200">
        <v>45924.54166666667</v>
      </c>
      <c r="G4325" s="197" t="s">
        <v>845</v>
      </c>
      <c r="H4325" s="197" t="s">
        <v>878</v>
      </c>
    </row>
    <row r="4326" ht="15.75" customHeight="1">
      <c r="A4326" s="197" t="s">
        <v>85</v>
      </c>
      <c r="B4326" s="197" t="s">
        <v>22</v>
      </c>
      <c r="C4326" s="198" t="s">
        <v>719</v>
      </c>
      <c r="D4326" s="197" t="s">
        <v>720</v>
      </c>
      <c r="E4326" s="199">
        <v>4.0</v>
      </c>
      <c r="F4326" s="200">
        <v>45931.54166666667</v>
      </c>
      <c r="G4326" s="197" t="s">
        <v>845</v>
      </c>
      <c r="H4326" s="197" t="s">
        <v>878</v>
      </c>
    </row>
    <row r="4327" ht="15.75" customHeight="1">
      <c r="A4327" s="197" t="s">
        <v>85</v>
      </c>
      <c r="B4327" s="197" t="s">
        <v>22</v>
      </c>
      <c r="C4327" s="198" t="s">
        <v>719</v>
      </c>
      <c r="D4327" s="197" t="s">
        <v>720</v>
      </c>
      <c r="E4327" s="199">
        <v>5.0</v>
      </c>
      <c r="F4327" s="200">
        <v>45938.41666666667</v>
      </c>
      <c r="G4327" s="197" t="s">
        <v>845</v>
      </c>
      <c r="H4327" s="197" t="s">
        <v>878</v>
      </c>
    </row>
    <row r="4328" ht="15.75" customHeight="1">
      <c r="A4328" s="197" t="s">
        <v>85</v>
      </c>
      <c r="B4328" s="197" t="s">
        <v>22</v>
      </c>
      <c r="C4328" s="198" t="s">
        <v>719</v>
      </c>
      <c r="D4328" s="197" t="s">
        <v>720</v>
      </c>
      <c r="E4328" s="199">
        <v>6.0</v>
      </c>
      <c r="F4328" s="200">
        <v>45951.41666666667</v>
      </c>
      <c r="G4328" s="197" t="s">
        <v>845</v>
      </c>
      <c r="H4328" s="197" t="s">
        <v>878</v>
      </c>
    </row>
    <row r="4329" ht="15.75" customHeight="1">
      <c r="A4329" s="197" t="s">
        <v>85</v>
      </c>
      <c r="B4329" s="197" t="s">
        <v>22</v>
      </c>
      <c r="C4329" s="198" t="s">
        <v>719</v>
      </c>
      <c r="D4329" s="197" t="s">
        <v>720</v>
      </c>
      <c r="E4329" s="199">
        <v>7.0</v>
      </c>
      <c r="F4329" s="200">
        <v>45952.41666666667</v>
      </c>
      <c r="G4329" s="197" t="s">
        <v>845</v>
      </c>
      <c r="H4329" s="197" t="s">
        <v>878</v>
      </c>
    </row>
    <row r="4330" ht="15.75" customHeight="1">
      <c r="A4330" s="197" t="s">
        <v>85</v>
      </c>
      <c r="B4330" s="197" t="s">
        <v>22</v>
      </c>
      <c r="C4330" s="198" t="s">
        <v>719</v>
      </c>
      <c r="D4330" s="197" t="s">
        <v>720</v>
      </c>
      <c r="E4330" s="199">
        <v>8.0</v>
      </c>
      <c r="F4330" s="200">
        <v>45959.45833333333</v>
      </c>
      <c r="G4330" s="197" t="s">
        <v>845</v>
      </c>
      <c r="H4330" s="197" t="s">
        <v>878</v>
      </c>
    </row>
    <row r="4331" ht="15.75" customHeight="1">
      <c r="A4331" s="197" t="s">
        <v>85</v>
      </c>
      <c r="B4331" s="197" t="s">
        <v>22</v>
      </c>
      <c r="C4331" s="198" t="s">
        <v>719</v>
      </c>
      <c r="D4331" s="197" t="s">
        <v>720</v>
      </c>
      <c r="E4331" s="199">
        <v>9.0</v>
      </c>
      <c r="F4331" s="200">
        <v>45967.45833333333</v>
      </c>
      <c r="G4331" s="197" t="s">
        <v>845</v>
      </c>
      <c r="H4331" s="197" t="s">
        <v>878</v>
      </c>
    </row>
    <row r="4332" ht="15.75" customHeight="1">
      <c r="A4332" s="197" t="s">
        <v>85</v>
      </c>
      <c r="B4332" s="197" t="s">
        <v>22</v>
      </c>
      <c r="C4332" s="198" t="s">
        <v>719</v>
      </c>
      <c r="D4332" s="197" t="s">
        <v>720</v>
      </c>
      <c r="E4332" s="199">
        <v>10.0</v>
      </c>
      <c r="F4332" s="200">
        <v>45974.45833333333</v>
      </c>
      <c r="G4332" s="197" t="s">
        <v>845</v>
      </c>
      <c r="H4332" s="197" t="s">
        <v>878</v>
      </c>
    </row>
    <row r="4333" ht="15.75" customHeight="1">
      <c r="A4333" s="197" t="s">
        <v>85</v>
      </c>
      <c r="B4333" s="197" t="s">
        <v>22</v>
      </c>
      <c r="C4333" s="198" t="s">
        <v>719</v>
      </c>
      <c r="D4333" s="197" t="s">
        <v>720</v>
      </c>
      <c r="E4333" s="199">
        <v>11.0</v>
      </c>
      <c r="F4333" s="200">
        <v>45981.45833333333</v>
      </c>
      <c r="G4333" s="197" t="s">
        <v>845</v>
      </c>
      <c r="H4333" s="197" t="s">
        <v>878</v>
      </c>
    </row>
    <row r="4334" ht="15.75" customHeight="1">
      <c r="A4334" s="197" t="s">
        <v>85</v>
      </c>
      <c r="B4334" s="197" t="s">
        <v>22</v>
      </c>
      <c r="C4334" s="198" t="s">
        <v>719</v>
      </c>
      <c r="D4334" s="197" t="s">
        <v>720</v>
      </c>
      <c r="E4334" s="199">
        <v>12.0</v>
      </c>
      <c r="F4334" s="200">
        <v>45988.45833333333</v>
      </c>
      <c r="G4334" s="197" t="s">
        <v>845</v>
      </c>
      <c r="H4334" s="197" t="s">
        <v>878</v>
      </c>
    </row>
    <row r="4335" ht="15.75" customHeight="1">
      <c r="A4335" s="197" t="s">
        <v>85</v>
      </c>
      <c r="B4335" s="197" t="s">
        <v>22</v>
      </c>
      <c r="C4335" s="198" t="s">
        <v>719</v>
      </c>
      <c r="D4335" s="197" t="s">
        <v>720</v>
      </c>
      <c r="E4335" s="199">
        <v>13.0</v>
      </c>
      <c r="F4335" s="200">
        <v>45995.45833333333</v>
      </c>
      <c r="G4335" s="197" t="s">
        <v>845</v>
      </c>
      <c r="H4335" s="197" t="s">
        <v>878</v>
      </c>
    </row>
    <row r="4336" ht="15.75" customHeight="1">
      <c r="A4336" s="197" t="s">
        <v>85</v>
      </c>
      <c r="B4336" s="197" t="s">
        <v>22</v>
      </c>
      <c r="C4336" s="198" t="s">
        <v>719</v>
      </c>
      <c r="D4336" s="197" t="s">
        <v>720</v>
      </c>
      <c r="E4336" s="199">
        <v>14.0</v>
      </c>
      <c r="F4336" s="200">
        <v>46007.54166666667</v>
      </c>
      <c r="G4336" s="197" t="s">
        <v>845</v>
      </c>
      <c r="H4336" s="197" t="s">
        <v>878</v>
      </c>
    </row>
    <row r="4337" ht="15.75" customHeight="1">
      <c r="A4337" s="197" t="s">
        <v>85</v>
      </c>
      <c r="B4337" s="197" t="s">
        <v>22</v>
      </c>
      <c r="C4337" s="198" t="s">
        <v>719</v>
      </c>
      <c r="D4337" s="197" t="s">
        <v>720</v>
      </c>
      <c r="E4337" s="199">
        <v>15.0</v>
      </c>
      <c r="F4337" s="200">
        <v>46021.45833333333</v>
      </c>
      <c r="G4337" s="197" t="s">
        <v>845</v>
      </c>
      <c r="H4337" s="197" t="s">
        <v>878</v>
      </c>
    </row>
    <row r="4338" ht="15.75" customHeight="1">
      <c r="A4338" s="197" t="s">
        <v>85</v>
      </c>
      <c r="B4338" s="197" t="s">
        <v>22</v>
      </c>
      <c r="C4338" s="198" t="s">
        <v>719</v>
      </c>
      <c r="D4338" s="197" t="s">
        <v>720</v>
      </c>
      <c r="E4338" s="199">
        <v>16.0</v>
      </c>
      <c r="F4338" s="200">
        <v>46051.41666666667</v>
      </c>
      <c r="G4338" s="197" t="s">
        <v>845</v>
      </c>
      <c r="H4338" s="197" t="s">
        <v>878</v>
      </c>
    </row>
    <row r="4339" ht="15.75" customHeight="1">
      <c r="A4339" s="197" t="s">
        <v>86</v>
      </c>
      <c r="B4339" s="197" t="s">
        <v>25</v>
      </c>
      <c r="C4339" s="198" t="s">
        <v>153</v>
      </c>
      <c r="D4339" s="197" t="s">
        <v>154</v>
      </c>
      <c r="E4339" s="199">
        <v>1.0</v>
      </c>
      <c r="F4339" s="200">
        <v>45805.375</v>
      </c>
      <c r="G4339" s="197" t="s">
        <v>845</v>
      </c>
      <c r="H4339" s="197" t="s">
        <v>879</v>
      </c>
    </row>
    <row r="4340" ht="15.75" customHeight="1">
      <c r="A4340" s="197" t="s">
        <v>86</v>
      </c>
      <c r="B4340" s="197" t="s">
        <v>25</v>
      </c>
      <c r="C4340" s="198" t="s">
        <v>153</v>
      </c>
      <c r="D4340" s="197" t="s">
        <v>154</v>
      </c>
      <c r="E4340" s="199">
        <v>2.0</v>
      </c>
      <c r="F4340" s="200">
        <v>45811.41666666667</v>
      </c>
      <c r="G4340" s="197" t="s">
        <v>845</v>
      </c>
      <c r="H4340" s="197" t="s">
        <v>879</v>
      </c>
    </row>
    <row r="4341" ht="15.75" customHeight="1">
      <c r="A4341" s="197" t="s">
        <v>86</v>
      </c>
      <c r="B4341" s="197" t="s">
        <v>25</v>
      </c>
      <c r="C4341" s="198" t="s">
        <v>153</v>
      </c>
      <c r="D4341" s="197" t="s">
        <v>154</v>
      </c>
      <c r="E4341" s="199">
        <v>3.0</v>
      </c>
      <c r="F4341" s="200">
        <v>45818.41666666667</v>
      </c>
      <c r="G4341" s="197" t="s">
        <v>845</v>
      </c>
      <c r="H4341" s="197" t="s">
        <v>879</v>
      </c>
    </row>
    <row r="4342" ht="15.75" customHeight="1">
      <c r="A4342" s="197" t="s">
        <v>86</v>
      </c>
      <c r="B4342" s="197" t="s">
        <v>25</v>
      </c>
      <c r="C4342" s="198" t="s">
        <v>153</v>
      </c>
      <c r="D4342" s="197" t="s">
        <v>154</v>
      </c>
      <c r="E4342" s="199">
        <v>4.0</v>
      </c>
      <c r="F4342" s="200">
        <v>45825.41666666667</v>
      </c>
      <c r="G4342" s="197" t="s">
        <v>845</v>
      </c>
      <c r="H4342" s="197" t="s">
        <v>879</v>
      </c>
    </row>
    <row r="4343" ht="15.75" customHeight="1">
      <c r="A4343" s="197" t="s">
        <v>86</v>
      </c>
      <c r="B4343" s="197" t="s">
        <v>25</v>
      </c>
      <c r="C4343" s="198" t="s">
        <v>153</v>
      </c>
      <c r="D4343" s="197" t="s">
        <v>154</v>
      </c>
      <c r="E4343" s="199">
        <v>5.0</v>
      </c>
      <c r="F4343" s="200">
        <v>45839.41666666667</v>
      </c>
      <c r="G4343" s="197" t="s">
        <v>845</v>
      </c>
      <c r="H4343" s="197" t="s">
        <v>879</v>
      </c>
    </row>
    <row r="4344" ht="15.75" customHeight="1">
      <c r="A4344" s="197" t="s">
        <v>86</v>
      </c>
      <c r="B4344" s="197" t="s">
        <v>25</v>
      </c>
      <c r="C4344" s="198" t="s">
        <v>153</v>
      </c>
      <c r="D4344" s="197" t="s">
        <v>154</v>
      </c>
      <c r="E4344" s="199">
        <v>6.0</v>
      </c>
      <c r="F4344" s="200">
        <v>45846.41666666667</v>
      </c>
      <c r="G4344" s="197" t="s">
        <v>845</v>
      </c>
      <c r="H4344" s="197" t="s">
        <v>879</v>
      </c>
    </row>
    <row r="4345" ht="15.75" customHeight="1">
      <c r="A4345" s="197" t="s">
        <v>86</v>
      </c>
      <c r="B4345" s="197" t="s">
        <v>25</v>
      </c>
      <c r="C4345" s="198" t="s">
        <v>153</v>
      </c>
      <c r="D4345" s="197" t="s">
        <v>154</v>
      </c>
      <c r="E4345" s="199">
        <v>7.0</v>
      </c>
      <c r="F4345" s="200">
        <v>45855.41666666667</v>
      </c>
      <c r="G4345" s="197" t="s">
        <v>845</v>
      </c>
      <c r="H4345" s="197" t="s">
        <v>879</v>
      </c>
    </row>
    <row r="4346" ht="15.75" customHeight="1">
      <c r="A4346" s="197" t="s">
        <v>86</v>
      </c>
      <c r="B4346" s="197" t="s">
        <v>25</v>
      </c>
      <c r="C4346" s="198" t="s">
        <v>153</v>
      </c>
      <c r="D4346" s="197" t="s">
        <v>154</v>
      </c>
      <c r="E4346" s="199">
        <v>8.0</v>
      </c>
      <c r="F4346" s="200">
        <v>45860.625</v>
      </c>
      <c r="G4346" s="197" t="s">
        <v>845</v>
      </c>
      <c r="H4346" s="197" t="s">
        <v>879</v>
      </c>
    </row>
    <row r="4347" ht="15.75" customHeight="1">
      <c r="A4347" s="197" t="s">
        <v>86</v>
      </c>
      <c r="B4347" s="197" t="s">
        <v>25</v>
      </c>
      <c r="C4347" s="198" t="s">
        <v>153</v>
      </c>
      <c r="D4347" s="197" t="s">
        <v>154</v>
      </c>
      <c r="E4347" s="199">
        <v>9.0</v>
      </c>
      <c r="F4347" s="200">
        <v>45869.45833333333</v>
      </c>
      <c r="G4347" s="197" t="s">
        <v>845</v>
      </c>
      <c r="H4347" s="197" t="s">
        <v>879</v>
      </c>
    </row>
    <row r="4348" ht="15.75" customHeight="1">
      <c r="A4348" s="197" t="s">
        <v>86</v>
      </c>
      <c r="B4348" s="197" t="s">
        <v>25</v>
      </c>
      <c r="C4348" s="198" t="s">
        <v>153</v>
      </c>
      <c r="D4348" s="197" t="s">
        <v>154</v>
      </c>
      <c r="E4348" s="199">
        <v>10.0</v>
      </c>
      <c r="F4348" s="200">
        <v>45881.5</v>
      </c>
      <c r="G4348" s="197" t="s">
        <v>845</v>
      </c>
      <c r="H4348" s="197" t="s">
        <v>879</v>
      </c>
    </row>
    <row r="4349" ht="15.75" customHeight="1">
      <c r="A4349" s="197" t="s">
        <v>86</v>
      </c>
      <c r="B4349" s="197" t="s">
        <v>25</v>
      </c>
      <c r="C4349" s="198" t="s">
        <v>153</v>
      </c>
      <c r="D4349" s="197" t="s">
        <v>154</v>
      </c>
      <c r="E4349" s="199">
        <v>11.0</v>
      </c>
      <c r="F4349" s="200">
        <v>45888.54166666667</v>
      </c>
      <c r="G4349" s="197" t="s">
        <v>845</v>
      </c>
      <c r="H4349" s="197" t="s">
        <v>879</v>
      </c>
    </row>
    <row r="4350" ht="15.75" customHeight="1">
      <c r="A4350" s="197" t="s">
        <v>86</v>
      </c>
      <c r="B4350" s="197" t="s">
        <v>25</v>
      </c>
      <c r="C4350" s="198" t="s">
        <v>153</v>
      </c>
      <c r="D4350" s="197" t="s">
        <v>154</v>
      </c>
      <c r="E4350" s="199">
        <v>12.0</v>
      </c>
      <c r="F4350" s="200">
        <v>45897.45833333333</v>
      </c>
      <c r="G4350" s="197" t="s">
        <v>845</v>
      </c>
      <c r="H4350" s="197" t="s">
        <v>879</v>
      </c>
    </row>
    <row r="4351" ht="15.75" customHeight="1">
      <c r="A4351" s="197" t="s">
        <v>86</v>
      </c>
      <c r="B4351" s="197" t="s">
        <v>25</v>
      </c>
      <c r="C4351" s="198" t="s">
        <v>153</v>
      </c>
      <c r="D4351" s="197" t="s">
        <v>154</v>
      </c>
      <c r="E4351" s="199">
        <v>13.0</v>
      </c>
      <c r="F4351" s="200">
        <v>45909.41666666667</v>
      </c>
      <c r="G4351" s="197" t="s">
        <v>845</v>
      </c>
      <c r="H4351" s="197" t="s">
        <v>879</v>
      </c>
    </row>
    <row r="4352" ht="15.75" customHeight="1">
      <c r="A4352" s="197" t="s">
        <v>86</v>
      </c>
      <c r="B4352" s="197" t="s">
        <v>25</v>
      </c>
      <c r="C4352" s="198" t="s">
        <v>153</v>
      </c>
      <c r="D4352" s="197" t="s">
        <v>154</v>
      </c>
      <c r="E4352" s="199">
        <v>14.0</v>
      </c>
      <c r="F4352" s="200">
        <v>45923.41666666667</v>
      </c>
      <c r="G4352" s="197" t="s">
        <v>845</v>
      </c>
      <c r="H4352" s="197" t="s">
        <v>879</v>
      </c>
    </row>
    <row r="4353" ht="15.75" customHeight="1">
      <c r="A4353" s="197" t="s">
        <v>86</v>
      </c>
      <c r="B4353" s="197" t="s">
        <v>25</v>
      </c>
      <c r="C4353" s="198" t="s">
        <v>153</v>
      </c>
      <c r="D4353" s="197" t="s">
        <v>154</v>
      </c>
      <c r="E4353" s="199">
        <v>15.0</v>
      </c>
      <c r="F4353" s="200">
        <v>45925.625</v>
      </c>
      <c r="G4353" s="197" t="s">
        <v>845</v>
      </c>
      <c r="H4353" s="197" t="s">
        <v>879</v>
      </c>
    </row>
    <row r="4354" ht="15.75" customHeight="1">
      <c r="A4354" s="197" t="s">
        <v>86</v>
      </c>
      <c r="B4354" s="197" t="s">
        <v>21</v>
      </c>
      <c r="C4354" s="198" t="s">
        <v>277</v>
      </c>
      <c r="D4354" s="197" t="s">
        <v>278</v>
      </c>
      <c r="E4354" s="199">
        <v>2.0</v>
      </c>
      <c r="F4354" s="200">
        <v>45930.41666666667</v>
      </c>
      <c r="G4354" s="197" t="s">
        <v>845</v>
      </c>
      <c r="H4354" s="197" t="s">
        <v>879</v>
      </c>
    </row>
    <row r="4355" ht="15.75" customHeight="1">
      <c r="A4355" s="197" t="s">
        <v>86</v>
      </c>
      <c r="B4355" s="197" t="s">
        <v>21</v>
      </c>
      <c r="C4355" s="198" t="s">
        <v>277</v>
      </c>
      <c r="D4355" s="197" t="s">
        <v>278</v>
      </c>
      <c r="E4355" s="199">
        <v>3.0</v>
      </c>
      <c r="F4355" s="200">
        <v>45932.58333333333</v>
      </c>
      <c r="G4355" s="197" t="s">
        <v>845</v>
      </c>
      <c r="H4355" s="197" t="s">
        <v>879</v>
      </c>
    </row>
    <row r="4356" ht="15.75" customHeight="1">
      <c r="A4356" s="197" t="s">
        <v>86</v>
      </c>
      <c r="B4356" s="197" t="s">
        <v>21</v>
      </c>
      <c r="C4356" s="198" t="s">
        <v>277</v>
      </c>
      <c r="D4356" s="197" t="s">
        <v>278</v>
      </c>
      <c r="E4356" s="199">
        <v>4.0</v>
      </c>
      <c r="F4356" s="200">
        <v>45937.41666666667</v>
      </c>
      <c r="G4356" s="197" t="s">
        <v>845</v>
      </c>
      <c r="H4356" s="197" t="s">
        <v>879</v>
      </c>
    </row>
    <row r="4357" ht="15.75" customHeight="1">
      <c r="A4357" s="197" t="s">
        <v>86</v>
      </c>
      <c r="B4357" s="197" t="s">
        <v>21</v>
      </c>
      <c r="C4357" s="198" t="s">
        <v>277</v>
      </c>
      <c r="D4357" s="197" t="s">
        <v>278</v>
      </c>
      <c r="E4357" s="199">
        <v>5.0</v>
      </c>
      <c r="F4357" s="200">
        <v>45939.625</v>
      </c>
      <c r="G4357" s="197" t="s">
        <v>845</v>
      </c>
      <c r="H4357" s="197" t="s">
        <v>879</v>
      </c>
    </row>
    <row r="4358" ht="15.75" customHeight="1">
      <c r="A4358" s="197" t="s">
        <v>86</v>
      </c>
      <c r="B4358" s="197" t="s">
        <v>21</v>
      </c>
      <c r="C4358" s="198" t="s">
        <v>277</v>
      </c>
      <c r="D4358" s="197" t="s">
        <v>278</v>
      </c>
      <c r="E4358" s="199">
        <v>6.0</v>
      </c>
      <c r="F4358" s="200">
        <v>45951.41666666667</v>
      </c>
      <c r="G4358" s="197" t="s">
        <v>845</v>
      </c>
      <c r="H4358" s="197" t="s">
        <v>879</v>
      </c>
    </row>
    <row r="4359" ht="15.75" customHeight="1">
      <c r="A4359" s="197" t="s">
        <v>86</v>
      </c>
      <c r="B4359" s="197" t="s">
        <v>21</v>
      </c>
      <c r="C4359" s="198" t="s">
        <v>277</v>
      </c>
      <c r="D4359" s="197" t="s">
        <v>278</v>
      </c>
      <c r="E4359" s="199">
        <v>7.0</v>
      </c>
      <c r="F4359" s="200">
        <v>45953.625</v>
      </c>
      <c r="G4359" s="197" t="s">
        <v>845</v>
      </c>
      <c r="H4359" s="197" t="s">
        <v>879</v>
      </c>
    </row>
    <row r="4360" ht="15.75" customHeight="1">
      <c r="A4360" s="197" t="s">
        <v>86</v>
      </c>
      <c r="B4360" s="197" t="s">
        <v>21</v>
      </c>
      <c r="C4360" s="198" t="s">
        <v>277</v>
      </c>
      <c r="D4360" s="197" t="s">
        <v>278</v>
      </c>
      <c r="E4360" s="199">
        <v>8.0</v>
      </c>
      <c r="F4360" s="200">
        <v>45958.41666666667</v>
      </c>
      <c r="G4360" s="197" t="s">
        <v>845</v>
      </c>
      <c r="H4360" s="197" t="s">
        <v>879</v>
      </c>
    </row>
    <row r="4361" ht="15.75" customHeight="1">
      <c r="A4361" s="197" t="s">
        <v>86</v>
      </c>
      <c r="B4361" s="197" t="s">
        <v>21</v>
      </c>
      <c r="C4361" s="198" t="s">
        <v>277</v>
      </c>
      <c r="D4361" s="197" t="s">
        <v>278</v>
      </c>
      <c r="E4361" s="199">
        <v>9.0</v>
      </c>
      <c r="F4361" s="200">
        <v>45958.45833333333</v>
      </c>
      <c r="G4361" s="197" t="s">
        <v>845</v>
      </c>
      <c r="H4361" s="197" t="s">
        <v>879</v>
      </c>
    </row>
    <row r="4362" ht="15.75" customHeight="1">
      <c r="A4362" s="197" t="s">
        <v>86</v>
      </c>
      <c r="B4362" s="197" t="s">
        <v>21</v>
      </c>
      <c r="C4362" s="198" t="s">
        <v>277</v>
      </c>
      <c r="D4362" s="197" t="s">
        <v>278</v>
      </c>
      <c r="E4362" s="199">
        <v>10.0</v>
      </c>
      <c r="F4362" s="200">
        <v>45965.625</v>
      </c>
      <c r="G4362" s="197" t="s">
        <v>845</v>
      </c>
      <c r="H4362" s="197" t="s">
        <v>879</v>
      </c>
    </row>
    <row r="4363" ht="15.75" customHeight="1">
      <c r="A4363" s="197" t="s">
        <v>86</v>
      </c>
      <c r="B4363" s="197" t="s">
        <v>21</v>
      </c>
      <c r="C4363" s="198" t="s">
        <v>277</v>
      </c>
      <c r="D4363" s="197" t="s">
        <v>278</v>
      </c>
      <c r="E4363" s="199">
        <v>11.0</v>
      </c>
      <c r="F4363" s="200">
        <v>45972.625</v>
      </c>
      <c r="G4363" s="197" t="s">
        <v>843</v>
      </c>
      <c r="H4363" s="197" t="s">
        <v>879</v>
      </c>
    </row>
    <row r="4364" ht="15.75" customHeight="1">
      <c r="A4364" s="197" t="s">
        <v>86</v>
      </c>
      <c r="B4364" s="197" t="s">
        <v>21</v>
      </c>
      <c r="C4364" s="198" t="s">
        <v>277</v>
      </c>
      <c r="D4364" s="197" t="s">
        <v>278</v>
      </c>
      <c r="E4364" s="199">
        <v>12.0</v>
      </c>
      <c r="F4364" s="200">
        <v>45979.41666666667</v>
      </c>
      <c r="G4364" s="197" t="s">
        <v>843</v>
      </c>
      <c r="H4364" s="197" t="s">
        <v>879</v>
      </c>
    </row>
    <row r="4365" ht="15.75" customHeight="1">
      <c r="A4365" s="197" t="s">
        <v>86</v>
      </c>
      <c r="B4365" s="197" t="s">
        <v>21</v>
      </c>
      <c r="C4365" s="198" t="s">
        <v>277</v>
      </c>
      <c r="D4365" s="197" t="s">
        <v>278</v>
      </c>
      <c r="E4365" s="199">
        <v>13.0</v>
      </c>
      <c r="F4365" s="200">
        <v>45979.41666666667</v>
      </c>
      <c r="G4365" s="197" t="s">
        <v>845</v>
      </c>
      <c r="H4365" s="197" t="s">
        <v>879</v>
      </c>
    </row>
    <row r="4366" ht="15.75" customHeight="1">
      <c r="A4366" s="197" t="s">
        <v>86</v>
      </c>
      <c r="B4366" s="197" t="s">
        <v>21</v>
      </c>
      <c r="C4366" s="198" t="s">
        <v>277</v>
      </c>
      <c r="D4366" s="197" t="s">
        <v>278</v>
      </c>
      <c r="E4366" s="199">
        <v>14.0</v>
      </c>
      <c r="F4366" s="200">
        <v>45987.625</v>
      </c>
      <c r="G4366" s="197" t="s">
        <v>845</v>
      </c>
      <c r="H4366" s="197" t="s">
        <v>879</v>
      </c>
    </row>
    <row r="4367" ht="15.75" customHeight="1">
      <c r="A4367" s="197" t="s">
        <v>86</v>
      </c>
      <c r="B4367" s="197" t="s">
        <v>21</v>
      </c>
      <c r="C4367" s="198" t="s">
        <v>277</v>
      </c>
      <c r="D4367" s="197" t="s">
        <v>278</v>
      </c>
      <c r="E4367" s="199">
        <v>15.0</v>
      </c>
      <c r="F4367" s="200">
        <v>45993.41666666667</v>
      </c>
      <c r="G4367" s="197" t="s">
        <v>845</v>
      </c>
      <c r="H4367" s="197" t="s">
        <v>879</v>
      </c>
    </row>
    <row r="4368" ht="15.75" customHeight="1">
      <c r="A4368" s="197" t="s">
        <v>86</v>
      </c>
      <c r="B4368" s="197" t="s">
        <v>21</v>
      </c>
      <c r="C4368" s="198" t="s">
        <v>277</v>
      </c>
      <c r="D4368" s="197" t="s">
        <v>278</v>
      </c>
      <c r="E4368" s="199">
        <v>16.0</v>
      </c>
      <c r="F4368" s="200">
        <v>46000.625</v>
      </c>
      <c r="G4368" s="197" t="s">
        <v>845</v>
      </c>
      <c r="H4368" s="197" t="s">
        <v>879</v>
      </c>
    </row>
    <row r="4369" ht="15.75" customHeight="1">
      <c r="A4369" s="197" t="s">
        <v>86</v>
      </c>
      <c r="B4369" s="197" t="s">
        <v>25</v>
      </c>
      <c r="C4369" s="198" t="s">
        <v>277</v>
      </c>
      <c r="D4369" s="197" t="s">
        <v>278</v>
      </c>
      <c r="E4369" s="199">
        <v>1.0</v>
      </c>
      <c r="F4369" s="200">
        <v>45805.375</v>
      </c>
      <c r="G4369" s="197" t="s">
        <v>845</v>
      </c>
      <c r="H4369" s="197" t="s">
        <v>879</v>
      </c>
    </row>
    <row r="4370" ht="15.75" customHeight="1">
      <c r="A4370" s="197" t="s">
        <v>86</v>
      </c>
      <c r="B4370" s="197" t="s">
        <v>25</v>
      </c>
      <c r="C4370" s="198" t="s">
        <v>277</v>
      </c>
      <c r="D4370" s="197" t="s">
        <v>278</v>
      </c>
      <c r="E4370" s="199">
        <v>2.0</v>
      </c>
      <c r="F4370" s="200">
        <v>45811.41666666667</v>
      </c>
      <c r="G4370" s="197" t="s">
        <v>845</v>
      </c>
      <c r="H4370" s="197" t="s">
        <v>879</v>
      </c>
    </row>
    <row r="4371" ht="15.75" customHeight="1">
      <c r="A4371" s="197" t="s">
        <v>86</v>
      </c>
      <c r="B4371" s="197" t="s">
        <v>25</v>
      </c>
      <c r="C4371" s="198" t="s">
        <v>277</v>
      </c>
      <c r="D4371" s="197" t="s">
        <v>278</v>
      </c>
      <c r="E4371" s="199">
        <v>3.0</v>
      </c>
      <c r="F4371" s="200">
        <v>45818.41666666667</v>
      </c>
      <c r="G4371" s="197" t="s">
        <v>845</v>
      </c>
      <c r="H4371" s="197" t="s">
        <v>879</v>
      </c>
    </row>
    <row r="4372" ht="15.75" customHeight="1">
      <c r="A4372" s="197" t="s">
        <v>86</v>
      </c>
      <c r="B4372" s="197" t="s">
        <v>25</v>
      </c>
      <c r="C4372" s="198" t="s">
        <v>277</v>
      </c>
      <c r="D4372" s="197" t="s">
        <v>278</v>
      </c>
      <c r="E4372" s="199">
        <v>4.0</v>
      </c>
      <c r="F4372" s="200">
        <v>45825.41666666667</v>
      </c>
      <c r="G4372" s="197" t="s">
        <v>845</v>
      </c>
      <c r="H4372" s="197" t="s">
        <v>879</v>
      </c>
    </row>
    <row r="4373" ht="15.75" customHeight="1">
      <c r="A4373" s="197" t="s">
        <v>86</v>
      </c>
      <c r="B4373" s="197" t="s">
        <v>25</v>
      </c>
      <c r="C4373" s="198" t="s">
        <v>277</v>
      </c>
      <c r="D4373" s="197" t="s">
        <v>278</v>
      </c>
      <c r="E4373" s="199">
        <v>5.0</v>
      </c>
      <c r="F4373" s="200">
        <v>45839.41666666667</v>
      </c>
      <c r="G4373" s="197" t="s">
        <v>845</v>
      </c>
      <c r="H4373" s="197" t="s">
        <v>879</v>
      </c>
    </row>
    <row r="4374" ht="15.75" customHeight="1">
      <c r="A4374" s="197" t="s">
        <v>86</v>
      </c>
      <c r="B4374" s="197" t="s">
        <v>25</v>
      </c>
      <c r="C4374" s="198" t="s">
        <v>277</v>
      </c>
      <c r="D4374" s="197" t="s">
        <v>278</v>
      </c>
      <c r="E4374" s="199">
        <v>6.0</v>
      </c>
      <c r="F4374" s="200">
        <v>45846.41666666667</v>
      </c>
      <c r="G4374" s="197" t="s">
        <v>845</v>
      </c>
      <c r="H4374" s="197" t="s">
        <v>879</v>
      </c>
    </row>
    <row r="4375" ht="15.75" customHeight="1">
      <c r="A4375" s="197" t="s">
        <v>86</v>
      </c>
      <c r="B4375" s="197" t="s">
        <v>25</v>
      </c>
      <c r="C4375" s="198" t="s">
        <v>277</v>
      </c>
      <c r="D4375" s="197" t="s">
        <v>278</v>
      </c>
      <c r="E4375" s="199">
        <v>7.0</v>
      </c>
      <c r="F4375" s="200">
        <v>45855.41666666667</v>
      </c>
      <c r="G4375" s="197" t="s">
        <v>845</v>
      </c>
      <c r="H4375" s="197" t="s">
        <v>879</v>
      </c>
    </row>
    <row r="4376" ht="15.75" customHeight="1">
      <c r="A4376" s="197" t="s">
        <v>86</v>
      </c>
      <c r="B4376" s="197" t="s">
        <v>25</v>
      </c>
      <c r="C4376" s="198" t="s">
        <v>277</v>
      </c>
      <c r="D4376" s="197" t="s">
        <v>278</v>
      </c>
      <c r="E4376" s="199">
        <v>8.0</v>
      </c>
      <c r="F4376" s="200">
        <v>45860.625</v>
      </c>
      <c r="G4376" s="197" t="s">
        <v>845</v>
      </c>
      <c r="H4376" s="197" t="s">
        <v>879</v>
      </c>
    </row>
    <row r="4377" ht="15.75" customHeight="1">
      <c r="A4377" s="197" t="s">
        <v>86</v>
      </c>
      <c r="B4377" s="197" t="s">
        <v>25</v>
      </c>
      <c r="C4377" s="198" t="s">
        <v>277</v>
      </c>
      <c r="D4377" s="197" t="s">
        <v>278</v>
      </c>
      <c r="E4377" s="199">
        <v>9.0</v>
      </c>
      <c r="F4377" s="200">
        <v>45869.45833333333</v>
      </c>
      <c r="G4377" s="197" t="s">
        <v>843</v>
      </c>
      <c r="H4377" s="197" t="s">
        <v>879</v>
      </c>
    </row>
    <row r="4378" ht="15.75" customHeight="1">
      <c r="A4378" s="197" t="s">
        <v>86</v>
      </c>
      <c r="B4378" s="197" t="s">
        <v>25</v>
      </c>
      <c r="C4378" s="198" t="s">
        <v>277</v>
      </c>
      <c r="D4378" s="197" t="s">
        <v>278</v>
      </c>
      <c r="E4378" s="199">
        <v>10.0</v>
      </c>
      <c r="F4378" s="200">
        <v>45881.5</v>
      </c>
      <c r="G4378" s="197" t="s">
        <v>845</v>
      </c>
      <c r="H4378" s="197" t="s">
        <v>879</v>
      </c>
    </row>
    <row r="4379" ht="15.75" customHeight="1">
      <c r="A4379" s="197" t="s">
        <v>86</v>
      </c>
      <c r="B4379" s="197" t="s">
        <v>25</v>
      </c>
      <c r="C4379" s="198" t="s">
        <v>277</v>
      </c>
      <c r="D4379" s="197" t="s">
        <v>278</v>
      </c>
      <c r="E4379" s="199">
        <v>11.0</v>
      </c>
      <c r="F4379" s="200">
        <v>45888.54166666667</v>
      </c>
      <c r="G4379" s="197" t="s">
        <v>845</v>
      </c>
      <c r="H4379" s="197" t="s">
        <v>879</v>
      </c>
    </row>
    <row r="4380" ht="15.75" customHeight="1">
      <c r="A4380" s="197" t="s">
        <v>86</v>
      </c>
      <c r="B4380" s="197" t="s">
        <v>25</v>
      </c>
      <c r="C4380" s="198" t="s">
        <v>277</v>
      </c>
      <c r="D4380" s="197" t="s">
        <v>278</v>
      </c>
      <c r="E4380" s="199">
        <v>12.0</v>
      </c>
      <c r="F4380" s="200">
        <v>45897.45833333333</v>
      </c>
      <c r="G4380" s="197" t="s">
        <v>845</v>
      </c>
      <c r="H4380" s="197" t="s">
        <v>879</v>
      </c>
    </row>
    <row r="4381" ht="15.75" customHeight="1">
      <c r="A4381" s="197" t="s">
        <v>86</v>
      </c>
      <c r="B4381" s="197" t="s">
        <v>25</v>
      </c>
      <c r="C4381" s="198" t="s">
        <v>277</v>
      </c>
      <c r="D4381" s="197" t="s">
        <v>278</v>
      </c>
      <c r="E4381" s="199">
        <v>13.0</v>
      </c>
      <c r="F4381" s="200">
        <v>45909.41666666667</v>
      </c>
      <c r="G4381" s="197" t="s">
        <v>845</v>
      </c>
      <c r="H4381" s="197" t="s">
        <v>879</v>
      </c>
    </row>
    <row r="4382" ht="15.75" customHeight="1">
      <c r="A4382" s="197" t="s">
        <v>86</v>
      </c>
      <c r="B4382" s="197" t="s">
        <v>25</v>
      </c>
      <c r="C4382" s="198" t="s">
        <v>277</v>
      </c>
      <c r="D4382" s="197" t="s">
        <v>278</v>
      </c>
      <c r="E4382" s="199">
        <v>14.0</v>
      </c>
      <c r="F4382" s="200">
        <v>45923.41666666667</v>
      </c>
      <c r="G4382" s="197" t="s">
        <v>845</v>
      </c>
      <c r="H4382" s="197" t="s">
        <v>879</v>
      </c>
    </row>
    <row r="4383" ht="15.75" customHeight="1">
      <c r="A4383" s="197" t="s">
        <v>86</v>
      </c>
      <c r="B4383" s="197" t="s">
        <v>25</v>
      </c>
      <c r="C4383" s="198" t="s">
        <v>277</v>
      </c>
      <c r="D4383" s="197" t="s">
        <v>278</v>
      </c>
      <c r="E4383" s="199">
        <v>15.0</v>
      </c>
      <c r="F4383" s="200">
        <v>45925.625</v>
      </c>
      <c r="G4383" s="197" t="s">
        <v>845</v>
      </c>
      <c r="H4383" s="197" t="s">
        <v>879</v>
      </c>
    </row>
    <row r="4384" ht="15.75" customHeight="1">
      <c r="A4384" s="197" t="s">
        <v>86</v>
      </c>
      <c r="B4384" s="197" t="s">
        <v>21</v>
      </c>
      <c r="C4384" s="198" t="s">
        <v>355</v>
      </c>
      <c r="D4384" s="197" t="s">
        <v>356</v>
      </c>
      <c r="E4384" s="199">
        <v>2.0</v>
      </c>
      <c r="F4384" s="200">
        <v>45930.41666666667</v>
      </c>
      <c r="G4384" s="197" t="s">
        <v>845</v>
      </c>
      <c r="H4384" s="197" t="s">
        <v>879</v>
      </c>
    </row>
    <row r="4385" ht="15.75" customHeight="1">
      <c r="A4385" s="197" t="s">
        <v>86</v>
      </c>
      <c r="B4385" s="197" t="s">
        <v>21</v>
      </c>
      <c r="C4385" s="198" t="s">
        <v>355</v>
      </c>
      <c r="D4385" s="197" t="s">
        <v>356</v>
      </c>
      <c r="E4385" s="199">
        <v>3.0</v>
      </c>
      <c r="F4385" s="200">
        <v>45932.58333333333</v>
      </c>
      <c r="G4385" s="197" t="s">
        <v>845</v>
      </c>
      <c r="H4385" s="197" t="s">
        <v>879</v>
      </c>
    </row>
    <row r="4386" ht="15.75" customHeight="1">
      <c r="A4386" s="197" t="s">
        <v>86</v>
      </c>
      <c r="B4386" s="197" t="s">
        <v>21</v>
      </c>
      <c r="C4386" s="198" t="s">
        <v>355</v>
      </c>
      <c r="D4386" s="197" t="s">
        <v>356</v>
      </c>
      <c r="E4386" s="199">
        <v>4.0</v>
      </c>
      <c r="F4386" s="200">
        <v>45937.41666666667</v>
      </c>
      <c r="G4386" s="197" t="s">
        <v>845</v>
      </c>
      <c r="H4386" s="197" t="s">
        <v>879</v>
      </c>
    </row>
    <row r="4387" ht="15.75" customHeight="1">
      <c r="A4387" s="197" t="s">
        <v>86</v>
      </c>
      <c r="B4387" s="197" t="s">
        <v>21</v>
      </c>
      <c r="C4387" s="198" t="s">
        <v>355</v>
      </c>
      <c r="D4387" s="197" t="s">
        <v>356</v>
      </c>
      <c r="E4387" s="199">
        <v>5.0</v>
      </c>
      <c r="F4387" s="200">
        <v>45939.625</v>
      </c>
      <c r="G4387" s="197" t="s">
        <v>843</v>
      </c>
      <c r="H4387" s="197" t="s">
        <v>879</v>
      </c>
    </row>
    <row r="4388" ht="15.75" customHeight="1">
      <c r="A4388" s="197" t="s">
        <v>86</v>
      </c>
      <c r="B4388" s="197" t="s">
        <v>21</v>
      </c>
      <c r="C4388" s="198" t="s">
        <v>355</v>
      </c>
      <c r="D4388" s="197" t="s">
        <v>356</v>
      </c>
      <c r="E4388" s="199">
        <v>6.0</v>
      </c>
      <c r="F4388" s="200">
        <v>45951.41666666667</v>
      </c>
      <c r="G4388" s="197" t="s">
        <v>845</v>
      </c>
      <c r="H4388" s="197" t="s">
        <v>879</v>
      </c>
    </row>
    <row r="4389" ht="15.75" customHeight="1">
      <c r="A4389" s="197" t="s">
        <v>86</v>
      </c>
      <c r="B4389" s="197" t="s">
        <v>21</v>
      </c>
      <c r="C4389" s="198" t="s">
        <v>355</v>
      </c>
      <c r="D4389" s="197" t="s">
        <v>356</v>
      </c>
      <c r="E4389" s="199">
        <v>7.0</v>
      </c>
      <c r="F4389" s="200">
        <v>45953.625</v>
      </c>
      <c r="G4389" s="197" t="s">
        <v>845</v>
      </c>
      <c r="H4389" s="197" t="s">
        <v>879</v>
      </c>
    </row>
    <row r="4390" ht="15.75" customHeight="1">
      <c r="A4390" s="197" t="s">
        <v>86</v>
      </c>
      <c r="B4390" s="197" t="s">
        <v>21</v>
      </c>
      <c r="C4390" s="198" t="s">
        <v>355</v>
      </c>
      <c r="D4390" s="197" t="s">
        <v>356</v>
      </c>
      <c r="E4390" s="199">
        <v>8.0</v>
      </c>
      <c r="F4390" s="200">
        <v>45958.41666666667</v>
      </c>
      <c r="G4390" s="197" t="s">
        <v>843</v>
      </c>
      <c r="H4390" s="197" t="s">
        <v>879</v>
      </c>
    </row>
    <row r="4391" ht="15.75" customHeight="1">
      <c r="A4391" s="197" t="s">
        <v>86</v>
      </c>
      <c r="B4391" s="197" t="s">
        <v>21</v>
      </c>
      <c r="C4391" s="198" t="s">
        <v>355</v>
      </c>
      <c r="D4391" s="197" t="s">
        <v>356</v>
      </c>
      <c r="E4391" s="199">
        <v>9.0</v>
      </c>
      <c r="F4391" s="200">
        <v>45958.45833333333</v>
      </c>
      <c r="G4391" s="197" t="s">
        <v>843</v>
      </c>
      <c r="H4391" s="197" t="s">
        <v>879</v>
      </c>
    </row>
    <row r="4392" ht="15.75" customHeight="1">
      <c r="A4392" s="197" t="s">
        <v>86</v>
      </c>
      <c r="B4392" s="197" t="s">
        <v>21</v>
      </c>
      <c r="C4392" s="198" t="s">
        <v>355</v>
      </c>
      <c r="D4392" s="197" t="s">
        <v>356</v>
      </c>
      <c r="E4392" s="199">
        <v>10.0</v>
      </c>
      <c r="F4392" s="200">
        <v>45965.625</v>
      </c>
      <c r="G4392" s="197" t="s">
        <v>845</v>
      </c>
      <c r="H4392" s="197" t="s">
        <v>879</v>
      </c>
    </row>
    <row r="4393" ht="15.75" customHeight="1">
      <c r="A4393" s="197" t="s">
        <v>86</v>
      </c>
      <c r="B4393" s="197" t="s">
        <v>21</v>
      </c>
      <c r="C4393" s="198" t="s">
        <v>355</v>
      </c>
      <c r="D4393" s="197" t="s">
        <v>356</v>
      </c>
      <c r="E4393" s="199">
        <v>11.0</v>
      </c>
      <c r="F4393" s="200">
        <v>45972.625</v>
      </c>
      <c r="G4393" s="197" t="s">
        <v>843</v>
      </c>
      <c r="H4393" s="197" t="s">
        <v>879</v>
      </c>
    </row>
    <row r="4394" ht="15.75" customHeight="1">
      <c r="A4394" s="197" t="s">
        <v>86</v>
      </c>
      <c r="B4394" s="197" t="s">
        <v>21</v>
      </c>
      <c r="C4394" s="198" t="s">
        <v>355</v>
      </c>
      <c r="D4394" s="197" t="s">
        <v>356</v>
      </c>
      <c r="E4394" s="199">
        <v>12.0</v>
      </c>
      <c r="F4394" s="200">
        <v>45979.41666666667</v>
      </c>
      <c r="G4394" s="197" t="s">
        <v>843</v>
      </c>
      <c r="H4394" s="197" t="s">
        <v>879</v>
      </c>
    </row>
    <row r="4395" ht="15.75" customHeight="1">
      <c r="A4395" s="197" t="s">
        <v>86</v>
      </c>
      <c r="B4395" s="197" t="s">
        <v>21</v>
      </c>
      <c r="C4395" s="198" t="s">
        <v>355</v>
      </c>
      <c r="D4395" s="197" t="s">
        <v>356</v>
      </c>
      <c r="E4395" s="199">
        <v>13.0</v>
      </c>
      <c r="F4395" s="200">
        <v>45979.41666666667</v>
      </c>
      <c r="G4395" s="197" t="s">
        <v>843</v>
      </c>
      <c r="H4395" s="197" t="s">
        <v>879</v>
      </c>
    </row>
    <row r="4396" ht="15.75" customHeight="1">
      <c r="A4396" s="197" t="s">
        <v>86</v>
      </c>
      <c r="B4396" s="197" t="s">
        <v>21</v>
      </c>
      <c r="C4396" s="198" t="s">
        <v>355</v>
      </c>
      <c r="D4396" s="197" t="s">
        <v>356</v>
      </c>
      <c r="E4396" s="199">
        <v>14.0</v>
      </c>
      <c r="F4396" s="200">
        <v>45987.625</v>
      </c>
      <c r="G4396" s="197" t="s">
        <v>843</v>
      </c>
      <c r="H4396" s="197" t="s">
        <v>879</v>
      </c>
    </row>
    <row r="4397" ht="15.75" customHeight="1">
      <c r="A4397" s="197" t="s">
        <v>86</v>
      </c>
      <c r="B4397" s="197" t="s">
        <v>21</v>
      </c>
      <c r="C4397" s="198" t="s">
        <v>355</v>
      </c>
      <c r="D4397" s="197" t="s">
        <v>356</v>
      </c>
      <c r="E4397" s="199">
        <v>15.0</v>
      </c>
      <c r="F4397" s="200">
        <v>45993.41666666667</v>
      </c>
      <c r="G4397" s="197" t="s">
        <v>843</v>
      </c>
      <c r="H4397" s="197" t="s">
        <v>879</v>
      </c>
    </row>
    <row r="4398" ht="15.75" customHeight="1">
      <c r="A4398" s="197" t="s">
        <v>86</v>
      </c>
      <c r="B4398" s="197" t="s">
        <v>21</v>
      </c>
      <c r="C4398" s="198" t="s">
        <v>355</v>
      </c>
      <c r="D4398" s="197" t="s">
        <v>356</v>
      </c>
      <c r="E4398" s="199">
        <v>16.0</v>
      </c>
      <c r="F4398" s="200">
        <v>46000.625</v>
      </c>
      <c r="G4398" s="197" t="s">
        <v>843</v>
      </c>
      <c r="H4398" s="197" t="s">
        <v>879</v>
      </c>
    </row>
    <row r="4399" ht="15.75" customHeight="1">
      <c r="A4399" s="197" t="s">
        <v>86</v>
      </c>
      <c r="B4399" s="197" t="s">
        <v>25</v>
      </c>
      <c r="C4399" s="198" t="s">
        <v>355</v>
      </c>
      <c r="D4399" s="197" t="s">
        <v>356</v>
      </c>
      <c r="E4399" s="199">
        <v>1.0</v>
      </c>
      <c r="F4399" s="200">
        <v>45805.375</v>
      </c>
      <c r="G4399" s="197" t="s">
        <v>845</v>
      </c>
      <c r="H4399" s="197" t="s">
        <v>879</v>
      </c>
    </row>
    <row r="4400" ht="15.75" customHeight="1">
      <c r="A4400" s="197" t="s">
        <v>86</v>
      </c>
      <c r="B4400" s="197" t="s">
        <v>25</v>
      </c>
      <c r="C4400" s="198" t="s">
        <v>355</v>
      </c>
      <c r="D4400" s="197" t="s">
        <v>356</v>
      </c>
      <c r="E4400" s="199">
        <v>2.0</v>
      </c>
      <c r="F4400" s="200">
        <v>45811.41666666667</v>
      </c>
      <c r="G4400" s="197" t="s">
        <v>845</v>
      </c>
      <c r="H4400" s="197" t="s">
        <v>879</v>
      </c>
    </row>
    <row r="4401" ht="15.75" customHeight="1">
      <c r="A4401" s="197" t="s">
        <v>86</v>
      </c>
      <c r="B4401" s="197" t="s">
        <v>25</v>
      </c>
      <c r="C4401" s="198" t="s">
        <v>355</v>
      </c>
      <c r="D4401" s="197" t="s">
        <v>356</v>
      </c>
      <c r="E4401" s="199">
        <v>3.0</v>
      </c>
      <c r="F4401" s="200">
        <v>45818.41666666667</v>
      </c>
      <c r="G4401" s="197" t="s">
        <v>845</v>
      </c>
      <c r="H4401" s="197" t="s">
        <v>879</v>
      </c>
    </row>
    <row r="4402" ht="15.75" customHeight="1">
      <c r="A4402" s="197" t="s">
        <v>86</v>
      </c>
      <c r="B4402" s="197" t="s">
        <v>25</v>
      </c>
      <c r="C4402" s="198" t="s">
        <v>355</v>
      </c>
      <c r="D4402" s="197" t="s">
        <v>356</v>
      </c>
      <c r="E4402" s="199">
        <v>4.0</v>
      </c>
      <c r="F4402" s="200">
        <v>45825.41666666667</v>
      </c>
      <c r="G4402" s="197" t="s">
        <v>845</v>
      </c>
      <c r="H4402" s="197" t="s">
        <v>879</v>
      </c>
    </row>
    <row r="4403" ht="15.75" customHeight="1">
      <c r="A4403" s="197" t="s">
        <v>86</v>
      </c>
      <c r="B4403" s="197" t="s">
        <v>25</v>
      </c>
      <c r="C4403" s="198" t="s">
        <v>355</v>
      </c>
      <c r="D4403" s="197" t="s">
        <v>356</v>
      </c>
      <c r="E4403" s="199">
        <v>5.0</v>
      </c>
      <c r="F4403" s="200">
        <v>45839.41666666667</v>
      </c>
      <c r="G4403" s="197" t="s">
        <v>845</v>
      </c>
      <c r="H4403" s="197" t="s">
        <v>879</v>
      </c>
    </row>
    <row r="4404" ht="15.75" customHeight="1">
      <c r="A4404" s="197" t="s">
        <v>86</v>
      </c>
      <c r="B4404" s="197" t="s">
        <v>25</v>
      </c>
      <c r="C4404" s="198" t="s">
        <v>355</v>
      </c>
      <c r="D4404" s="197" t="s">
        <v>356</v>
      </c>
      <c r="E4404" s="199">
        <v>6.0</v>
      </c>
      <c r="F4404" s="200">
        <v>45846.41666666667</v>
      </c>
      <c r="G4404" s="197" t="s">
        <v>845</v>
      </c>
      <c r="H4404" s="197" t="s">
        <v>879</v>
      </c>
    </row>
    <row r="4405" ht="15.75" customHeight="1">
      <c r="A4405" s="197" t="s">
        <v>86</v>
      </c>
      <c r="B4405" s="197" t="s">
        <v>25</v>
      </c>
      <c r="C4405" s="198" t="s">
        <v>355</v>
      </c>
      <c r="D4405" s="197" t="s">
        <v>356</v>
      </c>
      <c r="E4405" s="199">
        <v>7.0</v>
      </c>
      <c r="F4405" s="200">
        <v>45855.41666666667</v>
      </c>
      <c r="G4405" s="197" t="s">
        <v>845</v>
      </c>
      <c r="H4405" s="197" t="s">
        <v>879</v>
      </c>
    </row>
    <row r="4406" ht="15.75" customHeight="1">
      <c r="A4406" s="197" t="s">
        <v>86</v>
      </c>
      <c r="B4406" s="197" t="s">
        <v>25</v>
      </c>
      <c r="C4406" s="198" t="s">
        <v>355</v>
      </c>
      <c r="D4406" s="197" t="s">
        <v>356</v>
      </c>
      <c r="E4406" s="199">
        <v>8.0</v>
      </c>
      <c r="F4406" s="200">
        <v>45860.625</v>
      </c>
      <c r="G4406" s="197" t="s">
        <v>845</v>
      </c>
      <c r="H4406" s="197" t="s">
        <v>879</v>
      </c>
    </row>
    <row r="4407" ht="15.75" customHeight="1">
      <c r="A4407" s="197" t="s">
        <v>86</v>
      </c>
      <c r="B4407" s="197" t="s">
        <v>25</v>
      </c>
      <c r="C4407" s="198" t="s">
        <v>355</v>
      </c>
      <c r="D4407" s="197" t="s">
        <v>356</v>
      </c>
      <c r="E4407" s="199">
        <v>9.0</v>
      </c>
      <c r="F4407" s="200">
        <v>45869.45833333333</v>
      </c>
      <c r="G4407" s="197" t="s">
        <v>845</v>
      </c>
      <c r="H4407" s="197" t="s">
        <v>879</v>
      </c>
    </row>
    <row r="4408" ht="15.75" customHeight="1">
      <c r="A4408" s="197" t="s">
        <v>86</v>
      </c>
      <c r="B4408" s="197" t="s">
        <v>25</v>
      </c>
      <c r="C4408" s="198" t="s">
        <v>355</v>
      </c>
      <c r="D4408" s="197" t="s">
        <v>356</v>
      </c>
      <c r="E4408" s="199">
        <v>10.0</v>
      </c>
      <c r="F4408" s="200">
        <v>45881.5</v>
      </c>
      <c r="G4408" s="197" t="s">
        <v>845</v>
      </c>
      <c r="H4408" s="197" t="s">
        <v>879</v>
      </c>
    </row>
    <row r="4409" ht="15.75" customHeight="1">
      <c r="A4409" s="197" t="s">
        <v>86</v>
      </c>
      <c r="B4409" s="197" t="s">
        <v>25</v>
      </c>
      <c r="C4409" s="198" t="s">
        <v>355</v>
      </c>
      <c r="D4409" s="197" t="s">
        <v>356</v>
      </c>
      <c r="E4409" s="199">
        <v>11.0</v>
      </c>
      <c r="F4409" s="200">
        <v>45888.54166666667</v>
      </c>
      <c r="G4409" s="197" t="s">
        <v>845</v>
      </c>
      <c r="H4409" s="197" t="s">
        <v>879</v>
      </c>
    </row>
    <row r="4410" ht="15.75" customHeight="1">
      <c r="A4410" s="197" t="s">
        <v>86</v>
      </c>
      <c r="B4410" s="197" t="s">
        <v>25</v>
      </c>
      <c r="C4410" s="198" t="s">
        <v>355</v>
      </c>
      <c r="D4410" s="197" t="s">
        <v>356</v>
      </c>
      <c r="E4410" s="199">
        <v>12.0</v>
      </c>
      <c r="F4410" s="200">
        <v>45897.45833333333</v>
      </c>
      <c r="G4410" s="197" t="s">
        <v>845</v>
      </c>
      <c r="H4410" s="197" t="s">
        <v>879</v>
      </c>
    </row>
    <row r="4411" ht="15.75" customHeight="1">
      <c r="A4411" s="197" t="s">
        <v>86</v>
      </c>
      <c r="B4411" s="197" t="s">
        <v>25</v>
      </c>
      <c r="C4411" s="198" t="s">
        <v>355</v>
      </c>
      <c r="D4411" s="197" t="s">
        <v>356</v>
      </c>
      <c r="E4411" s="199">
        <v>13.0</v>
      </c>
      <c r="F4411" s="200">
        <v>45909.41666666667</v>
      </c>
      <c r="G4411" s="197" t="s">
        <v>843</v>
      </c>
      <c r="H4411" s="197" t="s">
        <v>879</v>
      </c>
    </row>
    <row r="4412" ht="15.75" customHeight="1">
      <c r="A4412" s="197" t="s">
        <v>86</v>
      </c>
      <c r="B4412" s="197" t="s">
        <v>25</v>
      </c>
      <c r="C4412" s="198" t="s">
        <v>355</v>
      </c>
      <c r="D4412" s="197" t="s">
        <v>356</v>
      </c>
      <c r="E4412" s="199">
        <v>14.0</v>
      </c>
      <c r="F4412" s="200">
        <v>45923.41666666667</v>
      </c>
      <c r="G4412" s="197" t="s">
        <v>845</v>
      </c>
      <c r="H4412" s="197" t="s">
        <v>879</v>
      </c>
    </row>
    <row r="4413" ht="15.75" customHeight="1">
      <c r="A4413" s="197" t="s">
        <v>86</v>
      </c>
      <c r="B4413" s="197" t="s">
        <v>25</v>
      </c>
      <c r="C4413" s="198" t="s">
        <v>355</v>
      </c>
      <c r="D4413" s="197" t="s">
        <v>356</v>
      </c>
      <c r="E4413" s="199">
        <v>15.0</v>
      </c>
      <c r="F4413" s="200">
        <v>45925.625</v>
      </c>
      <c r="G4413" s="197" t="s">
        <v>845</v>
      </c>
      <c r="H4413" s="197" t="s">
        <v>879</v>
      </c>
    </row>
    <row r="4414" ht="15.75" customHeight="1">
      <c r="A4414" s="197" t="s">
        <v>86</v>
      </c>
      <c r="B4414" s="197" t="s">
        <v>21</v>
      </c>
      <c r="C4414" s="198" t="s">
        <v>407</v>
      </c>
      <c r="D4414" s="197" t="s">
        <v>408</v>
      </c>
      <c r="E4414" s="199">
        <v>2.0</v>
      </c>
      <c r="F4414" s="200">
        <v>45930.41666666667</v>
      </c>
      <c r="G4414" s="197" t="s">
        <v>845</v>
      </c>
      <c r="H4414" s="197" t="s">
        <v>879</v>
      </c>
    </row>
    <row r="4415" ht="15.75" customHeight="1">
      <c r="A4415" s="197" t="s">
        <v>86</v>
      </c>
      <c r="B4415" s="197" t="s">
        <v>21</v>
      </c>
      <c r="C4415" s="198" t="s">
        <v>407</v>
      </c>
      <c r="D4415" s="197" t="s">
        <v>408</v>
      </c>
      <c r="E4415" s="199">
        <v>3.0</v>
      </c>
      <c r="F4415" s="200">
        <v>45932.58333333333</v>
      </c>
      <c r="G4415" s="197" t="s">
        <v>845</v>
      </c>
      <c r="H4415" s="197" t="s">
        <v>879</v>
      </c>
    </row>
    <row r="4416" ht="15.75" customHeight="1">
      <c r="A4416" s="197" t="s">
        <v>86</v>
      </c>
      <c r="B4416" s="197" t="s">
        <v>21</v>
      </c>
      <c r="C4416" s="198" t="s">
        <v>407</v>
      </c>
      <c r="D4416" s="197" t="s">
        <v>408</v>
      </c>
      <c r="E4416" s="199">
        <v>4.0</v>
      </c>
      <c r="F4416" s="200">
        <v>45937.41666666667</v>
      </c>
      <c r="G4416" s="197" t="s">
        <v>845</v>
      </c>
      <c r="H4416" s="197" t="s">
        <v>879</v>
      </c>
    </row>
    <row r="4417" ht="15.75" customHeight="1">
      <c r="A4417" s="197" t="s">
        <v>86</v>
      </c>
      <c r="B4417" s="197" t="s">
        <v>21</v>
      </c>
      <c r="C4417" s="198" t="s">
        <v>407</v>
      </c>
      <c r="D4417" s="197" t="s">
        <v>408</v>
      </c>
      <c r="E4417" s="199">
        <v>5.0</v>
      </c>
      <c r="F4417" s="200">
        <v>45939.54166666667</v>
      </c>
      <c r="G4417" s="197" t="s">
        <v>845</v>
      </c>
      <c r="H4417" s="197" t="s">
        <v>879</v>
      </c>
    </row>
    <row r="4418" ht="15.75" customHeight="1">
      <c r="A4418" s="197" t="s">
        <v>86</v>
      </c>
      <c r="B4418" s="197" t="s">
        <v>21</v>
      </c>
      <c r="C4418" s="198" t="s">
        <v>407</v>
      </c>
      <c r="D4418" s="197" t="s">
        <v>408</v>
      </c>
      <c r="E4418" s="199">
        <v>6.0</v>
      </c>
      <c r="F4418" s="200">
        <v>45951.41666666667</v>
      </c>
      <c r="G4418" s="197" t="s">
        <v>845</v>
      </c>
      <c r="H4418" s="197" t="s">
        <v>879</v>
      </c>
    </row>
    <row r="4419" ht="15.75" customHeight="1">
      <c r="A4419" s="197" t="s">
        <v>86</v>
      </c>
      <c r="B4419" s="197" t="s">
        <v>21</v>
      </c>
      <c r="C4419" s="198" t="s">
        <v>407</v>
      </c>
      <c r="D4419" s="197" t="s">
        <v>408</v>
      </c>
      <c r="E4419" s="199">
        <v>7.0</v>
      </c>
      <c r="F4419" s="200">
        <v>45953.625</v>
      </c>
      <c r="G4419" s="197" t="s">
        <v>845</v>
      </c>
      <c r="H4419" s="197" t="s">
        <v>879</v>
      </c>
    </row>
    <row r="4420" ht="15.75" customHeight="1">
      <c r="A4420" s="197" t="s">
        <v>86</v>
      </c>
      <c r="B4420" s="197" t="s">
        <v>21</v>
      </c>
      <c r="C4420" s="198" t="s">
        <v>407</v>
      </c>
      <c r="D4420" s="197" t="s">
        <v>408</v>
      </c>
      <c r="E4420" s="199">
        <v>8.0</v>
      </c>
      <c r="F4420" s="200">
        <v>45958.41666666667</v>
      </c>
      <c r="G4420" s="197" t="s">
        <v>845</v>
      </c>
      <c r="H4420" s="197" t="s">
        <v>879</v>
      </c>
    </row>
    <row r="4421" ht="15.75" customHeight="1">
      <c r="A4421" s="197" t="s">
        <v>86</v>
      </c>
      <c r="B4421" s="197" t="s">
        <v>21</v>
      </c>
      <c r="C4421" s="198" t="s">
        <v>407</v>
      </c>
      <c r="D4421" s="197" t="s">
        <v>408</v>
      </c>
      <c r="E4421" s="199">
        <v>9.0</v>
      </c>
      <c r="F4421" s="200">
        <v>45958.45833333333</v>
      </c>
      <c r="G4421" s="197" t="s">
        <v>845</v>
      </c>
      <c r="H4421" s="197" t="s">
        <v>879</v>
      </c>
    </row>
    <row r="4422" ht="15.75" customHeight="1">
      <c r="A4422" s="197" t="s">
        <v>86</v>
      </c>
      <c r="B4422" s="197" t="s">
        <v>21</v>
      </c>
      <c r="C4422" s="198" t="s">
        <v>407</v>
      </c>
      <c r="D4422" s="197" t="s">
        <v>408</v>
      </c>
      <c r="E4422" s="199">
        <v>10.0</v>
      </c>
      <c r="F4422" s="200">
        <v>45965.625</v>
      </c>
      <c r="G4422" s="197" t="s">
        <v>843</v>
      </c>
      <c r="H4422" s="197" t="s">
        <v>879</v>
      </c>
    </row>
    <row r="4423" ht="15.75" customHeight="1">
      <c r="A4423" s="197" t="s">
        <v>86</v>
      </c>
      <c r="B4423" s="197" t="s">
        <v>21</v>
      </c>
      <c r="C4423" s="198" t="s">
        <v>407</v>
      </c>
      <c r="D4423" s="197" t="s">
        <v>408</v>
      </c>
      <c r="E4423" s="199">
        <v>11.0</v>
      </c>
      <c r="F4423" s="200">
        <v>45972.625</v>
      </c>
      <c r="G4423" s="197" t="s">
        <v>845</v>
      </c>
      <c r="H4423" s="197" t="s">
        <v>879</v>
      </c>
    </row>
    <row r="4424" ht="15.75" customHeight="1">
      <c r="A4424" s="197" t="s">
        <v>86</v>
      </c>
      <c r="B4424" s="197" t="s">
        <v>21</v>
      </c>
      <c r="C4424" s="198" t="s">
        <v>407</v>
      </c>
      <c r="D4424" s="197" t="s">
        <v>408</v>
      </c>
      <c r="E4424" s="199">
        <v>12.0</v>
      </c>
      <c r="F4424" s="200">
        <v>45979.41666666667</v>
      </c>
      <c r="G4424" s="197" t="s">
        <v>845</v>
      </c>
      <c r="H4424" s="197" t="s">
        <v>879</v>
      </c>
    </row>
    <row r="4425" ht="15.75" customHeight="1">
      <c r="A4425" s="197" t="s">
        <v>86</v>
      </c>
      <c r="B4425" s="197" t="s">
        <v>21</v>
      </c>
      <c r="C4425" s="198" t="s">
        <v>407</v>
      </c>
      <c r="D4425" s="197" t="s">
        <v>408</v>
      </c>
      <c r="E4425" s="199">
        <v>13.0</v>
      </c>
      <c r="F4425" s="200">
        <v>45979.41666666667</v>
      </c>
      <c r="G4425" s="197" t="s">
        <v>845</v>
      </c>
      <c r="H4425" s="197" t="s">
        <v>879</v>
      </c>
    </row>
    <row r="4426" ht="15.75" customHeight="1">
      <c r="A4426" s="197" t="s">
        <v>86</v>
      </c>
      <c r="B4426" s="197" t="s">
        <v>21</v>
      </c>
      <c r="C4426" s="198" t="s">
        <v>407</v>
      </c>
      <c r="D4426" s="197" t="s">
        <v>408</v>
      </c>
      <c r="E4426" s="199">
        <v>14.0</v>
      </c>
      <c r="F4426" s="200">
        <v>45987.625</v>
      </c>
      <c r="G4426" s="197" t="s">
        <v>845</v>
      </c>
      <c r="H4426" s="197" t="s">
        <v>879</v>
      </c>
    </row>
    <row r="4427" ht="15.75" customHeight="1">
      <c r="A4427" s="197" t="s">
        <v>86</v>
      </c>
      <c r="B4427" s="197" t="s">
        <v>21</v>
      </c>
      <c r="C4427" s="198" t="s">
        <v>407</v>
      </c>
      <c r="D4427" s="197" t="s">
        <v>408</v>
      </c>
      <c r="E4427" s="199">
        <v>15.0</v>
      </c>
      <c r="F4427" s="200">
        <v>45993.41666666667</v>
      </c>
      <c r="G4427" s="197" t="s">
        <v>845</v>
      </c>
      <c r="H4427" s="197" t="s">
        <v>879</v>
      </c>
    </row>
    <row r="4428" ht="15.75" customHeight="1">
      <c r="A4428" s="197" t="s">
        <v>86</v>
      </c>
      <c r="B4428" s="197" t="s">
        <v>21</v>
      </c>
      <c r="C4428" s="198" t="s">
        <v>407</v>
      </c>
      <c r="D4428" s="197" t="s">
        <v>408</v>
      </c>
      <c r="E4428" s="199">
        <v>16.0</v>
      </c>
      <c r="F4428" s="200">
        <v>46000.625</v>
      </c>
      <c r="G4428" s="197" t="s">
        <v>845</v>
      </c>
      <c r="H4428" s="197" t="s">
        <v>879</v>
      </c>
    </row>
    <row r="4429" ht="15.75" customHeight="1">
      <c r="A4429" s="197" t="s">
        <v>86</v>
      </c>
      <c r="B4429" s="197" t="s">
        <v>22</v>
      </c>
      <c r="C4429" s="198" t="s">
        <v>407</v>
      </c>
      <c r="D4429" s="197" t="s">
        <v>408</v>
      </c>
      <c r="E4429" s="199">
        <v>1.0</v>
      </c>
      <c r="F4429" s="200">
        <v>46098.625</v>
      </c>
      <c r="G4429" s="197" t="s">
        <v>845</v>
      </c>
      <c r="H4429" s="197" t="s">
        <v>879</v>
      </c>
    </row>
    <row r="4430" ht="15.75" customHeight="1">
      <c r="A4430" s="197" t="s">
        <v>86</v>
      </c>
      <c r="B4430" s="197" t="s">
        <v>22</v>
      </c>
      <c r="C4430" s="198" t="s">
        <v>407</v>
      </c>
      <c r="D4430" s="197" t="s">
        <v>408</v>
      </c>
      <c r="E4430" s="199">
        <v>2.0</v>
      </c>
      <c r="F4430" s="200">
        <v>46105.625</v>
      </c>
      <c r="G4430" s="197" t="s">
        <v>845</v>
      </c>
      <c r="H4430" s="197" t="s">
        <v>879</v>
      </c>
    </row>
    <row r="4431" ht="15.75" customHeight="1">
      <c r="A4431" s="197" t="s">
        <v>86</v>
      </c>
      <c r="B4431" s="197" t="s">
        <v>22</v>
      </c>
      <c r="C4431" s="198" t="s">
        <v>407</v>
      </c>
      <c r="D4431" s="197" t="s">
        <v>408</v>
      </c>
      <c r="E4431" s="199">
        <v>3.0</v>
      </c>
      <c r="F4431" s="200">
        <v>46112.625</v>
      </c>
      <c r="G4431" s="197" t="s">
        <v>845</v>
      </c>
      <c r="H4431" s="197" t="s">
        <v>879</v>
      </c>
    </row>
    <row r="4432" ht="15.75" customHeight="1">
      <c r="A4432" s="197" t="s">
        <v>86</v>
      </c>
      <c r="B4432" s="197" t="s">
        <v>22</v>
      </c>
      <c r="C4432" s="198" t="s">
        <v>407</v>
      </c>
      <c r="D4432" s="197" t="s">
        <v>408</v>
      </c>
      <c r="E4432" s="199">
        <v>4.0</v>
      </c>
      <c r="F4432" s="200">
        <v>46119.625</v>
      </c>
      <c r="G4432" s="197" t="s">
        <v>845</v>
      </c>
      <c r="H4432" s="197" t="s">
        <v>879</v>
      </c>
    </row>
    <row r="4433" ht="15.75" customHeight="1">
      <c r="A4433" s="197" t="s">
        <v>86</v>
      </c>
      <c r="B4433" s="197" t="s">
        <v>25</v>
      </c>
      <c r="C4433" s="198" t="s">
        <v>407</v>
      </c>
      <c r="D4433" s="197" t="s">
        <v>408</v>
      </c>
      <c r="E4433" s="199">
        <v>1.0</v>
      </c>
      <c r="F4433" s="200">
        <v>45805.375</v>
      </c>
      <c r="G4433" s="197" t="s">
        <v>843</v>
      </c>
      <c r="H4433" s="197" t="s">
        <v>879</v>
      </c>
    </row>
    <row r="4434" ht="15.75" customHeight="1">
      <c r="A4434" s="197" t="s">
        <v>86</v>
      </c>
      <c r="B4434" s="197" t="s">
        <v>25</v>
      </c>
      <c r="C4434" s="198" t="s">
        <v>407</v>
      </c>
      <c r="D4434" s="197" t="s">
        <v>408</v>
      </c>
      <c r="E4434" s="199">
        <v>2.0</v>
      </c>
      <c r="F4434" s="200">
        <v>45811.41666666667</v>
      </c>
      <c r="G4434" s="197" t="s">
        <v>845</v>
      </c>
      <c r="H4434" s="197" t="s">
        <v>879</v>
      </c>
    </row>
    <row r="4435" ht="15.75" customHeight="1">
      <c r="A4435" s="197" t="s">
        <v>86</v>
      </c>
      <c r="B4435" s="197" t="s">
        <v>25</v>
      </c>
      <c r="C4435" s="198" t="s">
        <v>407</v>
      </c>
      <c r="D4435" s="197" t="s">
        <v>408</v>
      </c>
      <c r="E4435" s="199">
        <v>3.0</v>
      </c>
      <c r="F4435" s="200">
        <v>45818.41666666667</v>
      </c>
      <c r="G4435" s="197" t="s">
        <v>845</v>
      </c>
      <c r="H4435" s="197" t="s">
        <v>879</v>
      </c>
    </row>
    <row r="4436" ht="15.75" customHeight="1">
      <c r="A4436" s="197" t="s">
        <v>86</v>
      </c>
      <c r="B4436" s="197" t="s">
        <v>25</v>
      </c>
      <c r="C4436" s="198" t="s">
        <v>407</v>
      </c>
      <c r="D4436" s="197" t="s">
        <v>408</v>
      </c>
      <c r="E4436" s="199">
        <v>4.0</v>
      </c>
      <c r="F4436" s="200">
        <v>45825.41666666667</v>
      </c>
      <c r="G4436" s="197" t="s">
        <v>845</v>
      </c>
      <c r="H4436" s="197" t="s">
        <v>879</v>
      </c>
    </row>
    <row r="4437" ht="15.75" customHeight="1">
      <c r="A4437" s="197" t="s">
        <v>86</v>
      </c>
      <c r="B4437" s="197" t="s">
        <v>25</v>
      </c>
      <c r="C4437" s="198" t="s">
        <v>407</v>
      </c>
      <c r="D4437" s="197" t="s">
        <v>408</v>
      </c>
      <c r="E4437" s="199">
        <v>5.0</v>
      </c>
      <c r="F4437" s="200">
        <v>45839.41666666667</v>
      </c>
      <c r="G4437" s="197" t="s">
        <v>845</v>
      </c>
      <c r="H4437" s="197" t="s">
        <v>879</v>
      </c>
    </row>
    <row r="4438" ht="15.75" customHeight="1">
      <c r="A4438" s="197" t="s">
        <v>86</v>
      </c>
      <c r="B4438" s="197" t="s">
        <v>25</v>
      </c>
      <c r="C4438" s="198" t="s">
        <v>407</v>
      </c>
      <c r="D4438" s="197" t="s">
        <v>408</v>
      </c>
      <c r="E4438" s="199">
        <v>6.0</v>
      </c>
      <c r="F4438" s="200">
        <v>45846.41666666667</v>
      </c>
      <c r="G4438" s="197" t="s">
        <v>845</v>
      </c>
      <c r="H4438" s="197" t="s">
        <v>879</v>
      </c>
    </row>
    <row r="4439" ht="15.75" customHeight="1">
      <c r="A4439" s="197" t="s">
        <v>86</v>
      </c>
      <c r="B4439" s="197" t="s">
        <v>25</v>
      </c>
      <c r="C4439" s="198" t="s">
        <v>407</v>
      </c>
      <c r="D4439" s="197" t="s">
        <v>408</v>
      </c>
      <c r="E4439" s="199">
        <v>7.0</v>
      </c>
      <c r="F4439" s="200">
        <v>45855.41666666667</v>
      </c>
      <c r="G4439" s="197" t="s">
        <v>845</v>
      </c>
      <c r="H4439" s="197" t="s">
        <v>879</v>
      </c>
    </row>
    <row r="4440" ht="15.75" customHeight="1">
      <c r="A4440" s="197" t="s">
        <v>86</v>
      </c>
      <c r="B4440" s="197" t="s">
        <v>25</v>
      </c>
      <c r="C4440" s="198" t="s">
        <v>407</v>
      </c>
      <c r="D4440" s="197" t="s">
        <v>408</v>
      </c>
      <c r="E4440" s="199">
        <v>8.0</v>
      </c>
      <c r="F4440" s="200">
        <v>45860.625</v>
      </c>
      <c r="G4440" s="197" t="s">
        <v>845</v>
      </c>
      <c r="H4440" s="197" t="s">
        <v>879</v>
      </c>
    </row>
    <row r="4441" ht="15.75" customHeight="1">
      <c r="A4441" s="197" t="s">
        <v>86</v>
      </c>
      <c r="B4441" s="197" t="s">
        <v>25</v>
      </c>
      <c r="C4441" s="198" t="s">
        <v>407</v>
      </c>
      <c r="D4441" s="197" t="s">
        <v>408</v>
      </c>
      <c r="E4441" s="199">
        <v>9.0</v>
      </c>
      <c r="F4441" s="200">
        <v>45869.45833333333</v>
      </c>
      <c r="G4441" s="197" t="s">
        <v>845</v>
      </c>
      <c r="H4441" s="197" t="s">
        <v>879</v>
      </c>
    </row>
    <row r="4442" ht="15.75" customHeight="1">
      <c r="A4442" s="197" t="s">
        <v>86</v>
      </c>
      <c r="B4442" s="197" t="s">
        <v>25</v>
      </c>
      <c r="C4442" s="198" t="s">
        <v>407</v>
      </c>
      <c r="D4442" s="197" t="s">
        <v>408</v>
      </c>
      <c r="E4442" s="199">
        <v>10.0</v>
      </c>
      <c r="F4442" s="200">
        <v>45881.5</v>
      </c>
      <c r="G4442" s="197" t="s">
        <v>845</v>
      </c>
      <c r="H4442" s="197" t="s">
        <v>879</v>
      </c>
    </row>
    <row r="4443" ht="15.75" customHeight="1">
      <c r="A4443" s="197" t="s">
        <v>86</v>
      </c>
      <c r="B4443" s="197" t="s">
        <v>25</v>
      </c>
      <c r="C4443" s="198" t="s">
        <v>407</v>
      </c>
      <c r="D4443" s="197" t="s">
        <v>408</v>
      </c>
      <c r="E4443" s="199">
        <v>11.0</v>
      </c>
      <c r="F4443" s="200">
        <v>45888.54166666667</v>
      </c>
      <c r="G4443" s="197" t="s">
        <v>845</v>
      </c>
      <c r="H4443" s="197" t="s">
        <v>879</v>
      </c>
    </row>
    <row r="4444" ht="15.75" customHeight="1">
      <c r="A4444" s="197" t="s">
        <v>86</v>
      </c>
      <c r="B4444" s="197" t="s">
        <v>25</v>
      </c>
      <c r="C4444" s="198" t="s">
        <v>407</v>
      </c>
      <c r="D4444" s="197" t="s">
        <v>408</v>
      </c>
      <c r="E4444" s="199">
        <v>12.0</v>
      </c>
      <c r="F4444" s="200">
        <v>45897.45833333333</v>
      </c>
      <c r="G4444" s="197" t="s">
        <v>845</v>
      </c>
      <c r="H4444" s="197" t="s">
        <v>879</v>
      </c>
    </row>
    <row r="4445" ht="15.75" customHeight="1">
      <c r="A4445" s="197" t="s">
        <v>86</v>
      </c>
      <c r="B4445" s="197" t="s">
        <v>25</v>
      </c>
      <c r="C4445" s="198" t="s">
        <v>407</v>
      </c>
      <c r="D4445" s="197" t="s">
        <v>408</v>
      </c>
      <c r="E4445" s="199">
        <v>13.0</v>
      </c>
      <c r="F4445" s="200">
        <v>45909.41666666667</v>
      </c>
      <c r="G4445" s="197" t="s">
        <v>845</v>
      </c>
      <c r="H4445" s="197" t="s">
        <v>879</v>
      </c>
    </row>
    <row r="4446" ht="15.75" customHeight="1">
      <c r="A4446" s="197" t="s">
        <v>86</v>
      </c>
      <c r="B4446" s="197" t="s">
        <v>25</v>
      </c>
      <c r="C4446" s="198" t="s">
        <v>407</v>
      </c>
      <c r="D4446" s="197" t="s">
        <v>408</v>
      </c>
      <c r="E4446" s="199">
        <v>14.0</v>
      </c>
      <c r="F4446" s="200">
        <v>45923.41666666667</v>
      </c>
      <c r="G4446" s="197" t="s">
        <v>845</v>
      </c>
      <c r="H4446" s="197" t="s">
        <v>879</v>
      </c>
    </row>
    <row r="4447" ht="15.75" customHeight="1">
      <c r="A4447" s="197" t="s">
        <v>86</v>
      </c>
      <c r="B4447" s="197" t="s">
        <v>25</v>
      </c>
      <c r="C4447" s="198" t="s">
        <v>407</v>
      </c>
      <c r="D4447" s="197" t="s">
        <v>408</v>
      </c>
      <c r="E4447" s="199">
        <v>15.0</v>
      </c>
      <c r="F4447" s="200">
        <v>45925.625</v>
      </c>
      <c r="G4447" s="197" t="s">
        <v>845</v>
      </c>
      <c r="H4447" s="197" t="s">
        <v>879</v>
      </c>
    </row>
    <row r="4448" ht="15.75" customHeight="1">
      <c r="A4448" s="197" t="s">
        <v>86</v>
      </c>
      <c r="B4448" s="197" t="s">
        <v>21</v>
      </c>
      <c r="C4448" s="198" t="s">
        <v>429</v>
      </c>
      <c r="D4448" s="197" t="s">
        <v>430</v>
      </c>
      <c r="E4448" s="199">
        <v>2.0</v>
      </c>
      <c r="F4448" s="200">
        <v>45930.41666666667</v>
      </c>
      <c r="G4448" s="197" t="s">
        <v>845</v>
      </c>
      <c r="H4448" s="197" t="s">
        <v>879</v>
      </c>
    </row>
    <row r="4449" ht="15.75" customHeight="1">
      <c r="A4449" s="197" t="s">
        <v>86</v>
      </c>
      <c r="B4449" s="197" t="s">
        <v>21</v>
      </c>
      <c r="C4449" s="198" t="s">
        <v>429</v>
      </c>
      <c r="D4449" s="197" t="s">
        <v>430</v>
      </c>
      <c r="E4449" s="199">
        <v>3.0</v>
      </c>
      <c r="F4449" s="200">
        <v>45932.58333333333</v>
      </c>
      <c r="G4449" s="197" t="s">
        <v>845</v>
      </c>
      <c r="H4449" s="197" t="s">
        <v>879</v>
      </c>
    </row>
    <row r="4450" ht="15.75" customHeight="1">
      <c r="A4450" s="197" t="s">
        <v>86</v>
      </c>
      <c r="B4450" s="197" t="s">
        <v>21</v>
      </c>
      <c r="C4450" s="198" t="s">
        <v>429</v>
      </c>
      <c r="D4450" s="197" t="s">
        <v>430</v>
      </c>
      <c r="E4450" s="199">
        <v>4.0</v>
      </c>
      <c r="F4450" s="200">
        <v>45937.41666666667</v>
      </c>
      <c r="G4450" s="197" t="s">
        <v>845</v>
      </c>
      <c r="H4450" s="197" t="s">
        <v>879</v>
      </c>
    </row>
    <row r="4451" ht="15.75" customHeight="1">
      <c r="A4451" s="197" t="s">
        <v>86</v>
      </c>
      <c r="B4451" s="197" t="s">
        <v>21</v>
      </c>
      <c r="C4451" s="198" t="s">
        <v>429</v>
      </c>
      <c r="D4451" s="197" t="s">
        <v>430</v>
      </c>
      <c r="E4451" s="199">
        <v>5.0</v>
      </c>
      <c r="F4451" s="200">
        <v>45939.625</v>
      </c>
      <c r="G4451" s="197" t="s">
        <v>845</v>
      </c>
      <c r="H4451" s="197" t="s">
        <v>879</v>
      </c>
    </row>
    <row r="4452" ht="15.75" customHeight="1">
      <c r="A4452" s="197" t="s">
        <v>86</v>
      </c>
      <c r="B4452" s="197" t="s">
        <v>21</v>
      </c>
      <c r="C4452" s="198" t="s">
        <v>429</v>
      </c>
      <c r="D4452" s="197" t="s">
        <v>430</v>
      </c>
      <c r="E4452" s="199">
        <v>6.0</v>
      </c>
      <c r="F4452" s="200">
        <v>45951.41666666667</v>
      </c>
      <c r="G4452" s="197" t="s">
        <v>845</v>
      </c>
      <c r="H4452" s="197" t="s">
        <v>879</v>
      </c>
    </row>
    <row r="4453" ht="15.75" customHeight="1">
      <c r="A4453" s="197" t="s">
        <v>86</v>
      </c>
      <c r="B4453" s="197" t="s">
        <v>21</v>
      </c>
      <c r="C4453" s="198" t="s">
        <v>429</v>
      </c>
      <c r="D4453" s="197" t="s">
        <v>430</v>
      </c>
      <c r="E4453" s="199">
        <v>7.0</v>
      </c>
      <c r="F4453" s="200">
        <v>45953.625</v>
      </c>
      <c r="G4453" s="197" t="s">
        <v>845</v>
      </c>
      <c r="H4453" s="197" t="s">
        <v>879</v>
      </c>
    </row>
    <row r="4454" ht="15.75" customHeight="1">
      <c r="A4454" s="197" t="s">
        <v>86</v>
      </c>
      <c r="B4454" s="197" t="s">
        <v>21</v>
      </c>
      <c r="C4454" s="198" t="s">
        <v>429</v>
      </c>
      <c r="D4454" s="197" t="s">
        <v>430</v>
      </c>
      <c r="E4454" s="199">
        <v>8.0</v>
      </c>
      <c r="F4454" s="200">
        <v>45958.41666666667</v>
      </c>
      <c r="G4454" s="197" t="s">
        <v>845</v>
      </c>
      <c r="H4454" s="197" t="s">
        <v>879</v>
      </c>
    </row>
    <row r="4455" ht="15.75" customHeight="1">
      <c r="A4455" s="197" t="s">
        <v>86</v>
      </c>
      <c r="B4455" s="197" t="s">
        <v>21</v>
      </c>
      <c r="C4455" s="198" t="s">
        <v>429</v>
      </c>
      <c r="D4455" s="197" t="s">
        <v>430</v>
      </c>
      <c r="E4455" s="199">
        <v>9.0</v>
      </c>
      <c r="F4455" s="200">
        <v>45958.45833333333</v>
      </c>
      <c r="G4455" s="197" t="s">
        <v>845</v>
      </c>
      <c r="H4455" s="197" t="s">
        <v>879</v>
      </c>
    </row>
    <row r="4456" ht="15.75" customHeight="1">
      <c r="A4456" s="197" t="s">
        <v>86</v>
      </c>
      <c r="B4456" s="197" t="s">
        <v>21</v>
      </c>
      <c r="C4456" s="198" t="s">
        <v>429</v>
      </c>
      <c r="D4456" s="197" t="s">
        <v>430</v>
      </c>
      <c r="E4456" s="199">
        <v>10.0</v>
      </c>
      <c r="F4456" s="200">
        <v>45965.625</v>
      </c>
      <c r="G4456" s="197" t="s">
        <v>845</v>
      </c>
      <c r="H4456" s="197" t="s">
        <v>879</v>
      </c>
    </row>
    <row r="4457" ht="15.75" customHeight="1">
      <c r="A4457" s="197" t="s">
        <v>86</v>
      </c>
      <c r="B4457" s="197" t="s">
        <v>21</v>
      </c>
      <c r="C4457" s="198" t="s">
        <v>429</v>
      </c>
      <c r="D4457" s="197" t="s">
        <v>430</v>
      </c>
      <c r="E4457" s="199">
        <v>11.0</v>
      </c>
      <c r="F4457" s="200">
        <v>45972.625</v>
      </c>
      <c r="G4457" s="197" t="s">
        <v>843</v>
      </c>
      <c r="H4457" s="197" t="s">
        <v>879</v>
      </c>
    </row>
    <row r="4458" ht="15.75" customHeight="1">
      <c r="A4458" s="197" t="s">
        <v>86</v>
      </c>
      <c r="B4458" s="197" t="s">
        <v>21</v>
      </c>
      <c r="C4458" s="198" t="s">
        <v>429</v>
      </c>
      <c r="D4458" s="197" t="s">
        <v>430</v>
      </c>
      <c r="E4458" s="199">
        <v>12.0</v>
      </c>
      <c r="F4458" s="200">
        <v>45979.41666666667</v>
      </c>
      <c r="G4458" s="197" t="s">
        <v>845</v>
      </c>
      <c r="H4458" s="197" t="s">
        <v>879</v>
      </c>
    </row>
    <row r="4459" ht="15.75" customHeight="1">
      <c r="A4459" s="197" t="s">
        <v>86</v>
      </c>
      <c r="B4459" s="197" t="s">
        <v>21</v>
      </c>
      <c r="C4459" s="198" t="s">
        <v>429</v>
      </c>
      <c r="D4459" s="197" t="s">
        <v>430</v>
      </c>
      <c r="E4459" s="199">
        <v>13.0</v>
      </c>
      <c r="F4459" s="200">
        <v>45979.41666666667</v>
      </c>
      <c r="G4459" s="197" t="s">
        <v>845</v>
      </c>
      <c r="H4459" s="197" t="s">
        <v>879</v>
      </c>
    </row>
    <row r="4460" ht="15.75" customHeight="1">
      <c r="A4460" s="197" t="s">
        <v>86</v>
      </c>
      <c r="B4460" s="197" t="s">
        <v>21</v>
      </c>
      <c r="C4460" s="198" t="s">
        <v>429</v>
      </c>
      <c r="D4460" s="197" t="s">
        <v>430</v>
      </c>
      <c r="E4460" s="199">
        <v>14.0</v>
      </c>
      <c r="F4460" s="200">
        <v>45987.625</v>
      </c>
      <c r="G4460" s="197" t="s">
        <v>845</v>
      </c>
      <c r="H4460" s="197" t="s">
        <v>879</v>
      </c>
    </row>
    <row r="4461" ht="15.75" customHeight="1">
      <c r="A4461" s="197" t="s">
        <v>86</v>
      </c>
      <c r="B4461" s="197" t="s">
        <v>21</v>
      </c>
      <c r="C4461" s="198" t="s">
        <v>429</v>
      </c>
      <c r="D4461" s="197" t="s">
        <v>430</v>
      </c>
      <c r="E4461" s="199">
        <v>15.0</v>
      </c>
      <c r="F4461" s="200">
        <v>45993.41666666667</v>
      </c>
      <c r="G4461" s="197" t="s">
        <v>843</v>
      </c>
      <c r="H4461" s="197" t="s">
        <v>879</v>
      </c>
    </row>
    <row r="4462" ht="15.75" customHeight="1">
      <c r="A4462" s="197" t="s">
        <v>86</v>
      </c>
      <c r="B4462" s="197" t="s">
        <v>21</v>
      </c>
      <c r="C4462" s="198" t="s">
        <v>429</v>
      </c>
      <c r="D4462" s="197" t="s">
        <v>430</v>
      </c>
      <c r="E4462" s="199">
        <v>16.0</v>
      </c>
      <c r="F4462" s="200">
        <v>46000.625</v>
      </c>
      <c r="G4462" s="197" t="s">
        <v>845</v>
      </c>
      <c r="H4462" s="197" t="s">
        <v>879</v>
      </c>
    </row>
    <row r="4463" ht="15.75" customHeight="1">
      <c r="A4463" s="197" t="s">
        <v>86</v>
      </c>
      <c r="B4463" s="197" t="s">
        <v>22</v>
      </c>
      <c r="C4463" s="198" t="s">
        <v>429</v>
      </c>
      <c r="D4463" s="197" t="s">
        <v>430</v>
      </c>
      <c r="E4463" s="199">
        <v>1.0</v>
      </c>
      <c r="F4463" s="200">
        <v>46098.625</v>
      </c>
      <c r="G4463" s="197" t="s">
        <v>845</v>
      </c>
      <c r="H4463" s="197" t="s">
        <v>879</v>
      </c>
    </row>
    <row r="4464" ht="15.75" customHeight="1">
      <c r="A4464" s="197" t="s">
        <v>86</v>
      </c>
      <c r="B4464" s="197" t="s">
        <v>22</v>
      </c>
      <c r="C4464" s="198" t="s">
        <v>429</v>
      </c>
      <c r="D4464" s="197" t="s">
        <v>430</v>
      </c>
      <c r="E4464" s="199">
        <v>2.0</v>
      </c>
      <c r="F4464" s="200">
        <v>46105.625</v>
      </c>
      <c r="G4464" s="197" t="s">
        <v>845</v>
      </c>
      <c r="H4464" s="197" t="s">
        <v>879</v>
      </c>
    </row>
    <row r="4465" ht="15.75" customHeight="1">
      <c r="A4465" s="197" t="s">
        <v>86</v>
      </c>
      <c r="B4465" s="197" t="s">
        <v>22</v>
      </c>
      <c r="C4465" s="198" t="s">
        <v>429</v>
      </c>
      <c r="D4465" s="197" t="s">
        <v>430</v>
      </c>
      <c r="E4465" s="199">
        <v>3.0</v>
      </c>
      <c r="F4465" s="200">
        <v>46112.625</v>
      </c>
      <c r="G4465" s="197" t="s">
        <v>845</v>
      </c>
      <c r="H4465" s="197" t="s">
        <v>879</v>
      </c>
    </row>
    <row r="4466" ht="15.75" customHeight="1">
      <c r="A4466" s="197" t="s">
        <v>86</v>
      </c>
      <c r="B4466" s="197" t="s">
        <v>22</v>
      </c>
      <c r="C4466" s="198" t="s">
        <v>429</v>
      </c>
      <c r="D4466" s="197" t="s">
        <v>430</v>
      </c>
      <c r="E4466" s="199">
        <v>4.0</v>
      </c>
      <c r="F4466" s="200">
        <v>46119.625</v>
      </c>
      <c r="G4466" s="197" t="s">
        <v>845</v>
      </c>
      <c r="H4466" s="197" t="s">
        <v>879</v>
      </c>
    </row>
    <row r="4467" ht="15.75" customHeight="1">
      <c r="A4467" s="197" t="s">
        <v>86</v>
      </c>
      <c r="B4467" s="197" t="s">
        <v>25</v>
      </c>
      <c r="C4467" s="198" t="s">
        <v>429</v>
      </c>
      <c r="D4467" s="197" t="s">
        <v>430</v>
      </c>
      <c r="E4467" s="199">
        <v>1.0</v>
      </c>
      <c r="F4467" s="200">
        <v>45805.375</v>
      </c>
      <c r="G4467" s="197" t="s">
        <v>845</v>
      </c>
      <c r="H4467" s="197" t="s">
        <v>879</v>
      </c>
    </row>
    <row r="4468" ht="15.75" customHeight="1">
      <c r="A4468" s="197" t="s">
        <v>86</v>
      </c>
      <c r="B4468" s="197" t="s">
        <v>25</v>
      </c>
      <c r="C4468" s="198" t="s">
        <v>429</v>
      </c>
      <c r="D4468" s="197" t="s">
        <v>430</v>
      </c>
      <c r="E4468" s="199">
        <v>2.0</v>
      </c>
      <c r="F4468" s="200">
        <v>45811.41666666667</v>
      </c>
      <c r="G4468" s="197" t="s">
        <v>845</v>
      </c>
      <c r="H4468" s="197" t="s">
        <v>879</v>
      </c>
    </row>
    <row r="4469" ht="15.75" customHeight="1">
      <c r="A4469" s="197" t="s">
        <v>86</v>
      </c>
      <c r="B4469" s="197" t="s">
        <v>25</v>
      </c>
      <c r="C4469" s="198" t="s">
        <v>429</v>
      </c>
      <c r="D4469" s="197" t="s">
        <v>430</v>
      </c>
      <c r="E4469" s="199">
        <v>3.0</v>
      </c>
      <c r="F4469" s="200">
        <v>45818.41666666667</v>
      </c>
      <c r="G4469" s="197" t="s">
        <v>845</v>
      </c>
      <c r="H4469" s="197" t="s">
        <v>879</v>
      </c>
    </row>
    <row r="4470" ht="15.75" customHeight="1">
      <c r="A4470" s="197" t="s">
        <v>86</v>
      </c>
      <c r="B4470" s="197" t="s">
        <v>25</v>
      </c>
      <c r="C4470" s="198" t="s">
        <v>429</v>
      </c>
      <c r="D4470" s="197" t="s">
        <v>430</v>
      </c>
      <c r="E4470" s="199">
        <v>4.0</v>
      </c>
      <c r="F4470" s="200">
        <v>45825.41666666667</v>
      </c>
      <c r="G4470" s="197" t="s">
        <v>845</v>
      </c>
      <c r="H4470" s="197" t="s">
        <v>879</v>
      </c>
    </row>
    <row r="4471" ht="15.75" customHeight="1">
      <c r="A4471" s="197" t="s">
        <v>86</v>
      </c>
      <c r="B4471" s="197" t="s">
        <v>25</v>
      </c>
      <c r="C4471" s="198" t="s">
        <v>429</v>
      </c>
      <c r="D4471" s="197" t="s">
        <v>430</v>
      </c>
      <c r="E4471" s="199">
        <v>5.0</v>
      </c>
      <c r="F4471" s="200">
        <v>45839.41666666667</v>
      </c>
      <c r="G4471" s="197" t="s">
        <v>845</v>
      </c>
      <c r="H4471" s="197" t="s">
        <v>879</v>
      </c>
    </row>
    <row r="4472" ht="15.75" customHeight="1">
      <c r="A4472" s="197" t="s">
        <v>86</v>
      </c>
      <c r="B4472" s="197" t="s">
        <v>25</v>
      </c>
      <c r="C4472" s="198" t="s">
        <v>429</v>
      </c>
      <c r="D4472" s="197" t="s">
        <v>430</v>
      </c>
      <c r="E4472" s="199">
        <v>6.0</v>
      </c>
      <c r="F4472" s="200">
        <v>45846.41666666667</v>
      </c>
      <c r="G4472" s="197" t="s">
        <v>845</v>
      </c>
      <c r="H4472" s="197" t="s">
        <v>879</v>
      </c>
    </row>
    <row r="4473" ht="15.75" customHeight="1">
      <c r="A4473" s="197" t="s">
        <v>86</v>
      </c>
      <c r="B4473" s="197" t="s">
        <v>25</v>
      </c>
      <c r="C4473" s="198" t="s">
        <v>429</v>
      </c>
      <c r="D4473" s="197" t="s">
        <v>430</v>
      </c>
      <c r="E4473" s="199">
        <v>7.0</v>
      </c>
      <c r="F4473" s="200">
        <v>45855.41666666667</v>
      </c>
      <c r="G4473" s="197" t="s">
        <v>845</v>
      </c>
      <c r="H4473" s="197" t="s">
        <v>879</v>
      </c>
    </row>
    <row r="4474" ht="15.75" customHeight="1">
      <c r="A4474" s="197" t="s">
        <v>86</v>
      </c>
      <c r="B4474" s="197" t="s">
        <v>25</v>
      </c>
      <c r="C4474" s="198" t="s">
        <v>429</v>
      </c>
      <c r="D4474" s="197" t="s">
        <v>430</v>
      </c>
      <c r="E4474" s="199">
        <v>8.0</v>
      </c>
      <c r="F4474" s="200">
        <v>45860.625</v>
      </c>
      <c r="G4474" s="197" t="s">
        <v>843</v>
      </c>
      <c r="H4474" s="197" t="s">
        <v>879</v>
      </c>
    </row>
    <row r="4475" ht="15.75" customHeight="1">
      <c r="A4475" s="197" t="s">
        <v>86</v>
      </c>
      <c r="B4475" s="197" t="s">
        <v>25</v>
      </c>
      <c r="C4475" s="198" t="s">
        <v>429</v>
      </c>
      <c r="D4475" s="197" t="s">
        <v>430</v>
      </c>
      <c r="E4475" s="199">
        <v>9.0</v>
      </c>
      <c r="F4475" s="200">
        <v>45869.45833333333</v>
      </c>
      <c r="G4475" s="197" t="s">
        <v>845</v>
      </c>
      <c r="H4475" s="197" t="s">
        <v>879</v>
      </c>
    </row>
    <row r="4476" ht="15.75" customHeight="1">
      <c r="A4476" s="197" t="s">
        <v>86</v>
      </c>
      <c r="B4476" s="197" t="s">
        <v>25</v>
      </c>
      <c r="C4476" s="198" t="s">
        <v>429</v>
      </c>
      <c r="D4476" s="197" t="s">
        <v>430</v>
      </c>
      <c r="E4476" s="199">
        <v>10.0</v>
      </c>
      <c r="F4476" s="200">
        <v>45881.5</v>
      </c>
      <c r="G4476" s="197" t="s">
        <v>845</v>
      </c>
      <c r="H4476" s="197" t="s">
        <v>879</v>
      </c>
    </row>
    <row r="4477" ht="15.75" customHeight="1">
      <c r="A4477" s="197" t="s">
        <v>86</v>
      </c>
      <c r="B4477" s="197" t="s">
        <v>25</v>
      </c>
      <c r="C4477" s="198" t="s">
        <v>429</v>
      </c>
      <c r="D4477" s="197" t="s">
        <v>430</v>
      </c>
      <c r="E4477" s="199">
        <v>11.0</v>
      </c>
      <c r="F4477" s="200">
        <v>45888.54166666667</v>
      </c>
      <c r="G4477" s="197" t="s">
        <v>845</v>
      </c>
      <c r="H4477" s="197" t="s">
        <v>879</v>
      </c>
    </row>
    <row r="4478" ht="15.75" customHeight="1">
      <c r="A4478" s="197" t="s">
        <v>86</v>
      </c>
      <c r="B4478" s="197" t="s">
        <v>25</v>
      </c>
      <c r="C4478" s="198" t="s">
        <v>429</v>
      </c>
      <c r="D4478" s="197" t="s">
        <v>430</v>
      </c>
      <c r="E4478" s="199">
        <v>12.0</v>
      </c>
      <c r="F4478" s="200">
        <v>45897.45833333333</v>
      </c>
      <c r="G4478" s="197" t="s">
        <v>843</v>
      </c>
      <c r="H4478" s="197" t="s">
        <v>879</v>
      </c>
    </row>
    <row r="4479" ht="15.75" customHeight="1">
      <c r="A4479" s="197" t="s">
        <v>86</v>
      </c>
      <c r="B4479" s="197" t="s">
        <v>25</v>
      </c>
      <c r="C4479" s="198" t="s">
        <v>429</v>
      </c>
      <c r="D4479" s="197" t="s">
        <v>430</v>
      </c>
      <c r="E4479" s="199">
        <v>13.0</v>
      </c>
      <c r="F4479" s="200">
        <v>45909.41666666667</v>
      </c>
      <c r="G4479" s="197" t="s">
        <v>845</v>
      </c>
      <c r="H4479" s="197" t="s">
        <v>879</v>
      </c>
    </row>
    <row r="4480" ht="15.75" customHeight="1">
      <c r="A4480" s="197" t="s">
        <v>86</v>
      </c>
      <c r="B4480" s="197" t="s">
        <v>25</v>
      </c>
      <c r="C4480" s="198" t="s">
        <v>429</v>
      </c>
      <c r="D4480" s="197" t="s">
        <v>430</v>
      </c>
      <c r="E4480" s="199">
        <v>14.0</v>
      </c>
      <c r="F4480" s="200">
        <v>45923.41666666667</v>
      </c>
      <c r="G4480" s="197" t="s">
        <v>843</v>
      </c>
      <c r="H4480" s="197" t="s">
        <v>879</v>
      </c>
    </row>
    <row r="4481" ht="15.75" customHeight="1">
      <c r="A4481" s="197" t="s">
        <v>86</v>
      </c>
      <c r="B4481" s="197" t="s">
        <v>25</v>
      </c>
      <c r="C4481" s="198" t="s">
        <v>429</v>
      </c>
      <c r="D4481" s="197" t="s">
        <v>430</v>
      </c>
      <c r="E4481" s="199">
        <v>15.0</v>
      </c>
      <c r="F4481" s="200">
        <v>45925.625</v>
      </c>
      <c r="G4481" s="197" t="s">
        <v>845</v>
      </c>
      <c r="H4481" s="197" t="s">
        <v>879</v>
      </c>
    </row>
    <row r="4482" ht="15.75" customHeight="1">
      <c r="A4482" s="197" t="s">
        <v>86</v>
      </c>
      <c r="B4482" s="197" t="s">
        <v>21</v>
      </c>
      <c r="C4482" s="198" t="s">
        <v>538</v>
      </c>
      <c r="D4482" s="197" t="s">
        <v>539</v>
      </c>
      <c r="E4482" s="199">
        <v>2.0</v>
      </c>
      <c r="F4482" s="200">
        <v>45930.41666666667</v>
      </c>
      <c r="G4482" s="197" t="s">
        <v>845</v>
      </c>
      <c r="H4482" s="197" t="s">
        <v>879</v>
      </c>
    </row>
    <row r="4483" ht="15.75" customHeight="1">
      <c r="A4483" s="197" t="s">
        <v>86</v>
      </c>
      <c r="B4483" s="197" t="s">
        <v>21</v>
      </c>
      <c r="C4483" s="198" t="s">
        <v>538</v>
      </c>
      <c r="D4483" s="197" t="s">
        <v>539</v>
      </c>
      <c r="E4483" s="199">
        <v>3.0</v>
      </c>
      <c r="F4483" s="200">
        <v>45932.58333333333</v>
      </c>
      <c r="G4483" s="197" t="s">
        <v>845</v>
      </c>
      <c r="H4483" s="197" t="s">
        <v>879</v>
      </c>
    </row>
    <row r="4484" ht="15.75" customHeight="1">
      <c r="A4484" s="197" t="s">
        <v>86</v>
      </c>
      <c r="B4484" s="197" t="s">
        <v>21</v>
      </c>
      <c r="C4484" s="198" t="s">
        <v>538</v>
      </c>
      <c r="D4484" s="197" t="s">
        <v>539</v>
      </c>
      <c r="E4484" s="199">
        <v>4.0</v>
      </c>
      <c r="F4484" s="200">
        <v>45937.41666666667</v>
      </c>
      <c r="G4484" s="197" t="s">
        <v>845</v>
      </c>
      <c r="H4484" s="197" t="s">
        <v>879</v>
      </c>
    </row>
    <row r="4485" ht="15.75" customHeight="1">
      <c r="A4485" s="197" t="s">
        <v>86</v>
      </c>
      <c r="B4485" s="197" t="s">
        <v>21</v>
      </c>
      <c r="C4485" s="198" t="s">
        <v>538</v>
      </c>
      <c r="D4485" s="197" t="s">
        <v>539</v>
      </c>
      <c r="E4485" s="199">
        <v>5.0</v>
      </c>
      <c r="F4485" s="200">
        <v>45939.625</v>
      </c>
      <c r="G4485" s="197" t="s">
        <v>845</v>
      </c>
      <c r="H4485" s="197" t="s">
        <v>879</v>
      </c>
    </row>
    <row r="4486" ht="15.75" customHeight="1">
      <c r="A4486" s="197" t="s">
        <v>86</v>
      </c>
      <c r="B4486" s="197" t="s">
        <v>21</v>
      </c>
      <c r="C4486" s="198" t="s">
        <v>538</v>
      </c>
      <c r="D4486" s="197" t="s">
        <v>539</v>
      </c>
      <c r="E4486" s="199">
        <v>6.0</v>
      </c>
      <c r="F4486" s="200">
        <v>45951.41666666667</v>
      </c>
      <c r="G4486" s="197" t="s">
        <v>843</v>
      </c>
      <c r="H4486" s="197" t="s">
        <v>879</v>
      </c>
    </row>
    <row r="4487" ht="15.75" customHeight="1">
      <c r="A4487" s="197" t="s">
        <v>86</v>
      </c>
      <c r="B4487" s="197" t="s">
        <v>21</v>
      </c>
      <c r="C4487" s="198" t="s">
        <v>538</v>
      </c>
      <c r="D4487" s="197" t="s">
        <v>539</v>
      </c>
      <c r="E4487" s="199">
        <v>7.0</v>
      </c>
      <c r="F4487" s="200">
        <v>45953.625</v>
      </c>
      <c r="G4487" s="197" t="s">
        <v>845</v>
      </c>
      <c r="H4487" s="197" t="s">
        <v>879</v>
      </c>
    </row>
    <row r="4488" ht="15.75" customHeight="1">
      <c r="A4488" s="197" t="s">
        <v>86</v>
      </c>
      <c r="B4488" s="197" t="s">
        <v>21</v>
      </c>
      <c r="C4488" s="198" t="s">
        <v>538</v>
      </c>
      <c r="D4488" s="197" t="s">
        <v>539</v>
      </c>
      <c r="E4488" s="199">
        <v>8.0</v>
      </c>
      <c r="F4488" s="200">
        <v>45958.41666666667</v>
      </c>
      <c r="G4488" s="197" t="s">
        <v>845</v>
      </c>
      <c r="H4488" s="197" t="s">
        <v>879</v>
      </c>
    </row>
    <row r="4489" ht="15.75" customHeight="1">
      <c r="A4489" s="197" t="s">
        <v>86</v>
      </c>
      <c r="B4489" s="197" t="s">
        <v>21</v>
      </c>
      <c r="C4489" s="198" t="s">
        <v>538</v>
      </c>
      <c r="D4489" s="197" t="s">
        <v>539</v>
      </c>
      <c r="E4489" s="199">
        <v>9.0</v>
      </c>
      <c r="F4489" s="200">
        <v>45958.45833333333</v>
      </c>
      <c r="G4489" s="197" t="s">
        <v>845</v>
      </c>
      <c r="H4489" s="197" t="s">
        <v>879</v>
      </c>
    </row>
    <row r="4490" ht="15.75" customHeight="1">
      <c r="A4490" s="197" t="s">
        <v>86</v>
      </c>
      <c r="B4490" s="197" t="s">
        <v>21</v>
      </c>
      <c r="C4490" s="198" t="s">
        <v>538</v>
      </c>
      <c r="D4490" s="197" t="s">
        <v>539</v>
      </c>
      <c r="E4490" s="199">
        <v>10.0</v>
      </c>
      <c r="F4490" s="200">
        <v>45965.625</v>
      </c>
      <c r="G4490" s="197" t="s">
        <v>845</v>
      </c>
      <c r="H4490" s="197" t="s">
        <v>879</v>
      </c>
    </row>
    <row r="4491" ht="15.75" customHeight="1">
      <c r="A4491" s="197" t="s">
        <v>86</v>
      </c>
      <c r="B4491" s="197" t="s">
        <v>21</v>
      </c>
      <c r="C4491" s="198" t="s">
        <v>538</v>
      </c>
      <c r="D4491" s="197" t="s">
        <v>539</v>
      </c>
      <c r="E4491" s="199">
        <v>11.0</v>
      </c>
      <c r="F4491" s="200">
        <v>45972.625</v>
      </c>
      <c r="G4491" s="197" t="s">
        <v>845</v>
      </c>
      <c r="H4491" s="197" t="s">
        <v>879</v>
      </c>
    </row>
    <row r="4492" ht="15.75" customHeight="1">
      <c r="A4492" s="197" t="s">
        <v>86</v>
      </c>
      <c r="B4492" s="197" t="s">
        <v>21</v>
      </c>
      <c r="C4492" s="198" t="s">
        <v>538</v>
      </c>
      <c r="D4492" s="197" t="s">
        <v>539</v>
      </c>
      <c r="E4492" s="199">
        <v>12.0</v>
      </c>
      <c r="F4492" s="200">
        <v>45979.41666666667</v>
      </c>
      <c r="G4492" s="197" t="s">
        <v>845</v>
      </c>
      <c r="H4492" s="197" t="s">
        <v>879</v>
      </c>
    </row>
    <row r="4493" ht="15.75" customHeight="1">
      <c r="A4493" s="197" t="s">
        <v>86</v>
      </c>
      <c r="B4493" s="197" t="s">
        <v>21</v>
      </c>
      <c r="C4493" s="198" t="s">
        <v>538</v>
      </c>
      <c r="D4493" s="197" t="s">
        <v>539</v>
      </c>
      <c r="E4493" s="199">
        <v>13.0</v>
      </c>
      <c r="F4493" s="200">
        <v>45979.41666666667</v>
      </c>
      <c r="G4493" s="197" t="s">
        <v>845</v>
      </c>
      <c r="H4493" s="197" t="s">
        <v>879</v>
      </c>
    </row>
    <row r="4494" ht="15.75" customHeight="1">
      <c r="A4494" s="197" t="s">
        <v>86</v>
      </c>
      <c r="B4494" s="197" t="s">
        <v>21</v>
      </c>
      <c r="C4494" s="198" t="s">
        <v>538</v>
      </c>
      <c r="D4494" s="197" t="s">
        <v>539</v>
      </c>
      <c r="E4494" s="199">
        <v>14.0</v>
      </c>
      <c r="F4494" s="200">
        <v>45987.625</v>
      </c>
      <c r="G4494" s="197" t="s">
        <v>845</v>
      </c>
      <c r="H4494" s="197" t="s">
        <v>879</v>
      </c>
    </row>
    <row r="4495" ht="15.75" customHeight="1">
      <c r="A4495" s="197" t="s">
        <v>86</v>
      </c>
      <c r="B4495" s="197" t="s">
        <v>21</v>
      </c>
      <c r="C4495" s="198" t="s">
        <v>538</v>
      </c>
      <c r="D4495" s="197" t="s">
        <v>539</v>
      </c>
      <c r="E4495" s="199">
        <v>15.0</v>
      </c>
      <c r="F4495" s="200">
        <v>45993.41666666667</v>
      </c>
      <c r="G4495" s="197" t="s">
        <v>845</v>
      </c>
      <c r="H4495" s="197" t="s">
        <v>879</v>
      </c>
    </row>
    <row r="4496" ht="15.75" customHeight="1">
      <c r="A4496" s="197" t="s">
        <v>86</v>
      </c>
      <c r="B4496" s="197" t="s">
        <v>21</v>
      </c>
      <c r="C4496" s="198" t="s">
        <v>538</v>
      </c>
      <c r="D4496" s="197" t="s">
        <v>539</v>
      </c>
      <c r="E4496" s="199">
        <v>16.0</v>
      </c>
      <c r="F4496" s="200">
        <v>46000.625</v>
      </c>
      <c r="G4496" s="197" t="s">
        <v>845</v>
      </c>
      <c r="H4496" s="197" t="s">
        <v>879</v>
      </c>
    </row>
    <row r="4497" ht="15.75" customHeight="1">
      <c r="A4497" s="197" t="s">
        <v>86</v>
      </c>
      <c r="B4497" s="197" t="s">
        <v>22</v>
      </c>
      <c r="C4497" s="198" t="s">
        <v>538</v>
      </c>
      <c r="D4497" s="197" t="s">
        <v>539</v>
      </c>
      <c r="E4497" s="199">
        <v>1.0</v>
      </c>
      <c r="F4497" s="200">
        <v>46098.625</v>
      </c>
      <c r="G4497" s="197" t="s">
        <v>845</v>
      </c>
      <c r="H4497" s="197" t="s">
        <v>879</v>
      </c>
    </row>
    <row r="4498" ht="15.75" customHeight="1">
      <c r="A4498" s="197" t="s">
        <v>86</v>
      </c>
      <c r="B4498" s="197" t="s">
        <v>22</v>
      </c>
      <c r="C4498" s="198" t="s">
        <v>538</v>
      </c>
      <c r="D4498" s="197" t="s">
        <v>539</v>
      </c>
      <c r="E4498" s="199">
        <v>2.0</v>
      </c>
      <c r="F4498" s="200">
        <v>46105.625</v>
      </c>
      <c r="G4498" s="197" t="s">
        <v>845</v>
      </c>
      <c r="H4498" s="197" t="s">
        <v>879</v>
      </c>
    </row>
    <row r="4499" ht="15.75" customHeight="1">
      <c r="A4499" s="197" t="s">
        <v>86</v>
      </c>
      <c r="B4499" s="197" t="s">
        <v>22</v>
      </c>
      <c r="C4499" s="198" t="s">
        <v>538</v>
      </c>
      <c r="D4499" s="197" t="s">
        <v>539</v>
      </c>
      <c r="E4499" s="199">
        <v>3.0</v>
      </c>
      <c r="F4499" s="200">
        <v>46112.625</v>
      </c>
      <c r="G4499" s="197" t="s">
        <v>845</v>
      </c>
      <c r="H4499" s="197" t="s">
        <v>879</v>
      </c>
    </row>
    <row r="4500" ht="15.75" customHeight="1">
      <c r="A4500" s="197" t="s">
        <v>86</v>
      </c>
      <c r="B4500" s="197" t="s">
        <v>22</v>
      </c>
      <c r="C4500" s="198" t="s">
        <v>538</v>
      </c>
      <c r="D4500" s="197" t="s">
        <v>539</v>
      </c>
      <c r="E4500" s="199">
        <v>4.0</v>
      </c>
      <c r="F4500" s="200">
        <v>46119.625</v>
      </c>
      <c r="G4500" s="197" t="s">
        <v>845</v>
      </c>
      <c r="H4500" s="197" t="s">
        <v>879</v>
      </c>
    </row>
    <row r="4501" ht="15.75" customHeight="1">
      <c r="A4501" s="197" t="s">
        <v>86</v>
      </c>
      <c r="B4501" s="197" t="s">
        <v>25</v>
      </c>
      <c r="C4501" s="198" t="s">
        <v>538</v>
      </c>
      <c r="D4501" s="197" t="s">
        <v>539</v>
      </c>
      <c r="E4501" s="199">
        <v>1.0</v>
      </c>
      <c r="F4501" s="200">
        <v>45805.375</v>
      </c>
      <c r="G4501" s="197" t="s">
        <v>845</v>
      </c>
      <c r="H4501" s="197" t="s">
        <v>879</v>
      </c>
    </row>
    <row r="4502" ht="15.75" customHeight="1">
      <c r="A4502" s="197" t="s">
        <v>86</v>
      </c>
      <c r="B4502" s="197" t="s">
        <v>25</v>
      </c>
      <c r="C4502" s="198" t="s">
        <v>538</v>
      </c>
      <c r="D4502" s="197" t="s">
        <v>539</v>
      </c>
      <c r="E4502" s="199">
        <v>2.0</v>
      </c>
      <c r="F4502" s="200">
        <v>45811.41666666667</v>
      </c>
      <c r="G4502" s="197" t="s">
        <v>845</v>
      </c>
      <c r="H4502" s="197" t="s">
        <v>879</v>
      </c>
    </row>
    <row r="4503" ht="15.75" customHeight="1">
      <c r="A4503" s="197" t="s">
        <v>86</v>
      </c>
      <c r="B4503" s="197" t="s">
        <v>25</v>
      </c>
      <c r="C4503" s="198" t="s">
        <v>538</v>
      </c>
      <c r="D4503" s="197" t="s">
        <v>539</v>
      </c>
      <c r="E4503" s="199">
        <v>3.0</v>
      </c>
      <c r="F4503" s="200">
        <v>45818.41666666667</v>
      </c>
      <c r="G4503" s="197" t="s">
        <v>845</v>
      </c>
      <c r="H4503" s="197" t="s">
        <v>879</v>
      </c>
    </row>
    <row r="4504" ht="15.75" customHeight="1">
      <c r="A4504" s="197" t="s">
        <v>86</v>
      </c>
      <c r="B4504" s="197" t="s">
        <v>25</v>
      </c>
      <c r="C4504" s="198" t="s">
        <v>538</v>
      </c>
      <c r="D4504" s="197" t="s">
        <v>539</v>
      </c>
      <c r="E4504" s="199">
        <v>4.0</v>
      </c>
      <c r="F4504" s="200">
        <v>45825.41666666667</v>
      </c>
      <c r="G4504" s="197" t="s">
        <v>845</v>
      </c>
      <c r="H4504" s="197" t="s">
        <v>879</v>
      </c>
    </row>
    <row r="4505" ht="15.75" customHeight="1">
      <c r="A4505" s="197" t="s">
        <v>86</v>
      </c>
      <c r="B4505" s="197" t="s">
        <v>25</v>
      </c>
      <c r="C4505" s="198" t="s">
        <v>538</v>
      </c>
      <c r="D4505" s="197" t="s">
        <v>539</v>
      </c>
      <c r="E4505" s="199">
        <v>5.0</v>
      </c>
      <c r="F4505" s="200">
        <v>45839.41666666667</v>
      </c>
      <c r="G4505" s="197" t="s">
        <v>845</v>
      </c>
      <c r="H4505" s="197" t="s">
        <v>879</v>
      </c>
    </row>
    <row r="4506" ht="15.75" customHeight="1">
      <c r="A4506" s="197" t="s">
        <v>86</v>
      </c>
      <c r="B4506" s="197" t="s">
        <v>25</v>
      </c>
      <c r="C4506" s="198" t="s">
        <v>538</v>
      </c>
      <c r="D4506" s="197" t="s">
        <v>539</v>
      </c>
      <c r="E4506" s="199">
        <v>6.0</v>
      </c>
      <c r="F4506" s="200">
        <v>45846.41666666667</v>
      </c>
      <c r="G4506" s="197" t="s">
        <v>845</v>
      </c>
      <c r="H4506" s="197" t="s">
        <v>879</v>
      </c>
    </row>
    <row r="4507" ht="15.75" customHeight="1">
      <c r="A4507" s="197" t="s">
        <v>86</v>
      </c>
      <c r="B4507" s="197" t="s">
        <v>25</v>
      </c>
      <c r="C4507" s="198" t="s">
        <v>538</v>
      </c>
      <c r="D4507" s="197" t="s">
        <v>539</v>
      </c>
      <c r="E4507" s="199">
        <v>7.0</v>
      </c>
      <c r="F4507" s="200">
        <v>45855.41666666667</v>
      </c>
      <c r="G4507" s="197" t="s">
        <v>845</v>
      </c>
      <c r="H4507" s="197" t="s">
        <v>879</v>
      </c>
    </row>
    <row r="4508" ht="15.75" customHeight="1">
      <c r="A4508" s="197" t="s">
        <v>86</v>
      </c>
      <c r="B4508" s="197" t="s">
        <v>25</v>
      </c>
      <c r="C4508" s="198" t="s">
        <v>538</v>
      </c>
      <c r="D4508" s="197" t="s">
        <v>539</v>
      </c>
      <c r="E4508" s="199">
        <v>8.0</v>
      </c>
      <c r="F4508" s="200">
        <v>45860.625</v>
      </c>
      <c r="G4508" s="197" t="s">
        <v>845</v>
      </c>
      <c r="H4508" s="197" t="s">
        <v>879</v>
      </c>
    </row>
    <row r="4509" ht="15.75" customHeight="1">
      <c r="A4509" s="197" t="s">
        <v>86</v>
      </c>
      <c r="B4509" s="197" t="s">
        <v>25</v>
      </c>
      <c r="C4509" s="198" t="s">
        <v>538</v>
      </c>
      <c r="D4509" s="197" t="s">
        <v>539</v>
      </c>
      <c r="E4509" s="199">
        <v>9.0</v>
      </c>
      <c r="F4509" s="200">
        <v>45869.45833333333</v>
      </c>
      <c r="G4509" s="197" t="s">
        <v>845</v>
      </c>
      <c r="H4509" s="197" t="s">
        <v>879</v>
      </c>
    </row>
    <row r="4510" ht="15.75" customHeight="1">
      <c r="A4510" s="197" t="s">
        <v>86</v>
      </c>
      <c r="B4510" s="197" t="s">
        <v>25</v>
      </c>
      <c r="C4510" s="198" t="s">
        <v>538</v>
      </c>
      <c r="D4510" s="197" t="s">
        <v>539</v>
      </c>
      <c r="E4510" s="199">
        <v>10.0</v>
      </c>
      <c r="F4510" s="200">
        <v>45881.5</v>
      </c>
      <c r="G4510" s="197" t="s">
        <v>845</v>
      </c>
      <c r="H4510" s="197" t="s">
        <v>879</v>
      </c>
    </row>
    <row r="4511" ht="15.75" customHeight="1">
      <c r="A4511" s="197" t="s">
        <v>86</v>
      </c>
      <c r="B4511" s="197" t="s">
        <v>25</v>
      </c>
      <c r="C4511" s="198" t="s">
        <v>538</v>
      </c>
      <c r="D4511" s="197" t="s">
        <v>539</v>
      </c>
      <c r="E4511" s="199">
        <v>11.0</v>
      </c>
      <c r="F4511" s="200">
        <v>45888.54166666667</v>
      </c>
      <c r="G4511" s="197" t="s">
        <v>845</v>
      </c>
      <c r="H4511" s="197" t="s">
        <v>879</v>
      </c>
    </row>
    <row r="4512" ht="15.75" customHeight="1">
      <c r="A4512" s="197" t="s">
        <v>86</v>
      </c>
      <c r="B4512" s="197" t="s">
        <v>25</v>
      </c>
      <c r="C4512" s="198" t="s">
        <v>538</v>
      </c>
      <c r="D4512" s="197" t="s">
        <v>539</v>
      </c>
      <c r="E4512" s="199">
        <v>12.0</v>
      </c>
      <c r="F4512" s="200">
        <v>45897.45833333333</v>
      </c>
      <c r="G4512" s="197" t="s">
        <v>843</v>
      </c>
      <c r="H4512" s="197" t="s">
        <v>879</v>
      </c>
    </row>
    <row r="4513" ht="15.75" customHeight="1">
      <c r="A4513" s="197" t="s">
        <v>86</v>
      </c>
      <c r="B4513" s="197" t="s">
        <v>25</v>
      </c>
      <c r="C4513" s="198" t="s">
        <v>538</v>
      </c>
      <c r="D4513" s="197" t="s">
        <v>539</v>
      </c>
      <c r="E4513" s="199">
        <v>13.0</v>
      </c>
      <c r="F4513" s="200">
        <v>45909.41666666667</v>
      </c>
      <c r="G4513" s="197" t="s">
        <v>845</v>
      </c>
      <c r="H4513" s="197" t="s">
        <v>879</v>
      </c>
    </row>
    <row r="4514" ht="15.75" customHeight="1">
      <c r="A4514" s="197" t="s">
        <v>86</v>
      </c>
      <c r="B4514" s="197" t="s">
        <v>25</v>
      </c>
      <c r="C4514" s="198" t="s">
        <v>538</v>
      </c>
      <c r="D4514" s="197" t="s">
        <v>539</v>
      </c>
      <c r="E4514" s="199">
        <v>14.0</v>
      </c>
      <c r="F4514" s="200">
        <v>45923.41666666667</v>
      </c>
      <c r="G4514" s="197" t="s">
        <v>845</v>
      </c>
      <c r="H4514" s="197" t="s">
        <v>879</v>
      </c>
    </row>
    <row r="4515" ht="15.75" customHeight="1">
      <c r="A4515" s="197" t="s">
        <v>86</v>
      </c>
      <c r="B4515" s="197" t="s">
        <v>25</v>
      </c>
      <c r="C4515" s="198" t="s">
        <v>538</v>
      </c>
      <c r="D4515" s="197" t="s">
        <v>539</v>
      </c>
      <c r="E4515" s="199">
        <v>15.0</v>
      </c>
      <c r="F4515" s="200">
        <v>45925.625</v>
      </c>
      <c r="G4515" s="197" t="s">
        <v>845</v>
      </c>
      <c r="H4515" s="197" t="s">
        <v>879</v>
      </c>
    </row>
    <row r="4516" ht="15.75" customHeight="1">
      <c r="A4516" s="197" t="s">
        <v>86</v>
      </c>
      <c r="B4516" s="197" t="s">
        <v>21</v>
      </c>
      <c r="C4516" s="198" t="s">
        <v>629</v>
      </c>
      <c r="D4516" s="197" t="s">
        <v>630</v>
      </c>
      <c r="E4516" s="199">
        <v>2.0</v>
      </c>
      <c r="F4516" s="200">
        <v>45930.41666666667</v>
      </c>
      <c r="G4516" s="197" t="s">
        <v>845</v>
      </c>
      <c r="H4516" s="197" t="s">
        <v>879</v>
      </c>
    </row>
    <row r="4517" ht="15.75" customHeight="1">
      <c r="A4517" s="197" t="s">
        <v>86</v>
      </c>
      <c r="B4517" s="197" t="s">
        <v>21</v>
      </c>
      <c r="C4517" s="198" t="s">
        <v>629</v>
      </c>
      <c r="D4517" s="197" t="s">
        <v>630</v>
      </c>
      <c r="E4517" s="199">
        <v>3.0</v>
      </c>
      <c r="F4517" s="200">
        <v>45932.58333333333</v>
      </c>
      <c r="G4517" s="197" t="s">
        <v>845</v>
      </c>
      <c r="H4517" s="197" t="s">
        <v>879</v>
      </c>
    </row>
    <row r="4518" ht="15.75" customHeight="1">
      <c r="A4518" s="197" t="s">
        <v>86</v>
      </c>
      <c r="B4518" s="197" t="s">
        <v>21</v>
      </c>
      <c r="C4518" s="198" t="s">
        <v>629</v>
      </c>
      <c r="D4518" s="197" t="s">
        <v>630</v>
      </c>
      <c r="E4518" s="199">
        <v>4.0</v>
      </c>
      <c r="F4518" s="200">
        <v>45937.41666666667</v>
      </c>
      <c r="G4518" s="197" t="s">
        <v>845</v>
      </c>
      <c r="H4518" s="197" t="s">
        <v>879</v>
      </c>
    </row>
    <row r="4519" ht="15.75" customHeight="1">
      <c r="A4519" s="197" t="s">
        <v>86</v>
      </c>
      <c r="B4519" s="197" t="s">
        <v>21</v>
      </c>
      <c r="C4519" s="198" t="s">
        <v>629</v>
      </c>
      <c r="D4519" s="197" t="s">
        <v>630</v>
      </c>
      <c r="E4519" s="199">
        <v>5.0</v>
      </c>
      <c r="F4519" s="200">
        <v>45939.625</v>
      </c>
      <c r="G4519" s="197" t="s">
        <v>845</v>
      </c>
      <c r="H4519" s="197" t="s">
        <v>879</v>
      </c>
    </row>
    <row r="4520" ht="15.75" customHeight="1">
      <c r="A4520" s="197" t="s">
        <v>86</v>
      </c>
      <c r="B4520" s="197" t="s">
        <v>21</v>
      </c>
      <c r="C4520" s="198" t="s">
        <v>629</v>
      </c>
      <c r="D4520" s="197" t="s">
        <v>630</v>
      </c>
      <c r="E4520" s="199">
        <v>6.0</v>
      </c>
      <c r="F4520" s="200">
        <v>45951.41666666667</v>
      </c>
      <c r="G4520" s="197" t="s">
        <v>845</v>
      </c>
      <c r="H4520" s="197" t="s">
        <v>879</v>
      </c>
    </row>
    <row r="4521" ht="15.75" customHeight="1">
      <c r="A4521" s="197" t="s">
        <v>86</v>
      </c>
      <c r="B4521" s="197" t="s">
        <v>21</v>
      </c>
      <c r="C4521" s="198" t="s">
        <v>629</v>
      </c>
      <c r="D4521" s="197" t="s">
        <v>630</v>
      </c>
      <c r="E4521" s="199">
        <v>7.0</v>
      </c>
      <c r="F4521" s="200">
        <v>45953.625</v>
      </c>
      <c r="G4521" s="197" t="s">
        <v>845</v>
      </c>
      <c r="H4521" s="197" t="s">
        <v>879</v>
      </c>
    </row>
    <row r="4522" ht="15.75" customHeight="1">
      <c r="A4522" s="197" t="s">
        <v>86</v>
      </c>
      <c r="B4522" s="197" t="s">
        <v>21</v>
      </c>
      <c r="C4522" s="198" t="s">
        <v>629</v>
      </c>
      <c r="D4522" s="197" t="s">
        <v>630</v>
      </c>
      <c r="E4522" s="199">
        <v>8.0</v>
      </c>
      <c r="F4522" s="200">
        <v>45958.41666666667</v>
      </c>
      <c r="G4522" s="197" t="s">
        <v>845</v>
      </c>
      <c r="H4522" s="197" t="s">
        <v>879</v>
      </c>
    </row>
    <row r="4523" ht="15.75" customHeight="1">
      <c r="A4523" s="197" t="s">
        <v>86</v>
      </c>
      <c r="B4523" s="197" t="s">
        <v>21</v>
      </c>
      <c r="C4523" s="198" t="s">
        <v>629</v>
      </c>
      <c r="D4523" s="197" t="s">
        <v>630</v>
      </c>
      <c r="E4523" s="199">
        <v>9.0</v>
      </c>
      <c r="F4523" s="200">
        <v>45958.45833333333</v>
      </c>
      <c r="G4523" s="197" t="s">
        <v>845</v>
      </c>
      <c r="H4523" s="197" t="s">
        <v>879</v>
      </c>
    </row>
    <row r="4524" ht="15.75" customHeight="1">
      <c r="A4524" s="197" t="s">
        <v>86</v>
      </c>
      <c r="B4524" s="197" t="s">
        <v>21</v>
      </c>
      <c r="C4524" s="198" t="s">
        <v>629</v>
      </c>
      <c r="D4524" s="197" t="s">
        <v>630</v>
      </c>
      <c r="E4524" s="199">
        <v>10.0</v>
      </c>
      <c r="F4524" s="200">
        <v>45965.625</v>
      </c>
      <c r="G4524" s="197" t="s">
        <v>845</v>
      </c>
      <c r="H4524" s="197" t="s">
        <v>879</v>
      </c>
    </row>
    <row r="4525" ht="15.75" customHeight="1">
      <c r="A4525" s="197" t="s">
        <v>86</v>
      </c>
      <c r="B4525" s="197" t="s">
        <v>21</v>
      </c>
      <c r="C4525" s="198" t="s">
        <v>629</v>
      </c>
      <c r="D4525" s="197" t="s">
        <v>630</v>
      </c>
      <c r="E4525" s="199">
        <v>11.0</v>
      </c>
      <c r="F4525" s="200">
        <v>45972.625</v>
      </c>
      <c r="G4525" s="197" t="s">
        <v>845</v>
      </c>
      <c r="H4525" s="197" t="s">
        <v>879</v>
      </c>
    </row>
    <row r="4526" ht="15.75" customHeight="1">
      <c r="A4526" s="197" t="s">
        <v>86</v>
      </c>
      <c r="B4526" s="197" t="s">
        <v>21</v>
      </c>
      <c r="C4526" s="198" t="s">
        <v>629</v>
      </c>
      <c r="D4526" s="197" t="s">
        <v>630</v>
      </c>
      <c r="E4526" s="199">
        <v>12.0</v>
      </c>
      <c r="F4526" s="200">
        <v>45979.41666666667</v>
      </c>
      <c r="G4526" s="197" t="s">
        <v>843</v>
      </c>
      <c r="H4526" s="197" t="s">
        <v>879</v>
      </c>
    </row>
    <row r="4527" ht="15.75" customHeight="1">
      <c r="A4527" s="197" t="s">
        <v>86</v>
      </c>
      <c r="B4527" s="197" t="s">
        <v>21</v>
      </c>
      <c r="C4527" s="198" t="s">
        <v>629</v>
      </c>
      <c r="D4527" s="197" t="s">
        <v>630</v>
      </c>
      <c r="E4527" s="199">
        <v>13.0</v>
      </c>
      <c r="F4527" s="200">
        <v>45979.41666666667</v>
      </c>
      <c r="G4527" s="197" t="s">
        <v>843</v>
      </c>
      <c r="H4527" s="197" t="s">
        <v>879</v>
      </c>
    </row>
    <row r="4528" ht="15.75" customHeight="1">
      <c r="A4528" s="197" t="s">
        <v>86</v>
      </c>
      <c r="B4528" s="197" t="s">
        <v>21</v>
      </c>
      <c r="C4528" s="198" t="s">
        <v>629</v>
      </c>
      <c r="D4528" s="197" t="s">
        <v>630</v>
      </c>
      <c r="E4528" s="199">
        <v>14.0</v>
      </c>
      <c r="F4528" s="200">
        <v>45987.625</v>
      </c>
      <c r="G4528" s="197" t="s">
        <v>843</v>
      </c>
      <c r="H4528" s="197" t="s">
        <v>879</v>
      </c>
    </row>
    <row r="4529" ht="15.75" customHeight="1">
      <c r="A4529" s="197" t="s">
        <v>86</v>
      </c>
      <c r="B4529" s="197" t="s">
        <v>21</v>
      </c>
      <c r="C4529" s="198" t="s">
        <v>629</v>
      </c>
      <c r="D4529" s="197" t="s">
        <v>630</v>
      </c>
      <c r="E4529" s="199">
        <v>15.0</v>
      </c>
      <c r="F4529" s="200">
        <v>45993.41666666667</v>
      </c>
      <c r="G4529" s="197" t="s">
        <v>843</v>
      </c>
      <c r="H4529" s="197" t="s">
        <v>879</v>
      </c>
    </row>
    <row r="4530" ht="15.75" customHeight="1">
      <c r="A4530" s="197" t="s">
        <v>86</v>
      </c>
      <c r="B4530" s="197" t="s">
        <v>21</v>
      </c>
      <c r="C4530" s="198" t="s">
        <v>629</v>
      </c>
      <c r="D4530" s="197" t="s">
        <v>630</v>
      </c>
      <c r="E4530" s="199">
        <v>16.0</v>
      </c>
      <c r="F4530" s="200">
        <v>46000.625</v>
      </c>
      <c r="G4530" s="197" t="s">
        <v>843</v>
      </c>
      <c r="H4530" s="197" t="s">
        <v>879</v>
      </c>
    </row>
    <row r="4531" ht="15.75" customHeight="1">
      <c r="A4531" s="197" t="s">
        <v>86</v>
      </c>
      <c r="B4531" s="197" t="s">
        <v>25</v>
      </c>
      <c r="C4531" s="198" t="s">
        <v>629</v>
      </c>
      <c r="D4531" s="197" t="s">
        <v>630</v>
      </c>
      <c r="E4531" s="199">
        <v>1.0</v>
      </c>
      <c r="F4531" s="200">
        <v>45805.375</v>
      </c>
      <c r="G4531" s="197" t="s">
        <v>845</v>
      </c>
      <c r="H4531" s="197" t="s">
        <v>879</v>
      </c>
    </row>
    <row r="4532" ht="15.75" customHeight="1">
      <c r="A4532" s="197" t="s">
        <v>86</v>
      </c>
      <c r="B4532" s="197" t="s">
        <v>25</v>
      </c>
      <c r="C4532" s="198" t="s">
        <v>629</v>
      </c>
      <c r="D4532" s="197" t="s">
        <v>630</v>
      </c>
      <c r="E4532" s="199">
        <v>2.0</v>
      </c>
      <c r="F4532" s="200">
        <v>45811.41666666667</v>
      </c>
      <c r="G4532" s="197" t="s">
        <v>845</v>
      </c>
      <c r="H4532" s="197" t="s">
        <v>879</v>
      </c>
    </row>
    <row r="4533" ht="15.75" customHeight="1">
      <c r="A4533" s="197" t="s">
        <v>86</v>
      </c>
      <c r="B4533" s="197" t="s">
        <v>25</v>
      </c>
      <c r="C4533" s="198" t="s">
        <v>629</v>
      </c>
      <c r="D4533" s="197" t="s">
        <v>630</v>
      </c>
      <c r="E4533" s="199">
        <v>3.0</v>
      </c>
      <c r="F4533" s="200">
        <v>45818.41666666667</v>
      </c>
      <c r="G4533" s="197" t="s">
        <v>845</v>
      </c>
      <c r="H4533" s="197" t="s">
        <v>879</v>
      </c>
    </row>
    <row r="4534" ht="15.75" customHeight="1">
      <c r="A4534" s="197" t="s">
        <v>86</v>
      </c>
      <c r="B4534" s="197" t="s">
        <v>25</v>
      </c>
      <c r="C4534" s="198" t="s">
        <v>629</v>
      </c>
      <c r="D4534" s="197" t="s">
        <v>630</v>
      </c>
      <c r="E4534" s="199">
        <v>4.0</v>
      </c>
      <c r="F4534" s="200">
        <v>45825.41666666667</v>
      </c>
      <c r="G4534" s="197" t="s">
        <v>845</v>
      </c>
      <c r="H4534" s="197" t="s">
        <v>879</v>
      </c>
    </row>
    <row r="4535" ht="15.75" customHeight="1">
      <c r="A4535" s="197" t="s">
        <v>86</v>
      </c>
      <c r="B4535" s="197" t="s">
        <v>25</v>
      </c>
      <c r="C4535" s="198" t="s">
        <v>629</v>
      </c>
      <c r="D4535" s="197" t="s">
        <v>630</v>
      </c>
      <c r="E4535" s="199">
        <v>5.0</v>
      </c>
      <c r="F4535" s="200">
        <v>45839.41666666667</v>
      </c>
      <c r="G4535" s="197" t="s">
        <v>845</v>
      </c>
      <c r="H4535" s="197" t="s">
        <v>879</v>
      </c>
    </row>
    <row r="4536" ht="15.75" customHeight="1">
      <c r="A4536" s="197" t="s">
        <v>86</v>
      </c>
      <c r="B4536" s="197" t="s">
        <v>25</v>
      </c>
      <c r="C4536" s="198" t="s">
        <v>629</v>
      </c>
      <c r="D4536" s="197" t="s">
        <v>630</v>
      </c>
      <c r="E4536" s="199">
        <v>6.0</v>
      </c>
      <c r="F4536" s="200">
        <v>45846.41666666667</v>
      </c>
      <c r="G4536" s="197" t="s">
        <v>845</v>
      </c>
      <c r="H4536" s="197" t="s">
        <v>879</v>
      </c>
    </row>
    <row r="4537" ht="15.75" customHeight="1">
      <c r="A4537" s="197" t="s">
        <v>86</v>
      </c>
      <c r="B4537" s="197" t="s">
        <v>25</v>
      </c>
      <c r="C4537" s="198" t="s">
        <v>629</v>
      </c>
      <c r="D4537" s="197" t="s">
        <v>630</v>
      </c>
      <c r="E4537" s="199">
        <v>7.0</v>
      </c>
      <c r="F4537" s="200">
        <v>45855.41666666667</v>
      </c>
      <c r="G4537" s="197" t="s">
        <v>845</v>
      </c>
      <c r="H4537" s="197" t="s">
        <v>879</v>
      </c>
    </row>
    <row r="4538" ht="15.75" customHeight="1">
      <c r="A4538" s="197" t="s">
        <v>86</v>
      </c>
      <c r="B4538" s="197" t="s">
        <v>25</v>
      </c>
      <c r="C4538" s="198" t="s">
        <v>629</v>
      </c>
      <c r="D4538" s="197" t="s">
        <v>630</v>
      </c>
      <c r="E4538" s="199">
        <v>8.0</v>
      </c>
      <c r="F4538" s="200">
        <v>45860.625</v>
      </c>
      <c r="G4538" s="197" t="s">
        <v>845</v>
      </c>
      <c r="H4538" s="197" t="s">
        <v>879</v>
      </c>
    </row>
    <row r="4539" ht="15.75" customHeight="1">
      <c r="A4539" s="197" t="s">
        <v>86</v>
      </c>
      <c r="B4539" s="197" t="s">
        <v>25</v>
      </c>
      <c r="C4539" s="198" t="s">
        <v>629</v>
      </c>
      <c r="D4539" s="197" t="s">
        <v>630</v>
      </c>
      <c r="E4539" s="199">
        <v>9.0</v>
      </c>
      <c r="F4539" s="200">
        <v>45869.45833333333</v>
      </c>
      <c r="G4539" s="197" t="s">
        <v>845</v>
      </c>
      <c r="H4539" s="197" t="s">
        <v>879</v>
      </c>
    </row>
    <row r="4540" ht="15.75" customHeight="1">
      <c r="A4540" s="197" t="s">
        <v>86</v>
      </c>
      <c r="B4540" s="197" t="s">
        <v>25</v>
      </c>
      <c r="C4540" s="198" t="s">
        <v>629</v>
      </c>
      <c r="D4540" s="197" t="s">
        <v>630</v>
      </c>
      <c r="E4540" s="199">
        <v>10.0</v>
      </c>
      <c r="F4540" s="200">
        <v>45881.5</v>
      </c>
      <c r="G4540" s="197" t="s">
        <v>845</v>
      </c>
      <c r="H4540" s="197" t="s">
        <v>879</v>
      </c>
    </row>
    <row r="4541" ht="15.75" customHeight="1">
      <c r="A4541" s="197" t="s">
        <v>86</v>
      </c>
      <c r="B4541" s="197" t="s">
        <v>25</v>
      </c>
      <c r="C4541" s="198" t="s">
        <v>629</v>
      </c>
      <c r="D4541" s="197" t="s">
        <v>630</v>
      </c>
      <c r="E4541" s="199">
        <v>11.0</v>
      </c>
      <c r="F4541" s="200">
        <v>45888.54166666667</v>
      </c>
      <c r="G4541" s="197" t="s">
        <v>845</v>
      </c>
      <c r="H4541" s="197" t="s">
        <v>879</v>
      </c>
    </row>
    <row r="4542" ht="15.75" customHeight="1">
      <c r="A4542" s="197" t="s">
        <v>86</v>
      </c>
      <c r="B4542" s="197" t="s">
        <v>25</v>
      </c>
      <c r="C4542" s="198" t="s">
        <v>629</v>
      </c>
      <c r="D4542" s="197" t="s">
        <v>630</v>
      </c>
      <c r="E4542" s="199">
        <v>12.0</v>
      </c>
      <c r="F4542" s="200">
        <v>45897.45833333333</v>
      </c>
      <c r="G4542" s="197" t="s">
        <v>845</v>
      </c>
      <c r="H4542" s="197" t="s">
        <v>879</v>
      </c>
    </row>
    <row r="4543" ht="15.75" customHeight="1">
      <c r="A4543" s="197" t="s">
        <v>86</v>
      </c>
      <c r="B4543" s="197" t="s">
        <v>25</v>
      </c>
      <c r="C4543" s="198" t="s">
        <v>629</v>
      </c>
      <c r="D4543" s="197" t="s">
        <v>630</v>
      </c>
      <c r="E4543" s="199">
        <v>13.0</v>
      </c>
      <c r="F4543" s="200">
        <v>45909.41666666667</v>
      </c>
      <c r="G4543" s="197" t="s">
        <v>845</v>
      </c>
      <c r="H4543" s="197" t="s">
        <v>879</v>
      </c>
    </row>
    <row r="4544" ht="15.75" customHeight="1">
      <c r="A4544" s="197" t="s">
        <v>86</v>
      </c>
      <c r="B4544" s="197" t="s">
        <v>25</v>
      </c>
      <c r="C4544" s="198" t="s">
        <v>629</v>
      </c>
      <c r="D4544" s="197" t="s">
        <v>630</v>
      </c>
      <c r="E4544" s="199">
        <v>14.0</v>
      </c>
      <c r="F4544" s="200">
        <v>45923.41666666667</v>
      </c>
      <c r="G4544" s="197" t="s">
        <v>845</v>
      </c>
      <c r="H4544" s="197" t="s">
        <v>879</v>
      </c>
    </row>
    <row r="4545" ht="15.75" customHeight="1">
      <c r="A4545" s="197" t="s">
        <v>86</v>
      </c>
      <c r="B4545" s="197" t="s">
        <v>25</v>
      </c>
      <c r="C4545" s="198" t="s">
        <v>629</v>
      </c>
      <c r="D4545" s="197" t="s">
        <v>630</v>
      </c>
      <c r="E4545" s="199">
        <v>15.0</v>
      </c>
      <c r="F4545" s="200">
        <v>45925.625</v>
      </c>
      <c r="G4545" s="197" t="s">
        <v>845</v>
      </c>
      <c r="H4545" s="197" t="s">
        <v>879</v>
      </c>
    </row>
    <row r="4546" ht="15.75" customHeight="1">
      <c r="A4546" s="197" t="s">
        <v>86</v>
      </c>
      <c r="B4546" s="197" t="s">
        <v>21</v>
      </c>
      <c r="C4546" s="198" t="s">
        <v>679</v>
      </c>
      <c r="D4546" s="197" t="s">
        <v>680</v>
      </c>
      <c r="E4546" s="199">
        <v>2.0</v>
      </c>
      <c r="F4546" s="200">
        <v>45930.41666666667</v>
      </c>
      <c r="G4546" s="197" t="s">
        <v>845</v>
      </c>
      <c r="H4546" s="197" t="s">
        <v>879</v>
      </c>
    </row>
    <row r="4547" ht="15.75" customHeight="1">
      <c r="A4547" s="197" t="s">
        <v>86</v>
      </c>
      <c r="B4547" s="197" t="s">
        <v>21</v>
      </c>
      <c r="C4547" s="198" t="s">
        <v>679</v>
      </c>
      <c r="D4547" s="197" t="s">
        <v>680</v>
      </c>
      <c r="E4547" s="199">
        <v>3.0</v>
      </c>
      <c r="F4547" s="200">
        <v>45932.58333333333</v>
      </c>
      <c r="G4547" s="197" t="s">
        <v>845</v>
      </c>
      <c r="H4547" s="197" t="s">
        <v>879</v>
      </c>
    </row>
    <row r="4548" ht="15.75" customHeight="1">
      <c r="A4548" s="197" t="s">
        <v>86</v>
      </c>
      <c r="B4548" s="197" t="s">
        <v>21</v>
      </c>
      <c r="C4548" s="198" t="s">
        <v>679</v>
      </c>
      <c r="D4548" s="197" t="s">
        <v>680</v>
      </c>
      <c r="E4548" s="199">
        <v>4.0</v>
      </c>
      <c r="F4548" s="200">
        <v>45937.41666666667</v>
      </c>
      <c r="G4548" s="197" t="s">
        <v>843</v>
      </c>
      <c r="H4548" s="197" t="s">
        <v>879</v>
      </c>
    </row>
    <row r="4549" ht="15.75" customHeight="1">
      <c r="A4549" s="197" t="s">
        <v>86</v>
      </c>
      <c r="B4549" s="197" t="s">
        <v>21</v>
      </c>
      <c r="C4549" s="198" t="s">
        <v>679</v>
      </c>
      <c r="D4549" s="197" t="s">
        <v>680</v>
      </c>
      <c r="E4549" s="199">
        <v>5.0</v>
      </c>
      <c r="F4549" s="200">
        <v>45939.625</v>
      </c>
      <c r="G4549" s="197" t="s">
        <v>845</v>
      </c>
      <c r="H4549" s="197" t="s">
        <v>879</v>
      </c>
    </row>
    <row r="4550" ht="15.75" customHeight="1">
      <c r="A4550" s="197" t="s">
        <v>86</v>
      </c>
      <c r="B4550" s="197" t="s">
        <v>21</v>
      </c>
      <c r="C4550" s="198" t="s">
        <v>679</v>
      </c>
      <c r="D4550" s="197" t="s">
        <v>680</v>
      </c>
      <c r="E4550" s="199">
        <v>6.0</v>
      </c>
      <c r="F4550" s="200">
        <v>45951.41666666667</v>
      </c>
      <c r="G4550" s="197" t="s">
        <v>843</v>
      </c>
      <c r="H4550" s="197" t="s">
        <v>879</v>
      </c>
    </row>
    <row r="4551" ht="15.75" customHeight="1">
      <c r="A4551" s="197" t="s">
        <v>86</v>
      </c>
      <c r="B4551" s="197" t="s">
        <v>21</v>
      </c>
      <c r="C4551" s="198" t="s">
        <v>679</v>
      </c>
      <c r="D4551" s="197" t="s">
        <v>680</v>
      </c>
      <c r="E4551" s="199">
        <v>7.0</v>
      </c>
      <c r="F4551" s="200">
        <v>45953.625</v>
      </c>
      <c r="G4551" s="197" t="s">
        <v>845</v>
      </c>
      <c r="H4551" s="197" t="s">
        <v>879</v>
      </c>
    </row>
    <row r="4552" ht="15.75" customHeight="1">
      <c r="A4552" s="197" t="s">
        <v>86</v>
      </c>
      <c r="B4552" s="197" t="s">
        <v>21</v>
      </c>
      <c r="C4552" s="198" t="s">
        <v>679</v>
      </c>
      <c r="D4552" s="197" t="s">
        <v>680</v>
      </c>
      <c r="E4552" s="199">
        <v>8.0</v>
      </c>
      <c r="F4552" s="200">
        <v>45958.41666666667</v>
      </c>
      <c r="G4552" s="197" t="s">
        <v>843</v>
      </c>
      <c r="H4552" s="197" t="s">
        <v>879</v>
      </c>
    </row>
    <row r="4553" ht="15.75" customHeight="1">
      <c r="A4553" s="197" t="s">
        <v>86</v>
      </c>
      <c r="B4553" s="197" t="s">
        <v>21</v>
      </c>
      <c r="C4553" s="198" t="s">
        <v>679</v>
      </c>
      <c r="D4553" s="197" t="s">
        <v>680</v>
      </c>
      <c r="E4553" s="199">
        <v>9.0</v>
      </c>
      <c r="F4553" s="200">
        <v>45958.45833333333</v>
      </c>
      <c r="G4553" s="197" t="s">
        <v>845</v>
      </c>
      <c r="H4553" s="197" t="s">
        <v>879</v>
      </c>
    </row>
    <row r="4554" ht="15.75" customHeight="1">
      <c r="A4554" s="197" t="s">
        <v>86</v>
      </c>
      <c r="B4554" s="197" t="s">
        <v>21</v>
      </c>
      <c r="C4554" s="198" t="s">
        <v>679</v>
      </c>
      <c r="D4554" s="197" t="s">
        <v>680</v>
      </c>
      <c r="E4554" s="199">
        <v>10.0</v>
      </c>
      <c r="F4554" s="200">
        <v>45965.625</v>
      </c>
      <c r="G4554" s="197" t="s">
        <v>845</v>
      </c>
      <c r="H4554" s="197" t="s">
        <v>879</v>
      </c>
    </row>
    <row r="4555" ht="15.75" customHeight="1">
      <c r="A4555" s="197" t="s">
        <v>86</v>
      </c>
      <c r="B4555" s="197" t="s">
        <v>21</v>
      </c>
      <c r="C4555" s="198" t="s">
        <v>679</v>
      </c>
      <c r="D4555" s="197" t="s">
        <v>680</v>
      </c>
      <c r="E4555" s="199">
        <v>11.0</v>
      </c>
      <c r="F4555" s="200">
        <v>45972.625</v>
      </c>
      <c r="G4555" s="197" t="s">
        <v>843</v>
      </c>
      <c r="H4555" s="197" t="s">
        <v>879</v>
      </c>
    </row>
    <row r="4556" ht="15.75" customHeight="1">
      <c r="A4556" s="197" t="s">
        <v>86</v>
      </c>
      <c r="B4556" s="197" t="s">
        <v>21</v>
      </c>
      <c r="C4556" s="198" t="s">
        <v>679</v>
      </c>
      <c r="D4556" s="197" t="s">
        <v>680</v>
      </c>
      <c r="E4556" s="199">
        <v>12.0</v>
      </c>
      <c r="F4556" s="200">
        <v>45979.41666666667</v>
      </c>
      <c r="G4556" s="197" t="s">
        <v>845</v>
      </c>
      <c r="H4556" s="197" t="s">
        <v>879</v>
      </c>
    </row>
    <row r="4557" ht="15.75" customHeight="1">
      <c r="A4557" s="197" t="s">
        <v>86</v>
      </c>
      <c r="B4557" s="197" t="s">
        <v>21</v>
      </c>
      <c r="C4557" s="198" t="s">
        <v>679</v>
      </c>
      <c r="D4557" s="197" t="s">
        <v>680</v>
      </c>
      <c r="E4557" s="199">
        <v>13.0</v>
      </c>
      <c r="F4557" s="200">
        <v>45979.41666666667</v>
      </c>
      <c r="G4557" s="197" t="s">
        <v>845</v>
      </c>
      <c r="H4557" s="197" t="s">
        <v>879</v>
      </c>
    </row>
    <row r="4558" ht="15.75" customHeight="1">
      <c r="A4558" s="197" t="s">
        <v>86</v>
      </c>
      <c r="B4558" s="197" t="s">
        <v>21</v>
      </c>
      <c r="C4558" s="198" t="s">
        <v>679</v>
      </c>
      <c r="D4558" s="197" t="s">
        <v>680</v>
      </c>
      <c r="E4558" s="199">
        <v>14.0</v>
      </c>
      <c r="F4558" s="200">
        <v>45987.625</v>
      </c>
      <c r="G4558" s="197" t="s">
        <v>845</v>
      </c>
      <c r="H4558" s="197" t="s">
        <v>879</v>
      </c>
    </row>
    <row r="4559" ht="15.75" customHeight="1">
      <c r="A4559" s="197" t="s">
        <v>86</v>
      </c>
      <c r="B4559" s="197" t="s">
        <v>21</v>
      </c>
      <c r="C4559" s="198" t="s">
        <v>679</v>
      </c>
      <c r="D4559" s="197" t="s">
        <v>680</v>
      </c>
      <c r="E4559" s="199">
        <v>15.0</v>
      </c>
      <c r="F4559" s="200">
        <v>45993.41666666667</v>
      </c>
      <c r="G4559" s="197" t="s">
        <v>845</v>
      </c>
      <c r="H4559" s="197" t="s">
        <v>879</v>
      </c>
    </row>
    <row r="4560" ht="15.75" customHeight="1">
      <c r="A4560" s="197" t="s">
        <v>86</v>
      </c>
      <c r="B4560" s="197" t="s">
        <v>21</v>
      </c>
      <c r="C4560" s="198" t="s">
        <v>679</v>
      </c>
      <c r="D4560" s="197" t="s">
        <v>680</v>
      </c>
      <c r="E4560" s="199">
        <v>16.0</v>
      </c>
      <c r="F4560" s="200">
        <v>46000.625</v>
      </c>
      <c r="G4560" s="197" t="s">
        <v>845</v>
      </c>
      <c r="H4560" s="197" t="s">
        <v>879</v>
      </c>
    </row>
    <row r="4561" ht="15.75" customHeight="1">
      <c r="A4561" s="197" t="s">
        <v>86</v>
      </c>
      <c r="B4561" s="197" t="s">
        <v>25</v>
      </c>
      <c r="C4561" s="198" t="s">
        <v>679</v>
      </c>
      <c r="D4561" s="197" t="s">
        <v>680</v>
      </c>
      <c r="E4561" s="199">
        <v>1.0</v>
      </c>
      <c r="F4561" s="200">
        <v>45805.375</v>
      </c>
      <c r="G4561" s="197" t="s">
        <v>845</v>
      </c>
      <c r="H4561" s="197" t="s">
        <v>879</v>
      </c>
    </row>
    <row r="4562" ht="15.75" customHeight="1">
      <c r="A4562" s="197" t="s">
        <v>86</v>
      </c>
      <c r="B4562" s="197" t="s">
        <v>25</v>
      </c>
      <c r="C4562" s="198" t="s">
        <v>679</v>
      </c>
      <c r="D4562" s="197" t="s">
        <v>680</v>
      </c>
      <c r="E4562" s="199">
        <v>2.0</v>
      </c>
      <c r="F4562" s="200">
        <v>45811.41666666667</v>
      </c>
      <c r="G4562" s="197" t="s">
        <v>845</v>
      </c>
      <c r="H4562" s="197" t="s">
        <v>879</v>
      </c>
    </row>
    <row r="4563" ht="15.75" customHeight="1">
      <c r="A4563" s="197" t="s">
        <v>86</v>
      </c>
      <c r="B4563" s="197" t="s">
        <v>25</v>
      </c>
      <c r="C4563" s="198" t="s">
        <v>679</v>
      </c>
      <c r="D4563" s="197" t="s">
        <v>680</v>
      </c>
      <c r="E4563" s="199">
        <v>3.0</v>
      </c>
      <c r="F4563" s="200">
        <v>45818.41666666667</v>
      </c>
      <c r="G4563" s="197" t="s">
        <v>845</v>
      </c>
      <c r="H4563" s="197" t="s">
        <v>879</v>
      </c>
    </row>
    <row r="4564" ht="15.75" customHeight="1">
      <c r="A4564" s="197" t="s">
        <v>86</v>
      </c>
      <c r="B4564" s="197" t="s">
        <v>25</v>
      </c>
      <c r="C4564" s="198" t="s">
        <v>679</v>
      </c>
      <c r="D4564" s="197" t="s">
        <v>680</v>
      </c>
      <c r="E4564" s="199">
        <v>4.0</v>
      </c>
      <c r="F4564" s="200">
        <v>45825.41666666667</v>
      </c>
      <c r="G4564" s="197" t="s">
        <v>845</v>
      </c>
      <c r="H4564" s="197" t="s">
        <v>879</v>
      </c>
    </row>
    <row r="4565" ht="15.75" customHeight="1">
      <c r="A4565" s="197" t="s">
        <v>86</v>
      </c>
      <c r="B4565" s="197" t="s">
        <v>25</v>
      </c>
      <c r="C4565" s="198" t="s">
        <v>679</v>
      </c>
      <c r="D4565" s="197" t="s">
        <v>680</v>
      </c>
      <c r="E4565" s="199">
        <v>5.0</v>
      </c>
      <c r="F4565" s="200">
        <v>45839.41666666667</v>
      </c>
      <c r="G4565" s="197" t="s">
        <v>845</v>
      </c>
      <c r="H4565" s="197" t="s">
        <v>879</v>
      </c>
    </row>
    <row r="4566" ht="15.75" customHeight="1">
      <c r="A4566" s="197" t="s">
        <v>86</v>
      </c>
      <c r="B4566" s="197" t="s">
        <v>25</v>
      </c>
      <c r="C4566" s="198" t="s">
        <v>679</v>
      </c>
      <c r="D4566" s="197" t="s">
        <v>680</v>
      </c>
      <c r="E4566" s="199">
        <v>6.0</v>
      </c>
      <c r="F4566" s="200">
        <v>45846.41666666667</v>
      </c>
      <c r="G4566" s="197" t="s">
        <v>845</v>
      </c>
      <c r="H4566" s="197" t="s">
        <v>879</v>
      </c>
    </row>
    <row r="4567" ht="15.75" customHeight="1">
      <c r="A4567" s="197" t="s">
        <v>86</v>
      </c>
      <c r="B4567" s="197" t="s">
        <v>25</v>
      </c>
      <c r="C4567" s="198" t="s">
        <v>679</v>
      </c>
      <c r="D4567" s="197" t="s">
        <v>680</v>
      </c>
      <c r="E4567" s="199">
        <v>7.0</v>
      </c>
      <c r="F4567" s="200">
        <v>45855.41666666667</v>
      </c>
      <c r="G4567" s="197" t="s">
        <v>845</v>
      </c>
      <c r="H4567" s="197" t="s">
        <v>879</v>
      </c>
    </row>
    <row r="4568" ht="15.75" customHeight="1">
      <c r="A4568" s="197" t="s">
        <v>86</v>
      </c>
      <c r="B4568" s="197" t="s">
        <v>25</v>
      </c>
      <c r="C4568" s="198" t="s">
        <v>679</v>
      </c>
      <c r="D4568" s="197" t="s">
        <v>680</v>
      </c>
      <c r="E4568" s="199">
        <v>8.0</v>
      </c>
      <c r="F4568" s="200">
        <v>45860.625</v>
      </c>
      <c r="G4568" s="197" t="s">
        <v>843</v>
      </c>
      <c r="H4568" s="197" t="s">
        <v>879</v>
      </c>
    </row>
    <row r="4569" ht="15.75" customHeight="1">
      <c r="A4569" s="197" t="s">
        <v>86</v>
      </c>
      <c r="B4569" s="197" t="s">
        <v>25</v>
      </c>
      <c r="C4569" s="198" t="s">
        <v>679</v>
      </c>
      <c r="D4569" s="197" t="s">
        <v>680</v>
      </c>
      <c r="E4569" s="199">
        <v>9.0</v>
      </c>
      <c r="F4569" s="200">
        <v>45869.45833333333</v>
      </c>
      <c r="G4569" s="197" t="s">
        <v>845</v>
      </c>
      <c r="H4569" s="197" t="s">
        <v>879</v>
      </c>
    </row>
    <row r="4570" ht="15.75" customHeight="1">
      <c r="A4570" s="197" t="s">
        <v>86</v>
      </c>
      <c r="B4570" s="197" t="s">
        <v>25</v>
      </c>
      <c r="C4570" s="198" t="s">
        <v>679</v>
      </c>
      <c r="D4570" s="197" t="s">
        <v>680</v>
      </c>
      <c r="E4570" s="199">
        <v>10.0</v>
      </c>
      <c r="F4570" s="200">
        <v>45881.5</v>
      </c>
      <c r="G4570" s="197" t="s">
        <v>845</v>
      </c>
      <c r="H4570" s="197" t="s">
        <v>879</v>
      </c>
    </row>
    <row r="4571" ht="15.75" customHeight="1">
      <c r="A4571" s="197" t="s">
        <v>86</v>
      </c>
      <c r="B4571" s="197" t="s">
        <v>25</v>
      </c>
      <c r="C4571" s="198" t="s">
        <v>679</v>
      </c>
      <c r="D4571" s="197" t="s">
        <v>680</v>
      </c>
      <c r="E4571" s="199">
        <v>11.0</v>
      </c>
      <c r="F4571" s="200">
        <v>45888.54166666667</v>
      </c>
      <c r="G4571" s="197" t="s">
        <v>845</v>
      </c>
      <c r="H4571" s="197" t="s">
        <v>879</v>
      </c>
    </row>
    <row r="4572" ht="15.75" customHeight="1">
      <c r="A4572" s="197" t="s">
        <v>86</v>
      </c>
      <c r="B4572" s="197" t="s">
        <v>25</v>
      </c>
      <c r="C4572" s="198" t="s">
        <v>679</v>
      </c>
      <c r="D4572" s="197" t="s">
        <v>680</v>
      </c>
      <c r="E4572" s="199">
        <v>12.0</v>
      </c>
      <c r="F4572" s="200">
        <v>45897.45833333333</v>
      </c>
      <c r="G4572" s="197" t="s">
        <v>845</v>
      </c>
      <c r="H4572" s="197" t="s">
        <v>879</v>
      </c>
    </row>
    <row r="4573" ht="15.75" customHeight="1">
      <c r="A4573" s="197" t="s">
        <v>86</v>
      </c>
      <c r="B4573" s="197" t="s">
        <v>25</v>
      </c>
      <c r="C4573" s="198" t="s">
        <v>679</v>
      </c>
      <c r="D4573" s="197" t="s">
        <v>680</v>
      </c>
      <c r="E4573" s="199">
        <v>13.0</v>
      </c>
      <c r="F4573" s="200">
        <v>45909.41666666667</v>
      </c>
      <c r="G4573" s="197" t="s">
        <v>845</v>
      </c>
      <c r="H4573" s="197" t="s">
        <v>879</v>
      </c>
    </row>
    <row r="4574" ht="15.75" customHeight="1">
      <c r="A4574" s="197" t="s">
        <v>86</v>
      </c>
      <c r="B4574" s="197" t="s">
        <v>25</v>
      </c>
      <c r="C4574" s="198" t="s">
        <v>679</v>
      </c>
      <c r="D4574" s="197" t="s">
        <v>680</v>
      </c>
      <c r="E4574" s="199">
        <v>14.0</v>
      </c>
      <c r="F4574" s="200">
        <v>45923.41666666667</v>
      </c>
      <c r="G4574" s="197" t="s">
        <v>845</v>
      </c>
      <c r="H4574" s="197" t="s">
        <v>879</v>
      </c>
    </row>
    <row r="4575" ht="15.75" customHeight="1">
      <c r="A4575" s="197" t="s">
        <v>86</v>
      </c>
      <c r="B4575" s="197" t="s">
        <v>25</v>
      </c>
      <c r="C4575" s="198" t="s">
        <v>679</v>
      </c>
      <c r="D4575" s="197" t="s">
        <v>680</v>
      </c>
      <c r="E4575" s="199">
        <v>15.0</v>
      </c>
      <c r="F4575" s="200">
        <v>45925.625</v>
      </c>
      <c r="G4575" s="197" t="s">
        <v>843</v>
      </c>
      <c r="H4575" s="197" t="s">
        <v>879</v>
      </c>
    </row>
    <row r="4576" ht="15.75" customHeight="1">
      <c r="A4576" s="197" t="s">
        <v>86</v>
      </c>
      <c r="B4576" s="197" t="s">
        <v>21</v>
      </c>
      <c r="C4576" s="198" t="s">
        <v>691</v>
      </c>
      <c r="D4576" s="197" t="s">
        <v>692</v>
      </c>
      <c r="E4576" s="199">
        <v>2.0</v>
      </c>
      <c r="F4576" s="200">
        <v>45930.41666666667</v>
      </c>
      <c r="G4576" s="197" t="s">
        <v>845</v>
      </c>
      <c r="H4576" s="197" t="s">
        <v>879</v>
      </c>
    </row>
    <row r="4577" ht="15.75" customHeight="1">
      <c r="A4577" s="197" t="s">
        <v>86</v>
      </c>
      <c r="B4577" s="197" t="s">
        <v>21</v>
      </c>
      <c r="C4577" s="198" t="s">
        <v>691</v>
      </c>
      <c r="D4577" s="197" t="s">
        <v>692</v>
      </c>
      <c r="E4577" s="199">
        <v>3.0</v>
      </c>
      <c r="F4577" s="200">
        <v>45932.58333333333</v>
      </c>
      <c r="G4577" s="197" t="s">
        <v>845</v>
      </c>
      <c r="H4577" s="197" t="s">
        <v>879</v>
      </c>
    </row>
    <row r="4578" ht="15.75" customHeight="1">
      <c r="A4578" s="197" t="s">
        <v>86</v>
      </c>
      <c r="B4578" s="197" t="s">
        <v>21</v>
      </c>
      <c r="C4578" s="198" t="s">
        <v>691</v>
      </c>
      <c r="D4578" s="197" t="s">
        <v>692</v>
      </c>
      <c r="E4578" s="199">
        <v>4.0</v>
      </c>
      <c r="F4578" s="200">
        <v>45937.41666666667</v>
      </c>
      <c r="G4578" s="197" t="s">
        <v>845</v>
      </c>
      <c r="H4578" s="197" t="s">
        <v>879</v>
      </c>
    </row>
    <row r="4579" ht="15.75" customHeight="1">
      <c r="A4579" s="197" t="s">
        <v>86</v>
      </c>
      <c r="B4579" s="197" t="s">
        <v>21</v>
      </c>
      <c r="C4579" s="198" t="s">
        <v>691</v>
      </c>
      <c r="D4579" s="197" t="s">
        <v>692</v>
      </c>
      <c r="E4579" s="199">
        <v>5.0</v>
      </c>
      <c r="F4579" s="200">
        <v>45939.625</v>
      </c>
      <c r="G4579" s="197" t="s">
        <v>845</v>
      </c>
      <c r="H4579" s="197" t="s">
        <v>879</v>
      </c>
    </row>
    <row r="4580" ht="15.75" customHeight="1">
      <c r="A4580" s="197" t="s">
        <v>86</v>
      </c>
      <c r="B4580" s="197" t="s">
        <v>21</v>
      </c>
      <c r="C4580" s="198" t="s">
        <v>691</v>
      </c>
      <c r="D4580" s="197" t="s">
        <v>692</v>
      </c>
      <c r="E4580" s="199">
        <v>6.0</v>
      </c>
      <c r="F4580" s="200">
        <v>45951.41666666667</v>
      </c>
      <c r="G4580" s="197" t="s">
        <v>845</v>
      </c>
      <c r="H4580" s="197" t="s">
        <v>879</v>
      </c>
    </row>
    <row r="4581" ht="15.75" customHeight="1">
      <c r="A4581" s="197" t="s">
        <v>86</v>
      </c>
      <c r="B4581" s="197" t="s">
        <v>21</v>
      </c>
      <c r="C4581" s="198" t="s">
        <v>691</v>
      </c>
      <c r="D4581" s="197" t="s">
        <v>692</v>
      </c>
      <c r="E4581" s="199">
        <v>7.0</v>
      </c>
      <c r="F4581" s="200">
        <v>45953.625</v>
      </c>
      <c r="G4581" s="197" t="s">
        <v>845</v>
      </c>
      <c r="H4581" s="197" t="s">
        <v>879</v>
      </c>
    </row>
    <row r="4582" ht="15.75" customHeight="1">
      <c r="A4582" s="197" t="s">
        <v>86</v>
      </c>
      <c r="B4582" s="197" t="s">
        <v>21</v>
      </c>
      <c r="C4582" s="198" t="s">
        <v>691</v>
      </c>
      <c r="D4582" s="197" t="s">
        <v>692</v>
      </c>
      <c r="E4582" s="199">
        <v>8.0</v>
      </c>
      <c r="F4582" s="200">
        <v>45958.41666666667</v>
      </c>
      <c r="G4582" s="197" t="s">
        <v>843</v>
      </c>
      <c r="H4582" s="197" t="s">
        <v>879</v>
      </c>
    </row>
    <row r="4583" ht="15.75" customHeight="1">
      <c r="A4583" s="197" t="s">
        <v>86</v>
      </c>
      <c r="B4583" s="197" t="s">
        <v>21</v>
      </c>
      <c r="C4583" s="198" t="s">
        <v>691</v>
      </c>
      <c r="D4583" s="197" t="s">
        <v>692</v>
      </c>
      <c r="E4583" s="199">
        <v>9.0</v>
      </c>
      <c r="F4583" s="200">
        <v>45958.45833333333</v>
      </c>
      <c r="G4583" s="197" t="s">
        <v>843</v>
      </c>
      <c r="H4583" s="197" t="s">
        <v>879</v>
      </c>
    </row>
    <row r="4584" ht="15.75" customHeight="1">
      <c r="A4584" s="197" t="s">
        <v>86</v>
      </c>
      <c r="B4584" s="197" t="s">
        <v>21</v>
      </c>
      <c r="C4584" s="198" t="s">
        <v>691</v>
      </c>
      <c r="D4584" s="197" t="s">
        <v>692</v>
      </c>
      <c r="E4584" s="199">
        <v>10.0</v>
      </c>
      <c r="F4584" s="200">
        <v>45965.625</v>
      </c>
      <c r="G4584" s="197" t="s">
        <v>845</v>
      </c>
      <c r="H4584" s="197" t="s">
        <v>879</v>
      </c>
    </row>
    <row r="4585" ht="15.75" customHeight="1">
      <c r="A4585" s="197" t="s">
        <v>86</v>
      </c>
      <c r="B4585" s="197" t="s">
        <v>21</v>
      </c>
      <c r="C4585" s="198" t="s">
        <v>691</v>
      </c>
      <c r="D4585" s="197" t="s">
        <v>692</v>
      </c>
      <c r="E4585" s="199">
        <v>11.0</v>
      </c>
      <c r="F4585" s="200">
        <v>45972.625</v>
      </c>
      <c r="G4585" s="197" t="s">
        <v>845</v>
      </c>
      <c r="H4585" s="197" t="s">
        <v>879</v>
      </c>
    </row>
    <row r="4586" ht="15.75" customHeight="1">
      <c r="A4586" s="197" t="s">
        <v>86</v>
      </c>
      <c r="B4586" s="197" t="s">
        <v>21</v>
      </c>
      <c r="C4586" s="198" t="s">
        <v>691</v>
      </c>
      <c r="D4586" s="197" t="s">
        <v>692</v>
      </c>
      <c r="E4586" s="199">
        <v>12.0</v>
      </c>
      <c r="F4586" s="200">
        <v>45979.41666666667</v>
      </c>
      <c r="G4586" s="197" t="s">
        <v>843</v>
      </c>
      <c r="H4586" s="197" t="s">
        <v>879</v>
      </c>
    </row>
    <row r="4587" ht="15.75" customHeight="1">
      <c r="A4587" s="197" t="s">
        <v>86</v>
      </c>
      <c r="B4587" s="197" t="s">
        <v>21</v>
      </c>
      <c r="C4587" s="198" t="s">
        <v>691</v>
      </c>
      <c r="D4587" s="197" t="s">
        <v>692</v>
      </c>
      <c r="E4587" s="199">
        <v>13.0</v>
      </c>
      <c r="F4587" s="200">
        <v>45979.41666666667</v>
      </c>
      <c r="G4587" s="197" t="s">
        <v>845</v>
      </c>
      <c r="H4587" s="197" t="s">
        <v>879</v>
      </c>
    </row>
    <row r="4588" ht="15.75" customHeight="1">
      <c r="A4588" s="197" t="s">
        <v>86</v>
      </c>
      <c r="B4588" s="197" t="s">
        <v>21</v>
      </c>
      <c r="C4588" s="198" t="s">
        <v>691</v>
      </c>
      <c r="D4588" s="197" t="s">
        <v>692</v>
      </c>
      <c r="E4588" s="199">
        <v>14.0</v>
      </c>
      <c r="F4588" s="200">
        <v>45987.625</v>
      </c>
      <c r="G4588" s="197" t="s">
        <v>845</v>
      </c>
      <c r="H4588" s="197" t="s">
        <v>879</v>
      </c>
    </row>
    <row r="4589" ht="15.75" customHeight="1">
      <c r="A4589" s="197" t="s">
        <v>86</v>
      </c>
      <c r="B4589" s="197" t="s">
        <v>21</v>
      </c>
      <c r="C4589" s="198" t="s">
        <v>691</v>
      </c>
      <c r="D4589" s="197" t="s">
        <v>692</v>
      </c>
      <c r="E4589" s="199">
        <v>15.0</v>
      </c>
      <c r="F4589" s="200">
        <v>45993.41666666667</v>
      </c>
      <c r="G4589" s="197" t="s">
        <v>845</v>
      </c>
      <c r="H4589" s="197" t="s">
        <v>879</v>
      </c>
    </row>
    <row r="4590" ht="15.75" customHeight="1">
      <c r="A4590" s="197" t="s">
        <v>86</v>
      </c>
      <c r="B4590" s="197" t="s">
        <v>21</v>
      </c>
      <c r="C4590" s="198" t="s">
        <v>691</v>
      </c>
      <c r="D4590" s="197" t="s">
        <v>692</v>
      </c>
      <c r="E4590" s="199">
        <v>16.0</v>
      </c>
      <c r="F4590" s="200">
        <v>46000.625</v>
      </c>
      <c r="G4590" s="197" t="s">
        <v>845</v>
      </c>
      <c r="H4590" s="197" t="s">
        <v>879</v>
      </c>
    </row>
    <row r="4591" ht="15.75" customHeight="1">
      <c r="A4591" s="197" t="s">
        <v>86</v>
      </c>
      <c r="B4591" s="197" t="s">
        <v>22</v>
      </c>
      <c r="C4591" s="198" t="s">
        <v>691</v>
      </c>
      <c r="D4591" s="197" t="s">
        <v>692</v>
      </c>
      <c r="E4591" s="199">
        <v>1.0</v>
      </c>
      <c r="F4591" s="200">
        <v>46098.625</v>
      </c>
      <c r="G4591" s="197" t="s">
        <v>845</v>
      </c>
      <c r="H4591" s="197" t="s">
        <v>879</v>
      </c>
    </row>
    <row r="4592" ht="15.75" customHeight="1">
      <c r="A4592" s="197" t="s">
        <v>86</v>
      </c>
      <c r="B4592" s="197" t="s">
        <v>22</v>
      </c>
      <c r="C4592" s="198" t="s">
        <v>691</v>
      </c>
      <c r="D4592" s="197" t="s">
        <v>692</v>
      </c>
      <c r="E4592" s="199">
        <v>2.0</v>
      </c>
      <c r="F4592" s="200">
        <v>46105.625</v>
      </c>
      <c r="G4592" s="197" t="s">
        <v>845</v>
      </c>
      <c r="H4592" s="197" t="s">
        <v>879</v>
      </c>
    </row>
    <row r="4593" ht="15.75" customHeight="1">
      <c r="A4593" s="197" t="s">
        <v>86</v>
      </c>
      <c r="B4593" s="197" t="s">
        <v>22</v>
      </c>
      <c r="C4593" s="198" t="s">
        <v>691</v>
      </c>
      <c r="D4593" s="197" t="s">
        <v>692</v>
      </c>
      <c r="E4593" s="199">
        <v>3.0</v>
      </c>
      <c r="F4593" s="200">
        <v>46112.625</v>
      </c>
      <c r="G4593" s="197" t="s">
        <v>845</v>
      </c>
      <c r="H4593" s="197" t="s">
        <v>879</v>
      </c>
    </row>
    <row r="4594" ht="15.75" customHeight="1">
      <c r="A4594" s="197" t="s">
        <v>86</v>
      </c>
      <c r="B4594" s="197" t="s">
        <v>22</v>
      </c>
      <c r="C4594" s="198" t="s">
        <v>691</v>
      </c>
      <c r="D4594" s="197" t="s">
        <v>692</v>
      </c>
      <c r="E4594" s="199">
        <v>4.0</v>
      </c>
      <c r="F4594" s="200">
        <v>46119.625</v>
      </c>
      <c r="G4594" s="197" t="s">
        <v>845</v>
      </c>
      <c r="H4594" s="197" t="s">
        <v>879</v>
      </c>
    </row>
    <row r="4595" ht="15.75" customHeight="1">
      <c r="A4595" s="197" t="s">
        <v>86</v>
      </c>
      <c r="B4595" s="197" t="s">
        <v>25</v>
      </c>
      <c r="C4595" s="198" t="s">
        <v>691</v>
      </c>
      <c r="D4595" s="197" t="s">
        <v>692</v>
      </c>
      <c r="E4595" s="199">
        <v>1.0</v>
      </c>
      <c r="F4595" s="200">
        <v>45805.375</v>
      </c>
      <c r="G4595" s="197" t="s">
        <v>845</v>
      </c>
      <c r="H4595" s="197" t="s">
        <v>879</v>
      </c>
    </row>
    <row r="4596" ht="15.75" customHeight="1">
      <c r="A4596" s="197" t="s">
        <v>86</v>
      </c>
      <c r="B4596" s="197" t="s">
        <v>25</v>
      </c>
      <c r="C4596" s="198" t="s">
        <v>691</v>
      </c>
      <c r="D4596" s="197" t="s">
        <v>692</v>
      </c>
      <c r="E4596" s="199">
        <v>2.0</v>
      </c>
      <c r="F4596" s="200">
        <v>45811.41666666667</v>
      </c>
      <c r="G4596" s="197" t="s">
        <v>845</v>
      </c>
      <c r="H4596" s="197" t="s">
        <v>879</v>
      </c>
    </row>
    <row r="4597" ht="15.75" customHeight="1">
      <c r="A4597" s="197" t="s">
        <v>86</v>
      </c>
      <c r="B4597" s="197" t="s">
        <v>25</v>
      </c>
      <c r="C4597" s="198" t="s">
        <v>691</v>
      </c>
      <c r="D4597" s="197" t="s">
        <v>692</v>
      </c>
      <c r="E4597" s="199">
        <v>3.0</v>
      </c>
      <c r="F4597" s="200">
        <v>45818.41666666667</v>
      </c>
      <c r="G4597" s="197" t="s">
        <v>845</v>
      </c>
      <c r="H4597" s="197" t="s">
        <v>879</v>
      </c>
    </row>
    <row r="4598" ht="15.75" customHeight="1">
      <c r="A4598" s="197" t="s">
        <v>86</v>
      </c>
      <c r="B4598" s="197" t="s">
        <v>25</v>
      </c>
      <c r="C4598" s="198" t="s">
        <v>691</v>
      </c>
      <c r="D4598" s="197" t="s">
        <v>692</v>
      </c>
      <c r="E4598" s="199">
        <v>4.0</v>
      </c>
      <c r="F4598" s="200">
        <v>45825.41666666667</v>
      </c>
      <c r="G4598" s="197" t="s">
        <v>845</v>
      </c>
      <c r="H4598" s="197" t="s">
        <v>879</v>
      </c>
    </row>
    <row r="4599" ht="15.75" customHeight="1">
      <c r="A4599" s="197" t="s">
        <v>86</v>
      </c>
      <c r="B4599" s="197" t="s">
        <v>25</v>
      </c>
      <c r="C4599" s="198" t="s">
        <v>691</v>
      </c>
      <c r="D4599" s="197" t="s">
        <v>692</v>
      </c>
      <c r="E4599" s="199">
        <v>5.0</v>
      </c>
      <c r="F4599" s="200">
        <v>45839.41666666667</v>
      </c>
      <c r="G4599" s="197" t="s">
        <v>845</v>
      </c>
      <c r="H4599" s="197" t="s">
        <v>879</v>
      </c>
    </row>
    <row r="4600" ht="15.75" customHeight="1">
      <c r="A4600" s="197" t="s">
        <v>86</v>
      </c>
      <c r="B4600" s="197" t="s">
        <v>25</v>
      </c>
      <c r="C4600" s="198" t="s">
        <v>691</v>
      </c>
      <c r="D4600" s="197" t="s">
        <v>692</v>
      </c>
      <c r="E4600" s="199">
        <v>6.0</v>
      </c>
      <c r="F4600" s="200">
        <v>45846.41666666667</v>
      </c>
      <c r="G4600" s="197" t="s">
        <v>845</v>
      </c>
      <c r="H4600" s="197" t="s">
        <v>879</v>
      </c>
    </row>
    <row r="4601" ht="15.75" customHeight="1">
      <c r="A4601" s="197" t="s">
        <v>86</v>
      </c>
      <c r="B4601" s="197" t="s">
        <v>25</v>
      </c>
      <c r="C4601" s="198" t="s">
        <v>691</v>
      </c>
      <c r="D4601" s="197" t="s">
        <v>692</v>
      </c>
      <c r="E4601" s="199">
        <v>7.0</v>
      </c>
      <c r="F4601" s="200">
        <v>45855.41666666667</v>
      </c>
      <c r="G4601" s="197" t="s">
        <v>845</v>
      </c>
      <c r="H4601" s="197" t="s">
        <v>879</v>
      </c>
    </row>
    <row r="4602" ht="15.75" customHeight="1">
      <c r="A4602" s="197" t="s">
        <v>86</v>
      </c>
      <c r="B4602" s="197" t="s">
        <v>25</v>
      </c>
      <c r="C4602" s="198" t="s">
        <v>691</v>
      </c>
      <c r="D4602" s="197" t="s">
        <v>692</v>
      </c>
      <c r="E4602" s="199">
        <v>8.0</v>
      </c>
      <c r="F4602" s="200">
        <v>45860.625</v>
      </c>
      <c r="G4602" s="197" t="s">
        <v>845</v>
      </c>
      <c r="H4602" s="197" t="s">
        <v>879</v>
      </c>
    </row>
    <row r="4603" ht="15.75" customHeight="1">
      <c r="A4603" s="197" t="s">
        <v>86</v>
      </c>
      <c r="B4603" s="197" t="s">
        <v>25</v>
      </c>
      <c r="C4603" s="198" t="s">
        <v>691</v>
      </c>
      <c r="D4603" s="197" t="s">
        <v>692</v>
      </c>
      <c r="E4603" s="199">
        <v>9.0</v>
      </c>
      <c r="F4603" s="200">
        <v>45869.45833333333</v>
      </c>
      <c r="G4603" s="197" t="s">
        <v>845</v>
      </c>
      <c r="H4603" s="197" t="s">
        <v>879</v>
      </c>
    </row>
    <row r="4604" ht="15.75" customHeight="1">
      <c r="A4604" s="197" t="s">
        <v>86</v>
      </c>
      <c r="B4604" s="197" t="s">
        <v>25</v>
      </c>
      <c r="C4604" s="198" t="s">
        <v>691</v>
      </c>
      <c r="D4604" s="197" t="s">
        <v>692</v>
      </c>
      <c r="E4604" s="199">
        <v>10.0</v>
      </c>
      <c r="F4604" s="200">
        <v>45881.5</v>
      </c>
      <c r="G4604" s="197" t="s">
        <v>843</v>
      </c>
      <c r="H4604" s="197" t="s">
        <v>879</v>
      </c>
    </row>
    <row r="4605" ht="15.75" customHeight="1">
      <c r="A4605" s="197" t="s">
        <v>86</v>
      </c>
      <c r="B4605" s="197" t="s">
        <v>25</v>
      </c>
      <c r="C4605" s="198" t="s">
        <v>691</v>
      </c>
      <c r="D4605" s="197" t="s">
        <v>692</v>
      </c>
      <c r="E4605" s="199">
        <v>11.0</v>
      </c>
      <c r="F4605" s="200">
        <v>45888.54166666667</v>
      </c>
      <c r="G4605" s="197" t="s">
        <v>845</v>
      </c>
      <c r="H4605" s="197" t="s">
        <v>879</v>
      </c>
    </row>
    <row r="4606" ht="15.75" customHeight="1">
      <c r="A4606" s="197" t="s">
        <v>86</v>
      </c>
      <c r="B4606" s="197" t="s">
        <v>25</v>
      </c>
      <c r="C4606" s="198" t="s">
        <v>691</v>
      </c>
      <c r="D4606" s="197" t="s">
        <v>692</v>
      </c>
      <c r="E4606" s="199">
        <v>12.0</v>
      </c>
      <c r="F4606" s="200">
        <v>45897.45833333333</v>
      </c>
      <c r="G4606" s="197" t="s">
        <v>845</v>
      </c>
      <c r="H4606" s="197" t="s">
        <v>879</v>
      </c>
    </row>
    <row r="4607" ht="15.75" customHeight="1">
      <c r="A4607" s="197" t="s">
        <v>86</v>
      </c>
      <c r="B4607" s="197" t="s">
        <v>25</v>
      </c>
      <c r="C4607" s="198" t="s">
        <v>691</v>
      </c>
      <c r="D4607" s="197" t="s">
        <v>692</v>
      </c>
      <c r="E4607" s="199">
        <v>13.0</v>
      </c>
      <c r="F4607" s="200">
        <v>45909.41666666667</v>
      </c>
      <c r="G4607" s="197" t="s">
        <v>845</v>
      </c>
      <c r="H4607" s="197" t="s">
        <v>879</v>
      </c>
    </row>
    <row r="4608" ht="15.75" customHeight="1">
      <c r="A4608" s="197" t="s">
        <v>86</v>
      </c>
      <c r="B4608" s="197" t="s">
        <v>25</v>
      </c>
      <c r="C4608" s="198" t="s">
        <v>691</v>
      </c>
      <c r="D4608" s="197" t="s">
        <v>692</v>
      </c>
      <c r="E4608" s="199">
        <v>14.0</v>
      </c>
      <c r="F4608" s="200">
        <v>45923.41666666667</v>
      </c>
      <c r="G4608" s="197" t="s">
        <v>845</v>
      </c>
      <c r="H4608" s="197" t="s">
        <v>879</v>
      </c>
    </row>
    <row r="4609" ht="15.75" customHeight="1">
      <c r="A4609" s="197" t="s">
        <v>86</v>
      </c>
      <c r="B4609" s="197" t="s">
        <v>25</v>
      </c>
      <c r="C4609" s="198" t="s">
        <v>691</v>
      </c>
      <c r="D4609" s="197" t="s">
        <v>692</v>
      </c>
      <c r="E4609" s="199">
        <v>15.0</v>
      </c>
      <c r="F4609" s="200">
        <v>45925.625</v>
      </c>
      <c r="G4609" s="197" t="s">
        <v>843</v>
      </c>
      <c r="H4609" s="197" t="s">
        <v>879</v>
      </c>
    </row>
    <row r="4610" ht="15.75" customHeight="1">
      <c r="A4610" s="197" t="s">
        <v>87</v>
      </c>
      <c r="B4610" s="197" t="s">
        <v>21</v>
      </c>
      <c r="C4610" s="198" t="s">
        <v>383</v>
      </c>
      <c r="D4610" s="197" t="s">
        <v>384</v>
      </c>
      <c r="E4610" s="199">
        <v>1.0</v>
      </c>
      <c r="F4610" s="200">
        <v>45813.45833333333</v>
      </c>
      <c r="G4610" s="197" t="s">
        <v>845</v>
      </c>
      <c r="H4610" s="197" t="s">
        <v>880</v>
      </c>
    </row>
    <row r="4611" ht="15.75" customHeight="1">
      <c r="A4611" s="197" t="s">
        <v>87</v>
      </c>
      <c r="B4611" s="197" t="s">
        <v>21</v>
      </c>
      <c r="C4611" s="198" t="s">
        <v>383</v>
      </c>
      <c r="D4611" s="197" t="s">
        <v>384</v>
      </c>
      <c r="E4611" s="199">
        <v>2.0</v>
      </c>
      <c r="F4611" s="200">
        <v>45820.45833333333</v>
      </c>
      <c r="G4611" s="197" t="s">
        <v>845</v>
      </c>
      <c r="H4611" s="197" t="s">
        <v>880</v>
      </c>
    </row>
    <row r="4612" ht="15.75" customHeight="1">
      <c r="A4612" s="197" t="s">
        <v>87</v>
      </c>
      <c r="B4612" s="197" t="s">
        <v>21</v>
      </c>
      <c r="C4612" s="198" t="s">
        <v>383</v>
      </c>
      <c r="D4612" s="197" t="s">
        <v>384</v>
      </c>
      <c r="E4612" s="199">
        <v>3.0</v>
      </c>
      <c r="F4612" s="200">
        <v>45841.625</v>
      </c>
      <c r="G4612" s="197" t="s">
        <v>845</v>
      </c>
      <c r="H4612" s="197" t="s">
        <v>880</v>
      </c>
    </row>
    <row r="4613" ht="15.75" customHeight="1">
      <c r="A4613" s="197" t="s">
        <v>87</v>
      </c>
      <c r="B4613" s="197" t="s">
        <v>21</v>
      </c>
      <c r="C4613" s="198" t="s">
        <v>383</v>
      </c>
      <c r="D4613" s="197" t="s">
        <v>384</v>
      </c>
      <c r="E4613" s="199">
        <v>4.0</v>
      </c>
      <c r="F4613" s="200">
        <v>45849.41666666667</v>
      </c>
      <c r="G4613" s="197" t="s">
        <v>845</v>
      </c>
      <c r="H4613" s="197" t="s">
        <v>880</v>
      </c>
    </row>
    <row r="4614" ht="15.75" customHeight="1">
      <c r="A4614" s="197" t="s">
        <v>87</v>
      </c>
      <c r="B4614" s="197" t="s">
        <v>21</v>
      </c>
      <c r="C4614" s="198" t="s">
        <v>383</v>
      </c>
      <c r="D4614" s="197" t="s">
        <v>384</v>
      </c>
      <c r="E4614" s="199">
        <v>5.0</v>
      </c>
      <c r="F4614" s="200">
        <v>45855.625</v>
      </c>
      <c r="G4614" s="197" t="s">
        <v>845</v>
      </c>
      <c r="H4614" s="197" t="s">
        <v>880</v>
      </c>
    </row>
    <row r="4615" ht="15.75" customHeight="1">
      <c r="A4615" s="197" t="s">
        <v>87</v>
      </c>
      <c r="B4615" s="197" t="s">
        <v>21</v>
      </c>
      <c r="C4615" s="198" t="s">
        <v>383</v>
      </c>
      <c r="D4615" s="197" t="s">
        <v>384</v>
      </c>
      <c r="E4615" s="199">
        <v>6.0</v>
      </c>
      <c r="F4615" s="200">
        <v>45890.45833333333</v>
      </c>
      <c r="G4615" s="197" t="s">
        <v>845</v>
      </c>
      <c r="H4615" s="197" t="s">
        <v>880</v>
      </c>
    </row>
    <row r="4616" ht="15.75" customHeight="1">
      <c r="A4616" s="197" t="s">
        <v>87</v>
      </c>
      <c r="B4616" s="197" t="s">
        <v>21</v>
      </c>
      <c r="C4616" s="198" t="s">
        <v>383</v>
      </c>
      <c r="D4616" s="197" t="s">
        <v>384</v>
      </c>
      <c r="E4616" s="199">
        <v>7.0</v>
      </c>
      <c r="F4616" s="200">
        <v>45911.625</v>
      </c>
      <c r="G4616" s="197" t="s">
        <v>845</v>
      </c>
      <c r="H4616" s="197" t="s">
        <v>880</v>
      </c>
    </row>
    <row r="4617" ht="15.75" customHeight="1">
      <c r="A4617" s="197" t="s">
        <v>87</v>
      </c>
      <c r="B4617" s="197" t="s">
        <v>21</v>
      </c>
      <c r="C4617" s="198" t="s">
        <v>383</v>
      </c>
      <c r="D4617" s="197" t="s">
        <v>384</v>
      </c>
      <c r="E4617" s="199">
        <v>8.0</v>
      </c>
      <c r="F4617" s="200">
        <v>45912.54166666667</v>
      </c>
      <c r="G4617" s="197" t="s">
        <v>845</v>
      </c>
      <c r="H4617" s="197" t="s">
        <v>880</v>
      </c>
    </row>
    <row r="4618" ht="15.75" customHeight="1">
      <c r="A4618" s="197" t="s">
        <v>87</v>
      </c>
      <c r="B4618" s="197" t="s">
        <v>21</v>
      </c>
      <c r="C4618" s="198" t="s">
        <v>383</v>
      </c>
      <c r="D4618" s="197" t="s">
        <v>384</v>
      </c>
      <c r="E4618" s="199">
        <v>9.0</v>
      </c>
      <c r="F4618" s="200">
        <v>45918.625</v>
      </c>
      <c r="G4618" s="197" t="s">
        <v>845</v>
      </c>
      <c r="H4618" s="197" t="s">
        <v>880</v>
      </c>
    </row>
    <row r="4619" ht="15.75" customHeight="1">
      <c r="A4619" s="197" t="s">
        <v>87</v>
      </c>
      <c r="B4619" s="197" t="s">
        <v>21</v>
      </c>
      <c r="C4619" s="198" t="s">
        <v>383</v>
      </c>
      <c r="D4619" s="197" t="s">
        <v>384</v>
      </c>
      <c r="E4619" s="199">
        <v>10.0</v>
      </c>
      <c r="F4619" s="200">
        <v>45996.45833333333</v>
      </c>
      <c r="G4619" s="197" t="s">
        <v>845</v>
      </c>
      <c r="H4619" s="197" t="s">
        <v>880</v>
      </c>
    </row>
    <row r="4620" ht="15.75" customHeight="1">
      <c r="A4620" s="197" t="s">
        <v>87</v>
      </c>
      <c r="B4620" s="197" t="s">
        <v>22</v>
      </c>
      <c r="C4620" s="198" t="s">
        <v>383</v>
      </c>
      <c r="D4620" s="197" t="s">
        <v>384</v>
      </c>
      <c r="E4620" s="199">
        <v>1.0</v>
      </c>
      <c r="F4620" s="200">
        <v>46038.41666666667</v>
      </c>
      <c r="G4620" s="197" t="s">
        <v>845</v>
      </c>
      <c r="H4620" s="197" t="s">
        <v>880</v>
      </c>
    </row>
    <row r="4621" ht="15.75" customHeight="1">
      <c r="A4621" s="197" t="s">
        <v>87</v>
      </c>
      <c r="B4621" s="197" t="s">
        <v>22</v>
      </c>
      <c r="C4621" s="198" t="s">
        <v>383</v>
      </c>
      <c r="D4621" s="197" t="s">
        <v>384</v>
      </c>
      <c r="E4621" s="199">
        <v>2.0</v>
      </c>
      <c r="F4621" s="200">
        <v>46044.45833333333</v>
      </c>
      <c r="G4621" s="197" t="s">
        <v>845</v>
      </c>
      <c r="H4621" s="197" t="s">
        <v>880</v>
      </c>
    </row>
    <row r="4622" ht="15.75" customHeight="1">
      <c r="A4622" s="197" t="s">
        <v>87</v>
      </c>
      <c r="B4622" s="197" t="s">
        <v>22</v>
      </c>
      <c r="C4622" s="198" t="s">
        <v>383</v>
      </c>
      <c r="D4622" s="197" t="s">
        <v>384</v>
      </c>
      <c r="E4622" s="199">
        <v>3.0</v>
      </c>
      <c r="F4622" s="200">
        <v>46051.58333333333</v>
      </c>
      <c r="G4622" s="197" t="s">
        <v>845</v>
      </c>
      <c r="H4622" s="197" t="s">
        <v>880</v>
      </c>
    </row>
    <row r="4623" ht="15.75" customHeight="1">
      <c r="A4623" s="197" t="s">
        <v>87</v>
      </c>
      <c r="B4623" s="197" t="s">
        <v>22</v>
      </c>
      <c r="C4623" s="198" t="s">
        <v>383</v>
      </c>
      <c r="D4623" s="197" t="s">
        <v>384</v>
      </c>
      <c r="E4623" s="199">
        <v>4.0</v>
      </c>
      <c r="F4623" s="200">
        <v>46052.45833333333</v>
      </c>
      <c r="G4623" s="197" t="s">
        <v>845</v>
      </c>
      <c r="H4623" s="197" t="s">
        <v>880</v>
      </c>
    </row>
    <row r="4624" ht="15.75" customHeight="1">
      <c r="A4624" s="197" t="s">
        <v>87</v>
      </c>
      <c r="B4624" s="197" t="s">
        <v>22</v>
      </c>
      <c r="C4624" s="198" t="s">
        <v>383</v>
      </c>
      <c r="D4624" s="197" t="s">
        <v>384</v>
      </c>
      <c r="E4624" s="199">
        <v>5.0</v>
      </c>
      <c r="F4624" s="200">
        <v>46086.54166666667</v>
      </c>
      <c r="G4624" s="197" t="s">
        <v>845</v>
      </c>
      <c r="H4624" s="197" t="s">
        <v>880</v>
      </c>
    </row>
    <row r="4625" ht="15.75" customHeight="1">
      <c r="A4625" s="197" t="s">
        <v>87</v>
      </c>
      <c r="B4625" s="197" t="s">
        <v>21</v>
      </c>
      <c r="C4625" s="198" t="s">
        <v>389</v>
      </c>
      <c r="D4625" s="197" t="s">
        <v>390</v>
      </c>
      <c r="E4625" s="199">
        <v>1.0</v>
      </c>
      <c r="F4625" s="200">
        <v>45813.45833333333</v>
      </c>
      <c r="G4625" s="197" t="s">
        <v>845</v>
      </c>
      <c r="H4625" s="197" t="s">
        <v>880</v>
      </c>
    </row>
    <row r="4626" ht="15.75" customHeight="1">
      <c r="A4626" s="197" t="s">
        <v>87</v>
      </c>
      <c r="B4626" s="197" t="s">
        <v>21</v>
      </c>
      <c r="C4626" s="198" t="s">
        <v>389</v>
      </c>
      <c r="D4626" s="197" t="s">
        <v>390</v>
      </c>
      <c r="E4626" s="199">
        <v>2.0</v>
      </c>
      <c r="F4626" s="200">
        <v>45820.45833333333</v>
      </c>
      <c r="G4626" s="197" t="s">
        <v>845</v>
      </c>
      <c r="H4626" s="197" t="s">
        <v>880</v>
      </c>
    </row>
    <row r="4627" ht="15.75" customHeight="1">
      <c r="A4627" s="197" t="s">
        <v>87</v>
      </c>
      <c r="B4627" s="197" t="s">
        <v>21</v>
      </c>
      <c r="C4627" s="198" t="s">
        <v>389</v>
      </c>
      <c r="D4627" s="197" t="s">
        <v>390</v>
      </c>
      <c r="E4627" s="199">
        <v>3.0</v>
      </c>
      <c r="F4627" s="200">
        <v>45841.625</v>
      </c>
      <c r="G4627" s="197" t="s">
        <v>845</v>
      </c>
      <c r="H4627" s="197" t="s">
        <v>880</v>
      </c>
    </row>
    <row r="4628" ht="15.75" customHeight="1">
      <c r="A4628" s="197" t="s">
        <v>87</v>
      </c>
      <c r="B4628" s="197" t="s">
        <v>21</v>
      </c>
      <c r="C4628" s="198" t="s">
        <v>389</v>
      </c>
      <c r="D4628" s="197" t="s">
        <v>390</v>
      </c>
      <c r="E4628" s="199">
        <v>4.0</v>
      </c>
      <c r="F4628" s="200">
        <v>45849.41666666667</v>
      </c>
      <c r="G4628" s="197" t="s">
        <v>845</v>
      </c>
      <c r="H4628" s="197" t="s">
        <v>880</v>
      </c>
    </row>
    <row r="4629" ht="15.75" customHeight="1">
      <c r="A4629" s="197" t="s">
        <v>87</v>
      </c>
      <c r="B4629" s="197" t="s">
        <v>21</v>
      </c>
      <c r="C4629" s="198" t="s">
        <v>389</v>
      </c>
      <c r="D4629" s="197" t="s">
        <v>390</v>
      </c>
      <c r="E4629" s="199">
        <v>5.0</v>
      </c>
      <c r="F4629" s="200">
        <v>45855.625</v>
      </c>
      <c r="G4629" s="197" t="s">
        <v>845</v>
      </c>
      <c r="H4629" s="197" t="s">
        <v>880</v>
      </c>
    </row>
    <row r="4630" ht="15.75" customHeight="1">
      <c r="A4630" s="197" t="s">
        <v>87</v>
      </c>
      <c r="B4630" s="197" t="s">
        <v>21</v>
      </c>
      <c r="C4630" s="198" t="s">
        <v>389</v>
      </c>
      <c r="D4630" s="197" t="s">
        <v>390</v>
      </c>
      <c r="E4630" s="199">
        <v>6.0</v>
      </c>
      <c r="F4630" s="200">
        <v>45890.45833333333</v>
      </c>
      <c r="G4630" s="197" t="s">
        <v>845</v>
      </c>
      <c r="H4630" s="197" t="s">
        <v>880</v>
      </c>
    </row>
    <row r="4631" ht="15.75" customHeight="1">
      <c r="A4631" s="197" t="s">
        <v>87</v>
      </c>
      <c r="B4631" s="197" t="s">
        <v>21</v>
      </c>
      <c r="C4631" s="198" t="s">
        <v>389</v>
      </c>
      <c r="D4631" s="197" t="s">
        <v>390</v>
      </c>
      <c r="E4631" s="199">
        <v>7.0</v>
      </c>
      <c r="F4631" s="200">
        <v>45911.625</v>
      </c>
      <c r="G4631" s="197" t="s">
        <v>845</v>
      </c>
      <c r="H4631" s="197" t="s">
        <v>880</v>
      </c>
    </row>
    <row r="4632" ht="15.75" customHeight="1">
      <c r="A4632" s="197" t="s">
        <v>87</v>
      </c>
      <c r="B4632" s="197" t="s">
        <v>21</v>
      </c>
      <c r="C4632" s="198" t="s">
        <v>389</v>
      </c>
      <c r="D4632" s="197" t="s">
        <v>390</v>
      </c>
      <c r="E4632" s="199">
        <v>8.0</v>
      </c>
      <c r="F4632" s="200">
        <v>45912.54166666667</v>
      </c>
      <c r="G4632" s="197" t="s">
        <v>845</v>
      </c>
      <c r="H4632" s="197" t="s">
        <v>880</v>
      </c>
    </row>
    <row r="4633" ht="15.75" customHeight="1">
      <c r="A4633" s="197" t="s">
        <v>87</v>
      </c>
      <c r="B4633" s="197" t="s">
        <v>21</v>
      </c>
      <c r="C4633" s="198" t="s">
        <v>389</v>
      </c>
      <c r="D4633" s="197" t="s">
        <v>390</v>
      </c>
      <c r="E4633" s="199">
        <v>9.0</v>
      </c>
      <c r="F4633" s="200">
        <v>45918.625</v>
      </c>
      <c r="G4633" s="197" t="s">
        <v>845</v>
      </c>
      <c r="H4633" s="197" t="s">
        <v>880</v>
      </c>
    </row>
    <row r="4634" ht="15.75" customHeight="1">
      <c r="A4634" s="197" t="s">
        <v>87</v>
      </c>
      <c r="B4634" s="197" t="s">
        <v>21</v>
      </c>
      <c r="C4634" s="198" t="s">
        <v>389</v>
      </c>
      <c r="D4634" s="197" t="s">
        <v>390</v>
      </c>
      <c r="E4634" s="199">
        <v>10.0</v>
      </c>
      <c r="F4634" s="200">
        <v>45996.45833333333</v>
      </c>
      <c r="G4634" s="197" t="s">
        <v>845</v>
      </c>
      <c r="H4634" s="197" t="s">
        <v>880</v>
      </c>
    </row>
    <row r="4635" ht="15.75" customHeight="1">
      <c r="A4635" s="197" t="s">
        <v>87</v>
      </c>
      <c r="B4635" s="197" t="s">
        <v>22</v>
      </c>
      <c r="C4635" s="198" t="s">
        <v>389</v>
      </c>
      <c r="D4635" s="197" t="s">
        <v>390</v>
      </c>
      <c r="E4635" s="199">
        <v>1.0</v>
      </c>
      <c r="F4635" s="200">
        <v>46038.41666666667</v>
      </c>
      <c r="G4635" s="197" t="s">
        <v>845</v>
      </c>
      <c r="H4635" s="197" t="s">
        <v>880</v>
      </c>
    </row>
    <row r="4636" ht="15.75" customHeight="1">
      <c r="A4636" s="197" t="s">
        <v>87</v>
      </c>
      <c r="B4636" s="197" t="s">
        <v>22</v>
      </c>
      <c r="C4636" s="198" t="s">
        <v>389</v>
      </c>
      <c r="D4636" s="197" t="s">
        <v>390</v>
      </c>
      <c r="E4636" s="199">
        <v>2.0</v>
      </c>
      <c r="F4636" s="200">
        <v>46044.45833333333</v>
      </c>
      <c r="G4636" s="197" t="s">
        <v>845</v>
      </c>
      <c r="H4636" s="197" t="s">
        <v>880</v>
      </c>
    </row>
    <row r="4637" ht="15.75" customHeight="1">
      <c r="A4637" s="197" t="s">
        <v>87</v>
      </c>
      <c r="B4637" s="197" t="s">
        <v>22</v>
      </c>
      <c r="C4637" s="198" t="s">
        <v>389</v>
      </c>
      <c r="D4637" s="197" t="s">
        <v>390</v>
      </c>
      <c r="E4637" s="199">
        <v>3.0</v>
      </c>
      <c r="F4637" s="200">
        <v>46051.58333333333</v>
      </c>
      <c r="G4637" s="197" t="s">
        <v>845</v>
      </c>
      <c r="H4637" s="197" t="s">
        <v>880</v>
      </c>
    </row>
    <row r="4638" ht="15.75" customHeight="1">
      <c r="A4638" s="197" t="s">
        <v>87</v>
      </c>
      <c r="B4638" s="197" t="s">
        <v>22</v>
      </c>
      <c r="C4638" s="198" t="s">
        <v>389</v>
      </c>
      <c r="D4638" s="197" t="s">
        <v>390</v>
      </c>
      <c r="E4638" s="199">
        <v>4.0</v>
      </c>
      <c r="F4638" s="200">
        <v>46052.45833333333</v>
      </c>
      <c r="G4638" s="197" t="s">
        <v>845</v>
      </c>
      <c r="H4638" s="197" t="s">
        <v>880</v>
      </c>
    </row>
    <row r="4639" ht="15.75" customHeight="1">
      <c r="A4639" s="197" t="s">
        <v>87</v>
      </c>
      <c r="B4639" s="197" t="s">
        <v>22</v>
      </c>
      <c r="C4639" s="198" t="s">
        <v>389</v>
      </c>
      <c r="D4639" s="197" t="s">
        <v>390</v>
      </c>
      <c r="E4639" s="199">
        <v>5.0</v>
      </c>
      <c r="F4639" s="200">
        <v>46086.54166666667</v>
      </c>
      <c r="G4639" s="197" t="s">
        <v>845</v>
      </c>
      <c r="H4639" s="197" t="s">
        <v>880</v>
      </c>
    </row>
    <row r="4640" ht="15.75" customHeight="1">
      <c r="A4640" s="197" t="s">
        <v>87</v>
      </c>
      <c r="B4640" s="197" t="s">
        <v>21</v>
      </c>
      <c r="C4640" s="198" t="s">
        <v>637</v>
      </c>
      <c r="D4640" s="197" t="s">
        <v>638</v>
      </c>
      <c r="E4640" s="199">
        <v>1.0</v>
      </c>
      <c r="F4640" s="200">
        <v>45813.45833333333</v>
      </c>
      <c r="G4640" s="197" t="s">
        <v>845</v>
      </c>
      <c r="H4640" s="197" t="s">
        <v>880</v>
      </c>
    </row>
    <row r="4641" ht="15.75" customHeight="1">
      <c r="A4641" s="197" t="s">
        <v>87</v>
      </c>
      <c r="B4641" s="197" t="s">
        <v>21</v>
      </c>
      <c r="C4641" s="198" t="s">
        <v>637</v>
      </c>
      <c r="D4641" s="197" t="s">
        <v>638</v>
      </c>
      <c r="E4641" s="199">
        <v>2.0</v>
      </c>
      <c r="F4641" s="200">
        <v>45820.45833333333</v>
      </c>
      <c r="G4641" s="197" t="s">
        <v>845</v>
      </c>
      <c r="H4641" s="197" t="s">
        <v>880</v>
      </c>
    </row>
    <row r="4642" ht="15.75" customHeight="1">
      <c r="A4642" s="197" t="s">
        <v>87</v>
      </c>
      <c r="B4642" s="197" t="s">
        <v>21</v>
      </c>
      <c r="C4642" s="198" t="s">
        <v>637</v>
      </c>
      <c r="D4642" s="197" t="s">
        <v>638</v>
      </c>
      <c r="E4642" s="199">
        <v>3.0</v>
      </c>
      <c r="F4642" s="200">
        <v>45841.625</v>
      </c>
      <c r="G4642" s="197" t="s">
        <v>843</v>
      </c>
      <c r="H4642" s="197" t="s">
        <v>880</v>
      </c>
    </row>
    <row r="4643" ht="15.75" customHeight="1">
      <c r="A4643" s="197" t="s">
        <v>87</v>
      </c>
      <c r="B4643" s="197" t="s">
        <v>21</v>
      </c>
      <c r="C4643" s="198" t="s">
        <v>637</v>
      </c>
      <c r="D4643" s="197" t="s">
        <v>638</v>
      </c>
      <c r="E4643" s="199">
        <v>4.0</v>
      </c>
      <c r="F4643" s="200">
        <v>45849.41666666667</v>
      </c>
      <c r="G4643" s="197" t="s">
        <v>845</v>
      </c>
      <c r="H4643" s="197" t="s">
        <v>880</v>
      </c>
    </row>
    <row r="4644" ht="15.75" customHeight="1">
      <c r="A4644" s="197" t="s">
        <v>87</v>
      </c>
      <c r="B4644" s="197" t="s">
        <v>21</v>
      </c>
      <c r="C4644" s="198" t="s">
        <v>637</v>
      </c>
      <c r="D4644" s="197" t="s">
        <v>638</v>
      </c>
      <c r="E4644" s="199">
        <v>5.0</v>
      </c>
      <c r="F4644" s="200">
        <v>45855.625</v>
      </c>
      <c r="G4644" s="197" t="s">
        <v>843</v>
      </c>
      <c r="H4644" s="197" t="s">
        <v>880</v>
      </c>
    </row>
    <row r="4645" ht="15.75" customHeight="1">
      <c r="A4645" s="197" t="s">
        <v>87</v>
      </c>
      <c r="B4645" s="197" t="s">
        <v>21</v>
      </c>
      <c r="C4645" s="198" t="s">
        <v>637</v>
      </c>
      <c r="D4645" s="197" t="s">
        <v>638</v>
      </c>
      <c r="E4645" s="199">
        <v>6.0</v>
      </c>
      <c r="F4645" s="200">
        <v>45890.45833333333</v>
      </c>
      <c r="G4645" s="197" t="s">
        <v>845</v>
      </c>
      <c r="H4645" s="197" t="s">
        <v>880</v>
      </c>
    </row>
    <row r="4646" ht="15.75" customHeight="1">
      <c r="A4646" s="197" t="s">
        <v>87</v>
      </c>
      <c r="B4646" s="197" t="s">
        <v>21</v>
      </c>
      <c r="C4646" s="198" t="s">
        <v>637</v>
      </c>
      <c r="D4646" s="197" t="s">
        <v>638</v>
      </c>
      <c r="E4646" s="199">
        <v>7.0</v>
      </c>
      <c r="F4646" s="200">
        <v>45911.625</v>
      </c>
      <c r="G4646" s="197" t="s">
        <v>845</v>
      </c>
      <c r="H4646" s="197" t="s">
        <v>880</v>
      </c>
    </row>
    <row r="4647" ht="15.75" customHeight="1">
      <c r="A4647" s="197" t="s">
        <v>87</v>
      </c>
      <c r="B4647" s="197" t="s">
        <v>21</v>
      </c>
      <c r="C4647" s="198" t="s">
        <v>637</v>
      </c>
      <c r="D4647" s="197" t="s">
        <v>638</v>
      </c>
      <c r="E4647" s="199">
        <v>8.0</v>
      </c>
      <c r="F4647" s="200">
        <v>45912.54166666667</v>
      </c>
      <c r="G4647" s="197" t="s">
        <v>845</v>
      </c>
      <c r="H4647" s="197" t="s">
        <v>880</v>
      </c>
    </row>
    <row r="4648" ht="15.75" customHeight="1">
      <c r="A4648" s="197" t="s">
        <v>87</v>
      </c>
      <c r="B4648" s="197" t="s">
        <v>21</v>
      </c>
      <c r="C4648" s="198" t="s">
        <v>637</v>
      </c>
      <c r="D4648" s="197" t="s">
        <v>638</v>
      </c>
      <c r="E4648" s="199">
        <v>9.0</v>
      </c>
      <c r="F4648" s="200">
        <v>45918.625</v>
      </c>
      <c r="G4648" s="197" t="s">
        <v>845</v>
      </c>
      <c r="H4648" s="197" t="s">
        <v>880</v>
      </c>
    </row>
    <row r="4649" ht="15.75" customHeight="1">
      <c r="A4649" s="197" t="s">
        <v>87</v>
      </c>
      <c r="B4649" s="197" t="s">
        <v>21</v>
      </c>
      <c r="C4649" s="198" t="s">
        <v>637</v>
      </c>
      <c r="D4649" s="197" t="s">
        <v>638</v>
      </c>
      <c r="E4649" s="199">
        <v>10.0</v>
      </c>
      <c r="F4649" s="200">
        <v>45996.45833333333</v>
      </c>
      <c r="G4649" s="197" t="s">
        <v>845</v>
      </c>
      <c r="H4649" s="197" t="s">
        <v>880</v>
      </c>
    </row>
    <row r="4650" ht="15.75" customHeight="1">
      <c r="A4650" s="197" t="s">
        <v>87</v>
      </c>
      <c r="B4650" s="197" t="s">
        <v>22</v>
      </c>
      <c r="C4650" s="198" t="s">
        <v>637</v>
      </c>
      <c r="D4650" s="197" t="s">
        <v>638</v>
      </c>
      <c r="E4650" s="199">
        <v>1.0</v>
      </c>
      <c r="F4650" s="200">
        <v>46038.41666666667</v>
      </c>
      <c r="G4650" s="197" t="s">
        <v>845</v>
      </c>
      <c r="H4650" s="197" t="s">
        <v>880</v>
      </c>
    </row>
    <row r="4651" ht="15.75" customHeight="1">
      <c r="A4651" s="197" t="s">
        <v>87</v>
      </c>
      <c r="B4651" s="197" t="s">
        <v>22</v>
      </c>
      <c r="C4651" s="198" t="s">
        <v>637</v>
      </c>
      <c r="D4651" s="197" t="s">
        <v>638</v>
      </c>
      <c r="E4651" s="199">
        <v>2.0</v>
      </c>
      <c r="F4651" s="200">
        <v>46044.45833333333</v>
      </c>
      <c r="G4651" s="197" t="s">
        <v>845</v>
      </c>
      <c r="H4651" s="197" t="s">
        <v>880</v>
      </c>
    </row>
    <row r="4652" ht="15.75" customHeight="1">
      <c r="A4652" s="197" t="s">
        <v>87</v>
      </c>
      <c r="B4652" s="197" t="s">
        <v>22</v>
      </c>
      <c r="C4652" s="198" t="s">
        <v>637</v>
      </c>
      <c r="D4652" s="197" t="s">
        <v>638</v>
      </c>
      <c r="E4652" s="199">
        <v>3.0</v>
      </c>
      <c r="F4652" s="200">
        <v>46051.58333333333</v>
      </c>
      <c r="G4652" s="197" t="s">
        <v>845</v>
      </c>
      <c r="H4652" s="197" t="s">
        <v>880</v>
      </c>
    </row>
    <row r="4653" ht="15.75" customHeight="1">
      <c r="A4653" s="197" t="s">
        <v>87</v>
      </c>
      <c r="B4653" s="197" t="s">
        <v>22</v>
      </c>
      <c r="C4653" s="198" t="s">
        <v>637</v>
      </c>
      <c r="D4653" s="197" t="s">
        <v>638</v>
      </c>
      <c r="E4653" s="199">
        <v>4.0</v>
      </c>
      <c r="F4653" s="200">
        <v>46052.45833333333</v>
      </c>
      <c r="G4653" s="197" t="s">
        <v>845</v>
      </c>
      <c r="H4653" s="197" t="s">
        <v>880</v>
      </c>
    </row>
    <row r="4654" ht="15.75" customHeight="1">
      <c r="A4654" s="197" t="s">
        <v>87</v>
      </c>
      <c r="B4654" s="197" t="s">
        <v>22</v>
      </c>
      <c r="C4654" s="198" t="s">
        <v>637</v>
      </c>
      <c r="D4654" s="197" t="s">
        <v>638</v>
      </c>
      <c r="E4654" s="199">
        <v>5.0</v>
      </c>
      <c r="F4654" s="200">
        <v>46086.54166666667</v>
      </c>
      <c r="G4654" s="197" t="s">
        <v>843</v>
      </c>
      <c r="H4654" s="197" t="s">
        <v>880</v>
      </c>
    </row>
    <row r="4655" ht="15.75" customHeight="1">
      <c r="A4655" s="197" t="s">
        <v>87</v>
      </c>
      <c r="B4655" s="197" t="s">
        <v>21</v>
      </c>
      <c r="C4655" s="198" t="s">
        <v>663</v>
      </c>
      <c r="D4655" s="197" t="s">
        <v>664</v>
      </c>
      <c r="E4655" s="199">
        <v>1.0</v>
      </c>
      <c r="F4655" s="200">
        <v>45813.45833333333</v>
      </c>
      <c r="G4655" s="197" t="s">
        <v>845</v>
      </c>
      <c r="H4655" s="197" t="s">
        <v>880</v>
      </c>
    </row>
    <row r="4656" ht="15.75" customHeight="1">
      <c r="A4656" s="197" t="s">
        <v>87</v>
      </c>
      <c r="B4656" s="197" t="s">
        <v>21</v>
      </c>
      <c r="C4656" s="198" t="s">
        <v>663</v>
      </c>
      <c r="D4656" s="197" t="s">
        <v>664</v>
      </c>
      <c r="E4656" s="199">
        <v>2.0</v>
      </c>
      <c r="F4656" s="200">
        <v>45820.45833333333</v>
      </c>
      <c r="G4656" s="197" t="s">
        <v>845</v>
      </c>
      <c r="H4656" s="197" t="s">
        <v>880</v>
      </c>
    </row>
    <row r="4657" ht="15.75" customHeight="1">
      <c r="A4657" s="197" t="s">
        <v>87</v>
      </c>
      <c r="B4657" s="197" t="s">
        <v>21</v>
      </c>
      <c r="C4657" s="198" t="s">
        <v>663</v>
      </c>
      <c r="D4657" s="197" t="s">
        <v>664</v>
      </c>
      <c r="E4657" s="199">
        <v>3.0</v>
      </c>
      <c r="F4657" s="200">
        <v>45841.625</v>
      </c>
      <c r="G4657" s="197" t="s">
        <v>845</v>
      </c>
      <c r="H4657" s="197" t="s">
        <v>880</v>
      </c>
    </row>
    <row r="4658" ht="15.75" customHeight="1">
      <c r="A4658" s="197" t="s">
        <v>87</v>
      </c>
      <c r="B4658" s="197" t="s">
        <v>21</v>
      </c>
      <c r="C4658" s="198" t="s">
        <v>663</v>
      </c>
      <c r="D4658" s="197" t="s">
        <v>664</v>
      </c>
      <c r="E4658" s="199">
        <v>4.0</v>
      </c>
      <c r="F4658" s="200">
        <v>45849.41666666667</v>
      </c>
      <c r="G4658" s="197" t="s">
        <v>845</v>
      </c>
      <c r="H4658" s="197" t="s">
        <v>880</v>
      </c>
    </row>
    <row r="4659" ht="15.75" customHeight="1">
      <c r="A4659" s="197" t="s">
        <v>87</v>
      </c>
      <c r="B4659" s="197" t="s">
        <v>21</v>
      </c>
      <c r="C4659" s="198" t="s">
        <v>663</v>
      </c>
      <c r="D4659" s="197" t="s">
        <v>664</v>
      </c>
      <c r="E4659" s="199">
        <v>5.0</v>
      </c>
      <c r="F4659" s="200">
        <v>45855.625</v>
      </c>
      <c r="G4659" s="197" t="s">
        <v>845</v>
      </c>
      <c r="H4659" s="197" t="s">
        <v>880</v>
      </c>
    </row>
    <row r="4660" ht="15.75" customHeight="1">
      <c r="A4660" s="197" t="s">
        <v>87</v>
      </c>
      <c r="B4660" s="197" t="s">
        <v>21</v>
      </c>
      <c r="C4660" s="198" t="s">
        <v>663</v>
      </c>
      <c r="D4660" s="197" t="s">
        <v>664</v>
      </c>
      <c r="E4660" s="199">
        <v>6.0</v>
      </c>
      <c r="F4660" s="200">
        <v>45890.45833333333</v>
      </c>
      <c r="G4660" s="197" t="s">
        <v>845</v>
      </c>
      <c r="H4660" s="197" t="s">
        <v>880</v>
      </c>
    </row>
    <row r="4661" ht="15.75" customHeight="1">
      <c r="A4661" s="197" t="s">
        <v>87</v>
      </c>
      <c r="B4661" s="197" t="s">
        <v>21</v>
      </c>
      <c r="C4661" s="198" t="s">
        <v>663</v>
      </c>
      <c r="D4661" s="197" t="s">
        <v>664</v>
      </c>
      <c r="E4661" s="199">
        <v>7.0</v>
      </c>
      <c r="F4661" s="200">
        <v>45911.625</v>
      </c>
      <c r="G4661" s="197" t="s">
        <v>843</v>
      </c>
      <c r="H4661" s="197" t="s">
        <v>880</v>
      </c>
    </row>
    <row r="4662" ht="15.75" customHeight="1">
      <c r="A4662" s="197" t="s">
        <v>87</v>
      </c>
      <c r="B4662" s="197" t="s">
        <v>21</v>
      </c>
      <c r="C4662" s="198" t="s">
        <v>663</v>
      </c>
      <c r="D4662" s="197" t="s">
        <v>664</v>
      </c>
      <c r="E4662" s="199">
        <v>8.0</v>
      </c>
      <c r="F4662" s="200">
        <v>45912.54166666667</v>
      </c>
      <c r="G4662" s="197" t="s">
        <v>845</v>
      </c>
      <c r="H4662" s="197" t="s">
        <v>880</v>
      </c>
    </row>
    <row r="4663" ht="15.75" customHeight="1">
      <c r="A4663" s="197" t="s">
        <v>87</v>
      </c>
      <c r="B4663" s="197" t="s">
        <v>21</v>
      </c>
      <c r="C4663" s="198" t="s">
        <v>663</v>
      </c>
      <c r="D4663" s="197" t="s">
        <v>664</v>
      </c>
      <c r="E4663" s="199">
        <v>9.0</v>
      </c>
      <c r="F4663" s="200">
        <v>45918.625</v>
      </c>
      <c r="G4663" s="197" t="s">
        <v>845</v>
      </c>
      <c r="H4663" s="197" t="s">
        <v>880</v>
      </c>
    </row>
    <row r="4664" ht="15.75" customHeight="1">
      <c r="A4664" s="197" t="s">
        <v>87</v>
      </c>
      <c r="B4664" s="197" t="s">
        <v>21</v>
      </c>
      <c r="C4664" s="198" t="s">
        <v>663</v>
      </c>
      <c r="D4664" s="197" t="s">
        <v>664</v>
      </c>
      <c r="E4664" s="199">
        <v>10.0</v>
      </c>
      <c r="F4664" s="200">
        <v>45996.45833333333</v>
      </c>
      <c r="G4664" s="197" t="s">
        <v>845</v>
      </c>
      <c r="H4664" s="197" t="s">
        <v>880</v>
      </c>
    </row>
    <row r="4665" ht="15.75" customHeight="1">
      <c r="A4665" s="197" t="s">
        <v>87</v>
      </c>
      <c r="B4665" s="197" t="s">
        <v>22</v>
      </c>
      <c r="C4665" s="198" t="s">
        <v>663</v>
      </c>
      <c r="D4665" s="197" t="s">
        <v>664</v>
      </c>
      <c r="E4665" s="199">
        <v>1.0</v>
      </c>
      <c r="F4665" s="200">
        <v>46038.41666666667</v>
      </c>
      <c r="G4665" s="197" t="s">
        <v>845</v>
      </c>
      <c r="H4665" s="197" t="s">
        <v>880</v>
      </c>
    </row>
    <row r="4666" ht="15.75" customHeight="1">
      <c r="A4666" s="197" t="s">
        <v>87</v>
      </c>
      <c r="B4666" s="197" t="s">
        <v>22</v>
      </c>
      <c r="C4666" s="198" t="s">
        <v>663</v>
      </c>
      <c r="D4666" s="197" t="s">
        <v>664</v>
      </c>
      <c r="E4666" s="199">
        <v>2.0</v>
      </c>
      <c r="F4666" s="200">
        <v>46044.45833333333</v>
      </c>
      <c r="G4666" s="197" t="s">
        <v>843</v>
      </c>
      <c r="H4666" s="197" t="s">
        <v>880</v>
      </c>
    </row>
    <row r="4667" ht="15.75" customHeight="1">
      <c r="A4667" s="197" t="s">
        <v>87</v>
      </c>
      <c r="B4667" s="197" t="s">
        <v>22</v>
      </c>
      <c r="C4667" s="198" t="s">
        <v>663</v>
      </c>
      <c r="D4667" s="197" t="s">
        <v>664</v>
      </c>
      <c r="E4667" s="199">
        <v>3.0</v>
      </c>
      <c r="F4667" s="200">
        <v>46051.58333333333</v>
      </c>
      <c r="G4667" s="197" t="s">
        <v>845</v>
      </c>
      <c r="H4667" s="197" t="s">
        <v>880</v>
      </c>
    </row>
    <row r="4668" ht="15.75" customHeight="1">
      <c r="A4668" s="197" t="s">
        <v>87</v>
      </c>
      <c r="B4668" s="197" t="s">
        <v>22</v>
      </c>
      <c r="C4668" s="198" t="s">
        <v>663</v>
      </c>
      <c r="D4668" s="197" t="s">
        <v>664</v>
      </c>
      <c r="E4668" s="199">
        <v>4.0</v>
      </c>
      <c r="F4668" s="200">
        <v>46052.45833333333</v>
      </c>
      <c r="G4668" s="197" t="s">
        <v>845</v>
      </c>
      <c r="H4668" s="197" t="s">
        <v>880</v>
      </c>
    </row>
    <row r="4669" ht="15.75" customHeight="1">
      <c r="A4669" s="197" t="s">
        <v>87</v>
      </c>
      <c r="B4669" s="197" t="s">
        <v>22</v>
      </c>
      <c r="C4669" s="198" t="s">
        <v>663</v>
      </c>
      <c r="D4669" s="197" t="s">
        <v>664</v>
      </c>
      <c r="E4669" s="199">
        <v>5.0</v>
      </c>
      <c r="F4669" s="200">
        <v>46086.54166666667</v>
      </c>
      <c r="G4669" s="197" t="s">
        <v>845</v>
      </c>
      <c r="H4669" s="197" t="s">
        <v>880</v>
      </c>
    </row>
    <row r="4670" ht="15.75" customHeight="1">
      <c r="A4670" s="197" t="s">
        <v>88</v>
      </c>
      <c r="B4670" s="197" t="s">
        <v>21</v>
      </c>
      <c r="C4670" s="198" t="s">
        <v>325</v>
      </c>
      <c r="D4670" s="197" t="s">
        <v>326</v>
      </c>
      <c r="E4670" s="199">
        <v>6.0</v>
      </c>
      <c r="F4670" s="200">
        <v>45889.58333333333</v>
      </c>
      <c r="G4670" s="197" t="s">
        <v>845</v>
      </c>
      <c r="H4670" s="197" t="s">
        <v>881</v>
      </c>
    </row>
    <row r="4671" ht="15.75" customHeight="1">
      <c r="A4671" s="197" t="s">
        <v>88</v>
      </c>
      <c r="B4671" s="197" t="s">
        <v>21</v>
      </c>
      <c r="C4671" s="198" t="s">
        <v>325</v>
      </c>
      <c r="D4671" s="197" t="s">
        <v>326</v>
      </c>
      <c r="E4671" s="199">
        <v>7.0</v>
      </c>
      <c r="F4671" s="200">
        <v>45896.58333333333</v>
      </c>
      <c r="G4671" s="197" t="s">
        <v>843</v>
      </c>
      <c r="H4671" s="197" t="s">
        <v>881</v>
      </c>
    </row>
    <row r="4672" ht="15.75" customHeight="1">
      <c r="A4672" s="197" t="s">
        <v>88</v>
      </c>
      <c r="B4672" s="197" t="s">
        <v>21</v>
      </c>
      <c r="C4672" s="198" t="s">
        <v>325</v>
      </c>
      <c r="D4672" s="197" t="s">
        <v>326</v>
      </c>
      <c r="E4672" s="199">
        <v>8.0</v>
      </c>
      <c r="F4672" s="200">
        <v>45910.625</v>
      </c>
      <c r="G4672" s="197" t="s">
        <v>845</v>
      </c>
      <c r="H4672" s="197" t="s">
        <v>881</v>
      </c>
    </row>
    <row r="4673" ht="15.75" customHeight="1">
      <c r="A4673" s="197" t="s">
        <v>88</v>
      </c>
      <c r="B4673" s="197" t="s">
        <v>21</v>
      </c>
      <c r="C4673" s="198" t="s">
        <v>325</v>
      </c>
      <c r="D4673" s="197" t="s">
        <v>326</v>
      </c>
      <c r="E4673" s="199">
        <v>9.0</v>
      </c>
      <c r="F4673" s="200">
        <v>45916.375</v>
      </c>
      <c r="G4673" s="197" t="s">
        <v>845</v>
      </c>
      <c r="H4673" s="197" t="s">
        <v>881</v>
      </c>
    </row>
    <row r="4674" ht="15.75" customHeight="1">
      <c r="A4674" s="197" t="s">
        <v>88</v>
      </c>
      <c r="B4674" s="197" t="s">
        <v>21</v>
      </c>
      <c r="C4674" s="198" t="s">
        <v>325</v>
      </c>
      <c r="D4674" s="197" t="s">
        <v>326</v>
      </c>
      <c r="E4674" s="199">
        <v>10.0</v>
      </c>
      <c r="F4674" s="200">
        <v>45959.41666666667</v>
      </c>
      <c r="G4674" s="197" t="s">
        <v>845</v>
      </c>
      <c r="H4674" s="197" t="s">
        <v>881</v>
      </c>
    </row>
    <row r="4675" ht="15.75" customHeight="1">
      <c r="A4675" s="197" t="s">
        <v>88</v>
      </c>
      <c r="B4675" s="197" t="s">
        <v>21</v>
      </c>
      <c r="C4675" s="198" t="s">
        <v>419</v>
      </c>
      <c r="D4675" s="197" t="s">
        <v>420</v>
      </c>
      <c r="E4675" s="199">
        <v>5.0</v>
      </c>
      <c r="F4675" s="200">
        <v>45882.54166666667</v>
      </c>
      <c r="G4675" s="197" t="s">
        <v>845</v>
      </c>
      <c r="H4675" s="197" t="s">
        <v>881</v>
      </c>
    </row>
    <row r="4676" ht="15.75" customHeight="1">
      <c r="A4676" s="197" t="s">
        <v>88</v>
      </c>
      <c r="B4676" s="197" t="s">
        <v>21</v>
      </c>
      <c r="C4676" s="198" t="s">
        <v>419</v>
      </c>
      <c r="D4676" s="197" t="s">
        <v>420</v>
      </c>
      <c r="E4676" s="199">
        <v>6.0</v>
      </c>
      <c r="F4676" s="200">
        <v>45889.58333333333</v>
      </c>
      <c r="G4676" s="197" t="s">
        <v>845</v>
      </c>
      <c r="H4676" s="197" t="s">
        <v>881</v>
      </c>
    </row>
    <row r="4677" ht="15.75" customHeight="1">
      <c r="A4677" s="197" t="s">
        <v>88</v>
      </c>
      <c r="B4677" s="197" t="s">
        <v>21</v>
      </c>
      <c r="C4677" s="198" t="s">
        <v>419</v>
      </c>
      <c r="D4677" s="197" t="s">
        <v>420</v>
      </c>
      <c r="E4677" s="199">
        <v>7.0</v>
      </c>
      <c r="F4677" s="200">
        <v>45896.58333333333</v>
      </c>
      <c r="G4677" s="197" t="s">
        <v>845</v>
      </c>
      <c r="H4677" s="197" t="s">
        <v>881</v>
      </c>
    </row>
    <row r="4678" ht="15.75" customHeight="1">
      <c r="A4678" s="197" t="s">
        <v>88</v>
      </c>
      <c r="B4678" s="197" t="s">
        <v>21</v>
      </c>
      <c r="C4678" s="198" t="s">
        <v>419</v>
      </c>
      <c r="D4678" s="197" t="s">
        <v>420</v>
      </c>
      <c r="E4678" s="199">
        <v>8.0</v>
      </c>
      <c r="F4678" s="200">
        <v>45910.625</v>
      </c>
      <c r="G4678" s="197" t="s">
        <v>843</v>
      </c>
      <c r="H4678" s="197" t="s">
        <v>881</v>
      </c>
    </row>
    <row r="4679" ht="15.75" customHeight="1">
      <c r="A4679" s="197" t="s">
        <v>88</v>
      </c>
      <c r="B4679" s="197" t="s">
        <v>21</v>
      </c>
      <c r="C4679" s="198" t="s">
        <v>419</v>
      </c>
      <c r="D4679" s="197" t="s">
        <v>420</v>
      </c>
      <c r="E4679" s="199">
        <v>9.0</v>
      </c>
      <c r="F4679" s="200">
        <v>45916.375</v>
      </c>
      <c r="G4679" s="197" t="s">
        <v>843</v>
      </c>
      <c r="H4679" s="197" t="s">
        <v>881</v>
      </c>
    </row>
    <row r="4680" ht="15.75" customHeight="1">
      <c r="A4680" s="197" t="s">
        <v>88</v>
      </c>
      <c r="B4680" s="197" t="s">
        <v>21</v>
      </c>
      <c r="C4680" s="198" t="s">
        <v>419</v>
      </c>
      <c r="D4680" s="197" t="s">
        <v>420</v>
      </c>
      <c r="E4680" s="199">
        <v>10.0</v>
      </c>
      <c r="F4680" s="200">
        <v>45959.41666666667</v>
      </c>
      <c r="G4680" s="197" t="s">
        <v>843</v>
      </c>
      <c r="H4680" s="197" t="s">
        <v>881</v>
      </c>
    </row>
    <row r="4681" ht="15.75" customHeight="1">
      <c r="A4681" s="197" t="s">
        <v>88</v>
      </c>
      <c r="B4681" s="197" t="s">
        <v>21</v>
      </c>
      <c r="C4681" s="198" t="s">
        <v>440</v>
      </c>
      <c r="D4681" s="197" t="s">
        <v>441</v>
      </c>
      <c r="E4681" s="199">
        <v>5.0</v>
      </c>
      <c r="F4681" s="200">
        <v>45882.54166666667</v>
      </c>
      <c r="G4681" s="197" t="s">
        <v>845</v>
      </c>
      <c r="H4681" s="197" t="s">
        <v>881</v>
      </c>
    </row>
    <row r="4682" ht="15.75" customHeight="1">
      <c r="A4682" s="197" t="s">
        <v>88</v>
      </c>
      <c r="B4682" s="197" t="s">
        <v>21</v>
      </c>
      <c r="C4682" s="198" t="s">
        <v>440</v>
      </c>
      <c r="D4682" s="197" t="s">
        <v>441</v>
      </c>
      <c r="E4682" s="199">
        <v>6.0</v>
      </c>
      <c r="F4682" s="200">
        <v>45889.58333333333</v>
      </c>
      <c r="G4682" s="197" t="s">
        <v>843</v>
      </c>
      <c r="H4682" s="197" t="s">
        <v>881</v>
      </c>
    </row>
    <row r="4683" ht="15.75" customHeight="1">
      <c r="A4683" s="197" t="s">
        <v>88</v>
      </c>
      <c r="B4683" s="197" t="s">
        <v>21</v>
      </c>
      <c r="C4683" s="198" t="s">
        <v>440</v>
      </c>
      <c r="D4683" s="197" t="s">
        <v>441</v>
      </c>
      <c r="E4683" s="199">
        <v>7.0</v>
      </c>
      <c r="F4683" s="200">
        <v>45896.58333333333</v>
      </c>
      <c r="G4683" s="197" t="s">
        <v>845</v>
      </c>
      <c r="H4683" s="197" t="s">
        <v>881</v>
      </c>
    </row>
    <row r="4684" ht="15.75" customHeight="1">
      <c r="A4684" s="197" t="s">
        <v>88</v>
      </c>
      <c r="B4684" s="197" t="s">
        <v>21</v>
      </c>
      <c r="C4684" s="198" t="s">
        <v>440</v>
      </c>
      <c r="D4684" s="197" t="s">
        <v>441</v>
      </c>
      <c r="E4684" s="199">
        <v>8.0</v>
      </c>
      <c r="F4684" s="200">
        <v>45910.625</v>
      </c>
      <c r="G4684" s="197" t="s">
        <v>845</v>
      </c>
      <c r="H4684" s="197" t="s">
        <v>881</v>
      </c>
    </row>
    <row r="4685" ht="15.75" customHeight="1">
      <c r="A4685" s="197" t="s">
        <v>88</v>
      </c>
      <c r="B4685" s="197" t="s">
        <v>21</v>
      </c>
      <c r="C4685" s="198" t="s">
        <v>440</v>
      </c>
      <c r="D4685" s="197" t="s">
        <v>441</v>
      </c>
      <c r="E4685" s="199">
        <v>9.0</v>
      </c>
      <c r="F4685" s="200">
        <v>45916.375</v>
      </c>
      <c r="G4685" s="197" t="s">
        <v>845</v>
      </c>
      <c r="H4685" s="197" t="s">
        <v>881</v>
      </c>
    </row>
    <row r="4686" ht="15.75" customHeight="1">
      <c r="A4686" s="197" t="s">
        <v>88</v>
      </c>
      <c r="B4686" s="197" t="s">
        <v>21</v>
      </c>
      <c r="C4686" s="198" t="s">
        <v>440</v>
      </c>
      <c r="D4686" s="197" t="s">
        <v>441</v>
      </c>
      <c r="E4686" s="199">
        <v>10.0</v>
      </c>
      <c r="F4686" s="200">
        <v>45959.41666666667</v>
      </c>
      <c r="G4686" s="197" t="s">
        <v>845</v>
      </c>
      <c r="H4686" s="197" t="s">
        <v>881</v>
      </c>
    </row>
    <row r="4687" ht="15.75" customHeight="1">
      <c r="A4687" s="197" t="s">
        <v>88</v>
      </c>
      <c r="B4687" s="197" t="s">
        <v>21</v>
      </c>
      <c r="C4687" s="198" t="s">
        <v>461</v>
      </c>
      <c r="D4687" s="197" t="s">
        <v>462</v>
      </c>
      <c r="E4687" s="199">
        <v>6.0</v>
      </c>
      <c r="F4687" s="200">
        <v>45889.58333333333</v>
      </c>
      <c r="G4687" s="197" t="s">
        <v>843</v>
      </c>
      <c r="H4687" s="197" t="s">
        <v>881</v>
      </c>
    </row>
    <row r="4688" ht="15.75" customHeight="1">
      <c r="A4688" s="197" t="s">
        <v>88</v>
      </c>
      <c r="B4688" s="197" t="s">
        <v>21</v>
      </c>
      <c r="C4688" s="198" t="s">
        <v>461</v>
      </c>
      <c r="D4688" s="197" t="s">
        <v>462</v>
      </c>
      <c r="E4688" s="199">
        <v>7.0</v>
      </c>
      <c r="F4688" s="200">
        <v>45896.58333333333</v>
      </c>
      <c r="G4688" s="197" t="s">
        <v>845</v>
      </c>
      <c r="H4688" s="197" t="s">
        <v>881</v>
      </c>
    </row>
    <row r="4689" ht="15.75" customHeight="1">
      <c r="A4689" s="197" t="s">
        <v>88</v>
      </c>
      <c r="B4689" s="197" t="s">
        <v>21</v>
      </c>
      <c r="C4689" s="198" t="s">
        <v>461</v>
      </c>
      <c r="D4689" s="197" t="s">
        <v>462</v>
      </c>
      <c r="E4689" s="199">
        <v>8.0</v>
      </c>
      <c r="F4689" s="200">
        <v>45910.625</v>
      </c>
      <c r="G4689" s="197" t="s">
        <v>845</v>
      </c>
      <c r="H4689" s="197" t="s">
        <v>881</v>
      </c>
    </row>
    <row r="4690" ht="15.75" customHeight="1">
      <c r="A4690" s="197" t="s">
        <v>88</v>
      </c>
      <c r="B4690" s="197" t="s">
        <v>21</v>
      </c>
      <c r="C4690" s="198" t="s">
        <v>461</v>
      </c>
      <c r="D4690" s="197" t="s">
        <v>462</v>
      </c>
      <c r="E4690" s="199">
        <v>9.0</v>
      </c>
      <c r="F4690" s="200">
        <v>45916.375</v>
      </c>
      <c r="G4690" s="197" t="s">
        <v>845</v>
      </c>
      <c r="H4690" s="197" t="s">
        <v>881</v>
      </c>
    </row>
    <row r="4691" ht="15.75" customHeight="1">
      <c r="A4691" s="197" t="s">
        <v>88</v>
      </c>
      <c r="B4691" s="197" t="s">
        <v>21</v>
      </c>
      <c r="C4691" s="198" t="s">
        <v>461</v>
      </c>
      <c r="D4691" s="197" t="s">
        <v>462</v>
      </c>
      <c r="E4691" s="199">
        <v>10.0</v>
      </c>
      <c r="F4691" s="200">
        <v>45959.41666666667</v>
      </c>
      <c r="G4691" s="197" t="s">
        <v>845</v>
      </c>
      <c r="H4691" s="197" t="s">
        <v>881</v>
      </c>
    </row>
    <row r="4692" ht="15.75" customHeight="1">
      <c r="A4692" s="197" t="s">
        <v>88</v>
      </c>
      <c r="B4692" s="197" t="s">
        <v>21</v>
      </c>
      <c r="C4692" s="198" t="s">
        <v>669</v>
      </c>
      <c r="D4692" s="197" t="s">
        <v>670</v>
      </c>
      <c r="E4692" s="199">
        <v>5.0</v>
      </c>
      <c r="F4692" s="200">
        <v>45882.54166666667</v>
      </c>
      <c r="G4692" s="197" t="s">
        <v>845</v>
      </c>
      <c r="H4692" s="197" t="s">
        <v>881</v>
      </c>
    </row>
    <row r="4693" ht="15.75" customHeight="1">
      <c r="A4693" s="197" t="s">
        <v>88</v>
      </c>
      <c r="B4693" s="197" t="s">
        <v>21</v>
      </c>
      <c r="C4693" s="198" t="s">
        <v>669</v>
      </c>
      <c r="D4693" s="197" t="s">
        <v>670</v>
      </c>
      <c r="E4693" s="199">
        <v>6.0</v>
      </c>
      <c r="F4693" s="200">
        <v>45889.58333333333</v>
      </c>
      <c r="G4693" s="197" t="s">
        <v>845</v>
      </c>
      <c r="H4693" s="197" t="s">
        <v>881</v>
      </c>
    </row>
    <row r="4694" ht="15.75" customHeight="1">
      <c r="A4694" s="197" t="s">
        <v>88</v>
      </c>
      <c r="B4694" s="197" t="s">
        <v>21</v>
      </c>
      <c r="C4694" s="198" t="s">
        <v>669</v>
      </c>
      <c r="D4694" s="197" t="s">
        <v>670</v>
      </c>
      <c r="E4694" s="199">
        <v>7.0</v>
      </c>
      <c r="F4694" s="200">
        <v>45896.58333333333</v>
      </c>
      <c r="G4694" s="197" t="s">
        <v>845</v>
      </c>
      <c r="H4694" s="197" t="s">
        <v>881</v>
      </c>
    </row>
    <row r="4695" ht="15.75" customHeight="1">
      <c r="A4695" s="197" t="s">
        <v>88</v>
      </c>
      <c r="B4695" s="197" t="s">
        <v>21</v>
      </c>
      <c r="C4695" s="198" t="s">
        <v>669</v>
      </c>
      <c r="D4695" s="197" t="s">
        <v>670</v>
      </c>
      <c r="E4695" s="199">
        <v>8.0</v>
      </c>
      <c r="F4695" s="200">
        <v>45910.625</v>
      </c>
      <c r="G4695" s="197" t="s">
        <v>843</v>
      </c>
      <c r="H4695" s="197" t="s">
        <v>881</v>
      </c>
    </row>
    <row r="4696" ht="15.75" customHeight="1">
      <c r="A4696" s="197" t="s">
        <v>88</v>
      </c>
      <c r="B4696" s="197" t="s">
        <v>21</v>
      </c>
      <c r="C4696" s="198" t="s">
        <v>669</v>
      </c>
      <c r="D4696" s="197" t="s">
        <v>670</v>
      </c>
      <c r="E4696" s="199">
        <v>9.0</v>
      </c>
      <c r="F4696" s="200">
        <v>45916.375</v>
      </c>
      <c r="G4696" s="197" t="s">
        <v>843</v>
      </c>
      <c r="H4696" s="197" t="s">
        <v>881</v>
      </c>
    </row>
    <row r="4697" ht="15.75" customHeight="1">
      <c r="A4697" s="197" t="s">
        <v>88</v>
      </c>
      <c r="B4697" s="197" t="s">
        <v>21</v>
      </c>
      <c r="C4697" s="198" t="s">
        <v>669</v>
      </c>
      <c r="D4697" s="197" t="s">
        <v>670</v>
      </c>
      <c r="E4697" s="199">
        <v>10.0</v>
      </c>
      <c r="F4697" s="200">
        <v>45959.41666666667</v>
      </c>
      <c r="G4697" s="197" t="s">
        <v>843</v>
      </c>
      <c r="H4697" s="197" t="s">
        <v>881</v>
      </c>
    </row>
    <row r="4698" ht="15.75" customHeight="1">
      <c r="A4698" s="197" t="s">
        <v>88</v>
      </c>
      <c r="B4698" s="197" t="s">
        <v>21</v>
      </c>
      <c r="C4698" s="198" t="s">
        <v>681</v>
      </c>
      <c r="D4698" s="197" t="s">
        <v>682</v>
      </c>
      <c r="E4698" s="199">
        <v>5.0</v>
      </c>
      <c r="F4698" s="200">
        <v>45882.54166666667</v>
      </c>
      <c r="G4698" s="197" t="s">
        <v>845</v>
      </c>
      <c r="H4698" s="197" t="s">
        <v>881</v>
      </c>
    </row>
    <row r="4699" ht="15.75" customHeight="1">
      <c r="A4699" s="197" t="s">
        <v>88</v>
      </c>
      <c r="B4699" s="197" t="s">
        <v>21</v>
      </c>
      <c r="C4699" s="198" t="s">
        <v>681</v>
      </c>
      <c r="D4699" s="197" t="s">
        <v>682</v>
      </c>
      <c r="E4699" s="199">
        <v>6.0</v>
      </c>
      <c r="F4699" s="200">
        <v>45889.58333333333</v>
      </c>
      <c r="G4699" s="197" t="s">
        <v>845</v>
      </c>
      <c r="H4699" s="197" t="s">
        <v>881</v>
      </c>
    </row>
    <row r="4700" ht="15.75" customHeight="1">
      <c r="A4700" s="197" t="s">
        <v>88</v>
      </c>
      <c r="B4700" s="197" t="s">
        <v>21</v>
      </c>
      <c r="C4700" s="198" t="s">
        <v>681</v>
      </c>
      <c r="D4700" s="197" t="s">
        <v>682</v>
      </c>
      <c r="E4700" s="199">
        <v>7.0</v>
      </c>
      <c r="F4700" s="200">
        <v>45896.58333333333</v>
      </c>
      <c r="G4700" s="197" t="s">
        <v>845</v>
      </c>
      <c r="H4700" s="197" t="s">
        <v>881</v>
      </c>
    </row>
    <row r="4701" ht="15.75" customHeight="1">
      <c r="A4701" s="197" t="s">
        <v>88</v>
      </c>
      <c r="B4701" s="197" t="s">
        <v>21</v>
      </c>
      <c r="C4701" s="198" t="s">
        <v>681</v>
      </c>
      <c r="D4701" s="197" t="s">
        <v>682</v>
      </c>
      <c r="E4701" s="199">
        <v>8.0</v>
      </c>
      <c r="F4701" s="200">
        <v>45910.58333333333</v>
      </c>
      <c r="G4701" s="197" t="s">
        <v>845</v>
      </c>
      <c r="H4701" s="197" t="s">
        <v>881</v>
      </c>
    </row>
    <row r="4702" ht="15.75" customHeight="1">
      <c r="A4702" s="197" t="s">
        <v>88</v>
      </c>
      <c r="B4702" s="197" t="s">
        <v>21</v>
      </c>
      <c r="C4702" s="198" t="s">
        <v>681</v>
      </c>
      <c r="D4702" s="197" t="s">
        <v>682</v>
      </c>
      <c r="E4702" s="199">
        <v>9.0</v>
      </c>
      <c r="F4702" s="200">
        <v>45916.375</v>
      </c>
      <c r="G4702" s="197" t="s">
        <v>845</v>
      </c>
      <c r="H4702" s="197" t="s">
        <v>881</v>
      </c>
    </row>
    <row r="4703" ht="15.75" customHeight="1">
      <c r="A4703" s="197" t="s">
        <v>88</v>
      </c>
      <c r="B4703" s="197" t="s">
        <v>21</v>
      </c>
      <c r="C4703" s="198" t="s">
        <v>681</v>
      </c>
      <c r="D4703" s="197" t="s">
        <v>682</v>
      </c>
      <c r="E4703" s="199">
        <v>10.0</v>
      </c>
      <c r="F4703" s="200">
        <v>45959.41666666667</v>
      </c>
      <c r="G4703" s="197" t="s">
        <v>845</v>
      </c>
      <c r="H4703" s="197" t="s">
        <v>881</v>
      </c>
    </row>
    <row r="4704" ht="15.75" customHeight="1">
      <c r="A4704" s="197" t="s">
        <v>88</v>
      </c>
      <c r="B4704" s="197" t="s">
        <v>21</v>
      </c>
      <c r="C4704" s="198" t="s">
        <v>685</v>
      </c>
      <c r="D4704" s="197" t="s">
        <v>686</v>
      </c>
      <c r="E4704" s="199">
        <v>5.0</v>
      </c>
      <c r="F4704" s="200">
        <v>45882.54166666667</v>
      </c>
      <c r="G4704" s="197" t="s">
        <v>845</v>
      </c>
      <c r="H4704" s="197" t="s">
        <v>881</v>
      </c>
    </row>
    <row r="4705" ht="15.75" customHeight="1">
      <c r="A4705" s="197" t="s">
        <v>88</v>
      </c>
      <c r="B4705" s="197" t="s">
        <v>21</v>
      </c>
      <c r="C4705" s="198" t="s">
        <v>685</v>
      </c>
      <c r="D4705" s="197" t="s">
        <v>686</v>
      </c>
      <c r="E4705" s="199">
        <v>6.0</v>
      </c>
      <c r="F4705" s="200">
        <v>45889.58333333333</v>
      </c>
      <c r="G4705" s="197" t="s">
        <v>845</v>
      </c>
      <c r="H4705" s="197" t="s">
        <v>881</v>
      </c>
    </row>
    <row r="4706" ht="15.75" customHeight="1">
      <c r="A4706" s="197" t="s">
        <v>88</v>
      </c>
      <c r="B4706" s="197" t="s">
        <v>21</v>
      </c>
      <c r="C4706" s="198" t="s">
        <v>685</v>
      </c>
      <c r="D4706" s="197" t="s">
        <v>686</v>
      </c>
      <c r="E4706" s="199">
        <v>7.0</v>
      </c>
      <c r="F4706" s="200">
        <v>45896.58333333333</v>
      </c>
      <c r="G4706" s="197" t="s">
        <v>845</v>
      </c>
      <c r="H4706" s="197" t="s">
        <v>881</v>
      </c>
    </row>
    <row r="4707" ht="15.75" customHeight="1">
      <c r="A4707" s="197" t="s">
        <v>88</v>
      </c>
      <c r="B4707" s="197" t="s">
        <v>21</v>
      </c>
      <c r="C4707" s="198" t="s">
        <v>685</v>
      </c>
      <c r="D4707" s="197" t="s">
        <v>686</v>
      </c>
      <c r="E4707" s="199">
        <v>8.0</v>
      </c>
      <c r="F4707" s="200">
        <v>45910.625</v>
      </c>
      <c r="G4707" s="197" t="s">
        <v>845</v>
      </c>
      <c r="H4707" s="197" t="s">
        <v>881</v>
      </c>
    </row>
    <row r="4708" ht="15.75" customHeight="1">
      <c r="A4708" s="197" t="s">
        <v>88</v>
      </c>
      <c r="B4708" s="197" t="s">
        <v>21</v>
      </c>
      <c r="C4708" s="198" t="s">
        <v>685</v>
      </c>
      <c r="D4708" s="197" t="s">
        <v>686</v>
      </c>
      <c r="E4708" s="199">
        <v>9.0</v>
      </c>
      <c r="F4708" s="200">
        <v>45916.375</v>
      </c>
      <c r="G4708" s="197" t="s">
        <v>845</v>
      </c>
      <c r="H4708" s="197" t="s">
        <v>881</v>
      </c>
    </row>
    <row r="4709" ht="15.75" customHeight="1">
      <c r="A4709" s="197" t="s">
        <v>88</v>
      </c>
      <c r="B4709" s="197" t="s">
        <v>21</v>
      </c>
      <c r="C4709" s="198" t="s">
        <v>685</v>
      </c>
      <c r="D4709" s="197" t="s">
        <v>686</v>
      </c>
      <c r="E4709" s="199">
        <v>10.0</v>
      </c>
      <c r="F4709" s="200">
        <v>45959.41666666667</v>
      </c>
      <c r="G4709" s="197" t="s">
        <v>845</v>
      </c>
      <c r="H4709" s="197" t="s">
        <v>881</v>
      </c>
    </row>
    <row r="4710" ht="15.75" customHeight="1">
      <c r="A4710" s="197" t="s">
        <v>88</v>
      </c>
      <c r="B4710" s="197" t="s">
        <v>21</v>
      </c>
      <c r="C4710" s="198" t="s">
        <v>709</v>
      </c>
      <c r="D4710" s="197" t="s">
        <v>710</v>
      </c>
      <c r="E4710" s="199">
        <v>5.0</v>
      </c>
      <c r="F4710" s="200">
        <v>45882.54166666667</v>
      </c>
      <c r="G4710" s="197" t="s">
        <v>845</v>
      </c>
      <c r="H4710" s="197" t="s">
        <v>881</v>
      </c>
    </row>
    <row r="4711" ht="15.75" customHeight="1">
      <c r="A4711" s="197" t="s">
        <v>88</v>
      </c>
      <c r="B4711" s="197" t="s">
        <v>21</v>
      </c>
      <c r="C4711" s="198" t="s">
        <v>709</v>
      </c>
      <c r="D4711" s="197" t="s">
        <v>710</v>
      </c>
      <c r="E4711" s="199">
        <v>6.0</v>
      </c>
      <c r="F4711" s="200">
        <v>45889.58333333333</v>
      </c>
      <c r="G4711" s="197" t="s">
        <v>845</v>
      </c>
      <c r="H4711" s="197" t="s">
        <v>881</v>
      </c>
    </row>
    <row r="4712" ht="15.75" customHeight="1">
      <c r="A4712" s="197" t="s">
        <v>88</v>
      </c>
      <c r="B4712" s="197" t="s">
        <v>21</v>
      </c>
      <c r="C4712" s="198" t="s">
        <v>709</v>
      </c>
      <c r="D4712" s="197" t="s">
        <v>710</v>
      </c>
      <c r="E4712" s="199">
        <v>7.0</v>
      </c>
      <c r="F4712" s="200">
        <v>45896.58333333333</v>
      </c>
      <c r="G4712" s="197" t="s">
        <v>845</v>
      </c>
      <c r="H4712" s="197" t="s">
        <v>881</v>
      </c>
    </row>
    <row r="4713" ht="15.75" customHeight="1">
      <c r="A4713" s="197" t="s">
        <v>88</v>
      </c>
      <c r="B4713" s="197" t="s">
        <v>21</v>
      </c>
      <c r="C4713" s="198" t="s">
        <v>709</v>
      </c>
      <c r="D4713" s="197" t="s">
        <v>710</v>
      </c>
      <c r="E4713" s="199">
        <v>8.0</v>
      </c>
      <c r="F4713" s="200">
        <v>45910.625</v>
      </c>
      <c r="G4713" s="197" t="s">
        <v>845</v>
      </c>
      <c r="H4713" s="197" t="s">
        <v>881</v>
      </c>
    </row>
    <row r="4714" ht="15.75" customHeight="1">
      <c r="A4714" s="197" t="s">
        <v>88</v>
      </c>
      <c r="B4714" s="197" t="s">
        <v>21</v>
      </c>
      <c r="C4714" s="198" t="s">
        <v>709</v>
      </c>
      <c r="D4714" s="197" t="s">
        <v>710</v>
      </c>
      <c r="E4714" s="199">
        <v>9.0</v>
      </c>
      <c r="F4714" s="200">
        <v>45916.375</v>
      </c>
      <c r="G4714" s="197" t="s">
        <v>845</v>
      </c>
      <c r="H4714" s="197" t="s">
        <v>881</v>
      </c>
    </row>
    <row r="4715" ht="15.75" customHeight="1">
      <c r="A4715" s="197" t="s">
        <v>88</v>
      </c>
      <c r="B4715" s="197" t="s">
        <v>21</v>
      </c>
      <c r="C4715" s="198" t="s">
        <v>709</v>
      </c>
      <c r="D4715" s="197" t="s">
        <v>710</v>
      </c>
      <c r="E4715" s="199">
        <v>10.0</v>
      </c>
      <c r="F4715" s="200">
        <v>45959.41666666667</v>
      </c>
      <c r="G4715" s="197" t="s">
        <v>845</v>
      </c>
      <c r="H4715" s="197" t="s">
        <v>881</v>
      </c>
    </row>
    <row r="4716" ht="15.75" customHeight="1">
      <c r="A4716" s="197" t="s">
        <v>89</v>
      </c>
      <c r="B4716" s="197" t="s">
        <v>25</v>
      </c>
      <c r="C4716" s="198" t="s">
        <v>161</v>
      </c>
      <c r="D4716" s="197" t="s">
        <v>162</v>
      </c>
      <c r="E4716" s="199">
        <v>1.0</v>
      </c>
      <c r="F4716" s="200">
        <v>45916.45833333333</v>
      </c>
      <c r="G4716" s="197" t="s">
        <v>843</v>
      </c>
      <c r="H4716" s="197" t="s">
        <v>882</v>
      </c>
    </row>
    <row r="4717" ht="15.75" customHeight="1">
      <c r="A4717" s="197" t="s">
        <v>89</v>
      </c>
      <c r="B4717" s="197" t="s">
        <v>25</v>
      </c>
      <c r="C4717" s="198" t="s">
        <v>161</v>
      </c>
      <c r="D4717" s="197" t="s">
        <v>162</v>
      </c>
      <c r="E4717" s="199">
        <v>2.0</v>
      </c>
      <c r="F4717" s="200">
        <v>45925.54166666667</v>
      </c>
      <c r="G4717" s="197" t="s">
        <v>843</v>
      </c>
      <c r="H4717" s="197" t="s">
        <v>882</v>
      </c>
    </row>
    <row r="4718" ht="15.75" customHeight="1">
      <c r="A4718" s="197" t="s">
        <v>89</v>
      </c>
      <c r="B4718" s="197" t="s">
        <v>25</v>
      </c>
      <c r="C4718" s="198" t="s">
        <v>161</v>
      </c>
      <c r="D4718" s="197" t="s">
        <v>162</v>
      </c>
      <c r="E4718" s="199">
        <v>3.0</v>
      </c>
      <c r="F4718" s="200">
        <v>45931.58333333333</v>
      </c>
      <c r="G4718" s="197" t="s">
        <v>843</v>
      </c>
      <c r="H4718" s="197" t="s">
        <v>882</v>
      </c>
    </row>
    <row r="4719" ht="15.75" customHeight="1">
      <c r="A4719" s="197" t="s">
        <v>89</v>
      </c>
      <c r="B4719" s="197" t="s">
        <v>25</v>
      </c>
      <c r="C4719" s="198" t="s">
        <v>161</v>
      </c>
      <c r="D4719" s="197" t="s">
        <v>162</v>
      </c>
      <c r="E4719" s="199">
        <v>4.0</v>
      </c>
      <c r="F4719" s="200">
        <v>45938.54166666667</v>
      </c>
      <c r="G4719" s="197" t="s">
        <v>843</v>
      </c>
      <c r="H4719" s="197" t="s">
        <v>882</v>
      </c>
    </row>
    <row r="4720" ht="15.75" customHeight="1">
      <c r="A4720" s="197" t="s">
        <v>89</v>
      </c>
      <c r="B4720" s="197" t="s">
        <v>25</v>
      </c>
      <c r="C4720" s="198" t="s">
        <v>161</v>
      </c>
      <c r="D4720" s="197" t="s">
        <v>162</v>
      </c>
      <c r="E4720" s="199">
        <v>5.0</v>
      </c>
      <c r="F4720" s="200">
        <v>45953.54166666667</v>
      </c>
      <c r="G4720" s="197" t="s">
        <v>845</v>
      </c>
      <c r="H4720" s="197" t="s">
        <v>882</v>
      </c>
    </row>
    <row r="4721" ht="15.75" customHeight="1">
      <c r="A4721" s="197" t="s">
        <v>89</v>
      </c>
      <c r="B4721" s="197" t="s">
        <v>25</v>
      </c>
      <c r="C4721" s="198" t="s">
        <v>161</v>
      </c>
      <c r="D4721" s="197" t="s">
        <v>162</v>
      </c>
      <c r="E4721" s="199">
        <v>6.0</v>
      </c>
      <c r="F4721" s="200">
        <v>45960.54166666667</v>
      </c>
      <c r="G4721" s="197" t="s">
        <v>845</v>
      </c>
      <c r="H4721" s="197" t="s">
        <v>882</v>
      </c>
    </row>
    <row r="4722" ht="15.75" customHeight="1">
      <c r="A4722" s="197" t="s">
        <v>89</v>
      </c>
      <c r="B4722" s="197" t="s">
        <v>25</v>
      </c>
      <c r="C4722" s="198" t="s">
        <v>161</v>
      </c>
      <c r="D4722" s="197" t="s">
        <v>162</v>
      </c>
      <c r="E4722" s="199">
        <v>7.0</v>
      </c>
      <c r="F4722" s="200">
        <v>45967.54166666667</v>
      </c>
      <c r="G4722" s="197" t="s">
        <v>845</v>
      </c>
      <c r="H4722" s="197" t="s">
        <v>882</v>
      </c>
    </row>
    <row r="4723" ht="15.75" customHeight="1">
      <c r="A4723" s="197" t="s">
        <v>89</v>
      </c>
      <c r="B4723" s="197" t="s">
        <v>25</v>
      </c>
      <c r="C4723" s="198" t="s">
        <v>161</v>
      </c>
      <c r="D4723" s="197" t="s">
        <v>162</v>
      </c>
      <c r="E4723" s="199">
        <v>8.0</v>
      </c>
      <c r="F4723" s="200">
        <v>45982.54166666667</v>
      </c>
      <c r="G4723" s="197" t="s">
        <v>845</v>
      </c>
      <c r="H4723" s="197" t="s">
        <v>882</v>
      </c>
    </row>
    <row r="4724" ht="15.75" customHeight="1">
      <c r="A4724" s="197" t="s">
        <v>89</v>
      </c>
      <c r="B4724" s="197" t="s">
        <v>25</v>
      </c>
      <c r="C4724" s="198" t="s">
        <v>161</v>
      </c>
      <c r="D4724" s="197" t="s">
        <v>162</v>
      </c>
      <c r="E4724" s="199">
        <v>9.0</v>
      </c>
      <c r="F4724" s="200">
        <v>45989.54166666667</v>
      </c>
      <c r="G4724" s="197" t="s">
        <v>845</v>
      </c>
      <c r="H4724" s="197" t="s">
        <v>882</v>
      </c>
    </row>
    <row r="4725" ht="15.75" customHeight="1">
      <c r="A4725" s="197" t="s">
        <v>89</v>
      </c>
      <c r="B4725" s="197" t="s">
        <v>25</v>
      </c>
      <c r="C4725" s="198" t="s">
        <v>161</v>
      </c>
      <c r="D4725" s="197" t="s">
        <v>162</v>
      </c>
      <c r="E4725" s="199">
        <v>10.0</v>
      </c>
      <c r="F4725" s="200">
        <v>45996.54166666667</v>
      </c>
      <c r="G4725" s="197" t="s">
        <v>845</v>
      </c>
      <c r="H4725" s="197" t="s">
        <v>882</v>
      </c>
    </row>
    <row r="4726" ht="15.75" customHeight="1">
      <c r="A4726" s="197" t="s">
        <v>89</v>
      </c>
      <c r="B4726" s="197" t="s">
        <v>25</v>
      </c>
      <c r="C4726" s="198" t="s">
        <v>161</v>
      </c>
      <c r="D4726" s="197" t="s">
        <v>162</v>
      </c>
      <c r="E4726" s="199">
        <v>11.0</v>
      </c>
      <c r="F4726" s="200">
        <v>46010.54166666667</v>
      </c>
      <c r="G4726" s="197" t="s">
        <v>845</v>
      </c>
      <c r="H4726" s="197" t="s">
        <v>882</v>
      </c>
    </row>
    <row r="4727" ht="15.75" customHeight="1">
      <c r="A4727" s="197" t="s">
        <v>89</v>
      </c>
      <c r="B4727" s="197" t="s">
        <v>25</v>
      </c>
      <c r="C4727" s="198" t="s">
        <v>161</v>
      </c>
      <c r="D4727" s="197" t="s">
        <v>162</v>
      </c>
      <c r="E4727" s="199">
        <v>12.0</v>
      </c>
      <c r="F4727" s="200">
        <v>46038.54166666667</v>
      </c>
      <c r="G4727" s="197" t="s">
        <v>845</v>
      </c>
      <c r="H4727" s="197" t="s">
        <v>882</v>
      </c>
    </row>
    <row r="4728" ht="15.75" customHeight="1">
      <c r="A4728" s="197" t="s">
        <v>89</v>
      </c>
      <c r="B4728" s="197" t="s">
        <v>25</v>
      </c>
      <c r="C4728" s="198" t="s">
        <v>161</v>
      </c>
      <c r="D4728" s="197" t="s">
        <v>162</v>
      </c>
      <c r="E4728" s="199">
        <v>13.0</v>
      </c>
      <c r="F4728" s="200">
        <v>46049.58333333333</v>
      </c>
      <c r="G4728" s="197" t="s">
        <v>845</v>
      </c>
      <c r="H4728" s="197" t="s">
        <v>882</v>
      </c>
    </row>
    <row r="4729" ht="15.75" customHeight="1">
      <c r="A4729" s="197" t="s">
        <v>89</v>
      </c>
      <c r="B4729" s="197" t="s">
        <v>25</v>
      </c>
      <c r="C4729" s="198" t="s">
        <v>161</v>
      </c>
      <c r="D4729" s="197" t="s">
        <v>162</v>
      </c>
      <c r="E4729" s="199">
        <v>14.0</v>
      </c>
      <c r="F4729" s="200">
        <v>46049.58333333333</v>
      </c>
      <c r="G4729" s="197" t="s">
        <v>845</v>
      </c>
      <c r="H4729" s="197" t="s">
        <v>882</v>
      </c>
    </row>
    <row r="4730" ht="15.75" customHeight="1">
      <c r="A4730" s="197" t="s">
        <v>89</v>
      </c>
      <c r="B4730" s="197" t="s">
        <v>25</v>
      </c>
      <c r="C4730" s="198" t="s">
        <v>161</v>
      </c>
      <c r="D4730" s="197" t="s">
        <v>162</v>
      </c>
      <c r="E4730" s="199">
        <v>15.0</v>
      </c>
      <c r="F4730" s="200">
        <v>46052.54166666667</v>
      </c>
      <c r="G4730" s="197" t="s">
        <v>845</v>
      </c>
      <c r="H4730" s="197" t="s">
        <v>882</v>
      </c>
    </row>
    <row r="4731" ht="15.75" customHeight="1">
      <c r="A4731" s="197" t="s">
        <v>89</v>
      </c>
      <c r="B4731" s="197" t="s">
        <v>25</v>
      </c>
      <c r="C4731" s="198" t="s">
        <v>161</v>
      </c>
      <c r="D4731" s="197" t="s">
        <v>162</v>
      </c>
      <c r="E4731" s="199">
        <v>16.0</v>
      </c>
      <c r="F4731" s="200">
        <v>46108.54166666667</v>
      </c>
      <c r="G4731" s="197" t="s">
        <v>845</v>
      </c>
      <c r="H4731" s="197" t="s">
        <v>882</v>
      </c>
    </row>
    <row r="4732" ht="15.75" customHeight="1">
      <c r="A4732" s="197" t="s">
        <v>89</v>
      </c>
      <c r="B4732" s="197" t="s">
        <v>25</v>
      </c>
      <c r="C4732" s="198" t="s">
        <v>290</v>
      </c>
      <c r="D4732" s="197" t="s">
        <v>291</v>
      </c>
      <c r="E4732" s="199">
        <v>1.0</v>
      </c>
      <c r="F4732" s="200">
        <v>45916.45833333333</v>
      </c>
      <c r="G4732" s="197" t="s">
        <v>845</v>
      </c>
      <c r="H4732" s="197" t="s">
        <v>882</v>
      </c>
    </row>
    <row r="4733" ht="15.75" customHeight="1">
      <c r="A4733" s="197" t="s">
        <v>89</v>
      </c>
      <c r="B4733" s="197" t="s">
        <v>25</v>
      </c>
      <c r="C4733" s="198" t="s">
        <v>290</v>
      </c>
      <c r="D4733" s="197" t="s">
        <v>291</v>
      </c>
      <c r="E4733" s="199">
        <v>2.0</v>
      </c>
      <c r="F4733" s="200">
        <v>45925.54166666667</v>
      </c>
      <c r="G4733" s="197" t="s">
        <v>845</v>
      </c>
      <c r="H4733" s="197" t="s">
        <v>882</v>
      </c>
    </row>
    <row r="4734" ht="15.75" customHeight="1">
      <c r="A4734" s="197" t="s">
        <v>89</v>
      </c>
      <c r="B4734" s="197" t="s">
        <v>25</v>
      </c>
      <c r="C4734" s="198" t="s">
        <v>290</v>
      </c>
      <c r="D4734" s="197" t="s">
        <v>291</v>
      </c>
      <c r="E4734" s="199">
        <v>3.0</v>
      </c>
      <c r="F4734" s="200">
        <v>45931.58333333333</v>
      </c>
      <c r="G4734" s="197" t="s">
        <v>845</v>
      </c>
      <c r="H4734" s="197" t="s">
        <v>882</v>
      </c>
    </row>
    <row r="4735" ht="15.75" customHeight="1">
      <c r="A4735" s="197" t="s">
        <v>89</v>
      </c>
      <c r="B4735" s="197" t="s">
        <v>25</v>
      </c>
      <c r="C4735" s="198" t="s">
        <v>290</v>
      </c>
      <c r="D4735" s="197" t="s">
        <v>291</v>
      </c>
      <c r="E4735" s="199">
        <v>4.0</v>
      </c>
      <c r="F4735" s="200">
        <v>45938.54166666667</v>
      </c>
      <c r="G4735" s="197" t="s">
        <v>845</v>
      </c>
      <c r="H4735" s="197" t="s">
        <v>882</v>
      </c>
    </row>
    <row r="4736" ht="15.75" customHeight="1">
      <c r="A4736" s="197" t="s">
        <v>89</v>
      </c>
      <c r="B4736" s="197" t="s">
        <v>25</v>
      </c>
      <c r="C4736" s="198" t="s">
        <v>290</v>
      </c>
      <c r="D4736" s="197" t="s">
        <v>291</v>
      </c>
      <c r="E4736" s="199">
        <v>5.0</v>
      </c>
      <c r="F4736" s="200">
        <v>45953.54166666667</v>
      </c>
      <c r="G4736" s="197" t="s">
        <v>845</v>
      </c>
      <c r="H4736" s="197" t="s">
        <v>882</v>
      </c>
    </row>
    <row r="4737" ht="15.75" customHeight="1">
      <c r="A4737" s="197" t="s">
        <v>89</v>
      </c>
      <c r="B4737" s="197" t="s">
        <v>25</v>
      </c>
      <c r="C4737" s="198" t="s">
        <v>290</v>
      </c>
      <c r="D4737" s="197" t="s">
        <v>291</v>
      </c>
      <c r="E4737" s="199">
        <v>6.0</v>
      </c>
      <c r="F4737" s="200">
        <v>45960.54166666667</v>
      </c>
      <c r="G4737" s="197" t="s">
        <v>845</v>
      </c>
      <c r="H4737" s="197" t="s">
        <v>882</v>
      </c>
    </row>
    <row r="4738" ht="15.75" customHeight="1">
      <c r="A4738" s="197" t="s">
        <v>89</v>
      </c>
      <c r="B4738" s="197" t="s">
        <v>25</v>
      </c>
      <c r="C4738" s="198" t="s">
        <v>290</v>
      </c>
      <c r="D4738" s="197" t="s">
        <v>291</v>
      </c>
      <c r="E4738" s="199">
        <v>7.0</v>
      </c>
      <c r="F4738" s="200">
        <v>45967.54166666667</v>
      </c>
      <c r="G4738" s="197" t="s">
        <v>845</v>
      </c>
      <c r="H4738" s="197" t="s">
        <v>882</v>
      </c>
    </row>
    <row r="4739" ht="15.75" customHeight="1">
      <c r="A4739" s="197" t="s">
        <v>89</v>
      </c>
      <c r="B4739" s="197" t="s">
        <v>25</v>
      </c>
      <c r="C4739" s="198" t="s">
        <v>290</v>
      </c>
      <c r="D4739" s="197" t="s">
        <v>291</v>
      </c>
      <c r="E4739" s="199">
        <v>8.0</v>
      </c>
      <c r="F4739" s="200">
        <v>45982.54166666667</v>
      </c>
      <c r="G4739" s="197" t="s">
        <v>845</v>
      </c>
      <c r="H4739" s="197" t="s">
        <v>882</v>
      </c>
    </row>
    <row r="4740" ht="15.75" customHeight="1">
      <c r="A4740" s="197" t="s">
        <v>89</v>
      </c>
      <c r="B4740" s="197" t="s">
        <v>25</v>
      </c>
      <c r="C4740" s="198" t="s">
        <v>290</v>
      </c>
      <c r="D4740" s="197" t="s">
        <v>291</v>
      </c>
      <c r="E4740" s="199">
        <v>9.0</v>
      </c>
      <c r="F4740" s="200">
        <v>45989.54166666667</v>
      </c>
      <c r="G4740" s="197" t="s">
        <v>845</v>
      </c>
      <c r="H4740" s="197" t="s">
        <v>882</v>
      </c>
    </row>
    <row r="4741" ht="15.75" customHeight="1">
      <c r="A4741" s="197" t="s">
        <v>89</v>
      </c>
      <c r="B4741" s="197" t="s">
        <v>25</v>
      </c>
      <c r="C4741" s="198" t="s">
        <v>290</v>
      </c>
      <c r="D4741" s="197" t="s">
        <v>291</v>
      </c>
      <c r="E4741" s="199">
        <v>10.0</v>
      </c>
      <c r="F4741" s="200">
        <v>45996.54166666667</v>
      </c>
      <c r="G4741" s="197" t="s">
        <v>845</v>
      </c>
      <c r="H4741" s="197" t="s">
        <v>882</v>
      </c>
    </row>
    <row r="4742" ht="15.75" customHeight="1">
      <c r="A4742" s="197" t="s">
        <v>89</v>
      </c>
      <c r="B4742" s="197" t="s">
        <v>25</v>
      </c>
      <c r="C4742" s="198" t="s">
        <v>290</v>
      </c>
      <c r="D4742" s="197" t="s">
        <v>291</v>
      </c>
      <c r="E4742" s="199">
        <v>11.0</v>
      </c>
      <c r="F4742" s="200">
        <v>46010.54166666667</v>
      </c>
      <c r="G4742" s="197" t="s">
        <v>845</v>
      </c>
      <c r="H4742" s="197" t="s">
        <v>882</v>
      </c>
    </row>
    <row r="4743" ht="15.75" customHeight="1">
      <c r="A4743" s="197" t="s">
        <v>89</v>
      </c>
      <c r="B4743" s="197" t="s">
        <v>25</v>
      </c>
      <c r="C4743" s="198" t="s">
        <v>290</v>
      </c>
      <c r="D4743" s="197" t="s">
        <v>291</v>
      </c>
      <c r="E4743" s="199">
        <v>12.0</v>
      </c>
      <c r="F4743" s="200">
        <v>46038.54166666667</v>
      </c>
      <c r="G4743" s="197" t="s">
        <v>845</v>
      </c>
      <c r="H4743" s="197" t="s">
        <v>882</v>
      </c>
    </row>
    <row r="4744" ht="15.75" customHeight="1">
      <c r="A4744" s="197" t="s">
        <v>89</v>
      </c>
      <c r="B4744" s="197" t="s">
        <v>25</v>
      </c>
      <c r="C4744" s="198" t="s">
        <v>290</v>
      </c>
      <c r="D4744" s="197" t="s">
        <v>291</v>
      </c>
      <c r="E4744" s="199">
        <v>13.0</v>
      </c>
      <c r="F4744" s="200">
        <v>46049.58333333333</v>
      </c>
      <c r="G4744" s="197" t="s">
        <v>845</v>
      </c>
      <c r="H4744" s="197" t="s">
        <v>882</v>
      </c>
    </row>
    <row r="4745" ht="15.75" customHeight="1">
      <c r="A4745" s="197" t="s">
        <v>89</v>
      </c>
      <c r="B4745" s="197" t="s">
        <v>25</v>
      </c>
      <c r="C4745" s="198" t="s">
        <v>290</v>
      </c>
      <c r="D4745" s="197" t="s">
        <v>291</v>
      </c>
      <c r="E4745" s="199">
        <v>14.0</v>
      </c>
      <c r="F4745" s="200">
        <v>46049.58333333333</v>
      </c>
      <c r="G4745" s="197" t="s">
        <v>845</v>
      </c>
      <c r="H4745" s="197" t="s">
        <v>882</v>
      </c>
    </row>
    <row r="4746" ht="15.75" customHeight="1">
      <c r="A4746" s="197" t="s">
        <v>89</v>
      </c>
      <c r="B4746" s="197" t="s">
        <v>25</v>
      </c>
      <c r="C4746" s="198" t="s">
        <v>290</v>
      </c>
      <c r="D4746" s="197" t="s">
        <v>291</v>
      </c>
      <c r="E4746" s="199">
        <v>15.0</v>
      </c>
      <c r="F4746" s="200">
        <v>46052.54166666667</v>
      </c>
      <c r="G4746" s="197" t="s">
        <v>845</v>
      </c>
      <c r="H4746" s="197" t="s">
        <v>882</v>
      </c>
    </row>
    <row r="4747" ht="15.75" customHeight="1">
      <c r="A4747" s="197" t="s">
        <v>89</v>
      </c>
      <c r="B4747" s="197" t="s">
        <v>25</v>
      </c>
      <c r="C4747" s="198" t="s">
        <v>290</v>
      </c>
      <c r="D4747" s="197" t="s">
        <v>291</v>
      </c>
      <c r="E4747" s="199">
        <v>16.0</v>
      </c>
      <c r="F4747" s="200">
        <v>46108.54166666667</v>
      </c>
      <c r="G4747" s="197" t="s">
        <v>845</v>
      </c>
      <c r="H4747" s="197" t="s">
        <v>882</v>
      </c>
    </row>
    <row r="4748" ht="15.75" customHeight="1">
      <c r="A4748" s="197" t="s">
        <v>89</v>
      </c>
      <c r="B4748" s="197" t="s">
        <v>25</v>
      </c>
      <c r="C4748" s="198" t="s">
        <v>391</v>
      </c>
      <c r="D4748" s="197" t="s">
        <v>392</v>
      </c>
      <c r="E4748" s="199">
        <v>1.0</v>
      </c>
      <c r="F4748" s="200">
        <v>45916.45833333333</v>
      </c>
      <c r="G4748" s="197" t="s">
        <v>845</v>
      </c>
      <c r="H4748" s="197" t="s">
        <v>882</v>
      </c>
    </row>
    <row r="4749" ht="15.75" customHeight="1">
      <c r="A4749" s="197" t="s">
        <v>89</v>
      </c>
      <c r="B4749" s="197" t="s">
        <v>25</v>
      </c>
      <c r="C4749" s="198" t="s">
        <v>391</v>
      </c>
      <c r="D4749" s="197" t="s">
        <v>392</v>
      </c>
      <c r="E4749" s="199">
        <v>2.0</v>
      </c>
      <c r="F4749" s="200">
        <v>45925.54166666667</v>
      </c>
      <c r="G4749" s="197" t="s">
        <v>845</v>
      </c>
      <c r="H4749" s="197" t="s">
        <v>882</v>
      </c>
    </row>
    <row r="4750" ht="15.75" customHeight="1">
      <c r="A4750" s="197" t="s">
        <v>89</v>
      </c>
      <c r="B4750" s="197" t="s">
        <v>25</v>
      </c>
      <c r="C4750" s="198" t="s">
        <v>391</v>
      </c>
      <c r="D4750" s="197" t="s">
        <v>392</v>
      </c>
      <c r="E4750" s="199">
        <v>3.0</v>
      </c>
      <c r="F4750" s="200">
        <v>45931.58333333333</v>
      </c>
      <c r="G4750" s="197" t="s">
        <v>845</v>
      </c>
      <c r="H4750" s="197" t="s">
        <v>882</v>
      </c>
    </row>
    <row r="4751" ht="15.75" customHeight="1">
      <c r="A4751" s="197" t="s">
        <v>89</v>
      </c>
      <c r="B4751" s="197" t="s">
        <v>25</v>
      </c>
      <c r="C4751" s="198" t="s">
        <v>391</v>
      </c>
      <c r="D4751" s="197" t="s">
        <v>392</v>
      </c>
      <c r="E4751" s="199">
        <v>4.0</v>
      </c>
      <c r="F4751" s="200">
        <v>45938.54166666667</v>
      </c>
      <c r="G4751" s="197" t="s">
        <v>845</v>
      </c>
      <c r="H4751" s="197" t="s">
        <v>882</v>
      </c>
    </row>
    <row r="4752" ht="15.75" customHeight="1">
      <c r="A4752" s="197" t="s">
        <v>89</v>
      </c>
      <c r="B4752" s="197" t="s">
        <v>25</v>
      </c>
      <c r="C4752" s="198" t="s">
        <v>391</v>
      </c>
      <c r="D4752" s="197" t="s">
        <v>392</v>
      </c>
      <c r="E4752" s="199">
        <v>5.0</v>
      </c>
      <c r="F4752" s="200">
        <v>45953.54166666667</v>
      </c>
      <c r="G4752" s="197" t="s">
        <v>845</v>
      </c>
      <c r="H4752" s="197" t="s">
        <v>882</v>
      </c>
    </row>
    <row r="4753" ht="15.75" customHeight="1">
      <c r="A4753" s="197" t="s">
        <v>89</v>
      </c>
      <c r="B4753" s="197" t="s">
        <v>25</v>
      </c>
      <c r="C4753" s="198" t="s">
        <v>391</v>
      </c>
      <c r="D4753" s="197" t="s">
        <v>392</v>
      </c>
      <c r="E4753" s="199">
        <v>6.0</v>
      </c>
      <c r="F4753" s="200">
        <v>45960.54166666667</v>
      </c>
      <c r="G4753" s="197" t="s">
        <v>845</v>
      </c>
      <c r="H4753" s="197" t="s">
        <v>882</v>
      </c>
    </row>
    <row r="4754" ht="15.75" customHeight="1">
      <c r="A4754" s="197" t="s">
        <v>89</v>
      </c>
      <c r="B4754" s="197" t="s">
        <v>25</v>
      </c>
      <c r="C4754" s="198" t="s">
        <v>391</v>
      </c>
      <c r="D4754" s="197" t="s">
        <v>392</v>
      </c>
      <c r="E4754" s="199">
        <v>7.0</v>
      </c>
      <c r="F4754" s="200">
        <v>45967.54166666667</v>
      </c>
      <c r="G4754" s="197" t="s">
        <v>845</v>
      </c>
      <c r="H4754" s="197" t="s">
        <v>882</v>
      </c>
    </row>
    <row r="4755" ht="15.75" customHeight="1">
      <c r="A4755" s="197" t="s">
        <v>89</v>
      </c>
      <c r="B4755" s="197" t="s">
        <v>25</v>
      </c>
      <c r="C4755" s="198" t="s">
        <v>391</v>
      </c>
      <c r="D4755" s="197" t="s">
        <v>392</v>
      </c>
      <c r="E4755" s="199">
        <v>8.0</v>
      </c>
      <c r="F4755" s="200">
        <v>45982.54166666667</v>
      </c>
      <c r="G4755" s="197" t="s">
        <v>845</v>
      </c>
      <c r="H4755" s="197" t="s">
        <v>882</v>
      </c>
    </row>
    <row r="4756" ht="15.75" customHeight="1">
      <c r="A4756" s="197" t="s">
        <v>89</v>
      </c>
      <c r="B4756" s="197" t="s">
        <v>25</v>
      </c>
      <c r="C4756" s="198" t="s">
        <v>391</v>
      </c>
      <c r="D4756" s="197" t="s">
        <v>392</v>
      </c>
      <c r="E4756" s="199">
        <v>9.0</v>
      </c>
      <c r="F4756" s="200">
        <v>45989.54166666667</v>
      </c>
      <c r="G4756" s="197" t="s">
        <v>845</v>
      </c>
      <c r="H4756" s="197" t="s">
        <v>882</v>
      </c>
    </row>
    <row r="4757" ht="15.75" customHeight="1">
      <c r="A4757" s="197" t="s">
        <v>89</v>
      </c>
      <c r="B4757" s="197" t="s">
        <v>25</v>
      </c>
      <c r="C4757" s="198" t="s">
        <v>391</v>
      </c>
      <c r="D4757" s="197" t="s">
        <v>392</v>
      </c>
      <c r="E4757" s="199">
        <v>10.0</v>
      </c>
      <c r="F4757" s="200">
        <v>45996.54166666667</v>
      </c>
      <c r="G4757" s="197" t="s">
        <v>845</v>
      </c>
      <c r="H4757" s="197" t="s">
        <v>882</v>
      </c>
    </row>
    <row r="4758" ht="15.75" customHeight="1">
      <c r="A4758" s="197" t="s">
        <v>89</v>
      </c>
      <c r="B4758" s="197" t="s">
        <v>25</v>
      </c>
      <c r="C4758" s="198" t="s">
        <v>391</v>
      </c>
      <c r="D4758" s="197" t="s">
        <v>392</v>
      </c>
      <c r="E4758" s="199">
        <v>11.0</v>
      </c>
      <c r="F4758" s="200">
        <v>46010.54166666667</v>
      </c>
      <c r="G4758" s="197" t="s">
        <v>845</v>
      </c>
      <c r="H4758" s="197" t="s">
        <v>882</v>
      </c>
    </row>
    <row r="4759" ht="15.75" customHeight="1">
      <c r="A4759" s="197" t="s">
        <v>89</v>
      </c>
      <c r="B4759" s="197" t="s">
        <v>25</v>
      </c>
      <c r="C4759" s="198" t="s">
        <v>391</v>
      </c>
      <c r="D4759" s="197" t="s">
        <v>392</v>
      </c>
      <c r="E4759" s="199">
        <v>12.0</v>
      </c>
      <c r="F4759" s="200">
        <v>46038.54166666667</v>
      </c>
      <c r="G4759" s="197" t="s">
        <v>843</v>
      </c>
      <c r="H4759" s="197" t="s">
        <v>882</v>
      </c>
    </row>
    <row r="4760" ht="15.75" customHeight="1">
      <c r="A4760" s="197" t="s">
        <v>89</v>
      </c>
      <c r="B4760" s="197" t="s">
        <v>25</v>
      </c>
      <c r="C4760" s="198" t="s">
        <v>391</v>
      </c>
      <c r="D4760" s="197" t="s">
        <v>392</v>
      </c>
      <c r="E4760" s="199">
        <v>13.0</v>
      </c>
      <c r="F4760" s="200">
        <v>46049.58333333333</v>
      </c>
      <c r="G4760" s="197" t="s">
        <v>843</v>
      </c>
      <c r="H4760" s="197" t="s">
        <v>882</v>
      </c>
    </row>
    <row r="4761" ht="15.75" customHeight="1">
      <c r="A4761" s="197" t="s">
        <v>89</v>
      </c>
      <c r="B4761" s="197" t="s">
        <v>25</v>
      </c>
      <c r="C4761" s="198" t="s">
        <v>391</v>
      </c>
      <c r="D4761" s="197" t="s">
        <v>392</v>
      </c>
      <c r="E4761" s="199">
        <v>14.0</v>
      </c>
      <c r="F4761" s="200">
        <v>46049.58333333333</v>
      </c>
      <c r="G4761" s="197" t="s">
        <v>843</v>
      </c>
      <c r="H4761" s="197" t="s">
        <v>882</v>
      </c>
    </row>
    <row r="4762" ht="15.75" customHeight="1">
      <c r="A4762" s="197" t="s">
        <v>89</v>
      </c>
      <c r="B4762" s="197" t="s">
        <v>25</v>
      </c>
      <c r="C4762" s="198" t="s">
        <v>391</v>
      </c>
      <c r="D4762" s="197" t="s">
        <v>392</v>
      </c>
      <c r="E4762" s="199">
        <v>15.0</v>
      </c>
      <c r="F4762" s="200">
        <v>46052.54166666667</v>
      </c>
      <c r="G4762" s="197" t="s">
        <v>843</v>
      </c>
      <c r="H4762" s="197" t="s">
        <v>882</v>
      </c>
    </row>
    <row r="4763" ht="15.75" customHeight="1">
      <c r="A4763" s="197" t="s">
        <v>89</v>
      </c>
      <c r="B4763" s="197" t="s">
        <v>25</v>
      </c>
      <c r="C4763" s="198" t="s">
        <v>391</v>
      </c>
      <c r="D4763" s="197" t="s">
        <v>392</v>
      </c>
      <c r="E4763" s="199">
        <v>16.0</v>
      </c>
      <c r="F4763" s="200">
        <v>46108.54166666667</v>
      </c>
      <c r="G4763" s="197" t="s">
        <v>843</v>
      </c>
      <c r="H4763" s="197" t="s">
        <v>882</v>
      </c>
    </row>
    <row r="4764" ht="15.75" customHeight="1">
      <c r="A4764" s="197" t="s">
        <v>89</v>
      </c>
      <c r="B4764" s="197" t="s">
        <v>25</v>
      </c>
      <c r="C4764" s="198" t="s">
        <v>468</v>
      </c>
      <c r="D4764" s="197" t="s">
        <v>469</v>
      </c>
      <c r="E4764" s="199">
        <v>1.0</v>
      </c>
      <c r="F4764" s="200">
        <v>45916.45833333333</v>
      </c>
      <c r="G4764" s="197" t="s">
        <v>845</v>
      </c>
      <c r="H4764" s="197" t="s">
        <v>882</v>
      </c>
    </row>
    <row r="4765" ht="15.75" customHeight="1">
      <c r="A4765" s="197" t="s">
        <v>89</v>
      </c>
      <c r="B4765" s="197" t="s">
        <v>25</v>
      </c>
      <c r="C4765" s="198" t="s">
        <v>468</v>
      </c>
      <c r="D4765" s="197" t="s">
        <v>469</v>
      </c>
      <c r="E4765" s="199">
        <v>2.0</v>
      </c>
      <c r="F4765" s="200">
        <v>45925.54166666667</v>
      </c>
      <c r="G4765" s="197" t="s">
        <v>845</v>
      </c>
      <c r="H4765" s="197" t="s">
        <v>882</v>
      </c>
    </row>
    <row r="4766" ht="15.75" customHeight="1">
      <c r="A4766" s="197" t="s">
        <v>89</v>
      </c>
      <c r="B4766" s="197" t="s">
        <v>25</v>
      </c>
      <c r="C4766" s="198" t="s">
        <v>468</v>
      </c>
      <c r="D4766" s="197" t="s">
        <v>469</v>
      </c>
      <c r="E4766" s="199">
        <v>3.0</v>
      </c>
      <c r="F4766" s="200">
        <v>45931.58333333333</v>
      </c>
      <c r="G4766" s="197" t="s">
        <v>845</v>
      </c>
      <c r="H4766" s="197" t="s">
        <v>882</v>
      </c>
    </row>
    <row r="4767" ht="15.75" customHeight="1">
      <c r="A4767" s="197" t="s">
        <v>89</v>
      </c>
      <c r="B4767" s="197" t="s">
        <v>25</v>
      </c>
      <c r="C4767" s="198" t="s">
        <v>468</v>
      </c>
      <c r="D4767" s="197" t="s">
        <v>469</v>
      </c>
      <c r="E4767" s="199">
        <v>4.0</v>
      </c>
      <c r="F4767" s="200">
        <v>45938.54166666667</v>
      </c>
      <c r="G4767" s="197" t="s">
        <v>843</v>
      </c>
      <c r="H4767" s="197" t="s">
        <v>882</v>
      </c>
    </row>
    <row r="4768" ht="15.75" customHeight="1">
      <c r="A4768" s="197" t="s">
        <v>89</v>
      </c>
      <c r="B4768" s="197" t="s">
        <v>25</v>
      </c>
      <c r="C4768" s="198" t="s">
        <v>468</v>
      </c>
      <c r="D4768" s="197" t="s">
        <v>469</v>
      </c>
      <c r="E4768" s="199">
        <v>5.0</v>
      </c>
      <c r="F4768" s="200">
        <v>45953.54166666667</v>
      </c>
      <c r="G4768" s="197" t="s">
        <v>845</v>
      </c>
      <c r="H4768" s="197" t="s">
        <v>882</v>
      </c>
    </row>
    <row r="4769" ht="15.75" customHeight="1">
      <c r="A4769" s="197" t="s">
        <v>89</v>
      </c>
      <c r="B4769" s="197" t="s">
        <v>25</v>
      </c>
      <c r="C4769" s="198" t="s">
        <v>468</v>
      </c>
      <c r="D4769" s="197" t="s">
        <v>469</v>
      </c>
      <c r="E4769" s="199">
        <v>6.0</v>
      </c>
      <c r="F4769" s="200">
        <v>45960.54166666667</v>
      </c>
      <c r="G4769" s="197" t="s">
        <v>845</v>
      </c>
      <c r="H4769" s="197" t="s">
        <v>882</v>
      </c>
    </row>
    <row r="4770" ht="15.75" customHeight="1">
      <c r="A4770" s="197" t="s">
        <v>89</v>
      </c>
      <c r="B4770" s="197" t="s">
        <v>25</v>
      </c>
      <c r="C4770" s="198" t="s">
        <v>468</v>
      </c>
      <c r="D4770" s="197" t="s">
        <v>469</v>
      </c>
      <c r="E4770" s="199">
        <v>7.0</v>
      </c>
      <c r="F4770" s="200">
        <v>45967.54166666667</v>
      </c>
      <c r="G4770" s="197" t="s">
        <v>845</v>
      </c>
      <c r="H4770" s="197" t="s">
        <v>882</v>
      </c>
    </row>
    <row r="4771" ht="15.75" customHeight="1">
      <c r="A4771" s="197" t="s">
        <v>89</v>
      </c>
      <c r="B4771" s="197" t="s">
        <v>25</v>
      </c>
      <c r="C4771" s="198" t="s">
        <v>468</v>
      </c>
      <c r="D4771" s="197" t="s">
        <v>469</v>
      </c>
      <c r="E4771" s="199">
        <v>8.0</v>
      </c>
      <c r="F4771" s="200">
        <v>45982.54166666667</v>
      </c>
      <c r="G4771" s="197" t="s">
        <v>845</v>
      </c>
      <c r="H4771" s="197" t="s">
        <v>882</v>
      </c>
    </row>
    <row r="4772" ht="15.75" customHeight="1">
      <c r="A4772" s="197" t="s">
        <v>89</v>
      </c>
      <c r="B4772" s="197" t="s">
        <v>25</v>
      </c>
      <c r="C4772" s="198" t="s">
        <v>468</v>
      </c>
      <c r="D4772" s="197" t="s">
        <v>469</v>
      </c>
      <c r="E4772" s="199">
        <v>9.0</v>
      </c>
      <c r="F4772" s="200">
        <v>45989.54166666667</v>
      </c>
      <c r="G4772" s="197" t="s">
        <v>845</v>
      </c>
      <c r="H4772" s="197" t="s">
        <v>882</v>
      </c>
    </row>
    <row r="4773" ht="15.75" customHeight="1">
      <c r="A4773" s="197" t="s">
        <v>89</v>
      </c>
      <c r="B4773" s="197" t="s">
        <v>25</v>
      </c>
      <c r="C4773" s="198" t="s">
        <v>468</v>
      </c>
      <c r="D4773" s="197" t="s">
        <v>469</v>
      </c>
      <c r="E4773" s="199">
        <v>10.0</v>
      </c>
      <c r="F4773" s="200">
        <v>45996.54166666667</v>
      </c>
      <c r="G4773" s="197" t="s">
        <v>845</v>
      </c>
      <c r="H4773" s="197" t="s">
        <v>882</v>
      </c>
    </row>
    <row r="4774" ht="15.75" customHeight="1">
      <c r="A4774" s="197" t="s">
        <v>89</v>
      </c>
      <c r="B4774" s="197" t="s">
        <v>25</v>
      </c>
      <c r="C4774" s="198" t="s">
        <v>468</v>
      </c>
      <c r="D4774" s="197" t="s">
        <v>469</v>
      </c>
      <c r="E4774" s="199">
        <v>11.0</v>
      </c>
      <c r="F4774" s="200">
        <v>46010.54166666667</v>
      </c>
      <c r="G4774" s="197" t="s">
        <v>845</v>
      </c>
      <c r="H4774" s="197" t="s">
        <v>882</v>
      </c>
    </row>
    <row r="4775" ht="15.75" customHeight="1">
      <c r="A4775" s="197" t="s">
        <v>89</v>
      </c>
      <c r="B4775" s="197" t="s">
        <v>25</v>
      </c>
      <c r="C4775" s="198" t="s">
        <v>468</v>
      </c>
      <c r="D4775" s="197" t="s">
        <v>469</v>
      </c>
      <c r="E4775" s="199">
        <v>12.0</v>
      </c>
      <c r="F4775" s="200">
        <v>46038.54166666667</v>
      </c>
      <c r="G4775" s="197" t="s">
        <v>845</v>
      </c>
      <c r="H4775" s="197" t="s">
        <v>882</v>
      </c>
    </row>
    <row r="4776" ht="15.75" customHeight="1">
      <c r="A4776" s="197" t="s">
        <v>89</v>
      </c>
      <c r="B4776" s="197" t="s">
        <v>25</v>
      </c>
      <c r="C4776" s="198" t="s">
        <v>468</v>
      </c>
      <c r="D4776" s="197" t="s">
        <v>469</v>
      </c>
      <c r="E4776" s="199">
        <v>13.0</v>
      </c>
      <c r="F4776" s="200">
        <v>46049.58333333333</v>
      </c>
      <c r="G4776" s="197" t="s">
        <v>845</v>
      </c>
      <c r="H4776" s="197" t="s">
        <v>882</v>
      </c>
    </row>
    <row r="4777" ht="15.75" customHeight="1">
      <c r="A4777" s="197" t="s">
        <v>89</v>
      </c>
      <c r="B4777" s="197" t="s">
        <v>25</v>
      </c>
      <c r="C4777" s="198" t="s">
        <v>468</v>
      </c>
      <c r="D4777" s="197" t="s">
        <v>469</v>
      </c>
      <c r="E4777" s="199">
        <v>14.0</v>
      </c>
      <c r="F4777" s="200">
        <v>46049.58333333333</v>
      </c>
      <c r="G4777" s="197" t="s">
        <v>845</v>
      </c>
      <c r="H4777" s="197" t="s">
        <v>882</v>
      </c>
    </row>
    <row r="4778" ht="15.75" customHeight="1">
      <c r="A4778" s="197" t="s">
        <v>89</v>
      </c>
      <c r="B4778" s="197" t="s">
        <v>25</v>
      </c>
      <c r="C4778" s="198" t="s">
        <v>468</v>
      </c>
      <c r="D4778" s="197" t="s">
        <v>469</v>
      </c>
      <c r="E4778" s="199">
        <v>15.0</v>
      </c>
      <c r="F4778" s="200">
        <v>46052.54166666667</v>
      </c>
      <c r="G4778" s="197" t="s">
        <v>845</v>
      </c>
      <c r="H4778" s="197" t="s">
        <v>882</v>
      </c>
    </row>
    <row r="4779" ht="15.75" customHeight="1">
      <c r="A4779" s="197" t="s">
        <v>89</v>
      </c>
      <c r="B4779" s="197" t="s">
        <v>25</v>
      </c>
      <c r="C4779" s="198" t="s">
        <v>468</v>
      </c>
      <c r="D4779" s="197" t="s">
        <v>469</v>
      </c>
      <c r="E4779" s="199">
        <v>16.0</v>
      </c>
      <c r="F4779" s="200">
        <v>46108.54166666667</v>
      </c>
      <c r="G4779" s="197" t="s">
        <v>845</v>
      </c>
      <c r="H4779" s="197" t="s">
        <v>882</v>
      </c>
    </row>
    <row r="4780" ht="15.75" customHeight="1">
      <c r="A4780" s="197" t="s">
        <v>89</v>
      </c>
      <c r="B4780" s="197" t="s">
        <v>25</v>
      </c>
      <c r="C4780" s="198" t="s">
        <v>516</v>
      </c>
      <c r="D4780" s="197" t="s">
        <v>517</v>
      </c>
      <c r="E4780" s="199">
        <v>1.0</v>
      </c>
      <c r="F4780" s="200">
        <v>45916.45833333333</v>
      </c>
      <c r="G4780" s="197" t="s">
        <v>845</v>
      </c>
      <c r="H4780" s="197" t="s">
        <v>882</v>
      </c>
    </row>
    <row r="4781" ht="15.75" customHeight="1">
      <c r="A4781" s="197" t="s">
        <v>89</v>
      </c>
      <c r="B4781" s="197" t="s">
        <v>25</v>
      </c>
      <c r="C4781" s="198" t="s">
        <v>516</v>
      </c>
      <c r="D4781" s="197" t="s">
        <v>517</v>
      </c>
      <c r="E4781" s="199">
        <v>2.0</v>
      </c>
      <c r="F4781" s="200">
        <v>45925.54166666667</v>
      </c>
      <c r="G4781" s="197" t="s">
        <v>843</v>
      </c>
      <c r="H4781" s="197" t="s">
        <v>882</v>
      </c>
    </row>
    <row r="4782" ht="15.75" customHeight="1">
      <c r="A4782" s="197" t="s">
        <v>89</v>
      </c>
      <c r="B4782" s="197" t="s">
        <v>25</v>
      </c>
      <c r="C4782" s="198" t="s">
        <v>516</v>
      </c>
      <c r="D4782" s="197" t="s">
        <v>517</v>
      </c>
      <c r="E4782" s="199">
        <v>3.0</v>
      </c>
      <c r="F4782" s="200">
        <v>45931.58333333333</v>
      </c>
      <c r="G4782" s="197" t="s">
        <v>845</v>
      </c>
      <c r="H4782" s="197" t="s">
        <v>882</v>
      </c>
    </row>
    <row r="4783" ht="15.75" customHeight="1">
      <c r="A4783" s="197" t="s">
        <v>89</v>
      </c>
      <c r="B4783" s="197" t="s">
        <v>25</v>
      </c>
      <c r="C4783" s="198" t="s">
        <v>516</v>
      </c>
      <c r="D4783" s="197" t="s">
        <v>517</v>
      </c>
      <c r="E4783" s="199">
        <v>4.0</v>
      </c>
      <c r="F4783" s="200">
        <v>45938.54166666667</v>
      </c>
      <c r="G4783" s="197" t="s">
        <v>845</v>
      </c>
      <c r="H4783" s="197" t="s">
        <v>882</v>
      </c>
    </row>
    <row r="4784" ht="15.75" customHeight="1">
      <c r="A4784" s="197" t="s">
        <v>89</v>
      </c>
      <c r="B4784" s="197" t="s">
        <v>25</v>
      </c>
      <c r="C4784" s="198" t="s">
        <v>516</v>
      </c>
      <c r="D4784" s="197" t="s">
        <v>517</v>
      </c>
      <c r="E4784" s="199">
        <v>5.0</v>
      </c>
      <c r="F4784" s="200">
        <v>45953.54166666667</v>
      </c>
      <c r="G4784" s="197" t="s">
        <v>845</v>
      </c>
      <c r="H4784" s="197" t="s">
        <v>882</v>
      </c>
    </row>
    <row r="4785" ht="15.75" customHeight="1">
      <c r="A4785" s="197" t="s">
        <v>89</v>
      </c>
      <c r="B4785" s="197" t="s">
        <v>25</v>
      </c>
      <c r="C4785" s="198" t="s">
        <v>516</v>
      </c>
      <c r="D4785" s="197" t="s">
        <v>517</v>
      </c>
      <c r="E4785" s="199">
        <v>6.0</v>
      </c>
      <c r="F4785" s="200">
        <v>45960.54166666667</v>
      </c>
      <c r="G4785" s="197" t="s">
        <v>843</v>
      </c>
      <c r="H4785" s="197" t="s">
        <v>882</v>
      </c>
    </row>
    <row r="4786" ht="15.75" customHeight="1">
      <c r="A4786" s="197" t="s">
        <v>89</v>
      </c>
      <c r="B4786" s="197" t="s">
        <v>25</v>
      </c>
      <c r="C4786" s="198" t="s">
        <v>516</v>
      </c>
      <c r="D4786" s="197" t="s">
        <v>517</v>
      </c>
      <c r="E4786" s="199">
        <v>7.0</v>
      </c>
      <c r="F4786" s="200">
        <v>45967.54166666667</v>
      </c>
      <c r="G4786" s="197" t="s">
        <v>845</v>
      </c>
      <c r="H4786" s="197" t="s">
        <v>882</v>
      </c>
    </row>
    <row r="4787" ht="15.75" customHeight="1">
      <c r="A4787" s="197" t="s">
        <v>89</v>
      </c>
      <c r="B4787" s="197" t="s">
        <v>25</v>
      </c>
      <c r="C4787" s="198" t="s">
        <v>516</v>
      </c>
      <c r="D4787" s="197" t="s">
        <v>517</v>
      </c>
      <c r="E4787" s="199">
        <v>8.0</v>
      </c>
      <c r="F4787" s="200">
        <v>45982.54166666667</v>
      </c>
      <c r="G4787" s="197" t="s">
        <v>845</v>
      </c>
      <c r="H4787" s="197" t="s">
        <v>882</v>
      </c>
    </row>
    <row r="4788" ht="15.75" customHeight="1">
      <c r="A4788" s="197" t="s">
        <v>89</v>
      </c>
      <c r="B4788" s="197" t="s">
        <v>25</v>
      </c>
      <c r="C4788" s="198" t="s">
        <v>516</v>
      </c>
      <c r="D4788" s="197" t="s">
        <v>517</v>
      </c>
      <c r="E4788" s="199">
        <v>9.0</v>
      </c>
      <c r="F4788" s="200">
        <v>45989.54166666667</v>
      </c>
      <c r="G4788" s="197" t="s">
        <v>845</v>
      </c>
      <c r="H4788" s="197" t="s">
        <v>882</v>
      </c>
    </row>
    <row r="4789" ht="15.75" customHeight="1">
      <c r="A4789" s="197" t="s">
        <v>89</v>
      </c>
      <c r="B4789" s="197" t="s">
        <v>25</v>
      </c>
      <c r="C4789" s="198" t="s">
        <v>516</v>
      </c>
      <c r="D4789" s="197" t="s">
        <v>517</v>
      </c>
      <c r="E4789" s="199">
        <v>10.0</v>
      </c>
      <c r="F4789" s="200">
        <v>45996.54166666667</v>
      </c>
      <c r="G4789" s="197" t="s">
        <v>845</v>
      </c>
      <c r="H4789" s="197" t="s">
        <v>882</v>
      </c>
    </row>
    <row r="4790" ht="15.75" customHeight="1">
      <c r="A4790" s="197" t="s">
        <v>89</v>
      </c>
      <c r="B4790" s="197" t="s">
        <v>25</v>
      </c>
      <c r="C4790" s="198" t="s">
        <v>516</v>
      </c>
      <c r="D4790" s="197" t="s">
        <v>517</v>
      </c>
      <c r="E4790" s="199">
        <v>11.0</v>
      </c>
      <c r="F4790" s="200">
        <v>46010.54166666667</v>
      </c>
      <c r="G4790" s="197" t="s">
        <v>845</v>
      </c>
      <c r="H4790" s="197" t="s">
        <v>882</v>
      </c>
    </row>
    <row r="4791" ht="15.75" customHeight="1">
      <c r="A4791" s="197" t="s">
        <v>89</v>
      </c>
      <c r="B4791" s="197" t="s">
        <v>25</v>
      </c>
      <c r="C4791" s="198" t="s">
        <v>516</v>
      </c>
      <c r="D4791" s="197" t="s">
        <v>517</v>
      </c>
      <c r="E4791" s="199">
        <v>12.0</v>
      </c>
      <c r="F4791" s="200">
        <v>46038.54166666667</v>
      </c>
      <c r="G4791" s="197" t="s">
        <v>845</v>
      </c>
      <c r="H4791" s="197" t="s">
        <v>882</v>
      </c>
    </row>
    <row r="4792" ht="15.75" customHeight="1">
      <c r="A4792" s="197" t="s">
        <v>89</v>
      </c>
      <c r="B4792" s="197" t="s">
        <v>25</v>
      </c>
      <c r="C4792" s="198" t="s">
        <v>516</v>
      </c>
      <c r="D4792" s="197" t="s">
        <v>517</v>
      </c>
      <c r="E4792" s="199">
        <v>13.0</v>
      </c>
      <c r="F4792" s="200">
        <v>46049.58333333333</v>
      </c>
      <c r="G4792" s="197" t="s">
        <v>843</v>
      </c>
      <c r="H4792" s="197" t="s">
        <v>882</v>
      </c>
    </row>
    <row r="4793" ht="15.75" customHeight="1">
      <c r="A4793" s="197" t="s">
        <v>89</v>
      </c>
      <c r="B4793" s="197" t="s">
        <v>25</v>
      </c>
      <c r="C4793" s="198" t="s">
        <v>516</v>
      </c>
      <c r="D4793" s="197" t="s">
        <v>517</v>
      </c>
      <c r="E4793" s="199">
        <v>14.0</v>
      </c>
      <c r="F4793" s="200">
        <v>46049.58333333333</v>
      </c>
      <c r="G4793" s="197" t="s">
        <v>843</v>
      </c>
      <c r="H4793" s="197" t="s">
        <v>882</v>
      </c>
    </row>
    <row r="4794" ht="15.75" customHeight="1">
      <c r="A4794" s="197" t="s">
        <v>89</v>
      </c>
      <c r="B4794" s="197" t="s">
        <v>25</v>
      </c>
      <c r="C4794" s="198" t="s">
        <v>516</v>
      </c>
      <c r="D4794" s="197" t="s">
        <v>517</v>
      </c>
      <c r="E4794" s="199">
        <v>15.0</v>
      </c>
      <c r="F4794" s="200">
        <v>46052.54166666667</v>
      </c>
      <c r="G4794" s="197" t="s">
        <v>845</v>
      </c>
      <c r="H4794" s="197" t="s">
        <v>882</v>
      </c>
    </row>
    <row r="4795" ht="15.75" customHeight="1">
      <c r="A4795" s="197" t="s">
        <v>89</v>
      </c>
      <c r="B4795" s="197" t="s">
        <v>25</v>
      </c>
      <c r="C4795" s="198" t="s">
        <v>516</v>
      </c>
      <c r="D4795" s="197" t="s">
        <v>517</v>
      </c>
      <c r="E4795" s="199">
        <v>16.0</v>
      </c>
      <c r="F4795" s="200">
        <v>46108.54166666667</v>
      </c>
      <c r="G4795" s="197" t="s">
        <v>845</v>
      </c>
      <c r="H4795" s="197" t="s">
        <v>882</v>
      </c>
    </row>
    <row r="4796" ht="15.75" customHeight="1">
      <c r="A4796" s="197" t="s">
        <v>89</v>
      </c>
      <c r="B4796" s="197" t="s">
        <v>26</v>
      </c>
      <c r="C4796" s="198" t="s">
        <v>545</v>
      </c>
      <c r="D4796" s="197" t="s">
        <v>546</v>
      </c>
      <c r="E4796" s="199">
        <v>1.0</v>
      </c>
      <c r="F4796" s="200">
        <v>46126.58333333333</v>
      </c>
      <c r="G4796" s="197" t="s">
        <v>845</v>
      </c>
      <c r="H4796" s="197" t="s">
        <v>882</v>
      </c>
    </row>
    <row r="4797" ht="15.75" customHeight="1">
      <c r="A4797" s="197" t="s">
        <v>89</v>
      </c>
      <c r="B4797" s="197" t="s">
        <v>26</v>
      </c>
      <c r="C4797" s="198" t="s">
        <v>545</v>
      </c>
      <c r="D4797" s="197" t="s">
        <v>546</v>
      </c>
      <c r="E4797" s="199">
        <v>2.0</v>
      </c>
      <c r="F4797" s="200">
        <v>46129.58333333333</v>
      </c>
      <c r="G4797" s="197" t="s">
        <v>845</v>
      </c>
      <c r="H4797" s="197" t="s">
        <v>882</v>
      </c>
    </row>
    <row r="4798" ht="15.75" customHeight="1">
      <c r="A4798" s="197" t="s">
        <v>89</v>
      </c>
      <c r="B4798" s="197" t="s">
        <v>25</v>
      </c>
      <c r="C4798" s="198" t="s">
        <v>545</v>
      </c>
      <c r="D4798" s="197" t="s">
        <v>546</v>
      </c>
      <c r="E4798" s="199">
        <v>1.0</v>
      </c>
      <c r="F4798" s="200">
        <v>45916.45833333333</v>
      </c>
      <c r="G4798" s="197" t="s">
        <v>845</v>
      </c>
      <c r="H4798" s="197" t="s">
        <v>882</v>
      </c>
    </row>
    <row r="4799" ht="15.75" customHeight="1">
      <c r="A4799" s="197" t="s">
        <v>89</v>
      </c>
      <c r="B4799" s="197" t="s">
        <v>25</v>
      </c>
      <c r="C4799" s="198" t="s">
        <v>545</v>
      </c>
      <c r="D4799" s="197" t="s">
        <v>546</v>
      </c>
      <c r="E4799" s="199">
        <v>2.0</v>
      </c>
      <c r="F4799" s="200">
        <v>45925.54166666667</v>
      </c>
      <c r="G4799" s="197" t="s">
        <v>845</v>
      </c>
      <c r="H4799" s="197" t="s">
        <v>882</v>
      </c>
    </row>
    <row r="4800" ht="15.75" customHeight="1">
      <c r="A4800" s="197" t="s">
        <v>89</v>
      </c>
      <c r="B4800" s="197" t="s">
        <v>25</v>
      </c>
      <c r="C4800" s="198" t="s">
        <v>545</v>
      </c>
      <c r="D4800" s="197" t="s">
        <v>546</v>
      </c>
      <c r="E4800" s="199">
        <v>3.0</v>
      </c>
      <c r="F4800" s="200">
        <v>45931.58333333333</v>
      </c>
      <c r="G4800" s="197" t="s">
        <v>843</v>
      </c>
      <c r="H4800" s="197" t="s">
        <v>882</v>
      </c>
    </row>
    <row r="4801" ht="15.75" customHeight="1">
      <c r="A4801" s="197" t="s">
        <v>89</v>
      </c>
      <c r="B4801" s="197" t="s">
        <v>25</v>
      </c>
      <c r="C4801" s="198" t="s">
        <v>545</v>
      </c>
      <c r="D4801" s="197" t="s">
        <v>546</v>
      </c>
      <c r="E4801" s="199">
        <v>4.0</v>
      </c>
      <c r="F4801" s="200">
        <v>45938.54166666667</v>
      </c>
      <c r="G4801" s="197" t="s">
        <v>845</v>
      </c>
      <c r="H4801" s="197" t="s">
        <v>882</v>
      </c>
    </row>
    <row r="4802" ht="15.75" customHeight="1">
      <c r="A4802" s="197" t="s">
        <v>89</v>
      </c>
      <c r="B4802" s="197" t="s">
        <v>25</v>
      </c>
      <c r="C4802" s="198" t="s">
        <v>545</v>
      </c>
      <c r="D4802" s="197" t="s">
        <v>546</v>
      </c>
      <c r="E4802" s="199">
        <v>5.0</v>
      </c>
      <c r="F4802" s="200">
        <v>45953.54166666667</v>
      </c>
      <c r="G4802" s="197" t="s">
        <v>845</v>
      </c>
      <c r="H4802" s="197" t="s">
        <v>882</v>
      </c>
    </row>
    <row r="4803" ht="15.75" customHeight="1">
      <c r="A4803" s="197" t="s">
        <v>89</v>
      </c>
      <c r="B4803" s="197" t="s">
        <v>25</v>
      </c>
      <c r="C4803" s="198" t="s">
        <v>545</v>
      </c>
      <c r="D4803" s="197" t="s">
        <v>546</v>
      </c>
      <c r="E4803" s="199">
        <v>6.0</v>
      </c>
      <c r="F4803" s="200">
        <v>45960.54166666667</v>
      </c>
      <c r="G4803" s="197" t="s">
        <v>845</v>
      </c>
      <c r="H4803" s="197" t="s">
        <v>882</v>
      </c>
    </row>
    <row r="4804" ht="15.75" customHeight="1">
      <c r="A4804" s="197" t="s">
        <v>89</v>
      </c>
      <c r="B4804" s="197" t="s">
        <v>25</v>
      </c>
      <c r="C4804" s="198" t="s">
        <v>545</v>
      </c>
      <c r="D4804" s="197" t="s">
        <v>546</v>
      </c>
      <c r="E4804" s="199">
        <v>7.0</v>
      </c>
      <c r="F4804" s="200">
        <v>45967.54166666667</v>
      </c>
      <c r="G4804" s="197" t="s">
        <v>845</v>
      </c>
      <c r="H4804" s="197" t="s">
        <v>882</v>
      </c>
    </row>
    <row r="4805" ht="15.75" customHeight="1">
      <c r="A4805" s="197" t="s">
        <v>89</v>
      </c>
      <c r="B4805" s="197" t="s">
        <v>25</v>
      </c>
      <c r="C4805" s="198" t="s">
        <v>545</v>
      </c>
      <c r="D4805" s="197" t="s">
        <v>546</v>
      </c>
      <c r="E4805" s="199">
        <v>8.0</v>
      </c>
      <c r="F4805" s="200">
        <v>45982.54166666667</v>
      </c>
      <c r="G4805" s="197" t="s">
        <v>845</v>
      </c>
      <c r="H4805" s="197" t="s">
        <v>882</v>
      </c>
    </row>
    <row r="4806" ht="15.75" customHeight="1">
      <c r="A4806" s="197" t="s">
        <v>89</v>
      </c>
      <c r="B4806" s="197" t="s">
        <v>25</v>
      </c>
      <c r="C4806" s="198" t="s">
        <v>545</v>
      </c>
      <c r="D4806" s="197" t="s">
        <v>546</v>
      </c>
      <c r="E4806" s="199">
        <v>9.0</v>
      </c>
      <c r="F4806" s="200">
        <v>45989.54166666667</v>
      </c>
      <c r="G4806" s="197" t="s">
        <v>845</v>
      </c>
      <c r="H4806" s="197" t="s">
        <v>882</v>
      </c>
    </row>
    <row r="4807" ht="15.75" customHeight="1">
      <c r="A4807" s="197" t="s">
        <v>89</v>
      </c>
      <c r="B4807" s="197" t="s">
        <v>25</v>
      </c>
      <c r="C4807" s="198" t="s">
        <v>545</v>
      </c>
      <c r="D4807" s="197" t="s">
        <v>546</v>
      </c>
      <c r="E4807" s="199">
        <v>10.0</v>
      </c>
      <c r="F4807" s="200">
        <v>45996.54166666667</v>
      </c>
      <c r="G4807" s="197" t="s">
        <v>845</v>
      </c>
      <c r="H4807" s="197" t="s">
        <v>882</v>
      </c>
    </row>
    <row r="4808" ht="15.75" customHeight="1">
      <c r="A4808" s="197" t="s">
        <v>89</v>
      </c>
      <c r="B4808" s="197" t="s">
        <v>25</v>
      </c>
      <c r="C4808" s="198" t="s">
        <v>545</v>
      </c>
      <c r="D4808" s="197" t="s">
        <v>546</v>
      </c>
      <c r="E4808" s="199">
        <v>11.0</v>
      </c>
      <c r="F4808" s="200">
        <v>46010.54166666667</v>
      </c>
      <c r="G4808" s="197" t="s">
        <v>845</v>
      </c>
      <c r="H4808" s="197" t="s">
        <v>882</v>
      </c>
    </row>
    <row r="4809" ht="15.75" customHeight="1">
      <c r="A4809" s="197" t="s">
        <v>89</v>
      </c>
      <c r="B4809" s="197" t="s">
        <v>25</v>
      </c>
      <c r="C4809" s="198" t="s">
        <v>545</v>
      </c>
      <c r="D4809" s="197" t="s">
        <v>546</v>
      </c>
      <c r="E4809" s="199">
        <v>12.0</v>
      </c>
      <c r="F4809" s="200">
        <v>46038.54166666667</v>
      </c>
      <c r="G4809" s="197" t="s">
        <v>845</v>
      </c>
      <c r="H4809" s="197" t="s">
        <v>882</v>
      </c>
    </row>
    <row r="4810" ht="15.75" customHeight="1">
      <c r="A4810" s="197" t="s">
        <v>89</v>
      </c>
      <c r="B4810" s="197" t="s">
        <v>25</v>
      </c>
      <c r="C4810" s="198" t="s">
        <v>545</v>
      </c>
      <c r="D4810" s="197" t="s">
        <v>546</v>
      </c>
      <c r="E4810" s="199">
        <v>13.0</v>
      </c>
      <c r="F4810" s="200">
        <v>46049.58333333333</v>
      </c>
      <c r="G4810" s="197" t="s">
        <v>845</v>
      </c>
      <c r="H4810" s="197" t="s">
        <v>882</v>
      </c>
    </row>
    <row r="4811" ht="15.75" customHeight="1">
      <c r="A4811" s="197" t="s">
        <v>89</v>
      </c>
      <c r="B4811" s="197" t="s">
        <v>25</v>
      </c>
      <c r="C4811" s="198" t="s">
        <v>545</v>
      </c>
      <c r="D4811" s="197" t="s">
        <v>546</v>
      </c>
      <c r="E4811" s="199">
        <v>14.0</v>
      </c>
      <c r="F4811" s="200">
        <v>46049.58333333333</v>
      </c>
      <c r="G4811" s="197" t="s">
        <v>845</v>
      </c>
      <c r="H4811" s="197" t="s">
        <v>882</v>
      </c>
    </row>
    <row r="4812" ht="15.75" customHeight="1">
      <c r="A4812" s="197" t="s">
        <v>89</v>
      </c>
      <c r="B4812" s="197" t="s">
        <v>25</v>
      </c>
      <c r="C4812" s="198" t="s">
        <v>545</v>
      </c>
      <c r="D4812" s="197" t="s">
        <v>546</v>
      </c>
      <c r="E4812" s="199">
        <v>15.0</v>
      </c>
      <c r="F4812" s="200">
        <v>46052.54166666667</v>
      </c>
      <c r="G4812" s="197" t="s">
        <v>845</v>
      </c>
      <c r="H4812" s="197" t="s">
        <v>882</v>
      </c>
    </row>
    <row r="4813" ht="15.75" customHeight="1">
      <c r="A4813" s="197" t="s">
        <v>89</v>
      </c>
      <c r="B4813" s="197" t="s">
        <v>25</v>
      </c>
      <c r="C4813" s="198" t="s">
        <v>545</v>
      </c>
      <c r="D4813" s="197" t="s">
        <v>546</v>
      </c>
      <c r="E4813" s="199">
        <v>16.0</v>
      </c>
      <c r="F4813" s="200">
        <v>46108.54166666667</v>
      </c>
      <c r="G4813" s="197" t="s">
        <v>845</v>
      </c>
      <c r="H4813" s="197" t="s">
        <v>882</v>
      </c>
    </row>
    <row r="4814" ht="15.75" customHeight="1">
      <c r="A4814" s="197" t="s">
        <v>89</v>
      </c>
      <c r="B4814" s="197" t="s">
        <v>26</v>
      </c>
      <c r="C4814" s="198" t="s">
        <v>558</v>
      </c>
      <c r="D4814" s="197" t="s">
        <v>559</v>
      </c>
      <c r="E4814" s="199">
        <v>1.0</v>
      </c>
      <c r="F4814" s="200">
        <v>46126.58333333333</v>
      </c>
      <c r="G4814" s="197" t="s">
        <v>845</v>
      </c>
      <c r="H4814" s="197" t="s">
        <v>882</v>
      </c>
    </row>
    <row r="4815" ht="15.75" customHeight="1">
      <c r="A4815" s="197" t="s">
        <v>89</v>
      </c>
      <c r="B4815" s="197" t="s">
        <v>26</v>
      </c>
      <c r="C4815" s="198" t="s">
        <v>558</v>
      </c>
      <c r="D4815" s="197" t="s">
        <v>559</v>
      </c>
      <c r="E4815" s="199">
        <v>2.0</v>
      </c>
      <c r="F4815" s="200">
        <v>46129.58333333333</v>
      </c>
      <c r="G4815" s="197" t="s">
        <v>845</v>
      </c>
      <c r="H4815" s="197" t="s">
        <v>882</v>
      </c>
    </row>
    <row r="4816" ht="15.75" customHeight="1">
      <c r="A4816" s="197" t="s">
        <v>89</v>
      </c>
      <c r="B4816" s="197" t="s">
        <v>25</v>
      </c>
      <c r="C4816" s="198" t="s">
        <v>558</v>
      </c>
      <c r="D4816" s="197" t="s">
        <v>559</v>
      </c>
      <c r="E4816" s="199">
        <v>1.0</v>
      </c>
      <c r="F4816" s="200">
        <v>45916.45833333333</v>
      </c>
      <c r="G4816" s="197" t="s">
        <v>845</v>
      </c>
      <c r="H4816" s="197" t="s">
        <v>882</v>
      </c>
    </row>
    <row r="4817" ht="15.75" customHeight="1">
      <c r="A4817" s="197" t="s">
        <v>89</v>
      </c>
      <c r="B4817" s="197" t="s">
        <v>25</v>
      </c>
      <c r="C4817" s="198" t="s">
        <v>558</v>
      </c>
      <c r="D4817" s="197" t="s">
        <v>559</v>
      </c>
      <c r="E4817" s="199">
        <v>2.0</v>
      </c>
      <c r="F4817" s="200">
        <v>45925.54166666667</v>
      </c>
      <c r="G4817" s="197" t="s">
        <v>845</v>
      </c>
      <c r="H4817" s="197" t="s">
        <v>882</v>
      </c>
    </row>
    <row r="4818" ht="15.75" customHeight="1">
      <c r="A4818" s="197" t="s">
        <v>89</v>
      </c>
      <c r="B4818" s="197" t="s">
        <v>25</v>
      </c>
      <c r="C4818" s="198" t="s">
        <v>558</v>
      </c>
      <c r="D4818" s="197" t="s">
        <v>559</v>
      </c>
      <c r="E4818" s="199">
        <v>3.0</v>
      </c>
      <c r="F4818" s="200">
        <v>45931.58333333333</v>
      </c>
      <c r="G4818" s="197" t="s">
        <v>845</v>
      </c>
      <c r="H4818" s="197" t="s">
        <v>882</v>
      </c>
    </row>
    <row r="4819" ht="15.75" customHeight="1">
      <c r="A4819" s="197" t="s">
        <v>89</v>
      </c>
      <c r="B4819" s="197" t="s">
        <v>25</v>
      </c>
      <c r="C4819" s="198" t="s">
        <v>558</v>
      </c>
      <c r="D4819" s="197" t="s">
        <v>559</v>
      </c>
      <c r="E4819" s="199">
        <v>4.0</v>
      </c>
      <c r="F4819" s="200">
        <v>45938.54166666667</v>
      </c>
      <c r="G4819" s="197" t="s">
        <v>845</v>
      </c>
      <c r="H4819" s="197" t="s">
        <v>882</v>
      </c>
    </row>
    <row r="4820" ht="15.75" customHeight="1">
      <c r="A4820" s="197" t="s">
        <v>89</v>
      </c>
      <c r="B4820" s="197" t="s">
        <v>25</v>
      </c>
      <c r="C4820" s="198" t="s">
        <v>558</v>
      </c>
      <c r="D4820" s="197" t="s">
        <v>559</v>
      </c>
      <c r="E4820" s="199">
        <v>5.0</v>
      </c>
      <c r="F4820" s="200">
        <v>45953.54166666667</v>
      </c>
      <c r="G4820" s="197" t="s">
        <v>845</v>
      </c>
      <c r="H4820" s="197" t="s">
        <v>882</v>
      </c>
    </row>
    <row r="4821" ht="15.75" customHeight="1">
      <c r="A4821" s="197" t="s">
        <v>89</v>
      </c>
      <c r="B4821" s="197" t="s">
        <v>25</v>
      </c>
      <c r="C4821" s="198" t="s">
        <v>558</v>
      </c>
      <c r="D4821" s="197" t="s">
        <v>559</v>
      </c>
      <c r="E4821" s="199">
        <v>6.0</v>
      </c>
      <c r="F4821" s="200">
        <v>45960.54166666667</v>
      </c>
      <c r="G4821" s="197" t="s">
        <v>845</v>
      </c>
      <c r="H4821" s="197" t="s">
        <v>882</v>
      </c>
    </row>
    <row r="4822" ht="15.75" customHeight="1">
      <c r="A4822" s="197" t="s">
        <v>89</v>
      </c>
      <c r="B4822" s="197" t="s">
        <v>25</v>
      </c>
      <c r="C4822" s="198" t="s">
        <v>558</v>
      </c>
      <c r="D4822" s="197" t="s">
        <v>559</v>
      </c>
      <c r="E4822" s="199">
        <v>7.0</v>
      </c>
      <c r="F4822" s="200">
        <v>45967.54166666667</v>
      </c>
      <c r="G4822" s="197" t="s">
        <v>845</v>
      </c>
      <c r="H4822" s="197" t="s">
        <v>882</v>
      </c>
    </row>
    <row r="4823" ht="15.75" customHeight="1">
      <c r="A4823" s="197" t="s">
        <v>89</v>
      </c>
      <c r="B4823" s="197" t="s">
        <v>25</v>
      </c>
      <c r="C4823" s="198" t="s">
        <v>558</v>
      </c>
      <c r="D4823" s="197" t="s">
        <v>559</v>
      </c>
      <c r="E4823" s="199">
        <v>8.0</v>
      </c>
      <c r="F4823" s="200">
        <v>45982.54166666667</v>
      </c>
      <c r="G4823" s="197" t="s">
        <v>845</v>
      </c>
      <c r="H4823" s="197" t="s">
        <v>882</v>
      </c>
    </row>
    <row r="4824" ht="15.75" customHeight="1">
      <c r="A4824" s="197" t="s">
        <v>89</v>
      </c>
      <c r="B4824" s="197" t="s">
        <v>25</v>
      </c>
      <c r="C4824" s="198" t="s">
        <v>558</v>
      </c>
      <c r="D4824" s="197" t="s">
        <v>559</v>
      </c>
      <c r="E4824" s="199">
        <v>9.0</v>
      </c>
      <c r="F4824" s="200">
        <v>45989.54166666667</v>
      </c>
      <c r="G4824" s="197" t="s">
        <v>845</v>
      </c>
      <c r="H4824" s="197" t="s">
        <v>882</v>
      </c>
    </row>
    <row r="4825" ht="15.75" customHeight="1">
      <c r="A4825" s="197" t="s">
        <v>89</v>
      </c>
      <c r="B4825" s="197" t="s">
        <v>25</v>
      </c>
      <c r="C4825" s="198" t="s">
        <v>558</v>
      </c>
      <c r="D4825" s="197" t="s">
        <v>559</v>
      </c>
      <c r="E4825" s="199">
        <v>10.0</v>
      </c>
      <c r="F4825" s="200">
        <v>45996.54166666667</v>
      </c>
      <c r="G4825" s="197" t="s">
        <v>845</v>
      </c>
      <c r="H4825" s="197" t="s">
        <v>882</v>
      </c>
    </row>
    <row r="4826" ht="15.75" customHeight="1">
      <c r="A4826" s="197" t="s">
        <v>89</v>
      </c>
      <c r="B4826" s="197" t="s">
        <v>25</v>
      </c>
      <c r="C4826" s="198" t="s">
        <v>558</v>
      </c>
      <c r="D4826" s="197" t="s">
        <v>559</v>
      </c>
      <c r="E4826" s="199">
        <v>11.0</v>
      </c>
      <c r="F4826" s="200">
        <v>46010.54166666667</v>
      </c>
      <c r="G4826" s="197" t="s">
        <v>845</v>
      </c>
      <c r="H4826" s="197" t="s">
        <v>882</v>
      </c>
    </row>
    <row r="4827" ht="15.75" customHeight="1">
      <c r="A4827" s="197" t="s">
        <v>89</v>
      </c>
      <c r="B4827" s="197" t="s">
        <v>25</v>
      </c>
      <c r="C4827" s="198" t="s">
        <v>558</v>
      </c>
      <c r="D4827" s="197" t="s">
        <v>559</v>
      </c>
      <c r="E4827" s="199">
        <v>12.0</v>
      </c>
      <c r="F4827" s="200">
        <v>46038.54166666667</v>
      </c>
      <c r="G4827" s="197" t="s">
        <v>845</v>
      </c>
      <c r="H4827" s="197" t="s">
        <v>882</v>
      </c>
    </row>
    <row r="4828" ht="15.75" customHeight="1">
      <c r="A4828" s="197" t="s">
        <v>89</v>
      </c>
      <c r="B4828" s="197" t="s">
        <v>25</v>
      </c>
      <c r="C4828" s="198" t="s">
        <v>558</v>
      </c>
      <c r="D4828" s="197" t="s">
        <v>559</v>
      </c>
      <c r="E4828" s="199">
        <v>13.0</v>
      </c>
      <c r="F4828" s="200">
        <v>46049.58333333333</v>
      </c>
      <c r="G4828" s="197" t="s">
        <v>845</v>
      </c>
      <c r="H4828" s="197" t="s">
        <v>882</v>
      </c>
    </row>
    <row r="4829" ht="15.75" customHeight="1">
      <c r="A4829" s="197" t="s">
        <v>89</v>
      </c>
      <c r="B4829" s="197" t="s">
        <v>25</v>
      </c>
      <c r="C4829" s="198" t="s">
        <v>558</v>
      </c>
      <c r="D4829" s="197" t="s">
        <v>559</v>
      </c>
      <c r="E4829" s="199">
        <v>14.0</v>
      </c>
      <c r="F4829" s="200">
        <v>46049.58333333333</v>
      </c>
      <c r="G4829" s="197" t="s">
        <v>845</v>
      </c>
      <c r="H4829" s="197" t="s">
        <v>882</v>
      </c>
    </row>
    <row r="4830" ht="15.75" customHeight="1">
      <c r="A4830" s="197" t="s">
        <v>89</v>
      </c>
      <c r="B4830" s="197" t="s">
        <v>25</v>
      </c>
      <c r="C4830" s="198" t="s">
        <v>558</v>
      </c>
      <c r="D4830" s="197" t="s">
        <v>559</v>
      </c>
      <c r="E4830" s="199">
        <v>15.0</v>
      </c>
      <c r="F4830" s="200">
        <v>46052.54166666667</v>
      </c>
      <c r="G4830" s="197" t="s">
        <v>843</v>
      </c>
      <c r="H4830" s="197" t="s">
        <v>882</v>
      </c>
    </row>
    <row r="4831" ht="15.75" customHeight="1">
      <c r="A4831" s="197" t="s">
        <v>89</v>
      </c>
      <c r="B4831" s="197" t="s">
        <v>25</v>
      </c>
      <c r="C4831" s="198" t="s">
        <v>558</v>
      </c>
      <c r="D4831" s="197" t="s">
        <v>559</v>
      </c>
      <c r="E4831" s="199">
        <v>16.0</v>
      </c>
      <c r="F4831" s="200">
        <v>46108.54166666667</v>
      </c>
      <c r="G4831" s="197" t="s">
        <v>845</v>
      </c>
      <c r="H4831" s="197" t="s">
        <v>882</v>
      </c>
    </row>
    <row r="4832" ht="15.75" customHeight="1">
      <c r="A4832" s="197" t="s">
        <v>89</v>
      </c>
      <c r="B4832" s="197" t="s">
        <v>26</v>
      </c>
      <c r="C4832" s="198" t="s">
        <v>574</v>
      </c>
      <c r="D4832" s="197" t="s">
        <v>575</v>
      </c>
      <c r="E4832" s="199">
        <v>1.0</v>
      </c>
      <c r="F4832" s="200">
        <v>46126.58333333333</v>
      </c>
      <c r="G4832" s="197" t="s">
        <v>845</v>
      </c>
      <c r="H4832" s="197" t="s">
        <v>882</v>
      </c>
    </row>
    <row r="4833" ht="15.75" customHeight="1">
      <c r="A4833" s="197" t="s">
        <v>89</v>
      </c>
      <c r="B4833" s="197" t="s">
        <v>26</v>
      </c>
      <c r="C4833" s="198" t="s">
        <v>574</v>
      </c>
      <c r="D4833" s="197" t="s">
        <v>575</v>
      </c>
      <c r="E4833" s="199">
        <v>2.0</v>
      </c>
      <c r="F4833" s="200">
        <v>46129.58333333333</v>
      </c>
      <c r="G4833" s="197" t="s">
        <v>845</v>
      </c>
      <c r="H4833" s="197" t="s">
        <v>882</v>
      </c>
    </row>
    <row r="4834" ht="15.75" customHeight="1">
      <c r="A4834" s="197" t="s">
        <v>89</v>
      </c>
      <c r="B4834" s="197" t="s">
        <v>25</v>
      </c>
      <c r="C4834" s="198" t="s">
        <v>574</v>
      </c>
      <c r="D4834" s="197" t="s">
        <v>575</v>
      </c>
      <c r="E4834" s="199">
        <v>1.0</v>
      </c>
      <c r="F4834" s="200">
        <v>45916.45833333333</v>
      </c>
      <c r="G4834" s="197" t="s">
        <v>845</v>
      </c>
      <c r="H4834" s="197" t="s">
        <v>882</v>
      </c>
    </row>
    <row r="4835" ht="15.75" customHeight="1">
      <c r="A4835" s="197" t="s">
        <v>89</v>
      </c>
      <c r="B4835" s="197" t="s">
        <v>25</v>
      </c>
      <c r="C4835" s="198" t="s">
        <v>574</v>
      </c>
      <c r="D4835" s="197" t="s">
        <v>575</v>
      </c>
      <c r="E4835" s="199">
        <v>2.0</v>
      </c>
      <c r="F4835" s="200">
        <v>45925.54166666667</v>
      </c>
      <c r="G4835" s="197" t="s">
        <v>845</v>
      </c>
      <c r="H4835" s="197" t="s">
        <v>882</v>
      </c>
    </row>
    <row r="4836" ht="15.75" customHeight="1">
      <c r="A4836" s="197" t="s">
        <v>89</v>
      </c>
      <c r="B4836" s="197" t="s">
        <v>25</v>
      </c>
      <c r="C4836" s="198" t="s">
        <v>574</v>
      </c>
      <c r="D4836" s="197" t="s">
        <v>575</v>
      </c>
      <c r="E4836" s="199">
        <v>3.0</v>
      </c>
      <c r="F4836" s="200">
        <v>45931.58333333333</v>
      </c>
      <c r="G4836" s="197" t="s">
        <v>843</v>
      </c>
      <c r="H4836" s="197" t="s">
        <v>882</v>
      </c>
    </row>
    <row r="4837" ht="15.75" customHeight="1">
      <c r="A4837" s="197" t="s">
        <v>89</v>
      </c>
      <c r="B4837" s="197" t="s">
        <v>25</v>
      </c>
      <c r="C4837" s="198" t="s">
        <v>574</v>
      </c>
      <c r="D4837" s="197" t="s">
        <v>575</v>
      </c>
      <c r="E4837" s="199">
        <v>4.0</v>
      </c>
      <c r="F4837" s="200">
        <v>45938.54166666667</v>
      </c>
      <c r="G4837" s="197" t="s">
        <v>845</v>
      </c>
      <c r="H4837" s="197" t="s">
        <v>882</v>
      </c>
    </row>
    <row r="4838" ht="15.75" customHeight="1">
      <c r="A4838" s="197" t="s">
        <v>89</v>
      </c>
      <c r="B4838" s="197" t="s">
        <v>25</v>
      </c>
      <c r="C4838" s="198" t="s">
        <v>574</v>
      </c>
      <c r="D4838" s="197" t="s">
        <v>575</v>
      </c>
      <c r="E4838" s="199">
        <v>5.0</v>
      </c>
      <c r="F4838" s="200">
        <v>45953.54166666667</v>
      </c>
      <c r="G4838" s="197" t="s">
        <v>845</v>
      </c>
      <c r="H4838" s="197" t="s">
        <v>882</v>
      </c>
    </row>
    <row r="4839" ht="15.75" customHeight="1">
      <c r="A4839" s="197" t="s">
        <v>89</v>
      </c>
      <c r="B4839" s="197" t="s">
        <v>25</v>
      </c>
      <c r="C4839" s="198" t="s">
        <v>574</v>
      </c>
      <c r="D4839" s="197" t="s">
        <v>575</v>
      </c>
      <c r="E4839" s="199">
        <v>6.0</v>
      </c>
      <c r="F4839" s="200">
        <v>45960.54166666667</v>
      </c>
      <c r="G4839" s="197" t="s">
        <v>845</v>
      </c>
      <c r="H4839" s="197" t="s">
        <v>882</v>
      </c>
    </row>
    <row r="4840" ht="15.75" customHeight="1">
      <c r="A4840" s="197" t="s">
        <v>89</v>
      </c>
      <c r="B4840" s="197" t="s">
        <v>25</v>
      </c>
      <c r="C4840" s="198" t="s">
        <v>574</v>
      </c>
      <c r="D4840" s="197" t="s">
        <v>575</v>
      </c>
      <c r="E4840" s="199">
        <v>7.0</v>
      </c>
      <c r="F4840" s="200">
        <v>45967.54166666667</v>
      </c>
      <c r="G4840" s="197" t="s">
        <v>845</v>
      </c>
      <c r="H4840" s="197" t="s">
        <v>882</v>
      </c>
    </row>
    <row r="4841" ht="15.75" customHeight="1">
      <c r="A4841" s="197" t="s">
        <v>89</v>
      </c>
      <c r="B4841" s="197" t="s">
        <v>25</v>
      </c>
      <c r="C4841" s="198" t="s">
        <v>574</v>
      </c>
      <c r="D4841" s="197" t="s">
        <v>575</v>
      </c>
      <c r="E4841" s="199">
        <v>8.0</v>
      </c>
      <c r="F4841" s="200">
        <v>45982.54166666667</v>
      </c>
      <c r="G4841" s="197" t="s">
        <v>845</v>
      </c>
      <c r="H4841" s="197" t="s">
        <v>882</v>
      </c>
    </row>
    <row r="4842" ht="15.75" customHeight="1">
      <c r="A4842" s="197" t="s">
        <v>89</v>
      </c>
      <c r="B4842" s="197" t="s">
        <v>25</v>
      </c>
      <c r="C4842" s="198" t="s">
        <v>574</v>
      </c>
      <c r="D4842" s="197" t="s">
        <v>575</v>
      </c>
      <c r="E4842" s="199">
        <v>9.0</v>
      </c>
      <c r="F4842" s="200">
        <v>45989.54166666667</v>
      </c>
      <c r="G4842" s="197" t="s">
        <v>845</v>
      </c>
      <c r="H4842" s="197" t="s">
        <v>882</v>
      </c>
    </row>
    <row r="4843" ht="15.75" customHeight="1">
      <c r="A4843" s="197" t="s">
        <v>89</v>
      </c>
      <c r="B4843" s="197" t="s">
        <v>25</v>
      </c>
      <c r="C4843" s="198" t="s">
        <v>574</v>
      </c>
      <c r="D4843" s="197" t="s">
        <v>575</v>
      </c>
      <c r="E4843" s="199">
        <v>10.0</v>
      </c>
      <c r="F4843" s="200">
        <v>45996.54166666667</v>
      </c>
      <c r="G4843" s="197" t="s">
        <v>845</v>
      </c>
      <c r="H4843" s="197" t="s">
        <v>882</v>
      </c>
    </row>
    <row r="4844" ht="15.75" customHeight="1">
      <c r="A4844" s="197" t="s">
        <v>89</v>
      </c>
      <c r="B4844" s="197" t="s">
        <v>25</v>
      </c>
      <c r="C4844" s="198" t="s">
        <v>574</v>
      </c>
      <c r="D4844" s="197" t="s">
        <v>575</v>
      </c>
      <c r="E4844" s="199">
        <v>11.0</v>
      </c>
      <c r="F4844" s="200">
        <v>46010.54166666667</v>
      </c>
      <c r="G4844" s="197" t="s">
        <v>845</v>
      </c>
      <c r="H4844" s="197" t="s">
        <v>882</v>
      </c>
    </row>
    <row r="4845" ht="15.75" customHeight="1">
      <c r="A4845" s="197" t="s">
        <v>89</v>
      </c>
      <c r="B4845" s="197" t="s">
        <v>25</v>
      </c>
      <c r="C4845" s="198" t="s">
        <v>574</v>
      </c>
      <c r="D4845" s="197" t="s">
        <v>575</v>
      </c>
      <c r="E4845" s="199">
        <v>12.0</v>
      </c>
      <c r="F4845" s="200">
        <v>46038.54166666667</v>
      </c>
      <c r="G4845" s="197" t="s">
        <v>845</v>
      </c>
      <c r="H4845" s="197" t="s">
        <v>882</v>
      </c>
    </row>
    <row r="4846" ht="15.75" customHeight="1">
      <c r="A4846" s="197" t="s">
        <v>89</v>
      </c>
      <c r="B4846" s="197" t="s">
        <v>25</v>
      </c>
      <c r="C4846" s="198" t="s">
        <v>574</v>
      </c>
      <c r="D4846" s="197" t="s">
        <v>575</v>
      </c>
      <c r="E4846" s="199">
        <v>13.0</v>
      </c>
      <c r="F4846" s="200">
        <v>46049.58333333333</v>
      </c>
      <c r="G4846" s="197" t="s">
        <v>845</v>
      </c>
      <c r="H4846" s="197" t="s">
        <v>882</v>
      </c>
    </row>
    <row r="4847" ht="15.75" customHeight="1">
      <c r="A4847" s="197" t="s">
        <v>89</v>
      </c>
      <c r="B4847" s="197" t="s">
        <v>25</v>
      </c>
      <c r="C4847" s="198" t="s">
        <v>574</v>
      </c>
      <c r="D4847" s="197" t="s">
        <v>575</v>
      </c>
      <c r="E4847" s="199">
        <v>14.0</v>
      </c>
      <c r="F4847" s="200">
        <v>46049.58333333333</v>
      </c>
      <c r="G4847" s="197" t="s">
        <v>845</v>
      </c>
      <c r="H4847" s="197" t="s">
        <v>882</v>
      </c>
    </row>
    <row r="4848" ht="15.75" customHeight="1">
      <c r="A4848" s="197" t="s">
        <v>89</v>
      </c>
      <c r="B4848" s="197" t="s">
        <v>25</v>
      </c>
      <c r="C4848" s="198" t="s">
        <v>574</v>
      </c>
      <c r="D4848" s="197" t="s">
        <v>575</v>
      </c>
      <c r="E4848" s="199">
        <v>15.0</v>
      </c>
      <c r="F4848" s="200">
        <v>46052.54166666667</v>
      </c>
      <c r="G4848" s="197" t="s">
        <v>845</v>
      </c>
      <c r="H4848" s="197" t="s">
        <v>882</v>
      </c>
    </row>
    <row r="4849" ht="15.75" customHeight="1">
      <c r="A4849" s="197" t="s">
        <v>89</v>
      </c>
      <c r="B4849" s="197" t="s">
        <v>25</v>
      </c>
      <c r="C4849" s="198" t="s">
        <v>574</v>
      </c>
      <c r="D4849" s="197" t="s">
        <v>575</v>
      </c>
      <c r="E4849" s="199">
        <v>16.0</v>
      </c>
      <c r="F4849" s="200">
        <v>46108.54166666667</v>
      </c>
      <c r="G4849" s="197" t="s">
        <v>845</v>
      </c>
      <c r="H4849" s="197" t="s">
        <v>882</v>
      </c>
    </row>
    <row r="4850" ht="15.75" customHeight="1">
      <c r="A4850" s="197" t="s">
        <v>90</v>
      </c>
      <c r="B4850" s="197" t="s">
        <v>21</v>
      </c>
      <c r="C4850" s="198" t="s">
        <v>251</v>
      </c>
      <c r="D4850" s="197" t="s">
        <v>252</v>
      </c>
      <c r="E4850" s="199">
        <v>1.0</v>
      </c>
      <c r="F4850" s="200">
        <v>45917.58333333333</v>
      </c>
      <c r="G4850" s="197" t="s">
        <v>845</v>
      </c>
      <c r="H4850" s="197" t="s">
        <v>883</v>
      </c>
    </row>
    <row r="4851" ht="15.75" customHeight="1">
      <c r="A4851" s="197" t="s">
        <v>90</v>
      </c>
      <c r="B4851" s="197" t="s">
        <v>21</v>
      </c>
      <c r="C4851" s="198" t="s">
        <v>251</v>
      </c>
      <c r="D4851" s="197" t="s">
        <v>252</v>
      </c>
      <c r="E4851" s="199">
        <v>2.0</v>
      </c>
      <c r="F4851" s="200">
        <v>45923.54166666667</v>
      </c>
      <c r="G4851" s="197" t="s">
        <v>845</v>
      </c>
      <c r="H4851" s="197" t="s">
        <v>883</v>
      </c>
    </row>
    <row r="4852" ht="15.75" customHeight="1">
      <c r="A4852" s="197" t="s">
        <v>90</v>
      </c>
      <c r="B4852" s="197" t="s">
        <v>21</v>
      </c>
      <c r="C4852" s="198" t="s">
        <v>251</v>
      </c>
      <c r="D4852" s="197" t="s">
        <v>252</v>
      </c>
      <c r="E4852" s="199">
        <v>3.0</v>
      </c>
      <c r="F4852" s="200">
        <v>45930.54166666667</v>
      </c>
      <c r="G4852" s="197" t="s">
        <v>845</v>
      </c>
      <c r="H4852" s="197" t="s">
        <v>883</v>
      </c>
    </row>
    <row r="4853" ht="15.75" customHeight="1">
      <c r="A4853" s="197" t="s">
        <v>90</v>
      </c>
      <c r="B4853" s="197" t="s">
        <v>21</v>
      </c>
      <c r="C4853" s="198" t="s">
        <v>251</v>
      </c>
      <c r="D4853" s="197" t="s">
        <v>252</v>
      </c>
      <c r="E4853" s="199">
        <v>4.0</v>
      </c>
      <c r="F4853" s="200">
        <v>45937.54166666667</v>
      </c>
      <c r="G4853" s="197" t="s">
        <v>845</v>
      </c>
      <c r="H4853" s="197" t="s">
        <v>883</v>
      </c>
    </row>
    <row r="4854" ht="15.75" customHeight="1">
      <c r="A4854" s="197" t="s">
        <v>90</v>
      </c>
      <c r="B4854" s="197" t="s">
        <v>21</v>
      </c>
      <c r="C4854" s="198" t="s">
        <v>251</v>
      </c>
      <c r="D4854" s="197" t="s">
        <v>252</v>
      </c>
      <c r="E4854" s="199">
        <v>5.0</v>
      </c>
      <c r="F4854" s="200">
        <v>45944.54166666667</v>
      </c>
      <c r="G4854" s="197" t="s">
        <v>843</v>
      </c>
      <c r="H4854" s="197" t="s">
        <v>883</v>
      </c>
    </row>
    <row r="4855" ht="15.75" customHeight="1">
      <c r="A4855" s="197" t="s">
        <v>90</v>
      </c>
      <c r="B4855" s="197" t="s">
        <v>21</v>
      </c>
      <c r="C4855" s="198" t="s">
        <v>251</v>
      </c>
      <c r="D4855" s="197" t="s">
        <v>252</v>
      </c>
      <c r="E4855" s="199">
        <v>6.0</v>
      </c>
      <c r="F4855" s="200">
        <v>45958.54166666667</v>
      </c>
      <c r="G4855" s="197" t="s">
        <v>843</v>
      </c>
      <c r="H4855" s="197" t="s">
        <v>883</v>
      </c>
    </row>
    <row r="4856" ht="15.75" customHeight="1">
      <c r="A4856" s="197" t="s">
        <v>90</v>
      </c>
      <c r="B4856" s="197" t="s">
        <v>21</v>
      </c>
      <c r="C4856" s="198" t="s">
        <v>251</v>
      </c>
      <c r="D4856" s="197" t="s">
        <v>252</v>
      </c>
      <c r="E4856" s="199">
        <v>7.0</v>
      </c>
      <c r="F4856" s="200">
        <v>45965.58333333333</v>
      </c>
      <c r="G4856" s="197" t="s">
        <v>843</v>
      </c>
      <c r="H4856" s="197" t="s">
        <v>883</v>
      </c>
    </row>
    <row r="4857" ht="15.75" customHeight="1">
      <c r="A4857" s="197" t="s">
        <v>90</v>
      </c>
      <c r="B4857" s="197" t="s">
        <v>21</v>
      </c>
      <c r="C4857" s="198" t="s">
        <v>251</v>
      </c>
      <c r="D4857" s="197" t="s">
        <v>252</v>
      </c>
      <c r="E4857" s="199">
        <v>8.0</v>
      </c>
      <c r="F4857" s="200">
        <v>45979.58333333333</v>
      </c>
      <c r="G4857" s="197" t="s">
        <v>843</v>
      </c>
      <c r="H4857" s="197" t="s">
        <v>883</v>
      </c>
    </row>
    <row r="4858" ht="15.75" customHeight="1">
      <c r="A4858" s="197" t="s">
        <v>90</v>
      </c>
      <c r="B4858" s="197" t="s">
        <v>21</v>
      </c>
      <c r="C4858" s="198" t="s">
        <v>338</v>
      </c>
      <c r="D4858" s="197" t="s">
        <v>339</v>
      </c>
      <c r="E4858" s="199">
        <v>1.0</v>
      </c>
      <c r="F4858" s="200">
        <v>45917.58333333333</v>
      </c>
      <c r="G4858" s="197" t="s">
        <v>845</v>
      </c>
      <c r="H4858" s="197" t="s">
        <v>883</v>
      </c>
    </row>
    <row r="4859" ht="15.75" customHeight="1">
      <c r="A4859" s="197" t="s">
        <v>90</v>
      </c>
      <c r="B4859" s="197" t="s">
        <v>21</v>
      </c>
      <c r="C4859" s="198" t="s">
        <v>338</v>
      </c>
      <c r="D4859" s="197" t="s">
        <v>339</v>
      </c>
      <c r="E4859" s="199">
        <v>2.0</v>
      </c>
      <c r="F4859" s="200">
        <v>45923.54166666667</v>
      </c>
      <c r="G4859" s="197" t="s">
        <v>845</v>
      </c>
      <c r="H4859" s="197" t="s">
        <v>883</v>
      </c>
    </row>
    <row r="4860" ht="15.75" customHeight="1">
      <c r="A4860" s="197" t="s">
        <v>90</v>
      </c>
      <c r="B4860" s="197" t="s">
        <v>21</v>
      </c>
      <c r="C4860" s="198" t="s">
        <v>338</v>
      </c>
      <c r="D4860" s="197" t="s">
        <v>339</v>
      </c>
      <c r="E4860" s="199">
        <v>3.0</v>
      </c>
      <c r="F4860" s="200">
        <v>45930.54166666667</v>
      </c>
      <c r="G4860" s="197" t="s">
        <v>845</v>
      </c>
      <c r="H4860" s="197" t="s">
        <v>883</v>
      </c>
    </row>
    <row r="4861" ht="15.75" customHeight="1">
      <c r="A4861" s="197" t="s">
        <v>90</v>
      </c>
      <c r="B4861" s="197" t="s">
        <v>21</v>
      </c>
      <c r="C4861" s="198" t="s">
        <v>338</v>
      </c>
      <c r="D4861" s="197" t="s">
        <v>339</v>
      </c>
      <c r="E4861" s="199">
        <v>4.0</v>
      </c>
      <c r="F4861" s="200">
        <v>45937.54166666667</v>
      </c>
      <c r="G4861" s="197" t="s">
        <v>845</v>
      </c>
      <c r="H4861" s="197" t="s">
        <v>883</v>
      </c>
    </row>
    <row r="4862" ht="15.75" customHeight="1">
      <c r="A4862" s="197" t="s">
        <v>90</v>
      </c>
      <c r="B4862" s="197" t="s">
        <v>21</v>
      </c>
      <c r="C4862" s="198" t="s">
        <v>338</v>
      </c>
      <c r="D4862" s="197" t="s">
        <v>339</v>
      </c>
      <c r="E4862" s="199">
        <v>5.0</v>
      </c>
      <c r="F4862" s="200">
        <v>45944.54166666667</v>
      </c>
      <c r="G4862" s="197" t="s">
        <v>843</v>
      </c>
      <c r="H4862" s="197" t="s">
        <v>883</v>
      </c>
    </row>
    <row r="4863" ht="15.75" customHeight="1">
      <c r="A4863" s="197" t="s">
        <v>90</v>
      </c>
      <c r="B4863" s="197" t="s">
        <v>21</v>
      </c>
      <c r="C4863" s="198" t="s">
        <v>338</v>
      </c>
      <c r="D4863" s="197" t="s">
        <v>339</v>
      </c>
      <c r="E4863" s="199">
        <v>6.0</v>
      </c>
      <c r="F4863" s="200">
        <v>45958.54166666667</v>
      </c>
      <c r="G4863" s="197" t="s">
        <v>845</v>
      </c>
      <c r="H4863" s="197" t="s">
        <v>883</v>
      </c>
    </row>
    <row r="4864" ht="15.75" customHeight="1">
      <c r="A4864" s="197" t="s">
        <v>90</v>
      </c>
      <c r="B4864" s="197" t="s">
        <v>21</v>
      </c>
      <c r="C4864" s="198" t="s">
        <v>338</v>
      </c>
      <c r="D4864" s="197" t="s">
        <v>339</v>
      </c>
      <c r="E4864" s="199">
        <v>7.0</v>
      </c>
      <c r="F4864" s="200">
        <v>45965.58333333333</v>
      </c>
      <c r="G4864" s="197" t="s">
        <v>845</v>
      </c>
      <c r="H4864" s="197" t="s">
        <v>883</v>
      </c>
    </row>
    <row r="4865" ht="15.75" customHeight="1">
      <c r="A4865" s="197" t="s">
        <v>90</v>
      </c>
      <c r="B4865" s="197" t="s">
        <v>21</v>
      </c>
      <c r="C4865" s="198" t="s">
        <v>338</v>
      </c>
      <c r="D4865" s="197" t="s">
        <v>339</v>
      </c>
      <c r="E4865" s="199">
        <v>8.0</v>
      </c>
      <c r="F4865" s="200">
        <v>45979.58333333333</v>
      </c>
      <c r="G4865" s="197" t="s">
        <v>845</v>
      </c>
      <c r="H4865" s="197" t="s">
        <v>883</v>
      </c>
    </row>
    <row r="4866" ht="15.75" customHeight="1">
      <c r="A4866" s="197" t="s">
        <v>90</v>
      </c>
      <c r="B4866" s="197" t="s">
        <v>21</v>
      </c>
      <c r="C4866" s="198" t="s">
        <v>363</v>
      </c>
      <c r="D4866" s="197" t="s">
        <v>364</v>
      </c>
      <c r="E4866" s="199">
        <v>1.0</v>
      </c>
      <c r="F4866" s="200">
        <v>45917.58333333333</v>
      </c>
      <c r="G4866" s="197" t="s">
        <v>843</v>
      </c>
      <c r="H4866" s="197" t="s">
        <v>883</v>
      </c>
    </row>
    <row r="4867" ht="15.75" customHeight="1">
      <c r="A4867" s="197" t="s">
        <v>90</v>
      </c>
      <c r="B4867" s="197" t="s">
        <v>21</v>
      </c>
      <c r="C4867" s="198" t="s">
        <v>363</v>
      </c>
      <c r="D4867" s="197" t="s">
        <v>364</v>
      </c>
      <c r="E4867" s="199">
        <v>2.0</v>
      </c>
      <c r="F4867" s="200">
        <v>45923.54166666667</v>
      </c>
      <c r="G4867" s="197" t="s">
        <v>843</v>
      </c>
      <c r="H4867" s="197" t="s">
        <v>883</v>
      </c>
    </row>
    <row r="4868" ht="15.75" customHeight="1">
      <c r="A4868" s="197" t="s">
        <v>90</v>
      </c>
      <c r="B4868" s="197" t="s">
        <v>21</v>
      </c>
      <c r="C4868" s="198" t="s">
        <v>363</v>
      </c>
      <c r="D4868" s="197" t="s">
        <v>364</v>
      </c>
      <c r="E4868" s="199">
        <v>3.0</v>
      </c>
      <c r="F4868" s="200">
        <v>45930.54166666667</v>
      </c>
      <c r="G4868" s="197" t="s">
        <v>845</v>
      </c>
      <c r="H4868" s="197" t="s">
        <v>883</v>
      </c>
    </row>
    <row r="4869" ht="15.75" customHeight="1">
      <c r="A4869" s="197" t="s">
        <v>90</v>
      </c>
      <c r="B4869" s="197" t="s">
        <v>21</v>
      </c>
      <c r="C4869" s="198" t="s">
        <v>363</v>
      </c>
      <c r="D4869" s="197" t="s">
        <v>364</v>
      </c>
      <c r="E4869" s="199">
        <v>4.0</v>
      </c>
      <c r="F4869" s="200">
        <v>45937.54166666667</v>
      </c>
      <c r="G4869" s="197" t="s">
        <v>843</v>
      </c>
      <c r="H4869" s="197" t="s">
        <v>883</v>
      </c>
    </row>
    <row r="4870" ht="15.75" customHeight="1">
      <c r="A4870" s="197" t="s">
        <v>90</v>
      </c>
      <c r="B4870" s="197" t="s">
        <v>21</v>
      </c>
      <c r="C4870" s="198" t="s">
        <v>363</v>
      </c>
      <c r="D4870" s="197" t="s">
        <v>364</v>
      </c>
      <c r="E4870" s="199">
        <v>5.0</v>
      </c>
      <c r="F4870" s="200">
        <v>45944.54166666667</v>
      </c>
      <c r="G4870" s="197" t="s">
        <v>843</v>
      </c>
      <c r="H4870" s="197" t="s">
        <v>883</v>
      </c>
    </row>
    <row r="4871" ht="15.75" customHeight="1">
      <c r="A4871" s="197" t="s">
        <v>90</v>
      </c>
      <c r="B4871" s="197" t="s">
        <v>21</v>
      </c>
      <c r="C4871" s="198" t="s">
        <v>363</v>
      </c>
      <c r="D4871" s="197" t="s">
        <v>364</v>
      </c>
      <c r="E4871" s="199">
        <v>6.0</v>
      </c>
      <c r="F4871" s="200">
        <v>45958.54166666667</v>
      </c>
      <c r="G4871" s="197" t="s">
        <v>843</v>
      </c>
      <c r="H4871" s="197" t="s">
        <v>883</v>
      </c>
    </row>
    <row r="4872" ht="15.75" customHeight="1">
      <c r="A4872" s="197" t="s">
        <v>90</v>
      </c>
      <c r="B4872" s="197" t="s">
        <v>21</v>
      </c>
      <c r="C4872" s="198" t="s">
        <v>363</v>
      </c>
      <c r="D4872" s="197" t="s">
        <v>364</v>
      </c>
      <c r="E4872" s="199">
        <v>7.0</v>
      </c>
      <c r="F4872" s="200">
        <v>45965.58333333333</v>
      </c>
      <c r="G4872" s="197" t="s">
        <v>843</v>
      </c>
      <c r="H4872" s="197" t="s">
        <v>883</v>
      </c>
    </row>
    <row r="4873" ht="15.75" customHeight="1">
      <c r="A4873" s="197" t="s">
        <v>90</v>
      </c>
      <c r="B4873" s="197" t="s">
        <v>21</v>
      </c>
      <c r="C4873" s="198" t="s">
        <v>363</v>
      </c>
      <c r="D4873" s="197" t="s">
        <v>364</v>
      </c>
      <c r="E4873" s="199">
        <v>8.0</v>
      </c>
      <c r="F4873" s="200">
        <v>45979.58333333333</v>
      </c>
      <c r="G4873" s="197" t="s">
        <v>843</v>
      </c>
      <c r="H4873" s="197" t="s">
        <v>883</v>
      </c>
    </row>
    <row r="4874" ht="15.75" customHeight="1">
      <c r="A4874" s="197" t="s">
        <v>90</v>
      </c>
      <c r="B4874" s="197" t="s">
        <v>21</v>
      </c>
      <c r="C4874" s="198" t="s">
        <v>379</v>
      </c>
      <c r="D4874" s="197" t="s">
        <v>380</v>
      </c>
      <c r="E4874" s="199">
        <v>1.0</v>
      </c>
      <c r="F4874" s="200">
        <v>45917.58333333333</v>
      </c>
      <c r="G4874" s="197" t="s">
        <v>845</v>
      </c>
      <c r="H4874" s="197" t="s">
        <v>883</v>
      </c>
    </row>
    <row r="4875" ht="15.75" customHeight="1">
      <c r="A4875" s="197" t="s">
        <v>90</v>
      </c>
      <c r="B4875" s="197" t="s">
        <v>21</v>
      </c>
      <c r="C4875" s="198" t="s">
        <v>379</v>
      </c>
      <c r="D4875" s="197" t="s">
        <v>380</v>
      </c>
      <c r="E4875" s="199">
        <v>2.0</v>
      </c>
      <c r="F4875" s="200">
        <v>45923.54166666667</v>
      </c>
      <c r="G4875" s="197" t="s">
        <v>845</v>
      </c>
      <c r="H4875" s="197" t="s">
        <v>883</v>
      </c>
    </row>
    <row r="4876" ht="15.75" customHeight="1">
      <c r="A4876" s="197" t="s">
        <v>90</v>
      </c>
      <c r="B4876" s="197" t="s">
        <v>21</v>
      </c>
      <c r="C4876" s="198" t="s">
        <v>379</v>
      </c>
      <c r="D4876" s="197" t="s">
        <v>380</v>
      </c>
      <c r="E4876" s="199">
        <v>3.0</v>
      </c>
      <c r="F4876" s="200">
        <v>45930.54166666667</v>
      </c>
      <c r="G4876" s="197" t="s">
        <v>845</v>
      </c>
      <c r="H4876" s="197" t="s">
        <v>883</v>
      </c>
    </row>
    <row r="4877" ht="15.75" customHeight="1">
      <c r="A4877" s="197" t="s">
        <v>90</v>
      </c>
      <c r="B4877" s="197" t="s">
        <v>21</v>
      </c>
      <c r="C4877" s="198" t="s">
        <v>379</v>
      </c>
      <c r="D4877" s="197" t="s">
        <v>380</v>
      </c>
      <c r="E4877" s="199">
        <v>4.0</v>
      </c>
      <c r="F4877" s="200">
        <v>45937.54166666667</v>
      </c>
      <c r="G4877" s="197" t="s">
        <v>845</v>
      </c>
      <c r="H4877" s="197" t="s">
        <v>883</v>
      </c>
    </row>
    <row r="4878" ht="15.75" customHeight="1">
      <c r="A4878" s="197" t="s">
        <v>90</v>
      </c>
      <c r="B4878" s="197" t="s">
        <v>21</v>
      </c>
      <c r="C4878" s="198" t="s">
        <v>379</v>
      </c>
      <c r="D4878" s="197" t="s">
        <v>380</v>
      </c>
      <c r="E4878" s="199">
        <v>5.0</v>
      </c>
      <c r="F4878" s="200">
        <v>45944.54166666667</v>
      </c>
      <c r="G4878" s="197" t="s">
        <v>845</v>
      </c>
      <c r="H4878" s="197" t="s">
        <v>883</v>
      </c>
    </row>
    <row r="4879" ht="15.75" customHeight="1">
      <c r="A4879" s="197" t="s">
        <v>90</v>
      </c>
      <c r="B4879" s="197" t="s">
        <v>21</v>
      </c>
      <c r="C4879" s="198" t="s">
        <v>379</v>
      </c>
      <c r="D4879" s="197" t="s">
        <v>380</v>
      </c>
      <c r="E4879" s="199">
        <v>6.0</v>
      </c>
      <c r="F4879" s="200">
        <v>45958.54166666667</v>
      </c>
      <c r="G4879" s="197" t="s">
        <v>845</v>
      </c>
      <c r="H4879" s="197" t="s">
        <v>883</v>
      </c>
    </row>
    <row r="4880" ht="15.75" customHeight="1">
      <c r="A4880" s="197" t="s">
        <v>90</v>
      </c>
      <c r="B4880" s="197" t="s">
        <v>21</v>
      </c>
      <c r="C4880" s="198" t="s">
        <v>379</v>
      </c>
      <c r="D4880" s="197" t="s">
        <v>380</v>
      </c>
      <c r="E4880" s="199">
        <v>7.0</v>
      </c>
      <c r="F4880" s="200">
        <v>45965.58333333333</v>
      </c>
      <c r="G4880" s="197" t="s">
        <v>845</v>
      </c>
      <c r="H4880" s="197" t="s">
        <v>883</v>
      </c>
    </row>
    <row r="4881" ht="15.75" customHeight="1">
      <c r="A4881" s="197" t="s">
        <v>90</v>
      </c>
      <c r="B4881" s="197" t="s">
        <v>21</v>
      </c>
      <c r="C4881" s="198" t="s">
        <v>379</v>
      </c>
      <c r="D4881" s="197" t="s">
        <v>380</v>
      </c>
      <c r="E4881" s="199">
        <v>8.0</v>
      </c>
      <c r="F4881" s="200">
        <v>45979.58333333333</v>
      </c>
      <c r="G4881" s="197" t="s">
        <v>845</v>
      </c>
      <c r="H4881" s="197" t="s">
        <v>883</v>
      </c>
    </row>
    <row r="4882" ht="15.75" customHeight="1">
      <c r="A4882" s="197" t="s">
        <v>90</v>
      </c>
      <c r="B4882" s="197" t="s">
        <v>21</v>
      </c>
      <c r="C4882" s="198" t="s">
        <v>449</v>
      </c>
      <c r="D4882" s="197" t="s">
        <v>450</v>
      </c>
      <c r="E4882" s="199">
        <v>1.0</v>
      </c>
      <c r="F4882" s="200">
        <v>45917.58333333333</v>
      </c>
      <c r="G4882" s="197" t="s">
        <v>843</v>
      </c>
      <c r="H4882" s="197" t="s">
        <v>883</v>
      </c>
    </row>
    <row r="4883" ht="15.75" customHeight="1">
      <c r="A4883" s="197" t="s">
        <v>90</v>
      </c>
      <c r="B4883" s="197" t="s">
        <v>21</v>
      </c>
      <c r="C4883" s="198" t="s">
        <v>449</v>
      </c>
      <c r="D4883" s="197" t="s">
        <v>450</v>
      </c>
      <c r="E4883" s="199">
        <v>2.0</v>
      </c>
      <c r="F4883" s="200">
        <v>45923.54166666667</v>
      </c>
      <c r="G4883" s="197" t="s">
        <v>845</v>
      </c>
      <c r="H4883" s="197" t="s">
        <v>883</v>
      </c>
    </row>
    <row r="4884" ht="15.75" customHeight="1">
      <c r="A4884" s="197" t="s">
        <v>90</v>
      </c>
      <c r="B4884" s="197" t="s">
        <v>21</v>
      </c>
      <c r="C4884" s="198" t="s">
        <v>449</v>
      </c>
      <c r="D4884" s="197" t="s">
        <v>450</v>
      </c>
      <c r="E4884" s="199">
        <v>3.0</v>
      </c>
      <c r="F4884" s="200">
        <v>45930.54166666667</v>
      </c>
      <c r="G4884" s="197" t="s">
        <v>845</v>
      </c>
      <c r="H4884" s="197" t="s">
        <v>883</v>
      </c>
    </row>
    <row r="4885" ht="15.75" customHeight="1">
      <c r="A4885" s="197" t="s">
        <v>90</v>
      </c>
      <c r="B4885" s="197" t="s">
        <v>21</v>
      </c>
      <c r="C4885" s="198" t="s">
        <v>449</v>
      </c>
      <c r="D4885" s="197" t="s">
        <v>450</v>
      </c>
      <c r="E4885" s="199">
        <v>4.0</v>
      </c>
      <c r="F4885" s="200">
        <v>45937.54166666667</v>
      </c>
      <c r="G4885" s="197" t="s">
        <v>843</v>
      </c>
      <c r="H4885" s="197" t="s">
        <v>883</v>
      </c>
    </row>
    <row r="4886" ht="15.75" customHeight="1">
      <c r="A4886" s="197" t="s">
        <v>90</v>
      </c>
      <c r="B4886" s="197" t="s">
        <v>21</v>
      </c>
      <c r="C4886" s="198" t="s">
        <v>449</v>
      </c>
      <c r="D4886" s="197" t="s">
        <v>450</v>
      </c>
      <c r="E4886" s="199">
        <v>5.0</v>
      </c>
      <c r="F4886" s="200">
        <v>45944.54166666667</v>
      </c>
      <c r="G4886" s="197" t="s">
        <v>845</v>
      </c>
      <c r="H4886" s="197" t="s">
        <v>883</v>
      </c>
    </row>
    <row r="4887" ht="15.75" customHeight="1">
      <c r="A4887" s="197" t="s">
        <v>90</v>
      </c>
      <c r="B4887" s="197" t="s">
        <v>21</v>
      </c>
      <c r="C4887" s="198" t="s">
        <v>449</v>
      </c>
      <c r="D4887" s="197" t="s">
        <v>450</v>
      </c>
      <c r="E4887" s="199">
        <v>6.0</v>
      </c>
      <c r="F4887" s="200">
        <v>45958.54166666667</v>
      </c>
      <c r="G4887" s="197" t="s">
        <v>845</v>
      </c>
      <c r="H4887" s="197" t="s">
        <v>883</v>
      </c>
    </row>
    <row r="4888" ht="15.75" customHeight="1">
      <c r="A4888" s="197" t="s">
        <v>90</v>
      </c>
      <c r="B4888" s="197" t="s">
        <v>21</v>
      </c>
      <c r="C4888" s="198" t="s">
        <v>449</v>
      </c>
      <c r="D4888" s="197" t="s">
        <v>450</v>
      </c>
      <c r="E4888" s="199">
        <v>7.0</v>
      </c>
      <c r="F4888" s="200">
        <v>45965.58333333333</v>
      </c>
      <c r="G4888" s="197" t="s">
        <v>843</v>
      </c>
      <c r="H4888" s="197" t="s">
        <v>883</v>
      </c>
    </row>
    <row r="4889" ht="15.75" customHeight="1">
      <c r="A4889" s="197" t="s">
        <v>90</v>
      </c>
      <c r="B4889" s="197" t="s">
        <v>21</v>
      </c>
      <c r="C4889" s="198" t="s">
        <v>449</v>
      </c>
      <c r="D4889" s="197" t="s">
        <v>450</v>
      </c>
      <c r="E4889" s="199">
        <v>8.0</v>
      </c>
      <c r="F4889" s="200">
        <v>45979.58333333333</v>
      </c>
      <c r="G4889" s="197" t="s">
        <v>843</v>
      </c>
      <c r="H4889" s="197" t="s">
        <v>883</v>
      </c>
    </row>
    <row r="4890" ht="15.75" customHeight="1">
      <c r="A4890" s="197" t="s">
        <v>90</v>
      </c>
      <c r="B4890" s="197" t="s">
        <v>21</v>
      </c>
      <c r="C4890" s="198" t="s">
        <v>455</v>
      </c>
      <c r="D4890" s="197" t="s">
        <v>456</v>
      </c>
      <c r="E4890" s="199">
        <v>1.0</v>
      </c>
      <c r="F4890" s="200">
        <v>45917.58333333333</v>
      </c>
      <c r="G4890" s="197" t="s">
        <v>843</v>
      </c>
      <c r="H4890" s="197" t="s">
        <v>883</v>
      </c>
    </row>
    <row r="4891" ht="15.75" customHeight="1">
      <c r="A4891" s="197" t="s">
        <v>90</v>
      </c>
      <c r="B4891" s="197" t="s">
        <v>21</v>
      </c>
      <c r="C4891" s="198" t="s">
        <v>455</v>
      </c>
      <c r="D4891" s="197" t="s">
        <v>456</v>
      </c>
      <c r="E4891" s="199">
        <v>2.0</v>
      </c>
      <c r="F4891" s="200">
        <v>45923.54166666667</v>
      </c>
      <c r="G4891" s="197" t="s">
        <v>845</v>
      </c>
      <c r="H4891" s="197" t="s">
        <v>883</v>
      </c>
    </row>
    <row r="4892" ht="15.75" customHeight="1">
      <c r="A4892" s="197" t="s">
        <v>90</v>
      </c>
      <c r="B4892" s="197" t="s">
        <v>21</v>
      </c>
      <c r="C4892" s="198" t="s">
        <v>455</v>
      </c>
      <c r="D4892" s="197" t="s">
        <v>456</v>
      </c>
      <c r="E4892" s="199">
        <v>3.0</v>
      </c>
      <c r="F4892" s="200">
        <v>45930.54166666667</v>
      </c>
      <c r="G4892" s="197" t="s">
        <v>843</v>
      </c>
      <c r="H4892" s="197" t="s">
        <v>883</v>
      </c>
    </row>
    <row r="4893" ht="15.75" customHeight="1">
      <c r="A4893" s="197" t="s">
        <v>90</v>
      </c>
      <c r="B4893" s="197" t="s">
        <v>21</v>
      </c>
      <c r="C4893" s="198" t="s">
        <v>455</v>
      </c>
      <c r="D4893" s="197" t="s">
        <v>456</v>
      </c>
      <c r="E4893" s="199">
        <v>4.0</v>
      </c>
      <c r="F4893" s="200">
        <v>45937.54166666667</v>
      </c>
      <c r="G4893" s="197" t="s">
        <v>845</v>
      </c>
      <c r="H4893" s="197" t="s">
        <v>883</v>
      </c>
    </row>
    <row r="4894" ht="15.75" customHeight="1">
      <c r="A4894" s="197" t="s">
        <v>90</v>
      </c>
      <c r="B4894" s="197" t="s">
        <v>21</v>
      </c>
      <c r="C4894" s="198" t="s">
        <v>455</v>
      </c>
      <c r="D4894" s="197" t="s">
        <v>456</v>
      </c>
      <c r="E4894" s="199">
        <v>5.0</v>
      </c>
      <c r="F4894" s="200">
        <v>45944.54166666667</v>
      </c>
      <c r="G4894" s="197" t="s">
        <v>845</v>
      </c>
      <c r="H4894" s="197" t="s">
        <v>883</v>
      </c>
    </row>
    <row r="4895" ht="15.75" customHeight="1">
      <c r="A4895" s="197" t="s">
        <v>90</v>
      </c>
      <c r="B4895" s="197" t="s">
        <v>21</v>
      </c>
      <c r="C4895" s="198" t="s">
        <v>455</v>
      </c>
      <c r="D4895" s="197" t="s">
        <v>456</v>
      </c>
      <c r="E4895" s="199">
        <v>6.0</v>
      </c>
      <c r="F4895" s="200">
        <v>45958.54166666667</v>
      </c>
      <c r="G4895" s="197" t="s">
        <v>843</v>
      </c>
      <c r="H4895" s="197" t="s">
        <v>883</v>
      </c>
    </row>
    <row r="4896" ht="15.75" customHeight="1">
      <c r="A4896" s="197" t="s">
        <v>90</v>
      </c>
      <c r="B4896" s="197" t="s">
        <v>21</v>
      </c>
      <c r="C4896" s="198" t="s">
        <v>455</v>
      </c>
      <c r="D4896" s="197" t="s">
        <v>456</v>
      </c>
      <c r="E4896" s="199">
        <v>7.0</v>
      </c>
      <c r="F4896" s="200">
        <v>45965.58333333333</v>
      </c>
      <c r="G4896" s="197" t="s">
        <v>843</v>
      </c>
      <c r="H4896" s="197" t="s">
        <v>883</v>
      </c>
    </row>
    <row r="4897" ht="15.75" customHeight="1">
      <c r="A4897" s="197" t="s">
        <v>90</v>
      </c>
      <c r="B4897" s="197" t="s">
        <v>21</v>
      </c>
      <c r="C4897" s="198" t="s">
        <v>455</v>
      </c>
      <c r="D4897" s="197" t="s">
        <v>456</v>
      </c>
      <c r="E4897" s="199">
        <v>8.0</v>
      </c>
      <c r="F4897" s="200">
        <v>45979.58333333333</v>
      </c>
      <c r="G4897" s="197" t="s">
        <v>843</v>
      </c>
      <c r="H4897" s="197" t="s">
        <v>883</v>
      </c>
    </row>
    <row r="4898" ht="15.75" customHeight="1">
      <c r="A4898" s="197" t="s">
        <v>90</v>
      </c>
      <c r="B4898" s="197" t="s">
        <v>21</v>
      </c>
      <c r="C4898" s="198" t="s">
        <v>490</v>
      </c>
      <c r="D4898" s="197" t="s">
        <v>491</v>
      </c>
      <c r="E4898" s="199">
        <v>1.0</v>
      </c>
      <c r="F4898" s="200">
        <v>45917.58333333333</v>
      </c>
      <c r="G4898" s="197" t="s">
        <v>845</v>
      </c>
      <c r="H4898" s="197" t="s">
        <v>883</v>
      </c>
    </row>
    <row r="4899" ht="15.75" customHeight="1">
      <c r="A4899" s="197" t="s">
        <v>90</v>
      </c>
      <c r="B4899" s="197" t="s">
        <v>21</v>
      </c>
      <c r="C4899" s="198" t="s">
        <v>490</v>
      </c>
      <c r="D4899" s="197" t="s">
        <v>491</v>
      </c>
      <c r="E4899" s="199">
        <v>2.0</v>
      </c>
      <c r="F4899" s="200">
        <v>45923.54166666667</v>
      </c>
      <c r="G4899" s="197" t="s">
        <v>845</v>
      </c>
      <c r="H4899" s="197" t="s">
        <v>883</v>
      </c>
    </row>
    <row r="4900" ht="15.75" customHeight="1">
      <c r="A4900" s="197" t="s">
        <v>90</v>
      </c>
      <c r="B4900" s="197" t="s">
        <v>21</v>
      </c>
      <c r="C4900" s="198" t="s">
        <v>490</v>
      </c>
      <c r="D4900" s="197" t="s">
        <v>491</v>
      </c>
      <c r="E4900" s="199">
        <v>3.0</v>
      </c>
      <c r="F4900" s="200">
        <v>45930.54166666667</v>
      </c>
      <c r="G4900" s="197" t="s">
        <v>845</v>
      </c>
      <c r="H4900" s="197" t="s">
        <v>883</v>
      </c>
    </row>
    <row r="4901" ht="15.75" customHeight="1">
      <c r="A4901" s="197" t="s">
        <v>90</v>
      </c>
      <c r="B4901" s="197" t="s">
        <v>21</v>
      </c>
      <c r="C4901" s="198" t="s">
        <v>490</v>
      </c>
      <c r="D4901" s="197" t="s">
        <v>491</v>
      </c>
      <c r="E4901" s="199">
        <v>4.0</v>
      </c>
      <c r="F4901" s="200">
        <v>45937.54166666667</v>
      </c>
      <c r="G4901" s="197" t="s">
        <v>845</v>
      </c>
      <c r="H4901" s="197" t="s">
        <v>883</v>
      </c>
    </row>
    <row r="4902" ht="15.75" customHeight="1">
      <c r="A4902" s="197" t="s">
        <v>90</v>
      </c>
      <c r="B4902" s="197" t="s">
        <v>21</v>
      </c>
      <c r="C4902" s="198" t="s">
        <v>490</v>
      </c>
      <c r="D4902" s="197" t="s">
        <v>491</v>
      </c>
      <c r="E4902" s="199">
        <v>5.0</v>
      </c>
      <c r="F4902" s="200">
        <v>45944.54166666667</v>
      </c>
      <c r="G4902" s="197" t="s">
        <v>845</v>
      </c>
      <c r="H4902" s="197" t="s">
        <v>883</v>
      </c>
    </row>
    <row r="4903" ht="15.75" customHeight="1">
      <c r="A4903" s="197" t="s">
        <v>90</v>
      </c>
      <c r="B4903" s="197" t="s">
        <v>21</v>
      </c>
      <c r="C4903" s="198" t="s">
        <v>490</v>
      </c>
      <c r="D4903" s="197" t="s">
        <v>491</v>
      </c>
      <c r="E4903" s="199">
        <v>6.0</v>
      </c>
      <c r="F4903" s="200">
        <v>45958.54166666667</v>
      </c>
      <c r="G4903" s="197" t="s">
        <v>845</v>
      </c>
      <c r="H4903" s="197" t="s">
        <v>883</v>
      </c>
    </row>
    <row r="4904" ht="15.75" customHeight="1">
      <c r="A4904" s="197" t="s">
        <v>90</v>
      </c>
      <c r="B4904" s="197" t="s">
        <v>21</v>
      </c>
      <c r="C4904" s="198" t="s">
        <v>490</v>
      </c>
      <c r="D4904" s="197" t="s">
        <v>491</v>
      </c>
      <c r="E4904" s="199">
        <v>7.0</v>
      </c>
      <c r="F4904" s="200">
        <v>45965.58333333333</v>
      </c>
      <c r="G4904" s="197" t="s">
        <v>845</v>
      </c>
      <c r="H4904" s="197" t="s">
        <v>883</v>
      </c>
    </row>
    <row r="4905" ht="15.75" customHeight="1">
      <c r="A4905" s="197" t="s">
        <v>90</v>
      </c>
      <c r="B4905" s="197" t="s">
        <v>21</v>
      </c>
      <c r="C4905" s="198" t="s">
        <v>490</v>
      </c>
      <c r="D4905" s="197" t="s">
        <v>491</v>
      </c>
      <c r="E4905" s="199">
        <v>8.0</v>
      </c>
      <c r="F4905" s="200">
        <v>45979.58333333333</v>
      </c>
      <c r="G4905" s="197" t="s">
        <v>845</v>
      </c>
      <c r="H4905" s="197" t="s">
        <v>883</v>
      </c>
    </row>
    <row r="4906" ht="15.75" customHeight="1">
      <c r="A4906" s="197" t="s">
        <v>90</v>
      </c>
      <c r="B4906" s="197" t="s">
        <v>21</v>
      </c>
      <c r="C4906" s="198" t="s">
        <v>500</v>
      </c>
      <c r="D4906" s="197" t="s">
        <v>501</v>
      </c>
      <c r="E4906" s="199">
        <v>1.0</v>
      </c>
      <c r="F4906" s="200">
        <v>45917.58333333333</v>
      </c>
      <c r="G4906" s="197" t="s">
        <v>843</v>
      </c>
      <c r="H4906" s="197" t="s">
        <v>883</v>
      </c>
    </row>
    <row r="4907" ht="15.75" customHeight="1">
      <c r="A4907" s="197" t="s">
        <v>90</v>
      </c>
      <c r="B4907" s="197" t="s">
        <v>21</v>
      </c>
      <c r="C4907" s="198" t="s">
        <v>500</v>
      </c>
      <c r="D4907" s="197" t="s">
        <v>501</v>
      </c>
      <c r="E4907" s="199">
        <v>2.0</v>
      </c>
      <c r="F4907" s="200">
        <v>45923.54166666667</v>
      </c>
      <c r="G4907" s="197" t="s">
        <v>843</v>
      </c>
      <c r="H4907" s="197" t="s">
        <v>883</v>
      </c>
    </row>
    <row r="4908" ht="15.75" customHeight="1">
      <c r="A4908" s="197" t="s">
        <v>90</v>
      </c>
      <c r="B4908" s="197" t="s">
        <v>21</v>
      </c>
      <c r="C4908" s="198" t="s">
        <v>500</v>
      </c>
      <c r="D4908" s="197" t="s">
        <v>501</v>
      </c>
      <c r="E4908" s="199">
        <v>3.0</v>
      </c>
      <c r="F4908" s="200">
        <v>45930.54166666667</v>
      </c>
      <c r="G4908" s="197" t="s">
        <v>843</v>
      </c>
      <c r="H4908" s="197" t="s">
        <v>883</v>
      </c>
    </row>
    <row r="4909" ht="15.75" customHeight="1">
      <c r="A4909" s="197" t="s">
        <v>90</v>
      </c>
      <c r="B4909" s="197" t="s">
        <v>21</v>
      </c>
      <c r="C4909" s="198" t="s">
        <v>500</v>
      </c>
      <c r="D4909" s="197" t="s">
        <v>501</v>
      </c>
      <c r="E4909" s="199">
        <v>4.0</v>
      </c>
      <c r="F4909" s="200">
        <v>45937.54166666667</v>
      </c>
      <c r="G4909" s="197" t="s">
        <v>843</v>
      </c>
      <c r="H4909" s="197" t="s">
        <v>883</v>
      </c>
    </row>
    <row r="4910" ht="15.75" customHeight="1">
      <c r="A4910" s="197" t="s">
        <v>90</v>
      </c>
      <c r="B4910" s="197" t="s">
        <v>21</v>
      </c>
      <c r="C4910" s="198" t="s">
        <v>500</v>
      </c>
      <c r="D4910" s="197" t="s">
        <v>501</v>
      </c>
      <c r="E4910" s="199">
        <v>5.0</v>
      </c>
      <c r="F4910" s="200">
        <v>45944.54166666667</v>
      </c>
      <c r="G4910" s="197" t="s">
        <v>843</v>
      </c>
      <c r="H4910" s="197" t="s">
        <v>883</v>
      </c>
    </row>
    <row r="4911" ht="15.75" customHeight="1">
      <c r="A4911" s="197" t="s">
        <v>90</v>
      </c>
      <c r="B4911" s="197" t="s">
        <v>21</v>
      </c>
      <c r="C4911" s="198" t="s">
        <v>500</v>
      </c>
      <c r="D4911" s="197" t="s">
        <v>501</v>
      </c>
      <c r="E4911" s="199">
        <v>6.0</v>
      </c>
      <c r="F4911" s="200">
        <v>45958.54166666667</v>
      </c>
      <c r="G4911" s="197" t="s">
        <v>843</v>
      </c>
      <c r="H4911" s="197" t="s">
        <v>883</v>
      </c>
    </row>
    <row r="4912" ht="15.75" customHeight="1">
      <c r="A4912" s="197" t="s">
        <v>90</v>
      </c>
      <c r="B4912" s="197" t="s">
        <v>21</v>
      </c>
      <c r="C4912" s="198" t="s">
        <v>500</v>
      </c>
      <c r="D4912" s="197" t="s">
        <v>501</v>
      </c>
      <c r="E4912" s="199">
        <v>7.0</v>
      </c>
      <c r="F4912" s="200">
        <v>45965.58333333333</v>
      </c>
      <c r="G4912" s="197" t="s">
        <v>843</v>
      </c>
      <c r="H4912" s="197" t="s">
        <v>883</v>
      </c>
    </row>
    <row r="4913" ht="15.75" customHeight="1">
      <c r="A4913" s="197" t="s">
        <v>90</v>
      </c>
      <c r="B4913" s="197" t="s">
        <v>21</v>
      </c>
      <c r="C4913" s="198" t="s">
        <v>500</v>
      </c>
      <c r="D4913" s="197" t="s">
        <v>501</v>
      </c>
      <c r="E4913" s="199">
        <v>8.0</v>
      </c>
      <c r="F4913" s="200">
        <v>45979.58333333333</v>
      </c>
      <c r="G4913" s="197" t="s">
        <v>843</v>
      </c>
      <c r="H4913" s="197" t="s">
        <v>883</v>
      </c>
    </row>
    <row r="4914" ht="15.75" customHeight="1">
      <c r="A4914" s="197" t="s">
        <v>90</v>
      </c>
      <c r="B4914" s="197" t="s">
        <v>21</v>
      </c>
      <c r="C4914" s="198" t="s">
        <v>551</v>
      </c>
      <c r="D4914" s="197" t="s">
        <v>552</v>
      </c>
      <c r="E4914" s="199">
        <v>1.0</v>
      </c>
      <c r="F4914" s="200">
        <v>45917.58333333333</v>
      </c>
      <c r="G4914" s="197" t="s">
        <v>845</v>
      </c>
      <c r="H4914" s="197" t="s">
        <v>883</v>
      </c>
    </row>
    <row r="4915" ht="15.75" customHeight="1">
      <c r="A4915" s="197" t="s">
        <v>90</v>
      </c>
      <c r="B4915" s="197" t="s">
        <v>21</v>
      </c>
      <c r="C4915" s="198" t="s">
        <v>551</v>
      </c>
      <c r="D4915" s="197" t="s">
        <v>552</v>
      </c>
      <c r="E4915" s="199">
        <v>2.0</v>
      </c>
      <c r="F4915" s="200">
        <v>45923.54166666667</v>
      </c>
      <c r="G4915" s="197" t="s">
        <v>845</v>
      </c>
      <c r="H4915" s="197" t="s">
        <v>883</v>
      </c>
    </row>
    <row r="4916" ht="15.75" customHeight="1">
      <c r="A4916" s="197" t="s">
        <v>90</v>
      </c>
      <c r="B4916" s="197" t="s">
        <v>21</v>
      </c>
      <c r="C4916" s="198" t="s">
        <v>551</v>
      </c>
      <c r="D4916" s="197" t="s">
        <v>552</v>
      </c>
      <c r="E4916" s="199">
        <v>3.0</v>
      </c>
      <c r="F4916" s="200">
        <v>45930.54166666667</v>
      </c>
      <c r="G4916" s="197" t="s">
        <v>845</v>
      </c>
      <c r="H4916" s="197" t="s">
        <v>883</v>
      </c>
    </row>
    <row r="4917" ht="15.75" customHeight="1">
      <c r="A4917" s="197" t="s">
        <v>90</v>
      </c>
      <c r="B4917" s="197" t="s">
        <v>21</v>
      </c>
      <c r="C4917" s="198" t="s">
        <v>551</v>
      </c>
      <c r="D4917" s="197" t="s">
        <v>552</v>
      </c>
      <c r="E4917" s="199">
        <v>4.0</v>
      </c>
      <c r="F4917" s="200">
        <v>45937.54166666667</v>
      </c>
      <c r="G4917" s="197" t="s">
        <v>845</v>
      </c>
      <c r="H4917" s="197" t="s">
        <v>883</v>
      </c>
    </row>
    <row r="4918" ht="15.75" customHeight="1">
      <c r="A4918" s="197" t="s">
        <v>90</v>
      </c>
      <c r="B4918" s="197" t="s">
        <v>21</v>
      </c>
      <c r="C4918" s="198" t="s">
        <v>551</v>
      </c>
      <c r="D4918" s="197" t="s">
        <v>552</v>
      </c>
      <c r="E4918" s="199">
        <v>5.0</v>
      </c>
      <c r="F4918" s="200">
        <v>45944.54166666667</v>
      </c>
      <c r="G4918" s="197" t="s">
        <v>843</v>
      </c>
      <c r="H4918" s="197" t="s">
        <v>883</v>
      </c>
    </row>
    <row r="4919" ht="15.75" customHeight="1">
      <c r="A4919" s="197" t="s">
        <v>90</v>
      </c>
      <c r="B4919" s="197" t="s">
        <v>21</v>
      </c>
      <c r="C4919" s="198" t="s">
        <v>551</v>
      </c>
      <c r="D4919" s="197" t="s">
        <v>552</v>
      </c>
      <c r="E4919" s="199">
        <v>6.0</v>
      </c>
      <c r="F4919" s="200">
        <v>45958.54166666667</v>
      </c>
      <c r="G4919" s="197" t="s">
        <v>845</v>
      </c>
      <c r="H4919" s="197" t="s">
        <v>883</v>
      </c>
    </row>
    <row r="4920" ht="15.75" customHeight="1">
      <c r="A4920" s="197" t="s">
        <v>90</v>
      </c>
      <c r="B4920" s="197" t="s">
        <v>21</v>
      </c>
      <c r="C4920" s="198" t="s">
        <v>551</v>
      </c>
      <c r="D4920" s="197" t="s">
        <v>552</v>
      </c>
      <c r="E4920" s="199">
        <v>7.0</v>
      </c>
      <c r="F4920" s="200">
        <v>45965.58333333333</v>
      </c>
      <c r="G4920" s="197" t="s">
        <v>845</v>
      </c>
      <c r="H4920" s="197" t="s">
        <v>883</v>
      </c>
    </row>
    <row r="4921" ht="15.75" customHeight="1">
      <c r="A4921" s="197" t="s">
        <v>90</v>
      </c>
      <c r="B4921" s="197" t="s">
        <v>21</v>
      </c>
      <c r="C4921" s="198" t="s">
        <v>551</v>
      </c>
      <c r="D4921" s="197" t="s">
        <v>552</v>
      </c>
      <c r="E4921" s="199">
        <v>8.0</v>
      </c>
      <c r="F4921" s="200">
        <v>45979.58333333333</v>
      </c>
      <c r="G4921" s="197" t="s">
        <v>845</v>
      </c>
      <c r="H4921" s="197" t="s">
        <v>883</v>
      </c>
    </row>
    <row r="4922" ht="15.75" customHeight="1">
      <c r="A4922" s="197" t="s">
        <v>91</v>
      </c>
      <c r="B4922" s="197" t="s">
        <v>21</v>
      </c>
      <c r="C4922" s="198" t="s">
        <v>206</v>
      </c>
      <c r="D4922" s="197" t="s">
        <v>207</v>
      </c>
      <c r="E4922" s="199">
        <v>1.0</v>
      </c>
      <c r="F4922" s="200">
        <v>45909.54166666667</v>
      </c>
      <c r="G4922" s="197" t="s">
        <v>845</v>
      </c>
      <c r="H4922" s="197" t="s">
        <v>884</v>
      </c>
    </row>
    <row r="4923" ht="15.75" customHeight="1">
      <c r="A4923" s="197" t="s">
        <v>91</v>
      </c>
      <c r="B4923" s="197" t="s">
        <v>21</v>
      </c>
      <c r="C4923" s="198" t="s">
        <v>206</v>
      </c>
      <c r="D4923" s="197" t="s">
        <v>207</v>
      </c>
      <c r="E4923" s="199">
        <v>3.0</v>
      </c>
      <c r="F4923" s="200">
        <v>45912.625</v>
      </c>
      <c r="G4923" s="197" t="s">
        <v>845</v>
      </c>
      <c r="H4923" s="197" t="s">
        <v>884</v>
      </c>
    </row>
    <row r="4924" ht="15.75" customHeight="1">
      <c r="A4924" s="197" t="s">
        <v>91</v>
      </c>
      <c r="B4924" s="197" t="s">
        <v>21</v>
      </c>
      <c r="C4924" s="198" t="s">
        <v>206</v>
      </c>
      <c r="D4924" s="197" t="s">
        <v>207</v>
      </c>
      <c r="E4924" s="199">
        <v>4.0</v>
      </c>
      <c r="F4924" s="200">
        <v>45916.58333333333</v>
      </c>
      <c r="G4924" s="197" t="s">
        <v>845</v>
      </c>
      <c r="H4924" s="197" t="s">
        <v>884</v>
      </c>
    </row>
    <row r="4925" ht="15.75" customHeight="1">
      <c r="A4925" s="197" t="s">
        <v>91</v>
      </c>
      <c r="B4925" s="197" t="s">
        <v>21</v>
      </c>
      <c r="C4925" s="198" t="s">
        <v>206</v>
      </c>
      <c r="D4925" s="197" t="s">
        <v>207</v>
      </c>
      <c r="E4925" s="199">
        <v>5.0</v>
      </c>
      <c r="F4925" s="200">
        <v>45925.375</v>
      </c>
      <c r="G4925" s="197" t="s">
        <v>845</v>
      </c>
      <c r="H4925" s="197" t="s">
        <v>884</v>
      </c>
    </row>
    <row r="4926" ht="15.75" customHeight="1">
      <c r="A4926" s="197" t="s">
        <v>91</v>
      </c>
      <c r="B4926" s="197" t="s">
        <v>21</v>
      </c>
      <c r="C4926" s="198" t="s">
        <v>206</v>
      </c>
      <c r="D4926" s="197" t="s">
        <v>207</v>
      </c>
      <c r="E4926" s="199">
        <v>6.0</v>
      </c>
      <c r="F4926" s="200">
        <v>45932.54166666667</v>
      </c>
      <c r="G4926" s="197" t="s">
        <v>845</v>
      </c>
      <c r="H4926" s="197" t="s">
        <v>884</v>
      </c>
    </row>
    <row r="4927" ht="15.75" customHeight="1">
      <c r="A4927" s="197" t="s">
        <v>91</v>
      </c>
      <c r="B4927" s="197" t="s">
        <v>21</v>
      </c>
      <c r="C4927" s="198" t="s">
        <v>206</v>
      </c>
      <c r="D4927" s="197" t="s">
        <v>207</v>
      </c>
      <c r="E4927" s="199">
        <v>7.0</v>
      </c>
      <c r="F4927" s="200">
        <v>45939.54166666667</v>
      </c>
      <c r="G4927" s="197" t="s">
        <v>845</v>
      </c>
      <c r="H4927" s="197" t="s">
        <v>884</v>
      </c>
    </row>
    <row r="4928" ht="15.75" customHeight="1">
      <c r="A4928" s="197" t="s">
        <v>91</v>
      </c>
      <c r="B4928" s="197" t="s">
        <v>21</v>
      </c>
      <c r="C4928" s="198" t="s">
        <v>206</v>
      </c>
      <c r="D4928" s="197" t="s">
        <v>207</v>
      </c>
      <c r="E4928" s="199">
        <v>8.0</v>
      </c>
      <c r="F4928" s="200">
        <v>45946.54166666667</v>
      </c>
      <c r="G4928" s="197" t="s">
        <v>845</v>
      </c>
      <c r="H4928" s="197" t="s">
        <v>884</v>
      </c>
    </row>
    <row r="4929" ht="15.75" customHeight="1">
      <c r="A4929" s="197" t="s">
        <v>91</v>
      </c>
      <c r="B4929" s="197" t="s">
        <v>21</v>
      </c>
      <c r="C4929" s="198" t="s">
        <v>206</v>
      </c>
      <c r="D4929" s="197" t="s">
        <v>207</v>
      </c>
      <c r="E4929" s="199">
        <v>9.0</v>
      </c>
      <c r="F4929" s="200">
        <v>45952.54166666667</v>
      </c>
      <c r="G4929" s="197" t="s">
        <v>845</v>
      </c>
      <c r="H4929" s="197" t="s">
        <v>884</v>
      </c>
    </row>
    <row r="4930" ht="15.75" customHeight="1">
      <c r="A4930" s="197" t="s">
        <v>91</v>
      </c>
      <c r="B4930" s="197" t="s">
        <v>21</v>
      </c>
      <c r="C4930" s="198" t="s">
        <v>206</v>
      </c>
      <c r="D4930" s="197" t="s">
        <v>207</v>
      </c>
      <c r="E4930" s="199">
        <v>10.0</v>
      </c>
      <c r="F4930" s="200">
        <v>45959.54166666667</v>
      </c>
      <c r="G4930" s="197" t="s">
        <v>845</v>
      </c>
      <c r="H4930" s="197" t="s">
        <v>884</v>
      </c>
    </row>
    <row r="4931" ht="15.75" customHeight="1">
      <c r="A4931" s="197" t="s">
        <v>91</v>
      </c>
      <c r="B4931" s="197" t="s">
        <v>21</v>
      </c>
      <c r="C4931" s="198" t="s">
        <v>206</v>
      </c>
      <c r="D4931" s="197" t="s">
        <v>207</v>
      </c>
      <c r="E4931" s="199">
        <v>11.0</v>
      </c>
      <c r="F4931" s="200">
        <v>45964.54166666667</v>
      </c>
      <c r="G4931" s="197" t="s">
        <v>845</v>
      </c>
      <c r="H4931" s="197" t="s">
        <v>884</v>
      </c>
    </row>
    <row r="4932" ht="15.75" customHeight="1">
      <c r="A4932" s="197" t="s">
        <v>91</v>
      </c>
      <c r="B4932" s="197" t="s">
        <v>21</v>
      </c>
      <c r="C4932" s="198" t="s">
        <v>206</v>
      </c>
      <c r="D4932" s="197" t="s">
        <v>207</v>
      </c>
      <c r="E4932" s="199">
        <v>12.0</v>
      </c>
      <c r="F4932" s="200">
        <v>45979.54166666667</v>
      </c>
      <c r="G4932" s="197" t="s">
        <v>845</v>
      </c>
      <c r="H4932" s="197" t="s">
        <v>884</v>
      </c>
    </row>
    <row r="4933" ht="15.75" customHeight="1">
      <c r="A4933" s="197" t="s">
        <v>91</v>
      </c>
      <c r="B4933" s="197" t="s">
        <v>21</v>
      </c>
      <c r="C4933" s="198" t="s">
        <v>206</v>
      </c>
      <c r="D4933" s="197" t="s">
        <v>207</v>
      </c>
      <c r="E4933" s="199">
        <v>13.0</v>
      </c>
      <c r="F4933" s="200">
        <v>45988.54166666667</v>
      </c>
      <c r="G4933" s="197" t="s">
        <v>845</v>
      </c>
      <c r="H4933" s="197" t="s">
        <v>884</v>
      </c>
    </row>
    <row r="4934" ht="15.75" customHeight="1">
      <c r="A4934" s="197" t="s">
        <v>91</v>
      </c>
      <c r="B4934" s="197" t="s">
        <v>21</v>
      </c>
      <c r="C4934" s="198" t="s">
        <v>206</v>
      </c>
      <c r="D4934" s="197" t="s">
        <v>207</v>
      </c>
      <c r="E4934" s="199">
        <v>14.0</v>
      </c>
      <c r="F4934" s="200">
        <v>45995.54166666667</v>
      </c>
      <c r="G4934" s="197" t="s">
        <v>843</v>
      </c>
      <c r="H4934" s="197" t="s">
        <v>884</v>
      </c>
    </row>
    <row r="4935" ht="15.75" customHeight="1">
      <c r="A4935" s="197" t="s">
        <v>91</v>
      </c>
      <c r="B4935" s="197" t="s">
        <v>21</v>
      </c>
      <c r="C4935" s="198" t="s">
        <v>206</v>
      </c>
      <c r="D4935" s="197" t="s">
        <v>207</v>
      </c>
      <c r="E4935" s="199">
        <v>15.0</v>
      </c>
      <c r="F4935" s="200">
        <v>46000.54166666667</v>
      </c>
      <c r="G4935" s="197" t="s">
        <v>845</v>
      </c>
      <c r="H4935" s="197" t="s">
        <v>884</v>
      </c>
    </row>
    <row r="4936" ht="15.75" customHeight="1">
      <c r="A4936" s="197" t="s">
        <v>91</v>
      </c>
      <c r="B4936" s="197" t="s">
        <v>21</v>
      </c>
      <c r="C4936" s="198" t="s">
        <v>206</v>
      </c>
      <c r="D4936" s="197" t="s">
        <v>207</v>
      </c>
      <c r="E4936" s="199">
        <v>16.0</v>
      </c>
      <c r="F4936" s="200">
        <v>46036.54166666667</v>
      </c>
      <c r="G4936" s="197" t="s">
        <v>845</v>
      </c>
      <c r="H4936" s="197" t="s">
        <v>884</v>
      </c>
    </row>
    <row r="4937" ht="15.75" customHeight="1">
      <c r="A4937" s="197" t="s">
        <v>91</v>
      </c>
      <c r="B4937" s="197" t="s">
        <v>22</v>
      </c>
      <c r="C4937" s="198" t="s">
        <v>206</v>
      </c>
      <c r="D4937" s="197" t="s">
        <v>207</v>
      </c>
      <c r="E4937" s="199">
        <v>1.0</v>
      </c>
      <c r="F4937" s="200">
        <v>46093.54166666667</v>
      </c>
      <c r="G4937" s="197" t="s">
        <v>845</v>
      </c>
      <c r="H4937" s="197" t="s">
        <v>884</v>
      </c>
    </row>
    <row r="4938" ht="15.75" customHeight="1">
      <c r="A4938" s="197" t="s">
        <v>91</v>
      </c>
      <c r="B4938" s="197" t="s">
        <v>22</v>
      </c>
      <c r="C4938" s="198" t="s">
        <v>206</v>
      </c>
      <c r="D4938" s="197" t="s">
        <v>207</v>
      </c>
      <c r="E4938" s="199">
        <v>2.0</v>
      </c>
      <c r="F4938" s="200">
        <v>46107.54166666667</v>
      </c>
      <c r="G4938" s="197" t="s">
        <v>845</v>
      </c>
      <c r="H4938" s="197" t="s">
        <v>884</v>
      </c>
    </row>
    <row r="4939" ht="15.75" customHeight="1">
      <c r="A4939" s="197" t="s">
        <v>91</v>
      </c>
      <c r="B4939" s="197" t="s">
        <v>22</v>
      </c>
      <c r="C4939" s="198" t="s">
        <v>206</v>
      </c>
      <c r="D4939" s="197" t="s">
        <v>207</v>
      </c>
      <c r="E4939" s="199">
        <v>3.0</v>
      </c>
      <c r="F4939" s="200">
        <v>46128.54166666667</v>
      </c>
      <c r="G4939" s="197" t="s">
        <v>845</v>
      </c>
      <c r="H4939" s="197" t="s">
        <v>884</v>
      </c>
    </row>
    <row r="4940" ht="15.75" customHeight="1">
      <c r="A4940" s="197" t="s">
        <v>91</v>
      </c>
      <c r="B4940" s="197" t="s">
        <v>22</v>
      </c>
      <c r="C4940" s="198" t="s">
        <v>206</v>
      </c>
      <c r="D4940" s="197" t="s">
        <v>207</v>
      </c>
      <c r="E4940" s="199">
        <v>4.0</v>
      </c>
      <c r="F4940" s="200">
        <v>46134.54166666667</v>
      </c>
      <c r="G4940" s="197" t="s">
        <v>845</v>
      </c>
      <c r="H4940" s="197" t="s">
        <v>884</v>
      </c>
    </row>
    <row r="4941" ht="15.75" customHeight="1">
      <c r="A4941" s="197" t="s">
        <v>91</v>
      </c>
      <c r="B4941" s="197" t="s">
        <v>21</v>
      </c>
      <c r="C4941" s="198" t="s">
        <v>372</v>
      </c>
      <c r="D4941" s="197" t="s">
        <v>373</v>
      </c>
      <c r="E4941" s="199">
        <v>1.0</v>
      </c>
      <c r="F4941" s="200">
        <v>45909.54166666667</v>
      </c>
      <c r="G4941" s="197" t="s">
        <v>845</v>
      </c>
      <c r="H4941" s="197" t="s">
        <v>884</v>
      </c>
    </row>
    <row r="4942" ht="15.75" customHeight="1">
      <c r="A4942" s="197" t="s">
        <v>91</v>
      </c>
      <c r="B4942" s="197" t="s">
        <v>21</v>
      </c>
      <c r="C4942" s="198" t="s">
        <v>372</v>
      </c>
      <c r="D4942" s="197" t="s">
        <v>373</v>
      </c>
      <c r="E4942" s="199">
        <v>3.0</v>
      </c>
      <c r="F4942" s="200">
        <v>45912.625</v>
      </c>
      <c r="G4942" s="197" t="s">
        <v>845</v>
      </c>
      <c r="H4942" s="197" t="s">
        <v>884</v>
      </c>
    </row>
    <row r="4943" ht="15.75" customHeight="1">
      <c r="A4943" s="197" t="s">
        <v>91</v>
      </c>
      <c r="B4943" s="197" t="s">
        <v>21</v>
      </c>
      <c r="C4943" s="198" t="s">
        <v>372</v>
      </c>
      <c r="D4943" s="197" t="s">
        <v>373</v>
      </c>
      <c r="E4943" s="199">
        <v>4.0</v>
      </c>
      <c r="F4943" s="200">
        <v>45916.58333333333</v>
      </c>
      <c r="G4943" s="197" t="s">
        <v>845</v>
      </c>
      <c r="H4943" s="197" t="s">
        <v>884</v>
      </c>
    </row>
    <row r="4944" ht="15.75" customHeight="1">
      <c r="A4944" s="197" t="s">
        <v>91</v>
      </c>
      <c r="B4944" s="197" t="s">
        <v>21</v>
      </c>
      <c r="C4944" s="198" t="s">
        <v>372</v>
      </c>
      <c r="D4944" s="197" t="s">
        <v>373</v>
      </c>
      <c r="E4944" s="199">
        <v>5.0</v>
      </c>
      <c r="F4944" s="200">
        <v>45925.375</v>
      </c>
      <c r="G4944" s="197" t="s">
        <v>845</v>
      </c>
      <c r="H4944" s="197" t="s">
        <v>884</v>
      </c>
    </row>
    <row r="4945" ht="15.75" customHeight="1">
      <c r="A4945" s="197" t="s">
        <v>91</v>
      </c>
      <c r="B4945" s="197" t="s">
        <v>21</v>
      </c>
      <c r="C4945" s="198" t="s">
        <v>372</v>
      </c>
      <c r="D4945" s="197" t="s">
        <v>373</v>
      </c>
      <c r="E4945" s="199">
        <v>6.0</v>
      </c>
      <c r="F4945" s="200">
        <v>45932.54166666667</v>
      </c>
      <c r="G4945" s="197" t="s">
        <v>845</v>
      </c>
      <c r="H4945" s="197" t="s">
        <v>884</v>
      </c>
    </row>
    <row r="4946" ht="15.75" customHeight="1">
      <c r="A4946" s="197" t="s">
        <v>91</v>
      </c>
      <c r="B4946" s="197" t="s">
        <v>21</v>
      </c>
      <c r="C4946" s="198" t="s">
        <v>372</v>
      </c>
      <c r="D4946" s="197" t="s">
        <v>373</v>
      </c>
      <c r="E4946" s="199">
        <v>7.0</v>
      </c>
      <c r="F4946" s="200">
        <v>45939.54166666667</v>
      </c>
      <c r="G4946" s="197" t="s">
        <v>845</v>
      </c>
      <c r="H4946" s="197" t="s">
        <v>884</v>
      </c>
    </row>
    <row r="4947" ht="15.75" customHeight="1">
      <c r="A4947" s="197" t="s">
        <v>91</v>
      </c>
      <c r="B4947" s="197" t="s">
        <v>21</v>
      </c>
      <c r="C4947" s="198" t="s">
        <v>372</v>
      </c>
      <c r="D4947" s="197" t="s">
        <v>373</v>
      </c>
      <c r="E4947" s="199">
        <v>8.0</v>
      </c>
      <c r="F4947" s="200">
        <v>45946.54166666667</v>
      </c>
      <c r="G4947" s="197" t="s">
        <v>845</v>
      </c>
      <c r="H4947" s="197" t="s">
        <v>884</v>
      </c>
    </row>
    <row r="4948" ht="15.75" customHeight="1">
      <c r="A4948" s="197" t="s">
        <v>91</v>
      </c>
      <c r="B4948" s="197" t="s">
        <v>21</v>
      </c>
      <c r="C4948" s="198" t="s">
        <v>372</v>
      </c>
      <c r="D4948" s="197" t="s">
        <v>373</v>
      </c>
      <c r="E4948" s="199">
        <v>9.0</v>
      </c>
      <c r="F4948" s="200">
        <v>45952.54166666667</v>
      </c>
      <c r="G4948" s="197" t="s">
        <v>845</v>
      </c>
      <c r="H4948" s="197" t="s">
        <v>884</v>
      </c>
    </row>
    <row r="4949" ht="15.75" customHeight="1">
      <c r="A4949" s="197" t="s">
        <v>91</v>
      </c>
      <c r="B4949" s="197" t="s">
        <v>21</v>
      </c>
      <c r="C4949" s="198" t="s">
        <v>372</v>
      </c>
      <c r="D4949" s="197" t="s">
        <v>373</v>
      </c>
      <c r="E4949" s="199">
        <v>10.0</v>
      </c>
      <c r="F4949" s="200">
        <v>45959.54166666667</v>
      </c>
      <c r="G4949" s="197" t="s">
        <v>845</v>
      </c>
      <c r="H4949" s="197" t="s">
        <v>884</v>
      </c>
    </row>
    <row r="4950" ht="15.75" customHeight="1">
      <c r="A4950" s="197" t="s">
        <v>91</v>
      </c>
      <c r="B4950" s="197" t="s">
        <v>21</v>
      </c>
      <c r="C4950" s="198" t="s">
        <v>372</v>
      </c>
      <c r="D4950" s="197" t="s">
        <v>373</v>
      </c>
      <c r="E4950" s="199">
        <v>11.0</v>
      </c>
      <c r="F4950" s="200">
        <v>45964.54166666667</v>
      </c>
      <c r="G4950" s="197" t="s">
        <v>845</v>
      </c>
      <c r="H4950" s="197" t="s">
        <v>884</v>
      </c>
    </row>
    <row r="4951" ht="15.75" customHeight="1">
      <c r="A4951" s="197" t="s">
        <v>91</v>
      </c>
      <c r="B4951" s="197" t="s">
        <v>21</v>
      </c>
      <c r="C4951" s="198" t="s">
        <v>372</v>
      </c>
      <c r="D4951" s="197" t="s">
        <v>373</v>
      </c>
      <c r="E4951" s="199">
        <v>12.0</v>
      </c>
      <c r="F4951" s="200">
        <v>45979.54166666667</v>
      </c>
      <c r="G4951" s="197" t="s">
        <v>845</v>
      </c>
      <c r="H4951" s="197" t="s">
        <v>884</v>
      </c>
    </row>
    <row r="4952" ht="15.75" customHeight="1">
      <c r="A4952" s="197" t="s">
        <v>91</v>
      </c>
      <c r="B4952" s="197" t="s">
        <v>21</v>
      </c>
      <c r="C4952" s="198" t="s">
        <v>372</v>
      </c>
      <c r="D4952" s="197" t="s">
        <v>373</v>
      </c>
      <c r="E4952" s="199">
        <v>13.0</v>
      </c>
      <c r="F4952" s="200">
        <v>45988.54166666667</v>
      </c>
      <c r="G4952" s="197" t="s">
        <v>843</v>
      </c>
      <c r="H4952" s="197" t="s">
        <v>884</v>
      </c>
    </row>
    <row r="4953" ht="15.75" customHeight="1">
      <c r="A4953" s="197" t="s">
        <v>91</v>
      </c>
      <c r="B4953" s="197" t="s">
        <v>21</v>
      </c>
      <c r="C4953" s="198" t="s">
        <v>372</v>
      </c>
      <c r="D4953" s="197" t="s">
        <v>373</v>
      </c>
      <c r="E4953" s="199">
        <v>14.0</v>
      </c>
      <c r="F4953" s="200">
        <v>45995.54166666667</v>
      </c>
      <c r="G4953" s="197" t="s">
        <v>845</v>
      </c>
      <c r="H4953" s="197" t="s">
        <v>884</v>
      </c>
    </row>
    <row r="4954" ht="15.75" customHeight="1">
      <c r="A4954" s="197" t="s">
        <v>91</v>
      </c>
      <c r="B4954" s="197" t="s">
        <v>21</v>
      </c>
      <c r="C4954" s="198" t="s">
        <v>372</v>
      </c>
      <c r="D4954" s="197" t="s">
        <v>373</v>
      </c>
      <c r="E4954" s="199">
        <v>15.0</v>
      </c>
      <c r="F4954" s="200">
        <v>46000.54166666667</v>
      </c>
      <c r="G4954" s="197" t="s">
        <v>845</v>
      </c>
      <c r="H4954" s="197" t="s">
        <v>884</v>
      </c>
    </row>
    <row r="4955" ht="15.75" customHeight="1">
      <c r="A4955" s="197" t="s">
        <v>91</v>
      </c>
      <c r="B4955" s="197" t="s">
        <v>21</v>
      </c>
      <c r="C4955" s="198" t="s">
        <v>372</v>
      </c>
      <c r="D4955" s="197" t="s">
        <v>373</v>
      </c>
      <c r="E4955" s="199">
        <v>16.0</v>
      </c>
      <c r="F4955" s="200">
        <v>46036.54166666667</v>
      </c>
      <c r="G4955" s="197" t="s">
        <v>845</v>
      </c>
      <c r="H4955" s="197" t="s">
        <v>884</v>
      </c>
    </row>
    <row r="4956" ht="15.75" customHeight="1">
      <c r="A4956" s="197" t="s">
        <v>91</v>
      </c>
      <c r="B4956" s="197" t="s">
        <v>22</v>
      </c>
      <c r="C4956" s="198" t="s">
        <v>372</v>
      </c>
      <c r="D4956" s="197" t="s">
        <v>373</v>
      </c>
      <c r="E4956" s="199">
        <v>1.0</v>
      </c>
      <c r="F4956" s="200">
        <v>46093.54166666667</v>
      </c>
      <c r="G4956" s="197" t="s">
        <v>845</v>
      </c>
      <c r="H4956" s="197" t="s">
        <v>884</v>
      </c>
    </row>
    <row r="4957" ht="15.75" customHeight="1">
      <c r="A4957" s="197" t="s">
        <v>91</v>
      </c>
      <c r="B4957" s="197" t="s">
        <v>22</v>
      </c>
      <c r="C4957" s="198" t="s">
        <v>372</v>
      </c>
      <c r="D4957" s="197" t="s">
        <v>373</v>
      </c>
      <c r="E4957" s="199">
        <v>2.0</v>
      </c>
      <c r="F4957" s="200">
        <v>46107.54166666667</v>
      </c>
      <c r="G4957" s="197" t="s">
        <v>845</v>
      </c>
      <c r="H4957" s="197" t="s">
        <v>884</v>
      </c>
    </row>
    <row r="4958" ht="15.75" customHeight="1">
      <c r="A4958" s="197" t="s">
        <v>91</v>
      </c>
      <c r="B4958" s="197" t="s">
        <v>22</v>
      </c>
      <c r="C4958" s="198" t="s">
        <v>372</v>
      </c>
      <c r="D4958" s="197" t="s">
        <v>373</v>
      </c>
      <c r="E4958" s="199">
        <v>3.0</v>
      </c>
      <c r="F4958" s="200">
        <v>46128.54166666667</v>
      </c>
      <c r="G4958" s="197" t="s">
        <v>845</v>
      </c>
      <c r="H4958" s="197" t="s">
        <v>884</v>
      </c>
    </row>
    <row r="4959" ht="15.75" customHeight="1">
      <c r="A4959" s="197" t="s">
        <v>91</v>
      </c>
      <c r="B4959" s="197" t="s">
        <v>22</v>
      </c>
      <c r="C4959" s="198" t="s">
        <v>372</v>
      </c>
      <c r="D4959" s="197" t="s">
        <v>373</v>
      </c>
      <c r="E4959" s="199">
        <v>4.0</v>
      </c>
      <c r="F4959" s="200">
        <v>46134.54166666667</v>
      </c>
      <c r="G4959" s="197" t="s">
        <v>845</v>
      </c>
      <c r="H4959" s="197" t="s">
        <v>884</v>
      </c>
    </row>
    <row r="4960" ht="15.75" customHeight="1">
      <c r="A4960" s="197" t="s">
        <v>91</v>
      </c>
      <c r="B4960" s="197" t="s">
        <v>21</v>
      </c>
      <c r="C4960" s="198" t="s">
        <v>419</v>
      </c>
      <c r="D4960" s="197" t="s">
        <v>420</v>
      </c>
      <c r="E4960" s="199">
        <v>1.0</v>
      </c>
      <c r="F4960" s="200">
        <v>45909.54166666667</v>
      </c>
      <c r="G4960" s="197" t="s">
        <v>845</v>
      </c>
      <c r="H4960" s="197" t="s">
        <v>884</v>
      </c>
    </row>
    <row r="4961" ht="15.75" customHeight="1">
      <c r="A4961" s="197" t="s">
        <v>91</v>
      </c>
      <c r="B4961" s="197" t="s">
        <v>21</v>
      </c>
      <c r="C4961" s="198" t="s">
        <v>419</v>
      </c>
      <c r="D4961" s="197" t="s">
        <v>420</v>
      </c>
      <c r="E4961" s="199">
        <v>3.0</v>
      </c>
      <c r="F4961" s="200">
        <v>45912.625</v>
      </c>
      <c r="G4961" s="197" t="s">
        <v>843</v>
      </c>
      <c r="H4961" s="197" t="s">
        <v>884</v>
      </c>
    </row>
    <row r="4962" ht="15.75" customHeight="1">
      <c r="A4962" s="197" t="s">
        <v>91</v>
      </c>
      <c r="B4962" s="197" t="s">
        <v>21</v>
      </c>
      <c r="C4962" s="198" t="s">
        <v>419</v>
      </c>
      <c r="D4962" s="197" t="s">
        <v>420</v>
      </c>
      <c r="E4962" s="199">
        <v>4.0</v>
      </c>
      <c r="F4962" s="200">
        <v>45916.58333333333</v>
      </c>
      <c r="G4962" s="197" t="s">
        <v>843</v>
      </c>
      <c r="H4962" s="197" t="s">
        <v>884</v>
      </c>
    </row>
    <row r="4963" ht="15.75" customHeight="1">
      <c r="A4963" s="197" t="s">
        <v>91</v>
      </c>
      <c r="B4963" s="197" t="s">
        <v>21</v>
      </c>
      <c r="C4963" s="198" t="s">
        <v>419</v>
      </c>
      <c r="D4963" s="197" t="s">
        <v>420</v>
      </c>
      <c r="E4963" s="199">
        <v>5.0</v>
      </c>
      <c r="F4963" s="200">
        <v>45925.375</v>
      </c>
      <c r="G4963" s="197" t="s">
        <v>845</v>
      </c>
      <c r="H4963" s="197" t="s">
        <v>884</v>
      </c>
    </row>
    <row r="4964" ht="15.75" customHeight="1">
      <c r="A4964" s="197" t="s">
        <v>91</v>
      </c>
      <c r="B4964" s="197" t="s">
        <v>21</v>
      </c>
      <c r="C4964" s="198" t="s">
        <v>419</v>
      </c>
      <c r="D4964" s="197" t="s">
        <v>420</v>
      </c>
      <c r="E4964" s="199">
        <v>6.0</v>
      </c>
      <c r="F4964" s="200">
        <v>45932.54166666667</v>
      </c>
      <c r="G4964" s="197" t="s">
        <v>843</v>
      </c>
      <c r="H4964" s="197" t="s">
        <v>884</v>
      </c>
    </row>
    <row r="4965" ht="15.75" customHeight="1">
      <c r="A4965" s="197" t="s">
        <v>91</v>
      </c>
      <c r="B4965" s="197" t="s">
        <v>21</v>
      </c>
      <c r="C4965" s="198" t="s">
        <v>419</v>
      </c>
      <c r="D4965" s="197" t="s">
        <v>420</v>
      </c>
      <c r="E4965" s="199">
        <v>7.0</v>
      </c>
      <c r="F4965" s="200">
        <v>45939.54166666667</v>
      </c>
      <c r="G4965" s="197" t="s">
        <v>843</v>
      </c>
      <c r="H4965" s="197" t="s">
        <v>884</v>
      </c>
    </row>
    <row r="4966" ht="15.75" customHeight="1">
      <c r="A4966" s="197" t="s">
        <v>91</v>
      </c>
      <c r="B4966" s="197" t="s">
        <v>21</v>
      </c>
      <c r="C4966" s="198" t="s">
        <v>419</v>
      </c>
      <c r="D4966" s="197" t="s">
        <v>420</v>
      </c>
      <c r="E4966" s="199">
        <v>8.0</v>
      </c>
      <c r="F4966" s="200">
        <v>45946.54166666667</v>
      </c>
      <c r="G4966" s="197" t="s">
        <v>845</v>
      </c>
      <c r="H4966" s="197" t="s">
        <v>884</v>
      </c>
    </row>
    <row r="4967" ht="15.75" customHeight="1">
      <c r="A4967" s="197" t="s">
        <v>91</v>
      </c>
      <c r="B4967" s="197" t="s">
        <v>21</v>
      </c>
      <c r="C4967" s="198" t="s">
        <v>419</v>
      </c>
      <c r="D4967" s="197" t="s">
        <v>420</v>
      </c>
      <c r="E4967" s="199">
        <v>9.0</v>
      </c>
      <c r="F4967" s="200">
        <v>45952.54166666667</v>
      </c>
      <c r="G4967" s="197" t="s">
        <v>845</v>
      </c>
      <c r="H4967" s="197" t="s">
        <v>884</v>
      </c>
    </row>
    <row r="4968" ht="15.75" customHeight="1">
      <c r="A4968" s="197" t="s">
        <v>91</v>
      </c>
      <c r="B4968" s="197" t="s">
        <v>21</v>
      </c>
      <c r="C4968" s="198" t="s">
        <v>419</v>
      </c>
      <c r="D4968" s="197" t="s">
        <v>420</v>
      </c>
      <c r="E4968" s="199">
        <v>10.0</v>
      </c>
      <c r="F4968" s="200">
        <v>45959.54166666667</v>
      </c>
      <c r="G4968" s="197" t="s">
        <v>845</v>
      </c>
      <c r="H4968" s="197" t="s">
        <v>884</v>
      </c>
    </row>
    <row r="4969" ht="15.75" customHeight="1">
      <c r="A4969" s="197" t="s">
        <v>91</v>
      </c>
      <c r="B4969" s="197" t="s">
        <v>21</v>
      </c>
      <c r="C4969" s="198" t="s">
        <v>419</v>
      </c>
      <c r="D4969" s="197" t="s">
        <v>420</v>
      </c>
      <c r="E4969" s="199">
        <v>11.0</v>
      </c>
      <c r="F4969" s="200">
        <v>45964.54166666667</v>
      </c>
      <c r="G4969" s="197" t="s">
        <v>845</v>
      </c>
      <c r="H4969" s="197" t="s">
        <v>884</v>
      </c>
    </row>
    <row r="4970" ht="15.75" customHeight="1">
      <c r="A4970" s="197" t="s">
        <v>91</v>
      </c>
      <c r="B4970" s="197" t="s">
        <v>21</v>
      </c>
      <c r="C4970" s="198" t="s">
        <v>419</v>
      </c>
      <c r="D4970" s="197" t="s">
        <v>420</v>
      </c>
      <c r="E4970" s="199">
        <v>12.0</v>
      </c>
      <c r="F4970" s="200">
        <v>45979.54166666667</v>
      </c>
      <c r="G4970" s="197" t="s">
        <v>845</v>
      </c>
      <c r="H4970" s="197" t="s">
        <v>884</v>
      </c>
    </row>
    <row r="4971" ht="15.75" customHeight="1">
      <c r="A4971" s="197" t="s">
        <v>91</v>
      </c>
      <c r="B4971" s="197" t="s">
        <v>21</v>
      </c>
      <c r="C4971" s="198" t="s">
        <v>419</v>
      </c>
      <c r="D4971" s="197" t="s">
        <v>420</v>
      </c>
      <c r="E4971" s="199">
        <v>13.0</v>
      </c>
      <c r="F4971" s="200">
        <v>45988.54166666667</v>
      </c>
      <c r="G4971" s="197" t="s">
        <v>843</v>
      </c>
      <c r="H4971" s="197" t="s">
        <v>884</v>
      </c>
    </row>
    <row r="4972" ht="15.75" customHeight="1">
      <c r="A4972" s="197" t="s">
        <v>91</v>
      </c>
      <c r="B4972" s="197" t="s">
        <v>21</v>
      </c>
      <c r="C4972" s="198" t="s">
        <v>419</v>
      </c>
      <c r="D4972" s="197" t="s">
        <v>420</v>
      </c>
      <c r="E4972" s="199">
        <v>14.0</v>
      </c>
      <c r="F4972" s="200">
        <v>45995.54166666667</v>
      </c>
      <c r="G4972" s="197" t="s">
        <v>845</v>
      </c>
      <c r="H4972" s="197" t="s">
        <v>884</v>
      </c>
    </row>
    <row r="4973" ht="15.75" customHeight="1">
      <c r="A4973" s="197" t="s">
        <v>91</v>
      </c>
      <c r="B4973" s="197" t="s">
        <v>21</v>
      </c>
      <c r="C4973" s="198" t="s">
        <v>419</v>
      </c>
      <c r="D4973" s="197" t="s">
        <v>420</v>
      </c>
      <c r="E4973" s="199">
        <v>15.0</v>
      </c>
      <c r="F4973" s="200">
        <v>46000.54166666667</v>
      </c>
      <c r="G4973" s="197" t="s">
        <v>845</v>
      </c>
      <c r="H4973" s="197" t="s">
        <v>884</v>
      </c>
    </row>
    <row r="4974" ht="15.75" customHeight="1">
      <c r="A4974" s="197" t="s">
        <v>91</v>
      </c>
      <c r="B4974" s="197" t="s">
        <v>21</v>
      </c>
      <c r="C4974" s="198" t="s">
        <v>419</v>
      </c>
      <c r="D4974" s="197" t="s">
        <v>420</v>
      </c>
      <c r="E4974" s="199">
        <v>16.0</v>
      </c>
      <c r="F4974" s="200">
        <v>46036.54166666667</v>
      </c>
      <c r="G4974" s="197" t="s">
        <v>845</v>
      </c>
      <c r="H4974" s="197" t="s">
        <v>884</v>
      </c>
    </row>
    <row r="4975" ht="15.75" customHeight="1">
      <c r="A4975" s="197" t="s">
        <v>91</v>
      </c>
      <c r="B4975" s="197" t="s">
        <v>22</v>
      </c>
      <c r="C4975" s="198" t="s">
        <v>419</v>
      </c>
      <c r="D4975" s="197" t="s">
        <v>420</v>
      </c>
      <c r="E4975" s="199">
        <v>1.0</v>
      </c>
      <c r="F4975" s="200">
        <v>46093.54166666667</v>
      </c>
      <c r="G4975" s="197" t="s">
        <v>845</v>
      </c>
      <c r="H4975" s="197" t="s">
        <v>884</v>
      </c>
    </row>
    <row r="4976" ht="15.75" customHeight="1">
      <c r="A4976" s="197" t="s">
        <v>91</v>
      </c>
      <c r="B4976" s="197" t="s">
        <v>22</v>
      </c>
      <c r="C4976" s="198" t="s">
        <v>419</v>
      </c>
      <c r="D4976" s="197" t="s">
        <v>420</v>
      </c>
      <c r="E4976" s="199">
        <v>2.0</v>
      </c>
      <c r="F4976" s="200">
        <v>46107.54166666667</v>
      </c>
      <c r="G4976" s="197" t="s">
        <v>845</v>
      </c>
      <c r="H4976" s="197" t="s">
        <v>884</v>
      </c>
    </row>
    <row r="4977" ht="15.75" customHeight="1">
      <c r="A4977" s="197" t="s">
        <v>91</v>
      </c>
      <c r="B4977" s="197" t="s">
        <v>22</v>
      </c>
      <c r="C4977" s="198" t="s">
        <v>419</v>
      </c>
      <c r="D4977" s="197" t="s">
        <v>420</v>
      </c>
      <c r="E4977" s="199">
        <v>3.0</v>
      </c>
      <c r="F4977" s="200">
        <v>46128.54166666667</v>
      </c>
      <c r="G4977" s="197" t="s">
        <v>843</v>
      </c>
      <c r="H4977" s="197" t="s">
        <v>884</v>
      </c>
    </row>
    <row r="4978" ht="15.75" customHeight="1">
      <c r="A4978" s="197" t="s">
        <v>91</v>
      </c>
      <c r="B4978" s="197" t="s">
        <v>22</v>
      </c>
      <c r="C4978" s="198" t="s">
        <v>419</v>
      </c>
      <c r="D4978" s="197" t="s">
        <v>420</v>
      </c>
      <c r="E4978" s="199">
        <v>4.0</v>
      </c>
      <c r="F4978" s="200">
        <v>46134.54166666667</v>
      </c>
      <c r="G4978" s="197" t="s">
        <v>843</v>
      </c>
      <c r="H4978" s="197" t="s">
        <v>884</v>
      </c>
    </row>
    <row r="4979" ht="15.75" customHeight="1">
      <c r="A4979" s="197" t="s">
        <v>91</v>
      </c>
      <c r="B4979" s="197" t="s">
        <v>21</v>
      </c>
      <c r="C4979" s="198" t="s">
        <v>459</v>
      </c>
      <c r="D4979" s="197" t="s">
        <v>460</v>
      </c>
      <c r="E4979" s="199">
        <v>1.0</v>
      </c>
      <c r="F4979" s="200">
        <v>45909.54166666667</v>
      </c>
      <c r="G4979" s="197" t="s">
        <v>845</v>
      </c>
      <c r="H4979" s="197" t="s">
        <v>884</v>
      </c>
    </row>
    <row r="4980" ht="15.75" customHeight="1">
      <c r="A4980" s="197" t="s">
        <v>91</v>
      </c>
      <c r="B4980" s="197" t="s">
        <v>21</v>
      </c>
      <c r="C4980" s="198" t="s">
        <v>459</v>
      </c>
      <c r="D4980" s="197" t="s">
        <v>460</v>
      </c>
      <c r="E4980" s="199">
        <v>3.0</v>
      </c>
      <c r="F4980" s="200">
        <v>45912.625</v>
      </c>
      <c r="G4980" s="197" t="s">
        <v>845</v>
      </c>
      <c r="H4980" s="197" t="s">
        <v>884</v>
      </c>
    </row>
    <row r="4981" ht="15.75" customHeight="1">
      <c r="A4981" s="197" t="s">
        <v>91</v>
      </c>
      <c r="B4981" s="197" t="s">
        <v>21</v>
      </c>
      <c r="C4981" s="198" t="s">
        <v>459</v>
      </c>
      <c r="D4981" s="197" t="s">
        <v>460</v>
      </c>
      <c r="E4981" s="199">
        <v>4.0</v>
      </c>
      <c r="F4981" s="200">
        <v>45916.58333333333</v>
      </c>
      <c r="G4981" s="197" t="s">
        <v>845</v>
      </c>
      <c r="H4981" s="197" t="s">
        <v>884</v>
      </c>
    </row>
    <row r="4982" ht="15.75" customHeight="1">
      <c r="A4982" s="197" t="s">
        <v>91</v>
      </c>
      <c r="B4982" s="197" t="s">
        <v>21</v>
      </c>
      <c r="C4982" s="198" t="s">
        <v>459</v>
      </c>
      <c r="D4982" s="197" t="s">
        <v>460</v>
      </c>
      <c r="E4982" s="199">
        <v>5.0</v>
      </c>
      <c r="F4982" s="200">
        <v>45925.375</v>
      </c>
      <c r="G4982" s="197" t="s">
        <v>845</v>
      </c>
      <c r="H4982" s="197" t="s">
        <v>884</v>
      </c>
    </row>
    <row r="4983" ht="15.75" customHeight="1">
      <c r="A4983" s="197" t="s">
        <v>91</v>
      </c>
      <c r="B4983" s="197" t="s">
        <v>21</v>
      </c>
      <c r="C4983" s="198" t="s">
        <v>459</v>
      </c>
      <c r="D4983" s="197" t="s">
        <v>460</v>
      </c>
      <c r="E4983" s="199">
        <v>6.0</v>
      </c>
      <c r="F4983" s="200">
        <v>45932.54166666667</v>
      </c>
      <c r="G4983" s="197" t="s">
        <v>845</v>
      </c>
      <c r="H4983" s="197" t="s">
        <v>884</v>
      </c>
    </row>
    <row r="4984" ht="15.75" customHeight="1">
      <c r="A4984" s="197" t="s">
        <v>91</v>
      </c>
      <c r="B4984" s="197" t="s">
        <v>21</v>
      </c>
      <c r="C4984" s="198" t="s">
        <v>459</v>
      </c>
      <c r="D4984" s="197" t="s">
        <v>460</v>
      </c>
      <c r="E4984" s="199">
        <v>7.0</v>
      </c>
      <c r="F4984" s="200">
        <v>45939.54166666667</v>
      </c>
      <c r="G4984" s="197" t="s">
        <v>845</v>
      </c>
      <c r="H4984" s="197" t="s">
        <v>884</v>
      </c>
    </row>
    <row r="4985" ht="15.75" customHeight="1">
      <c r="A4985" s="197" t="s">
        <v>91</v>
      </c>
      <c r="B4985" s="197" t="s">
        <v>21</v>
      </c>
      <c r="C4985" s="198" t="s">
        <v>459</v>
      </c>
      <c r="D4985" s="197" t="s">
        <v>460</v>
      </c>
      <c r="E4985" s="199">
        <v>8.0</v>
      </c>
      <c r="F4985" s="200">
        <v>45946.54166666667</v>
      </c>
      <c r="G4985" s="197" t="s">
        <v>845</v>
      </c>
      <c r="H4985" s="197" t="s">
        <v>884</v>
      </c>
    </row>
    <row r="4986" ht="15.75" customHeight="1">
      <c r="A4986" s="197" t="s">
        <v>91</v>
      </c>
      <c r="B4986" s="197" t="s">
        <v>21</v>
      </c>
      <c r="C4986" s="198" t="s">
        <v>459</v>
      </c>
      <c r="D4986" s="197" t="s">
        <v>460</v>
      </c>
      <c r="E4986" s="199">
        <v>9.0</v>
      </c>
      <c r="F4986" s="200">
        <v>45952.54166666667</v>
      </c>
      <c r="G4986" s="197" t="s">
        <v>845</v>
      </c>
      <c r="H4986" s="197" t="s">
        <v>884</v>
      </c>
    </row>
    <row r="4987" ht="15.75" customHeight="1">
      <c r="A4987" s="197" t="s">
        <v>91</v>
      </c>
      <c r="B4987" s="197" t="s">
        <v>21</v>
      </c>
      <c r="C4987" s="198" t="s">
        <v>459</v>
      </c>
      <c r="D4987" s="197" t="s">
        <v>460</v>
      </c>
      <c r="E4987" s="199">
        <v>10.0</v>
      </c>
      <c r="F4987" s="200">
        <v>45959.54166666667</v>
      </c>
      <c r="G4987" s="197" t="s">
        <v>845</v>
      </c>
      <c r="H4987" s="197" t="s">
        <v>884</v>
      </c>
    </row>
    <row r="4988" ht="15.75" customHeight="1">
      <c r="A4988" s="197" t="s">
        <v>91</v>
      </c>
      <c r="B4988" s="197" t="s">
        <v>21</v>
      </c>
      <c r="C4988" s="198" t="s">
        <v>459</v>
      </c>
      <c r="D4988" s="197" t="s">
        <v>460</v>
      </c>
      <c r="E4988" s="199">
        <v>11.0</v>
      </c>
      <c r="F4988" s="200">
        <v>45964.54166666667</v>
      </c>
      <c r="G4988" s="197" t="s">
        <v>845</v>
      </c>
      <c r="H4988" s="197" t="s">
        <v>884</v>
      </c>
    </row>
    <row r="4989" ht="15.75" customHeight="1">
      <c r="A4989" s="197" t="s">
        <v>91</v>
      </c>
      <c r="B4989" s="197" t="s">
        <v>21</v>
      </c>
      <c r="C4989" s="198" t="s">
        <v>459</v>
      </c>
      <c r="D4989" s="197" t="s">
        <v>460</v>
      </c>
      <c r="E4989" s="199">
        <v>12.0</v>
      </c>
      <c r="F4989" s="200">
        <v>45979.54166666667</v>
      </c>
      <c r="G4989" s="197" t="s">
        <v>845</v>
      </c>
      <c r="H4989" s="197" t="s">
        <v>884</v>
      </c>
    </row>
    <row r="4990" ht="15.75" customHeight="1">
      <c r="A4990" s="197" t="s">
        <v>91</v>
      </c>
      <c r="B4990" s="197" t="s">
        <v>21</v>
      </c>
      <c r="C4990" s="198" t="s">
        <v>459</v>
      </c>
      <c r="D4990" s="197" t="s">
        <v>460</v>
      </c>
      <c r="E4990" s="199">
        <v>13.0</v>
      </c>
      <c r="F4990" s="200">
        <v>45988.54166666667</v>
      </c>
      <c r="G4990" s="197" t="s">
        <v>845</v>
      </c>
      <c r="H4990" s="197" t="s">
        <v>884</v>
      </c>
    </row>
    <row r="4991" ht="15.75" customHeight="1">
      <c r="A4991" s="197" t="s">
        <v>91</v>
      </c>
      <c r="B4991" s="197" t="s">
        <v>21</v>
      </c>
      <c r="C4991" s="198" t="s">
        <v>459</v>
      </c>
      <c r="D4991" s="197" t="s">
        <v>460</v>
      </c>
      <c r="E4991" s="199">
        <v>14.0</v>
      </c>
      <c r="F4991" s="200">
        <v>45995.54166666667</v>
      </c>
      <c r="G4991" s="197" t="s">
        <v>843</v>
      </c>
      <c r="H4991" s="197" t="s">
        <v>884</v>
      </c>
    </row>
    <row r="4992" ht="15.75" customHeight="1">
      <c r="A4992" s="197" t="s">
        <v>91</v>
      </c>
      <c r="B4992" s="197" t="s">
        <v>21</v>
      </c>
      <c r="C4992" s="198" t="s">
        <v>459</v>
      </c>
      <c r="D4992" s="197" t="s">
        <v>460</v>
      </c>
      <c r="E4992" s="199">
        <v>15.0</v>
      </c>
      <c r="F4992" s="200">
        <v>46000.54166666667</v>
      </c>
      <c r="G4992" s="197" t="s">
        <v>845</v>
      </c>
      <c r="H4992" s="197" t="s">
        <v>884</v>
      </c>
    </row>
    <row r="4993" ht="15.75" customHeight="1">
      <c r="A4993" s="197" t="s">
        <v>91</v>
      </c>
      <c r="B4993" s="197" t="s">
        <v>21</v>
      </c>
      <c r="C4993" s="198" t="s">
        <v>459</v>
      </c>
      <c r="D4993" s="197" t="s">
        <v>460</v>
      </c>
      <c r="E4993" s="199">
        <v>16.0</v>
      </c>
      <c r="F4993" s="200">
        <v>46036.54166666667</v>
      </c>
      <c r="G4993" s="197" t="s">
        <v>845</v>
      </c>
      <c r="H4993" s="197" t="s">
        <v>884</v>
      </c>
    </row>
    <row r="4994" ht="15.75" customHeight="1">
      <c r="A4994" s="197" t="s">
        <v>91</v>
      </c>
      <c r="B4994" s="197" t="s">
        <v>22</v>
      </c>
      <c r="C4994" s="198" t="s">
        <v>459</v>
      </c>
      <c r="D4994" s="197" t="s">
        <v>460</v>
      </c>
      <c r="E4994" s="199">
        <v>1.0</v>
      </c>
      <c r="F4994" s="200">
        <v>46093.54166666667</v>
      </c>
      <c r="G4994" s="197" t="s">
        <v>845</v>
      </c>
      <c r="H4994" s="197" t="s">
        <v>884</v>
      </c>
    </row>
    <row r="4995" ht="15.75" customHeight="1">
      <c r="A4995" s="197" t="s">
        <v>91</v>
      </c>
      <c r="B4995" s="197" t="s">
        <v>22</v>
      </c>
      <c r="C4995" s="198" t="s">
        <v>459</v>
      </c>
      <c r="D4995" s="197" t="s">
        <v>460</v>
      </c>
      <c r="E4995" s="199">
        <v>2.0</v>
      </c>
      <c r="F4995" s="200">
        <v>46107.54166666667</v>
      </c>
      <c r="G4995" s="197" t="s">
        <v>845</v>
      </c>
      <c r="H4995" s="197" t="s">
        <v>884</v>
      </c>
    </row>
    <row r="4996" ht="15.75" customHeight="1">
      <c r="A4996" s="197" t="s">
        <v>91</v>
      </c>
      <c r="B4996" s="197" t="s">
        <v>22</v>
      </c>
      <c r="C4996" s="198" t="s">
        <v>459</v>
      </c>
      <c r="D4996" s="197" t="s">
        <v>460</v>
      </c>
      <c r="E4996" s="199">
        <v>3.0</v>
      </c>
      <c r="F4996" s="200">
        <v>46128.54166666667</v>
      </c>
      <c r="G4996" s="197" t="s">
        <v>845</v>
      </c>
      <c r="H4996" s="197" t="s">
        <v>884</v>
      </c>
    </row>
    <row r="4997" ht="15.75" customHeight="1">
      <c r="A4997" s="197" t="s">
        <v>91</v>
      </c>
      <c r="B4997" s="197" t="s">
        <v>22</v>
      </c>
      <c r="C4997" s="198" t="s">
        <v>459</v>
      </c>
      <c r="D4997" s="197" t="s">
        <v>460</v>
      </c>
      <c r="E4997" s="199">
        <v>4.0</v>
      </c>
      <c r="F4997" s="200">
        <v>46134.54166666667</v>
      </c>
      <c r="G4997" s="197" t="s">
        <v>845</v>
      </c>
      <c r="H4997" s="197" t="s">
        <v>884</v>
      </c>
    </row>
    <row r="4998" ht="15.75" customHeight="1">
      <c r="A4998" s="197" t="s">
        <v>91</v>
      </c>
      <c r="B4998" s="197" t="s">
        <v>21</v>
      </c>
      <c r="C4998" s="198" t="s">
        <v>536</v>
      </c>
      <c r="D4998" s="197" t="s">
        <v>537</v>
      </c>
      <c r="E4998" s="199">
        <v>1.0</v>
      </c>
      <c r="F4998" s="200">
        <v>45909.54166666667</v>
      </c>
      <c r="G4998" s="197" t="s">
        <v>845</v>
      </c>
      <c r="H4998" s="197" t="s">
        <v>884</v>
      </c>
    </row>
    <row r="4999" ht="15.75" customHeight="1">
      <c r="A4999" s="197" t="s">
        <v>91</v>
      </c>
      <c r="B4999" s="197" t="s">
        <v>21</v>
      </c>
      <c r="C4999" s="198" t="s">
        <v>536</v>
      </c>
      <c r="D4999" s="197" t="s">
        <v>537</v>
      </c>
      <c r="E4999" s="199">
        <v>3.0</v>
      </c>
      <c r="F4999" s="200">
        <v>45912.625</v>
      </c>
      <c r="G4999" s="197" t="s">
        <v>845</v>
      </c>
      <c r="H4999" s="197" t="s">
        <v>884</v>
      </c>
    </row>
    <row r="5000" ht="15.75" customHeight="1">
      <c r="A5000" s="197" t="s">
        <v>91</v>
      </c>
      <c r="B5000" s="197" t="s">
        <v>21</v>
      </c>
      <c r="C5000" s="198" t="s">
        <v>536</v>
      </c>
      <c r="D5000" s="197" t="s">
        <v>537</v>
      </c>
      <c r="E5000" s="199">
        <v>4.0</v>
      </c>
      <c r="F5000" s="200">
        <v>45916.58333333333</v>
      </c>
      <c r="G5000" s="197" t="s">
        <v>845</v>
      </c>
      <c r="H5000" s="197" t="s">
        <v>884</v>
      </c>
    </row>
    <row r="5001" ht="15.75" customHeight="1">
      <c r="A5001" s="197" t="s">
        <v>91</v>
      </c>
      <c r="B5001" s="197" t="s">
        <v>21</v>
      </c>
      <c r="C5001" s="198" t="s">
        <v>536</v>
      </c>
      <c r="D5001" s="197" t="s">
        <v>537</v>
      </c>
      <c r="E5001" s="199">
        <v>5.0</v>
      </c>
      <c r="F5001" s="200">
        <v>45925.375</v>
      </c>
      <c r="G5001" s="197" t="s">
        <v>845</v>
      </c>
      <c r="H5001" s="197" t="s">
        <v>884</v>
      </c>
    </row>
    <row r="5002" ht="15.75" customHeight="1">
      <c r="A5002" s="197" t="s">
        <v>91</v>
      </c>
      <c r="B5002" s="197" t="s">
        <v>21</v>
      </c>
      <c r="C5002" s="198" t="s">
        <v>536</v>
      </c>
      <c r="D5002" s="197" t="s">
        <v>537</v>
      </c>
      <c r="E5002" s="199">
        <v>6.0</v>
      </c>
      <c r="F5002" s="200">
        <v>45932.54166666667</v>
      </c>
      <c r="G5002" s="197" t="s">
        <v>845</v>
      </c>
      <c r="H5002" s="197" t="s">
        <v>884</v>
      </c>
    </row>
    <row r="5003" ht="15.75" customHeight="1">
      <c r="A5003" s="197" t="s">
        <v>91</v>
      </c>
      <c r="B5003" s="197" t="s">
        <v>21</v>
      </c>
      <c r="C5003" s="198" t="s">
        <v>536</v>
      </c>
      <c r="D5003" s="197" t="s">
        <v>537</v>
      </c>
      <c r="E5003" s="199">
        <v>7.0</v>
      </c>
      <c r="F5003" s="200">
        <v>45939.54166666667</v>
      </c>
      <c r="G5003" s="197" t="s">
        <v>845</v>
      </c>
      <c r="H5003" s="197" t="s">
        <v>884</v>
      </c>
    </row>
    <row r="5004" ht="15.75" customHeight="1">
      <c r="A5004" s="197" t="s">
        <v>91</v>
      </c>
      <c r="B5004" s="197" t="s">
        <v>21</v>
      </c>
      <c r="C5004" s="198" t="s">
        <v>536</v>
      </c>
      <c r="D5004" s="197" t="s">
        <v>537</v>
      </c>
      <c r="E5004" s="199">
        <v>8.0</v>
      </c>
      <c r="F5004" s="200">
        <v>45946.54166666667</v>
      </c>
      <c r="G5004" s="197" t="s">
        <v>845</v>
      </c>
      <c r="H5004" s="197" t="s">
        <v>884</v>
      </c>
    </row>
    <row r="5005" ht="15.75" customHeight="1">
      <c r="A5005" s="197" t="s">
        <v>91</v>
      </c>
      <c r="B5005" s="197" t="s">
        <v>21</v>
      </c>
      <c r="C5005" s="198" t="s">
        <v>536</v>
      </c>
      <c r="D5005" s="197" t="s">
        <v>537</v>
      </c>
      <c r="E5005" s="199">
        <v>9.0</v>
      </c>
      <c r="F5005" s="200">
        <v>45952.54166666667</v>
      </c>
      <c r="G5005" s="197" t="s">
        <v>845</v>
      </c>
      <c r="H5005" s="197" t="s">
        <v>884</v>
      </c>
    </row>
    <row r="5006" ht="15.75" customHeight="1">
      <c r="A5006" s="197" t="s">
        <v>91</v>
      </c>
      <c r="B5006" s="197" t="s">
        <v>21</v>
      </c>
      <c r="C5006" s="198" t="s">
        <v>536</v>
      </c>
      <c r="D5006" s="197" t="s">
        <v>537</v>
      </c>
      <c r="E5006" s="199">
        <v>10.0</v>
      </c>
      <c r="F5006" s="200">
        <v>45959.54166666667</v>
      </c>
      <c r="G5006" s="197" t="s">
        <v>845</v>
      </c>
      <c r="H5006" s="197" t="s">
        <v>884</v>
      </c>
    </row>
    <row r="5007" ht="15.75" customHeight="1">
      <c r="A5007" s="197" t="s">
        <v>91</v>
      </c>
      <c r="B5007" s="197" t="s">
        <v>21</v>
      </c>
      <c r="C5007" s="198" t="s">
        <v>536</v>
      </c>
      <c r="D5007" s="197" t="s">
        <v>537</v>
      </c>
      <c r="E5007" s="199">
        <v>11.0</v>
      </c>
      <c r="F5007" s="200">
        <v>45964.54166666667</v>
      </c>
      <c r="G5007" s="197" t="s">
        <v>845</v>
      </c>
      <c r="H5007" s="197" t="s">
        <v>884</v>
      </c>
    </row>
    <row r="5008" ht="15.75" customHeight="1">
      <c r="A5008" s="197" t="s">
        <v>91</v>
      </c>
      <c r="B5008" s="197" t="s">
        <v>21</v>
      </c>
      <c r="C5008" s="198" t="s">
        <v>536</v>
      </c>
      <c r="D5008" s="197" t="s">
        <v>537</v>
      </c>
      <c r="E5008" s="199">
        <v>12.0</v>
      </c>
      <c r="F5008" s="200">
        <v>45979.54166666667</v>
      </c>
      <c r="G5008" s="197" t="s">
        <v>845</v>
      </c>
      <c r="H5008" s="197" t="s">
        <v>884</v>
      </c>
    </row>
    <row r="5009" ht="15.75" customHeight="1">
      <c r="A5009" s="197" t="s">
        <v>91</v>
      </c>
      <c r="B5009" s="197" t="s">
        <v>21</v>
      </c>
      <c r="C5009" s="198" t="s">
        <v>536</v>
      </c>
      <c r="D5009" s="197" t="s">
        <v>537</v>
      </c>
      <c r="E5009" s="199">
        <v>13.0</v>
      </c>
      <c r="F5009" s="200">
        <v>45988.54166666667</v>
      </c>
      <c r="G5009" s="197" t="s">
        <v>845</v>
      </c>
      <c r="H5009" s="197" t="s">
        <v>884</v>
      </c>
    </row>
    <row r="5010" ht="15.75" customHeight="1">
      <c r="A5010" s="197" t="s">
        <v>91</v>
      </c>
      <c r="B5010" s="197" t="s">
        <v>21</v>
      </c>
      <c r="C5010" s="198" t="s">
        <v>536</v>
      </c>
      <c r="D5010" s="197" t="s">
        <v>537</v>
      </c>
      <c r="E5010" s="199">
        <v>14.0</v>
      </c>
      <c r="F5010" s="200">
        <v>45995.54166666667</v>
      </c>
      <c r="G5010" s="197" t="s">
        <v>845</v>
      </c>
      <c r="H5010" s="197" t="s">
        <v>884</v>
      </c>
    </row>
    <row r="5011" ht="15.75" customHeight="1">
      <c r="A5011" s="197" t="s">
        <v>91</v>
      </c>
      <c r="B5011" s="197" t="s">
        <v>21</v>
      </c>
      <c r="C5011" s="198" t="s">
        <v>536</v>
      </c>
      <c r="D5011" s="197" t="s">
        <v>537</v>
      </c>
      <c r="E5011" s="199">
        <v>15.0</v>
      </c>
      <c r="F5011" s="200">
        <v>46000.54166666667</v>
      </c>
      <c r="G5011" s="197" t="s">
        <v>845</v>
      </c>
      <c r="H5011" s="197" t="s">
        <v>884</v>
      </c>
    </row>
    <row r="5012" ht="15.75" customHeight="1">
      <c r="A5012" s="197" t="s">
        <v>91</v>
      </c>
      <c r="B5012" s="197" t="s">
        <v>21</v>
      </c>
      <c r="C5012" s="198" t="s">
        <v>536</v>
      </c>
      <c r="D5012" s="197" t="s">
        <v>537</v>
      </c>
      <c r="E5012" s="199">
        <v>16.0</v>
      </c>
      <c r="F5012" s="200">
        <v>46036.54166666667</v>
      </c>
      <c r="G5012" s="197" t="s">
        <v>845</v>
      </c>
      <c r="H5012" s="197" t="s">
        <v>884</v>
      </c>
    </row>
    <row r="5013" ht="15.75" customHeight="1">
      <c r="A5013" s="197" t="s">
        <v>91</v>
      </c>
      <c r="B5013" s="197" t="s">
        <v>22</v>
      </c>
      <c r="C5013" s="198" t="s">
        <v>536</v>
      </c>
      <c r="D5013" s="197" t="s">
        <v>537</v>
      </c>
      <c r="E5013" s="199">
        <v>1.0</v>
      </c>
      <c r="F5013" s="200">
        <v>46093.54166666667</v>
      </c>
      <c r="G5013" s="197" t="s">
        <v>843</v>
      </c>
      <c r="H5013" s="197" t="s">
        <v>884</v>
      </c>
    </row>
    <row r="5014" ht="15.75" customHeight="1">
      <c r="A5014" s="197" t="s">
        <v>91</v>
      </c>
      <c r="B5014" s="197" t="s">
        <v>22</v>
      </c>
      <c r="C5014" s="198" t="s">
        <v>536</v>
      </c>
      <c r="D5014" s="197" t="s">
        <v>537</v>
      </c>
      <c r="E5014" s="199">
        <v>2.0</v>
      </c>
      <c r="F5014" s="200">
        <v>46107.54166666667</v>
      </c>
      <c r="G5014" s="197" t="s">
        <v>845</v>
      </c>
      <c r="H5014" s="197" t="s">
        <v>884</v>
      </c>
    </row>
    <row r="5015" ht="15.75" customHeight="1">
      <c r="A5015" s="197" t="s">
        <v>91</v>
      </c>
      <c r="B5015" s="197" t="s">
        <v>22</v>
      </c>
      <c r="C5015" s="198" t="s">
        <v>536</v>
      </c>
      <c r="D5015" s="197" t="s">
        <v>537</v>
      </c>
      <c r="E5015" s="199">
        <v>3.0</v>
      </c>
      <c r="F5015" s="200">
        <v>46128.54166666667</v>
      </c>
      <c r="G5015" s="197" t="s">
        <v>845</v>
      </c>
      <c r="H5015" s="197" t="s">
        <v>884</v>
      </c>
    </row>
    <row r="5016" ht="15.75" customHeight="1">
      <c r="A5016" s="197" t="s">
        <v>91</v>
      </c>
      <c r="B5016" s="197" t="s">
        <v>22</v>
      </c>
      <c r="C5016" s="198" t="s">
        <v>536</v>
      </c>
      <c r="D5016" s="197" t="s">
        <v>537</v>
      </c>
      <c r="E5016" s="199">
        <v>4.0</v>
      </c>
      <c r="F5016" s="200">
        <v>46134.54166666667</v>
      </c>
      <c r="G5016" s="197" t="s">
        <v>843</v>
      </c>
      <c r="H5016" s="197" t="s">
        <v>884</v>
      </c>
    </row>
    <row r="5017" ht="15.75" customHeight="1">
      <c r="A5017" s="197" t="s">
        <v>91</v>
      </c>
      <c r="B5017" s="197" t="s">
        <v>21</v>
      </c>
      <c r="C5017" s="198" t="s">
        <v>609</v>
      </c>
      <c r="D5017" s="197" t="s">
        <v>610</v>
      </c>
      <c r="E5017" s="199">
        <v>1.0</v>
      </c>
      <c r="F5017" s="200">
        <v>45909.54166666667</v>
      </c>
      <c r="G5017" s="197" t="s">
        <v>845</v>
      </c>
      <c r="H5017" s="197" t="s">
        <v>884</v>
      </c>
    </row>
    <row r="5018" ht="15.75" customHeight="1">
      <c r="A5018" s="197" t="s">
        <v>91</v>
      </c>
      <c r="B5018" s="197" t="s">
        <v>21</v>
      </c>
      <c r="C5018" s="198" t="s">
        <v>609</v>
      </c>
      <c r="D5018" s="197" t="s">
        <v>610</v>
      </c>
      <c r="E5018" s="199">
        <v>3.0</v>
      </c>
      <c r="F5018" s="200">
        <v>45912.625</v>
      </c>
      <c r="G5018" s="197" t="s">
        <v>845</v>
      </c>
      <c r="H5018" s="197" t="s">
        <v>884</v>
      </c>
    </row>
    <row r="5019" ht="15.75" customHeight="1">
      <c r="A5019" s="197" t="s">
        <v>91</v>
      </c>
      <c r="B5019" s="197" t="s">
        <v>21</v>
      </c>
      <c r="C5019" s="198" t="s">
        <v>609</v>
      </c>
      <c r="D5019" s="197" t="s">
        <v>610</v>
      </c>
      <c r="E5019" s="199">
        <v>4.0</v>
      </c>
      <c r="F5019" s="200">
        <v>45916.58333333333</v>
      </c>
      <c r="G5019" s="197" t="s">
        <v>845</v>
      </c>
      <c r="H5019" s="197" t="s">
        <v>884</v>
      </c>
    </row>
    <row r="5020" ht="15.75" customHeight="1">
      <c r="A5020" s="197" t="s">
        <v>91</v>
      </c>
      <c r="B5020" s="197" t="s">
        <v>21</v>
      </c>
      <c r="C5020" s="198" t="s">
        <v>609</v>
      </c>
      <c r="D5020" s="197" t="s">
        <v>610</v>
      </c>
      <c r="E5020" s="199">
        <v>5.0</v>
      </c>
      <c r="F5020" s="200">
        <v>45925.375</v>
      </c>
      <c r="G5020" s="197" t="s">
        <v>845</v>
      </c>
      <c r="H5020" s="197" t="s">
        <v>884</v>
      </c>
    </row>
    <row r="5021" ht="15.75" customHeight="1">
      <c r="A5021" s="197" t="s">
        <v>91</v>
      </c>
      <c r="B5021" s="197" t="s">
        <v>21</v>
      </c>
      <c r="C5021" s="198" t="s">
        <v>609</v>
      </c>
      <c r="D5021" s="197" t="s">
        <v>610</v>
      </c>
      <c r="E5021" s="199">
        <v>6.0</v>
      </c>
      <c r="F5021" s="200">
        <v>45932.54166666667</v>
      </c>
      <c r="G5021" s="197" t="s">
        <v>845</v>
      </c>
      <c r="H5021" s="197" t="s">
        <v>884</v>
      </c>
    </row>
    <row r="5022" ht="15.75" customHeight="1">
      <c r="A5022" s="197" t="s">
        <v>91</v>
      </c>
      <c r="B5022" s="197" t="s">
        <v>21</v>
      </c>
      <c r="C5022" s="198" t="s">
        <v>609</v>
      </c>
      <c r="D5022" s="197" t="s">
        <v>610</v>
      </c>
      <c r="E5022" s="199">
        <v>7.0</v>
      </c>
      <c r="F5022" s="200">
        <v>45939.54166666667</v>
      </c>
      <c r="G5022" s="197" t="s">
        <v>845</v>
      </c>
      <c r="H5022" s="197" t="s">
        <v>884</v>
      </c>
    </row>
    <row r="5023" ht="15.75" customHeight="1">
      <c r="A5023" s="197" t="s">
        <v>91</v>
      </c>
      <c r="B5023" s="197" t="s">
        <v>21</v>
      </c>
      <c r="C5023" s="198" t="s">
        <v>609</v>
      </c>
      <c r="D5023" s="197" t="s">
        <v>610</v>
      </c>
      <c r="E5023" s="199">
        <v>8.0</v>
      </c>
      <c r="F5023" s="200">
        <v>45946.54166666667</v>
      </c>
      <c r="G5023" s="197" t="s">
        <v>845</v>
      </c>
      <c r="H5023" s="197" t="s">
        <v>884</v>
      </c>
    </row>
    <row r="5024" ht="15.75" customHeight="1">
      <c r="A5024" s="197" t="s">
        <v>91</v>
      </c>
      <c r="B5024" s="197" t="s">
        <v>21</v>
      </c>
      <c r="C5024" s="198" t="s">
        <v>609</v>
      </c>
      <c r="D5024" s="197" t="s">
        <v>610</v>
      </c>
      <c r="E5024" s="199">
        <v>9.0</v>
      </c>
      <c r="F5024" s="200">
        <v>45952.54166666667</v>
      </c>
      <c r="G5024" s="197" t="s">
        <v>845</v>
      </c>
      <c r="H5024" s="197" t="s">
        <v>884</v>
      </c>
    </row>
    <row r="5025" ht="15.75" customHeight="1">
      <c r="A5025" s="197" t="s">
        <v>91</v>
      </c>
      <c r="B5025" s="197" t="s">
        <v>21</v>
      </c>
      <c r="C5025" s="198" t="s">
        <v>609</v>
      </c>
      <c r="D5025" s="197" t="s">
        <v>610</v>
      </c>
      <c r="E5025" s="199">
        <v>10.0</v>
      </c>
      <c r="F5025" s="200">
        <v>45959.54166666667</v>
      </c>
      <c r="G5025" s="197" t="s">
        <v>845</v>
      </c>
      <c r="H5025" s="197" t="s">
        <v>884</v>
      </c>
    </row>
    <row r="5026" ht="15.75" customHeight="1">
      <c r="A5026" s="197" t="s">
        <v>91</v>
      </c>
      <c r="B5026" s="197" t="s">
        <v>21</v>
      </c>
      <c r="C5026" s="198" t="s">
        <v>609</v>
      </c>
      <c r="D5026" s="197" t="s">
        <v>610</v>
      </c>
      <c r="E5026" s="199">
        <v>11.0</v>
      </c>
      <c r="F5026" s="200">
        <v>45964.54166666667</v>
      </c>
      <c r="G5026" s="197" t="s">
        <v>845</v>
      </c>
      <c r="H5026" s="197" t="s">
        <v>884</v>
      </c>
    </row>
    <row r="5027" ht="15.75" customHeight="1">
      <c r="A5027" s="197" t="s">
        <v>91</v>
      </c>
      <c r="B5027" s="197" t="s">
        <v>21</v>
      </c>
      <c r="C5027" s="198" t="s">
        <v>609</v>
      </c>
      <c r="D5027" s="197" t="s">
        <v>610</v>
      </c>
      <c r="E5027" s="199">
        <v>12.0</v>
      </c>
      <c r="F5027" s="200">
        <v>45979.54166666667</v>
      </c>
      <c r="G5027" s="197" t="s">
        <v>845</v>
      </c>
      <c r="H5027" s="197" t="s">
        <v>884</v>
      </c>
    </row>
    <row r="5028" ht="15.75" customHeight="1">
      <c r="A5028" s="197" t="s">
        <v>91</v>
      </c>
      <c r="B5028" s="197" t="s">
        <v>21</v>
      </c>
      <c r="C5028" s="198" t="s">
        <v>609</v>
      </c>
      <c r="D5028" s="197" t="s">
        <v>610</v>
      </c>
      <c r="E5028" s="199">
        <v>13.0</v>
      </c>
      <c r="F5028" s="200">
        <v>45988.54166666667</v>
      </c>
      <c r="G5028" s="197" t="s">
        <v>845</v>
      </c>
      <c r="H5028" s="197" t="s">
        <v>884</v>
      </c>
    </row>
    <row r="5029" ht="15.75" customHeight="1">
      <c r="A5029" s="197" t="s">
        <v>91</v>
      </c>
      <c r="B5029" s="197" t="s">
        <v>21</v>
      </c>
      <c r="C5029" s="198" t="s">
        <v>609</v>
      </c>
      <c r="D5029" s="197" t="s">
        <v>610</v>
      </c>
      <c r="E5029" s="199">
        <v>14.0</v>
      </c>
      <c r="F5029" s="200">
        <v>45995.54166666667</v>
      </c>
      <c r="G5029" s="197" t="s">
        <v>845</v>
      </c>
      <c r="H5029" s="197" t="s">
        <v>884</v>
      </c>
    </row>
    <row r="5030" ht="15.75" customHeight="1">
      <c r="A5030" s="197" t="s">
        <v>91</v>
      </c>
      <c r="B5030" s="197" t="s">
        <v>21</v>
      </c>
      <c r="C5030" s="198" t="s">
        <v>609</v>
      </c>
      <c r="D5030" s="197" t="s">
        <v>610</v>
      </c>
      <c r="E5030" s="199">
        <v>15.0</v>
      </c>
      <c r="F5030" s="200">
        <v>46000.54166666667</v>
      </c>
      <c r="G5030" s="197" t="s">
        <v>845</v>
      </c>
      <c r="H5030" s="197" t="s">
        <v>884</v>
      </c>
    </row>
    <row r="5031" ht="15.75" customHeight="1">
      <c r="A5031" s="197" t="s">
        <v>91</v>
      </c>
      <c r="B5031" s="197" t="s">
        <v>21</v>
      </c>
      <c r="C5031" s="198" t="s">
        <v>609</v>
      </c>
      <c r="D5031" s="197" t="s">
        <v>610</v>
      </c>
      <c r="E5031" s="199">
        <v>16.0</v>
      </c>
      <c r="F5031" s="200">
        <v>46036.54166666667</v>
      </c>
      <c r="G5031" s="197" t="s">
        <v>845</v>
      </c>
      <c r="H5031" s="197" t="s">
        <v>884</v>
      </c>
    </row>
    <row r="5032" ht="15.75" customHeight="1">
      <c r="A5032" s="197" t="s">
        <v>91</v>
      </c>
      <c r="B5032" s="197" t="s">
        <v>22</v>
      </c>
      <c r="C5032" s="198" t="s">
        <v>609</v>
      </c>
      <c r="D5032" s="197" t="s">
        <v>610</v>
      </c>
      <c r="E5032" s="199">
        <v>1.0</v>
      </c>
      <c r="F5032" s="200">
        <v>46093.54166666667</v>
      </c>
      <c r="G5032" s="197" t="s">
        <v>845</v>
      </c>
      <c r="H5032" s="197" t="s">
        <v>884</v>
      </c>
    </row>
    <row r="5033" ht="15.75" customHeight="1">
      <c r="A5033" s="197" t="s">
        <v>91</v>
      </c>
      <c r="B5033" s="197" t="s">
        <v>22</v>
      </c>
      <c r="C5033" s="198" t="s">
        <v>609</v>
      </c>
      <c r="D5033" s="197" t="s">
        <v>610</v>
      </c>
      <c r="E5033" s="199">
        <v>2.0</v>
      </c>
      <c r="F5033" s="200">
        <v>46107.54166666667</v>
      </c>
      <c r="G5033" s="197" t="s">
        <v>845</v>
      </c>
      <c r="H5033" s="197" t="s">
        <v>884</v>
      </c>
    </row>
    <row r="5034" ht="15.75" customHeight="1">
      <c r="A5034" s="197" t="s">
        <v>91</v>
      </c>
      <c r="B5034" s="197" t="s">
        <v>22</v>
      </c>
      <c r="C5034" s="198" t="s">
        <v>609</v>
      </c>
      <c r="D5034" s="197" t="s">
        <v>610</v>
      </c>
      <c r="E5034" s="199">
        <v>3.0</v>
      </c>
      <c r="F5034" s="200">
        <v>46128.54166666667</v>
      </c>
      <c r="G5034" s="197" t="s">
        <v>845</v>
      </c>
      <c r="H5034" s="197" t="s">
        <v>884</v>
      </c>
    </row>
    <row r="5035" ht="15.75" customHeight="1">
      <c r="A5035" s="197" t="s">
        <v>91</v>
      </c>
      <c r="B5035" s="197" t="s">
        <v>22</v>
      </c>
      <c r="C5035" s="198" t="s">
        <v>609</v>
      </c>
      <c r="D5035" s="197" t="s">
        <v>610</v>
      </c>
      <c r="E5035" s="199">
        <v>4.0</v>
      </c>
      <c r="F5035" s="200">
        <v>46134.54166666667</v>
      </c>
      <c r="G5035" s="197" t="s">
        <v>845</v>
      </c>
      <c r="H5035" s="197" t="s">
        <v>884</v>
      </c>
    </row>
    <row r="5036" ht="15.75" customHeight="1">
      <c r="A5036" s="197" t="s">
        <v>92</v>
      </c>
      <c r="B5036" s="197" t="s">
        <v>25</v>
      </c>
      <c r="C5036" s="198" t="s">
        <v>153</v>
      </c>
      <c r="D5036" s="197" t="s">
        <v>154</v>
      </c>
      <c r="E5036" s="199">
        <v>4.0</v>
      </c>
      <c r="F5036" s="200">
        <v>45938.58333333333</v>
      </c>
      <c r="G5036" s="197" t="s">
        <v>845</v>
      </c>
      <c r="H5036" s="197" t="s">
        <v>885</v>
      </c>
    </row>
    <row r="5037" ht="15.75" customHeight="1">
      <c r="A5037" s="197" t="s">
        <v>92</v>
      </c>
      <c r="B5037" s="197" t="s">
        <v>25</v>
      </c>
      <c r="C5037" s="198" t="s">
        <v>153</v>
      </c>
      <c r="D5037" s="197" t="s">
        <v>154</v>
      </c>
      <c r="E5037" s="199">
        <v>5.0</v>
      </c>
      <c r="F5037" s="200">
        <v>45947.54166666667</v>
      </c>
      <c r="G5037" s="197" t="s">
        <v>843</v>
      </c>
      <c r="H5037" s="197" t="s">
        <v>885</v>
      </c>
    </row>
    <row r="5038" ht="15.75" customHeight="1">
      <c r="A5038" s="197" t="s">
        <v>92</v>
      </c>
      <c r="B5038" s="197" t="s">
        <v>25</v>
      </c>
      <c r="C5038" s="198" t="s">
        <v>153</v>
      </c>
      <c r="D5038" s="197" t="s">
        <v>154</v>
      </c>
      <c r="E5038" s="199">
        <v>6.0</v>
      </c>
      <c r="F5038" s="200">
        <v>45952.625</v>
      </c>
      <c r="G5038" s="197" t="s">
        <v>845</v>
      </c>
      <c r="H5038" s="197" t="s">
        <v>885</v>
      </c>
    </row>
    <row r="5039" ht="15.75" customHeight="1">
      <c r="A5039" s="197" t="s">
        <v>92</v>
      </c>
      <c r="B5039" s="197" t="s">
        <v>25</v>
      </c>
      <c r="C5039" s="198" t="s">
        <v>153</v>
      </c>
      <c r="D5039" s="197" t="s">
        <v>154</v>
      </c>
      <c r="E5039" s="199">
        <v>7.0</v>
      </c>
      <c r="F5039" s="200">
        <v>45961.58333333333</v>
      </c>
      <c r="G5039" s="197" t="s">
        <v>845</v>
      </c>
      <c r="H5039" s="197" t="s">
        <v>885</v>
      </c>
    </row>
    <row r="5040" ht="15.75" customHeight="1">
      <c r="A5040" s="197" t="s">
        <v>92</v>
      </c>
      <c r="B5040" s="197" t="s">
        <v>25</v>
      </c>
      <c r="C5040" s="198" t="s">
        <v>153</v>
      </c>
      <c r="D5040" s="197" t="s">
        <v>154</v>
      </c>
      <c r="E5040" s="199">
        <v>8.0</v>
      </c>
      <c r="F5040" s="200">
        <v>45966.625</v>
      </c>
      <c r="G5040" s="197" t="s">
        <v>845</v>
      </c>
      <c r="H5040" s="197" t="s">
        <v>885</v>
      </c>
    </row>
    <row r="5041" ht="15.75" customHeight="1">
      <c r="A5041" s="197" t="s">
        <v>92</v>
      </c>
      <c r="B5041" s="197" t="s">
        <v>25</v>
      </c>
      <c r="C5041" s="198" t="s">
        <v>153</v>
      </c>
      <c r="D5041" s="197" t="s">
        <v>154</v>
      </c>
      <c r="E5041" s="199">
        <v>9.0</v>
      </c>
      <c r="F5041" s="200">
        <v>45974.58333333333</v>
      </c>
      <c r="G5041" s="197" t="s">
        <v>845</v>
      </c>
      <c r="H5041" s="197" t="s">
        <v>885</v>
      </c>
    </row>
    <row r="5042" ht="15.75" customHeight="1">
      <c r="A5042" s="197" t="s">
        <v>92</v>
      </c>
      <c r="B5042" s="197" t="s">
        <v>25</v>
      </c>
      <c r="C5042" s="198" t="s">
        <v>153</v>
      </c>
      <c r="D5042" s="197" t="s">
        <v>154</v>
      </c>
      <c r="E5042" s="199">
        <v>10.0</v>
      </c>
      <c r="F5042" s="200">
        <v>45982.625</v>
      </c>
      <c r="G5042" s="197" t="s">
        <v>843</v>
      </c>
      <c r="H5042" s="197" t="s">
        <v>885</v>
      </c>
    </row>
    <row r="5043" ht="15.75" customHeight="1">
      <c r="A5043" s="197" t="s">
        <v>92</v>
      </c>
      <c r="B5043" s="197" t="s">
        <v>25</v>
      </c>
      <c r="C5043" s="198" t="s">
        <v>153</v>
      </c>
      <c r="D5043" s="197" t="s">
        <v>154</v>
      </c>
      <c r="E5043" s="199">
        <v>11.0</v>
      </c>
      <c r="F5043" s="200">
        <v>45989.58333333333</v>
      </c>
      <c r="G5043" s="197" t="s">
        <v>845</v>
      </c>
      <c r="H5043" s="197" t="s">
        <v>885</v>
      </c>
    </row>
    <row r="5044" ht="15.75" customHeight="1">
      <c r="A5044" s="197" t="s">
        <v>92</v>
      </c>
      <c r="B5044" s="197" t="s">
        <v>25</v>
      </c>
      <c r="C5044" s="198" t="s">
        <v>153</v>
      </c>
      <c r="D5044" s="197" t="s">
        <v>154</v>
      </c>
      <c r="E5044" s="199">
        <v>12.0</v>
      </c>
      <c r="F5044" s="200">
        <v>45994.54166666667</v>
      </c>
      <c r="G5044" s="197" t="s">
        <v>845</v>
      </c>
      <c r="H5044" s="197" t="s">
        <v>885</v>
      </c>
    </row>
    <row r="5045" ht="15.75" customHeight="1">
      <c r="A5045" s="197" t="s">
        <v>92</v>
      </c>
      <c r="B5045" s="197" t="s">
        <v>25</v>
      </c>
      <c r="C5045" s="198" t="s">
        <v>153</v>
      </c>
      <c r="D5045" s="197" t="s">
        <v>154</v>
      </c>
      <c r="E5045" s="199">
        <v>13.0</v>
      </c>
      <c r="F5045" s="200">
        <v>46010.58333333333</v>
      </c>
      <c r="G5045" s="197" t="s">
        <v>843</v>
      </c>
      <c r="H5045" s="197" t="s">
        <v>885</v>
      </c>
    </row>
    <row r="5046" ht="15.75" customHeight="1">
      <c r="A5046" s="197" t="s">
        <v>92</v>
      </c>
      <c r="B5046" s="197" t="s">
        <v>25</v>
      </c>
      <c r="C5046" s="198" t="s">
        <v>153</v>
      </c>
      <c r="D5046" s="197" t="s">
        <v>154</v>
      </c>
      <c r="E5046" s="199">
        <v>14.0</v>
      </c>
      <c r="F5046" s="200">
        <v>46049.54166666667</v>
      </c>
      <c r="G5046" s="197" t="s">
        <v>845</v>
      </c>
      <c r="H5046" s="197" t="s">
        <v>885</v>
      </c>
    </row>
    <row r="5047" ht="15.75" customHeight="1">
      <c r="A5047" s="197" t="s">
        <v>92</v>
      </c>
      <c r="B5047" s="197" t="s">
        <v>25</v>
      </c>
      <c r="C5047" s="198" t="s">
        <v>153</v>
      </c>
      <c r="D5047" s="197" t="s">
        <v>154</v>
      </c>
      <c r="E5047" s="199">
        <v>15.0</v>
      </c>
      <c r="F5047" s="200">
        <v>46052.58333333333</v>
      </c>
      <c r="G5047" s="197" t="s">
        <v>843</v>
      </c>
      <c r="H5047" s="197" t="s">
        <v>885</v>
      </c>
    </row>
    <row r="5048" ht="15.75" customHeight="1">
      <c r="A5048" s="197" t="s">
        <v>92</v>
      </c>
      <c r="B5048" s="197" t="s">
        <v>25</v>
      </c>
      <c r="C5048" s="198" t="s">
        <v>153</v>
      </c>
      <c r="D5048" s="197" t="s">
        <v>154</v>
      </c>
      <c r="E5048" s="199">
        <v>16.0</v>
      </c>
      <c r="F5048" s="200">
        <v>46083.58333333333</v>
      </c>
      <c r="G5048" s="197" t="s">
        <v>845</v>
      </c>
      <c r="H5048" s="197" t="s">
        <v>885</v>
      </c>
    </row>
    <row r="5049" ht="15.75" customHeight="1">
      <c r="A5049" s="197" t="s">
        <v>92</v>
      </c>
      <c r="B5049" s="197" t="s">
        <v>25</v>
      </c>
      <c r="C5049" s="198" t="s">
        <v>269</v>
      </c>
      <c r="D5049" s="197" t="s">
        <v>270</v>
      </c>
      <c r="E5049" s="199">
        <v>4.0</v>
      </c>
      <c r="F5049" s="200">
        <v>45938.58333333333</v>
      </c>
      <c r="G5049" s="197" t="s">
        <v>843</v>
      </c>
      <c r="H5049" s="197" t="s">
        <v>885</v>
      </c>
    </row>
    <row r="5050" ht="15.75" customHeight="1">
      <c r="A5050" s="197" t="s">
        <v>92</v>
      </c>
      <c r="B5050" s="197" t="s">
        <v>25</v>
      </c>
      <c r="C5050" s="198" t="s">
        <v>269</v>
      </c>
      <c r="D5050" s="197" t="s">
        <v>270</v>
      </c>
      <c r="E5050" s="199">
        <v>5.0</v>
      </c>
      <c r="F5050" s="200">
        <v>45947.54166666667</v>
      </c>
      <c r="G5050" s="197" t="s">
        <v>845</v>
      </c>
      <c r="H5050" s="197" t="s">
        <v>885</v>
      </c>
    </row>
    <row r="5051" ht="15.75" customHeight="1">
      <c r="A5051" s="197" t="s">
        <v>92</v>
      </c>
      <c r="B5051" s="197" t="s">
        <v>25</v>
      </c>
      <c r="C5051" s="198" t="s">
        <v>269</v>
      </c>
      <c r="D5051" s="197" t="s">
        <v>270</v>
      </c>
      <c r="E5051" s="199">
        <v>6.0</v>
      </c>
      <c r="F5051" s="200">
        <v>45952.625</v>
      </c>
      <c r="G5051" s="197" t="s">
        <v>845</v>
      </c>
      <c r="H5051" s="197" t="s">
        <v>885</v>
      </c>
    </row>
    <row r="5052" ht="15.75" customHeight="1">
      <c r="A5052" s="197" t="s">
        <v>92</v>
      </c>
      <c r="B5052" s="197" t="s">
        <v>25</v>
      </c>
      <c r="C5052" s="198" t="s">
        <v>269</v>
      </c>
      <c r="D5052" s="197" t="s">
        <v>270</v>
      </c>
      <c r="E5052" s="199">
        <v>7.0</v>
      </c>
      <c r="F5052" s="200">
        <v>45961.58333333333</v>
      </c>
      <c r="G5052" s="197" t="s">
        <v>845</v>
      </c>
      <c r="H5052" s="197" t="s">
        <v>885</v>
      </c>
    </row>
    <row r="5053" ht="15.75" customHeight="1">
      <c r="A5053" s="197" t="s">
        <v>92</v>
      </c>
      <c r="B5053" s="197" t="s">
        <v>25</v>
      </c>
      <c r="C5053" s="198" t="s">
        <v>269</v>
      </c>
      <c r="D5053" s="197" t="s">
        <v>270</v>
      </c>
      <c r="E5053" s="199">
        <v>8.0</v>
      </c>
      <c r="F5053" s="200">
        <v>45966.625</v>
      </c>
      <c r="G5053" s="197" t="s">
        <v>843</v>
      </c>
      <c r="H5053" s="197" t="s">
        <v>885</v>
      </c>
    </row>
    <row r="5054" ht="15.75" customHeight="1">
      <c r="A5054" s="197" t="s">
        <v>92</v>
      </c>
      <c r="B5054" s="197" t="s">
        <v>25</v>
      </c>
      <c r="C5054" s="198" t="s">
        <v>269</v>
      </c>
      <c r="D5054" s="197" t="s">
        <v>270</v>
      </c>
      <c r="E5054" s="199">
        <v>9.0</v>
      </c>
      <c r="F5054" s="200">
        <v>45974.58333333333</v>
      </c>
      <c r="G5054" s="197" t="s">
        <v>845</v>
      </c>
      <c r="H5054" s="197" t="s">
        <v>885</v>
      </c>
    </row>
    <row r="5055" ht="15.75" customHeight="1">
      <c r="A5055" s="197" t="s">
        <v>92</v>
      </c>
      <c r="B5055" s="197" t="s">
        <v>25</v>
      </c>
      <c r="C5055" s="198" t="s">
        <v>269</v>
      </c>
      <c r="D5055" s="197" t="s">
        <v>270</v>
      </c>
      <c r="E5055" s="199">
        <v>10.0</v>
      </c>
      <c r="F5055" s="200">
        <v>45982.625</v>
      </c>
      <c r="G5055" s="197" t="s">
        <v>845</v>
      </c>
      <c r="H5055" s="197" t="s">
        <v>885</v>
      </c>
    </row>
    <row r="5056" ht="15.75" customHeight="1">
      <c r="A5056" s="197" t="s">
        <v>92</v>
      </c>
      <c r="B5056" s="197" t="s">
        <v>25</v>
      </c>
      <c r="C5056" s="198" t="s">
        <v>269</v>
      </c>
      <c r="D5056" s="197" t="s">
        <v>270</v>
      </c>
      <c r="E5056" s="199">
        <v>11.0</v>
      </c>
      <c r="F5056" s="200">
        <v>45989.58333333333</v>
      </c>
      <c r="G5056" s="197" t="s">
        <v>845</v>
      </c>
      <c r="H5056" s="197" t="s">
        <v>885</v>
      </c>
    </row>
    <row r="5057" ht="15.75" customHeight="1">
      <c r="A5057" s="197" t="s">
        <v>92</v>
      </c>
      <c r="B5057" s="197" t="s">
        <v>25</v>
      </c>
      <c r="C5057" s="198" t="s">
        <v>269</v>
      </c>
      <c r="D5057" s="197" t="s">
        <v>270</v>
      </c>
      <c r="E5057" s="199">
        <v>12.0</v>
      </c>
      <c r="F5057" s="200">
        <v>45994.54166666667</v>
      </c>
      <c r="G5057" s="197" t="s">
        <v>845</v>
      </c>
      <c r="H5057" s="197" t="s">
        <v>885</v>
      </c>
    </row>
    <row r="5058" ht="15.75" customHeight="1">
      <c r="A5058" s="197" t="s">
        <v>92</v>
      </c>
      <c r="B5058" s="197" t="s">
        <v>25</v>
      </c>
      <c r="C5058" s="198" t="s">
        <v>269</v>
      </c>
      <c r="D5058" s="197" t="s">
        <v>270</v>
      </c>
      <c r="E5058" s="199">
        <v>13.0</v>
      </c>
      <c r="F5058" s="200">
        <v>46010.58333333333</v>
      </c>
      <c r="G5058" s="197" t="s">
        <v>845</v>
      </c>
      <c r="H5058" s="197" t="s">
        <v>885</v>
      </c>
    </row>
    <row r="5059" ht="15.75" customHeight="1">
      <c r="A5059" s="197" t="s">
        <v>92</v>
      </c>
      <c r="B5059" s="197" t="s">
        <v>25</v>
      </c>
      <c r="C5059" s="198" t="s">
        <v>269</v>
      </c>
      <c r="D5059" s="197" t="s">
        <v>270</v>
      </c>
      <c r="E5059" s="199">
        <v>14.0</v>
      </c>
      <c r="F5059" s="200">
        <v>46049.54166666667</v>
      </c>
      <c r="G5059" s="197" t="s">
        <v>845</v>
      </c>
      <c r="H5059" s="197" t="s">
        <v>885</v>
      </c>
    </row>
    <row r="5060" ht="15.75" customHeight="1">
      <c r="A5060" s="197" t="s">
        <v>92</v>
      </c>
      <c r="B5060" s="197" t="s">
        <v>25</v>
      </c>
      <c r="C5060" s="198" t="s">
        <v>269</v>
      </c>
      <c r="D5060" s="197" t="s">
        <v>270</v>
      </c>
      <c r="E5060" s="199">
        <v>15.0</v>
      </c>
      <c r="F5060" s="200">
        <v>46052.58333333333</v>
      </c>
      <c r="G5060" s="197" t="s">
        <v>845</v>
      </c>
      <c r="H5060" s="197" t="s">
        <v>885</v>
      </c>
    </row>
    <row r="5061" ht="15.75" customHeight="1">
      <c r="A5061" s="197" t="s">
        <v>92</v>
      </c>
      <c r="B5061" s="197" t="s">
        <v>25</v>
      </c>
      <c r="C5061" s="198" t="s">
        <v>269</v>
      </c>
      <c r="D5061" s="197" t="s">
        <v>270</v>
      </c>
      <c r="E5061" s="199">
        <v>16.0</v>
      </c>
      <c r="F5061" s="200">
        <v>46083.58333333333</v>
      </c>
      <c r="G5061" s="197" t="s">
        <v>845</v>
      </c>
      <c r="H5061" s="197" t="s">
        <v>885</v>
      </c>
    </row>
    <row r="5062" ht="15.75" customHeight="1">
      <c r="A5062" s="197" t="s">
        <v>92</v>
      </c>
      <c r="B5062" s="197" t="s">
        <v>25</v>
      </c>
      <c r="C5062" s="198" t="s">
        <v>273</v>
      </c>
      <c r="D5062" s="197" t="s">
        <v>274</v>
      </c>
      <c r="E5062" s="199">
        <v>4.0</v>
      </c>
      <c r="F5062" s="200">
        <v>45938.58333333333</v>
      </c>
      <c r="G5062" s="197" t="s">
        <v>845</v>
      </c>
      <c r="H5062" s="197" t="s">
        <v>885</v>
      </c>
    </row>
    <row r="5063" ht="15.75" customHeight="1">
      <c r="A5063" s="197" t="s">
        <v>92</v>
      </c>
      <c r="B5063" s="197" t="s">
        <v>25</v>
      </c>
      <c r="C5063" s="198" t="s">
        <v>273</v>
      </c>
      <c r="D5063" s="197" t="s">
        <v>274</v>
      </c>
      <c r="E5063" s="199">
        <v>5.0</v>
      </c>
      <c r="F5063" s="200">
        <v>45947.54166666667</v>
      </c>
      <c r="G5063" s="197" t="s">
        <v>845</v>
      </c>
      <c r="H5063" s="197" t="s">
        <v>885</v>
      </c>
    </row>
    <row r="5064" ht="15.75" customHeight="1">
      <c r="A5064" s="197" t="s">
        <v>92</v>
      </c>
      <c r="B5064" s="197" t="s">
        <v>25</v>
      </c>
      <c r="C5064" s="198" t="s">
        <v>273</v>
      </c>
      <c r="D5064" s="197" t="s">
        <v>274</v>
      </c>
      <c r="E5064" s="199">
        <v>6.0</v>
      </c>
      <c r="F5064" s="200">
        <v>45952.625</v>
      </c>
      <c r="G5064" s="197" t="s">
        <v>845</v>
      </c>
      <c r="H5064" s="197" t="s">
        <v>885</v>
      </c>
    </row>
    <row r="5065" ht="15.75" customHeight="1">
      <c r="A5065" s="197" t="s">
        <v>92</v>
      </c>
      <c r="B5065" s="197" t="s">
        <v>25</v>
      </c>
      <c r="C5065" s="198" t="s">
        <v>273</v>
      </c>
      <c r="D5065" s="197" t="s">
        <v>274</v>
      </c>
      <c r="E5065" s="199">
        <v>7.0</v>
      </c>
      <c r="F5065" s="200">
        <v>45961.58333333333</v>
      </c>
      <c r="G5065" s="197" t="s">
        <v>845</v>
      </c>
      <c r="H5065" s="197" t="s">
        <v>885</v>
      </c>
    </row>
    <row r="5066" ht="15.75" customHeight="1">
      <c r="A5066" s="197" t="s">
        <v>92</v>
      </c>
      <c r="B5066" s="197" t="s">
        <v>25</v>
      </c>
      <c r="C5066" s="198" t="s">
        <v>273</v>
      </c>
      <c r="D5066" s="197" t="s">
        <v>274</v>
      </c>
      <c r="E5066" s="199">
        <v>8.0</v>
      </c>
      <c r="F5066" s="200">
        <v>45966.625</v>
      </c>
      <c r="G5066" s="197" t="s">
        <v>843</v>
      </c>
      <c r="H5066" s="197" t="s">
        <v>885</v>
      </c>
    </row>
    <row r="5067" ht="15.75" customHeight="1">
      <c r="A5067" s="197" t="s">
        <v>92</v>
      </c>
      <c r="B5067" s="197" t="s">
        <v>25</v>
      </c>
      <c r="C5067" s="198" t="s">
        <v>273</v>
      </c>
      <c r="D5067" s="197" t="s">
        <v>274</v>
      </c>
      <c r="E5067" s="199">
        <v>9.0</v>
      </c>
      <c r="F5067" s="200">
        <v>45974.58333333333</v>
      </c>
      <c r="G5067" s="197" t="s">
        <v>845</v>
      </c>
      <c r="H5067" s="197" t="s">
        <v>885</v>
      </c>
    </row>
    <row r="5068" ht="15.75" customHeight="1">
      <c r="A5068" s="197" t="s">
        <v>92</v>
      </c>
      <c r="B5068" s="197" t="s">
        <v>25</v>
      </c>
      <c r="C5068" s="198" t="s">
        <v>273</v>
      </c>
      <c r="D5068" s="197" t="s">
        <v>274</v>
      </c>
      <c r="E5068" s="199">
        <v>10.0</v>
      </c>
      <c r="F5068" s="200">
        <v>45982.625</v>
      </c>
      <c r="G5068" s="197" t="s">
        <v>843</v>
      </c>
      <c r="H5068" s="197" t="s">
        <v>885</v>
      </c>
    </row>
    <row r="5069" ht="15.75" customHeight="1">
      <c r="A5069" s="197" t="s">
        <v>92</v>
      </c>
      <c r="B5069" s="197" t="s">
        <v>25</v>
      </c>
      <c r="C5069" s="198" t="s">
        <v>273</v>
      </c>
      <c r="D5069" s="197" t="s">
        <v>274</v>
      </c>
      <c r="E5069" s="199">
        <v>11.0</v>
      </c>
      <c r="F5069" s="200">
        <v>45989.58333333333</v>
      </c>
      <c r="G5069" s="197" t="s">
        <v>845</v>
      </c>
      <c r="H5069" s="197" t="s">
        <v>885</v>
      </c>
    </row>
    <row r="5070" ht="15.75" customHeight="1">
      <c r="A5070" s="197" t="s">
        <v>92</v>
      </c>
      <c r="B5070" s="197" t="s">
        <v>25</v>
      </c>
      <c r="C5070" s="198" t="s">
        <v>273</v>
      </c>
      <c r="D5070" s="197" t="s">
        <v>274</v>
      </c>
      <c r="E5070" s="199">
        <v>12.0</v>
      </c>
      <c r="F5070" s="200">
        <v>45994.54166666667</v>
      </c>
      <c r="G5070" s="197" t="s">
        <v>845</v>
      </c>
      <c r="H5070" s="197" t="s">
        <v>885</v>
      </c>
    </row>
    <row r="5071" ht="15.75" customHeight="1">
      <c r="A5071" s="197" t="s">
        <v>92</v>
      </c>
      <c r="B5071" s="197" t="s">
        <v>25</v>
      </c>
      <c r="C5071" s="198" t="s">
        <v>273</v>
      </c>
      <c r="D5071" s="197" t="s">
        <v>274</v>
      </c>
      <c r="E5071" s="199">
        <v>13.0</v>
      </c>
      <c r="F5071" s="200">
        <v>46010.58333333333</v>
      </c>
      <c r="G5071" s="197" t="s">
        <v>845</v>
      </c>
      <c r="H5071" s="197" t="s">
        <v>885</v>
      </c>
    </row>
    <row r="5072" ht="15.75" customHeight="1">
      <c r="A5072" s="197" t="s">
        <v>92</v>
      </c>
      <c r="B5072" s="197" t="s">
        <v>25</v>
      </c>
      <c r="C5072" s="198" t="s">
        <v>273</v>
      </c>
      <c r="D5072" s="197" t="s">
        <v>274</v>
      </c>
      <c r="E5072" s="199">
        <v>14.0</v>
      </c>
      <c r="F5072" s="200">
        <v>46049.54166666667</v>
      </c>
      <c r="G5072" s="197" t="s">
        <v>845</v>
      </c>
      <c r="H5072" s="197" t="s">
        <v>885</v>
      </c>
    </row>
    <row r="5073" ht="15.75" customHeight="1">
      <c r="A5073" s="197" t="s">
        <v>92</v>
      </c>
      <c r="B5073" s="197" t="s">
        <v>25</v>
      </c>
      <c r="C5073" s="198" t="s">
        <v>273</v>
      </c>
      <c r="D5073" s="197" t="s">
        <v>274</v>
      </c>
      <c r="E5073" s="199">
        <v>15.0</v>
      </c>
      <c r="F5073" s="200">
        <v>46052.58333333333</v>
      </c>
      <c r="G5073" s="197" t="s">
        <v>845</v>
      </c>
      <c r="H5073" s="197" t="s">
        <v>885</v>
      </c>
    </row>
    <row r="5074" ht="15.75" customHeight="1">
      <c r="A5074" s="197" t="s">
        <v>92</v>
      </c>
      <c r="B5074" s="197" t="s">
        <v>25</v>
      </c>
      <c r="C5074" s="198" t="s">
        <v>273</v>
      </c>
      <c r="D5074" s="197" t="s">
        <v>274</v>
      </c>
      <c r="E5074" s="199">
        <v>16.0</v>
      </c>
      <c r="F5074" s="200">
        <v>46083.58333333333</v>
      </c>
      <c r="G5074" s="197" t="s">
        <v>843</v>
      </c>
      <c r="H5074" s="197" t="s">
        <v>885</v>
      </c>
    </row>
    <row r="5075" ht="15.75" customHeight="1">
      <c r="A5075" s="197" t="s">
        <v>92</v>
      </c>
      <c r="B5075" s="197" t="s">
        <v>25</v>
      </c>
      <c r="C5075" s="198" t="s">
        <v>302</v>
      </c>
      <c r="D5075" s="197" t="s">
        <v>303</v>
      </c>
      <c r="E5075" s="199">
        <v>4.0</v>
      </c>
      <c r="F5075" s="200">
        <v>45938.58333333333</v>
      </c>
      <c r="G5075" s="197" t="s">
        <v>843</v>
      </c>
      <c r="H5075" s="197" t="s">
        <v>885</v>
      </c>
    </row>
    <row r="5076" ht="15.75" customHeight="1">
      <c r="A5076" s="197" t="s">
        <v>92</v>
      </c>
      <c r="B5076" s="197" t="s">
        <v>25</v>
      </c>
      <c r="C5076" s="198" t="s">
        <v>302</v>
      </c>
      <c r="D5076" s="197" t="s">
        <v>303</v>
      </c>
      <c r="E5076" s="199">
        <v>5.0</v>
      </c>
      <c r="F5076" s="200">
        <v>45947.54166666667</v>
      </c>
      <c r="G5076" s="197" t="s">
        <v>843</v>
      </c>
      <c r="H5076" s="197" t="s">
        <v>885</v>
      </c>
    </row>
    <row r="5077" ht="15.75" customHeight="1">
      <c r="A5077" s="197" t="s">
        <v>92</v>
      </c>
      <c r="B5077" s="197" t="s">
        <v>25</v>
      </c>
      <c r="C5077" s="198" t="s">
        <v>302</v>
      </c>
      <c r="D5077" s="197" t="s">
        <v>303</v>
      </c>
      <c r="E5077" s="199">
        <v>6.0</v>
      </c>
      <c r="F5077" s="200">
        <v>45952.625</v>
      </c>
      <c r="G5077" s="197" t="s">
        <v>845</v>
      </c>
      <c r="H5077" s="197" t="s">
        <v>885</v>
      </c>
    </row>
    <row r="5078" ht="15.75" customHeight="1">
      <c r="A5078" s="197" t="s">
        <v>92</v>
      </c>
      <c r="B5078" s="197" t="s">
        <v>25</v>
      </c>
      <c r="C5078" s="198" t="s">
        <v>302</v>
      </c>
      <c r="D5078" s="197" t="s">
        <v>303</v>
      </c>
      <c r="E5078" s="199">
        <v>7.0</v>
      </c>
      <c r="F5078" s="200">
        <v>45961.58333333333</v>
      </c>
      <c r="G5078" s="197" t="s">
        <v>845</v>
      </c>
      <c r="H5078" s="197" t="s">
        <v>885</v>
      </c>
    </row>
    <row r="5079" ht="15.75" customHeight="1">
      <c r="A5079" s="197" t="s">
        <v>92</v>
      </c>
      <c r="B5079" s="197" t="s">
        <v>25</v>
      </c>
      <c r="C5079" s="198" t="s">
        <v>302</v>
      </c>
      <c r="D5079" s="197" t="s">
        <v>303</v>
      </c>
      <c r="E5079" s="199">
        <v>8.0</v>
      </c>
      <c r="F5079" s="200">
        <v>45966.625</v>
      </c>
      <c r="G5079" s="197" t="s">
        <v>843</v>
      </c>
      <c r="H5079" s="197" t="s">
        <v>885</v>
      </c>
    </row>
    <row r="5080" ht="15.75" customHeight="1">
      <c r="A5080" s="197" t="s">
        <v>92</v>
      </c>
      <c r="B5080" s="197" t="s">
        <v>25</v>
      </c>
      <c r="C5080" s="198" t="s">
        <v>302</v>
      </c>
      <c r="D5080" s="197" t="s">
        <v>303</v>
      </c>
      <c r="E5080" s="199">
        <v>9.0</v>
      </c>
      <c r="F5080" s="200">
        <v>45974.58333333333</v>
      </c>
      <c r="G5080" s="197" t="s">
        <v>843</v>
      </c>
      <c r="H5080" s="197" t="s">
        <v>885</v>
      </c>
    </row>
    <row r="5081" ht="15.75" customHeight="1">
      <c r="A5081" s="197" t="s">
        <v>92</v>
      </c>
      <c r="B5081" s="197" t="s">
        <v>25</v>
      </c>
      <c r="C5081" s="198" t="s">
        <v>302</v>
      </c>
      <c r="D5081" s="197" t="s">
        <v>303</v>
      </c>
      <c r="E5081" s="199">
        <v>10.0</v>
      </c>
      <c r="F5081" s="200">
        <v>45982.625</v>
      </c>
      <c r="G5081" s="197" t="s">
        <v>845</v>
      </c>
      <c r="H5081" s="197" t="s">
        <v>885</v>
      </c>
    </row>
    <row r="5082" ht="15.75" customHeight="1">
      <c r="A5082" s="197" t="s">
        <v>92</v>
      </c>
      <c r="B5082" s="197" t="s">
        <v>25</v>
      </c>
      <c r="C5082" s="198" t="s">
        <v>302</v>
      </c>
      <c r="D5082" s="197" t="s">
        <v>303</v>
      </c>
      <c r="E5082" s="199">
        <v>11.0</v>
      </c>
      <c r="F5082" s="200">
        <v>45989.58333333333</v>
      </c>
      <c r="G5082" s="197" t="s">
        <v>845</v>
      </c>
      <c r="H5082" s="197" t="s">
        <v>885</v>
      </c>
    </row>
    <row r="5083" ht="15.75" customHeight="1">
      <c r="A5083" s="197" t="s">
        <v>92</v>
      </c>
      <c r="B5083" s="197" t="s">
        <v>25</v>
      </c>
      <c r="C5083" s="198" t="s">
        <v>302</v>
      </c>
      <c r="D5083" s="197" t="s">
        <v>303</v>
      </c>
      <c r="E5083" s="199">
        <v>12.0</v>
      </c>
      <c r="F5083" s="200">
        <v>45994.54166666667</v>
      </c>
      <c r="G5083" s="197" t="s">
        <v>843</v>
      </c>
      <c r="H5083" s="197" t="s">
        <v>885</v>
      </c>
    </row>
    <row r="5084" ht="15.75" customHeight="1">
      <c r="A5084" s="197" t="s">
        <v>92</v>
      </c>
      <c r="B5084" s="197" t="s">
        <v>25</v>
      </c>
      <c r="C5084" s="198" t="s">
        <v>302</v>
      </c>
      <c r="D5084" s="197" t="s">
        <v>303</v>
      </c>
      <c r="E5084" s="199">
        <v>13.0</v>
      </c>
      <c r="F5084" s="200">
        <v>46010.58333333333</v>
      </c>
      <c r="G5084" s="197" t="s">
        <v>845</v>
      </c>
      <c r="H5084" s="197" t="s">
        <v>885</v>
      </c>
    </row>
    <row r="5085" ht="15.75" customHeight="1">
      <c r="A5085" s="197" t="s">
        <v>92</v>
      </c>
      <c r="B5085" s="197" t="s">
        <v>25</v>
      </c>
      <c r="C5085" s="198" t="s">
        <v>302</v>
      </c>
      <c r="D5085" s="197" t="s">
        <v>303</v>
      </c>
      <c r="E5085" s="199">
        <v>14.0</v>
      </c>
      <c r="F5085" s="200">
        <v>46049.54166666667</v>
      </c>
      <c r="G5085" s="197" t="s">
        <v>845</v>
      </c>
      <c r="H5085" s="197" t="s">
        <v>885</v>
      </c>
    </row>
    <row r="5086" ht="15.75" customHeight="1">
      <c r="A5086" s="197" t="s">
        <v>92</v>
      </c>
      <c r="B5086" s="197" t="s">
        <v>25</v>
      </c>
      <c r="C5086" s="198" t="s">
        <v>302</v>
      </c>
      <c r="D5086" s="197" t="s">
        <v>303</v>
      </c>
      <c r="E5086" s="199">
        <v>15.0</v>
      </c>
      <c r="F5086" s="200">
        <v>46052.58333333333</v>
      </c>
      <c r="G5086" s="197" t="s">
        <v>845</v>
      </c>
      <c r="H5086" s="197" t="s">
        <v>885</v>
      </c>
    </row>
    <row r="5087" ht="15.75" customHeight="1">
      <c r="A5087" s="197" t="s">
        <v>92</v>
      </c>
      <c r="B5087" s="197" t="s">
        <v>25</v>
      </c>
      <c r="C5087" s="198" t="s">
        <v>302</v>
      </c>
      <c r="D5087" s="197" t="s">
        <v>303</v>
      </c>
      <c r="E5087" s="199">
        <v>16.0</v>
      </c>
      <c r="F5087" s="200">
        <v>46083.58333333333</v>
      </c>
      <c r="G5087" s="197" t="s">
        <v>845</v>
      </c>
      <c r="H5087" s="197" t="s">
        <v>885</v>
      </c>
    </row>
    <row r="5088" ht="15.75" customHeight="1">
      <c r="A5088" s="197" t="s">
        <v>92</v>
      </c>
      <c r="B5088" s="197" t="s">
        <v>25</v>
      </c>
      <c r="C5088" s="198" t="s">
        <v>361</v>
      </c>
      <c r="D5088" s="197" t="s">
        <v>362</v>
      </c>
      <c r="E5088" s="199">
        <v>4.0</v>
      </c>
      <c r="F5088" s="200">
        <v>45938.58333333333</v>
      </c>
      <c r="G5088" s="197" t="s">
        <v>843</v>
      </c>
      <c r="H5088" s="197" t="s">
        <v>885</v>
      </c>
    </row>
    <row r="5089" ht="15.75" customHeight="1">
      <c r="A5089" s="197" t="s">
        <v>92</v>
      </c>
      <c r="B5089" s="197" t="s">
        <v>25</v>
      </c>
      <c r="C5089" s="198" t="s">
        <v>361</v>
      </c>
      <c r="D5089" s="197" t="s">
        <v>362</v>
      </c>
      <c r="E5089" s="199">
        <v>5.0</v>
      </c>
      <c r="F5089" s="200">
        <v>45947.54166666667</v>
      </c>
      <c r="G5089" s="197" t="s">
        <v>843</v>
      </c>
      <c r="H5089" s="197" t="s">
        <v>885</v>
      </c>
    </row>
    <row r="5090" ht="15.75" customHeight="1">
      <c r="A5090" s="197" t="s">
        <v>92</v>
      </c>
      <c r="B5090" s="197" t="s">
        <v>25</v>
      </c>
      <c r="C5090" s="198" t="s">
        <v>361</v>
      </c>
      <c r="D5090" s="197" t="s">
        <v>362</v>
      </c>
      <c r="E5090" s="199">
        <v>6.0</v>
      </c>
      <c r="F5090" s="200">
        <v>45952.625</v>
      </c>
      <c r="G5090" s="197" t="s">
        <v>843</v>
      </c>
      <c r="H5090" s="197" t="s">
        <v>885</v>
      </c>
    </row>
    <row r="5091" ht="15.75" customHeight="1">
      <c r="A5091" s="197" t="s">
        <v>92</v>
      </c>
      <c r="B5091" s="197" t="s">
        <v>25</v>
      </c>
      <c r="C5091" s="198" t="s">
        <v>361</v>
      </c>
      <c r="D5091" s="197" t="s">
        <v>362</v>
      </c>
      <c r="E5091" s="199">
        <v>7.0</v>
      </c>
      <c r="F5091" s="200">
        <v>45961.58333333333</v>
      </c>
      <c r="G5091" s="197" t="s">
        <v>843</v>
      </c>
      <c r="H5091" s="197" t="s">
        <v>885</v>
      </c>
    </row>
    <row r="5092" ht="15.75" customHeight="1">
      <c r="A5092" s="197" t="s">
        <v>92</v>
      </c>
      <c r="B5092" s="197" t="s">
        <v>25</v>
      </c>
      <c r="C5092" s="198" t="s">
        <v>361</v>
      </c>
      <c r="D5092" s="197" t="s">
        <v>362</v>
      </c>
      <c r="E5092" s="199">
        <v>8.0</v>
      </c>
      <c r="F5092" s="200">
        <v>45966.625</v>
      </c>
      <c r="G5092" s="197" t="s">
        <v>843</v>
      </c>
      <c r="H5092" s="197" t="s">
        <v>885</v>
      </c>
    </row>
    <row r="5093" ht="15.75" customHeight="1">
      <c r="A5093" s="197" t="s">
        <v>92</v>
      </c>
      <c r="B5093" s="197" t="s">
        <v>25</v>
      </c>
      <c r="C5093" s="198" t="s">
        <v>361</v>
      </c>
      <c r="D5093" s="197" t="s">
        <v>362</v>
      </c>
      <c r="E5093" s="199">
        <v>9.0</v>
      </c>
      <c r="F5093" s="200">
        <v>45974.58333333333</v>
      </c>
      <c r="G5093" s="197" t="s">
        <v>843</v>
      </c>
      <c r="H5093" s="197" t="s">
        <v>885</v>
      </c>
    </row>
    <row r="5094" ht="15.75" customHeight="1">
      <c r="A5094" s="197" t="s">
        <v>92</v>
      </c>
      <c r="B5094" s="197" t="s">
        <v>25</v>
      </c>
      <c r="C5094" s="198" t="s">
        <v>361</v>
      </c>
      <c r="D5094" s="197" t="s">
        <v>362</v>
      </c>
      <c r="E5094" s="199">
        <v>10.0</v>
      </c>
      <c r="F5094" s="200">
        <v>45982.625</v>
      </c>
      <c r="G5094" s="197" t="s">
        <v>843</v>
      </c>
      <c r="H5094" s="197" t="s">
        <v>885</v>
      </c>
    </row>
    <row r="5095" ht="15.75" customHeight="1">
      <c r="A5095" s="197" t="s">
        <v>92</v>
      </c>
      <c r="B5095" s="197" t="s">
        <v>25</v>
      </c>
      <c r="C5095" s="198" t="s">
        <v>385</v>
      </c>
      <c r="D5095" s="197" t="s">
        <v>386</v>
      </c>
      <c r="E5095" s="199">
        <v>4.0</v>
      </c>
      <c r="F5095" s="200">
        <v>45938.58333333333</v>
      </c>
      <c r="G5095" s="197" t="s">
        <v>845</v>
      </c>
      <c r="H5095" s="197" t="s">
        <v>885</v>
      </c>
    </row>
    <row r="5096" ht="15.75" customHeight="1">
      <c r="A5096" s="197" t="s">
        <v>92</v>
      </c>
      <c r="B5096" s="197" t="s">
        <v>25</v>
      </c>
      <c r="C5096" s="198" t="s">
        <v>385</v>
      </c>
      <c r="D5096" s="197" t="s">
        <v>386</v>
      </c>
      <c r="E5096" s="199">
        <v>5.0</v>
      </c>
      <c r="F5096" s="200">
        <v>45947.54166666667</v>
      </c>
      <c r="G5096" s="197" t="s">
        <v>845</v>
      </c>
      <c r="H5096" s="197" t="s">
        <v>885</v>
      </c>
    </row>
    <row r="5097" ht="15.75" customHeight="1">
      <c r="A5097" s="197" t="s">
        <v>92</v>
      </c>
      <c r="B5097" s="197" t="s">
        <v>25</v>
      </c>
      <c r="C5097" s="198" t="s">
        <v>385</v>
      </c>
      <c r="D5097" s="197" t="s">
        <v>386</v>
      </c>
      <c r="E5097" s="199">
        <v>6.0</v>
      </c>
      <c r="F5097" s="200">
        <v>45952.625</v>
      </c>
      <c r="G5097" s="197" t="s">
        <v>845</v>
      </c>
      <c r="H5097" s="197" t="s">
        <v>885</v>
      </c>
    </row>
    <row r="5098" ht="15.75" customHeight="1">
      <c r="A5098" s="197" t="s">
        <v>92</v>
      </c>
      <c r="B5098" s="197" t="s">
        <v>25</v>
      </c>
      <c r="C5098" s="198" t="s">
        <v>385</v>
      </c>
      <c r="D5098" s="197" t="s">
        <v>386</v>
      </c>
      <c r="E5098" s="199">
        <v>7.0</v>
      </c>
      <c r="F5098" s="200">
        <v>45961.58333333333</v>
      </c>
      <c r="G5098" s="197" t="s">
        <v>845</v>
      </c>
      <c r="H5098" s="197" t="s">
        <v>885</v>
      </c>
    </row>
    <row r="5099" ht="15.75" customHeight="1">
      <c r="A5099" s="197" t="s">
        <v>92</v>
      </c>
      <c r="B5099" s="197" t="s">
        <v>25</v>
      </c>
      <c r="C5099" s="198" t="s">
        <v>385</v>
      </c>
      <c r="D5099" s="197" t="s">
        <v>386</v>
      </c>
      <c r="E5099" s="199">
        <v>8.0</v>
      </c>
      <c r="F5099" s="200">
        <v>45966.625</v>
      </c>
      <c r="G5099" s="197" t="s">
        <v>843</v>
      </c>
      <c r="H5099" s="197" t="s">
        <v>885</v>
      </c>
    </row>
    <row r="5100" ht="15.75" customHeight="1">
      <c r="A5100" s="197" t="s">
        <v>92</v>
      </c>
      <c r="B5100" s="197" t="s">
        <v>25</v>
      </c>
      <c r="C5100" s="198" t="s">
        <v>385</v>
      </c>
      <c r="D5100" s="197" t="s">
        <v>386</v>
      </c>
      <c r="E5100" s="199">
        <v>9.0</v>
      </c>
      <c r="F5100" s="200">
        <v>45974.58333333333</v>
      </c>
      <c r="G5100" s="197" t="s">
        <v>845</v>
      </c>
      <c r="H5100" s="197" t="s">
        <v>885</v>
      </c>
    </row>
    <row r="5101" ht="15.75" customHeight="1">
      <c r="A5101" s="197" t="s">
        <v>92</v>
      </c>
      <c r="B5101" s="197" t="s">
        <v>25</v>
      </c>
      <c r="C5101" s="198" t="s">
        <v>385</v>
      </c>
      <c r="D5101" s="197" t="s">
        <v>386</v>
      </c>
      <c r="E5101" s="199">
        <v>10.0</v>
      </c>
      <c r="F5101" s="200">
        <v>45982.625</v>
      </c>
      <c r="G5101" s="197" t="s">
        <v>843</v>
      </c>
      <c r="H5101" s="197" t="s">
        <v>885</v>
      </c>
    </row>
    <row r="5102" ht="15.75" customHeight="1">
      <c r="A5102" s="197" t="s">
        <v>92</v>
      </c>
      <c r="B5102" s="197" t="s">
        <v>25</v>
      </c>
      <c r="C5102" s="198" t="s">
        <v>385</v>
      </c>
      <c r="D5102" s="197" t="s">
        <v>386</v>
      </c>
      <c r="E5102" s="199">
        <v>11.0</v>
      </c>
      <c r="F5102" s="200">
        <v>45989.58333333333</v>
      </c>
      <c r="G5102" s="197" t="s">
        <v>845</v>
      </c>
      <c r="H5102" s="197" t="s">
        <v>885</v>
      </c>
    </row>
    <row r="5103" ht="15.75" customHeight="1">
      <c r="A5103" s="197" t="s">
        <v>92</v>
      </c>
      <c r="B5103" s="197" t="s">
        <v>25</v>
      </c>
      <c r="C5103" s="198" t="s">
        <v>385</v>
      </c>
      <c r="D5103" s="197" t="s">
        <v>386</v>
      </c>
      <c r="E5103" s="199">
        <v>12.0</v>
      </c>
      <c r="F5103" s="200">
        <v>45994.54166666667</v>
      </c>
      <c r="G5103" s="197" t="s">
        <v>843</v>
      </c>
      <c r="H5103" s="197" t="s">
        <v>885</v>
      </c>
    </row>
    <row r="5104" ht="15.75" customHeight="1">
      <c r="A5104" s="197" t="s">
        <v>92</v>
      </c>
      <c r="B5104" s="197" t="s">
        <v>25</v>
      </c>
      <c r="C5104" s="198" t="s">
        <v>385</v>
      </c>
      <c r="D5104" s="197" t="s">
        <v>386</v>
      </c>
      <c r="E5104" s="199">
        <v>13.0</v>
      </c>
      <c r="F5104" s="200">
        <v>46010.58333333333</v>
      </c>
      <c r="G5104" s="197" t="s">
        <v>845</v>
      </c>
      <c r="H5104" s="197" t="s">
        <v>885</v>
      </c>
    </row>
    <row r="5105" ht="15.75" customHeight="1">
      <c r="A5105" s="197" t="s">
        <v>92</v>
      </c>
      <c r="B5105" s="197" t="s">
        <v>25</v>
      </c>
      <c r="C5105" s="198" t="s">
        <v>385</v>
      </c>
      <c r="D5105" s="197" t="s">
        <v>386</v>
      </c>
      <c r="E5105" s="199">
        <v>14.0</v>
      </c>
      <c r="F5105" s="200">
        <v>46049.54166666667</v>
      </c>
      <c r="G5105" s="197" t="s">
        <v>843</v>
      </c>
      <c r="H5105" s="197" t="s">
        <v>885</v>
      </c>
    </row>
    <row r="5106" ht="15.75" customHeight="1">
      <c r="A5106" s="197" t="s">
        <v>92</v>
      </c>
      <c r="B5106" s="197" t="s">
        <v>25</v>
      </c>
      <c r="C5106" s="198" t="s">
        <v>385</v>
      </c>
      <c r="D5106" s="197" t="s">
        <v>386</v>
      </c>
      <c r="E5106" s="199">
        <v>15.0</v>
      </c>
      <c r="F5106" s="200">
        <v>46052.58333333333</v>
      </c>
      <c r="G5106" s="197" t="s">
        <v>845</v>
      </c>
      <c r="H5106" s="197" t="s">
        <v>885</v>
      </c>
    </row>
    <row r="5107" ht="15.75" customHeight="1">
      <c r="A5107" s="197" t="s">
        <v>92</v>
      </c>
      <c r="B5107" s="197" t="s">
        <v>25</v>
      </c>
      <c r="C5107" s="198" t="s">
        <v>385</v>
      </c>
      <c r="D5107" s="197" t="s">
        <v>386</v>
      </c>
      <c r="E5107" s="199">
        <v>16.0</v>
      </c>
      <c r="F5107" s="200">
        <v>46083.58333333333</v>
      </c>
      <c r="G5107" s="197" t="s">
        <v>845</v>
      </c>
      <c r="H5107" s="197" t="s">
        <v>885</v>
      </c>
    </row>
    <row r="5108" ht="15.75" customHeight="1">
      <c r="A5108" s="197" t="s">
        <v>92</v>
      </c>
      <c r="B5108" s="197" t="s">
        <v>25</v>
      </c>
      <c r="C5108" s="198" t="s">
        <v>405</v>
      </c>
      <c r="D5108" s="197" t="s">
        <v>406</v>
      </c>
      <c r="E5108" s="199">
        <v>1.0</v>
      </c>
      <c r="F5108" s="200">
        <v>45917.58333333333</v>
      </c>
      <c r="G5108" s="197" t="s">
        <v>845</v>
      </c>
      <c r="H5108" s="197" t="s">
        <v>885</v>
      </c>
    </row>
    <row r="5109" ht="15.75" customHeight="1">
      <c r="A5109" s="197" t="s">
        <v>92</v>
      </c>
      <c r="B5109" s="197" t="s">
        <v>25</v>
      </c>
      <c r="C5109" s="198" t="s">
        <v>405</v>
      </c>
      <c r="D5109" s="197" t="s">
        <v>406</v>
      </c>
      <c r="E5109" s="199">
        <v>2.0</v>
      </c>
      <c r="F5109" s="200">
        <v>45925.54166666667</v>
      </c>
      <c r="G5109" s="197" t="s">
        <v>845</v>
      </c>
      <c r="H5109" s="197" t="s">
        <v>885</v>
      </c>
    </row>
    <row r="5110" ht="15.75" customHeight="1">
      <c r="A5110" s="197" t="s">
        <v>92</v>
      </c>
      <c r="B5110" s="197" t="s">
        <v>25</v>
      </c>
      <c r="C5110" s="198" t="s">
        <v>405</v>
      </c>
      <c r="D5110" s="197" t="s">
        <v>406</v>
      </c>
      <c r="E5110" s="199">
        <v>4.0</v>
      </c>
      <c r="F5110" s="200">
        <v>45938.58333333333</v>
      </c>
      <c r="G5110" s="197" t="s">
        <v>845</v>
      </c>
      <c r="H5110" s="197" t="s">
        <v>885</v>
      </c>
    </row>
    <row r="5111" ht="15.75" customHeight="1">
      <c r="A5111" s="197" t="s">
        <v>92</v>
      </c>
      <c r="B5111" s="197" t="s">
        <v>25</v>
      </c>
      <c r="C5111" s="198" t="s">
        <v>405</v>
      </c>
      <c r="D5111" s="197" t="s">
        <v>406</v>
      </c>
      <c r="E5111" s="199">
        <v>5.0</v>
      </c>
      <c r="F5111" s="200">
        <v>45947.54166666667</v>
      </c>
      <c r="G5111" s="197" t="s">
        <v>843</v>
      </c>
      <c r="H5111" s="197" t="s">
        <v>885</v>
      </c>
    </row>
    <row r="5112" ht="15.75" customHeight="1">
      <c r="A5112" s="197" t="s">
        <v>92</v>
      </c>
      <c r="B5112" s="197" t="s">
        <v>25</v>
      </c>
      <c r="C5112" s="198" t="s">
        <v>405</v>
      </c>
      <c r="D5112" s="197" t="s">
        <v>406</v>
      </c>
      <c r="E5112" s="199">
        <v>6.0</v>
      </c>
      <c r="F5112" s="200">
        <v>45952.625</v>
      </c>
      <c r="G5112" s="197" t="s">
        <v>845</v>
      </c>
      <c r="H5112" s="197" t="s">
        <v>885</v>
      </c>
    </row>
    <row r="5113" ht="15.75" customHeight="1">
      <c r="A5113" s="197" t="s">
        <v>92</v>
      </c>
      <c r="B5113" s="197" t="s">
        <v>25</v>
      </c>
      <c r="C5113" s="198" t="s">
        <v>405</v>
      </c>
      <c r="D5113" s="197" t="s">
        <v>406</v>
      </c>
      <c r="E5113" s="199">
        <v>7.0</v>
      </c>
      <c r="F5113" s="200">
        <v>45961.58333333333</v>
      </c>
      <c r="G5113" s="197" t="s">
        <v>845</v>
      </c>
      <c r="H5113" s="197" t="s">
        <v>885</v>
      </c>
    </row>
    <row r="5114" ht="15.75" customHeight="1">
      <c r="A5114" s="197" t="s">
        <v>92</v>
      </c>
      <c r="B5114" s="197" t="s">
        <v>25</v>
      </c>
      <c r="C5114" s="198" t="s">
        <v>405</v>
      </c>
      <c r="D5114" s="197" t="s">
        <v>406</v>
      </c>
      <c r="E5114" s="199">
        <v>8.0</v>
      </c>
      <c r="F5114" s="200">
        <v>45966.625</v>
      </c>
      <c r="G5114" s="197" t="s">
        <v>845</v>
      </c>
      <c r="H5114" s="197" t="s">
        <v>885</v>
      </c>
    </row>
    <row r="5115" ht="15.75" customHeight="1">
      <c r="A5115" s="197" t="s">
        <v>92</v>
      </c>
      <c r="B5115" s="197" t="s">
        <v>25</v>
      </c>
      <c r="C5115" s="198" t="s">
        <v>405</v>
      </c>
      <c r="D5115" s="197" t="s">
        <v>406</v>
      </c>
      <c r="E5115" s="199">
        <v>9.0</v>
      </c>
      <c r="F5115" s="200">
        <v>45974.58333333333</v>
      </c>
      <c r="G5115" s="197" t="s">
        <v>845</v>
      </c>
      <c r="H5115" s="197" t="s">
        <v>885</v>
      </c>
    </row>
    <row r="5116" ht="15.75" customHeight="1">
      <c r="A5116" s="197" t="s">
        <v>92</v>
      </c>
      <c r="B5116" s="197" t="s">
        <v>25</v>
      </c>
      <c r="C5116" s="198" t="s">
        <v>405</v>
      </c>
      <c r="D5116" s="197" t="s">
        <v>406</v>
      </c>
      <c r="E5116" s="199">
        <v>10.0</v>
      </c>
      <c r="F5116" s="200">
        <v>45982.625</v>
      </c>
      <c r="G5116" s="197" t="s">
        <v>843</v>
      </c>
      <c r="H5116" s="197" t="s">
        <v>885</v>
      </c>
    </row>
    <row r="5117" ht="15.75" customHeight="1">
      <c r="A5117" s="197" t="s">
        <v>92</v>
      </c>
      <c r="B5117" s="197" t="s">
        <v>25</v>
      </c>
      <c r="C5117" s="198" t="s">
        <v>405</v>
      </c>
      <c r="D5117" s="197" t="s">
        <v>406</v>
      </c>
      <c r="E5117" s="199">
        <v>11.0</v>
      </c>
      <c r="F5117" s="200">
        <v>45989.58333333333</v>
      </c>
      <c r="G5117" s="197" t="s">
        <v>843</v>
      </c>
      <c r="H5117" s="197" t="s">
        <v>885</v>
      </c>
    </row>
    <row r="5118" ht="15.75" customHeight="1">
      <c r="A5118" s="197" t="s">
        <v>92</v>
      </c>
      <c r="B5118" s="197" t="s">
        <v>25</v>
      </c>
      <c r="C5118" s="198" t="s">
        <v>405</v>
      </c>
      <c r="D5118" s="197" t="s">
        <v>406</v>
      </c>
      <c r="E5118" s="199">
        <v>13.0</v>
      </c>
      <c r="F5118" s="200">
        <v>46010.58333333333</v>
      </c>
      <c r="G5118" s="197" t="s">
        <v>845</v>
      </c>
      <c r="H5118" s="197" t="s">
        <v>885</v>
      </c>
    </row>
    <row r="5119" ht="15.75" customHeight="1">
      <c r="A5119" s="197" t="s">
        <v>92</v>
      </c>
      <c r="B5119" s="197" t="s">
        <v>25</v>
      </c>
      <c r="C5119" s="198" t="s">
        <v>405</v>
      </c>
      <c r="D5119" s="197" t="s">
        <v>406</v>
      </c>
      <c r="E5119" s="199">
        <v>14.0</v>
      </c>
      <c r="F5119" s="200">
        <v>46049.54166666667</v>
      </c>
      <c r="G5119" s="197" t="s">
        <v>843</v>
      </c>
      <c r="H5119" s="197" t="s">
        <v>885</v>
      </c>
    </row>
    <row r="5120" ht="15.75" customHeight="1">
      <c r="A5120" s="197" t="s">
        <v>92</v>
      </c>
      <c r="B5120" s="197" t="s">
        <v>25</v>
      </c>
      <c r="C5120" s="198" t="s">
        <v>405</v>
      </c>
      <c r="D5120" s="197" t="s">
        <v>406</v>
      </c>
      <c r="E5120" s="199">
        <v>15.0</v>
      </c>
      <c r="F5120" s="200">
        <v>46052.58333333333</v>
      </c>
      <c r="G5120" s="197" t="s">
        <v>845</v>
      </c>
      <c r="H5120" s="197" t="s">
        <v>885</v>
      </c>
    </row>
    <row r="5121" ht="15.75" customHeight="1">
      <c r="A5121" s="197" t="s">
        <v>92</v>
      </c>
      <c r="B5121" s="197" t="s">
        <v>25</v>
      </c>
      <c r="C5121" s="198" t="s">
        <v>405</v>
      </c>
      <c r="D5121" s="197" t="s">
        <v>406</v>
      </c>
      <c r="E5121" s="199">
        <v>16.0</v>
      </c>
      <c r="F5121" s="200">
        <v>46083.58333333333</v>
      </c>
      <c r="G5121" s="197" t="s">
        <v>845</v>
      </c>
      <c r="H5121" s="197" t="s">
        <v>885</v>
      </c>
    </row>
    <row r="5122" ht="15.75" customHeight="1">
      <c r="A5122" s="197" t="s">
        <v>92</v>
      </c>
      <c r="B5122" s="197" t="s">
        <v>25</v>
      </c>
      <c r="C5122" s="198" t="s">
        <v>470</v>
      </c>
      <c r="D5122" s="197" t="s">
        <v>471</v>
      </c>
      <c r="E5122" s="199">
        <v>1.0</v>
      </c>
      <c r="F5122" s="200">
        <v>45917.58333333333</v>
      </c>
      <c r="G5122" s="197" t="s">
        <v>845</v>
      </c>
      <c r="H5122" s="197" t="s">
        <v>885</v>
      </c>
    </row>
    <row r="5123" ht="15.75" customHeight="1">
      <c r="A5123" s="197" t="s">
        <v>92</v>
      </c>
      <c r="B5123" s="197" t="s">
        <v>25</v>
      </c>
      <c r="C5123" s="198" t="s">
        <v>470</v>
      </c>
      <c r="D5123" s="197" t="s">
        <v>471</v>
      </c>
      <c r="E5123" s="199">
        <v>2.0</v>
      </c>
      <c r="F5123" s="200">
        <v>45925.54166666667</v>
      </c>
      <c r="G5123" s="197" t="s">
        <v>845</v>
      </c>
      <c r="H5123" s="197" t="s">
        <v>885</v>
      </c>
    </row>
    <row r="5124" ht="15.75" customHeight="1">
      <c r="A5124" s="197" t="s">
        <v>92</v>
      </c>
      <c r="B5124" s="197" t="s">
        <v>25</v>
      </c>
      <c r="C5124" s="198" t="s">
        <v>470</v>
      </c>
      <c r="D5124" s="197" t="s">
        <v>471</v>
      </c>
      <c r="E5124" s="199">
        <v>4.0</v>
      </c>
      <c r="F5124" s="200">
        <v>45938.58333333333</v>
      </c>
      <c r="G5124" s="197" t="s">
        <v>845</v>
      </c>
      <c r="H5124" s="197" t="s">
        <v>885</v>
      </c>
    </row>
    <row r="5125" ht="15.75" customHeight="1">
      <c r="A5125" s="197" t="s">
        <v>92</v>
      </c>
      <c r="B5125" s="197" t="s">
        <v>25</v>
      </c>
      <c r="C5125" s="198" t="s">
        <v>470</v>
      </c>
      <c r="D5125" s="197" t="s">
        <v>471</v>
      </c>
      <c r="E5125" s="199">
        <v>5.0</v>
      </c>
      <c r="F5125" s="200">
        <v>45947.54166666667</v>
      </c>
      <c r="G5125" s="197" t="s">
        <v>845</v>
      </c>
      <c r="H5125" s="197" t="s">
        <v>885</v>
      </c>
    </row>
    <row r="5126" ht="15.75" customHeight="1">
      <c r="A5126" s="197" t="s">
        <v>92</v>
      </c>
      <c r="B5126" s="197" t="s">
        <v>25</v>
      </c>
      <c r="C5126" s="198" t="s">
        <v>470</v>
      </c>
      <c r="D5126" s="197" t="s">
        <v>471</v>
      </c>
      <c r="E5126" s="199">
        <v>6.0</v>
      </c>
      <c r="F5126" s="200">
        <v>45952.625</v>
      </c>
      <c r="G5126" s="197" t="s">
        <v>845</v>
      </c>
      <c r="H5126" s="197" t="s">
        <v>885</v>
      </c>
    </row>
    <row r="5127" ht="15.75" customHeight="1">
      <c r="A5127" s="197" t="s">
        <v>92</v>
      </c>
      <c r="B5127" s="197" t="s">
        <v>25</v>
      </c>
      <c r="C5127" s="198" t="s">
        <v>470</v>
      </c>
      <c r="D5127" s="197" t="s">
        <v>471</v>
      </c>
      <c r="E5127" s="199">
        <v>7.0</v>
      </c>
      <c r="F5127" s="200">
        <v>45961.58333333333</v>
      </c>
      <c r="G5127" s="197" t="s">
        <v>843</v>
      </c>
      <c r="H5127" s="197" t="s">
        <v>885</v>
      </c>
    </row>
    <row r="5128" ht="15.75" customHeight="1">
      <c r="A5128" s="197" t="s">
        <v>92</v>
      </c>
      <c r="B5128" s="197" t="s">
        <v>25</v>
      </c>
      <c r="C5128" s="198" t="s">
        <v>470</v>
      </c>
      <c r="D5128" s="197" t="s">
        <v>471</v>
      </c>
      <c r="E5128" s="199">
        <v>8.0</v>
      </c>
      <c r="F5128" s="200">
        <v>45966.625</v>
      </c>
      <c r="G5128" s="197" t="s">
        <v>845</v>
      </c>
      <c r="H5128" s="197" t="s">
        <v>885</v>
      </c>
    </row>
    <row r="5129" ht="15.75" customHeight="1">
      <c r="A5129" s="197" t="s">
        <v>92</v>
      </c>
      <c r="B5129" s="197" t="s">
        <v>25</v>
      </c>
      <c r="C5129" s="198" t="s">
        <v>470</v>
      </c>
      <c r="D5129" s="197" t="s">
        <v>471</v>
      </c>
      <c r="E5129" s="199">
        <v>9.0</v>
      </c>
      <c r="F5129" s="200">
        <v>45974.58333333333</v>
      </c>
      <c r="G5129" s="197" t="s">
        <v>845</v>
      </c>
      <c r="H5129" s="197" t="s">
        <v>885</v>
      </c>
    </row>
    <row r="5130" ht="15.75" customHeight="1">
      <c r="A5130" s="197" t="s">
        <v>92</v>
      </c>
      <c r="B5130" s="197" t="s">
        <v>25</v>
      </c>
      <c r="C5130" s="198" t="s">
        <v>470</v>
      </c>
      <c r="D5130" s="197" t="s">
        <v>471</v>
      </c>
      <c r="E5130" s="199">
        <v>10.0</v>
      </c>
      <c r="F5130" s="200">
        <v>45982.625</v>
      </c>
      <c r="G5130" s="197" t="s">
        <v>845</v>
      </c>
      <c r="H5130" s="197" t="s">
        <v>885</v>
      </c>
    </row>
    <row r="5131" ht="15.75" customHeight="1">
      <c r="A5131" s="197" t="s">
        <v>92</v>
      </c>
      <c r="B5131" s="197" t="s">
        <v>25</v>
      </c>
      <c r="C5131" s="198" t="s">
        <v>470</v>
      </c>
      <c r="D5131" s="197" t="s">
        <v>471</v>
      </c>
      <c r="E5131" s="199">
        <v>11.0</v>
      </c>
      <c r="F5131" s="200">
        <v>45989.58333333333</v>
      </c>
      <c r="G5131" s="197" t="s">
        <v>845</v>
      </c>
      <c r="H5131" s="197" t="s">
        <v>885</v>
      </c>
    </row>
    <row r="5132" ht="15.75" customHeight="1">
      <c r="A5132" s="197" t="s">
        <v>92</v>
      </c>
      <c r="B5132" s="197" t="s">
        <v>25</v>
      </c>
      <c r="C5132" s="198" t="s">
        <v>470</v>
      </c>
      <c r="D5132" s="197" t="s">
        <v>471</v>
      </c>
      <c r="E5132" s="199">
        <v>12.0</v>
      </c>
      <c r="F5132" s="200">
        <v>45994.54166666667</v>
      </c>
      <c r="G5132" s="197" t="s">
        <v>843</v>
      </c>
      <c r="H5132" s="197" t="s">
        <v>885</v>
      </c>
    </row>
    <row r="5133" ht="15.75" customHeight="1">
      <c r="A5133" s="197" t="s">
        <v>92</v>
      </c>
      <c r="B5133" s="197" t="s">
        <v>25</v>
      </c>
      <c r="C5133" s="198" t="s">
        <v>470</v>
      </c>
      <c r="D5133" s="197" t="s">
        <v>471</v>
      </c>
      <c r="E5133" s="199">
        <v>13.0</v>
      </c>
      <c r="F5133" s="200">
        <v>46010.58333333333</v>
      </c>
      <c r="G5133" s="197" t="s">
        <v>845</v>
      </c>
      <c r="H5133" s="197" t="s">
        <v>885</v>
      </c>
    </row>
    <row r="5134" ht="15.75" customHeight="1">
      <c r="A5134" s="197" t="s">
        <v>92</v>
      </c>
      <c r="B5134" s="197" t="s">
        <v>25</v>
      </c>
      <c r="C5134" s="198" t="s">
        <v>470</v>
      </c>
      <c r="D5134" s="197" t="s">
        <v>471</v>
      </c>
      <c r="E5134" s="199">
        <v>14.0</v>
      </c>
      <c r="F5134" s="200">
        <v>46049.54166666667</v>
      </c>
      <c r="G5134" s="197" t="s">
        <v>845</v>
      </c>
      <c r="H5134" s="197" t="s">
        <v>885</v>
      </c>
    </row>
    <row r="5135" ht="15.75" customHeight="1">
      <c r="A5135" s="197" t="s">
        <v>92</v>
      </c>
      <c r="B5135" s="197" t="s">
        <v>25</v>
      </c>
      <c r="C5135" s="198" t="s">
        <v>470</v>
      </c>
      <c r="D5135" s="197" t="s">
        <v>471</v>
      </c>
      <c r="E5135" s="199">
        <v>15.0</v>
      </c>
      <c r="F5135" s="200">
        <v>46052.58333333333</v>
      </c>
      <c r="G5135" s="197" t="s">
        <v>845</v>
      </c>
      <c r="H5135" s="197" t="s">
        <v>885</v>
      </c>
    </row>
    <row r="5136" ht="15.75" customHeight="1">
      <c r="A5136" s="197" t="s">
        <v>92</v>
      </c>
      <c r="B5136" s="197" t="s">
        <v>25</v>
      </c>
      <c r="C5136" s="198" t="s">
        <v>470</v>
      </c>
      <c r="D5136" s="197" t="s">
        <v>471</v>
      </c>
      <c r="E5136" s="199">
        <v>16.0</v>
      </c>
      <c r="F5136" s="200">
        <v>46083.58333333333</v>
      </c>
      <c r="G5136" s="197" t="s">
        <v>845</v>
      </c>
      <c r="H5136" s="197" t="s">
        <v>885</v>
      </c>
    </row>
    <row r="5137" ht="15.75" customHeight="1">
      <c r="A5137" s="197" t="s">
        <v>92</v>
      </c>
      <c r="B5137" s="197" t="s">
        <v>25</v>
      </c>
      <c r="C5137" s="198" t="s">
        <v>532</v>
      </c>
      <c r="D5137" s="197" t="s">
        <v>533</v>
      </c>
      <c r="E5137" s="199">
        <v>1.0</v>
      </c>
      <c r="F5137" s="200">
        <v>45917.58333333333</v>
      </c>
      <c r="G5137" s="197" t="s">
        <v>845</v>
      </c>
      <c r="H5137" s="197" t="s">
        <v>885</v>
      </c>
    </row>
    <row r="5138" ht="15.75" customHeight="1">
      <c r="A5138" s="197" t="s">
        <v>92</v>
      </c>
      <c r="B5138" s="197" t="s">
        <v>25</v>
      </c>
      <c r="C5138" s="198" t="s">
        <v>532</v>
      </c>
      <c r="D5138" s="197" t="s">
        <v>533</v>
      </c>
      <c r="E5138" s="199">
        <v>2.0</v>
      </c>
      <c r="F5138" s="200">
        <v>45925.54166666667</v>
      </c>
      <c r="G5138" s="197" t="s">
        <v>845</v>
      </c>
      <c r="H5138" s="197" t="s">
        <v>885</v>
      </c>
    </row>
    <row r="5139" ht="15.75" customHeight="1">
      <c r="A5139" s="197" t="s">
        <v>92</v>
      </c>
      <c r="B5139" s="197" t="s">
        <v>25</v>
      </c>
      <c r="C5139" s="198" t="s">
        <v>532</v>
      </c>
      <c r="D5139" s="197" t="s">
        <v>533</v>
      </c>
      <c r="E5139" s="199">
        <v>4.0</v>
      </c>
      <c r="F5139" s="200">
        <v>45938.58333333333</v>
      </c>
      <c r="G5139" s="197" t="s">
        <v>845</v>
      </c>
      <c r="H5139" s="197" t="s">
        <v>885</v>
      </c>
    </row>
    <row r="5140" ht="15.75" customHeight="1">
      <c r="A5140" s="197" t="s">
        <v>92</v>
      </c>
      <c r="B5140" s="197" t="s">
        <v>25</v>
      </c>
      <c r="C5140" s="198" t="s">
        <v>532</v>
      </c>
      <c r="D5140" s="197" t="s">
        <v>533</v>
      </c>
      <c r="E5140" s="199">
        <v>5.0</v>
      </c>
      <c r="F5140" s="200">
        <v>45947.54166666667</v>
      </c>
      <c r="G5140" s="197" t="s">
        <v>845</v>
      </c>
      <c r="H5140" s="197" t="s">
        <v>885</v>
      </c>
    </row>
    <row r="5141" ht="15.75" customHeight="1">
      <c r="A5141" s="197" t="s">
        <v>92</v>
      </c>
      <c r="B5141" s="197" t="s">
        <v>25</v>
      </c>
      <c r="C5141" s="198" t="s">
        <v>532</v>
      </c>
      <c r="D5141" s="197" t="s">
        <v>533</v>
      </c>
      <c r="E5141" s="199">
        <v>6.0</v>
      </c>
      <c r="F5141" s="200">
        <v>45952.625</v>
      </c>
      <c r="G5141" s="197" t="s">
        <v>843</v>
      </c>
      <c r="H5141" s="197" t="s">
        <v>885</v>
      </c>
    </row>
    <row r="5142" ht="15.75" customHeight="1">
      <c r="A5142" s="197" t="s">
        <v>92</v>
      </c>
      <c r="B5142" s="197" t="s">
        <v>25</v>
      </c>
      <c r="C5142" s="198" t="s">
        <v>532</v>
      </c>
      <c r="D5142" s="197" t="s">
        <v>533</v>
      </c>
      <c r="E5142" s="199">
        <v>7.0</v>
      </c>
      <c r="F5142" s="200">
        <v>45961.58333333333</v>
      </c>
      <c r="G5142" s="197" t="s">
        <v>845</v>
      </c>
      <c r="H5142" s="197" t="s">
        <v>885</v>
      </c>
    </row>
    <row r="5143" ht="15.75" customHeight="1">
      <c r="A5143" s="197" t="s">
        <v>92</v>
      </c>
      <c r="B5143" s="197" t="s">
        <v>25</v>
      </c>
      <c r="C5143" s="198" t="s">
        <v>532</v>
      </c>
      <c r="D5143" s="197" t="s">
        <v>533</v>
      </c>
      <c r="E5143" s="199">
        <v>8.0</v>
      </c>
      <c r="F5143" s="200">
        <v>45966.625</v>
      </c>
      <c r="G5143" s="197" t="s">
        <v>845</v>
      </c>
      <c r="H5143" s="197" t="s">
        <v>885</v>
      </c>
    </row>
    <row r="5144" ht="15.75" customHeight="1">
      <c r="A5144" s="197" t="s">
        <v>92</v>
      </c>
      <c r="B5144" s="197" t="s">
        <v>25</v>
      </c>
      <c r="C5144" s="198" t="s">
        <v>532</v>
      </c>
      <c r="D5144" s="197" t="s">
        <v>533</v>
      </c>
      <c r="E5144" s="199">
        <v>9.0</v>
      </c>
      <c r="F5144" s="200">
        <v>45974.58333333333</v>
      </c>
      <c r="G5144" s="197" t="s">
        <v>845</v>
      </c>
      <c r="H5144" s="197" t="s">
        <v>885</v>
      </c>
    </row>
    <row r="5145" ht="15.75" customHeight="1">
      <c r="A5145" s="197" t="s">
        <v>92</v>
      </c>
      <c r="B5145" s="197" t="s">
        <v>25</v>
      </c>
      <c r="C5145" s="198" t="s">
        <v>532</v>
      </c>
      <c r="D5145" s="197" t="s">
        <v>533</v>
      </c>
      <c r="E5145" s="199">
        <v>10.0</v>
      </c>
      <c r="F5145" s="200">
        <v>45982.625</v>
      </c>
      <c r="G5145" s="197" t="s">
        <v>845</v>
      </c>
      <c r="H5145" s="197" t="s">
        <v>885</v>
      </c>
    </row>
    <row r="5146" ht="15.75" customHeight="1">
      <c r="A5146" s="197" t="s">
        <v>92</v>
      </c>
      <c r="B5146" s="197" t="s">
        <v>25</v>
      </c>
      <c r="C5146" s="198" t="s">
        <v>532</v>
      </c>
      <c r="D5146" s="197" t="s">
        <v>533</v>
      </c>
      <c r="E5146" s="199">
        <v>11.0</v>
      </c>
      <c r="F5146" s="200">
        <v>45989.58333333333</v>
      </c>
      <c r="G5146" s="197" t="s">
        <v>843</v>
      </c>
      <c r="H5146" s="197" t="s">
        <v>885</v>
      </c>
    </row>
    <row r="5147" ht="15.75" customHeight="1">
      <c r="A5147" s="197" t="s">
        <v>92</v>
      </c>
      <c r="B5147" s="197" t="s">
        <v>25</v>
      </c>
      <c r="C5147" s="198" t="s">
        <v>532</v>
      </c>
      <c r="D5147" s="197" t="s">
        <v>533</v>
      </c>
      <c r="E5147" s="199">
        <v>12.0</v>
      </c>
      <c r="F5147" s="200">
        <v>45994.54166666667</v>
      </c>
      <c r="G5147" s="197" t="s">
        <v>843</v>
      </c>
      <c r="H5147" s="197" t="s">
        <v>885</v>
      </c>
    </row>
    <row r="5148" ht="15.75" customHeight="1">
      <c r="A5148" s="197" t="s">
        <v>92</v>
      </c>
      <c r="B5148" s="197" t="s">
        <v>25</v>
      </c>
      <c r="C5148" s="198" t="s">
        <v>532</v>
      </c>
      <c r="D5148" s="197" t="s">
        <v>533</v>
      </c>
      <c r="E5148" s="199">
        <v>13.0</v>
      </c>
      <c r="F5148" s="200">
        <v>46010.58333333333</v>
      </c>
      <c r="G5148" s="197" t="s">
        <v>845</v>
      </c>
      <c r="H5148" s="197" t="s">
        <v>885</v>
      </c>
    </row>
    <row r="5149" ht="15.75" customHeight="1">
      <c r="A5149" s="197" t="s">
        <v>92</v>
      </c>
      <c r="B5149" s="197" t="s">
        <v>25</v>
      </c>
      <c r="C5149" s="198" t="s">
        <v>532</v>
      </c>
      <c r="D5149" s="197" t="s">
        <v>533</v>
      </c>
      <c r="E5149" s="199">
        <v>14.0</v>
      </c>
      <c r="F5149" s="200">
        <v>46049.54166666667</v>
      </c>
      <c r="G5149" s="197" t="s">
        <v>845</v>
      </c>
      <c r="H5149" s="197" t="s">
        <v>885</v>
      </c>
    </row>
    <row r="5150" ht="15.75" customHeight="1">
      <c r="A5150" s="197" t="s">
        <v>92</v>
      </c>
      <c r="B5150" s="197" t="s">
        <v>25</v>
      </c>
      <c r="C5150" s="198" t="s">
        <v>532</v>
      </c>
      <c r="D5150" s="197" t="s">
        <v>533</v>
      </c>
      <c r="E5150" s="199">
        <v>15.0</v>
      </c>
      <c r="F5150" s="200">
        <v>46052.58333333333</v>
      </c>
      <c r="G5150" s="197" t="s">
        <v>845</v>
      </c>
      <c r="H5150" s="197" t="s">
        <v>885</v>
      </c>
    </row>
    <row r="5151" ht="15.75" customHeight="1">
      <c r="A5151" s="197" t="s">
        <v>92</v>
      </c>
      <c r="B5151" s="197" t="s">
        <v>25</v>
      </c>
      <c r="C5151" s="198" t="s">
        <v>532</v>
      </c>
      <c r="D5151" s="197" t="s">
        <v>533</v>
      </c>
      <c r="E5151" s="199">
        <v>16.0</v>
      </c>
      <c r="F5151" s="200">
        <v>46083.58333333333</v>
      </c>
      <c r="G5151" s="197" t="s">
        <v>845</v>
      </c>
      <c r="H5151" s="197" t="s">
        <v>885</v>
      </c>
    </row>
    <row r="5152" ht="15.75" customHeight="1">
      <c r="A5152" s="197" t="s">
        <v>93</v>
      </c>
      <c r="B5152" s="197" t="s">
        <v>21</v>
      </c>
      <c r="C5152" s="198" t="s">
        <v>273</v>
      </c>
      <c r="D5152" s="197" t="s">
        <v>274</v>
      </c>
      <c r="E5152" s="199">
        <v>1.0</v>
      </c>
      <c r="F5152" s="200">
        <v>45929.58333333333</v>
      </c>
      <c r="G5152" s="197" t="s">
        <v>845</v>
      </c>
      <c r="H5152" s="197" t="s">
        <v>886</v>
      </c>
    </row>
    <row r="5153" ht="15.75" customHeight="1">
      <c r="A5153" s="197" t="s">
        <v>93</v>
      </c>
      <c r="B5153" s="197" t="s">
        <v>21</v>
      </c>
      <c r="C5153" s="198" t="s">
        <v>273</v>
      </c>
      <c r="D5153" s="197" t="s">
        <v>274</v>
      </c>
      <c r="E5153" s="199">
        <v>2.0</v>
      </c>
      <c r="F5153" s="200">
        <v>45938.58333333333</v>
      </c>
      <c r="G5153" s="197" t="s">
        <v>843</v>
      </c>
      <c r="H5153" s="197" t="s">
        <v>886</v>
      </c>
    </row>
    <row r="5154" ht="15.75" customHeight="1">
      <c r="A5154" s="197" t="s">
        <v>93</v>
      </c>
      <c r="B5154" s="197" t="s">
        <v>21</v>
      </c>
      <c r="C5154" s="198" t="s">
        <v>273</v>
      </c>
      <c r="D5154" s="197" t="s">
        <v>274</v>
      </c>
      <c r="E5154" s="199">
        <v>3.0</v>
      </c>
      <c r="F5154" s="200">
        <v>45950.54166666667</v>
      </c>
      <c r="G5154" s="197" t="s">
        <v>843</v>
      </c>
      <c r="H5154" s="197" t="s">
        <v>886</v>
      </c>
    </row>
    <row r="5155" ht="15.75" customHeight="1">
      <c r="A5155" s="197" t="s">
        <v>93</v>
      </c>
      <c r="B5155" s="197" t="s">
        <v>21</v>
      </c>
      <c r="C5155" s="198" t="s">
        <v>273</v>
      </c>
      <c r="D5155" s="197" t="s">
        <v>274</v>
      </c>
      <c r="E5155" s="199">
        <v>4.0</v>
      </c>
      <c r="F5155" s="200">
        <v>45952.58333333333</v>
      </c>
      <c r="G5155" s="197" t="s">
        <v>843</v>
      </c>
      <c r="H5155" s="197" t="s">
        <v>886</v>
      </c>
    </row>
    <row r="5156" ht="15.75" customHeight="1">
      <c r="A5156" s="197" t="s">
        <v>93</v>
      </c>
      <c r="B5156" s="197" t="s">
        <v>21</v>
      </c>
      <c r="C5156" s="198" t="s">
        <v>273</v>
      </c>
      <c r="D5156" s="197" t="s">
        <v>274</v>
      </c>
      <c r="E5156" s="199">
        <v>5.0</v>
      </c>
      <c r="F5156" s="200">
        <v>45959.58333333333</v>
      </c>
      <c r="G5156" s="197" t="s">
        <v>843</v>
      </c>
      <c r="H5156" s="197" t="s">
        <v>886</v>
      </c>
    </row>
    <row r="5157" ht="15.75" customHeight="1">
      <c r="A5157" s="197" t="s">
        <v>93</v>
      </c>
      <c r="B5157" s="197" t="s">
        <v>21</v>
      </c>
      <c r="C5157" s="198" t="s">
        <v>273</v>
      </c>
      <c r="D5157" s="197" t="s">
        <v>274</v>
      </c>
      <c r="E5157" s="199">
        <v>6.0</v>
      </c>
      <c r="F5157" s="200">
        <v>45966.54166666667</v>
      </c>
      <c r="G5157" s="197" t="s">
        <v>843</v>
      </c>
      <c r="H5157" s="197" t="s">
        <v>886</v>
      </c>
    </row>
    <row r="5158" ht="15.75" customHeight="1">
      <c r="A5158" s="197" t="s">
        <v>93</v>
      </c>
      <c r="B5158" s="197" t="s">
        <v>21</v>
      </c>
      <c r="C5158" s="198" t="s">
        <v>273</v>
      </c>
      <c r="D5158" s="197" t="s">
        <v>274</v>
      </c>
      <c r="E5158" s="199">
        <v>7.0</v>
      </c>
      <c r="F5158" s="200">
        <v>45985.54166666667</v>
      </c>
      <c r="G5158" s="197" t="s">
        <v>843</v>
      </c>
      <c r="H5158" s="197" t="s">
        <v>886</v>
      </c>
    </row>
    <row r="5159" ht="15.75" customHeight="1">
      <c r="A5159" s="197" t="s">
        <v>93</v>
      </c>
      <c r="B5159" s="197" t="s">
        <v>21</v>
      </c>
      <c r="C5159" s="198" t="s">
        <v>385</v>
      </c>
      <c r="D5159" s="197" t="s">
        <v>386</v>
      </c>
      <c r="E5159" s="199">
        <v>1.0</v>
      </c>
      <c r="F5159" s="200">
        <v>45929.58333333333</v>
      </c>
      <c r="G5159" s="197" t="s">
        <v>845</v>
      </c>
      <c r="H5159" s="197" t="s">
        <v>886</v>
      </c>
    </row>
    <row r="5160" ht="15.75" customHeight="1">
      <c r="A5160" s="197" t="s">
        <v>93</v>
      </c>
      <c r="B5160" s="197" t="s">
        <v>21</v>
      </c>
      <c r="C5160" s="198" t="s">
        <v>385</v>
      </c>
      <c r="D5160" s="197" t="s">
        <v>386</v>
      </c>
      <c r="E5160" s="199">
        <v>2.0</v>
      </c>
      <c r="F5160" s="200">
        <v>45938.58333333333</v>
      </c>
      <c r="G5160" s="197" t="s">
        <v>843</v>
      </c>
      <c r="H5160" s="197" t="s">
        <v>886</v>
      </c>
    </row>
    <row r="5161" ht="15.75" customHeight="1">
      <c r="A5161" s="197" t="s">
        <v>93</v>
      </c>
      <c r="B5161" s="197" t="s">
        <v>21</v>
      </c>
      <c r="C5161" s="198" t="s">
        <v>385</v>
      </c>
      <c r="D5161" s="197" t="s">
        <v>386</v>
      </c>
      <c r="E5161" s="199">
        <v>3.0</v>
      </c>
      <c r="F5161" s="200">
        <v>45950.54166666667</v>
      </c>
      <c r="G5161" s="197" t="s">
        <v>843</v>
      </c>
      <c r="H5161" s="197" t="s">
        <v>886</v>
      </c>
    </row>
    <row r="5162" ht="15.75" customHeight="1">
      <c r="A5162" s="197" t="s">
        <v>93</v>
      </c>
      <c r="B5162" s="197" t="s">
        <v>21</v>
      </c>
      <c r="C5162" s="198" t="s">
        <v>385</v>
      </c>
      <c r="D5162" s="197" t="s">
        <v>386</v>
      </c>
      <c r="E5162" s="199">
        <v>4.0</v>
      </c>
      <c r="F5162" s="200">
        <v>45952.58333333333</v>
      </c>
      <c r="G5162" s="197" t="s">
        <v>843</v>
      </c>
      <c r="H5162" s="197" t="s">
        <v>886</v>
      </c>
    </row>
    <row r="5163" ht="15.75" customHeight="1">
      <c r="A5163" s="197" t="s">
        <v>93</v>
      </c>
      <c r="B5163" s="197" t="s">
        <v>21</v>
      </c>
      <c r="C5163" s="198" t="s">
        <v>385</v>
      </c>
      <c r="D5163" s="197" t="s">
        <v>386</v>
      </c>
      <c r="E5163" s="199">
        <v>5.0</v>
      </c>
      <c r="F5163" s="200">
        <v>45959.58333333333</v>
      </c>
      <c r="G5163" s="197" t="s">
        <v>843</v>
      </c>
      <c r="H5163" s="197" t="s">
        <v>886</v>
      </c>
    </row>
    <row r="5164" ht="15.75" customHeight="1">
      <c r="A5164" s="197" t="s">
        <v>93</v>
      </c>
      <c r="B5164" s="197" t="s">
        <v>21</v>
      </c>
      <c r="C5164" s="198" t="s">
        <v>385</v>
      </c>
      <c r="D5164" s="197" t="s">
        <v>386</v>
      </c>
      <c r="E5164" s="199">
        <v>6.0</v>
      </c>
      <c r="F5164" s="200">
        <v>45966.54166666667</v>
      </c>
      <c r="G5164" s="197" t="s">
        <v>843</v>
      </c>
      <c r="H5164" s="197" t="s">
        <v>886</v>
      </c>
    </row>
    <row r="5165" ht="15.75" customHeight="1">
      <c r="A5165" s="197" t="s">
        <v>93</v>
      </c>
      <c r="B5165" s="197" t="s">
        <v>21</v>
      </c>
      <c r="C5165" s="198" t="s">
        <v>385</v>
      </c>
      <c r="D5165" s="197" t="s">
        <v>386</v>
      </c>
      <c r="E5165" s="199">
        <v>7.0</v>
      </c>
      <c r="F5165" s="200">
        <v>45985.54166666667</v>
      </c>
      <c r="G5165" s="197" t="s">
        <v>843</v>
      </c>
      <c r="H5165" s="197" t="s">
        <v>886</v>
      </c>
    </row>
    <row r="5166" ht="15.75" customHeight="1">
      <c r="A5166" s="197" t="s">
        <v>93</v>
      </c>
      <c r="B5166" s="197" t="s">
        <v>21</v>
      </c>
      <c r="C5166" s="198" t="s">
        <v>427</v>
      </c>
      <c r="D5166" s="197" t="s">
        <v>428</v>
      </c>
      <c r="E5166" s="199">
        <v>1.0</v>
      </c>
      <c r="F5166" s="200">
        <v>45929.58333333333</v>
      </c>
      <c r="G5166" s="197" t="s">
        <v>845</v>
      </c>
      <c r="H5166" s="197" t="s">
        <v>886</v>
      </c>
    </row>
    <row r="5167" ht="15.75" customHeight="1">
      <c r="A5167" s="197" t="s">
        <v>93</v>
      </c>
      <c r="B5167" s="197" t="s">
        <v>21</v>
      </c>
      <c r="C5167" s="198" t="s">
        <v>427</v>
      </c>
      <c r="D5167" s="197" t="s">
        <v>428</v>
      </c>
      <c r="E5167" s="199">
        <v>2.0</v>
      </c>
      <c r="F5167" s="200">
        <v>45938.58333333333</v>
      </c>
      <c r="G5167" s="197" t="s">
        <v>845</v>
      </c>
      <c r="H5167" s="197" t="s">
        <v>886</v>
      </c>
    </row>
    <row r="5168" ht="15.75" customHeight="1">
      <c r="A5168" s="197" t="s">
        <v>93</v>
      </c>
      <c r="B5168" s="197" t="s">
        <v>21</v>
      </c>
      <c r="C5168" s="198" t="s">
        <v>427</v>
      </c>
      <c r="D5168" s="197" t="s">
        <v>428</v>
      </c>
      <c r="E5168" s="199">
        <v>3.0</v>
      </c>
      <c r="F5168" s="200">
        <v>45950.54166666667</v>
      </c>
      <c r="G5168" s="197" t="s">
        <v>845</v>
      </c>
      <c r="H5168" s="197" t="s">
        <v>886</v>
      </c>
    </row>
    <row r="5169" ht="15.75" customHeight="1">
      <c r="A5169" s="197" t="s">
        <v>93</v>
      </c>
      <c r="B5169" s="197" t="s">
        <v>21</v>
      </c>
      <c r="C5169" s="198" t="s">
        <v>427</v>
      </c>
      <c r="D5169" s="197" t="s">
        <v>428</v>
      </c>
      <c r="E5169" s="199">
        <v>4.0</v>
      </c>
      <c r="F5169" s="200">
        <v>45952.58333333333</v>
      </c>
      <c r="G5169" s="197" t="s">
        <v>845</v>
      </c>
      <c r="H5169" s="197" t="s">
        <v>886</v>
      </c>
    </row>
    <row r="5170" ht="15.75" customHeight="1">
      <c r="A5170" s="197" t="s">
        <v>93</v>
      </c>
      <c r="B5170" s="197" t="s">
        <v>21</v>
      </c>
      <c r="C5170" s="198" t="s">
        <v>427</v>
      </c>
      <c r="D5170" s="197" t="s">
        <v>428</v>
      </c>
      <c r="E5170" s="199">
        <v>5.0</v>
      </c>
      <c r="F5170" s="200">
        <v>45959.58333333333</v>
      </c>
      <c r="G5170" s="197" t="s">
        <v>845</v>
      </c>
      <c r="H5170" s="197" t="s">
        <v>886</v>
      </c>
    </row>
    <row r="5171" ht="15.75" customHeight="1">
      <c r="A5171" s="197" t="s">
        <v>93</v>
      </c>
      <c r="B5171" s="197" t="s">
        <v>21</v>
      </c>
      <c r="C5171" s="198" t="s">
        <v>427</v>
      </c>
      <c r="D5171" s="197" t="s">
        <v>428</v>
      </c>
      <c r="E5171" s="199">
        <v>6.0</v>
      </c>
      <c r="F5171" s="200">
        <v>45966.54166666667</v>
      </c>
      <c r="G5171" s="197" t="s">
        <v>845</v>
      </c>
      <c r="H5171" s="197" t="s">
        <v>886</v>
      </c>
    </row>
    <row r="5172" ht="15.75" customHeight="1">
      <c r="A5172" s="197" t="s">
        <v>93</v>
      </c>
      <c r="B5172" s="197" t="s">
        <v>21</v>
      </c>
      <c r="C5172" s="198" t="s">
        <v>427</v>
      </c>
      <c r="D5172" s="197" t="s">
        <v>428</v>
      </c>
      <c r="E5172" s="199">
        <v>7.0</v>
      </c>
      <c r="F5172" s="200">
        <v>45985.54166666667</v>
      </c>
      <c r="G5172" s="197" t="s">
        <v>845</v>
      </c>
      <c r="H5172" s="197" t="s">
        <v>886</v>
      </c>
    </row>
    <row r="5173" ht="15.75" customHeight="1">
      <c r="A5173" s="197" t="s">
        <v>93</v>
      </c>
      <c r="B5173" s="197" t="s">
        <v>21</v>
      </c>
      <c r="C5173" s="198" t="s">
        <v>427</v>
      </c>
      <c r="D5173" s="197" t="s">
        <v>428</v>
      </c>
      <c r="E5173" s="199">
        <v>8.0</v>
      </c>
      <c r="F5173" s="200">
        <v>45999.54166666667</v>
      </c>
      <c r="G5173" s="197" t="s">
        <v>845</v>
      </c>
      <c r="H5173" s="197" t="s">
        <v>886</v>
      </c>
    </row>
    <row r="5174" ht="15.75" customHeight="1">
      <c r="A5174" s="197" t="s">
        <v>93</v>
      </c>
      <c r="B5174" s="197" t="s">
        <v>21</v>
      </c>
      <c r="C5174" s="198" t="s">
        <v>427</v>
      </c>
      <c r="D5174" s="197" t="s">
        <v>428</v>
      </c>
      <c r="E5174" s="199">
        <v>9.0</v>
      </c>
      <c r="F5174" s="200">
        <v>46006.54166666667</v>
      </c>
      <c r="G5174" s="197" t="s">
        <v>845</v>
      </c>
      <c r="H5174" s="197" t="s">
        <v>886</v>
      </c>
    </row>
    <row r="5175" ht="15.75" customHeight="1">
      <c r="A5175" s="197" t="s">
        <v>93</v>
      </c>
      <c r="B5175" s="197" t="s">
        <v>21</v>
      </c>
      <c r="C5175" s="198" t="s">
        <v>427</v>
      </c>
      <c r="D5175" s="197" t="s">
        <v>428</v>
      </c>
      <c r="E5175" s="199">
        <v>10.0</v>
      </c>
      <c r="F5175" s="200">
        <v>46008.54166666667</v>
      </c>
      <c r="G5175" s="197" t="s">
        <v>845</v>
      </c>
      <c r="H5175" s="197" t="s">
        <v>886</v>
      </c>
    </row>
    <row r="5176" ht="15.75" customHeight="1">
      <c r="A5176" s="197" t="s">
        <v>93</v>
      </c>
      <c r="B5176" s="197" t="s">
        <v>21</v>
      </c>
      <c r="C5176" s="198" t="s">
        <v>427</v>
      </c>
      <c r="D5176" s="197" t="s">
        <v>428</v>
      </c>
      <c r="E5176" s="199">
        <v>11.0</v>
      </c>
      <c r="F5176" s="200">
        <v>46013.54166666667</v>
      </c>
      <c r="G5176" s="197" t="s">
        <v>845</v>
      </c>
      <c r="H5176" s="197" t="s">
        <v>886</v>
      </c>
    </row>
    <row r="5177" ht="15.75" customHeight="1">
      <c r="A5177" s="197" t="s">
        <v>93</v>
      </c>
      <c r="B5177" s="197" t="s">
        <v>21</v>
      </c>
      <c r="C5177" s="198" t="s">
        <v>427</v>
      </c>
      <c r="D5177" s="197" t="s">
        <v>428</v>
      </c>
      <c r="E5177" s="199">
        <v>12.0</v>
      </c>
      <c r="F5177" s="200">
        <v>46041.58333333333</v>
      </c>
      <c r="G5177" s="197" t="s">
        <v>845</v>
      </c>
      <c r="H5177" s="197" t="s">
        <v>886</v>
      </c>
    </row>
    <row r="5178" ht="15.75" customHeight="1">
      <c r="A5178" s="197" t="s">
        <v>93</v>
      </c>
      <c r="B5178" s="197" t="s">
        <v>21</v>
      </c>
      <c r="C5178" s="198" t="s">
        <v>427</v>
      </c>
      <c r="D5178" s="197" t="s">
        <v>428</v>
      </c>
      <c r="E5178" s="199">
        <v>13.0</v>
      </c>
      <c r="F5178" s="200">
        <v>46048.58333333333</v>
      </c>
      <c r="G5178" s="197" t="s">
        <v>845</v>
      </c>
      <c r="H5178" s="197" t="s">
        <v>886</v>
      </c>
    </row>
    <row r="5179" ht="15.75" customHeight="1">
      <c r="A5179" s="197" t="s">
        <v>93</v>
      </c>
      <c r="B5179" s="197" t="s">
        <v>21</v>
      </c>
      <c r="C5179" s="198" t="s">
        <v>427</v>
      </c>
      <c r="D5179" s="197" t="s">
        <v>428</v>
      </c>
      <c r="E5179" s="199">
        <v>14.0</v>
      </c>
      <c r="F5179" s="200">
        <v>46087.54166666667</v>
      </c>
      <c r="G5179" s="197" t="s">
        <v>845</v>
      </c>
      <c r="H5179" s="197" t="s">
        <v>886</v>
      </c>
    </row>
    <row r="5180" ht="15.75" customHeight="1">
      <c r="A5180" s="197" t="s">
        <v>93</v>
      </c>
      <c r="B5180" s="197" t="s">
        <v>21</v>
      </c>
      <c r="C5180" s="198" t="s">
        <v>427</v>
      </c>
      <c r="D5180" s="197" t="s">
        <v>428</v>
      </c>
      <c r="E5180" s="199">
        <v>15.0</v>
      </c>
      <c r="F5180" s="200">
        <v>46094.54166666667</v>
      </c>
      <c r="G5180" s="197" t="s">
        <v>845</v>
      </c>
      <c r="H5180" s="197" t="s">
        <v>886</v>
      </c>
    </row>
    <row r="5181" ht="15.75" customHeight="1">
      <c r="A5181" s="197" t="s">
        <v>93</v>
      </c>
      <c r="B5181" s="197" t="s">
        <v>21</v>
      </c>
      <c r="C5181" s="198" t="s">
        <v>502</v>
      </c>
      <c r="D5181" s="197" t="s">
        <v>503</v>
      </c>
      <c r="E5181" s="199">
        <v>1.0</v>
      </c>
      <c r="F5181" s="200">
        <v>45929.58333333333</v>
      </c>
      <c r="G5181" s="197" t="s">
        <v>845</v>
      </c>
      <c r="H5181" s="197" t="s">
        <v>886</v>
      </c>
    </row>
    <row r="5182" ht="15.75" customHeight="1">
      <c r="A5182" s="197" t="s">
        <v>93</v>
      </c>
      <c r="B5182" s="197" t="s">
        <v>21</v>
      </c>
      <c r="C5182" s="198" t="s">
        <v>502</v>
      </c>
      <c r="D5182" s="197" t="s">
        <v>503</v>
      </c>
      <c r="E5182" s="199">
        <v>2.0</v>
      </c>
      <c r="F5182" s="200">
        <v>45938.58333333333</v>
      </c>
      <c r="G5182" s="197" t="s">
        <v>845</v>
      </c>
      <c r="H5182" s="197" t="s">
        <v>886</v>
      </c>
    </row>
    <row r="5183" ht="15.75" customHeight="1">
      <c r="A5183" s="197" t="s">
        <v>93</v>
      </c>
      <c r="B5183" s="197" t="s">
        <v>21</v>
      </c>
      <c r="C5183" s="198" t="s">
        <v>502</v>
      </c>
      <c r="D5183" s="197" t="s">
        <v>503</v>
      </c>
      <c r="E5183" s="199">
        <v>3.0</v>
      </c>
      <c r="F5183" s="200">
        <v>45950.54166666667</v>
      </c>
      <c r="G5183" s="197" t="s">
        <v>845</v>
      </c>
      <c r="H5183" s="197" t="s">
        <v>886</v>
      </c>
    </row>
    <row r="5184" ht="15.75" customHeight="1">
      <c r="A5184" s="197" t="s">
        <v>93</v>
      </c>
      <c r="B5184" s="197" t="s">
        <v>21</v>
      </c>
      <c r="C5184" s="198" t="s">
        <v>502</v>
      </c>
      <c r="D5184" s="197" t="s">
        <v>503</v>
      </c>
      <c r="E5184" s="199">
        <v>4.0</v>
      </c>
      <c r="F5184" s="200">
        <v>45952.58333333333</v>
      </c>
      <c r="G5184" s="197" t="s">
        <v>845</v>
      </c>
      <c r="H5184" s="197" t="s">
        <v>886</v>
      </c>
    </row>
    <row r="5185" ht="15.75" customHeight="1">
      <c r="A5185" s="197" t="s">
        <v>93</v>
      </c>
      <c r="B5185" s="197" t="s">
        <v>21</v>
      </c>
      <c r="C5185" s="198" t="s">
        <v>502</v>
      </c>
      <c r="D5185" s="197" t="s">
        <v>503</v>
      </c>
      <c r="E5185" s="199">
        <v>5.0</v>
      </c>
      <c r="F5185" s="200">
        <v>45959.58333333333</v>
      </c>
      <c r="G5185" s="197" t="s">
        <v>845</v>
      </c>
      <c r="H5185" s="197" t="s">
        <v>886</v>
      </c>
    </row>
    <row r="5186" ht="15.75" customHeight="1">
      <c r="A5186" s="197" t="s">
        <v>93</v>
      </c>
      <c r="B5186" s="197" t="s">
        <v>21</v>
      </c>
      <c r="C5186" s="198" t="s">
        <v>502</v>
      </c>
      <c r="D5186" s="197" t="s">
        <v>503</v>
      </c>
      <c r="E5186" s="199">
        <v>6.0</v>
      </c>
      <c r="F5186" s="200">
        <v>45966.54166666667</v>
      </c>
      <c r="G5186" s="197" t="s">
        <v>845</v>
      </c>
      <c r="H5186" s="197" t="s">
        <v>886</v>
      </c>
    </row>
    <row r="5187" ht="15.75" customHeight="1">
      <c r="A5187" s="197" t="s">
        <v>93</v>
      </c>
      <c r="B5187" s="197" t="s">
        <v>21</v>
      </c>
      <c r="C5187" s="198" t="s">
        <v>502</v>
      </c>
      <c r="D5187" s="197" t="s">
        <v>503</v>
      </c>
      <c r="E5187" s="199">
        <v>7.0</v>
      </c>
      <c r="F5187" s="200">
        <v>45985.54166666667</v>
      </c>
      <c r="G5187" s="197" t="s">
        <v>845</v>
      </c>
      <c r="H5187" s="197" t="s">
        <v>886</v>
      </c>
    </row>
    <row r="5188" ht="15.75" customHeight="1">
      <c r="A5188" s="197" t="s">
        <v>93</v>
      </c>
      <c r="B5188" s="197" t="s">
        <v>21</v>
      </c>
      <c r="C5188" s="198" t="s">
        <v>502</v>
      </c>
      <c r="D5188" s="197" t="s">
        <v>503</v>
      </c>
      <c r="E5188" s="199">
        <v>8.0</v>
      </c>
      <c r="F5188" s="200">
        <v>45999.54166666667</v>
      </c>
      <c r="G5188" s="197" t="s">
        <v>845</v>
      </c>
      <c r="H5188" s="197" t="s">
        <v>886</v>
      </c>
    </row>
    <row r="5189" ht="15.75" customHeight="1">
      <c r="A5189" s="197" t="s">
        <v>93</v>
      </c>
      <c r="B5189" s="197" t="s">
        <v>21</v>
      </c>
      <c r="C5189" s="198" t="s">
        <v>502</v>
      </c>
      <c r="D5189" s="197" t="s">
        <v>503</v>
      </c>
      <c r="E5189" s="199">
        <v>9.0</v>
      </c>
      <c r="F5189" s="200">
        <v>46006.54166666667</v>
      </c>
      <c r="G5189" s="197" t="s">
        <v>845</v>
      </c>
      <c r="H5189" s="197" t="s">
        <v>886</v>
      </c>
    </row>
    <row r="5190" ht="15.75" customHeight="1">
      <c r="A5190" s="197" t="s">
        <v>93</v>
      </c>
      <c r="B5190" s="197" t="s">
        <v>21</v>
      </c>
      <c r="C5190" s="198" t="s">
        <v>502</v>
      </c>
      <c r="D5190" s="197" t="s">
        <v>503</v>
      </c>
      <c r="E5190" s="199">
        <v>10.0</v>
      </c>
      <c r="F5190" s="200">
        <v>46008.54166666667</v>
      </c>
      <c r="G5190" s="197" t="s">
        <v>845</v>
      </c>
      <c r="H5190" s="197" t="s">
        <v>886</v>
      </c>
    </row>
    <row r="5191" ht="15.75" customHeight="1">
      <c r="A5191" s="197" t="s">
        <v>93</v>
      </c>
      <c r="B5191" s="197" t="s">
        <v>21</v>
      </c>
      <c r="C5191" s="198" t="s">
        <v>502</v>
      </c>
      <c r="D5191" s="197" t="s">
        <v>503</v>
      </c>
      <c r="E5191" s="199">
        <v>11.0</v>
      </c>
      <c r="F5191" s="200">
        <v>46013.54166666667</v>
      </c>
      <c r="G5191" s="197" t="s">
        <v>845</v>
      </c>
      <c r="H5191" s="197" t="s">
        <v>886</v>
      </c>
    </row>
    <row r="5192" ht="15.75" customHeight="1">
      <c r="A5192" s="197" t="s">
        <v>93</v>
      </c>
      <c r="B5192" s="197" t="s">
        <v>21</v>
      </c>
      <c r="C5192" s="198" t="s">
        <v>502</v>
      </c>
      <c r="D5192" s="197" t="s">
        <v>503</v>
      </c>
      <c r="E5192" s="199">
        <v>12.0</v>
      </c>
      <c r="F5192" s="200">
        <v>46041.58333333333</v>
      </c>
      <c r="G5192" s="197" t="s">
        <v>845</v>
      </c>
      <c r="H5192" s="197" t="s">
        <v>886</v>
      </c>
    </row>
    <row r="5193" ht="15.75" customHeight="1">
      <c r="A5193" s="197" t="s">
        <v>93</v>
      </c>
      <c r="B5193" s="197" t="s">
        <v>21</v>
      </c>
      <c r="C5193" s="198" t="s">
        <v>502</v>
      </c>
      <c r="D5193" s="197" t="s">
        <v>503</v>
      </c>
      <c r="E5193" s="199">
        <v>13.0</v>
      </c>
      <c r="F5193" s="200">
        <v>46048.58333333333</v>
      </c>
      <c r="G5193" s="197" t="s">
        <v>845</v>
      </c>
      <c r="H5193" s="197" t="s">
        <v>886</v>
      </c>
    </row>
    <row r="5194" ht="15.75" customHeight="1">
      <c r="A5194" s="197" t="s">
        <v>93</v>
      </c>
      <c r="B5194" s="197" t="s">
        <v>21</v>
      </c>
      <c r="C5194" s="198" t="s">
        <v>502</v>
      </c>
      <c r="D5194" s="197" t="s">
        <v>503</v>
      </c>
      <c r="E5194" s="199">
        <v>14.0</v>
      </c>
      <c r="F5194" s="200">
        <v>46087.54166666667</v>
      </c>
      <c r="G5194" s="197" t="s">
        <v>845</v>
      </c>
      <c r="H5194" s="197" t="s">
        <v>886</v>
      </c>
    </row>
    <row r="5195" ht="15.75" customHeight="1">
      <c r="A5195" s="197" t="s">
        <v>93</v>
      </c>
      <c r="B5195" s="197" t="s">
        <v>21</v>
      </c>
      <c r="C5195" s="198" t="s">
        <v>502</v>
      </c>
      <c r="D5195" s="197" t="s">
        <v>503</v>
      </c>
      <c r="E5195" s="199">
        <v>15.0</v>
      </c>
      <c r="F5195" s="200">
        <v>46094.54166666667</v>
      </c>
      <c r="G5195" s="197" t="s">
        <v>845</v>
      </c>
      <c r="H5195" s="197" t="s">
        <v>886</v>
      </c>
    </row>
    <row r="5196" ht="15.75" customHeight="1">
      <c r="A5196" s="197" t="s">
        <v>93</v>
      </c>
      <c r="B5196" s="197" t="s">
        <v>21</v>
      </c>
      <c r="C5196" s="198" t="s">
        <v>655</v>
      </c>
      <c r="D5196" s="197" t="s">
        <v>656</v>
      </c>
      <c r="E5196" s="199">
        <v>1.0</v>
      </c>
      <c r="F5196" s="200">
        <v>45929.58333333333</v>
      </c>
      <c r="G5196" s="197" t="s">
        <v>845</v>
      </c>
      <c r="H5196" s="197" t="s">
        <v>886</v>
      </c>
    </row>
    <row r="5197" ht="15.75" customHeight="1">
      <c r="A5197" s="197" t="s">
        <v>93</v>
      </c>
      <c r="B5197" s="197" t="s">
        <v>21</v>
      </c>
      <c r="C5197" s="198" t="s">
        <v>655</v>
      </c>
      <c r="D5197" s="197" t="s">
        <v>656</v>
      </c>
      <c r="E5197" s="199">
        <v>2.0</v>
      </c>
      <c r="F5197" s="200">
        <v>45938.58333333333</v>
      </c>
      <c r="G5197" s="197" t="s">
        <v>845</v>
      </c>
      <c r="H5197" s="197" t="s">
        <v>886</v>
      </c>
    </row>
    <row r="5198" ht="15.75" customHeight="1">
      <c r="A5198" s="197" t="s">
        <v>93</v>
      </c>
      <c r="B5198" s="197" t="s">
        <v>21</v>
      </c>
      <c r="C5198" s="198" t="s">
        <v>655</v>
      </c>
      <c r="D5198" s="197" t="s">
        <v>656</v>
      </c>
      <c r="E5198" s="199">
        <v>3.0</v>
      </c>
      <c r="F5198" s="200">
        <v>45950.54166666667</v>
      </c>
      <c r="G5198" s="197" t="s">
        <v>845</v>
      </c>
      <c r="H5198" s="197" t="s">
        <v>886</v>
      </c>
    </row>
    <row r="5199" ht="15.75" customHeight="1">
      <c r="A5199" s="197" t="s">
        <v>93</v>
      </c>
      <c r="B5199" s="197" t="s">
        <v>21</v>
      </c>
      <c r="C5199" s="198" t="s">
        <v>655</v>
      </c>
      <c r="D5199" s="197" t="s">
        <v>656</v>
      </c>
      <c r="E5199" s="199">
        <v>4.0</v>
      </c>
      <c r="F5199" s="200">
        <v>45952.58333333333</v>
      </c>
      <c r="G5199" s="197" t="s">
        <v>845</v>
      </c>
      <c r="H5199" s="197" t="s">
        <v>886</v>
      </c>
    </row>
    <row r="5200" ht="15.75" customHeight="1">
      <c r="A5200" s="197" t="s">
        <v>93</v>
      </c>
      <c r="B5200" s="197" t="s">
        <v>21</v>
      </c>
      <c r="C5200" s="198" t="s">
        <v>655</v>
      </c>
      <c r="D5200" s="197" t="s">
        <v>656</v>
      </c>
      <c r="E5200" s="199">
        <v>5.0</v>
      </c>
      <c r="F5200" s="200">
        <v>45959.58333333333</v>
      </c>
      <c r="G5200" s="197" t="s">
        <v>843</v>
      </c>
      <c r="H5200" s="197" t="s">
        <v>886</v>
      </c>
    </row>
    <row r="5201" ht="15.75" customHeight="1">
      <c r="A5201" s="197" t="s">
        <v>93</v>
      </c>
      <c r="B5201" s="197" t="s">
        <v>21</v>
      </c>
      <c r="C5201" s="198" t="s">
        <v>655</v>
      </c>
      <c r="D5201" s="197" t="s">
        <v>656</v>
      </c>
      <c r="E5201" s="199">
        <v>6.0</v>
      </c>
      <c r="F5201" s="200">
        <v>45966.54166666667</v>
      </c>
      <c r="G5201" s="197" t="s">
        <v>845</v>
      </c>
      <c r="H5201" s="197" t="s">
        <v>886</v>
      </c>
    </row>
    <row r="5202" ht="15.75" customHeight="1">
      <c r="A5202" s="197" t="s">
        <v>93</v>
      </c>
      <c r="B5202" s="197" t="s">
        <v>21</v>
      </c>
      <c r="C5202" s="198" t="s">
        <v>655</v>
      </c>
      <c r="D5202" s="197" t="s">
        <v>656</v>
      </c>
      <c r="E5202" s="199">
        <v>7.0</v>
      </c>
      <c r="F5202" s="200">
        <v>45985.54166666667</v>
      </c>
      <c r="G5202" s="197" t="s">
        <v>845</v>
      </c>
      <c r="H5202" s="197" t="s">
        <v>886</v>
      </c>
    </row>
    <row r="5203" ht="15.75" customHeight="1">
      <c r="A5203" s="197" t="s">
        <v>93</v>
      </c>
      <c r="B5203" s="197" t="s">
        <v>21</v>
      </c>
      <c r="C5203" s="198" t="s">
        <v>655</v>
      </c>
      <c r="D5203" s="197" t="s">
        <v>656</v>
      </c>
      <c r="E5203" s="199">
        <v>8.0</v>
      </c>
      <c r="F5203" s="200">
        <v>45999.54166666667</v>
      </c>
      <c r="G5203" s="197" t="s">
        <v>845</v>
      </c>
      <c r="H5203" s="197" t="s">
        <v>886</v>
      </c>
    </row>
    <row r="5204" ht="15.75" customHeight="1">
      <c r="A5204" s="197" t="s">
        <v>93</v>
      </c>
      <c r="B5204" s="197" t="s">
        <v>21</v>
      </c>
      <c r="C5204" s="198" t="s">
        <v>655</v>
      </c>
      <c r="D5204" s="197" t="s">
        <v>656</v>
      </c>
      <c r="E5204" s="199">
        <v>9.0</v>
      </c>
      <c r="F5204" s="200">
        <v>46006.54166666667</v>
      </c>
      <c r="G5204" s="197" t="s">
        <v>845</v>
      </c>
      <c r="H5204" s="197" t="s">
        <v>886</v>
      </c>
    </row>
    <row r="5205" ht="15.75" customHeight="1">
      <c r="A5205" s="197" t="s">
        <v>93</v>
      </c>
      <c r="B5205" s="197" t="s">
        <v>21</v>
      </c>
      <c r="C5205" s="198" t="s">
        <v>655</v>
      </c>
      <c r="D5205" s="197" t="s">
        <v>656</v>
      </c>
      <c r="E5205" s="199">
        <v>10.0</v>
      </c>
      <c r="F5205" s="200">
        <v>46008.54166666667</v>
      </c>
      <c r="G5205" s="197" t="s">
        <v>845</v>
      </c>
      <c r="H5205" s="197" t="s">
        <v>886</v>
      </c>
    </row>
    <row r="5206" ht="15.75" customHeight="1">
      <c r="A5206" s="197" t="s">
        <v>93</v>
      </c>
      <c r="B5206" s="197" t="s">
        <v>21</v>
      </c>
      <c r="C5206" s="198" t="s">
        <v>655</v>
      </c>
      <c r="D5206" s="197" t="s">
        <v>656</v>
      </c>
      <c r="E5206" s="199">
        <v>11.0</v>
      </c>
      <c r="F5206" s="200">
        <v>46013.54166666667</v>
      </c>
      <c r="G5206" s="197" t="s">
        <v>845</v>
      </c>
      <c r="H5206" s="197" t="s">
        <v>886</v>
      </c>
    </row>
    <row r="5207" ht="15.75" customHeight="1">
      <c r="A5207" s="197" t="s">
        <v>93</v>
      </c>
      <c r="B5207" s="197" t="s">
        <v>21</v>
      </c>
      <c r="C5207" s="198" t="s">
        <v>655</v>
      </c>
      <c r="D5207" s="197" t="s">
        <v>656</v>
      </c>
      <c r="E5207" s="199">
        <v>12.0</v>
      </c>
      <c r="F5207" s="200">
        <v>46041.58333333333</v>
      </c>
      <c r="G5207" s="197" t="s">
        <v>845</v>
      </c>
      <c r="H5207" s="197" t="s">
        <v>886</v>
      </c>
    </row>
    <row r="5208" ht="15.75" customHeight="1">
      <c r="A5208" s="197" t="s">
        <v>93</v>
      </c>
      <c r="B5208" s="197" t="s">
        <v>21</v>
      </c>
      <c r="C5208" s="198" t="s">
        <v>655</v>
      </c>
      <c r="D5208" s="197" t="s">
        <v>656</v>
      </c>
      <c r="E5208" s="199">
        <v>13.0</v>
      </c>
      <c r="F5208" s="200">
        <v>46048.58333333333</v>
      </c>
      <c r="G5208" s="197" t="s">
        <v>845</v>
      </c>
      <c r="H5208" s="197" t="s">
        <v>886</v>
      </c>
    </row>
    <row r="5209" ht="15.75" customHeight="1">
      <c r="A5209" s="197" t="s">
        <v>93</v>
      </c>
      <c r="B5209" s="197" t="s">
        <v>21</v>
      </c>
      <c r="C5209" s="198" t="s">
        <v>655</v>
      </c>
      <c r="D5209" s="197" t="s">
        <v>656</v>
      </c>
      <c r="E5209" s="199">
        <v>14.0</v>
      </c>
      <c r="F5209" s="200">
        <v>46087.54166666667</v>
      </c>
      <c r="G5209" s="197" t="s">
        <v>845</v>
      </c>
      <c r="H5209" s="197" t="s">
        <v>886</v>
      </c>
    </row>
    <row r="5210" ht="15.75" customHeight="1">
      <c r="A5210" s="197" t="s">
        <v>93</v>
      </c>
      <c r="B5210" s="197" t="s">
        <v>21</v>
      </c>
      <c r="C5210" s="198" t="s">
        <v>655</v>
      </c>
      <c r="D5210" s="197" t="s">
        <v>656</v>
      </c>
      <c r="E5210" s="199">
        <v>15.0</v>
      </c>
      <c r="F5210" s="200">
        <v>46094.54166666667</v>
      </c>
      <c r="G5210" s="197" t="s">
        <v>845</v>
      </c>
      <c r="H5210" s="197" t="s">
        <v>886</v>
      </c>
    </row>
    <row r="5211" ht="15.75" customHeight="1">
      <c r="A5211" s="197" t="s">
        <v>93</v>
      </c>
      <c r="B5211" s="197" t="s">
        <v>21</v>
      </c>
      <c r="C5211" s="198" t="s">
        <v>705</v>
      </c>
      <c r="D5211" s="197" t="s">
        <v>706</v>
      </c>
      <c r="E5211" s="199">
        <v>1.0</v>
      </c>
      <c r="F5211" s="200">
        <v>45929.58333333333</v>
      </c>
      <c r="G5211" s="197" t="s">
        <v>845</v>
      </c>
      <c r="H5211" s="197" t="s">
        <v>886</v>
      </c>
    </row>
    <row r="5212" ht="15.75" customHeight="1">
      <c r="A5212" s="197" t="s">
        <v>93</v>
      </c>
      <c r="B5212" s="197" t="s">
        <v>21</v>
      </c>
      <c r="C5212" s="198" t="s">
        <v>705</v>
      </c>
      <c r="D5212" s="197" t="s">
        <v>706</v>
      </c>
      <c r="E5212" s="199">
        <v>2.0</v>
      </c>
      <c r="F5212" s="200">
        <v>45938.58333333333</v>
      </c>
      <c r="G5212" s="197" t="s">
        <v>845</v>
      </c>
      <c r="H5212" s="197" t="s">
        <v>886</v>
      </c>
    </row>
    <row r="5213" ht="15.75" customHeight="1">
      <c r="A5213" s="197" t="s">
        <v>93</v>
      </c>
      <c r="B5213" s="197" t="s">
        <v>21</v>
      </c>
      <c r="C5213" s="198" t="s">
        <v>705</v>
      </c>
      <c r="D5213" s="197" t="s">
        <v>706</v>
      </c>
      <c r="E5213" s="199">
        <v>3.0</v>
      </c>
      <c r="F5213" s="200">
        <v>45950.54166666667</v>
      </c>
      <c r="G5213" s="197" t="s">
        <v>845</v>
      </c>
      <c r="H5213" s="197" t="s">
        <v>886</v>
      </c>
    </row>
    <row r="5214" ht="15.75" customHeight="1">
      <c r="A5214" s="197" t="s">
        <v>93</v>
      </c>
      <c r="B5214" s="197" t="s">
        <v>21</v>
      </c>
      <c r="C5214" s="198" t="s">
        <v>705</v>
      </c>
      <c r="D5214" s="197" t="s">
        <v>706</v>
      </c>
      <c r="E5214" s="199">
        <v>4.0</v>
      </c>
      <c r="F5214" s="200">
        <v>45952.58333333333</v>
      </c>
      <c r="G5214" s="197" t="s">
        <v>845</v>
      </c>
      <c r="H5214" s="197" t="s">
        <v>886</v>
      </c>
    </row>
    <row r="5215" ht="15.75" customHeight="1">
      <c r="A5215" s="197" t="s">
        <v>93</v>
      </c>
      <c r="B5215" s="197" t="s">
        <v>21</v>
      </c>
      <c r="C5215" s="198" t="s">
        <v>705</v>
      </c>
      <c r="D5215" s="197" t="s">
        <v>706</v>
      </c>
      <c r="E5215" s="199">
        <v>5.0</v>
      </c>
      <c r="F5215" s="200">
        <v>45959.58333333333</v>
      </c>
      <c r="G5215" s="197" t="s">
        <v>845</v>
      </c>
      <c r="H5215" s="197" t="s">
        <v>886</v>
      </c>
    </row>
    <row r="5216" ht="15.75" customHeight="1">
      <c r="A5216" s="197" t="s">
        <v>93</v>
      </c>
      <c r="B5216" s="197" t="s">
        <v>21</v>
      </c>
      <c r="C5216" s="198" t="s">
        <v>705</v>
      </c>
      <c r="D5216" s="197" t="s">
        <v>706</v>
      </c>
      <c r="E5216" s="199">
        <v>6.0</v>
      </c>
      <c r="F5216" s="200">
        <v>45966.54166666667</v>
      </c>
      <c r="G5216" s="197" t="s">
        <v>845</v>
      </c>
      <c r="H5216" s="197" t="s">
        <v>886</v>
      </c>
    </row>
    <row r="5217" ht="15.75" customHeight="1">
      <c r="A5217" s="197" t="s">
        <v>93</v>
      </c>
      <c r="B5217" s="197" t="s">
        <v>21</v>
      </c>
      <c r="C5217" s="198" t="s">
        <v>705</v>
      </c>
      <c r="D5217" s="197" t="s">
        <v>706</v>
      </c>
      <c r="E5217" s="199">
        <v>7.0</v>
      </c>
      <c r="F5217" s="200">
        <v>45985.54166666667</v>
      </c>
      <c r="G5217" s="197" t="s">
        <v>845</v>
      </c>
      <c r="H5217" s="197" t="s">
        <v>886</v>
      </c>
    </row>
    <row r="5218" ht="15.75" customHeight="1">
      <c r="A5218" s="197" t="s">
        <v>93</v>
      </c>
      <c r="B5218" s="197" t="s">
        <v>21</v>
      </c>
      <c r="C5218" s="198" t="s">
        <v>705</v>
      </c>
      <c r="D5218" s="197" t="s">
        <v>706</v>
      </c>
      <c r="E5218" s="199">
        <v>8.0</v>
      </c>
      <c r="F5218" s="200">
        <v>45999.54166666667</v>
      </c>
      <c r="G5218" s="197" t="s">
        <v>845</v>
      </c>
      <c r="H5218" s="197" t="s">
        <v>886</v>
      </c>
    </row>
    <row r="5219" ht="15.75" customHeight="1">
      <c r="A5219" s="197" t="s">
        <v>93</v>
      </c>
      <c r="B5219" s="197" t="s">
        <v>21</v>
      </c>
      <c r="C5219" s="198" t="s">
        <v>705</v>
      </c>
      <c r="D5219" s="197" t="s">
        <v>706</v>
      </c>
      <c r="E5219" s="199">
        <v>9.0</v>
      </c>
      <c r="F5219" s="200">
        <v>46006.54166666667</v>
      </c>
      <c r="G5219" s="197" t="s">
        <v>845</v>
      </c>
      <c r="H5219" s="197" t="s">
        <v>886</v>
      </c>
    </row>
    <row r="5220" ht="15.75" customHeight="1">
      <c r="A5220" s="197" t="s">
        <v>93</v>
      </c>
      <c r="B5220" s="197" t="s">
        <v>21</v>
      </c>
      <c r="C5220" s="198" t="s">
        <v>705</v>
      </c>
      <c r="D5220" s="197" t="s">
        <v>706</v>
      </c>
      <c r="E5220" s="199">
        <v>10.0</v>
      </c>
      <c r="F5220" s="200">
        <v>46008.54166666667</v>
      </c>
      <c r="G5220" s="197" t="s">
        <v>843</v>
      </c>
      <c r="H5220" s="197" t="s">
        <v>886</v>
      </c>
    </row>
    <row r="5221" ht="15.75" customHeight="1">
      <c r="A5221" s="197" t="s">
        <v>93</v>
      </c>
      <c r="B5221" s="197" t="s">
        <v>21</v>
      </c>
      <c r="C5221" s="198" t="s">
        <v>705</v>
      </c>
      <c r="D5221" s="197" t="s">
        <v>706</v>
      </c>
      <c r="E5221" s="199">
        <v>11.0</v>
      </c>
      <c r="F5221" s="200">
        <v>46013.54166666667</v>
      </c>
      <c r="G5221" s="197" t="s">
        <v>843</v>
      </c>
      <c r="H5221" s="197" t="s">
        <v>886</v>
      </c>
    </row>
    <row r="5222" ht="15.75" customHeight="1">
      <c r="A5222" s="197" t="s">
        <v>93</v>
      </c>
      <c r="B5222" s="197" t="s">
        <v>21</v>
      </c>
      <c r="C5222" s="198" t="s">
        <v>705</v>
      </c>
      <c r="D5222" s="197" t="s">
        <v>706</v>
      </c>
      <c r="E5222" s="199">
        <v>12.0</v>
      </c>
      <c r="F5222" s="200">
        <v>46041.58333333333</v>
      </c>
      <c r="G5222" s="197" t="s">
        <v>843</v>
      </c>
      <c r="H5222" s="197" t="s">
        <v>886</v>
      </c>
    </row>
    <row r="5223" ht="15.75" customHeight="1">
      <c r="A5223" s="197" t="s">
        <v>93</v>
      </c>
      <c r="B5223" s="197" t="s">
        <v>21</v>
      </c>
      <c r="C5223" s="198" t="s">
        <v>705</v>
      </c>
      <c r="D5223" s="197" t="s">
        <v>706</v>
      </c>
      <c r="E5223" s="199">
        <v>13.0</v>
      </c>
      <c r="F5223" s="200">
        <v>46048.58333333333</v>
      </c>
      <c r="G5223" s="197" t="s">
        <v>843</v>
      </c>
      <c r="H5223" s="197" t="s">
        <v>886</v>
      </c>
    </row>
    <row r="5224" ht="15.75" customHeight="1">
      <c r="A5224" s="197" t="s">
        <v>93</v>
      </c>
      <c r="B5224" s="197" t="s">
        <v>21</v>
      </c>
      <c r="C5224" s="198" t="s">
        <v>705</v>
      </c>
      <c r="D5224" s="197" t="s">
        <v>706</v>
      </c>
      <c r="E5224" s="199">
        <v>14.0</v>
      </c>
      <c r="F5224" s="200">
        <v>46087.54166666667</v>
      </c>
      <c r="G5224" s="197" t="s">
        <v>843</v>
      </c>
      <c r="H5224" s="197" t="s">
        <v>886</v>
      </c>
    </row>
    <row r="5225" ht="15.75" customHeight="1">
      <c r="A5225" s="197" t="s">
        <v>94</v>
      </c>
      <c r="B5225" s="197" t="s">
        <v>21</v>
      </c>
      <c r="C5225" s="198" t="s">
        <v>149</v>
      </c>
      <c r="D5225" s="197" t="s">
        <v>150</v>
      </c>
      <c r="E5225" s="199">
        <v>3.0</v>
      </c>
      <c r="F5225" s="200">
        <v>46098.41666666667</v>
      </c>
      <c r="G5225" s="197" t="s">
        <v>845</v>
      </c>
      <c r="H5225" s="197" t="s">
        <v>887</v>
      </c>
    </row>
    <row r="5226" ht="15.75" customHeight="1">
      <c r="A5226" s="197" t="s">
        <v>94</v>
      </c>
      <c r="B5226" s="197" t="s">
        <v>21</v>
      </c>
      <c r="C5226" s="198" t="s">
        <v>149</v>
      </c>
      <c r="D5226" s="197" t="s">
        <v>150</v>
      </c>
      <c r="E5226" s="199">
        <v>4.0</v>
      </c>
      <c r="F5226" s="200">
        <v>46104.54166666667</v>
      </c>
      <c r="G5226" s="197" t="s">
        <v>845</v>
      </c>
      <c r="H5226" s="197" t="s">
        <v>887</v>
      </c>
    </row>
    <row r="5227" ht="15.75" customHeight="1">
      <c r="A5227" s="197" t="s">
        <v>94</v>
      </c>
      <c r="B5227" s="197" t="s">
        <v>21</v>
      </c>
      <c r="C5227" s="198" t="s">
        <v>149</v>
      </c>
      <c r="D5227" s="197" t="s">
        <v>150</v>
      </c>
      <c r="E5227" s="199">
        <v>5.0</v>
      </c>
      <c r="F5227" s="200">
        <v>46112.45833333333</v>
      </c>
      <c r="G5227" s="197" t="s">
        <v>845</v>
      </c>
      <c r="H5227" s="197" t="s">
        <v>887</v>
      </c>
    </row>
    <row r="5228" ht="15.75" customHeight="1">
      <c r="A5228" s="197" t="s">
        <v>94</v>
      </c>
      <c r="B5228" s="197" t="s">
        <v>21</v>
      </c>
      <c r="C5228" s="198" t="s">
        <v>149</v>
      </c>
      <c r="D5228" s="197" t="s">
        <v>150</v>
      </c>
      <c r="E5228" s="199">
        <v>6.0</v>
      </c>
      <c r="F5228" s="200">
        <v>46119.41666666667</v>
      </c>
      <c r="G5228" s="197" t="s">
        <v>845</v>
      </c>
      <c r="H5228" s="197" t="s">
        <v>887</v>
      </c>
    </row>
    <row r="5229" ht="15.75" customHeight="1">
      <c r="A5229" s="197" t="s">
        <v>94</v>
      </c>
      <c r="B5229" s="197" t="s">
        <v>21</v>
      </c>
      <c r="C5229" s="198" t="s">
        <v>149</v>
      </c>
      <c r="D5229" s="197" t="s">
        <v>150</v>
      </c>
      <c r="E5229" s="199">
        <v>7.0</v>
      </c>
      <c r="F5229" s="200">
        <v>46126.45833333333</v>
      </c>
      <c r="G5229" s="197" t="s">
        <v>845</v>
      </c>
      <c r="H5229" s="197" t="s">
        <v>887</v>
      </c>
    </row>
    <row r="5230" ht="15.75" customHeight="1">
      <c r="A5230" s="197" t="s">
        <v>94</v>
      </c>
      <c r="B5230" s="197" t="s">
        <v>21</v>
      </c>
      <c r="C5230" s="198" t="s">
        <v>344</v>
      </c>
      <c r="D5230" s="197" t="s">
        <v>345</v>
      </c>
      <c r="E5230" s="199">
        <v>1.0</v>
      </c>
      <c r="F5230" s="200">
        <v>46083.625</v>
      </c>
      <c r="G5230" s="197" t="s">
        <v>845</v>
      </c>
      <c r="H5230" s="197" t="s">
        <v>887</v>
      </c>
    </row>
    <row r="5231" ht="15.75" customHeight="1">
      <c r="A5231" s="197" t="s">
        <v>94</v>
      </c>
      <c r="B5231" s="197" t="s">
        <v>21</v>
      </c>
      <c r="C5231" s="198" t="s">
        <v>344</v>
      </c>
      <c r="D5231" s="197" t="s">
        <v>345</v>
      </c>
      <c r="E5231" s="199">
        <v>2.0</v>
      </c>
      <c r="F5231" s="200">
        <v>46091.41666666667</v>
      </c>
      <c r="G5231" s="197" t="s">
        <v>845</v>
      </c>
      <c r="H5231" s="197" t="s">
        <v>887</v>
      </c>
    </row>
    <row r="5232" ht="15.75" customHeight="1">
      <c r="A5232" s="197" t="s">
        <v>94</v>
      </c>
      <c r="B5232" s="197" t="s">
        <v>21</v>
      </c>
      <c r="C5232" s="198" t="s">
        <v>344</v>
      </c>
      <c r="D5232" s="197" t="s">
        <v>345</v>
      </c>
      <c r="E5232" s="199">
        <v>3.0</v>
      </c>
      <c r="F5232" s="200">
        <v>46098.41666666667</v>
      </c>
      <c r="G5232" s="197" t="s">
        <v>845</v>
      </c>
      <c r="H5232" s="197" t="s">
        <v>887</v>
      </c>
    </row>
    <row r="5233" ht="15.75" customHeight="1">
      <c r="A5233" s="197" t="s">
        <v>94</v>
      </c>
      <c r="B5233" s="197" t="s">
        <v>21</v>
      </c>
      <c r="C5233" s="198" t="s">
        <v>344</v>
      </c>
      <c r="D5233" s="197" t="s">
        <v>345</v>
      </c>
      <c r="E5233" s="199">
        <v>4.0</v>
      </c>
      <c r="F5233" s="200">
        <v>46104.54166666667</v>
      </c>
      <c r="G5233" s="197" t="s">
        <v>845</v>
      </c>
      <c r="H5233" s="197" t="s">
        <v>887</v>
      </c>
    </row>
    <row r="5234" ht="15.75" customHeight="1">
      <c r="A5234" s="197" t="s">
        <v>94</v>
      </c>
      <c r="B5234" s="197" t="s">
        <v>21</v>
      </c>
      <c r="C5234" s="198" t="s">
        <v>344</v>
      </c>
      <c r="D5234" s="197" t="s">
        <v>345</v>
      </c>
      <c r="E5234" s="199">
        <v>5.0</v>
      </c>
      <c r="F5234" s="200">
        <v>46112.45833333333</v>
      </c>
      <c r="G5234" s="197" t="s">
        <v>845</v>
      </c>
      <c r="H5234" s="197" t="s">
        <v>887</v>
      </c>
    </row>
    <row r="5235" ht="15.75" customHeight="1">
      <c r="A5235" s="197" t="s">
        <v>94</v>
      </c>
      <c r="B5235" s="197" t="s">
        <v>21</v>
      </c>
      <c r="C5235" s="198" t="s">
        <v>344</v>
      </c>
      <c r="D5235" s="197" t="s">
        <v>345</v>
      </c>
      <c r="E5235" s="199">
        <v>6.0</v>
      </c>
      <c r="F5235" s="200">
        <v>46119.41666666667</v>
      </c>
      <c r="G5235" s="197" t="s">
        <v>845</v>
      </c>
      <c r="H5235" s="197" t="s">
        <v>887</v>
      </c>
    </row>
    <row r="5236" ht="15.75" customHeight="1">
      <c r="A5236" s="197" t="s">
        <v>94</v>
      </c>
      <c r="B5236" s="197" t="s">
        <v>21</v>
      </c>
      <c r="C5236" s="198" t="s">
        <v>344</v>
      </c>
      <c r="D5236" s="197" t="s">
        <v>345</v>
      </c>
      <c r="E5236" s="199">
        <v>7.0</v>
      </c>
      <c r="F5236" s="200">
        <v>46126.45833333333</v>
      </c>
      <c r="G5236" s="197" t="s">
        <v>845</v>
      </c>
      <c r="H5236" s="197" t="s">
        <v>887</v>
      </c>
    </row>
    <row r="5237" ht="15.75" customHeight="1">
      <c r="A5237" s="197" t="s">
        <v>94</v>
      </c>
      <c r="B5237" s="197" t="s">
        <v>21</v>
      </c>
      <c r="C5237" s="198" t="s">
        <v>368</v>
      </c>
      <c r="D5237" s="197" t="s">
        <v>369</v>
      </c>
      <c r="E5237" s="199">
        <v>1.0</v>
      </c>
      <c r="F5237" s="200">
        <v>46083.625</v>
      </c>
      <c r="G5237" s="197" t="s">
        <v>845</v>
      </c>
      <c r="H5237" s="197" t="s">
        <v>887</v>
      </c>
    </row>
    <row r="5238" ht="15.75" customHeight="1">
      <c r="A5238" s="197" t="s">
        <v>94</v>
      </c>
      <c r="B5238" s="197" t="s">
        <v>21</v>
      </c>
      <c r="C5238" s="198" t="s">
        <v>368</v>
      </c>
      <c r="D5238" s="197" t="s">
        <v>369</v>
      </c>
      <c r="E5238" s="199">
        <v>2.0</v>
      </c>
      <c r="F5238" s="200">
        <v>46091.41666666667</v>
      </c>
      <c r="G5238" s="197" t="s">
        <v>845</v>
      </c>
      <c r="H5238" s="197" t="s">
        <v>887</v>
      </c>
    </row>
    <row r="5239" ht="15.75" customHeight="1">
      <c r="A5239" s="197" t="s">
        <v>94</v>
      </c>
      <c r="B5239" s="197" t="s">
        <v>21</v>
      </c>
      <c r="C5239" s="198" t="s">
        <v>368</v>
      </c>
      <c r="D5239" s="197" t="s">
        <v>369</v>
      </c>
      <c r="E5239" s="199">
        <v>3.0</v>
      </c>
      <c r="F5239" s="200">
        <v>46098.41666666667</v>
      </c>
      <c r="G5239" s="197" t="s">
        <v>845</v>
      </c>
      <c r="H5239" s="197" t="s">
        <v>887</v>
      </c>
    </row>
    <row r="5240" ht="15.75" customHeight="1">
      <c r="A5240" s="197" t="s">
        <v>94</v>
      </c>
      <c r="B5240" s="197" t="s">
        <v>21</v>
      </c>
      <c r="C5240" s="198" t="s">
        <v>368</v>
      </c>
      <c r="D5240" s="197" t="s">
        <v>369</v>
      </c>
      <c r="E5240" s="199">
        <v>4.0</v>
      </c>
      <c r="F5240" s="200">
        <v>46104.54166666667</v>
      </c>
      <c r="G5240" s="197" t="s">
        <v>845</v>
      </c>
      <c r="H5240" s="197" t="s">
        <v>887</v>
      </c>
    </row>
    <row r="5241" ht="15.75" customHeight="1">
      <c r="A5241" s="197" t="s">
        <v>94</v>
      </c>
      <c r="B5241" s="197" t="s">
        <v>21</v>
      </c>
      <c r="C5241" s="198" t="s">
        <v>368</v>
      </c>
      <c r="D5241" s="197" t="s">
        <v>369</v>
      </c>
      <c r="E5241" s="199">
        <v>5.0</v>
      </c>
      <c r="F5241" s="200">
        <v>46112.45833333333</v>
      </c>
      <c r="G5241" s="197" t="s">
        <v>845</v>
      </c>
      <c r="H5241" s="197" t="s">
        <v>887</v>
      </c>
    </row>
    <row r="5242" ht="15.75" customHeight="1">
      <c r="A5242" s="197" t="s">
        <v>94</v>
      </c>
      <c r="B5242" s="197" t="s">
        <v>21</v>
      </c>
      <c r="C5242" s="198" t="s">
        <v>368</v>
      </c>
      <c r="D5242" s="197" t="s">
        <v>369</v>
      </c>
      <c r="E5242" s="199">
        <v>6.0</v>
      </c>
      <c r="F5242" s="200">
        <v>46119.41666666667</v>
      </c>
      <c r="G5242" s="197" t="s">
        <v>845</v>
      </c>
      <c r="H5242" s="197" t="s">
        <v>887</v>
      </c>
    </row>
    <row r="5243" ht="15.75" customHeight="1">
      <c r="A5243" s="197" t="s">
        <v>94</v>
      </c>
      <c r="B5243" s="197" t="s">
        <v>21</v>
      </c>
      <c r="C5243" s="198" t="s">
        <v>368</v>
      </c>
      <c r="D5243" s="197" t="s">
        <v>369</v>
      </c>
      <c r="E5243" s="199">
        <v>7.0</v>
      </c>
      <c r="F5243" s="200">
        <v>46126.45833333333</v>
      </c>
      <c r="G5243" s="197" t="s">
        <v>843</v>
      </c>
      <c r="H5243" s="197" t="s">
        <v>887</v>
      </c>
    </row>
    <row r="5244" ht="15.75" customHeight="1">
      <c r="A5244" s="197" t="s">
        <v>94</v>
      </c>
      <c r="B5244" s="197" t="s">
        <v>21</v>
      </c>
      <c r="C5244" s="198" t="s">
        <v>543</v>
      </c>
      <c r="D5244" s="197" t="s">
        <v>544</v>
      </c>
      <c r="E5244" s="199">
        <v>1.0</v>
      </c>
      <c r="F5244" s="200">
        <v>46083.625</v>
      </c>
      <c r="G5244" s="197" t="s">
        <v>845</v>
      </c>
      <c r="H5244" s="197" t="s">
        <v>887</v>
      </c>
    </row>
    <row r="5245" ht="15.75" customHeight="1">
      <c r="A5245" s="197" t="s">
        <v>94</v>
      </c>
      <c r="B5245" s="197" t="s">
        <v>21</v>
      </c>
      <c r="C5245" s="198" t="s">
        <v>543</v>
      </c>
      <c r="D5245" s="197" t="s">
        <v>544</v>
      </c>
      <c r="E5245" s="199">
        <v>2.0</v>
      </c>
      <c r="F5245" s="200">
        <v>46091.41666666667</v>
      </c>
      <c r="G5245" s="197" t="s">
        <v>843</v>
      </c>
      <c r="H5245" s="197" t="s">
        <v>887</v>
      </c>
    </row>
    <row r="5246" ht="15.75" customHeight="1">
      <c r="A5246" s="197" t="s">
        <v>94</v>
      </c>
      <c r="B5246" s="197" t="s">
        <v>21</v>
      </c>
      <c r="C5246" s="198" t="s">
        <v>543</v>
      </c>
      <c r="D5246" s="197" t="s">
        <v>544</v>
      </c>
      <c r="E5246" s="199">
        <v>3.0</v>
      </c>
      <c r="F5246" s="200">
        <v>46098.41666666667</v>
      </c>
      <c r="G5246" s="197" t="s">
        <v>845</v>
      </c>
      <c r="H5246" s="197" t="s">
        <v>887</v>
      </c>
    </row>
    <row r="5247" ht="15.75" customHeight="1">
      <c r="A5247" s="197" t="s">
        <v>94</v>
      </c>
      <c r="B5247" s="197" t="s">
        <v>21</v>
      </c>
      <c r="C5247" s="198" t="s">
        <v>543</v>
      </c>
      <c r="D5247" s="197" t="s">
        <v>544</v>
      </c>
      <c r="E5247" s="199">
        <v>4.0</v>
      </c>
      <c r="F5247" s="200">
        <v>46104.54166666667</v>
      </c>
      <c r="G5247" s="197" t="s">
        <v>845</v>
      </c>
      <c r="H5247" s="197" t="s">
        <v>887</v>
      </c>
    </row>
    <row r="5248" ht="15.75" customHeight="1">
      <c r="A5248" s="197" t="s">
        <v>94</v>
      </c>
      <c r="B5248" s="197" t="s">
        <v>21</v>
      </c>
      <c r="C5248" s="198" t="s">
        <v>543</v>
      </c>
      <c r="D5248" s="197" t="s">
        <v>544</v>
      </c>
      <c r="E5248" s="199">
        <v>5.0</v>
      </c>
      <c r="F5248" s="200">
        <v>46112.45833333333</v>
      </c>
      <c r="G5248" s="197" t="s">
        <v>845</v>
      </c>
      <c r="H5248" s="197" t="s">
        <v>887</v>
      </c>
    </row>
    <row r="5249" ht="15.75" customHeight="1">
      <c r="A5249" s="197" t="s">
        <v>94</v>
      </c>
      <c r="B5249" s="197" t="s">
        <v>21</v>
      </c>
      <c r="C5249" s="198" t="s">
        <v>543</v>
      </c>
      <c r="D5249" s="197" t="s">
        <v>544</v>
      </c>
      <c r="E5249" s="199">
        <v>6.0</v>
      </c>
      <c r="F5249" s="200">
        <v>46119.41666666667</v>
      </c>
      <c r="G5249" s="197" t="s">
        <v>845</v>
      </c>
      <c r="H5249" s="197" t="s">
        <v>887</v>
      </c>
    </row>
    <row r="5250" ht="15.75" customHeight="1">
      <c r="A5250" s="197" t="s">
        <v>94</v>
      </c>
      <c r="B5250" s="197" t="s">
        <v>21</v>
      </c>
      <c r="C5250" s="198" t="s">
        <v>543</v>
      </c>
      <c r="D5250" s="197" t="s">
        <v>544</v>
      </c>
      <c r="E5250" s="199">
        <v>7.0</v>
      </c>
      <c r="F5250" s="200">
        <v>46126.45833333333</v>
      </c>
      <c r="G5250" s="197" t="s">
        <v>845</v>
      </c>
      <c r="H5250" s="197" t="s">
        <v>887</v>
      </c>
    </row>
    <row r="5251" ht="15.75" customHeight="1">
      <c r="A5251" s="197" t="s">
        <v>94</v>
      </c>
      <c r="B5251" s="197" t="s">
        <v>21</v>
      </c>
      <c r="C5251" s="198" t="s">
        <v>579</v>
      </c>
      <c r="D5251" s="197" t="s">
        <v>580</v>
      </c>
      <c r="E5251" s="199">
        <v>1.0</v>
      </c>
      <c r="F5251" s="200">
        <v>46083.625</v>
      </c>
      <c r="G5251" s="197" t="s">
        <v>845</v>
      </c>
      <c r="H5251" s="197" t="s">
        <v>887</v>
      </c>
    </row>
    <row r="5252" ht="15.75" customHeight="1">
      <c r="A5252" s="197" t="s">
        <v>94</v>
      </c>
      <c r="B5252" s="197" t="s">
        <v>21</v>
      </c>
      <c r="C5252" s="198" t="s">
        <v>579</v>
      </c>
      <c r="D5252" s="197" t="s">
        <v>580</v>
      </c>
      <c r="E5252" s="199">
        <v>2.0</v>
      </c>
      <c r="F5252" s="200">
        <v>46091.41666666667</v>
      </c>
      <c r="G5252" s="197" t="s">
        <v>845</v>
      </c>
      <c r="H5252" s="197" t="s">
        <v>887</v>
      </c>
    </row>
    <row r="5253" ht="15.75" customHeight="1">
      <c r="A5253" s="197" t="s">
        <v>94</v>
      </c>
      <c r="B5253" s="197" t="s">
        <v>21</v>
      </c>
      <c r="C5253" s="198" t="s">
        <v>579</v>
      </c>
      <c r="D5253" s="197" t="s">
        <v>580</v>
      </c>
      <c r="E5253" s="199">
        <v>3.0</v>
      </c>
      <c r="F5253" s="200">
        <v>46098.41666666667</v>
      </c>
      <c r="G5253" s="197" t="s">
        <v>845</v>
      </c>
      <c r="H5253" s="197" t="s">
        <v>887</v>
      </c>
    </row>
    <row r="5254" ht="15.75" customHeight="1">
      <c r="A5254" s="197" t="s">
        <v>94</v>
      </c>
      <c r="B5254" s="197" t="s">
        <v>21</v>
      </c>
      <c r="C5254" s="198" t="s">
        <v>579</v>
      </c>
      <c r="D5254" s="197" t="s">
        <v>580</v>
      </c>
      <c r="E5254" s="199">
        <v>4.0</v>
      </c>
      <c r="F5254" s="200">
        <v>46104.54166666667</v>
      </c>
      <c r="G5254" s="197" t="s">
        <v>843</v>
      </c>
      <c r="H5254" s="197" t="s">
        <v>887</v>
      </c>
    </row>
    <row r="5255" ht="15.75" customHeight="1">
      <c r="A5255" s="197" t="s">
        <v>94</v>
      </c>
      <c r="B5255" s="197" t="s">
        <v>21</v>
      </c>
      <c r="C5255" s="198" t="s">
        <v>579</v>
      </c>
      <c r="D5255" s="197" t="s">
        <v>580</v>
      </c>
      <c r="E5255" s="199">
        <v>5.0</v>
      </c>
      <c r="F5255" s="200">
        <v>46112.45833333333</v>
      </c>
      <c r="G5255" s="197" t="s">
        <v>845</v>
      </c>
      <c r="H5255" s="197" t="s">
        <v>887</v>
      </c>
    </row>
    <row r="5256" ht="15.75" customHeight="1">
      <c r="A5256" s="197" t="s">
        <v>94</v>
      </c>
      <c r="B5256" s="197" t="s">
        <v>21</v>
      </c>
      <c r="C5256" s="198" t="s">
        <v>579</v>
      </c>
      <c r="D5256" s="197" t="s">
        <v>580</v>
      </c>
      <c r="E5256" s="199">
        <v>6.0</v>
      </c>
      <c r="F5256" s="200">
        <v>46119.41666666667</v>
      </c>
      <c r="G5256" s="197" t="s">
        <v>843</v>
      </c>
      <c r="H5256" s="197" t="s">
        <v>887</v>
      </c>
    </row>
    <row r="5257" ht="15.75" customHeight="1">
      <c r="A5257" s="197" t="s">
        <v>94</v>
      </c>
      <c r="B5257" s="197" t="s">
        <v>21</v>
      </c>
      <c r="C5257" s="198" t="s">
        <v>579</v>
      </c>
      <c r="D5257" s="197" t="s">
        <v>580</v>
      </c>
      <c r="E5257" s="199">
        <v>7.0</v>
      </c>
      <c r="F5257" s="200">
        <v>46126.45833333333</v>
      </c>
      <c r="G5257" s="197" t="s">
        <v>843</v>
      </c>
      <c r="H5257" s="197" t="s">
        <v>887</v>
      </c>
    </row>
    <row r="5258" ht="15.75" customHeight="1">
      <c r="A5258" s="197" t="s">
        <v>94</v>
      </c>
      <c r="B5258" s="197" t="s">
        <v>21</v>
      </c>
      <c r="C5258" s="198" t="s">
        <v>581</v>
      </c>
      <c r="D5258" s="197" t="s">
        <v>582</v>
      </c>
      <c r="E5258" s="199">
        <v>1.0</v>
      </c>
      <c r="F5258" s="200">
        <v>46083.625</v>
      </c>
      <c r="G5258" s="197" t="s">
        <v>845</v>
      </c>
      <c r="H5258" s="197" t="s">
        <v>887</v>
      </c>
    </row>
    <row r="5259" ht="15.75" customHeight="1">
      <c r="A5259" s="197" t="s">
        <v>94</v>
      </c>
      <c r="B5259" s="197" t="s">
        <v>21</v>
      </c>
      <c r="C5259" s="198" t="s">
        <v>581</v>
      </c>
      <c r="D5259" s="197" t="s">
        <v>582</v>
      </c>
      <c r="E5259" s="199">
        <v>2.0</v>
      </c>
      <c r="F5259" s="200">
        <v>46091.41666666667</v>
      </c>
      <c r="G5259" s="197" t="s">
        <v>845</v>
      </c>
      <c r="H5259" s="197" t="s">
        <v>887</v>
      </c>
    </row>
    <row r="5260" ht="15.75" customHeight="1">
      <c r="A5260" s="197" t="s">
        <v>94</v>
      </c>
      <c r="B5260" s="197" t="s">
        <v>21</v>
      </c>
      <c r="C5260" s="198" t="s">
        <v>581</v>
      </c>
      <c r="D5260" s="197" t="s">
        <v>582</v>
      </c>
      <c r="E5260" s="199">
        <v>3.0</v>
      </c>
      <c r="F5260" s="200">
        <v>46098.41666666667</v>
      </c>
      <c r="G5260" s="197" t="s">
        <v>845</v>
      </c>
      <c r="H5260" s="197" t="s">
        <v>887</v>
      </c>
    </row>
    <row r="5261" ht="15.75" customHeight="1">
      <c r="A5261" s="197" t="s">
        <v>94</v>
      </c>
      <c r="B5261" s="197" t="s">
        <v>21</v>
      </c>
      <c r="C5261" s="198" t="s">
        <v>581</v>
      </c>
      <c r="D5261" s="197" t="s">
        <v>582</v>
      </c>
      <c r="E5261" s="199">
        <v>4.0</v>
      </c>
      <c r="F5261" s="200">
        <v>46104.54166666667</v>
      </c>
      <c r="G5261" s="197" t="s">
        <v>845</v>
      </c>
      <c r="H5261" s="197" t="s">
        <v>887</v>
      </c>
    </row>
    <row r="5262" ht="15.75" customHeight="1">
      <c r="A5262" s="197" t="s">
        <v>94</v>
      </c>
      <c r="B5262" s="197" t="s">
        <v>21</v>
      </c>
      <c r="C5262" s="198" t="s">
        <v>581</v>
      </c>
      <c r="D5262" s="197" t="s">
        <v>582</v>
      </c>
      <c r="E5262" s="199">
        <v>5.0</v>
      </c>
      <c r="F5262" s="200">
        <v>46112.45833333333</v>
      </c>
      <c r="G5262" s="197" t="s">
        <v>845</v>
      </c>
      <c r="H5262" s="197" t="s">
        <v>887</v>
      </c>
    </row>
    <row r="5263" ht="15.75" customHeight="1">
      <c r="A5263" s="197" t="s">
        <v>94</v>
      </c>
      <c r="B5263" s="197" t="s">
        <v>21</v>
      </c>
      <c r="C5263" s="198" t="s">
        <v>581</v>
      </c>
      <c r="D5263" s="197" t="s">
        <v>582</v>
      </c>
      <c r="E5263" s="199">
        <v>6.0</v>
      </c>
      <c r="F5263" s="200">
        <v>46119.41666666667</v>
      </c>
      <c r="G5263" s="197" t="s">
        <v>845</v>
      </c>
      <c r="H5263" s="197" t="s">
        <v>887</v>
      </c>
    </row>
    <row r="5264" ht="15.75" customHeight="1">
      <c r="A5264" s="197" t="s">
        <v>94</v>
      </c>
      <c r="B5264" s="197" t="s">
        <v>21</v>
      </c>
      <c r="C5264" s="198" t="s">
        <v>581</v>
      </c>
      <c r="D5264" s="197" t="s">
        <v>582</v>
      </c>
      <c r="E5264" s="199">
        <v>7.0</v>
      </c>
      <c r="F5264" s="200">
        <v>46126.45833333333</v>
      </c>
      <c r="G5264" s="197" t="s">
        <v>845</v>
      </c>
      <c r="H5264" s="197" t="s">
        <v>887</v>
      </c>
    </row>
    <row r="5265" ht="15.75" customHeight="1">
      <c r="A5265" s="197" t="s">
        <v>94</v>
      </c>
      <c r="B5265" s="197" t="s">
        <v>21</v>
      </c>
      <c r="C5265" s="198" t="s">
        <v>613</v>
      </c>
      <c r="D5265" s="197" t="s">
        <v>614</v>
      </c>
      <c r="E5265" s="199">
        <v>1.0</v>
      </c>
      <c r="F5265" s="200">
        <v>46083.625</v>
      </c>
      <c r="G5265" s="197" t="s">
        <v>845</v>
      </c>
      <c r="H5265" s="197" t="s">
        <v>887</v>
      </c>
    </row>
    <row r="5266" ht="15.75" customHeight="1">
      <c r="A5266" s="197" t="s">
        <v>94</v>
      </c>
      <c r="B5266" s="197" t="s">
        <v>21</v>
      </c>
      <c r="C5266" s="198" t="s">
        <v>613</v>
      </c>
      <c r="D5266" s="197" t="s">
        <v>614</v>
      </c>
      <c r="E5266" s="199">
        <v>2.0</v>
      </c>
      <c r="F5266" s="200">
        <v>46091.41666666667</v>
      </c>
      <c r="G5266" s="197" t="s">
        <v>845</v>
      </c>
      <c r="H5266" s="197" t="s">
        <v>887</v>
      </c>
    </row>
    <row r="5267" ht="15.75" customHeight="1">
      <c r="A5267" s="197" t="s">
        <v>94</v>
      </c>
      <c r="B5267" s="197" t="s">
        <v>21</v>
      </c>
      <c r="C5267" s="198" t="s">
        <v>613</v>
      </c>
      <c r="D5267" s="197" t="s">
        <v>614</v>
      </c>
      <c r="E5267" s="199">
        <v>3.0</v>
      </c>
      <c r="F5267" s="200">
        <v>46098.41666666667</v>
      </c>
      <c r="G5267" s="197" t="s">
        <v>845</v>
      </c>
      <c r="H5267" s="197" t="s">
        <v>887</v>
      </c>
    </row>
    <row r="5268" ht="15.75" customHeight="1">
      <c r="A5268" s="197" t="s">
        <v>94</v>
      </c>
      <c r="B5268" s="197" t="s">
        <v>21</v>
      </c>
      <c r="C5268" s="198" t="s">
        <v>613</v>
      </c>
      <c r="D5268" s="197" t="s">
        <v>614</v>
      </c>
      <c r="E5268" s="199">
        <v>4.0</v>
      </c>
      <c r="F5268" s="200">
        <v>46104.54166666667</v>
      </c>
      <c r="G5268" s="197" t="s">
        <v>843</v>
      </c>
      <c r="H5268" s="197" t="s">
        <v>887</v>
      </c>
    </row>
    <row r="5269" ht="15.75" customHeight="1">
      <c r="A5269" s="197" t="s">
        <v>94</v>
      </c>
      <c r="B5269" s="197" t="s">
        <v>21</v>
      </c>
      <c r="C5269" s="198" t="s">
        <v>613</v>
      </c>
      <c r="D5269" s="197" t="s">
        <v>614</v>
      </c>
      <c r="E5269" s="199">
        <v>5.0</v>
      </c>
      <c r="F5269" s="200">
        <v>46112.45833333333</v>
      </c>
      <c r="G5269" s="197" t="s">
        <v>845</v>
      </c>
      <c r="H5269" s="197" t="s">
        <v>887</v>
      </c>
    </row>
    <row r="5270" ht="15.75" customHeight="1">
      <c r="A5270" s="197" t="s">
        <v>94</v>
      </c>
      <c r="B5270" s="197" t="s">
        <v>21</v>
      </c>
      <c r="C5270" s="198" t="s">
        <v>613</v>
      </c>
      <c r="D5270" s="197" t="s">
        <v>614</v>
      </c>
      <c r="E5270" s="199">
        <v>6.0</v>
      </c>
      <c r="F5270" s="200">
        <v>46119.41666666667</v>
      </c>
      <c r="G5270" s="197" t="s">
        <v>845</v>
      </c>
      <c r="H5270" s="197" t="s">
        <v>887</v>
      </c>
    </row>
    <row r="5271" ht="15.75" customHeight="1">
      <c r="A5271" s="197" t="s">
        <v>94</v>
      </c>
      <c r="B5271" s="197" t="s">
        <v>21</v>
      </c>
      <c r="C5271" s="198" t="s">
        <v>613</v>
      </c>
      <c r="D5271" s="197" t="s">
        <v>614</v>
      </c>
      <c r="E5271" s="199">
        <v>7.0</v>
      </c>
      <c r="F5271" s="200">
        <v>46126.45833333333</v>
      </c>
      <c r="G5271" s="197" t="s">
        <v>845</v>
      </c>
      <c r="H5271" s="197" t="s">
        <v>887</v>
      </c>
    </row>
    <row r="5272" ht="15.75" customHeight="1">
      <c r="A5272" s="197" t="s">
        <v>95</v>
      </c>
      <c r="B5272" s="197" t="s">
        <v>25</v>
      </c>
      <c r="C5272" s="198" t="s">
        <v>151</v>
      </c>
      <c r="D5272" s="197" t="s">
        <v>152</v>
      </c>
      <c r="E5272" s="199">
        <v>1.0</v>
      </c>
      <c r="F5272" s="200">
        <v>46086.58333333333</v>
      </c>
      <c r="G5272" s="197" t="s">
        <v>845</v>
      </c>
      <c r="H5272" s="197" t="s">
        <v>888</v>
      </c>
    </row>
    <row r="5273" ht="15.75" customHeight="1">
      <c r="A5273" s="197" t="s">
        <v>95</v>
      </c>
      <c r="B5273" s="197" t="s">
        <v>25</v>
      </c>
      <c r="C5273" s="198" t="s">
        <v>151</v>
      </c>
      <c r="D5273" s="197" t="s">
        <v>152</v>
      </c>
      <c r="E5273" s="199">
        <v>2.0</v>
      </c>
      <c r="F5273" s="200">
        <v>46107.625</v>
      </c>
      <c r="G5273" s="197" t="s">
        <v>845</v>
      </c>
      <c r="H5273" s="197" t="s">
        <v>888</v>
      </c>
    </row>
    <row r="5274" ht="15.75" customHeight="1">
      <c r="A5274" s="197" t="s">
        <v>95</v>
      </c>
      <c r="B5274" s="197" t="s">
        <v>25</v>
      </c>
      <c r="C5274" s="198" t="s">
        <v>151</v>
      </c>
      <c r="D5274" s="197" t="s">
        <v>152</v>
      </c>
      <c r="E5274" s="199">
        <v>3.0</v>
      </c>
      <c r="F5274" s="200">
        <v>46115.45833333333</v>
      </c>
      <c r="G5274" s="197" t="s">
        <v>843</v>
      </c>
      <c r="H5274" s="197" t="s">
        <v>888</v>
      </c>
    </row>
    <row r="5275" ht="15.75" customHeight="1">
      <c r="A5275" s="197" t="s">
        <v>95</v>
      </c>
      <c r="B5275" s="197" t="s">
        <v>25</v>
      </c>
      <c r="C5275" s="198" t="s">
        <v>151</v>
      </c>
      <c r="D5275" s="197" t="s">
        <v>152</v>
      </c>
      <c r="E5275" s="199">
        <v>4.0</v>
      </c>
      <c r="F5275" s="200">
        <v>46128.41666666667</v>
      </c>
      <c r="G5275" s="197" t="s">
        <v>845</v>
      </c>
      <c r="H5275" s="197" t="s">
        <v>888</v>
      </c>
    </row>
    <row r="5276" ht="15.75" customHeight="1">
      <c r="A5276" s="197" t="s">
        <v>95</v>
      </c>
      <c r="B5276" s="197" t="s">
        <v>25</v>
      </c>
      <c r="C5276" s="198" t="s">
        <v>151</v>
      </c>
      <c r="D5276" s="197" t="s">
        <v>152</v>
      </c>
      <c r="E5276" s="199">
        <v>5.0</v>
      </c>
      <c r="F5276" s="200">
        <v>46129.54166666667</v>
      </c>
      <c r="G5276" s="197" t="s">
        <v>845</v>
      </c>
      <c r="H5276" s="197" t="s">
        <v>888</v>
      </c>
    </row>
    <row r="5277" ht="15.75" customHeight="1">
      <c r="A5277" s="197" t="s">
        <v>95</v>
      </c>
      <c r="B5277" s="197" t="s">
        <v>25</v>
      </c>
      <c r="C5277" s="198" t="s">
        <v>151</v>
      </c>
      <c r="D5277" s="197" t="s">
        <v>152</v>
      </c>
      <c r="E5277" s="199">
        <v>6.0</v>
      </c>
      <c r="F5277" s="200">
        <v>46135.45833333333</v>
      </c>
      <c r="G5277" s="197" t="s">
        <v>845</v>
      </c>
      <c r="H5277" s="197" t="s">
        <v>888</v>
      </c>
    </row>
    <row r="5278" ht="15.75" customHeight="1">
      <c r="A5278" s="197" t="s">
        <v>95</v>
      </c>
      <c r="B5278" s="197" t="s">
        <v>25</v>
      </c>
      <c r="C5278" s="198" t="s">
        <v>163</v>
      </c>
      <c r="D5278" s="197" t="s">
        <v>164</v>
      </c>
      <c r="E5278" s="199">
        <v>1.0</v>
      </c>
      <c r="F5278" s="200">
        <v>46086.58333333333</v>
      </c>
      <c r="G5278" s="197" t="s">
        <v>845</v>
      </c>
      <c r="H5278" s="197" t="s">
        <v>888</v>
      </c>
    </row>
    <row r="5279" ht="15.75" customHeight="1">
      <c r="A5279" s="197" t="s">
        <v>95</v>
      </c>
      <c r="B5279" s="197" t="s">
        <v>25</v>
      </c>
      <c r="C5279" s="198" t="s">
        <v>163</v>
      </c>
      <c r="D5279" s="197" t="s">
        <v>164</v>
      </c>
      <c r="E5279" s="199">
        <v>2.0</v>
      </c>
      <c r="F5279" s="200">
        <v>46107.625</v>
      </c>
      <c r="G5279" s="197" t="s">
        <v>845</v>
      </c>
      <c r="H5279" s="197" t="s">
        <v>888</v>
      </c>
    </row>
    <row r="5280" ht="15.75" customHeight="1">
      <c r="A5280" s="197" t="s">
        <v>95</v>
      </c>
      <c r="B5280" s="197" t="s">
        <v>25</v>
      </c>
      <c r="C5280" s="198" t="s">
        <v>163</v>
      </c>
      <c r="D5280" s="197" t="s">
        <v>164</v>
      </c>
      <c r="E5280" s="199">
        <v>3.0</v>
      </c>
      <c r="F5280" s="200">
        <v>46115.45833333333</v>
      </c>
      <c r="G5280" s="197" t="s">
        <v>845</v>
      </c>
      <c r="H5280" s="197" t="s">
        <v>888</v>
      </c>
    </row>
    <row r="5281" ht="15.75" customHeight="1">
      <c r="A5281" s="197" t="s">
        <v>95</v>
      </c>
      <c r="B5281" s="197" t="s">
        <v>25</v>
      </c>
      <c r="C5281" s="198" t="s">
        <v>163</v>
      </c>
      <c r="D5281" s="197" t="s">
        <v>164</v>
      </c>
      <c r="E5281" s="199">
        <v>4.0</v>
      </c>
      <c r="F5281" s="200">
        <v>46128.41666666667</v>
      </c>
      <c r="G5281" s="197" t="s">
        <v>845</v>
      </c>
      <c r="H5281" s="197" t="s">
        <v>888</v>
      </c>
    </row>
    <row r="5282" ht="15.75" customHeight="1">
      <c r="A5282" s="197" t="s">
        <v>95</v>
      </c>
      <c r="B5282" s="197" t="s">
        <v>25</v>
      </c>
      <c r="C5282" s="198" t="s">
        <v>163</v>
      </c>
      <c r="D5282" s="197" t="s">
        <v>164</v>
      </c>
      <c r="E5282" s="199">
        <v>5.0</v>
      </c>
      <c r="F5282" s="200">
        <v>46129.54166666667</v>
      </c>
      <c r="G5282" s="197" t="s">
        <v>845</v>
      </c>
      <c r="H5282" s="197" t="s">
        <v>888</v>
      </c>
    </row>
    <row r="5283" ht="15.75" customHeight="1">
      <c r="A5283" s="197" t="s">
        <v>95</v>
      </c>
      <c r="B5283" s="197" t="s">
        <v>25</v>
      </c>
      <c r="C5283" s="198" t="s">
        <v>163</v>
      </c>
      <c r="D5283" s="197" t="s">
        <v>164</v>
      </c>
      <c r="E5283" s="199">
        <v>6.0</v>
      </c>
      <c r="F5283" s="200">
        <v>46135.45833333333</v>
      </c>
      <c r="G5283" s="197" t="s">
        <v>845</v>
      </c>
      <c r="H5283" s="197" t="s">
        <v>888</v>
      </c>
    </row>
    <row r="5284" ht="15.75" customHeight="1">
      <c r="A5284" s="197" t="s">
        <v>95</v>
      </c>
      <c r="B5284" s="197" t="s">
        <v>25</v>
      </c>
      <c r="C5284" s="198" t="s">
        <v>180</v>
      </c>
      <c r="D5284" s="197" t="s">
        <v>181</v>
      </c>
      <c r="E5284" s="199">
        <v>1.0</v>
      </c>
      <c r="F5284" s="200">
        <v>46087.45833333333</v>
      </c>
      <c r="G5284" s="197" t="s">
        <v>845</v>
      </c>
      <c r="H5284" s="197" t="s">
        <v>888</v>
      </c>
    </row>
    <row r="5285" ht="15.75" customHeight="1">
      <c r="A5285" s="197" t="s">
        <v>95</v>
      </c>
      <c r="B5285" s="197" t="s">
        <v>25</v>
      </c>
      <c r="C5285" s="198" t="s">
        <v>180</v>
      </c>
      <c r="D5285" s="197" t="s">
        <v>181</v>
      </c>
      <c r="E5285" s="199">
        <v>2.0</v>
      </c>
      <c r="F5285" s="200">
        <v>46107.625</v>
      </c>
      <c r="G5285" s="197" t="s">
        <v>845</v>
      </c>
      <c r="H5285" s="197" t="s">
        <v>888</v>
      </c>
    </row>
    <row r="5286" ht="15.75" customHeight="1">
      <c r="A5286" s="197" t="s">
        <v>95</v>
      </c>
      <c r="B5286" s="197" t="s">
        <v>25</v>
      </c>
      <c r="C5286" s="198" t="s">
        <v>180</v>
      </c>
      <c r="D5286" s="197" t="s">
        <v>181</v>
      </c>
      <c r="E5286" s="199">
        <v>3.0</v>
      </c>
      <c r="F5286" s="200">
        <v>46115.45833333333</v>
      </c>
      <c r="G5286" s="197" t="s">
        <v>845</v>
      </c>
      <c r="H5286" s="197" t="s">
        <v>888</v>
      </c>
    </row>
    <row r="5287" ht="15.75" customHeight="1">
      <c r="A5287" s="197" t="s">
        <v>95</v>
      </c>
      <c r="B5287" s="197" t="s">
        <v>25</v>
      </c>
      <c r="C5287" s="198" t="s">
        <v>180</v>
      </c>
      <c r="D5287" s="197" t="s">
        <v>181</v>
      </c>
      <c r="E5287" s="199">
        <v>4.0</v>
      </c>
      <c r="F5287" s="200">
        <v>46128.41666666667</v>
      </c>
      <c r="G5287" s="197" t="s">
        <v>845</v>
      </c>
      <c r="H5287" s="197" t="s">
        <v>888</v>
      </c>
    </row>
    <row r="5288" ht="15.75" customHeight="1">
      <c r="A5288" s="197" t="s">
        <v>95</v>
      </c>
      <c r="B5288" s="197" t="s">
        <v>25</v>
      </c>
      <c r="C5288" s="198" t="s">
        <v>180</v>
      </c>
      <c r="D5288" s="197" t="s">
        <v>181</v>
      </c>
      <c r="E5288" s="199">
        <v>5.0</v>
      </c>
      <c r="F5288" s="200">
        <v>46129.54166666667</v>
      </c>
      <c r="G5288" s="197" t="s">
        <v>845</v>
      </c>
      <c r="H5288" s="197" t="s">
        <v>888</v>
      </c>
    </row>
    <row r="5289" ht="15.75" customHeight="1">
      <c r="A5289" s="197" t="s">
        <v>95</v>
      </c>
      <c r="B5289" s="197" t="s">
        <v>25</v>
      </c>
      <c r="C5289" s="198" t="s">
        <v>180</v>
      </c>
      <c r="D5289" s="197" t="s">
        <v>181</v>
      </c>
      <c r="E5289" s="199">
        <v>6.0</v>
      </c>
      <c r="F5289" s="200">
        <v>46135.45833333333</v>
      </c>
      <c r="G5289" s="197" t="s">
        <v>845</v>
      </c>
      <c r="H5289" s="197" t="s">
        <v>888</v>
      </c>
    </row>
    <row r="5290" ht="15.75" customHeight="1">
      <c r="A5290" s="197" t="s">
        <v>95</v>
      </c>
      <c r="B5290" s="197" t="s">
        <v>25</v>
      </c>
      <c r="C5290" s="198" t="s">
        <v>284</v>
      </c>
      <c r="D5290" s="197" t="s">
        <v>285</v>
      </c>
      <c r="E5290" s="199">
        <v>1.0</v>
      </c>
      <c r="F5290" s="200">
        <v>46087.45833333333</v>
      </c>
      <c r="G5290" s="197" t="s">
        <v>845</v>
      </c>
      <c r="H5290" s="197" t="s">
        <v>888</v>
      </c>
    </row>
    <row r="5291" ht="15.75" customHeight="1">
      <c r="A5291" s="197" t="s">
        <v>95</v>
      </c>
      <c r="B5291" s="197" t="s">
        <v>25</v>
      </c>
      <c r="C5291" s="198" t="s">
        <v>284</v>
      </c>
      <c r="D5291" s="197" t="s">
        <v>285</v>
      </c>
      <c r="E5291" s="199">
        <v>2.0</v>
      </c>
      <c r="F5291" s="200">
        <v>46107.625</v>
      </c>
      <c r="G5291" s="197" t="s">
        <v>845</v>
      </c>
      <c r="H5291" s="197" t="s">
        <v>888</v>
      </c>
    </row>
    <row r="5292" ht="15.75" customHeight="1">
      <c r="A5292" s="197" t="s">
        <v>95</v>
      </c>
      <c r="B5292" s="197" t="s">
        <v>25</v>
      </c>
      <c r="C5292" s="198" t="s">
        <v>284</v>
      </c>
      <c r="D5292" s="197" t="s">
        <v>285</v>
      </c>
      <c r="E5292" s="199">
        <v>3.0</v>
      </c>
      <c r="F5292" s="200">
        <v>46115.45833333333</v>
      </c>
      <c r="G5292" s="197" t="s">
        <v>845</v>
      </c>
      <c r="H5292" s="197" t="s">
        <v>888</v>
      </c>
    </row>
    <row r="5293" ht="15.75" customHeight="1">
      <c r="A5293" s="197" t="s">
        <v>95</v>
      </c>
      <c r="B5293" s="197" t="s">
        <v>25</v>
      </c>
      <c r="C5293" s="198" t="s">
        <v>284</v>
      </c>
      <c r="D5293" s="197" t="s">
        <v>285</v>
      </c>
      <c r="E5293" s="199">
        <v>4.0</v>
      </c>
      <c r="F5293" s="200">
        <v>46128.41666666667</v>
      </c>
      <c r="G5293" s="197" t="s">
        <v>845</v>
      </c>
      <c r="H5293" s="197" t="s">
        <v>888</v>
      </c>
    </row>
    <row r="5294" ht="15.75" customHeight="1">
      <c r="A5294" s="197" t="s">
        <v>95</v>
      </c>
      <c r="B5294" s="197" t="s">
        <v>25</v>
      </c>
      <c r="C5294" s="198" t="s">
        <v>284</v>
      </c>
      <c r="D5294" s="197" t="s">
        <v>285</v>
      </c>
      <c r="E5294" s="199">
        <v>5.0</v>
      </c>
      <c r="F5294" s="200">
        <v>46129.54166666667</v>
      </c>
      <c r="G5294" s="197" t="s">
        <v>845</v>
      </c>
      <c r="H5294" s="197" t="s">
        <v>888</v>
      </c>
    </row>
    <row r="5295" ht="15.75" customHeight="1">
      <c r="A5295" s="197" t="s">
        <v>95</v>
      </c>
      <c r="B5295" s="197" t="s">
        <v>25</v>
      </c>
      <c r="C5295" s="198" t="s">
        <v>284</v>
      </c>
      <c r="D5295" s="197" t="s">
        <v>285</v>
      </c>
      <c r="E5295" s="199">
        <v>6.0</v>
      </c>
      <c r="F5295" s="200">
        <v>46135.45833333333</v>
      </c>
      <c r="G5295" s="197" t="s">
        <v>845</v>
      </c>
      <c r="H5295" s="197" t="s">
        <v>888</v>
      </c>
    </row>
    <row r="5296" ht="15.75" customHeight="1">
      <c r="A5296" s="197" t="s">
        <v>95</v>
      </c>
      <c r="B5296" s="197" t="s">
        <v>25</v>
      </c>
      <c r="C5296" s="198" t="s">
        <v>359</v>
      </c>
      <c r="D5296" s="197" t="s">
        <v>360</v>
      </c>
      <c r="E5296" s="199">
        <v>1.0</v>
      </c>
      <c r="F5296" s="200">
        <v>46087.45833333333</v>
      </c>
      <c r="G5296" s="197" t="s">
        <v>845</v>
      </c>
      <c r="H5296" s="197" t="s">
        <v>888</v>
      </c>
    </row>
    <row r="5297" ht="15.75" customHeight="1">
      <c r="A5297" s="197" t="s">
        <v>95</v>
      </c>
      <c r="B5297" s="197" t="s">
        <v>25</v>
      </c>
      <c r="C5297" s="198" t="s">
        <v>359</v>
      </c>
      <c r="D5297" s="197" t="s">
        <v>360</v>
      </c>
      <c r="E5297" s="199">
        <v>2.0</v>
      </c>
      <c r="F5297" s="200">
        <v>46107.625</v>
      </c>
      <c r="G5297" s="197" t="s">
        <v>845</v>
      </c>
      <c r="H5297" s="197" t="s">
        <v>888</v>
      </c>
    </row>
    <row r="5298" ht="15.75" customHeight="1">
      <c r="A5298" s="197" t="s">
        <v>95</v>
      </c>
      <c r="B5298" s="197" t="s">
        <v>25</v>
      </c>
      <c r="C5298" s="198" t="s">
        <v>359</v>
      </c>
      <c r="D5298" s="197" t="s">
        <v>360</v>
      </c>
      <c r="E5298" s="199">
        <v>3.0</v>
      </c>
      <c r="F5298" s="200">
        <v>46115.45833333333</v>
      </c>
      <c r="G5298" s="197" t="s">
        <v>845</v>
      </c>
      <c r="H5298" s="197" t="s">
        <v>888</v>
      </c>
    </row>
    <row r="5299" ht="15.75" customHeight="1">
      <c r="A5299" s="197" t="s">
        <v>95</v>
      </c>
      <c r="B5299" s="197" t="s">
        <v>25</v>
      </c>
      <c r="C5299" s="198" t="s">
        <v>359</v>
      </c>
      <c r="D5299" s="197" t="s">
        <v>360</v>
      </c>
      <c r="E5299" s="199">
        <v>4.0</v>
      </c>
      <c r="F5299" s="200">
        <v>46128.41666666667</v>
      </c>
      <c r="G5299" s="197" t="s">
        <v>845</v>
      </c>
      <c r="H5299" s="197" t="s">
        <v>888</v>
      </c>
    </row>
    <row r="5300" ht="15.75" customHeight="1">
      <c r="A5300" s="197" t="s">
        <v>95</v>
      </c>
      <c r="B5300" s="197" t="s">
        <v>25</v>
      </c>
      <c r="C5300" s="198" t="s">
        <v>359</v>
      </c>
      <c r="D5300" s="197" t="s">
        <v>360</v>
      </c>
      <c r="E5300" s="199">
        <v>5.0</v>
      </c>
      <c r="F5300" s="200">
        <v>46129.54166666667</v>
      </c>
      <c r="G5300" s="197" t="s">
        <v>845</v>
      </c>
      <c r="H5300" s="197" t="s">
        <v>888</v>
      </c>
    </row>
    <row r="5301" ht="15.75" customHeight="1">
      <c r="A5301" s="197" t="s">
        <v>95</v>
      </c>
      <c r="B5301" s="197" t="s">
        <v>25</v>
      </c>
      <c r="C5301" s="198" t="s">
        <v>359</v>
      </c>
      <c r="D5301" s="197" t="s">
        <v>360</v>
      </c>
      <c r="E5301" s="199">
        <v>6.0</v>
      </c>
      <c r="F5301" s="200">
        <v>46135.45833333333</v>
      </c>
      <c r="G5301" s="197" t="s">
        <v>845</v>
      </c>
      <c r="H5301" s="197" t="s">
        <v>888</v>
      </c>
    </row>
    <row r="5302" ht="15.75" customHeight="1">
      <c r="A5302" s="197" t="s">
        <v>95</v>
      </c>
      <c r="B5302" s="197" t="s">
        <v>25</v>
      </c>
      <c r="C5302" s="198" t="s">
        <v>365</v>
      </c>
      <c r="D5302" s="197" t="s">
        <v>366</v>
      </c>
      <c r="E5302" s="199">
        <v>1.0</v>
      </c>
      <c r="F5302" s="200">
        <v>46087.45833333333</v>
      </c>
      <c r="G5302" s="197" t="s">
        <v>845</v>
      </c>
      <c r="H5302" s="197" t="s">
        <v>888</v>
      </c>
    </row>
    <row r="5303" ht="15.75" customHeight="1">
      <c r="A5303" s="197" t="s">
        <v>95</v>
      </c>
      <c r="B5303" s="197" t="s">
        <v>25</v>
      </c>
      <c r="C5303" s="198" t="s">
        <v>365</v>
      </c>
      <c r="D5303" s="197" t="s">
        <v>366</v>
      </c>
      <c r="E5303" s="199">
        <v>2.0</v>
      </c>
      <c r="F5303" s="200">
        <v>46107.625</v>
      </c>
      <c r="G5303" s="197" t="s">
        <v>845</v>
      </c>
      <c r="H5303" s="197" t="s">
        <v>888</v>
      </c>
    </row>
    <row r="5304" ht="15.75" customHeight="1">
      <c r="A5304" s="197" t="s">
        <v>95</v>
      </c>
      <c r="B5304" s="197" t="s">
        <v>25</v>
      </c>
      <c r="C5304" s="198" t="s">
        <v>365</v>
      </c>
      <c r="D5304" s="197" t="s">
        <v>366</v>
      </c>
      <c r="E5304" s="199">
        <v>3.0</v>
      </c>
      <c r="F5304" s="200">
        <v>46115.45833333333</v>
      </c>
      <c r="G5304" s="197" t="s">
        <v>845</v>
      </c>
      <c r="H5304" s="197" t="s">
        <v>888</v>
      </c>
    </row>
    <row r="5305" ht="15.75" customHeight="1">
      <c r="A5305" s="197" t="s">
        <v>95</v>
      </c>
      <c r="B5305" s="197" t="s">
        <v>25</v>
      </c>
      <c r="C5305" s="198" t="s">
        <v>365</v>
      </c>
      <c r="D5305" s="197" t="s">
        <v>366</v>
      </c>
      <c r="E5305" s="199">
        <v>4.0</v>
      </c>
      <c r="F5305" s="200">
        <v>46128.41666666667</v>
      </c>
      <c r="G5305" s="197" t="s">
        <v>845</v>
      </c>
      <c r="H5305" s="197" t="s">
        <v>888</v>
      </c>
    </row>
    <row r="5306" ht="15.75" customHeight="1">
      <c r="A5306" s="197" t="s">
        <v>95</v>
      </c>
      <c r="B5306" s="197" t="s">
        <v>25</v>
      </c>
      <c r="C5306" s="198" t="s">
        <v>365</v>
      </c>
      <c r="D5306" s="197" t="s">
        <v>366</v>
      </c>
      <c r="E5306" s="199">
        <v>5.0</v>
      </c>
      <c r="F5306" s="200">
        <v>46129.54166666667</v>
      </c>
      <c r="G5306" s="197" t="s">
        <v>845</v>
      </c>
      <c r="H5306" s="197" t="s">
        <v>888</v>
      </c>
    </row>
    <row r="5307" ht="15.75" customHeight="1">
      <c r="A5307" s="197" t="s">
        <v>95</v>
      </c>
      <c r="B5307" s="197" t="s">
        <v>25</v>
      </c>
      <c r="C5307" s="198" t="s">
        <v>365</v>
      </c>
      <c r="D5307" s="197" t="s">
        <v>366</v>
      </c>
      <c r="E5307" s="199">
        <v>6.0</v>
      </c>
      <c r="F5307" s="200">
        <v>46135.45833333333</v>
      </c>
      <c r="G5307" s="197" t="s">
        <v>845</v>
      </c>
      <c r="H5307" s="197" t="s">
        <v>888</v>
      </c>
    </row>
    <row r="5308" ht="15.75" customHeight="1">
      <c r="A5308" s="197" t="s">
        <v>95</v>
      </c>
      <c r="B5308" s="197" t="s">
        <v>25</v>
      </c>
      <c r="C5308" s="198" t="s">
        <v>393</v>
      </c>
      <c r="D5308" s="197" t="s">
        <v>394</v>
      </c>
      <c r="E5308" s="199">
        <v>1.0</v>
      </c>
      <c r="F5308" s="200">
        <v>46087.45833333333</v>
      </c>
      <c r="G5308" s="197" t="s">
        <v>845</v>
      </c>
      <c r="H5308" s="197" t="s">
        <v>888</v>
      </c>
    </row>
    <row r="5309" ht="15.75" customHeight="1">
      <c r="A5309" s="197" t="s">
        <v>95</v>
      </c>
      <c r="B5309" s="197" t="s">
        <v>25</v>
      </c>
      <c r="C5309" s="198" t="s">
        <v>393</v>
      </c>
      <c r="D5309" s="197" t="s">
        <v>394</v>
      </c>
      <c r="E5309" s="199">
        <v>2.0</v>
      </c>
      <c r="F5309" s="200">
        <v>46107.625</v>
      </c>
      <c r="G5309" s="197" t="s">
        <v>845</v>
      </c>
      <c r="H5309" s="197" t="s">
        <v>888</v>
      </c>
    </row>
    <row r="5310" ht="15.75" customHeight="1">
      <c r="A5310" s="197" t="s">
        <v>95</v>
      </c>
      <c r="B5310" s="197" t="s">
        <v>25</v>
      </c>
      <c r="C5310" s="198" t="s">
        <v>393</v>
      </c>
      <c r="D5310" s="197" t="s">
        <v>394</v>
      </c>
      <c r="E5310" s="199">
        <v>3.0</v>
      </c>
      <c r="F5310" s="200">
        <v>46115.45833333333</v>
      </c>
      <c r="G5310" s="197" t="s">
        <v>845</v>
      </c>
      <c r="H5310" s="197" t="s">
        <v>888</v>
      </c>
    </row>
    <row r="5311" ht="15.75" customHeight="1">
      <c r="A5311" s="197" t="s">
        <v>95</v>
      </c>
      <c r="B5311" s="197" t="s">
        <v>25</v>
      </c>
      <c r="C5311" s="198" t="s">
        <v>393</v>
      </c>
      <c r="D5311" s="197" t="s">
        <v>394</v>
      </c>
      <c r="E5311" s="199">
        <v>4.0</v>
      </c>
      <c r="F5311" s="200">
        <v>46128.41666666667</v>
      </c>
      <c r="G5311" s="197" t="s">
        <v>845</v>
      </c>
      <c r="H5311" s="197" t="s">
        <v>888</v>
      </c>
    </row>
    <row r="5312" ht="15.75" customHeight="1">
      <c r="A5312" s="197" t="s">
        <v>95</v>
      </c>
      <c r="B5312" s="197" t="s">
        <v>25</v>
      </c>
      <c r="C5312" s="198" t="s">
        <v>393</v>
      </c>
      <c r="D5312" s="197" t="s">
        <v>394</v>
      </c>
      <c r="E5312" s="199">
        <v>5.0</v>
      </c>
      <c r="F5312" s="200">
        <v>46129.54166666667</v>
      </c>
      <c r="G5312" s="197" t="s">
        <v>845</v>
      </c>
      <c r="H5312" s="197" t="s">
        <v>888</v>
      </c>
    </row>
    <row r="5313" ht="15.75" customHeight="1">
      <c r="A5313" s="197" t="s">
        <v>95</v>
      </c>
      <c r="B5313" s="197" t="s">
        <v>25</v>
      </c>
      <c r="C5313" s="198" t="s">
        <v>393</v>
      </c>
      <c r="D5313" s="197" t="s">
        <v>394</v>
      </c>
      <c r="E5313" s="199">
        <v>6.0</v>
      </c>
      <c r="F5313" s="200">
        <v>46135.45833333333</v>
      </c>
      <c r="G5313" s="197" t="s">
        <v>845</v>
      </c>
      <c r="H5313" s="197" t="s">
        <v>888</v>
      </c>
    </row>
    <row r="5314" ht="15.75" customHeight="1">
      <c r="A5314" s="197" t="s">
        <v>95</v>
      </c>
      <c r="B5314" s="197" t="s">
        <v>25</v>
      </c>
      <c r="C5314" s="198" t="s">
        <v>409</v>
      </c>
      <c r="D5314" s="197" t="s">
        <v>410</v>
      </c>
      <c r="E5314" s="199">
        <v>1.0</v>
      </c>
      <c r="F5314" s="200">
        <v>46086.58333333333</v>
      </c>
      <c r="G5314" s="197" t="s">
        <v>845</v>
      </c>
      <c r="H5314" s="197" t="s">
        <v>888</v>
      </c>
    </row>
    <row r="5315" ht="15.75" customHeight="1">
      <c r="A5315" s="197" t="s">
        <v>95</v>
      </c>
      <c r="B5315" s="197" t="s">
        <v>25</v>
      </c>
      <c r="C5315" s="198" t="s">
        <v>409</v>
      </c>
      <c r="D5315" s="197" t="s">
        <v>410</v>
      </c>
      <c r="E5315" s="199">
        <v>2.0</v>
      </c>
      <c r="F5315" s="200">
        <v>46107.625</v>
      </c>
      <c r="G5315" s="197" t="s">
        <v>845</v>
      </c>
      <c r="H5315" s="197" t="s">
        <v>888</v>
      </c>
    </row>
    <row r="5316" ht="15.75" customHeight="1">
      <c r="A5316" s="197" t="s">
        <v>95</v>
      </c>
      <c r="B5316" s="197" t="s">
        <v>25</v>
      </c>
      <c r="C5316" s="198" t="s">
        <v>409</v>
      </c>
      <c r="D5316" s="197" t="s">
        <v>410</v>
      </c>
      <c r="E5316" s="199">
        <v>3.0</v>
      </c>
      <c r="F5316" s="200">
        <v>46115.45833333333</v>
      </c>
      <c r="G5316" s="197" t="s">
        <v>845</v>
      </c>
      <c r="H5316" s="197" t="s">
        <v>888</v>
      </c>
    </row>
    <row r="5317" ht="15.75" customHeight="1">
      <c r="A5317" s="197" t="s">
        <v>95</v>
      </c>
      <c r="B5317" s="197" t="s">
        <v>25</v>
      </c>
      <c r="C5317" s="198" t="s">
        <v>409</v>
      </c>
      <c r="D5317" s="197" t="s">
        <v>410</v>
      </c>
      <c r="E5317" s="199">
        <v>4.0</v>
      </c>
      <c r="F5317" s="200">
        <v>46128.41666666667</v>
      </c>
      <c r="G5317" s="197" t="s">
        <v>845</v>
      </c>
      <c r="H5317" s="197" t="s">
        <v>888</v>
      </c>
    </row>
    <row r="5318" ht="15.75" customHeight="1">
      <c r="A5318" s="197" t="s">
        <v>95</v>
      </c>
      <c r="B5318" s="197" t="s">
        <v>25</v>
      </c>
      <c r="C5318" s="198" t="s">
        <v>409</v>
      </c>
      <c r="D5318" s="197" t="s">
        <v>410</v>
      </c>
      <c r="E5318" s="199">
        <v>5.0</v>
      </c>
      <c r="F5318" s="200">
        <v>46129.54166666667</v>
      </c>
      <c r="G5318" s="197" t="s">
        <v>845</v>
      </c>
      <c r="H5318" s="197" t="s">
        <v>888</v>
      </c>
    </row>
    <row r="5319" ht="15.75" customHeight="1">
      <c r="A5319" s="197" t="s">
        <v>95</v>
      </c>
      <c r="B5319" s="197" t="s">
        <v>25</v>
      </c>
      <c r="C5319" s="198" t="s">
        <v>409</v>
      </c>
      <c r="D5319" s="197" t="s">
        <v>410</v>
      </c>
      <c r="E5319" s="199">
        <v>6.0</v>
      </c>
      <c r="F5319" s="200">
        <v>46135.45833333333</v>
      </c>
      <c r="G5319" s="197" t="s">
        <v>845</v>
      </c>
      <c r="H5319" s="197" t="s">
        <v>888</v>
      </c>
    </row>
    <row r="5320" ht="15.75" customHeight="1">
      <c r="A5320" s="197" t="s">
        <v>95</v>
      </c>
      <c r="B5320" s="197" t="s">
        <v>25</v>
      </c>
      <c r="C5320" s="198" t="s">
        <v>478</v>
      </c>
      <c r="D5320" s="197" t="s">
        <v>479</v>
      </c>
      <c r="E5320" s="199">
        <v>1.0</v>
      </c>
      <c r="F5320" s="200">
        <v>46087.45833333333</v>
      </c>
      <c r="G5320" s="197" t="s">
        <v>845</v>
      </c>
      <c r="H5320" s="197" t="s">
        <v>888</v>
      </c>
    </row>
    <row r="5321" ht="15.75" customHeight="1">
      <c r="A5321" s="197" t="s">
        <v>95</v>
      </c>
      <c r="B5321" s="197" t="s">
        <v>25</v>
      </c>
      <c r="C5321" s="198" t="s">
        <v>478</v>
      </c>
      <c r="D5321" s="197" t="s">
        <v>479</v>
      </c>
      <c r="E5321" s="199">
        <v>2.0</v>
      </c>
      <c r="F5321" s="200">
        <v>46107.625</v>
      </c>
      <c r="G5321" s="197" t="s">
        <v>843</v>
      </c>
      <c r="H5321" s="197" t="s">
        <v>888</v>
      </c>
    </row>
    <row r="5322" ht="15.75" customHeight="1">
      <c r="A5322" s="197" t="s">
        <v>95</v>
      </c>
      <c r="B5322" s="197" t="s">
        <v>25</v>
      </c>
      <c r="C5322" s="198" t="s">
        <v>478</v>
      </c>
      <c r="D5322" s="197" t="s">
        <v>479</v>
      </c>
      <c r="E5322" s="199">
        <v>3.0</v>
      </c>
      <c r="F5322" s="200">
        <v>46115.45833333333</v>
      </c>
      <c r="G5322" s="197" t="s">
        <v>843</v>
      </c>
      <c r="H5322" s="197" t="s">
        <v>888</v>
      </c>
    </row>
    <row r="5323" ht="15.75" customHeight="1">
      <c r="A5323" s="197" t="s">
        <v>95</v>
      </c>
      <c r="B5323" s="197" t="s">
        <v>25</v>
      </c>
      <c r="C5323" s="198" t="s">
        <v>478</v>
      </c>
      <c r="D5323" s="197" t="s">
        <v>479</v>
      </c>
      <c r="E5323" s="199">
        <v>4.0</v>
      </c>
      <c r="F5323" s="200">
        <v>46128.41666666667</v>
      </c>
      <c r="G5323" s="197" t="s">
        <v>843</v>
      </c>
      <c r="H5323" s="197" t="s">
        <v>888</v>
      </c>
    </row>
    <row r="5324" ht="15.75" customHeight="1">
      <c r="A5324" s="197" t="s">
        <v>95</v>
      </c>
      <c r="B5324" s="197" t="s">
        <v>25</v>
      </c>
      <c r="C5324" s="198" t="s">
        <v>478</v>
      </c>
      <c r="D5324" s="197" t="s">
        <v>479</v>
      </c>
      <c r="E5324" s="199">
        <v>5.0</v>
      </c>
      <c r="F5324" s="200">
        <v>46129.54166666667</v>
      </c>
      <c r="G5324" s="197" t="s">
        <v>843</v>
      </c>
      <c r="H5324" s="197" t="s">
        <v>888</v>
      </c>
    </row>
    <row r="5325" ht="15.75" customHeight="1">
      <c r="A5325" s="197" t="s">
        <v>95</v>
      </c>
      <c r="B5325" s="197" t="s">
        <v>25</v>
      </c>
      <c r="C5325" s="198" t="s">
        <v>478</v>
      </c>
      <c r="D5325" s="197" t="s">
        <v>479</v>
      </c>
      <c r="E5325" s="199">
        <v>6.0</v>
      </c>
      <c r="F5325" s="200">
        <v>46135.45833333333</v>
      </c>
      <c r="G5325" s="197" t="s">
        <v>843</v>
      </c>
      <c r="H5325" s="197" t="s">
        <v>888</v>
      </c>
    </row>
    <row r="5326" ht="15.75" customHeight="1">
      <c r="A5326" s="197" t="s">
        <v>95</v>
      </c>
      <c r="B5326" s="197" t="s">
        <v>25</v>
      </c>
      <c r="C5326" s="198" t="s">
        <v>585</v>
      </c>
      <c r="D5326" s="197" t="s">
        <v>586</v>
      </c>
      <c r="E5326" s="199">
        <v>1.0</v>
      </c>
      <c r="F5326" s="200">
        <v>46087.45833333333</v>
      </c>
      <c r="G5326" s="197" t="s">
        <v>845</v>
      </c>
      <c r="H5326" s="197" t="s">
        <v>888</v>
      </c>
    </row>
    <row r="5327" ht="15.75" customHeight="1">
      <c r="A5327" s="197" t="s">
        <v>95</v>
      </c>
      <c r="B5327" s="197" t="s">
        <v>25</v>
      </c>
      <c r="C5327" s="198" t="s">
        <v>585</v>
      </c>
      <c r="D5327" s="197" t="s">
        <v>586</v>
      </c>
      <c r="E5327" s="199">
        <v>2.0</v>
      </c>
      <c r="F5327" s="200">
        <v>46107.625</v>
      </c>
      <c r="G5327" s="197" t="s">
        <v>845</v>
      </c>
      <c r="H5327" s="197" t="s">
        <v>888</v>
      </c>
    </row>
    <row r="5328" ht="15.75" customHeight="1">
      <c r="A5328" s="197" t="s">
        <v>95</v>
      </c>
      <c r="B5328" s="197" t="s">
        <v>25</v>
      </c>
      <c r="C5328" s="198" t="s">
        <v>585</v>
      </c>
      <c r="D5328" s="197" t="s">
        <v>586</v>
      </c>
      <c r="E5328" s="199">
        <v>3.0</v>
      </c>
      <c r="F5328" s="200">
        <v>46115.45833333333</v>
      </c>
      <c r="G5328" s="197" t="s">
        <v>845</v>
      </c>
      <c r="H5328" s="197" t="s">
        <v>888</v>
      </c>
    </row>
    <row r="5329" ht="15.75" customHeight="1">
      <c r="A5329" s="197" t="s">
        <v>95</v>
      </c>
      <c r="B5329" s="197" t="s">
        <v>25</v>
      </c>
      <c r="C5329" s="198" t="s">
        <v>585</v>
      </c>
      <c r="D5329" s="197" t="s">
        <v>586</v>
      </c>
      <c r="E5329" s="199">
        <v>4.0</v>
      </c>
      <c r="F5329" s="200">
        <v>46128.41666666667</v>
      </c>
      <c r="G5329" s="197" t="s">
        <v>845</v>
      </c>
      <c r="H5329" s="197" t="s">
        <v>888</v>
      </c>
    </row>
    <row r="5330" ht="15.75" customHeight="1">
      <c r="A5330" s="197" t="s">
        <v>95</v>
      </c>
      <c r="B5330" s="197" t="s">
        <v>25</v>
      </c>
      <c r="C5330" s="198" t="s">
        <v>585</v>
      </c>
      <c r="D5330" s="197" t="s">
        <v>586</v>
      </c>
      <c r="E5330" s="199">
        <v>6.0</v>
      </c>
      <c r="F5330" s="200">
        <v>46135.45833333333</v>
      </c>
      <c r="G5330" s="197" t="s">
        <v>845</v>
      </c>
      <c r="H5330" s="197" t="s">
        <v>888</v>
      </c>
    </row>
    <row r="5331" ht="15.75" customHeight="1">
      <c r="A5331" s="197" t="s">
        <v>96</v>
      </c>
      <c r="B5331" s="197" t="s">
        <v>21</v>
      </c>
      <c r="C5331" s="198" t="s">
        <v>138</v>
      </c>
      <c r="D5331" s="197" t="s">
        <v>139</v>
      </c>
      <c r="E5331" s="199">
        <v>2.0</v>
      </c>
      <c r="F5331" s="200">
        <v>46120.45833333333</v>
      </c>
      <c r="G5331" s="197" t="s">
        <v>843</v>
      </c>
      <c r="H5331" s="197" t="s">
        <v>889</v>
      </c>
    </row>
    <row r="5332" ht="15.75" customHeight="1">
      <c r="A5332" s="197" t="s">
        <v>96</v>
      </c>
      <c r="B5332" s="197" t="s">
        <v>21</v>
      </c>
      <c r="C5332" s="198" t="s">
        <v>138</v>
      </c>
      <c r="D5332" s="197" t="s">
        <v>139</v>
      </c>
      <c r="E5332" s="199">
        <v>3.0</v>
      </c>
      <c r="F5332" s="200">
        <v>46127.45833333333</v>
      </c>
      <c r="G5332" s="197" t="s">
        <v>845</v>
      </c>
      <c r="H5332" s="197" t="s">
        <v>889</v>
      </c>
    </row>
    <row r="5333" ht="15.75" customHeight="1">
      <c r="A5333" s="197" t="s">
        <v>96</v>
      </c>
      <c r="B5333" s="197" t="s">
        <v>21</v>
      </c>
      <c r="C5333" s="198" t="s">
        <v>138</v>
      </c>
      <c r="D5333" s="197" t="s">
        <v>139</v>
      </c>
      <c r="E5333" s="199">
        <v>4.0</v>
      </c>
      <c r="F5333" s="200">
        <v>46134.45833333333</v>
      </c>
      <c r="G5333" s="197" t="s">
        <v>845</v>
      </c>
      <c r="H5333" s="197" t="s">
        <v>889</v>
      </c>
    </row>
    <row r="5334" ht="15.75" customHeight="1">
      <c r="A5334" s="197" t="s">
        <v>96</v>
      </c>
      <c r="B5334" s="197" t="s">
        <v>21</v>
      </c>
      <c r="C5334" s="198" t="s">
        <v>267</v>
      </c>
      <c r="D5334" s="197" t="s">
        <v>268</v>
      </c>
      <c r="E5334" s="199">
        <v>2.0</v>
      </c>
      <c r="F5334" s="200">
        <v>46120.45833333333</v>
      </c>
      <c r="G5334" s="197" t="s">
        <v>845</v>
      </c>
      <c r="H5334" s="197" t="s">
        <v>889</v>
      </c>
    </row>
    <row r="5335" ht="15.75" customHeight="1">
      <c r="A5335" s="197" t="s">
        <v>96</v>
      </c>
      <c r="B5335" s="197" t="s">
        <v>21</v>
      </c>
      <c r="C5335" s="198" t="s">
        <v>267</v>
      </c>
      <c r="D5335" s="197" t="s">
        <v>268</v>
      </c>
      <c r="E5335" s="199">
        <v>3.0</v>
      </c>
      <c r="F5335" s="200">
        <v>46127.45833333333</v>
      </c>
      <c r="G5335" s="197" t="s">
        <v>845</v>
      </c>
      <c r="H5335" s="197" t="s">
        <v>889</v>
      </c>
    </row>
    <row r="5336" ht="15.75" customHeight="1">
      <c r="A5336" s="197" t="s">
        <v>96</v>
      </c>
      <c r="B5336" s="197" t="s">
        <v>21</v>
      </c>
      <c r="C5336" s="198" t="s">
        <v>267</v>
      </c>
      <c r="D5336" s="197" t="s">
        <v>268</v>
      </c>
      <c r="E5336" s="199">
        <v>4.0</v>
      </c>
      <c r="F5336" s="200">
        <v>46134.45833333333</v>
      </c>
      <c r="G5336" s="197" t="s">
        <v>845</v>
      </c>
      <c r="H5336" s="197" t="s">
        <v>889</v>
      </c>
    </row>
    <row r="5337" ht="15.75" customHeight="1">
      <c r="A5337" s="197" t="s">
        <v>96</v>
      </c>
      <c r="B5337" s="197" t="s">
        <v>21</v>
      </c>
      <c r="C5337" s="198" t="s">
        <v>286</v>
      </c>
      <c r="D5337" s="197" t="s">
        <v>287</v>
      </c>
      <c r="E5337" s="199">
        <v>2.0</v>
      </c>
      <c r="F5337" s="200">
        <v>46120.45833333333</v>
      </c>
      <c r="G5337" s="197" t="s">
        <v>845</v>
      </c>
      <c r="H5337" s="197" t="s">
        <v>889</v>
      </c>
    </row>
    <row r="5338" ht="15.75" customHeight="1">
      <c r="A5338" s="197" t="s">
        <v>96</v>
      </c>
      <c r="B5338" s="197" t="s">
        <v>21</v>
      </c>
      <c r="C5338" s="198" t="s">
        <v>286</v>
      </c>
      <c r="D5338" s="197" t="s">
        <v>287</v>
      </c>
      <c r="E5338" s="199">
        <v>3.0</v>
      </c>
      <c r="F5338" s="200">
        <v>46127.45833333333</v>
      </c>
      <c r="G5338" s="197" t="s">
        <v>845</v>
      </c>
      <c r="H5338" s="197" t="s">
        <v>889</v>
      </c>
    </row>
    <row r="5339" ht="15.75" customHeight="1">
      <c r="A5339" s="197" t="s">
        <v>96</v>
      </c>
      <c r="B5339" s="197" t="s">
        <v>21</v>
      </c>
      <c r="C5339" s="198" t="s">
        <v>286</v>
      </c>
      <c r="D5339" s="197" t="s">
        <v>287</v>
      </c>
      <c r="E5339" s="199">
        <v>4.0</v>
      </c>
      <c r="F5339" s="200">
        <v>46134.45833333333</v>
      </c>
      <c r="G5339" s="197" t="s">
        <v>845</v>
      </c>
      <c r="H5339" s="197" t="s">
        <v>889</v>
      </c>
    </row>
    <row r="5340" ht="15.75" customHeight="1">
      <c r="A5340" s="197" t="s">
        <v>96</v>
      </c>
      <c r="B5340" s="197" t="s">
        <v>21</v>
      </c>
      <c r="C5340" s="198" t="s">
        <v>370</v>
      </c>
      <c r="D5340" s="197" t="s">
        <v>371</v>
      </c>
      <c r="E5340" s="199">
        <v>2.0</v>
      </c>
      <c r="F5340" s="200">
        <v>46120.45833333333</v>
      </c>
      <c r="G5340" s="197" t="s">
        <v>845</v>
      </c>
      <c r="H5340" s="197" t="s">
        <v>889</v>
      </c>
    </row>
    <row r="5341" ht="15.75" customHeight="1">
      <c r="A5341" s="197" t="s">
        <v>96</v>
      </c>
      <c r="B5341" s="197" t="s">
        <v>21</v>
      </c>
      <c r="C5341" s="198" t="s">
        <v>370</v>
      </c>
      <c r="D5341" s="197" t="s">
        <v>371</v>
      </c>
      <c r="E5341" s="199">
        <v>3.0</v>
      </c>
      <c r="F5341" s="200">
        <v>46127.45833333333</v>
      </c>
      <c r="G5341" s="197" t="s">
        <v>845</v>
      </c>
      <c r="H5341" s="197" t="s">
        <v>889</v>
      </c>
    </row>
    <row r="5342" ht="15.75" customHeight="1">
      <c r="A5342" s="197" t="s">
        <v>96</v>
      </c>
      <c r="B5342" s="197" t="s">
        <v>21</v>
      </c>
      <c r="C5342" s="198" t="s">
        <v>370</v>
      </c>
      <c r="D5342" s="197" t="s">
        <v>371</v>
      </c>
      <c r="E5342" s="199">
        <v>4.0</v>
      </c>
      <c r="F5342" s="200">
        <v>46134.45833333333</v>
      </c>
      <c r="G5342" s="197" t="s">
        <v>845</v>
      </c>
      <c r="H5342" s="197" t="s">
        <v>889</v>
      </c>
    </row>
    <row r="5343" ht="15.75" customHeight="1">
      <c r="A5343" s="197" t="s">
        <v>96</v>
      </c>
      <c r="B5343" s="197" t="s">
        <v>21</v>
      </c>
      <c r="C5343" s="198" t="s">
        <v>413</v>
      </c>
      <c r="D5343" s="197" t="s">
        <v>414</v>
      </c>
      <c r="E5343" s="199">
        <v>2.0</v>
      </c>
      <c r="F5343" s="200">
        <v>46120.45833333333</v>
      </c>
      <c r="G5343" s="197" t="s">
        <v>845</v>
      </c>
      <c r="H5343" s="197" t="s">
        <v>889</v>
      </c>
    </row>
    <row r="5344" ht="15.75" customHeight="1">
      <c r="A5344" s="197" t="s">
        <v>96</v>
      </c>
      <c r="B5344" s="197" t="s">
        <v>21</v>
      </c>
      <c r="C5344" s="198" t="s">
        <v>413</v>
      </c>
      <c r="D5344" s="197" t="s">
        <v>414</v>
      </c>
      <c r="E5344" s="199">
        <v>3.0</v>
      </c>
      <c r="F5344" s="200">
        <v>46127.45833333333</v>
      </c>
      <c r="G5344" s="197" t="s">
        <v>845</v>
      </c>
      <c r="H5344" s="197" t="s">
        <v>889</v>
      </c>
    </row>
    <row r="5345" ht="15.75" customHeight="1">
      <c r="A5345" s="197" t="s">
        <v>96</v>
      </c>
      <c r="B5345" s="197" t="s">
        <v>21</v>
      </c>
      <c r="C5345" s="198" t="s">
        <v>413</v>
      </c>
      <c r="D5345" s="197" t="s">
        <v>414</v>
      </c>
      <c r="E5345" s="199">
        <v>4.0</v>
      </c>
      <c r="F5345" s="200">
        <v>46134.45833333333</v>
      </c>
      <c r="G5345" s="197" t="s">
        <v>845</v>
      </c>
      <c r="H5345" s="197" t="s">
        <v>889</v>
      </c>
    </row>
    <row r="5346" ht="15.75" customHeight="1">
      <c r="A5346" s="197" t="s">
        <v>96</v>
      </c>
      <c r="B5346" s="197" t="s">
        <v>21</v>
      </c>
      <c r="C5346" s="198" t="s">
        <v>653</v>
      </c>
      <c r="D5346" s="197" t="s">
        <v>654</v>
      </c>
      <c r="E5346" s="199">
        <v>2.0</v>
      </c>
      <c r="F5346" s="200">
        <v>46120.45833333333</v>
      </c>
      <c r="G5346" s="197" t="s">
        <v>845</v>
      </c>
      <c r="H5346" s="197" t="s">
        <v>889</v>
      </c>
    </row>
    <row r="5347" ht="15.75" customHeight="1">
      <c r="A5347" s="197" t="s">
        <v>96</v>
      </c>
      <c r="B5347" s="197" t="s">
        <v>21</v>
      </c>
      <c r="C5347" s="198" t="s">
        <v>653</v>
      </c>
      <c r="D5347" s="197" t="s">
        <v>654</v>
      </c>
      <c r="E5347" s="199">
        <v>3.0</v>
      </c>
      <c r="F5347" s="200">
        <v>46127.45833333333</v>
      </c>
      <c r="G5347" s="197" t="s">
        <v>845</v>
      </c>
      <c r="H5347" s="197" t="s">
        <v>889</v>
      </c>
    </row>
    <row r="5348" ht="15.75" customHeight="1">
      <c r="A5348" s="197" t="s">
        <v>96</v>
      </c>
      <c r="B5348" s="197" t="s">
        <v>21</v>
      </c>
      <c r="C5348" s="198" t="s">
        <v>653</v>
      </c>
      <c r="D5348" s="197" t="s">
        <v>654</v>
      </c>
      <c r="E5348" s="199">
        <v>4.0</v>
      </c>
      <c r="F5348" s="200">
        <v>46134.45833333333</v>
      </c>
      <c r="G5348" s="197" t="s">
        <v>845</v>
      </c>
      <c r="H5348" s="197" t="s">
        <v>889</v>
      </c>
    </row>
    <row r="5349" ht="15.75" customHeight="1">
      <c r="A5349" s="197" t="s">
        <v>96</v>
      </c>
      <c r="B5349" s="197" t="s">
        <v>21</v>
      </c>
      <c r="C5349" s="198" t="s">
        <v>673</v>
      </c>
      <c r="D5349" s="197" t="s">
        <v>674</v>
      </c>
      <c r="E5349" s="199">
        <v>2.0</v>
      </c>
      <c r="F5349" s="200">
        <v>46120.45833333333</v>
      </c>
      <c r="G5349" s="197" t="s">
        <v>845</v>
      </c>
      <c r="H5349" s="197" t="s">
        <v>889</v>
      </c>
    </row>
    <row r="5350" ht="15.75" customHeight="1">
      <c r="A5350" s="197" t="s">
        <v>96</v>
      </c>
      <c r="B5350" s="197" t="s">
        <v>21</v>
      </c>
      <c r="C5350" s="198" t="s">
        <v>673</v>
      </c>
      <c r="D5350" s="197" t="s">
        <v>674</v>
      </c>
      <c r="E5350" s="199">
        <v>3.0</v>
      </c>
      <c r="F5350" s="200">
        <v>46127.45833333333</v>
      </c>
      <c r="G5350" s="197" t="s">
        <v>845</v>
      </c>
      <c r="H5350" s="197" t="s">
        <v>889</v>
      </c>
    </row>
    <row r="5351" ht="15.75" customHeight="1">
      <c r="A5351" s="197" t="s">
        <v>96</v>
      </c>
      <c r="B5351" s="197" t="s">
        <v>21</v>
      </c>
      <c r="C5351" s="198" t="s">
        <v>673</v>
      </c>
      <c r="D5351" s="197" t="s">
        <v>674</v>
      </c>
      <c r="E5351" s="199">
        <v>4.0</v>
      </c>
      <c r="F5351" s="200">
        <v>46134.45833333333</v>
      </c>
      <c r="G5351" s="197" t="s">
        <v>845</v>
      </c>
      <c r="H5351" s="197" t="s">
        <v>889</v>
      </c>
    </row>
    <row r="5352" ht="15.75" customHeight="1">
      <c r="A5352" s="197" t="s">
        <v>97</v>
      </c>
      <c r="B5352" s="197" t="s">
        <v>21</v>
      </c>
      <c r="C5352" s="198" t="s">
        <v>161</v>
      </c>
      <c r="D5352" s="197" t="s">
        <v>162</v>
      </c>
      <c r="E5352" s="199">
        <v>1.0</v>
      </c>
      <c r="F5352" s="200">
        <v>46126.625</v>
      </c>
      <c r="G5352" s="197" t="s">
        <v>845</v>
      </c>
      <c r="H5352" s="197" t="s">
        <v>890</v>
      </c>
    </row>
    <row r="5353" ht="15.75" customHeight="1">
      <c r="A5353" s="197" t="s">
        <v>97</v>
      </c>
      <c r="B5353" s="197" t="s">
        <v>21</v>
      </c>
      <c r="C5353" s="198" t="s">
        <v>161</v>
      </c>
      <c r="D5353" s="197" t="s">
        <v>162</v>
      </c>
      <c r="E5353" s="199">
        <v>2.0</v>
      </c>
      <c r="F5353" s="200">
        <v>46129.625</v>
      </c>
      <c r="G5353" s="197" t="s">
        <v>845</v>
      </c>
      <c r="H5353" s="197" t="s">
        <v>890</v>
      </c>
    </row>
    <row r="5354" ht="15.75" customHeight="1">
      <c r="A5354" s="197" t="s">
        <v>97</v>
      </c>
      <c r="B5354" s="197" t="s">
        <v>21</v>
      </c>
      <c r="C5354" s="198" t="s">
        <v>269</v>
      </c>
      <c r="D5354" s="197" t="s">
        <v>270</v>
      </c>
      <c r="E5354" s="199">
        <v>1.0</v>
      </c>
      <c r="F5354" s="200">
        <v>46126.625</v>
      </c>
      <c r="G5354" s="197" t="s">
        <v>845</v>
      </c>
      <c r="H5354" s="197" t="s">
        <v>890</v>
      </c>
    </row>
    <row r="5355" ht="15.75" customHeight="1">
      <c r="A5355" s="197" t="s">
        <v>97</v>
      </c>
      <c r="B5355" s="197" t="s">
        <v>21</v>
      </c>
      <c r="C5355" s="198" t="s">
        <v>269</v>
      </c>
      <c r="D5355" s="197" t="s">
        <v>270</v>
      </c>
      <c r="E5355" s="199">
        <v>2.0</v>
      </c>
      <c r="F5355" s="200">
        <v>46129.625</v>
      </c>
      <c r="G5355" s="197" t="s">
        <v>845</v>
      </c>
      <c r="H5355" s="197" t="s">
        <v>890</v>
      </c>
    </row>
    <row r="5356" ht="15.75" customHeight="1">
      <c r="A5356" s="197" t="s">
        <v>97</v>
      </c>
      <c r="B5356" s="197" t="s">
        <v>21</v>
      </c>
      <c r="C5356" s="198" t="s">
        <v>290</v>
      </c>
      <c r="D5356" s="197" t="s">
        <v>291</v>
      </c>
      <c r="E5356" s="199">
        <v>1.0</v>
      </c>
      <c r="F5356" s="200">
        <v>46126.625</v>
      </c>
      <c r="G5356" s="197" t="s">
        <v>845</v>
      </c>
      <c r="H5356" s="197" t="s">
        <v>890</v>
      </c>
    </row>
    <row r="5357" ht="15.75" customHeight="1">
      <c r="A5357" s="197" t="s">
        <v>97</v>
      </c>
      <c r="B5357" s="197" t="s">
        <v>21</v>
      </c>
      <c r="C5357" s="198" t="s">
        <v>290</v>
      </c>
      <c r="D5357" s="197" t="s">
        <v>291</v>
      </c>
      <c r="E5357" s="199">
        <v>2.0</v>
      </c>
      <c r="F5357" s="200">
        <v>46129.625</v>
      </c>
      <c r="G5357" s="197" t="s">
        <v>845</v>
      </c>
      <c r="H5357" s="197" t="s">
        <v>890</v>
      </c>
    </row>
    <row r="5358" ht="15.75" customHeight="1">
      <c r="A5358" s="197" t="s">
        <v>97</v>
      </c>
      <c r="B5358" s="197" t="s">
        <v>21</v>
      </c>
      <c r="C5358" s="198" t="s">
        <v>468</v>
      </c>
      <c r="D5358" s="197" t="s">
        <v>469</v>
      </c>
      <c r="E5358" s="199">
        <v>1.0</v>
      </c>
      <c r="F5358" s="200">
        <v>46126.625</v>
      </c>
      <c r="G5358" s="197" t="s">
        <v>845</v>
      </c>
      <c r="H5358" s="197" t="s">
        <v>890</v>
      </c>
    </row>
    <row r="5359" ht="15.75" customHeight="1">
      <c r="A5359" s="197" t="s">
        <v>97</v>
      </c>
      <c r="B5359" s="197" t="s">
        <v>21</v>
      </c>
      <c r="C5359" s="198" t="s">
        <v>468</v>
      </c>
      <c r="D5359" s="197" t="s">
        <v>469</v>
      </c>
      <c r="E5359" s="199">
        <v>2.0</v>
      </c>
      <c r="F5359" s="200">
        <v>46129.625</v>
      </c>
      <c r="G5359" s="197" t="s">
        <v>843</v>
      </c>
      <c r="H5359" s="197" t="s">
        <v>890</v>
      </c>
    </row>
    <row r="5360" ht="15.75" customHeight="1">
      <c r="A5360" s="197" t="s">
        <v>97</v>
      </c>
      <c r="B5360" s="197" t="s">
        <v>21</v>
      </c>
      <c r="C5360" s="198" t="s">
        <v>470</v>
      </c>
      <c r="D5360" s="197" t="s">
        <v>471</v>
      </c>
      <c r="E5360" s="199">
        <v>1.0</v>
      </c>
      <c r="F5360" s="200">
        <v>46126.625</v>
      </c>
      <c r="G5360" s="197" t="s">
        <v>845</v>
      </c>
      <c r="H5360" s="197" t="s">
        <v>890</v>
      </c>
    </row>
    <row r="5361" ht="15.75" customHeight="1">
      <c r="A5361" s="197" t="s">
        <v>97</v>
      </c>
      <c r="B5361" s="197" t="s">
        <v>21</v>
      </c>
      <c r="C5361" s="198" t="s">
        <v>470</v>
      </c>
      <c r="D5361" s="197" t="s">
        <v>471</v>
      </c>
      <c r="E5361" s="199">
        <v>2.0</v>
      </c>
      <c r="F5361" s="200">
        <v>46129.625</v>
      </c>
      <c r="G5361" s="197" t="s">
        <v>845</v>
      </c>
      <c r="H5361" s="197" t="s">
        <v>890</v>
      </c>
    </row>
    <row r="5362" ht="15.75" customHeight="1">
      <c r="A5362" s="197" t="s">
        <v>97</v>
      </c>
      <c r="B5362" s="197" t="s">
        <v>21</v>
      </c>
      <c r="C5362" s="198" t="s">
        <v>516</v>
      </c>
      <c r="D5362" s="197" t="s">
        <v>517</v>
      </c>
      <c r="E5362" s="199">
        <v>1.0</v>
      </c>
      <c r="F5362" s="200">
        <v>46126.625</v>
      </c>
      <c r="G5362" s="197" t="s">
        <v>845</v>
      </c>
      <c r="H5362" s="197" t="s">
        <v>890</v>
      </c>
    </row>
    <row r="5363" ht="15.75" customHeight="1">
      <c r="A5363" s="197" t="s">
        <v>97</v>
      </c>
      <c r="B5363" s="197" t="s">
        <v>21</v>
      </c>
      <c r="C5363" s="198" t="s">
        <v>516</v>
      </c>
      <c r="D5363" s="197" t="s">
        <v>517</v>
      </c>
      <c r="E5363" s="199">
        <v>2.0</v>
      </c>
      <c r="F5363" s="200">
        <v>46129.625</v>
      </c>
      <c r="G5363" s="197" t="s">
        <v>845</v>
      </c>
      <c r="H5363" s="197" t="s">
        <v>890</v>
      </c>
    </row>
    <row r="5364" ht="15.75" customHeight="1">
      <c r="A5364" s="197" t="s">
        <v>783</v>
      </c>
      <c r="B5364" s="197" t="s">
        <v>21</v>
      </c>
      <c r="C5364" s="198" t="s">
        <v>725</v>
      </c>
      <c r="D5364" s="197" t="s">
        <v>726</v>
      </c>
      <c r="E5364" s="199">
        <v>1.0</v>
      </c>
      <c r="F5364" s="200">
        <v>46085.58333333333</v>
      </c>
      <c r="G5364" s="197" t="s">
        <v>845</v>
      </c>
      <c r="H5364" s="197" t="s">
        <v>891</v>
      </c>
    </row>
    <row r="5365" ht="15.75" customHeight="1">
      <c r="A5365" s="197" t="s">
        <v>783</v>
      </c>
      <c r="B5365" s="197" t="s">
        <v>21</v>
      </c>
      <c r="C5365" s="198" t="s">
        <v>725</v>
      </c>
      <c r="D5365" s="197" t="s">
        <v>726</v>
      </c>
      <c r="E5365" s="199">
        <v>2.0</v>
      </c>
      <c r="F5365" s="200">
        <v>46093.58333333333</v>
      </c>
      <c r="G5365" s="197" t="s">
        <v>845</v>
      </c>
      <c r="H5365" s="197" t="s">
        <v>891</v>
      </c>
    </row>
    <row r="5366" ht="15.75" customHeight="1">
      <c r="A5366" s="197" t="s">
        <v>783</v>
      </c>
      <c r="B5366" s="197" t="s">
        <v>21</v>
      </c>
      <c r="C5366" s="198" t="s">
        <v>725</v>
      </c>
      <c r="D5366" s="197" t="s">
        <v>726</v>
      </c>
      <c r="E5366" s="199">
        <v>3.0</v>
      </c>
      <c r="F5366" s="200">
        <v>46099.58333333333</v>
      </c>
      <c r="G5366" s="197" t="s">
        <v>845</v>
      </c>
      <c r="H5366" s="197" t="s">
        <v>891</v>
      </c>
    </row>
    <row r="5367" ht="15.75" customHeight="1">
      <c r="A5367" s="197" t="s">
        <v>783</v>
      </c>
      <c r="B5367" s="197" t="s">
        <v>21</v>
      </c>
      <c r="C5367" s="198" t="s">
        <v>725</v>
      </c>
      <c r="D5367" s="197" t="s">
        <v>726</v>
      </c>
      <c r="E5367" s="199">
        <v>4.0</v>
      </c>
      <c r="F5367" s="200">
        <v>46108.41666666667</v>
      </c>
      <c r="G5367" s="197" t="s">
        <v>845</v>
      </c>
      <c r="H5367" s="197" t="s">
        <v>891</v>
      </c>
    </row>
    <row r="5368" ht="15.75" customHeight="1">
      <c r="A5368" s="197" t="s">
        <v>783</v>
      </c>
      <c r="B5368" s="197" t="s">
        <v>21</v>
      </c>
      <c r="C5368" s="198" t="s">
        <v>725</v>
      </c>
      <c r="D5368" s="197" t="s">
        <v>726</v>
      </c>
      <c r="E5368" s="199">
        <v>5.0</v>
      </c>
      <c r="F5368" s="200">
        <v>46114.625</v>
      </c>
      <c r="G5368" s="197" t="s">
        <v>845</v>
      </c>
      <c r="H5368" s="197" t="s">
        <v>891</v>
      </c>
    </row>
    <row r="5369" ht="15.75" customHeight="1">
      <c r="A5369" s="197" t="s">
        <v>783</v>
      </c>
      <c r="B5369" s="197" t="s">
        <v>21</v>
      </c>
      <c r="C5369" s="198" t="s">
        <v>725</v>
      </c>
      <c r="D5369" s="197" t="s">
        <v>726</v>
      </c>
      <c r="E5369" s="199">
        <v>6.0</v>
      </c>
      <c r="F5369" s="200">
        <v>46121.625</v>
      </c>
      <c r="G5369" s="197" t="s">
        <v>845</v>
      </c>
      <c r="H5369" s="197" t="s">
        <v>891</v>
      </c>
    </row>
    <row r="5370" ht="15.75" customHeight="1">
      <c r="A5370" s="197" t="s">
        <v>783</v>
      </c>
      <c r="B5370" s="197" t="s">
        <v>21</v>
      </c>
      <c r="C5370" s="198" t="s">
        <v>725</v>
      </c>
      <c r="D5370" s="197" t="s">
        <v>726</v>
      </c>
      <c r="E5370" s="199">
        <v>7.0</v>
      </c>
      <c r="F5370" s="200">
        <v>46129.41666666667</v>
      </c>
      <c r="G5370" s="197" t="s">
        <v>845</v>
      </c>
      <c r="H5370" s="197" t="s">
        <v>891</v>
      </c>
    </row>
    <row r="5371" ht="15.75" customHeight="1">
      <c r="A5371" s="197" t="s">
        <v>783</v>
      </c>
      <c r="B5371" s="197" t="s">
        <v>21</v>
      </c>
      <c r="C5371" s="198" t="s">
        <v>725</v>
      </c>
      <c r="D5371" s="197" t="s">
        <v>726</v>
      </c>
      <c r="E5371" s="199">
        <v>8.0</v>
      </c>
      <c r="F5371" s="200">
        <v>46135.54166666667</v>
      </c>
      <c r="G5371" s="197" t="s">
        <v>845</v>
      </c>
      <c r="H5371" s="197" t="s">
        <v>891</v>
      </c>
    </row>
    <row r="5372" ht="15.75" customHeight="1">
      <c r="A5372" s="201" t="s">
        <v>783</v>
      </c>
      <c r="B5372" s="201" t="s">
        <v>21</v>
      </c>
      <c r="C5372" s="202" t="s">
        <v>727</v>
      </c>
      <c r="D5372" s="201" t="s">
        <v>728</v>
      </c>
      <c r="E5372" s="203">
        <v>1.0</v>
      </c>
      <c r="F5372" s="204">
        <v>46085.58333333333</v>
      </c>
      <c r="G5372" s="201" t="s">
        <v>845</v>
      </c>
      <c r="H5372" s="201" t="s">
        <v>891</v>
      </c>
    </row>
    <row r="5373" ht="15.75" customHeight="1">
      <c r="A5373" s="201" t="s">
        <v>783</v>
      </c>
      <c r="B5373" s="201" t="s">
        <v>21</v>
      </c>
      <c r="C5373" s="202" t="s">
        <v>727</v>
      </c>
      <c r="D5373" s="201" t="s">
        <v>728</v>
      </c>
      <c r="E5373" s="203">
        <v>2.0</v>
      </c>
      <c r="F5373" s="204">
        <v>46093.58333333333</v>
      </c>
      <c r="G5373" s="201" t="s">
        <v>845</v>
      </c>
      <c r="H5373" s="201" t="s">
        <v>891</v>
      </c>
    </row>
    <row r="5374" ht="15.75" customHeight="1">
      <c r="A5374" s="201" t="s">
        <v>783</v>
      </c>
      <c r="B5374" s="201" t="s">
        <v>21</v>
      </c>
      <c r="C5374" s="202" t="s">
        <v>727</v>
      </c>
      <c r="D5374" s="201" t="s">
        <v>728</v>
      </c>
      <c r="E5374" s="203">
        <v>3.0</v>
      </c>
      <c r="F5374" s="204">
        <v>46099.58333333333</v>
      </c>
      <c r="G5374" s="201" t="s">
        <v>845</v>
      </c>
      <c r="H5374" s="201" t="s">
        <v>891</v>
      </c>
    </row>
    <row r="5375" ht="15.75" customHeight="1">
      <c r="A5375" s="201" t="s">
        <v>783</v>
      </c>
      <c r="B5375" s="201" t="s">
        <v>21</v>
      </c>
      <c r="C5375" s="202" t="s">
        <v>727</v>
      </c>
      <c r="D5375" s="201" t="s">
        <v>728</v>
      </c>
      <c r="E5375" s="203">
        <v>4.0</v>
      </c>
      <c r="F5375" s="204">
        <v>46108.41666666667</v>
      </c>
      <c r="G5375" s="201" t="s">
        <v>845</v>
      </c>
      <c r="H5375" s="201" t="s">
        <v>891</v>
      </c>
    </row>
    <row r="5376" ht="15.75" customHeight="1">
      <c r="A5376" s="201" t="s">
        <v>783</v>
      </c>
      <c r="B5376" s="201" t="s">
        <v>21</v>
      </c>
      <c r="C5376" s="202" t="s">
        <v>727</v>
      </c>
      <c r="D5376" s="201" t="s">
        <v>728</v>
      </c>
      <c r="E5376" s="203">
        <v>5.0</v>
      </c>
      <c r="F5376" s="204">
        <v>46114.625</v>
      </c>
      <c r="G5376" s="201" t="s">
        <v>845</v>
      </c>
      <c r="H5376" s="201" t="s">
        <v>891</v>
      </c>
    </row>
    <row r="5377" ht="15.75" customHeight="1">
      <c r="A5377" s="201" t="s">
        <v>783</v>
      </c>
      <c r="B5377" s="201" t="s">
        <v>21</v>
      </c>
      <c r="C5377" s="202" t="s">
        <v>727</v>
      </c>
      <c r="D5377" s="201" t="s">
        <v>728</v>
      </c>
      <c r="E5377" s="203">
        <v>6.0</v>
      </c>
      <c r="F5377" s="204">
        <v>46121.625</v>
      </c>
      <c r="G5377" s="201" t="s">
        <v>845</v>
      </c>
      <c r="H5377" s="201" t="s">
        <v>891</v>
      </c>
    </row>
    <row r="5378" ht="15.75" customHeight="1">
      <c r="A5378" s="201" t="s">
        <v>783</v>
      </c>
      <c r="B5378" s="201" t="s">
        <v>21</v>
      </c>
      <c r="C5378" s="202" t="s">
        <v>727</v>
      </c>
      <c r="D5378" s="201" t="s">
        <v>728</v>
      </c>
      <c r="E5378" s="203">
        <v>7.0</v>
      </c>
      <c r="F5378" s="204">
        <v>46129.41666666667</v>
      </c>
      <c r="G5378" s="201" t="s">
        <v>845</v>
      </c>
      <c r="H5378" s="201" t="s">
        <v>891</v>
      </c>
    </row>
    <row r="5379" ht="15.75" customHeight="1">
      <c r="A5379" s="201" t="s">
        <v>783</v>
      </c>
      <c r="B5379" s="201" t="s">
        <v>21</v>
      </c>
      <c r="C5379" s="202" t="s">
        <v>727</v>
      </c>
      <c r="D5379" s="201" t="s">
        <v>728</v>
      </c>
      <c r="E5379" s="203">
        <v>8.0</v>
      </c>
      <c r="F5379" s="204">
        <v>46135.54166666667</v>
      </c>
      <c r="G5379" s="201" t="s">
        <v>843</v>
      </c>
      <c r="H5379" s="201" t="s">
        <v>891</v>
      </c>
    </row>
    <row r="5380" ht="15.75" customHeight="1">
      <c r="A5380" s="201" t="s">
        <v>783</v>
      </c>
      <c r="B5380" s="201" t="s">
        <v>21</v>
      </c>
      <c r="C5380" s="202" t="s">
        <v>729</v>
      </c>
      <c r="D5380" s="201" t="s">
        <v>730</v>
      </c>
      <c r="E5380" s="203">
        <v>1.0</v>
      </c>
      <c r="F5380" s="204">
        <v>46085.58333333333</v>
      </c>
      <c r="G5380" s="201" t="s">
        <v>845</v>
      </c>
      <c r="H5380" s="201" t="s">
        <v>891</v>
      </c>
    </row>
    <row r="5381" ht="15.75" customHeight="1">
      <c r="A5381" s="201" t="s">
        <v>783</v>
      </c>
      <c r="B5381" s="201" t="s">
        <v>21</v>
      </c>
      <c r="C5381" s="202" t="s">
        <v>729</v>
      </c>
      <c r="D5381" s="201" t="s">
        <v>730</v>
      </c>
      <c r="E5381" s="203">
        <v>2.0</v>
      </c>
      <c r="F5381" s="204">
        <v>46093.58333333333</v>
      </c>
      <c r="G5381" s="201" t="s">
        <v>845</v>
      </c>
      <c r="H5381" s="201" t="s">
        <v>891</v>
      </c>
    </row>
    <row r="5382" ht="15.75" customHeight="1">
      <c r="A5382" s="201" t="s">
        <v>783</v>
      </c>
      <c r="B5382" s="201" t="s">
        <v>21</v>
      </c>
      <c r="C5382" s="202" t="s">
        <v>729</v>
      </c>
      <c r="D5382" s="201" t="s">
        <v>730</v>
      </c>
      <c r="E5382" s="203">
        <v>3.0</v>
      </c>
      <c r="F5382" s="204">
        <v>46099.58333333333</v>
      </c>
      <c r="G5382" s="201" t="s">
        <v>845</v>
      </c>
      <c r="H5382" s="201" t="s">
        <v>891</v>
      </c>
    </row>
    <row r="5383" ht="15.75" customHeight="1">
      <c r="A5383" s="201" t="s">
        <v>783</v>
      </c>
      <c r="B5383" s="201" t="s">
        <v>21</v>
      </c>
      <c r="C5383" s="202" t="s">
        <v>729</v>
      </c>
      <c r="D5383" s="201" t="s">
        <v>730</v>
      </c>
      <c r="E5383" s="203">
        <v>4.0</v>
      </c>
      <c r="F5383" s="204">
        <v>46108.41666666667</v>
      </c>
      <c r="G5383" s="201" t="s">
        <v>845</v>
      </c>
      <c r="H5383" s="201" t="s">
        <v>891</v>
      </c>
    </row>
    <row r="5384" ht="15.75" customHeight="1">
      <c r="A5384" s="201" t="s">
        <v>783</v>
      </c>
      <c r="B5384" s="201" t="s">
        <v>21</v>
      </c>
      <c r="C5384" s="202" t="s">
        <v>729</v>
      </c>
      <c r="D5384" s="201" t="s">
        <v>730</v>
      </c>
      <c r="E5384" s="203">
        <v>5.0</v>
      </c>
      <c r="F5384" s="204">
        <v>46114.625</v>
      </c>
      <c r="G5384" s="201" t="s">
        <v>845</v>
      </c>
      <c r="H5384" s="201" t="s">
        <v>891</v>
      </c>
    </row>
    <row r="5385" ht="15.75" customHeight="1">
      <c r="A5385" s="201" t="s">
        <v>783</v>
      </c>
      <c r="B5385" s="201" t="s">
        <v>21</v>
      </c>
      <c r="C5385" s="202" t="s">
        <v>729</v>
      </c>
      <c r="D5385" s="201" t="s">
        <v>730</v>
      </c>
      <c r="E5385" s="203">
        <v>6.0</v>
      </c>
      <c r="F5385" s="204">
        <v>46121.625</v>
      </c>
      <c r="G5385" s="201" t="s">
        <v>845</v>
      </c>
      <c r="H5385" s="201" t="s">
        <v>891</v>
      </c>
    </row>
    <row r="5386" ht="15.75" customHeight="1">
      <c r="A5386" s="201" t="s">
        <v>783</v>
      </c>
      <c r="B5386" s="201" t="s">
        <v>21</v>
      </c>
      <c r="C5386" s="202" t="s">
        <v>729</v>
      </c>
      <c r="D5386" s="201" t="s">
        <v>730</v>
      </c>
      <c r="E5386" s="203">
        <v>7.0</v>
      </c>
      <c r="F5386" s="204">
        <v>46129.41666666667</v>
      </c>
      <c r="G5386" s="201" t="s">
        <v>845</v>
      </c>
      <c r="H5386" s="201" t="s">
        <v>891</v>
      </c>
    </row>
    <row r="5387" ht="15.75" customHeight="1">
      <c r="A5387" s="201" t="s">
        <v>783</v>
      </c>
      <c r="B5387" s="201" t="s">
        <v>21</v>
      </c>
      <c r="C5387" s="202" t="s">
        <v>729</v>
      </c>
      <c r="D5387" s="201" t="s">
        <v>730</v>
      </c>
      <c r="E5387" s="203">
        <v>8.0</v>
      </c>
      <c r="F5387" s="204">
        <v>46135.54166666667</v>
      </c>
      <c r="G5387" s="201" t="s">
        <v>845</v>
      </c>
      <c r="H5387" s="201" t="s">
        <v>891</v>
      </c>
    </row>
    <row r="5388" ht="15.75" customHeight="1">
      <c r="A5388" s="201" t="s">
        <v>783</v>
      </c>
      <c r="B5388" s="201" t="s">
        <v>21</v>
      </c>
      <c r="C5388" s="202" t="s">
        <v>731</v>
      </c>
      <c r="D5388" s="201" t="s">
        <v>732</v>
      </c>
      <c r="E5388" s="203">
        <v>1.0</v>
      </c>
      <c r="F5388" s="204">
        <v>46085.58333333333</v>
      </c>
      <c r="G5388" s="201" t="s">
        <v>845</v>
      </c>
      <c r="H5388" s="201" t="s">
        <v>891</v>
      </c>
    </row>
    <row r="5389" ht="15.75" customHeight="1">
      <c r="A5389" s="201" t="s">
        <v>783</v>
      </c>
      <c r="B5389" s="201" t="s">
        <v>21</v>
      </c>
      <c r="C5389" s="202" t="s">
        <v>731</v>
      </c>
      <c r="D5389" s="201" t="s">
        <v>732</v>
      </c>
      <c r="E5389" s="203">
        <v>2.0</v>
      </c>
      <c r="F5389" s="204">
        <v>46093.58333333333</v>
      </c>
      <c r="G5389" s="201" t="s">
        <v>845</v>
      </c>
      <c r="H5389" s="201" t="s">
        <v>891</v>
      </c>
    </row>
    <row r="5390" ht="15.75" customHeight="1">
      <c r="A5390" s="201" t="s">
        <v>783</v>
      </c>
      <c r="B5390" s="201" t="s">
        <v>21</v>
      </c>
      <c r="C5390" s="202" t="s">
        <v>731</v>
      </c>
      <c r="D5390" s="201" t="s">
        <v>732</v>
      </c>
      <c r="E5390" s="203">
        <v>3.0</v>
      </c>
      <c r="F5390" s="204">
        <v>46099.58333333333</v>
      </c>
      <c r="G5390" s="201" t="s">
        <v>845</v>
      </c>
      <c r="H5390" s="201" t="s">
        <v>891</v>
      </c>
    </row>
    <row r="5391" ht="15.75" customHeight="1">
      <c r="A5391" s="201" t="s">
        <v>783</v>
      </c>
      <c r="B5391" s="201" t="s">
        <v>21</v>
      </c>
      <c r="C5391" s="202" t="s">
        <v>731</v>
      </c>
      <c r="D5391" s="201" t="s">
        <v>732</v>
      </c>
      <c r="E5391" s="203">
        <v>4.0</v>
      </c>
      <c r="F5391" s="204">
        <v>46108.41666666667</v>
      </c>
      <c r="G5391" s="201" t="s">
        <v>845</v>
      </c>
      <c r="H5391" s="201" t="s">
        <v>891</v>
      </c>
    </row>
    <row r="5392" ht="15.75" customHeight="1">
      <c r="A5392" s="201" t="s">
        <v>783</v>
      </c>
      <c r="B5392" s="201" t="s">
        <v>21</v>
      </c>
      <c r="C5392" s="202" t="s">
        <v>731</v>
      </c>
      <c r="D5392" s="201" t="s">
        <v>732</v>
      </c>
      <c r="E5392" s="203">
        <v>5.0</v>
      </c>
      <c r="F5392" s="204">
        <v>46114.625</v>
      </c>
      <c r="G5392" s="201" t="s">
        <v>845</v>
      </c>
      <c r="H5392" s="201" t="s">
        <v>891</v>
      </c>
    </row>
    <row r="5393" ht="15.75" customHeight="1">
      <c r="A5393" s="201" t="s">
        <v>783</v>
      </c>
      <c r="B5393" s="201" t="s">
        <v>21</v>
      </c>
      <c r="C5393" s="202" t="s">
        <v>731</v>
      </c>
      <c r="D5393" s="201" t="s">
        <v>732</v>
      </c>
      <c r="E5393" s="203">
        <v>6.0</v>
      </c>
      <c r="F5393" s="204">
        <v>46121.625</v>
      </c>
      <c r="G5393" s="201" t="s">
        <v>845</v>
      </c>
      <c r="H5393" s="201" t="s">
        <v>891</v>
      </c>
    </row>
    <row r="5394" ht="15.75" customHeight="1">
      <c r="A5394" s="201" t="s">
        <v>783</v>
      </c>
      <c r="B5394" s="201" t="s">
        <v>21</v>
      </c>
      <c r="C5394" s="202" t="s">
        <v>731</v>
      </c>
      <c r="D5394" s="201" t="s">
        <v>732</v>
      </c>
      <c r="E5394" s="203">
        <v>7.0</v>
      </c>
      <c r="F5394" s="204">
        <v>46129.41666666667</v>
      </c>
      <c r="G5394" s="201" t="s">
        <v>845</v>
      </c>
      <c r="H5394" s="201" t="s">
        <v>891</v>
      </c>
    </row>
    <row r="5395" ht="15.75" customHeight="1">
      <c r="A5395" s="201" t="s">
        <v>783</v>
      </c>
      <c r="B5395" s="201" t="s">
        <v>21</v>
      </c>
      <c r="C5395" s="202" t="s">
        <v>731</v>
      </c>
      <c r="D5395" s="201" t="s">
        <v>732</v>
      </c>
      <c r="E5395" s="203">
        <v>8.0</v>
      </c>
      <c r="F5395" s="204">
        <v>46135.54166666667</v>
      </c>
      <c r="G5395" s="201" t="s">
        <v>845</v>
      </c>
      <c r="H5395" s="201" t="s">
        <v>891</v>
      </c>
    </row>
    <row r="5396" ht="15.75" customHeight="1">
      <c r="A5396" s="201" t="s">
        <v>783</v>
      </c>
      <c r="B5396" s="201" t="s">
        <v>21</v>
      </c>
      <c r="C5396" s="202" t="s">
        <v>733</v>
      </c>
      <c r="D5396" s="201" t="s">
        <v>734</v>
      </c>
      <c r="E5396" s="203">
        <v>1.0</v>
      </c>
      <c r="F5396" s="204">
        <v>46085.58333333333</v>
      </c>
      <c r="G5396" s="201" t="s">
        <v>845</v>
      </c>
      <c r="H5396" s="201" t="s">
        <v>891</v>
      </c>
    </row>
    <row r="5397" ht="15.75" customHeight="1">
      <c r="A5397" s="201" t="s">
        <v>783</v>
      </c>
      <c r="B5397" s="201" t="s">
        <v>21</v>
      </c>
      <c r="C5397" s="202" t="s">
        <v>733</v>
      </c>
      <c r="D5397" s="201" t="s">
        <v>734</v>
      </c>
      <c r="E5397" s="203">
        <v>2.0</v>
      </c>
      <c r="F5397" s="204">
        <v>46093.58333333333</v>
      </c>
      <c r="G5397" s="201" t="s">
        <v>845</v>
      </c>
      <c r="H5397" s="201" t="s">
        <v>891</v>
      </c>
    </row>
    <row r="5398" ht="15.75" customHeight="1">
      <c r="A5398" s="201" t="s">
        <v>783</v>
      </c>
      <c r="B5398" s="201" t="s">
        <v>21</v>
      </c>
      <c r="C5398" s="202" t="s">
        <v>733</v>
      </c>
      <c r="D5398" s="201" t="s">
        <v>734</v>
      </c>
      <c r="E5398" s="203">
        <v>3.0</v>
      </c>
      <c r="F5398" s="204">
        <v>46099.58333333333</v>
      </c>
      <c r="G5398" s="201" t="s">
        <v>843</v>
      </c>
      <c r="H5398" s="201" t="s">
        <v>891</v>
      </c>
    </row>
    <row r="5399" ht="15.75" customHeight="1">
      <c r="A5399" s="201" t="s">
        <v>783</v>
      </c>
      <c r="B5399" s="201" t="s">
        <v>21</v>
      </c>
      <c r="C5399" s="202" t="s">
        <v>733</v>
      </c>
      <c r="D5399" s="201" t="s">
        <v>734</v>
      </c>
      <c r="E5399" s="203">
        <v>4.0</v>
      </c>
      <c r="F5399" s="204">
        <v>46108.41666666667</v>
      </c>
      <c r="G5399" s="201" t="s">
        <v>845</v>
      </c>
      <c r="H5399" s="201" t="s">
        <v>891</v>
      </c>
    </row>
    <row r="5400" ht="15.75" customHeight="1">
      <c r="A5400" s="201" t="s">
        <v>783</v>
      </c>
      <c r="B5400" s="201" t="s">
        <v>21</v>
      </c>
      <c r="C5400" s="202" t="s">
        <v>733</v>
      </c>
      <c r="D5400" s="201" t="s">
        <v>734</v>
      </c>
      <c r="E5400" s="203">
        <v>5.0</v>
      </c>
      <c r="F5400" s="204">
        <v>46114.625</v>
      </c>
      <c r="G5400" s="201" t="s">
        <v>845</v>
      </c>
      <c r="H5400" s="201" t="s">
        <v>891</v>
      </c>
    </row>
    <row r="5401" ht="15.75" customHeight="1">
      <c r="A5401" s="201" t="s">
        <v>783</v>
      </c>
      <c r="B5401" s="201" t="s">
        <v>21</v>
      </c>
      <c r="C5401" s="202" t="s">
        <v>733</v>
      </c>
      <c r="D5401" s="201" t="s">
        <v>734</v>
      </c>
      <c r="E5401" s="203">
        <v>6.0</v>
      </c>
      <c r="F5401" s="204">
        <v>46121.625</v>
      </c>
      <c r="G5401" s="201" t="s">
        <v>845</v>
      </c>
      <c r="H5401" s="201" t="s">
        <v>891</v>
      </c>
    </row>
    <row r="5402" ht="15.75" customHeight="1">
      <c r="A5402" s="201" t="s">
        <v>783</v>
      </c>
      <c r="B5402" s="201" t="s">
        <v>21</v>
      </c>
      <c r="C5402" s="202" t="s">
        <v>733</v>
      </c>
      <c r="D5402" s="201" t="s">
        <v>734</v>
      </c>
      <c r="E5402" s="203">
        <v>7.0</v>
      </c>
      <c r="F5402" s="204">
        <v>46129.41666666667</v>
      </c>
      <c r="G5402" s="201" t="s">
        <v>843</v>
      </c>
      <c r="H5402" s="201" t="s">
        <v>891</v>
      </c>
    </row>
    <row r="5403" ht="15.75" customHeight="1">
      <c r="A5403" s="201" t="s">
        <v>783</v>
      </c>
      <c r="B5403" s="201" t="s">
        <v>21</v>
      </c>
      <c r="C5403" s="202" t="s">
        <v>733</v>
      </c>
      <c r="D5403" s="201" t="s">
        <v>734</v>
      </c>
      <c r="E5403" s="203">
        <v>8.0</v>
      </c>
      <c r="F5403" s="204">
        <v>46135.54166666667</v>
      </c>
      <c r="G5403" s="201" t="s">
        <v>845</v>
      </c>
      <c r="H5403" s="201" t="s">
        <v>891</v>
      </c>
    </row>
    <row r="5404" ht="15.75" customHeight="1">
      <c r="A5404" s="201" t="s">
        <v>783</v>
      </c>
      <c r="B5404" s="201" t="s">
        <v>21</v>
      </c>
      <c r="C5404" s="202">
        <v>193470.0</v>
      </c>
      <c r="D5404" s="201" t="s">
        <v>724</v>
      </c>
      <c r="E5404" s="203">
        <v>1.0</v>
      </c>
      <c r="F5404" s="204">
        <v>46085.58333333333</v>
      </c>
      <c r="G5404" s="201" t="s">
        <v>845</v>
      </c>
      <c r="H5404" s="201" t="s">
        <v>891</v>
      </c>
    </row>
    <row r="5405" ht="15.75" customHeight="1">
      <c r="A5405" s="201" t="s">
        <v>783</v>
      </c>
      <c r="B5405" s="201" t="s">
        <v>21</v>
      </c>
      <c r="C5405" s="202">
        <v>193470.0</v>
      </c>
      <c r="D5405" s="201" t="s">
        <v>724</v>
      </c>
      <c r="E5405" s="203">
        <v>2.0</v>
      </c>
      <c r="F5405" s="204">
        <v>46093.58333333333</v>
      </c>
      <c r="G5405" s="201" t="s">
        <v>845</v>
      </c>
      <c r="H5405" s="201" t="s">
        <v>891</v>
      </c>
    </row>
    <row r="5406" ht="15.75" customHeight="1">
      <c r="A5406" s="201" t="s">
        <v>783</v>
      </c>
      <c r="B5406" s="201" t="s">
        <v>21</v>
      </c>
      <c r="C5406" s="202">
        <v>193470.0</v>
      </c>
      <c r="D5406" s="201" t="s">
        <v>724</v>
      </c>
      <c r="E5406" s="203">
        <v>3.0</v>
      </c>
      <c r="F5406" s="204">
        <v>46099.58333333333</v>
      </c>
      <c r="G5406" s="201" t="s">
        <v>843</v>
      </c>
      <c r="H5406" s="201" t="s">
        <v>891</v>
      </c>
    </row>
    <row r="5407" ht="15.75" customHeight="1">
      <c r="A5407" s="201" t="s">
        <v>783</v>
      </c>
      <c r="B5407" s="201" t="s">
        <v>21</v>
      </c>
      <c r="C5407" s="202">
        <v>193470.0</v>
      </c>
      <c r="D5407" s="201" t="s">
        <v>724</v>
      </c>
      <c r="E5407" s="203">
        <v>4.0</v>
      </c>
      <c r="F5407" s="204">
        <v>46108.41666666667</v>
      </c>
      <c r="G5407" s="201" t="s">
        <v>845</v>
      </c>
      <c r="H5407" s="201" t="s">
        <v>891</v>
      </c>
    </row>
    <row r="5408" ht="15.75" customHeight="1">
      <c r="A5408" s="201" t="s">
        <v>783</v>
      </c>
      <c r="B5408" s="201" t="s">
        <v>21</v>
      </c>
      <c r="C5408" s="202">
        <v>193470.0</v>
      </c>
      <c r="D5408" s="201" t="s">
        <v>724</v>
      </c>
      <c r="E5408" s="203">
        <v>5.0</v>
      </c>
      <c r="F5408" s="204">
        <v>46114.625</v>
      </c>
      <c r="G5408" s="201" t="s">
        <v>845</v>
      </c>
      <c r="H5408" s="201" t="s">
        <v>891</v>
      </c>
    </row>
    <row r="5409" ht="15.75" customHeight="1">
      <c r="A5409" s="201" t="s">
        <v>783</v>
      </c>
      <c r="B5409" s="201" t="s">
        <v>21</v>
      </c>
      <c r="C5409" s="202">
        <v>193470.0</v>
      </c>
      <c r="D5409" s="201" t="s">
        <v>724</v>
      </c>
      <c r="E5409" s="203">
        <v>6.0</v>
      </c>
      <c r="F5409" s="204">
        <v>46121.625</v>
      </c>
      <c r="G5409" s="201" t="s">
        <v>845</v>
      </c>
      <c r="H5409" s="201" t="s">
        <v>891</v>
      </c>
    </row>
    <row r="5410" ht="15.75" customHeight="1">
      <c r="A5410" s="201" t="s">
        <v>783</v>
      </c>
      <c r="B5410" s="201" t="s">
        <v>21</v>
      </c>
      <c r="C5410" s="202">
        <v>193470.0</v>
      </c>
      <c r="D5410" s="201" t="s">
        <v>724</v>
      </c>
      <c r="E5410" s="203">
        <v>7.0</v>
      </c>
      <c r="F5410" s="204">
        <v>46129.41666666667</v>
      </c>
      <c r="G5410" s="201" t="s">
        <v>845</v>
      </c>
      <c r="H5410" s="201" t="s">
        <v>891</v>
      </c>
    </row>
    <row r="5411" ht="15.75" customHeight="1">
      <c r="A5411" s="201" t="s">
        <v>783</v>
      </c>
      <c r="B5411" s="201" t="s">
        <v>21</v>
      </c>
      <c r="C5411" s="202">
        <v>193470.0</v>
      </c>
      <c r="D5411" s="201" t="s">
        <v>724</v>
      </c>
      <c r="E5411" s="203">
        <v>8.0</v>
      </c>
      <c r="F5411" s="204">
        <v>46135.54166666667</v>
      </c>
      <c r="G5411" s="201" t="s">
        <v>845</v>
      </c>
      <c r="H5411" s="201" t="s">
        <v>891</v>
      </c>
    </row>
    <row r="5412" ht="15.75" customHeight="1">
      <c r="A5412" s="201" t="s">
        <v>794</v>
      </c>
      <c r="B5412" s="201" t="s">
        <v>21</v>
      </c>
      <c r="C5412" s="202" t="s">
        <v>735</v>
      </c>
      <c r="D5412" s="201" t="s">
        <v>736</v>
      </c>
      <c r="E5412" s="203">
        <v>1.0</v>
      </c>
      <c r="F5412" s="204">
        <v>46085.625</v>
      </c>
      <c r="G5412" s="201" t="s">
        <v>845</v>
      </c>
      <c r="H5412" s="201" t="s">
        <v>892</v>
      </c>
    </row>
    <row r="5413" ht="15.75" customHeight="1">
      <c r="A5413" s="201" t="s">
        <v>794</v>
      </c>
      <c r="B5413" s="201" t="s">
        <v>21</v>
      </c>
      <c r="C5413" s="202" t="s">
        <v>735</v>
      </c>
      <c r="D5413" s="201" t="s">
        <v>736</v>
      </c>
      <c r="E5413" s="203">
        <v>2.0</v>
      </c>
      <c r="F5413" s="204">
        <v>46093.41666666667</v>
      </c>
      <c r="G5413" s="201" t="s">
        <v>845</v>
      </c>
      <c r="H5413" s="201" t="s">
        <v>892</v>
      </c>
    </row>
    <row r="5414" ht="15.75" customHeight="1">
      <c r="A5414" s="201" t="s">
        <v>794</v>
      </c>
      <c r="B5414" s="201" t="s">
        <v>21</v>
      </c>
      <c r="C5414" s="202" t="s">
        <v>735</v>
      </c>
      <c r="D5414" s="201" t="s">
        <v>736</v>
      </c>
      <c r="E5414" s="203">
        <v>3.0</v>
      </c>
      <c r="F5414" s="204">
        <v>46099.58333333333</v>
      </c>
      <c r="G5414" s="201" t="s">
        <v>845</v>
      </c>
      <c r="H5414" s="201" t="s">
        <v>892</v>
      </c>
    </row>
    <row r="5415" ht="15.75" customHeight="1">
      <c r="A5415" s="201" t="s">
        <v>794</v>
      </c>
      <c r="B5415" s="201" t="s">
        <v>21</v>
      </c>
      <c r="C5415" s="202" t="s">
        <v>735</v>
      </c>
      <c r="D5415" s="201" t="s">
        <v>736</v>
      </c>
      <c r="E5415" s="203">
        <v>4.0</v>
      </c>
      <c r="F5415" s="204">
        <v>46107.41666666667</v>
      </c>
      <c r="G5415" s="201" t="s">
        <v>845</v>
      </c>
      <c r="H5415" s="201" t="s">
        <v>892</v>
      </c>
    </row>
    <row r="5416" ht="15.75" customHeight="1">
      <c r="A5416" s="201" t="s">
        <v>794</v>
      </c>
      <c r="B5416" s="201" t="s">
        <v>21</v>
      </c>
      <c r="C5416" s="202" t="s">
        <v>735</v>
      </c>
      <c r="D5416" s="201" t="s">
        <v>736</v>
      </c>
      <c r="E5416" s="203">
        <v>5.0</v>
      </c>
      <c r="F5416" s="204">
        <v>46115.625</v>
      </c>
      <c r="G5416" s="201" t="s">
        <v>845</v>
      </c>
      <c r="H5416" s="201" t="s">
        <v>892</v>
      </c>
    </row>
    <row r="5417" ht="15.75" customHeight="1">
      <c r="A5417" s="201" t="s">
        <v>794</v>
      </c>
      <c r="B5417" s="201" t="s">
        <v>21</v>
      </c>
      <c r="C5417" s="202" t="s">
        <v>735</v>
      </c>
      <c r="D5417" s="201" t="s">
        <v>736</v>
      </c>
      <c r="E5417" s="203">
        <v>6.0</v>
      </c>
      <c r="F5417" s="204">
        <v>46128.625</v>
      </c>
      <c r="G5417" s="201" t="s">
        <v>845</v>
      </c>
      <c r="H5417" s="201" t="s">
        <v>892</v>
      </c>
    </row>
    <row r="5418" ht="15.75" customHeight="1">
      <c r="A5418" s="201" t="s">
        <v>794</v>
      </c>
      <c r="B5418" s="201" t="s">
        <v>21</v>
      </c>
      <c r="C5418" s="202" t="s">
        <v>735</v>
      </c>
      <c r="D5418" s="201" t="s">
        <v>736</v>
      </c>
      <c r="E5418" s="203">
        <v>7.0</v>
      </c>
      <c r="F5418" s="204">
        <v>46129.41666666667</v>
      </c>
      <c r="G5418" s="201" t="s">
        <v>845</v>
      </c>
      <c r="H5418" s="201" t="s">
        <v>892</v>
      </c>
    </row>
    <row r="5419" ht="15.75" customHeight="1">
      <c r="A5419" s="201" t="s">
        <v>794</v>
      </c>
      <c r="B5419" s="201" t="s">
        <v>21</v>
      </c>
      <c r="C5419" s="202" t="s">
        <v>735</v>
      </c>
      <c r="D5419" s="201" t="s">
        <v>736</v>
      </c>
      <c r="E5419" s="203">
        <v>8.0</v>
      </c>
      <c r="F5419" s="204">
        <v>46135.625</v>
      </c>
      <c r="G5419" s="201" t="s">
        <v>845</v>
      </c>
      <c r="H5419" s="201" t="s">
        <v>892</v>
      </c>
    </row>
    <row r="5420" ht="15.75" customHeight="1">
      <c r="A5420" s="201" t="s">
        <v>794</v>
      </c>
      <c r="B5420" s="201" t="s">
        <v>21</v>
      </c>
      <c r="C5420" s="202" t="s">
        <v>737</v>
      </c>
      <c r="D5420" s="201" t="s">
        <v>738</v>
      </c>
      <c r="E5420" s="203">
        <v>1.0</v>
      </c>
      <c r="F5420" s="204">
        <v>46085.625</v>
      </c>
      <c r="G5420" s="201" t="s">
        <v>845</v>
      </c>
      <c r="H5420" s="201" t="s">
        <v>892</v>
      </c>
    </row>
    <row r="5421" ht="15.75" customHeight="1">
      <c r="A5421" s="201" t="s">
        <v>794</v>
      </c>
      <c r="B5421" s="201" t="s">
        <v>21</v>
      </c>
      <c r="C5421" s="202" t="s">
        <v>737</v>
      </c>
      <c r="D5421" s="201" t="s">
        <v>738</v>
      </c>
      <c r="E5421" s="203">
        <v>2.0</v>
      </c>
      <c r="F5421" s="204">
        <v>46093.41666666667</v>
      </c>
      <c r="G5421" s="201" t="s">
        <v>845</v>
      </c>
      <c r="H5421" s="201" t="s">
        <v>892</v>
      </c>
    </row>
    <row r="5422" ht="15.75" customHeight="1">
      <c r="A5422" s="201" t="s">
        <v>794</v>
      </c>
      <c r="B5422" s="201" t="s">
        <v>21</v>
      </c>
      <c r="C5422" s="202" t="s">
        <v>737</v>
      </c>
      <c r="D5422" s="201" t="s">
        <v>738</v>
      </c>
      <c r="E5422" s="203">
        <v>3.0</v>
      </c>
      <c r="F5422" s="204">
        <v>46099.58333333333</v>
      </c>
      <c r="G5422" s="201" t="s">
        <v>845</v>
      </c>
      <c r="H5422" s="201" t="s">
        <v>892</v>
      </c>
    </row>
    <row r="5423" ht="15.75" customHeight="1">
      <c r="A5423" s="201" t="s">
        <v>794</v>
      </c>
      <c r="B5423" s="201" t="s">
        <v>21</v>
      </c>
      <c r="C5423" s="202" t="s">
        <v>737</v>
      </c>
      <c r="D5423" s="201" t="s">
        <v>738</v>
      </c>
      <c r="E5423" s="203">
        <v>4.0</v>
      </c>
      <c r="F5423" s="204">
        <v>46107.41666666667</v>
      </c>
      <c r="G5423" s="201" t="s">
        <v>845</v>
      </c>
      <c r="H5423" s="201" t="s">
        <v>892</v>
      </c>
    </row>
    <row r="5424" ht="15.75" customHeight="1">
      <c r="A5424" s="201" t="s">
        <v>794</v>
      </c>
      <c r="B5424" s="201" t="s">
        <v>21</v>
      </c>
      <c r="C5424" s="202" t="s">
        <v>737</v>
      </c>
      <c r="D5424" s="201" t="s">
        <v>738</v>
      </c>
      <c r="E5424" s="203">
        <v>5.0</v>
      </c>
      <c r="F5424" s="204">
        <v>46115.625</v>
      </c>
      <c r="G5424" s="201" t="s">
        <v>843</v>
      </c>
      <c r="H5424" s="201" t="s">
        <v>892</v>
      </c>
    </row>
    <row r="5425" ht="15.75" customHeight="1">
      <c r="A5425" s="201" t="s">
        <v>794</v>
      </c>
      <c r="B5425" s="201" t="s">
        <v>21</v>
      </c>
      <c r="C5425" s="202" t="s">
        <v>737</v>
      </c>
      <c r="D5425" s="201" t="s">
        <v>738</v>
      </c>
      <c r="E5425" s="203">
        <v>6.0</v>
      </c>
      <c r="F5425" s="204">
        <v>46128.625</v>
      </c>
      <c r="G5425" s="201" t="s">
        <v>845</v>
      </c>
      <c r="H5425" s="201" t="s">
        <v>892</v>
      </c>
    </row>
    <row r="5426" ht="15.75" customHeight="1">
      <c r="A5426" s="201" t="s">
        <v>794</v>
      </c>
      <c r="B5426" s="201" t="s">
        <v>21</v>
      </c>
      <c r="C5426" s="202" t="s">
        <v>737</v>
      </c>
      <c r="D5426" s="201" t="s">
        <v>738</v>
      </c>
      <c r="E5426" s="203">
        <v>7.0</v>
      </c>
      <c r="F5426" s="204">
        <v>46129.41666666667</v>
      </c>
      <c r="G5426" s="201" t="s">
        <v>845</v>
      </c>
      <c r="H5426" s="201" t="s">
        <v>892</v>
      </c>
    </row>
    <row r="5427" ht="15.75" customHeight="1">
      <c r="A5427" s="201" t="s">
        <v>794</v>
      </c>
      <c r="B5427" s="201" t="s">
        <v>21</v>
      </c>
      <c r="C5427" s="202" t="s">
        <v>737</v>
      </c>
      <c r="D5427" s="201" t="s">
        <v>738</v>
      </c>
      <c r="E5427" s="203">
        <v>8.0</v>
      </c>
      <c r="F5427" s="204">
        <v>46135.625</v>
      </c>
      <c r="G5427" s="201" t="s">
        <v>845</v>
      </c>
      <c r="H5427" s="201" t="s">
        <v>892</v>
      </c>
    </row>
    <row r="5428" ht="15.75" customHeight="1">
      <c r="A5428" s="201" t="s">
        <v>794</v>
      </c>
      <c r="B5428" s="201" t="s">
        <v>21</v>
      </c>
      <c r="C5428" s="202" t="s">
        <v>739</v>
      </c>
      <c r="D5428" s="201" t="s">
        <v>740</v>
      </c>
      <c r="E5428" s="203">
        <v>1.0</v>
      </c>
      <c r="F5428" s="204">
        <v>46085.625</v>
      </c>
      <c r="G5428" s="201" t="s">
        <v>845</v>
      </c>
      <c r="H5428" s="201" t="s">
        <v>892</v>
      </c>
    </row>
    <row r="5429" ht="15.75" customHeight="1">
      <c r="A5429" s="201" t="s">
        <v>794</v>
      </c>
      <c r="B5429" s="201" t="s">
        <v>21</v>
      </c>
      <c r="C5429" s="202" t="s">
        <v>739</v>
      </c>
      <c r="D5429" s="201" t="s">
        <v>740</v>
      </c>
      <c r="E5429" s="203">
        <v>2.0</v>
      </c>
      <c r="F5429" s="204">
        <v>46093.41666666667</v>
      </c>
      <c r="G5429" s="201" t="s">
        <v>845</v>
      </c>
      <c r="H5429" s="201" t="s">
        <v>892</v>
      </c>
    </row>
    <row r="5430" ht="15.75" customHeight="1">
      <c r="A5430" s="201" t="s">
        <v>794</v>
      </c>
      <c r="B5430" s="201" t="s">
        <v>21</v>
      </c>
      <c r="C5430" s="202" t="s">
        <v>739</v>
      </c>
      <c r="D5430" s="201" t="s">
        <v>740</v>
      </c>
      <c r="E5430" s="203">
        <v>3.0</v>
      </c>
      <c r="F5430" s="204">
        <v>46099.58333333333</v>
      </c>
      <c r="G5430" s="201" t="s">
        <v>843</v>
      </c>
      <c r="H5430" s="201" t="s">
        <v>892</v>
      </c>
    </row>
    <row r="5431" ht="15.75" customHeight="1">
      <c r="A5431" s="201" t="s">
        <v>794</v>
      </c>
      <c r="B5431" s="201" t="s">
        <v>21</v>
      </c>
      <c r="C5431" s="202" t="s">
        <v>739</v>
      </c>
      <c r="D5431" s="201" t="s">
        <v>740</v>
      </c>
      <c r="E5431" s="203">
        <v>4.0</v>
      </c>
      <c r="F5431" s="204">
        <v>46107.41666666667</v>
      </c>
      <c r="G5431" s="201" t="s">
        <v>845</v>
      </c>
      <c r="H5431" s="201" t="s">
        <v>892</v>
      </c>
    </row>
    <row r="5432" ht="15.75" customHeight="1">
      <c r="A5432" s="201" t="s">
        <v>794</v>
      </c>
      <c r="B5432" s="201" t="s">
        <v>21</v>
      </c>
      <c r="C5432" s="202" t="s">
        <v>739</v>
      </c>
      <c r="D5432" s="201" t="s">
        <v>740</v>
      </c>
      <c r="E5432" s="203">
        <v>5.0</v>
      </c>
      <c r="F5432" s="204">
        <v>46115.625</v>
      </c>
      <c r="G5432" s="201" t="s">
        <v>845</v>
      </c>
      <c r="H5432" s="201" t="s">
        <v>892</v>
      </c>
    </row>
    <row r="5433" ht="15.75" customHeight="1">
      <c r="A5433" s="201" t="s">
        <v>794</v>
      </c>
      <c r="B5433" s="201" t="s">
        <v>21</v>
      </c>
      <c r="C5433" s="202" t="s">
        <v>739</v>
      </c>
      <c r="D5433" s="201" t="s">
        <v>740</v>
      </c>
      <c r="E5433" s="203">
        <v>6.0</v>
      </c>
      <c r="F5433" s="204">
        <v>46128.625</v>
      </c>
      <c r="G5433" s="201" t="s">
        <v>845</v>
      </c>
      <c r="H5433" s="201" t="s">
        <v>892</v>
      </c>
    </row>
    <row r="5434" ht="15.75" customHeight="1">
      <c r="A5434" s="201" t="s">
        <v>794</v>
      </c>
      <c r="B5434" s="201" t="s">
        <v>21</v>
      </c>
      <c r="C5434" s="202" t="s">
        <v>739</v>
      </c>
      <c r="D5434" s="201" t="s">
        <v>740</v>
      </c>
      <c r="E5434" s="203">
        <v>7.0</v>
      </c>
      <c r="F5434" s="204">
        <v>46129.41666666667</v>
      </c>
      <c r="G5434" s="201" t="s">
        <v>845</v>
      </c>
      <c r="H5434" s="201" t="s">
        <v>892</v>
      </c>
    </row>
    <row r="5435" ht="15.75" customHeight="1">
      <c r="A5435" s="201" t="s">
        <v>794</v>
      </c>
      <c r="B5435" s="201" t="s">
        <v>21</v>
      </c>
      <c r="C5435" s="202" t="s">
        <v>739</v>
      </c>
      <c r="D5435" s="201" t="s">
        <v>740</v>
      </c>
      <c r="E5435" s="203">
        <v>8.0</v>
      </c>
      <c r="F5435" s="204">
        <v>46135.625</v>
      </c>
      <c r="G5435" s="201" t="s">
        <v>845</v>
      </c>
      <c r="H5435" s="201" t="s">
        <v>892</v>
      </c>
    </row>
    <row r="5436" ht="15.75" customHeight="1">
      <c r="A5436" s="201" t="s">
        <v>794</v>
      </c>
      <c r="B5436" s="201" t="s">
        <v>21</v>
      </c>
      <c r="C5436" s="202" t="s">
        <v>741</v>
      </c>
      <c r="D5436" s="201" t="s">
        <v>742</v>
      </c>
      <c r="E5436" s="203">
        <v>1.0</v>
      </c>
      <c r="F5436" s="204">
        <v>46085.625</v>
      </c>
      <c r="G5436" s="201" t="s">
        <v>845</v>
      </c>
      <c r="H5436" s="201" t="s">
        <v>892</v>
      </c>
    </row>
    <row r="5437" ht="15.75" customHeight="1">
      <c r="A5437" s="201" t="s">
        <v>794</v>
      </c>
      <c r="B5437" s="201" t="s">
        <v>21</v>
      </c>
      <c r="C5437" s="202" t="s">
        <v>741</v>
      </c>
      <c r="D5437" s="201" t="s">
        <v>742</v>
      </c>
      <c r="E5437" s="203">
        <v>2.0</v>
      </c>
      <c r="F5437" s="204">
        <v>46093.41666666667</v>
      </c>
      <c r="G5437" s="201" t="s">
        <v>845</v>
      </c>
      <c r="H5437" s="201" t="s">
        <v>892</v>
      </c>
    </row>
    <row r="5438" ht="15.75" customHeight="1">
      <c r="A5438" s="201" t="s">
        <v>794</v>
      </c>
      <c r="B5438" s="201" t="s">
        <v>21</v>
      </c>
      <c r="C5438" s="202" t="s">
        <v>741</v>
      </c>
      <c r="D5438" s="201" t="s">
        <v>742</v>
      </c>
      <c r="E5438" s="203">
        <v>3.0</v>
      </c>
      <c r="F5438" s="204">
        <v>46099.58333333333</v>
      </c>
      <c r="G5438" s="201" t="s">
        <v>843</v>
      </c>
      <c r="H5438" s="201" t="s">
        <v>892</v>
      </c>
    </row>
    <row r="5439" ht="15.75" customHeight="1">
      <c r="A5439" s="201" t="s">
        <v>794</v>
      </c>
      <c r="B5439" s="201" t="s">
        <v>21</v>
      </c>
      <c r="C5439" s="202" t="s">
        <v>741</v>
      </c>
      <c r="D5439" s="201" t="s">
        <v>742</v>
      </c>
      <c r="E5439" s="203">
        <v>4.0</v>
      </c>
      <c r="F5439" s="204">
        <v>46107.41666666667</v>
      </c>
      <c r="G5439" s="201" t="s">
        <v>845</v>
      </c>
      <c r="H5439" s="201" t="s">
        <v>892</v>
      </c>
    </row>
    <row r="5440" ht="15.75" customHeight="1">
      <c r="A5440" s="201" t="s">
        <v>794</v>
      </c>
      <c r="B5440" s="201" t="s">
        <v>21</v>
      </c>
      <c r="C5440" s="202" t="s">
        <v>741</v>
      </c>
      <c r="D5440" s="201" t="s">
        <v>742</v>
      </c>
      <c r="E5440" s="203">
        <v>5.0</v>
      </c>
      <c r="F5440" s="204">
        <v>46115.625</v>
      </c>
      <c r="G5440" s="201" t="s">
        <v>845</v>
      </c>
      <c r="H5440" s="201" t="s">
        <v>892</v>
      </c>
    </row>
    <row r="5441" ht="15.75" customHeight="1">
      <c r="A5441" s="201" t="s">
        <v>794</v>
      </c>
      <c r="B5441" s="201" t="s">
        <v>21</v>
      </c>
      <c r="C5441" s="202" t="s">
        <v>741</v>
      </c>
      <c r="D5441" s="201" t="s">
        <v>742</v>
      </c>
      <c r="E5441" s="203">
        <v>6.0</v>
      </c>
      <c r="F5441" s="204">
        <v>46128.625</v>
      </c>
      <c r="G5441" s="201" t="s">
        <v>845</v>
      </c>
      <c r="H5441" s="201" t="s">
        <v>892</v>
      </c>
    </row>
    <row r="5442" ht="15.75" customHeight="1">
      <c r="A5442" s="201" t="s">
        <v>794</v>
      </c>
      <c r="B5442" s="201" t="s">
        <v>21</v>
      </c>
      <c r="C5442" s="202" t="s">
        <v>741</v>
      </c>
      <c r="D5442" s="201" t="s">
        <v>742</v>
      </c>
      <c r="E5442" s="203">
        <v>7.0</v>
      </c>
      <c r="F5442" s="204">
        <v>46129.41666666667</v>
      </c>
      <c r="G5442" s="201" t="s">
        <v>845</v>
      </c>
      <c r="H5442" s="201" t="s">
        <v>892</v>
      </c>
    </row>
    <row r="5443" ht="15.75" customHeight="1">
      <c r="A5443" s="201" t="s">
        <v>794</v>
      </c>
      <c r="B5443" s="201" t="s">
        <v>21</v>
      </c>
      <c r="C5443" s="202" t="s">
        <v>741</v>
      </c>
      <c r="D5443" s="201" t="s">
        <v>742</v>
      </c>
      <c r="E5443" s="203">
        <v>8.0</v>
      </c>
      <c r="F5443" s="204">
        <v>46135.625</v>
      </c>
      <c r="G5443" s="201" t="s">
        <v>845</v>
      </c>
      <c r="H5443" s="201" t="s">
        <v>892</v>
      </c>
    </row>
    <row r="5444" ht="15.75" customHeight="1">
      <c r="A5444" s="201" t="s">
        <v>794</v>
      </c>
      <c r="B5444" s="201" t="s">
        <v>21</v>
      </c>
      <c r="C5444" s="202" t="s">
        <v>743</v>
      </c>
      <c r="D5444" s="201" t="s">
        <v>744</v>
      </c>
      <c r="E5444" s="203">
        <v>1.0</v>
      </c>
      <c r="F5444" s="204">
        <v>46085.625</v>
      </c>
      <c r="G5444" s="201" t="s">
        <v>845</v>
      </c>
      <c r="H5444" s="201" t="s">
        <v>892</v>
      </c>
    </row>
    <row r="5445" ht="15.75" customHeight="1">
      <c r="A5445" s="201" t="s">
        <v>794</v>
      </c>
      <c r="B5445" s="201" t="s">
        <v>21</v>
      </c>
      <c r="C5445" s="202" t="s">
        <v>743</v>
      </c>
      <c r="D5445" s="201" t="s">
        <v>744</v>
      </c>
      <c r="E5445" s="203">
        <v>2.0</v>
      </c>
      <c r="F5445" s="204">
        <v>46093.41666666667</v>
      </c>
      <c r="G5445" s="201" t="s">
        <v>845</v>
      </c>
      <c r="H5445" s="201" t="s">
        <v>892</v>
      </c>
    </row>
    <row r="5446" ht="15.75" customHeight="1">
      <c r="A5446" s="201" t="s">
        <v>794</v>
      </c>
      <c r="B5446" s="201" t="s">
        <v>21</v>
      </c>
      <c r="C5446" s="202" t="s">
        <v>743</v>
      </c>
      <c r="D5446" s="201" t="s">
        <v>744</v>
      </c>
      <c r="E5446" s="203">
        <v>3.0</v>
      </c>
      <c r="F5446" s="204">
        <v>46099.58333333333</v>
      </c>
      <c r="G5446" s="201" t="s">
        <v>845</v>
      </c>
      <c r="H5446" s="201" t="s">
        <v>892</v>
      </c>
    </row>
    <row r="5447" ht="15.75" customHeight="1">
      <c r="A5447" s="201" t="s">
        <v>794</v>
      </c>
      <c r="B5447" s="201" t="s">
        <v>21</v>
      </c>
      <c r="C5447" s="202" t="s">
        <v>743</v>
      </c>
      <c r="D5447" s="201" t="s">
        <v>744</v>
      </c>
      <c r="E5447" s="203">
        <v>4.0</v>
      </c>
      <c r="F5447" s="204">
        <v>46107.41666666667</v>
      </c>
      <c r="G5447" s="201" t="s">
        <v>845</v>
      </c>
      <c r="H5447" s="201" t="s">
        <v>892</v>
      </c>
    </row>
    <row r="5448" ht="15.75" customHeight="1">
      <c r="A5448" s="201" t="s">
        <v>794</v>
      </c>
      <c r="B5448" s="201" t="s">
        <v>21</v>
      </c>
      <c r="C5448" s="202" t="s">
        <v>743</v>
      </c>
      <c r="D5448" s="201" t="s">
        <v>744</v>
      </c>
      <c r="E5448" s="203">
        <v>5.0</v>
      </c>
      <c r="F5448" s="204">
        <v>46115.625</v>
      </c>
      <c r="G5448" s="201" t="s">
        <v>845</v>
      </c>
      <c r="H5448" s="201" t="s">
        <v>892</v>
      </c>
    </row>
    <row r="5449" ht="15.75" customHeight="1">
      <c r="A5449" s="201" t="s">
        <v>794</v>
      </c>
      <c r="B5449" s="201" t="s">
        <v>21</v>
      </c>
      <c r="C5449" s="202" t="s">
        <v>743</v>
      </c>
      <c r="D5449" s="201" t="s">
        <v>744</v>
      </c>
      <c r="E5449" s="203">
        <v>6.0</v>
      </c>
      <c r="F5449" s="204">
        <v>46128.625</v>
      </c>
      <c r="G5449" s="201" t="s">
        <v>845</v>
      </c>
      <c r="H5449" s="201" t="s">
        <v>892</v>
      </c>
    </row>
    <row r="5450" ht="15.75" customHeight="1">
      <c r="A5450" s="201" t="s">
        <v>794</v>
      </c>
      <c r="B5450" s="201" t="s">
        <v>21</v>
      </c>
      <c r="C5450" s="202" t="s">
        <v>743</v>
      </c>
      <c r="D5450" s="201" t="s">
        <v>744</v>
      </c>
      <c r="E5450" s="203">
        <v>7.0</v>
      </c>
      <c r="F5450" s="204">
        <v>46129.41666666667</v>
      </c>
      <c r="G5450" s="201" t="s">
        <v>845</v>
      </c>
      <c r="H5450" s="201" t="s">
        <v>892</v>
      </c>
    </row>
    <row r="5451" ht="15.75" customHeight="1">
      <c r="A5451" s="201" t="s">
        <v>794</v>
      </c>
      <c r="B5451" s="201" t="s">
        <v>21</v>
      </c>
      <c r="C5451" s="202" t="s">
        <v>743</v>
      </c>
      <c r="D5451" s="201" t="s">
        <v>744</v>
      </c>
      <c r="E5451" s="203">
        <v>8.0</v>
      </c>
      <c r="F5451" s="204">
        <v>46135.625</v>
      </c>
      <c r="G5451" s="201" t="s">
        <v>845</v>
      </c>
      <c r="H5451" s="201" t="s">
        <v>892</v>
      </c>
    </row>
    <row r="5452" ht="15.75" customHeight="1">
      <c r="A5452" s="201" t="s">
        <v>794</v>
      </c>
      <c r="B5452" s="201" t="s">
        <v>21</v>
      </c>
      <c r="C5452" s="202" t="s">
        <v>490</v>
      </c>
      <c r="D5452" s="201" t="s">
        <v>819</v>
      </c>
      <c r="E5452" s="203">
        <v>4.0</v>
      </c>
      <c r="F5452" s="204">
        <v>46107.41666666667</v>
      </c>
      <c r="G5452" s="201" t="s">
        <v>845</v>
      </c>
      <c r="H5452" s="201" t="s">
        <v>892</v>
      </c>
    </row>
    <row r="5453" ht="15.75" customHeight="1">
      <c r="A5453" s="201" t="s">
        <v>794</v>
      </c>
      <c r="B5453" s="201" t="s">
        <v>21</v>
      </c>
      <c r="C5453" s="202" t="s">
        <v>490</v>
      </c>
      <c r="D5453" s="201" t="s">
        <v>819</v>
      </c>
      <c r="E5453" s="203">
        <v>5.0</v>
      </c>
      <c r="F5453" s="204">
        <v>46115.625</v>
      </c>
      <c r="G5453" s="201" t="s">
        <v>843</v>
      </c>
      <c r="H5453" s="201" t="s">
        <v>892</v>
      </c>
    </row>
    <row r="5454" ht="15.75" customHeight="1">
      <c r="A5454" s="201" t="s">
        <v>794</v>
      </c>
      <c r="B5454" s="201" t="s">
        <v>21</v>
      </c>
      <c r="C5454" s="202" t="s">
        <v>490</v>
      </c>
      <c r="D5454" s="201" t="s">
        <v>819</v>
      </c>
      <c r="E5454" s="203">
        <v>6.0</v>
      </c>
      <c r="F5454" s="204">
        <v>46128.625</v>
      </c>
      <c r="G5454" s="201" t="s">
        <v>845</v>
      </c>
      <c r="H5454" s="201" t="s">
        <v>892</v>
      </c>
    </row>
    <row r="5455" ht="15.75" customHeight="1">
      <c r="A5455" s="201" t="s">
        <v>794</v>
      </c>
      <c r="B5455" s="201" t="s">
        <v>21</v>
      </c>
      <c r="C5455" s="202" t="s">
        <v>490</v>
      </c>
      <c r="D5455" s="201" t="s">
        <v>819</v>
      </c>
      <c r="E5455" s="203">
        <v>7.0</v>
      </c>
      <c r="F5455" s="204">
        <v>46129.41666666667</v>
      </c>
      <c r="G5455" s="201" t="s">
        <v>845</v>
      </c>
      <c r="H5455" s="201" t="s">
        <v>892</v>
      </c>
    </row>
    <row r="5456" ht="15.75" customHeight="1">
      <c r="A5456" s="201" t="s">
        <v>794</v>
      </c>
      <c r="B5456" s="201" t="s">
        <v>21</v>
      </c>
      <c r="C5456" s="202" t="s">
        <v>490</v>
      </c>
      <c r="D5456" s="201" t="s">
        <v>819</v>
      </c>
      <c r="E5456" s="203">
        <v>8.0</v>
      </c>
      <c r="F5456" s="204">
        <v>46135.625</v>
      </c>
      <c r="G5456" s="201" t="s">
        <v>845</v>
      </c>
      <c r="H5456" s="201" t="s">
        <v>892</v>
      </c>
    </row>
    <row r="5457" ht="15.75" customHeight="1">
      <c r="A5457" s="201" t="s">
        <v>800</v>
      </c>
      <c r="B5457" s="201" t="s">
        <v>21</v>
      </c>
      <c r="C5457" s="202" t="s">
        <v>747</v>
      </c>
      <c r="D5457" s="201" t="s">
        <v>748</v>
      </c>
      <c r="E5457" s="203">
        <v>3.0</v>
      </c>
      <c r="F5457" s="204">
        <v>46113.58333333333</v>
      </c>
      <c r="G5457" s="201" t="s">
        <v>845</v>
      </c>
      <c r="H5457" s="201" t="s">
        <v>893</v>
      </c>
    </row>
    <row r="5458" ht="15.75" customHeight="1">
      <c r="A5458" s="201" t="s">
        <v>800</v>
      </c>
      <c r="B5458" s="201" t="s">
        <v>21</v>
      </c>
      <c r="C5458" s="202" t="s">
        <v>747</v>
      </c>
      <c r="D5458" s="201" t="s">
        <v>748</v>
      </c>
      <c r="E5458" s="203">
        <v>4.0</v>
      </c>
      <c r="F5458" s="204">
        <v>46120.41666666667</v>
      </c>
      <c r="G5458" s="201" t="s">
        <v>845</v>
      </c>
      <c r="H5458" s="201" t="s">
        <v>893</v>
      </c>
    </row>
    <row r="5459" ht="15.75" customHeight="1">
      <c r="A5459" s="201" t="s">
        <v>800</v>
      </c>
      <c r="B5459" s="201" t="s">
        <v>21</v>
      </c>
      <c r="C5459" s="202" t="s">
        <v>747</v>
      </c>
      <c r="D5459" s="201" t="s">
        <v>748</v>
      </c>
      <c r="E5459" s="203">
        <v>5.0</v>
      </c>
      <c r="F5459" s="204">
        <v>46127.41666666667</v>
      </c>
      <c r="G5459" s="201" t="s">
        <v>843</v>
      </c>
      <c r="H5459" s="201" t="s">
        <v>893</v>
      </c>
    </row>
    <row r="5460" ht="15.75" customHeight="1">
      <c r="A5460" s="201" t="s">
        <v>800</v>
      </c>
      <c r="B5460" s="201" t="s">
        <v>21</v>
      </c>
      <c r="C5460" s="202" t="s">
        <v>747</v>
      </c>
      <c r="D5460" s="201" t="s">
        <v>748</v>
      </c>
      <c r="E5460" s="203">
        <v>6.0</v>
      </c>
      <c r="F5460" s="204">
        <v>46134.41666666667</v>
      </c>
      <c r="G5460" s="201" t="s">
        <v>845</v>
      </c>
      <c r="H5460" s="201" t="s">
        <v>893</v>
      </c>
    </row>
    <row r="5461" ht="15.75" customHeight="1">
      <c r="A5461" s="201" t="s">
        <v>800</v>
      </c>
      <c r="B5461" s="201" t="s">
        <v>21</v>
      </c>
      <c r="C5461" s="202" t="s">
        <v>749</v>
      </c>
      <c r="D5461" s="201" t="s">
        <v>750</v>
      </c>
      <c r="E5461" s="203">
        <v>3.0</v>
      </c>
      <c r="F5461" s="204">
        <v>46113.58333333333</v>
      </c>
      <c r="G5461" s="201" t="s">
        <v>845</v>
      </c>
      <c r="H5461" s="201" t="s">
        <v>893</v>
      </c>
    </row>
    <row r="5462" ht="15.75" customHeight="1">
      <c r="A5462" s="201" t="s">
        <v>800</v>
      </c>
      <c r="B5462" s="201" t="s">
        <v>21</v>
      </c>
      <c r="C5462" s="202" t="s">
        <v>749</v>
      </c>
      <c r="D5462" s="201" t="s">
        <v>750</v>
      </c>
      <c r="E5462" s="203">
        <v>4.0</v>
      </c>
      <c r="F5462" s="204">
        <v>46120.41666666667</v>
      </c>
      <c r="G5462" s="201" t="s">
        <v>845</v>
      </c>
      <c r="H5462" s="201" t="s">
        <v>893</v>
      </c>
    </row>
    <row r="5463" ht="15.75" customHeight="1">
      <c r="A5463" s="201" t="s">
        <v>800</v>
      </c>
      <c r="B5463" s="201" t="s">
        <v>21</v>
      </c>
      <c r="C5463" s="202" t="s">
        <v>749</v>
      </c>
      <c r="D5463" s="201" t="s">
        <v>750</v>
      </c>
      <c r="E5463" s="203">
        <v>5.0</v>
      </c>
      <c r="F5463" s="204">
        <v>46127.41666666667</v>
      </c>
      <c r="G5463" s="201" t="s">
        <v>845</v>
      </c>
      <c r="H5463" s="201" t="s">
        <v>893</v>
      </c>
    </row>
    <row r="5464" ht="15.75" customHeight="1">
      <c r="A5464" s="201" t="s">
        <v>800</v>
      </c>
      <c r="B5464" s="201" t="s">
        <v>21</v>
      </c>
      <c r="C5464" s="202" t="s">
        <v>749</v>
      </c>
      <c r="D5464" s="201" t="s">
        <v>750</v>
      </c>
      <c r="E5464" s="203">
        <v>6.0</v>
      </c>
      <c r="F5464" s="204">
        <v>46134.41666666667</v>
      </c>
      <c r="G5464" s="201" t="s">
        <v>845</v>
      </c>
      <c r="H5464" s="201" t="s">
        <v>893</v>
      </c>
    </row>
    <row r="5465" ht="15.75" customHeight="1">
      <c r="A5465" s="201" t="s">
        <v>800</v>
      </c>
      <c r="B5465" s="201" t="s">
        <v>21</v>
      </c>
      <c r="C5465" s="202" t="s">
        <v>745</v>
      </c>
      <c r="D5465" s="201" t="s">
        <v>746</v>
      </c>
      <c r="E5465" s="203">
        <v>3.0</v>
      </c>
      <c r="F5465" s="204">
        <v>46113.58333333333</v>
      </c>
      <c r="G5465" s="201" t="s">
        <v>845</v>
      </c>
      <c r="H5465" s="201" t="s">
        <v>893</v>
      </c>
    </row>
    <row r="5466" ht="15.75" customHeight="1">
      <c r="A5466" s="201" t="s">
        <v>800</v>
      </c>
      <c r="B5466" s="201" t="s">
        <v>21</v>
      </c>
      <c r="C5466" s="202" t="s">
        <v>745</v>
      </c>
      <c r="D5466" s="201" t="s">
        <v>746</v>
      </c>
      <c r="E5466" s="203">
        <v>4.0</v>
      </c>
      <c r="F5466" s="204">
        <v>46120.41666666667</v>
      </c>
      <c r="G5466" s="201" t="s">
        <v>845</v>
      </c>
      <c r="H5466" s="201" t="s">
        <v>893</v>
      </c>
    </row>
    <row r="5467" ht="15.75" customHeight="1">
      <c r="A5467" s="201" t="s">
        <v>800</v>
      </c>
      <c r="B5467" s="201" t="s">
        <v>21</v>
      </c>
      <c r="C5467" s="202" t="s">
        <v>745</v>
      </c>
      <c r="D5467" s="201" t="s">
        <v>746</v>
      </c>
      <c r="E5467" s="203">
        <v>5.0</v>
      </c>
      <c r="F5467" s="204">
        <v>46127.41666666667</v>
      </c>
      <c r="G5467" s="201" t="s">
        <v>845</v>
      </c>
      <c r="H5467" s="201" t="s">
        <v>893</v>
      </c>
    </row>
    <row r="5468" ht="15.75" customHeight="1">
      <c r="A5468" s="201" t="s">
        <v>800</v>
      </c>
      <c r="B5468" s="201" t="s">
        <v>21</v>
      </c>
      <c r="C5468" s="202" t="s">
        <v>745</v>
      </c>
      <c r="D5468" s="201" t="s">
        <v>746</v>
      </c>
      <c r="E5468" s="203">
        <v>6.0</v>
      </c>
      <c r="F5468" s="204">
        <v>46134.41666666667</v>
      </c>
      <c r="G5468" s="201" t="s">
        <v>845</v>
      </c>
      <c r="H5468" s="201" t="s">
        <v>893</v>
      </c>
    </row>
    <row r="5469" ht="15.75" customHeight="1">
      <c r="A5469" s="201" t="s">
        <v>800</v>
      </c>
      <c r="B5469" s="201" t="s">
        <v>21</v>
      </c>
      <c r="C5469" s="202" t="s">
        <v>751</v>
      </c>
      <c r="D5469" s="201" t="s">
        <v>752</v>
      </c>
      <c r="E5469" s="203">
        <v>3.0</v>
      </c>
      <c r="F5469" s="204">
        <v>46113.58333333333</v>
      </c>
      <c r="G5469" s="201" t="s">
        <v>843</v>
      </c>
      <c r="H5469" s="201" t="s">
        <v>893</v>
      </c>
    </row>
    <row r="5470" ht="15.75" customHeight="1">
      <c r="A5470" s="201" t="s">
        <v>800</v>
      </c>
      <c r="B5470" s="201" t="s">
        <v>21</v>
      </c>
      <c r="C5470" s="202" t="s">
        <v>751</v>
      </c>
      <c r="D5470" s="201" t="s">
        <v>752</v>
      </c>
      <c r="E5470" s="203">
        <v>4.0</v>
      </c>
      <c r="F5470" s="204">
        <v>46120.41666666667</v>
      </c>
      <c r="G5470" s="201" t="s">
        <v>845</v>
      </c>
      <c r="H5470" s="201" t="s">
        <v>893</v>
      </c>
    </row>
    <row r="5471" ht="15.75" customHeight="1">
      <c r="A5471" s="201" t="s">
        <v>800</v>
      </c>
      <c r="B5471" s="201" t="s">
        <v>21</v>
      </c>
      <c r="C5471" s="202" t="s">
        <v>751</v>
      </c>
      <c r="D5471" s="201" t="s">
        <v>752</v>
      </c>
      <c r="E5471" s="203">
        <v>5.0</v>
      </c>
      <c r="F5471" s="204">
        <v>46127.41666666667</v>
      </c>
      <c r="G5471" s="201" t="s">
        <v>845</v>
      </c>
      <c r="H5471" s="201" t="s">
        <v>893</v>
      </c>
    </row>
    <row r="5472" ht="15.75" customHeight="1">
      <c r="A5472" s="201" t="s">
        <v>800</v>
      </c>
      <c r="B5472" s="201" t="s">
        <v>21</v>
      </c>
      <c r="C5472" s="202" t="s">
        <v>751</v>
      </c>
      <c r="D5472" s="201" t="s">
        <v>752</v>
      </c>
      <c r="E5472" s="203">
        <v>6.0</v>
      </c>
      <c r="F5472" s="204">
        <v>46134.41666666667</v>
      </c>
      <c r="G5472" s="201" t="s">
        <v>845</v>
      </c>
      <c r="H5472" s="201" t="s">
        <v>893</v>
      </c>
    </row>
    <row r="5473" ht="15.75" customHeight="1">
      <c r="A5473" s="201" t="s">
        <v>800</v>
      </c>
      <c r="B5473" s="201" t="s">
        <v>21</v>
      </c>
      <c r="C5473" s="202" t="s">
        <v>753</v>
      </c>
      <c r="D5473" s="201" t="s">
        <v>754</v>
      </c>
      <c r="E5473" s="203">
        <v>3.0</v>
      </c>
      <c r="F5473" s="204">
        <v>46113.58333333333</v>
      </c>
      <c r="G5473" s="201" t="s">
        <v>845</v>
      </c>
      <c r="H5473" s="201" t="s">
        <v>893</v>
      </c>
    </row>
    <row r="5474" ht="15.75" customHeight="1">
      <c r="A5474" s="201" t="s">
        <v>800</v>
      </c>
      <c r="B5474" s="201" t="s">
        <v>21</v>
      </c>
      <c r="C5474" s="202" t="s">
        <v>753</v>
      </c>
      <c r="D5474" s="201" t="s">
        <v>754</v>
      </c>
      <c r="E5474" s="203">
        <v>4.0</v>
      </c>
      <c r="F5474" s="204">
        <v>46120.41666666667</v>
      </c>
      <c r="G5474" s="201" t="s">
        <v>845</v>
      </c>
      <c r="H5474" s="201" t="s">
        <v>893</v>
      </c>
    </row>
    <row r="5475" ht="15.75" customHeight="1">
      <c r="A5475" s="201" t="s">
        <v>800</v>
      </c>
      <c r="B5475" s="201" t="s">
        <v>21</v>
      </c>
      <c r="C5475" s="202" t="s">
        <v>753</v>
      </c>
      <c r="D5475" s="201" t="s">
        <v>754</v>
      </c>
      <c r="E5475" s="203">
        <v>5.0</v>
      </c>
      <c r="F5475" s="204">
        <v>46127.41666666667</v>
      </c>
      <c r="G5475" s="201" t="s">
        <v>845</v>
      </c>
      <c r="H5475" s="201" t="s">
        <v>893</v>
      </c>
    </row>
    <row r="5476" ht="15.75" customHeight="1">
      <c r="A5476" s="201" t="s">
        <v>800</v>
      </c>
      <c r="B5476" s="201" t="s">
        <v>21</v>
      </c>
      <c r="C5476" s="202" t="s">
        <v>753</v>
      </c>
      <c r="D5476" s="201" t="s">
        <v>754</v>
      </c>
      <c r="E5476" s="203">
        <v>6.0</v>
      </c>
      <c r="F5476" s="204">
        <v>46134.41666666667</v>
      </c>
      <c r="G5476" s="201" t="s">
        <v>845</v>
      </c>
      <c r="H5476" s="201" t="s">
        <v>893</v>
      </c>
    </row>
    <row r="5477" ht="15.75" customHeight="1">
      <c r="A5477" s="201" t="s">
        <v>800</v>
      </c>
      <c r="B5477" s="201" t="s">
        <v>21</v>
      </c>
      <c r="C5477" s="202" t="s">
        <v>755</v>
      </c>
      <c r="D5477" s="201" t="s">
        <v>756</v>
      </c>
      <c r="E5477" s="203">
        <v>3.0</v>
      </c>
      <c r="F5477" s="204">
        <v>46113.58333333333</v>
      </c>
      <c r="G5477" s="201" t="s">
        <v>845</v>
      </c>
      <c r="H5477" s="201" t="s">
        <v>893</v>
      </c>
    </row>
    <row r="5478" ht="15.75" customHeight="1">
      <c r="A5478" s="201" t="s">
        <v>800</v>
      </c>
      <c r="B5478" s="201" t="s">
        <v>21</v>
      </c>
      <c r="C5478" s="202" t="s">
        <v>755</v>
      </c>
      <c r="D5478" s="201" t="s">
        <v>756</v>
      </c>
      <c r="E5478" s="203">
        <v>4.0</v>
      </c>
      <c r="F5478" s="204">
        <v>46120.41666666667</v>
      </c>
      <c r="G5478" s="201" t="s">
        <v>845</v>
      </c>
      <c r="H5478" s="201" t="s">
        <v>893</v>
      </c>
    </row>
    <row r="5479" ht="15.75" customHeight="1">
      <c r="A5479" s="201" t="s">
        <v>800</v>
      </c>
      <c r="B5479" s="201" t="s">
        <v>21</v>
      </c>
      <c r="C5479" s="202" t="s">
        <v>755</v>
      </c>
      <c r="D5479" s="201" t="s">
        <v>756</v>
      </c>
      <c r="E5479" s="203">
        <v>5.0</v>
      </c>
      <c r="F5479" s="204">
        <v>46127.41666666667</v>
      </c>
      <c r="G5479" s="201" t="s">
        <v>845</v>
      </c>
      <c r="H5479" s="201" t="s">
        <v>893</v>
      </c>
    </row>
    <row r="5480" ht="15.75" customHeight="1">
      <c r="A5480" s="201" t="s">
        <v>800</v>
      </c>
      <c r="B5480" s="201" t="s">
        <v>21</v>
      </c>
      <c r="C5480" s="202" t="s">
        <v>755</v>
      </c>
      <c r="D5480" s="201" t="s">
        <v>756</v>
      </c>
      <c r="E5480" s="203">
        <v>6.0</v>
      </c>
      <c r="F5480" s="204">
        <v>46134.41666666667</v>
      </c>
      <c r="G5480" s="201" t="s">
        <v>845</v>
      </c>
      <c r="H5480" s="201" t="s">
        <v>893</v>
      </c>
    </row>
    <row r="5481" ht="15.75" customHeight="1">
      <c r="A5481" s="201" t="s">
        <v>800</v>
      </c>
      <c r="B5481" s="201" t="s">
        <v>21</v>
      </c>
      <c r="C5481" s="202" t="s">
        <v>478</v>
      </c>
      <c r="D5481" s="201" t="s">
        <v>816</v>
      </c>
      <c r="E5481" s="203">
        <v>3.0</v>
      </c>
      <c r="F5481" s="204">
        <v>46113.58333333333</v>
      </c>
      <c r="G5481" s="201" t="s">
        <v>845</v>
      </c>
      <c r="H5481" s="201" t="s">
        <v>893</v>
      </c>
    </row>
    <row r="5482" ht="15.75" customHeight="1">
      <c r="A5482" s="201" t="s">
        <v>800</v>
      </c>
      <c r="B5482" s="201" t="s">
        <v>21</v>
      </c>
      <c r="C5482" s="202" t="s">
        <v>478</v>
      </c>
      <c r="D5482" s="201" t="s">
        <v>816</v>
      </c>
      <c r="E5482" s="203">
        <v>4.0</v>
      </c>
      <c r="F5482" s="204">
        <v>46120.41666666667</v>
      </c>
      <c r="G5482" s="201" t="s">
        <v>845</v>
      </c>
      <c r="H5482" s="201" t="s">
        <v>893</v>
      </c>
    </row>
    <row r="5483" ht="15.75" customHeight="1">
      <c r="A5483" s="201" t="s">
        <v>800</v>
      </c>
      <c r="B5483" s="201" t="s">
        <v>21</v>
      </c>
      <c r="C5483" s="202" t="s">
        <v>478</v>
      </c>
      <c r="D5483" s="201" t="s">
        <v>816</v>
      </c>
      <c r="E5483" s="203">
        <v>5.0</v>
      </c>
      <c r="F5483" s="204">
        <v>46127.41666666667</v>
      </c>
      <c r="G5483" s="201" t="s">
        <v>843</v>
      </c>
      <c r="H5483" s="201" t="s">
        <v>893</v>
      </c>
    </row>
    <row r="5484" ht="15.75" customHeight="1">
      <c r="A5484" s="201" t="s">
        <v>800</v>
      </c>
      <c r="B5484" s="201" t="s">
        <v>21</v>
      </c>
      <c r="C5484" s="202" t="s">
        <v>478</v>
      </c>
      <c r="D5484" s="201" t="s">
        <v>816</v>
      </c>
      <c r="E5484" s="203">
        <v>6.0</v>
      </c>
      <c r="F5484" s="204">
        <v>46134.41666666667</v>
      </c>
      <c r="G5484" s="201" t="s">
        <v>845</v>
      </c>
      <c r="H5484" s="201" t="s">
        <v>893</v>
      </c>
    </row>
    <row r="5485" ht="15.75" customHeight="1">
      <c r="A5485" s="161"/>
      <c r="B5485" s="161"/>
      <c r="C5485" s="205"/>
      <c r="D5485" s="161"/>
      <c r="E5485" s="161"/>
      <c r="F5485" s="161"/>
      <c r="G5485" s="161"/>
      <c r="H5485" s="161"/>
    </row>
    <row r="5486" ht="15.75" customHeight="1">
      <c r="A5486" s="161"/>
      <c r="B5486" s="161"/>
      <c r="C5486" s="205"/>
      <c r="D5486" s="161"/>
      <c r="E5486" s="161"/>
      <c r="F5486" s="161"/>
      <c r="G5486" s="161"/>
      <c r="H5486" s="161"/>
    </row>
    <row r="5487" ht="15.75" customHeight="1">
      <c r="A5487" s="161"/>
      <c r="B5487" s="161"/>
      <c r="C5487" s="205"/>
      <c r="D5487" s="161"/>
      <c r="E5487" s="161"/>
      <c r="F5487" s="161"/>
      <c r="G5487" s="161"/>
      <c r="H5487" s="161"/>
    </row>
    <row r="5488" ht="15.75" customHeight="1">
      <c r="A5488" s="161"/>
      <c r="B5488" s="161"/>
      <c r="C5488" s="205"/>
      <c r="D5488" s="161"/>
      <c r="E5488" s="161"/>
      <c r="F5488" s="161"/>
      <c r="G5488" s="161"/>
      <c r="H5488" s="161"/>
    </row>
    <row r="5489" ht="15.75" customHeight="1">
      <c r="A5489" s="161"/>
      <c r="B5489" s="161"/>
      <c r="C5489" s="205"/>
      <c r="D5489" s="161"/>
      <c r="E5489" s="161"/>
      <c r="F5489" s="161"/>
      <c r="G5489" s="161"/>
      <c r="H5489" s="161"/>
    </row>
    <row r="5490" ht="15.75" customHeight="1">
      <c r="A5490" s="161"/>
      <c r="B5490" s="161"/>
      <c r="C5490" s="205"/>
      <c r="D5490" s="161"/>
      <c r="E5490" s="161"/>
      <c r="F5490" s="161"/>
      <c r="G5490" s="161"/>
      <c r="H5490" s="161"/>
    </row>
    <row r="5491" ht="15.75" customHeight="1">
      <c r="A5491" s="161"/>
      <c r="B5491" s="161"/>
      <c r="C5491" s="205"/>
      <c r="D5491" s="161"/>
      <c r="E5491" s="161"/>
      <c r="F5491" s="161"/>
      <c r="G5491" s="161"/>
      <c r="H5491" s="161"/>
    </row>
    <row r="5492" ht="15.75" customHeight="1">
      <c r="A5492" s="161"/>
      <c r="B5492" s="161"/>
      <c r="C5492" s="205"/>
      <c r="D5492" s="161"/>
      <c r="E5492" s="161"/>
      <c r="F5492" s="161"/>
      <c r="G5492" s="161"/>
      <c r="H5492" s="161"/>
    </row>
    <row r="5493" ht="15.75" customHeight="1">
      <c r="A5493" s="161"/>
      <c r="B5493" s="161"/>
      <c r="C5493" s="205"/>
      <c r="D5493" s="161"/>
      <c r="E5493" s="161"/>
      <c r="F5493" s="161"/>
      <c r="G5493" s="161"/>
      <c r="H5493" s="161"/>
    </row>
    <row r="5494" ht="15.75" customHeight="1">
      <c r="A5494" s="161"/>
      <c r="B5494" s="161"/>
      <c r="C5494" s="205"/>
      <c r="D5494" s="161"/>
      <c r="E5494" s="161"/>
      <c r="F5494" s="161"/>
      <c r="G5494" s="161"/>
      <c r="H5494" s="161"/>
    </row>
    <row r="5495" ht="15.75" customHeight="1">
      <c r="A5495" s="161"/>
      <c r="B5495" s="161"/>
      <c r="C5495" s="205"/>
      <c r="D5495" s="161"/>
      <c r="E5495" s="161"/>
      <c r="F5495" s="161"/>
      <c r="G5495" s="161"/>
      <c r="H5495" s="161"/>
    </row>
    <row r="5496" ht="15.75" customHeight="1">
      <c r="A5496" s="161"/>
      <c r="B5496" s="161"/>
      <c r="C5496" s="205"/>
      <c r="D5496" s="161"/>
      <c r="E5496" s="161"/>
      <c r="F5496" s="161"/>
      <c r="G5496" s="161"/>
      <c r="H5496" s="161"/>
    </row>
    <row r="5497" ht="15.75" customHeight="1">
      <c r="A5497" s="161"/>
      <c r="B5497" s="161"/>
      <c r="C5497" s="205"/>
      <c r="D5497" s="161"/>
      <c r="E5497" s="161"/>
      <c r="F5497" s="161"/>
      <c r="G5497" s="161"/>
      <c r="H5497" s="161"/>
    </row>
    <row r="5498" ht="15.75" customHeight="1">
      <c r="A5498" s="161"/>
      <c r="B5498" s="161"/>
      <c r="C5498" s="205"/>
      <c r="D5498" s="161"/>
      <c r="E5498" s="161"/>
      <c r="F5498" s="161"/>
      <c r="G5498" s="161"/>
      <c r="H5498" s="161"/>
    </row>
    <row r="5499" ht="15.75" customHeight="1">
      <c r="A5499" s="161"/>
      <c r="B5499" s="161"/>
      <c r="C5499" s="205"/>
      <c r="D5499" s="161"/>
      <c r="E5499" s="161"/>
      <c r="F5499" s="161"/>
      <c r="G5499" s="161"/>
      <c r="H5499" s="161"/>
    </row>
    <row r="5500" ht="15.75" customHeight="1">
      <c r="A5500" s="161"/>
      <c r="B5500" s="161"/>
      <c r="C5500" s="205"/>
      <c r="D5500" s="161"/>
      <c r="E5500" s="161"/>
      <c r="F5500" s="161"/>
      <c r="G5500" s="161"/>
      <c r="H5500" s="161"/>
    </row>
    <row r="5501" ht="15.75" customHeight="1">
      <c r="A5501" s="161"/>
      <c r="B5501" s="161"/>
      <c r="C5501" s="205"/>
      <c r="D5501" s="161"/>
      <c r="E5501" s="161"/>
      <c r="F5501" s="161"/>
      <c r="G5501" s="161"/>
      <c r="H5501" s="161"/>
    </row>
    <row r="5502" ht="15.75" customHeight="1">
      <c r="A5502" s="161"/>
      <c r="B5502" s="161"/>
      <c r="C5502" s="205"/>
      <c r="D5502" s="161"/>
      <c r="E5502" s="161"/>
      <c r="F5502" s="161"/>
      <c r="G5502" s="161"/>
      <c r="H5502" s="161"/>
    </row>
    <row r="5503" ht="15.75" customHeight="1">
      <c r="A5503" s="161"/>
      <c r="B5503" s="161"/>
      <c r="C5503" s="205"/>
      <c r="D5503" s="161"/>
      <c r="E5503" s="161"/>
      <c r="F5503" s="161"/>
      <c r="G5503" s="161"/>
      <c r="H5503" s="161"/>
    </row>
    <row r="5504" ht="15.75" customHeight="1">
      <c r="A5504" s="161"/>
      <c r="B5504" s="161"/>
      <c r="C5504" s="205"/>
      <c r="D5504" s="161"/>
      <c r="E5504" s="161"/>
      <c r="F5504" s="161"/>
      <c r="G5504" s="161"/>
      <c r="H5504" s="161"/>
    </row>
    <row r="5505" ht="15.75" customHeight="1">
      <c r="A5505" s="161"/>
      <c r="B5505" s="161"/>
      <c r="C5505" s="205"/>
      <c r="D5505" s="161"/>
      <c r="E5505" s="161"/>
      <c r="F5505" s="161"/>
      <c r="G5505" s="161"/>
      <c r="H5505" s="161"/>
    </row>
    <row r="5506" ht="15.75" customHeight="1">
      <c r="A5506" s="161"/>
      <c r="B5506" s="161"/>
      <c r="C5506" s="205"/>
      <c r="D5506" s="161"/>
      <c r="E5506" s="161"/>
      <c r="F5506" s="161"/>
      <c r="G5506" s="161"/>
      <c r="H5506" s="161"/>
    </row>
    <row r="5507" ht="15.75" customHeight="1">
      <c r="A5507" s="161"/>
      <c r="B5507" s="161"/>
      <c r="C5507" s="205"/>
      <c r="D5507" s="161"/>
      <c r="E5507" s="161"/>
      <c r="F5507" s="161"/>
      <c r="G5507" s="161"/>
      <c r="H5507" s="161"/>
    </row>
    <row r="5508" ht="15.75" customHeight="1">
      <c r="A5508" s="161"/>
      <c r="B5508" s="161"/>
      <c r="C5508" s="205"/>
      <c r="D5508" s="161"/>
      <c r="E5508" s="161"/>
      <c r="F5508" s="161"/>
      <c r="G5508" s="161"/>
      <c r="H5508" s="161"/>
    </row>
    <row r="5509" ht="15.75" customHeight="1">
      <c r="A5509" s="161"/>
      <c r="B5509" s="161"/>
      <c r="C5509" s="205"/>
      <c r="D5509" s="161"/>
      <c r="E5509" s="161"/>
      <c r="F5509" s="161"/>
      <c r="G5509" s="161"/>
      <c r="H5509" s="161"/>
    </row>
    <row r="5510" ht="15.75" customHeight="1">
      <c r="A5510" s="161"/>
      <c r="B5510" s="161"/>
      <c r="C5510" s="205"/>
      <c r="D5510" s="161"/>
      <c r="E5510" s="161"/>
      <c r="F5510" s="161"/>
      <c r="G5510" s="161"/>
      <c r="H5510" s="161"/>
    </row>
    <row r="5511" ht="15.75" customHeight="1">
      <c r="A5511" s="161"/>
      <c r="B5511" s="161"/>
      <c r="C5511" s="205"/>
      <c r="D5511" s="161"/>
      <c r="E5511" s="161"/>
      <c r="F5511" s="161"/>
      <c r="G5511" s="161"/>
      <c r="H5511" s="161"/>
    </row>
    <row r="5512" ht="15.75" customHeight="1">
      <c r="A5512" s="161"/>
      <c r="B5512" s="161"/>
      <c r="C5512" s="205"/>
      <c r="D5512" s="161"/>
      <c r="E5512" s="161"/>
      <c r="F5512" s="161"/>
      <c r="G5512" s="161"/>
      <c r="H5512" s="161"/>
    </row>
    <row r="5513" ht="15.75" customHeight="1">
      <c r="A5513" s="161"/>
      <c r="B5513" s="161"/>
      <c r="C5513" s="205"/>
      <c r="D5513" s="161"/>
      <c r="E5513" s="161"/>
      <c r="F5513" s="161"/>
      <c r="G5513" s="161"/>
      <c r="H5513" s="161"/>
    </row>
    <row r="5514" ht="15.75" customHeight="1">
      <c r="A5514" s="161"/>
      <c r="B5514" s="161"/>
      <c r="C5514" s="205"/>
      <c r="D5514" s="161"/>
      <c r="E5514" s="161"/>
      <c r="F5514" s="161"/>
      <c r="G5514" s="161"/>
      <c r="H5514" s="161"/>
    </row>
    <row r="5515" ht="15.75" customHeight="1">
      <c r="A5515" s="161"/>
      <c r="B5515" s="161"/>
      <c r="C5515" s="205"/>
      <c r="D5515" s="161"/>
      <c r="E5515" s="161"/>
      <c r="F5515" s="161"/>
      <c r="G5515" s="161"/>
      <c r="H5515" s="161"/>
    </row>
    <row r="5516" ht="15.75" customHeight="1">
      <c r="A5516" s="161"/>
      <c r="B5516" s="161"/>
      <c r="C5516" s="205"/>
      <c r="D5516" s="161"/>
      <c r="E5516" s="161"/>
      <c r="F5516" s="161"/>
      <c r="G5516" s="161"/>
      <c r="H5516" s="161"/>
    </row>
    <row r="5517" ht="15.75" customHeight="1">
      <c r="A5517" s="161"/>
      <c r="B5517" s="161"/>
      <c r="C5517" s="205"/>
      <c r="D5517" s="161"/>
      <c r="E5517" s="161"/>
      <c r="F5517" s="161"/>
      <c r="G5517" s="161"/>
      <c r="H5517" s="161"/>
    </row>
    <row r="5518" ht="15.75" customHeight="1">
      <c r="A5518" s="161"/>
      <c r="B5518" s="161"/>
      <c r="C5518" s="205"/>
      <c r="D5518" s="161"/>
      <c r="E5518" s="161"/>
      <c r="F5518" s="161"/>
      <c r="G5518" s="161"/>
      <c r="H5518" s="161"/>
    </row>
    <row r="5519" ht="15.75" customHeight="1">
      <c r="A5519" s="161"/>
      <c r="B5519" s="161"/>
      <c r="C5519" s="205"/>
      <c r="D5519" s="161"/>
      <c r="E5519" s="161"/>
      <c r="F5519" s="161"/>
      <c r="G5519" s="161"/>
      <c r="H5519" s="161"/>
    </row>
    <row r="5520" ht="15.75" customHeight="1">
      <c r="A5520" s="161"/>
      <c r="B5520" s="161"/>
      <c r="C5520" s="205"/>
      <c r="D5520" s="161"/>
      <c r="E5520" s="161"/>
      <c r="F5520" s="161"/>
      <c r="G5520" s="161"/>
      <c r="H5520" s="161"/>
    </row>
    <row r="5521" ht="15.75" customHeight="1">
      <c r="A5521" s="161"/>
      <c r="B5521" s="161"/>
      <c r="C5521" s="205"/>
      <c r="D5521" s="161"/>
      <c r="E5521" s="161"/>
      <c r="F5521" s="161"/>
      <c r="G5521" s="161"/>
      <c r="H5521" s="161"/>
    </row>
    <row r="5522" ht="15.75" customHeight="1">
      <c r="A5522" s="161"/>
      <c r="B5522" s="161"/>
      <c r="C5522" s="205"/>
      <c r="D5522" s="161"/>
      <c r="E5522" s="161"/>
      <c r="F5522" s="161"/>
      <c r="G5522" s="161"/>
      <c r="H5522" s="161"/>
    </row>
    <row r="5523" ht="15.75" customHeight="1">
      <c r="A5523" s="161"/>
      <c r="B5523" s="161"/>
      <c r="C5523" s="205"/>
      <c r="D5523" s="161"/>
      <c r="E5523" s="161"/>
      <c r="F5523" s="161"/>
      <c r="G5523" s="161"/>
      <c r="H5523" s="161"/>
    </row>
    <row r="5524" ht="15.75" customHeight="1">
      <c r="A5524" s="161"/>
      <c r="B5524" s="161"/>
      <c r="C5524" s="205"/>
      <c r="D5524" s="161"/>
      <c r="E5524" s="161"/>
      <c r="F5524" s="161"/>
      <c r="G5524" s="161"/>
      <c r="H5524" s="161"/>
    </row>
    <row r="5525" ht="15.75" customHeight="1">
      <c r="A5525" s="161"/>
      <c r="B5525" s="161"/>
      <c r="C5525" s="205"/>
      <c r="D5525" s="161"/>
      <c r="E5525" s="161"/>
      <c r="F5525" s="161"/>
      <c r="G5525" s="161"/>
      <c r="H5525" s="161"/>
    </row>
    <row r="5526" ht="15.75" customHeight="1">
      <c r="A5526" s="161"/>
      <c r="B5526" s="161"/>
      <c r="C5526" s="205"/>
      <c r="D5526" s="161"/>
      <c r="E5526" s="161"/>
      <c r="F5526" s="161"/>
      <c r="G5526" s="161"/>
      <c r="H5526" s="161"/>
    </row>
    <row r="5527" ht="15.75" customHeight="1">
      <c r="A5527" s="161"/>
      <c r="B5527" s="161"/>
      <c r="C5527" s="205"/>
      <c r="D5527" s="161"/>
      <c r="E5527" s="161"/>
      <c r="F5527" s="161"/>
      <c r="G5527" s="161"/>
      <c r="H5527" s="161"/>
    </row>
    <row r="5528" ht="15.75" customHeight="1">
      <c r="A5528" s="161"/>
      <c r="B5528" s="161"/>
      <c r="C5528" s="205"/>
      <c r="D5528" s="161"/>
      <c r="E5528" s="161"/>
      <c r="F5528" s="161"/>
      <c r="G5528" s="161"/>
      <c r="H5528" s="161"/>
    </row>
    <row r="5529" ht="15.75" customHeight="1">
      <c r="A5529" s="161"/>
      <c r="B5529" s="161"/>
      <c r="C5529" s="205"/>
      <c r="D5529" s="161"/>
      <c r="E5529" s="161"/>
      <c r="F5529" s="161"/>
      <c r="G5529" s="161"/>
      <c r="H5529" s="161"/>
    </row>
    <row r="5530" ht="15.75" customHeight="1">
      <c r="A5530" s="161"/>
      <c r="B5530" s="161"/>
      <c r="C5530" s="205"/>
      <c r="D5530" s="161"/>
      <c r="E5530" s="161"/>
      <c r="F5530" s="161"/>
      <c r="G5530" s="161"/>
      <c r="H5530" s="161"/>
    </row>
    <row r="5531" ht="15.75" customHeight="1">
      <c r="A5531" s="161"/>
      <c r="B5531" s="161"/>
      <c r="C5531" s="205"/>
      <c r="D5531" s="161"/>
      <c r="E5531" s="161"/>
      <c r="F5531" s="161"/>
      <c r="G5531" s="161"/>
      <c r="H5531" s="161"/>
    </row>
    <row r="5532" ht="15.75" customHeight="1">
      <c r="A5532" s="161"/>
      <c r="B5532" s="161"/>
      <c r="C5532" s="205"/>
      <c r="D5532" s="161"/>
      <c r="E5532" s="161"/>
      <c r="F5532" s="161"/>
      <c r="G5532" s="161"/>
      <c r="H5532" s="161"/>
    </row>
    <row r="5533" ht="15.75" customHeight="1">
      <c r="A5533" s="161"/>
      <c r="B5533" s="161"/>
      <c r="C5533" s="205"/>
      <c r="D5533" s="161"/>
      <c r="E5533" s="161"/>
      <c r="F5533" s="161"/>
      <c r="G5533" s="161"/>
      <c r="H5533" s="161"/>
    </row>
    <row r="5534" ht="15.75" customHeight="1">
      <c r="A5534" s="161"/>
      <c r="B5534" s="161"/>
      <c r="C5534" s="205"/>
      <c r="D5534" s="161"/>
      <c r="E5534" s="161"/>
      <c r="F5534" s="161"/>
      <c r="G5534" s="161"/>
      <c r="H5534" s="161"/>
    </row>
    <row r="5535" ht="15.75" customHeight="1">
      <c r="A5535" s="161"/>
      <c r="B5535" s="161"/>
      <c r="C5535" s="205"/>
      <c r="D5535" s="161"/>
      <c r="E5535" s="161"/>
      <c r="F5535" s="161"/>
      <c r="G5535" s="161"/>
      <c r="H5535" s="161"/>
    </row>
    <row r="5536" ht="15.75" customHeight="1">
      <c r="A5536" s="161"/>
      <c r="B5536" s="161"/>
      <c r="C5536" s="205"/>
      <c r="D5536" s="161"/>
      <c r="E5536" s="161"/>
      <c r="F5536" s="161"/>
      <c r="G5536" s="161"/>
      <c r="H5536" s="161"/>
    </row>
    <row r="5537" ht="15.75" customHeight="1">
      <c r="A5537" s="161"/>
      <c r="B5537" s="161"/>
      <c r="C5537" s="205"/>
      <c r="D5537" s="161"/>
      <c r="E5537" s="161"/>
      <c r="F5537" s="161"/>
      <c r="G5537" s="161"/>
      <c r="H5537" s="161"/>
    </row>
    <row r="5538" ht="15.75" customHeight="1">
      <c r="A5538" s="161"/>
      <c r="B5538" s="161"/>
      <c r="C5538" s="205"/>
      <c r="D5538" s="161"/>
      <c r="E5538" s="161"/>
      <c r="F5538" s="161"/>
      <c r="G5538" s="161"/>
      <c r="H5538" s="161"/>
    </row>
    <row r="5539" ht="15.75" customHeight="1">
      <c r="A5539" s="161"/>
      <c r="B5539" s="161"/>
      <c r="C5539" s="205"/>
      <c r="D5539" s="161"/>
      <c r="E5539" s="161"/>
      <c r="F5539" s="161"/>
      <c r="G5539" s="161"/>
      <c r="H5539" s="161"/>
    </row>
    <row r="5540" ht="15.75" customHeight="1">
      <c r="A5540" s="161"/>
      <c r="B5540" s="161"/>
      <c r="C5540" s="205"/>
      <c r="D5540" s="161"/>
      <c r="E5540" s="161"/>
      <c r="F5540" s="161"/>
      <c r="G5540" s="161"/>
      <c r="H5540" s="161"/>
    </row>
    <row r="5541" ht="15.75" customHeight="1">
      <c r="A5541" s="161"/>
      <c r="B5541" s="161"/>
      <c r="C5541" s="205"/>
      <c r="D5541" s="161"/>
      <c r="E5541" s="161"/>
      <c r="F5541" s="161"/>
      <c r="G5541" s="161"/>
      <c r="H5541" s="161"/>
    </row>
    <row r="5542" ht="15.75" customHeight="1">
      <c r="A5542" s="161"/>
      <c r="B5542" s="161"/>
      <c r="C5542" s="205"/>
      <c r="D5542" s="161"/>
      <c r="E5542" s="161"/>
      <c r="F5542" s="161"/>
      <c r="G5542" s="161"/>
      <c r="H5542" s="161"/>
    </row>
    <row r="5543" ht="15.75" customHeight="1">
      <c r="A5543" s="161"/>
      <c r="B5543" s="161"/>
      <c r="C5543" s="205"/>
      <c r="D5543" s="161"/>
      <c r="E5543" s="161"/>
      <c r="F5543" s="161"/>
      <c r="G5543" s="161"/>
      <c r="H5543" s="161"/>
    </row>
    <row r="5544" ht="15.75" customHeight="1">
      <c r="A5544" s="161"/>
      <c r="B5544" s="161"/>
      <c r="C5544" s="205"/>
      <c r="D5544" s="161"/>
      <c r="E5544" s="161"/>
      <c r="F5544" s="161"/>
      <c r="G5544" s="161"/>
      <c r="H5544" s="161"/>
    </row>
    <row r="5545" ht="15.75" customHeight="1">
      <c r="A5545" s="161"/>
      <c r="B5545" s="161"/>
      <c r="C5545" s="205"/>
      <c r="D5545" s="161"/>
      <c r="E5545" s="161"/>
      <c r="F5545" s="161"/>
      <c r="G5545" s="161"/>
      <c r="H5545" s="161"/>
    </row>
    <row r="5546" ht="15.75" customHeight="1">
      <c r="A5546" s="161"/>
      <c r="B5546" s="161"/>
      <c r="C5546" s="205"/>
      <c r="D5546" s="161"/>
      <c r="E5546" s="161"/>
      <c r="F5546" s="161"/>
      <c r="G5546" s="161"/>
      <c r="H5546" s="161"/>
    </row>
    <row r="5547" ht="15.75" customHeight="1">
      <c r="A5547" s="161"/>
      <c r="B5547" s="161"/>
      <c r="C5547" s="205"/>
      <c r="D5547" s="161"/>
      <c r="E5547" s="161"/>
      <c r="F5547" s="161"/>
      <c r="G5547" s="161"/>
      <c r="H5547" s="161"/>
    </row>
    <row r="5548" ht="15.75" customHeight="1">
      <c r="A5548" s="161"/>
      <c r="B5548" s="161"/>
      <c r="C5548" s="205"/>
      <c r="D5548" s="161"/>
      <c r="E5548" s="161"/>
      <c r="F5548" s="161"/>
      <c r="G5548" s="161"/>
      <c r="H5548" s="161"/>
    </row>
    <row r="5549" ht="15.75" customHeight="1">
      <c r="A5549" s="161"/>
      <c r="B5549" s="161"/>
      <c r="C5549" s="205"/>
      <c r="D5549" s="161"/>
      <c r="E5549" s="161"/>
      <c r="F5549" s="161"/>
      <c r="G5549" s="161"/>
      <c r="H5549" s="161"/>
    </row>
    <row r="5550" ht="15.75" customHeight="1">
      <c r="A5550" s="161"/>
      <c r="B5550" s="161"/>
      <c r="C5550" s="205"/>
      <c r="D5550" s="161"/>
      <c r="E5550" s="161"/>
      <c r="F5550" s="161"/>
      <c r="G5550" s="161"/>
      <c r="H5550" s="161"/>
    </row>
    <row r="5551" ht="15.75" customHeight="1">
      <c r="A5551" s="161"/>
      <c r="B5551" s="161"/>
      <c r="C5551" s="205"/>
      <c r="D5551" s="161"/>
      <c r="E5551" s="161"/>
      <c r="F5551" s="161"/>
      <c r="G5551" s="161"/>
      <c r="H5551" s="161"/>
    </row>
    <row r="5552" ht="15.75" customHeight="1">
      <c r="A5552" s="161"/>
      <c r="B5552" s="161"/>
      <c r="C5552" s="205"/>
      <c r="D5552" s="161"/>
      <c r="E5552" s="161"/>
      <c r="F5552" s="161"/>
      <c r="G5552" s="161"/>
      <c r="H5552" s="161"/>
    </row>
    <row r="5553" ht="15.75" customHeight="1">
      <c r="A5553" s="161"/>
      <c r="B5553" s="161"/>
      <c r="C5553" s="205"/>
      <c r="D5553" s="161"/>
      <c r="E5553" s="161"/>
      <c r="F5553" s="161"/>
      <c r="G5553" s="161"/>
      <c r="H5553" s="161"/>
    </row>
    <row r="5554" ht="15.75" customHeight="1">
      <c r="A5554" s="161"/>
      <c r="B5554" s="161"/>
      <c r="C5554" s="205"/>
      <c r="D5554" s="161"/>
      <c r="E5554" s="161"/>
      <c r="F5554" s="161"/>
      <c r="G5554" s="161"/>
      <c r="H5554" s="161"/>
    </row>
    <row r="5555" ht="15.75" customHeight="1">
      <c r="A5555" s="161"/>
      <c r="B5555" s="161"/>
      <c r="C5555" s="205"/>
      <c r="D5555" s="161"/>
      <c r="E5555" s="161"/>
      <c r="F5555" s="161"/>
      <c r="G5555" s="161"/>
      <c r="H5555" s="161"/>
    </row>
    <row r="5556" ht="15.75" customHeight="1">
      <c r="A5556" s="161"/>
      <c r="B5556" s="161"/>
      <c r="C5556" s="205"/>
      <c r="D5556" s="161"/>
      <c r="E5556" s="161"/>
      <c r="F5556" s="161"/>
      <c r="G5556" s="161"/>
      <c r="H5556" s="161"/>
    </row>
    <row r="5557" ht="15.75" customHeight="1">
      <c r="A5557" s="161"/>
      <c r="B5557" s="161"/>
      <c r="C5557" s="205"/>
      <c r="D5557" s="161"/>
      <c r="E5557" s="161"/>
      <c r="F5557" s="161"/>
      <c r="G5557" s="161"/>
      <c r="H5557" s="161"/>
    </row>
    <row r="5558" ht="15.75" customHeight="1">
      <c r="A5558" s="161"/>
      <c r="B5558" s="161"/>
      <c r="C5558" s="205"/>
      <c r="D5558" s="161"/>
      <c r="E5558" s="161"/>
      <c r="F5558" s="161"/>
      <c r="G5558" s="161"/>
      <c r="H5558" s="161"/>
    </row>
    <row r="5559" ht="15.75" customHeight="1">
      <c r="A5559" s="161"/>
      <c r="B5559" s="161"/>
      <c r="C5559" s="205"/>
      <c r="D5559" s="161"/>
      <c r="E5559" s="161"/>
      <c r="F5559" s="161"/>
      <c r="G5559" s="161"/>
      <c r="H5559" s="161"/>
    </row>
    <row r="5560" ht="15.75" customHeight="1">
      <c r="A5560" s="161"/>
      <c r="B5560" s="161"/>
      <c r="C5560" s="205"/>
      <c r="D5560" s="161"/>
      <c r="E5560" s="161"/>
      <c r="F5560" s="161"/>
      <c r="G5560" s="161"/>
      <c r="H5560" s="161"/>
    </row>
    <row r="5561" ht="15.75" customHeight="1">
      <c r="A5561" s="161"/>
      <c r="B5561" s="161"/>
      <c r="C5561" s="205"/>
      <c r="D5561" s="161"/>
      <c r="E5561" s="161"/>
      <c r="F5561" s="161"/>
      <c r="G5561" s="161"/>
      <c r="H5561" s="161"/>
    </row>
    <row r="5562" ht="15.75" customHeight="1">
      <c r="A5562" s="161"/>
      <c r="B5562" s="161"/>
      <c r="C5562" s="205"/>
      <c r="D5562" s="161"/>
      <c r="E5562" s="161"/>
      <c r="F5562" s="161"/>
      <c r="G5562" s="161"/>
      <c r="H5562" s="161"/>
    </row>
    <row r="5563" ht="15.75" customHeight="1">
      <c r="A5563" s="161"/>
      <c r="B5563" s="161"/>
      <c r="C5563" s="205"/>
      <c r="D5563" s="161"/>
      <c r="E5563" s="161"/>
      <c r="F5563" s="161"/>
      <c r="G5563" s="161"/>
      <c r="H5563" s="161"/>
    </row>
    <row r="5564" ht="15.75" customHeight="1">
      <c r="A5564" s="161"/>
      <c r="B5564" s="161"/>
      <c r="C5564" s="205"/>
      <c r="D5564" s="161"/>
      <c r="E5564" s="161"/>
      <c r="F5564" s="161"/>
      <c r="G5564" s="161"/>
      <c r="H5564" s="161"/>
    </row>
    <row r="5565" ht="15.75" customHeight="1">
      <c r="A5565" s="161"/>
      <c r="B5565" s="161"/>
      <c r="C5565" s="205"/>
      <c r="D5565" s="161"/>
      <c r="E5565" s="161"/>
      <c r="F5565" s="161"/>
      <c r="G5565" s="161"/>
      <c r="H5565" s="161"/>
    </row>
    <row r="5566" ht="15.75" customHeight="1">
      <c r="A5566" s="161"/>
      <c r="B5566" s="161"/>
      <c r="C5566" s="205"/>
      <c r="D5566" s="161"/>
      <c r="E5566" s="161"/>
      <c r="F5566" s="161"/>
      <c r="G5566" s="161"/>
      <c r="H5566" s="161"/>
    </row>
    <row r="5567" ht="15.75" customHeight="1">
      <c r="A5567" s="161"/>
      <c r="B5567" s="161"/>
      <c r="C5567" s="205"/>
      <c r="D5567" s="161"/>
      <c r="E5567" s="161"/>
      <c r="F5567" s="161"/>
      <c r="G5567" s="161"/>
      <c r="H5567" s="161"/>
    </row>
    <row r="5568" ht="15.75" customHeight="1">
      <c r="A5568" s="161"/>
      <c r="B5568" s="161"/>
      <c r="C5568" s="205"/>
      <c r="D5568" s="161"/>
      <c r="E5568" s="161"/>
      <c r="F5568" s="161"/>
      <c r="G5568" s="161"/>
      <c r="H5568" s="161"/>
    </row>
    <row r="5569" ht="15.75" customHeight="1">
      <c r="A5569" s="161"/>
      <c r="B5569" s="161"/>
      <c r="C5569" s="205"/>
      <c r="D5569" s="161"/>
      <c r="E5569" s="161"/>
      <c r="F5569" s="161"/>
      <c r="G5569" s="161"/>
      <c r="H5569" s="161"/>
    </row>
    <row r="5570" ht="15.75" customHeight="1">
      <c r="A5570" s="161"/>
      <c r="B5570" s="161"/>
      <c r="C5570" s="205"/>
      <c r="D5570" s="161"/>
      <c r="E5570" s="161"/>
      <c r="F5570" s="161"/>
      <c r="G5570" s="161"/>
      <c r="H5570" s="161"/>
    </row>
    <row r="5571" ht="15.75" customHeight="1">
      <c r="A5571" s="161"/>
      <c r="B5571" s="161"/>
      <c r="C5571" s="205"/>
      <c r="D5571" s="161"/>
      <c r="E5571" s="161"/>
      <c r="F5571" s="161"/>
      <c r="G5571" s="161"/>
      <c r="H5571" s="161"/>
    </row>
  </sheetData>
  <printOptions/>
  <pageMargins bottom="1.0" footer="0.0" header="0.0" left="0.75" right="0.75" top="1.0"/>
  <pageSetup paperSize="9" orientation="portrait"/>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1.14"/>
    <col customWidth="1" min="5" max="5" width="23.14"/>
    <col customWidth="1" min="6" max="6" width="23.29"/>
    <col customWidth="1" min="7" max="7" width="24.86"/>
    <col customWidth="1" min="15" max="15" width="12.29"/>
    <col customWidth="1" min="16" max="16" width="11.14"/>
    <col customWidth="1" min="17" max="17" width="10.0"/>
    <col customWidth="1" min="18" max="19" width="18.86"/>
    <col customWidth="1" min="20" max="20" width="12.29"/>
    <col customWidth="1" min="21" max="21" width="5.86"/>
    <col customWidth="1" min="22" max="22" width="12.71"/>
    <col customWidth="1" min="23" max="27" width="11.14"/>
    <col customWidth="1" min="28" max="34" width="10.14"/>
    <col customWidth="1" min="35" max="36" width="11.14"/>
    <col customWidth="1" min="37" max="38" width="16.14"/>
    <col customWidth="1" min="39" max="39" width="5.43"/>
    <col customWidth="1" min="40" max="40" width="13.57"/>
    <col customWidth="1" min="41" max="43" width="11.14"/>
    <col customWidth="1" min="44" max="44" width="5.71"/>
    <col customWidth="1" min="45" max="89" width="11.14"/>
  </cols>
  <sheetData>
    <row r="1">
      <c r="A1" s="206" t="s">
        <v>123</v>
      </c>
      <c r="B1" s="207" t="s">
        <v>124</v>
      </c>
      <c r="C1" s="207" t="s">
        <v>44</v>
      </c>
      <c r="D1" s="207" t="s">
        <v>45</v>
      </c>
      <c r="E1" s="207" t="s">
        <v>14</v>
      </c>
      <c r="F1" s="207" t="s">
        <v>128</v>
      </c>
      <c r="G1" s="207" t="s">
        <v>894</v>
      </c>
      <c r="H1" s="195" t="s">
        <v>895</v>
      </c>
      <c r="I1" s="195" t="s">
        <v>896</v>
      </c>
      <c r="J1" s="195" t="s">
        <v>897</v>
      </c>
      <c r="K1" s="195" t="s">
        <v>898</v>
      </c>
      <c r="L1" s="195" t="s">
        <v>899</v>
      </c>
      <c r="M1" s="195" t="s">
        <v>125</v>
      </c>
      <c r="N1" s="195" t="s">
        <v>900</v>
      </c>
      <c r="O1" s="195" t="s">
        <v>901</v>
      </c>
      <c r="P1" s="195" t="s">
        <v>902</v>
      </c>
      <c r="Q1" s="195" t="s">
        <v>903</v>
      </c>
      <c r="R1" s="195" t="s">
        <v>904</v>
      </c>
      <c r="S1" s="208" t="s">
        <v>905</v>
      </c>
      <c r="T1" s="208"/>
      <c r="U1" s="208"/>
      <c r="V1" s="62" t="s">
        <v>906</v>
      </c>
      <c r="W1" s="62" t="s">
        <v>907</v>
      </c>
      <c r="X1" s="62" t="s">
        <v>908</v>
      </c>
      <c r="Y1" s="62" t="s">
        <v>909</v>
      </c>
      <c r="Z1" s="209"/>
      <c r="AA1" s="210" t="s">
        <v>910</v>
      </c>
      <c r="AB1" s="211" t="s">
        <v>911</v>
      </c>
      <c r="AC1" s="210"/>
      <c r="AD1" s="210"/>
      <c r="AE1" s="210"/>
      <c r="AF1" s="210"/>
      <c r="AG1" s="210"/>
      <c r="AH1" s="210"/>
      <c r="AI1" s="210"/>
      <c r="AJ1" s="210" t="s">
        <v>14</v>
      </c>
      <c r="AK1" s="212" t="s">
        <v>838</v>
      </c>
      <c r="AL1" s="213" t="s">
        <v>912</v>
      </c>
      <c r="AM1" s="214"/>
      <c r="AN1" s="215" t="s">
        <v>913</v>
      </c>
      <c r="AO1" s="62" t="s">
        <v>914</v>
      </c>
      <c r="AP1" s="62" t="s">
        <v>908</v>
      </c>
      <c r="AQ1" s="62" t="s">
        <v>915</v>
      </c>
      <c r="AR1" s="210"/>
      <c r="AZ1" s="210"/>
      <c r="BA1" s="210"/>
      <c r="BB1" s="210"/>
      <c r="BC1" s="210"/>
      <c r="BD1" s="210"/>
      <c r="BE1" s="210"/>
      <c r="BF1" s="210"/>
      <c r="BG1" s="210"/>
      <c r="BH1" s="210"/>
      <c r="BI1" s="210"/>
      <c r="BJ1" s="210"/>
      <c r="BK1" s="210"/>
      <c r="BL1" s="210"/>
      <c r="BM1" s="210"/>
      <c r="BN1" s="210"/>
      <c r="BO1" s="210"/>
      <c r="BP1" s="210"/>
      <c r="BQ1" s="210"/>
      <c r="BR1" s="210"/>
      <c r="BS1" s="210"/>
      <c r="BT1" s="210"/>
      <c r="BU1" s="210"/>
      <c r="BV1" s="210"/>
      <c r="BW1" s="210"/>
      <c r="BX1" s="210"/>
      <c r="BY1" s="210"/>
      <c r="BZ1" s="210"/>
      <c r="CA1" s="210"/>
      <c r="CB1" s="210"/>
      <c r="CC1" s="210"/>
      <c r="CD1" s="210"/>
      <c r="CE1" s="210"/>
      <c r="CF1" s="210"/>
      <c r="CG1" s="210"/>
      <c r="CH1" s="210"/>
      <c r="CI1" s="210"/>
      <c r="CJ1" s="210"/>
      <c r="CK1" s="210"/>
    </row>
    <row r="2">
      <c r="A2" s="216" t="s">
        <v>721</v>
      </c>
      <c r="B2" s="217" t="s">
        <v>722</v>
      </c>
      <c r="C2" s="218" t="s">
        <v>51</v>
      </c>
      <c r="D2" s="218" t="s">
        <v>844</v>
      </c>
      <c r="E2" s="217" t="s">
        <v>21</v>
      </c>
      <c r="F2" s="13" t="s">
        <v>917</v>
      </c>
      <c r="G2" s="13" t="s">
        <v>918</v>
      </c>
      <c r="H2" s="219">
        <f>IFERROR(
  MINIFS(ATTENDANCE_LOG!$F:$F,
         ATTENDANCE_LOG!$A:$A, C2,
         ATTENDANCE_LOG!$B:$B, E2),
"")</f>
        <v>45700.41667</v>
      </c>
      <c r="I2" s="219">
        <f t="shared" ref="I2:I543" si="2">IFERROR(
  MINIFS($H:$H, $A:$A, A2, $H:$H, "&gt;"&amp;0),
"")</f>
        <v>45700.41667</v>
      </c>
      <c r="J2" s="190">
        <f>IFERROR(VLOOKUP(F2, LEVEL_HELPER!$A:$B, 2, 0), "")</f>
        <v>2.5</v>
      </c>
      <c r="K2" s="190">
        <f>IFERROR(VLOOKUP(G2, LEVEL_HELPER!$A:$B, 2, 0), "")</f>
        <v>3</v>
      </c>
      <c r="L2" s="220" t="s">
        <v>919</v>
      </c>
      <c r="M2" s="220" t="s">
        <v>920</v>
      </c>
      <c r="N2" s="190">
        <f t="array" ref="N2">IFERROR(
  INDEX($J$2:$J$543,
    MATCH(A2&amp;TEXT(I2,"yyyy-mm-dd"),
          $A$2:$A$543&amp;TEXT($H$2:$H$543,"yyyy-mm-dd"),
          0)),
"")</f>
        <v>2.5</v>
      </c>
      <c r="O2" s="210">
        <f t="shared" ref="O2:O543" si="3">IFERROR(MAXIFS($K:$K, $A:$A, A2), "")</f>
        <v>3.5</v>
      </c>
      <c r="P2" s="210">
        <f t="shared" ref="P2:Q2" si="1">IF(N2="",0,IF(N2&lt;=2,1,IF(N2&lt;=4,2,IF(N2&lt;=5.5,3,4))))</f>
        <v>2</v>
      </c>
      <c r="Q2" s="210">
        <f t="shared" si="1"/>
        <v>2</v>
      </c>
      <c r="R2" s="210" t="str">
        <f t="shared" ref="R2:R543" si="5">IF(OR(O2=0, O2=""), "Not tested yet", IF(P2=0, "No Data", IF(Q2&lt;P2, "Regressed", IF(Q2=P2, IF(O2&gt;N2, "Progress within level", "No Progress"), IF(Q2-P2=1, "Lv"&amp;P2&amp;" → Lv"&amp;Q2, "Lv"&amp;P2&amp;" → Lv"&amp;Q2&amp;" (multi)")))))</f>
        <v>Progress within level</v>
      </c>
      <c r="S2" s="210">
        <f t="shared" ref="S2:S543" si="6">IF(COUNTIF($A$2:A2,A2)=1,1,0)</f>
        <v>1</v>
      </c>
      <c r="T2" s="210"/>
      <c r="U2" s="210"/>
      <c r="V2" s="211" t="str">
        <f t="array" ref="V2:V306">unique(A2:A1599)</f>
        <v>227155</v>
      </c>
      <c r="W2" s="210" t="str">
        <f t="shared" ref="W2:W305" si="7">VLOOKUP(V2,$A$2:$P1599,12,0)</f>
        <v>QC</v>
      </c>
      <c r="X2" s="210" t="str">
        <f t="shared" ref="X2:X305" si="8">IFS(W2="QC","QC",OR(W2="BA",W2="BC"),"BA, BC",OR(W2="DEV",W2="TA"),"DEV, TA",OR(W2="HR",W2="Admin",W2="Management"),"HR, GA, Mgt",W2="GSD","GSD",OR(W2="PPO",W2="SM",W2="IM"),"PPO, SM, IM ",OR(W2="UI/UX",W2="Designer"),"UI/UX, Des")</f>
        <v>QC</v>
      </c>
      <c r="Y2" s="210" t="str">
        <f t="shared" ref="Y2:Y305" si="9">VLOOKUP(V2,$A$2:$P1599,13,0)</f>
        <v>POC</v>
      </c>
      <c r="Z2" s="210"/>
      <c r="AA2" s="211" t="s">
        <v>908</v>
      </c>
      <c r="AB2" s="210" t="s">
        <v>921</v>
      </c>
      <c r="AC2" s="210" t="s">
        <v>922</v>
      </c>
      <c r="AD2" s="210" t="s">
        <v>923</v>
      </c>
      <c r="AE2" s="210" t="s">
        <v>924</v>
      </c>
      <c r="AF2" s="210" t="s">
        <v>925</v>
      </c>
      <c r="AG2" s="210" t="s">
        <v>920</v>
      </c>
      <c r="AH2" s="210" t="s">
        <v>926</v>
      </c>
      <c r="AI2" s="210"/>
      <c r="AJ2" s="221"/>
      <c r="AK2" s="220">
        <v>0.0</v>
      </c>
      <c r="AL2" s="210">
        <v>0.0</v>
      </c>
      <c r="AM2" s="214"/>
      <c r="AN2" s="211" t="str">
        <f>IFERROR(__xludf.DUMMYFUNCTION("filter(STUDENTS!A3:A1599,STUDENTS!E3:E1599=""Active"")"),"213817")</f>
        <v>213817</v>
      </c>
      <c r="AO2" s="210" t="str">
        <f t="shared" ref="AO2:AO240" si="10">VLOOKUP(AN2,$A$2:$P1599,12,0)</f>
        <v>QC</v>
      </c>
      <c r="AP2" s="210" t="str">
        <f t="shared" ref="AP2:AP240" si="11">IFS(AO2="QC","QC",OR(AO2="BA",AO2="BC"),"BA, BC",OR(AO2="DEV",AO2="TA"),"DEV, TA",OR(AO2="HR",AO2="Admin",AO2="Management"),"HR, GA, Mgt",AO2="GSD","GSD",OR(AO2="PPO",AO2="SM",AO2="IM"),"PPO, SM, IM ",OR(AO2="UI/UX",AO2="Designer"),"UI/UX, Des")</f>
        <v>QC</v>
      </c>
      <c r="AQ2" s="210" t="str">
        <f t="shared" ref="AQ2:AQ240" si="12">VLOOKUP(AN2,$A$2:$P1599,13,0)</f>
        <v>ONC</v>
      </c>
      <c r="AR2" s="210"/>
      <c r="AZ2" s="210"/>
      <c r="BA2" s="210"/>
      <c r="BB2" s="210"/>
      <c r="BC2" s="210"/>
      <c r="BD2" s="210"/>
      <c r="BE2" s="210"/>
      <c r="BF2" s="210"/>
      <c r="BG2" s="210"/>
      <c r="BH2" s="210"/>
      <c r="BI2" s="210"/>
      <c r="BJ2" s="210"/>
      <c r="BK2" s="210"/>
      <c r="BL2" s="210"/>
      <c r="BM2" s="210"/>
      <c r="BN2" s="210"/>
      <c r="BO2" s="210"/>
      <c r="BP2" s="210"/>
      <c r="BQ2" s="210"/>
      <c r="BR2" s="210"/>
      <c r="BS2" s="210"/>
      <c r="BT2" s="210"/>
      <c r="BU2" s="210"/>
      <c r="BV2" s="210"/>
      <c r="BW2" s="210"/>
      <c r="BX2" s="210"/>
      <c r="BY2" s="210"/>
      <c r="BZ2" s="210"/>
      <c r="CA2" s="210"/>
      <c r="CB2" s="210"/>
      <c r="CC2" s="210"/>
      <c r="CD2" s="210"/>
      <c r="CE2" s="210"/>
      <c r="CF2" s="210"/>
      <c r="CG2" s="210"/>
      <c r="CH2" s="210"/>
      <c r="CI2" s="210"/>
      <c r="CJ2" s="210"/>
      <c r="CK2" s="210"/>
    </row>
    <row r="3">
      <c r="A3" s="222" t="s">
        <v>296</v>
      </c>
      <c r="B3" s="190" t="s">
        <v>297</v>
      </c>
      <c r="C3" s="223" t="s">
        <v>51</v>
      </c>
      <c r="D3" s="223" t="s">
        <v>844</v>
      </c>
      <c r="E3" s="190" t="s">
        <v>21</v>
      </c>
      <c r="F3" s="13" t="s">
        <v>927</v>
      </c>
      <c r="G3" s="13" t="s">
        <v>918</v>
      </c>
      <c r="H3" s="219">
        <f>IFERROR(
  MINIFS(ATTENDANCE_LOG!$F:$F,
         ATTENDANCE_LOG!$A:$A, C3,
         ATTENDANCE_LOG!$B:$B, E3),
"")</f>
        <v>45700.41667</v>
      </c>
      <c r="I3" s="219">
        <f t="shared" si="2"/>
        <v>45700.41667</v>
      </c>
      <c r="J3" s="190">
        <f>IFERROR(VLOOKUP(F3, LEVEL_HELPER!$A:$B, 2, 0), "")</f>
        <v>1</v>
      </c>
      <c r="K3" s="190">
        <f>IFERROR(VLOOKUP(G3, LEVEL_HELPER!$A:$B, 2, 0), "")</f>
        <v>3</v>
      </c>
      <c r="L3" s="220" t="s">
        <v>919</v>
      </c>
      <c r="M3" s="220" t="s">
        <v>920</v>
      </c>
      <c r="N3" s="190">
        <f t="array" ref="N3">IFERROR(
  INDEX($J$2:$J$543,
    MATCH(A3&amp;TEXT(I3,"yyyy-mm-dd"),
          $A$2:$A$543&amp;TEXT($H$2:$H$543,"yyyy-mm-dd"),
          0)),
"")</f>
        <v>1</v>
      </c>
      <c r="O3" s="210">
        <f t="shared" si="3"/>
        <v>3.5</v>
      </c>
      <c r="P3" s="210">
        <f t="shared" ref="P3:Q3" si="4">IF(N3="",0,IF(N3&lt;=2,1,IF(N3&lt;=4,2,IF(N3&lt;=5.5,3,4))))</f>
        <v>1</v>
      </c>
      <c r="Q3" s="210">
        <f t="shared" si="4"/>
        <v>2</v>
      </c>
      <c r="R3" s="210" t="str">
        <f t="shared" si="5"/>
        <v>Lv1 → Lv2</v>
      </c>
      <c r="S3" s="210">
        <f t="shared" si="6"/>
        <v>1</v>
      </c>
      <c r="T3" s="210"/>
      <c r="U3" s="210"/>
      <c r="V3" s="224" t="s">
        <v>296</v>
      </c>
      <c r="W3" s="210" t="str">
        <f t="shared" si="7"/>
        <v>QC</v>
      </c>
      <c r="X3" s="210" t="str">
        <f t="shared" si="8"/>
        <v>QC</v>
      </c>
      <c r="Y3" s="210" t="str">
        <f t="shared" si="9"/>
        <v>POC</v>
      </c>
      <c r="Z3" s="210"/>
      <c r="AA3" s="210" t="s">
        <v>928</v>
      </c>
      <c r="AB3" s="210"/>
      <c r="AC3" s="210"/>
      <c r="AD3" s="210">
        <v>4.0</v>
      </c>
      <c r="AE3" s="210">
        <v>2.0</v>
      </c>
      <c r="AF3" s="210"/>
      <c r="AG3" s="210">
        <v>1.0</v>
      </c>
      <c r="AH3" s="210">
        <v>2.0</v>
      </c>
      <c r="AI3" s="210"/>
      <c r="AJ3" s="221" t="s">
        <v>24</v>
      </c>
      <c r="AK3" s="220">
        <v>5.0</v>
      </c>
      <c r="AL3" s="210">
        <v>30.0</v>
      </c>
      <c r="AM3" s="214">
        <f t="shared" ref="AM3:AM9" si="14">AL3/AK3</f>
        <v>6</v>
      </c>
      <c r="AN3" s="211" t="str">
        <f>IFERROR(__xludf.DUMMYFUNCTION("""COMPUTED_VALUE"""),"237226")</f>
        <v>237226</v>
      </c>
      <c r="AO3" s="210" t="str">
        <f t="shared" si="10"/>
        <v>GSD</v>
      </c>
      <c r="AP3" s="210" t="str">
        <f t="shared" si="11"/>
        <v>GSD</v>
      </c>
      <c r="AQ3" s="210" t="str">
        <f t="shared" si="12"/>
        <v>LBU</v>
      </c>
      <c r="AR3" s="210"/>
      <c r="AZ3" s="210"/>
      <c r="BA3" s="210"/>
      <c r="BB3" s="210"/>
      <c r="BC3" s="210"/>
      <c r="BD3" s="210"/>
      <c r="BE3" s="210"/>
      <c r="BF3" s="210"/>
      <c r="BG3" s="210"/>
      <c r="BH3" s="210"/>
      <c r="BI3" s="210"/>
      <c r="BJ3" s="210"/>
      <c r="BK3" s="210"/>
      <c r="BL3" s="210"/>
      <c r="BM3" s="210"/>
      <c r="BN3" s="210"/>
      <c r="BO3" s="210"/>
      <c r="BP3" s="210"/>
      <c r="BQ3" s="210"/>
      <c r="BR3" s="210"/>
      <c r="BS3" s="210"/>
      <c r="BT3" s="210"/>
      <c r="BU3" s="210"/>
      <c r="BV3" s="210"/>
      <c r="BW3" s="210"/>
      <c r="BX3" s="210"/>
      <c r="BY3" s="210"/>
      <c r="BZ3" s="210"/>
      <c r="CA3" s="210"/>
      <c r="CB3" s="210"/>
      <c r="CC3" s="210"/>
      <c r="CD3" s="210"/>
      <c r="CE3" s="210"/>
      <c r="CF3" s="210"/>
      <c r="CG3" s="210"/>
      <c r="CH3" s="210"/>
      <c r="CI3" s="210"/>
      <c r="CJ3" s="210"/>
      <c r="CK3" s="210"/>
    </row>
    <row r="4">
      <c r="A4" s="222" t="s">
        <v>319</v>
      </c>
      <c r="B4" s="190" t="s">
        <v>320</v>
      </c>
      <c r="C4" s="223" t="s">
        <v>51</v>
      </c>
      <c r="D4" s="223" t="s">
        <v>844</v>
      </c>
      <c r="E4" s="190" t="s">
        <v>21</v>
      </c>
      <c r="F4" s="13" t="s">
        <v>927</v>
      </c>
      <c r="G4" s="13" t="s">
        <v>929</v>
      </c>
      <c r="H4" s="219">
        <f>IFERROR(
  MINIFS(ATTENDANCE_LOG!$F:$F,
         ATTENDANCE_LOG!$A:$A, C4,
         ATTENDANCE_LOG!$B:$B, E4),
"")</f>
        <v>45700.41667</v>
      </c>
      <c r="I4" s="219">
        <f t="shared" si="2"/>
        <v>45700.41667</v>
      </c>
      <c r="J4" s="190">
        <f>IFERROR(VLOOKUP(F4, LEVEL_HELPER!$A:$B, 2, 0), "")</f>
        <v>1</v>
      </c>
      <c r="K4" s="190">
        <f>IFERROR(VLOOKUP(G4, LEVEL_HELPER!$A:$B, 2, 0), "")</f>
        <v>1.5</v>
      </c>
      <c r="L4" s="220" t="s">
        <v>919</v>
      </c>
      <c r="M4" s="220" t="s">
        <v>920</v>
      </c>
      <c r="N4" s="190">
        <f t="array" ref="N4">IFERROR(
  INDEX($J$2:$J$543,
    MATCH(A4&amp;TEXT(I4,"yyyy-mm-dd"),
          $A$2:$A$543&amp;TEXT($H$2:$H$543,"yyyy-mm-dd"),
          0)),
"")</f>
        <v>1</v>
      </c>
      <c r="O4" s="210">
        <f t="shared" si="3"/>
        <v>2</v>
      </c>
      <c r="P4" s="210">
        <f t="shared" ref="P4:Q4" si="13">IF(N4="",0,IF(N4&lt;=2,1,IF(N4&lt;=4,2,IF(N4&lt;=5.5,3,4))))</f>
        <v>1</v>
      </c>
      <c r="Q4" s="210">
        <f t="shared" si="13"/>
        <v>1</v>
      </c>
      <c r="R4" s="210" t="str">
        <f t="shared" si="5"/>
        <v>Progress within level</v>
      </c>
      <c r="S4" s="210">
        <f t="shared" si="6"/>
        <v>1</v>
      </c>
      <c r="T4" s="210"/>
      <c r="U4" s="210"/>
      <c r="V4" s="211" t="s">
        <v>319</v>
      </c>
      <c r="W4" s="210" t="str">
        <f t="shared" si="7"/>
        <v>QC</v>
      </c>
      <c r="X4" s="210" t="str">
        <f t="shared" si="8"/>
        <v>QC</v>
      </c>
      <c r="Y4" s="210" t="str">
        <f t="shared" si="9"/>
        <v>POC</v>
      </c>
      <c r="Z4" s="210"/>
      <c r="AA4" s="210" t="s">
        <v>930</v>
      </c>
      <c r="AB4" s="210"/>
      <c r="AC4" s="210">
        <v>36.0</v>
      </c>
      <c r="AD4" s="210">
        <v>19.0</v>
      </c>
      <c r="AE4" s="210">
        <v>42.0</v>
      </c>
      <c r="AF4" s="210">
        <v>42.0</v>
      </c>
      <c r="AG4" s="210">
        <v>5.0</v>
      </c>
      <c r="AH4" s="210">
        <v>20.0</v>
      </c>
      <c r="AI4" s="210"/>
      <c r="AJ4" s="221" t="s">
        <v>21</v>
      </c>
      <c r="AK4" s="220">
        <v>46.0</v>
      </c>
      <c r="AL4" s="210">
        <v>280.0</v>
      </c>
      <c r="AM4" s="214">
        <f t="shared" si="14"/>
        <v>6.086956522</v>
      </c>
      <c r="AN4" s="211" t="str">
        <f>IFERROR(__xludf.DUMMYFUNCTION("""COMPUTED_VALUE"""),"213856")</f>
        <v>213856</v>
      </c>
      <c r="AO4" s="210" t="str">
        <f t="shared" si="10"/>
        <v>QC</v>
      </c>
      <c r="AP4" s="210" t="str">
        <f t="shared" si="11"/>
        <v>QC</v>
      </c>
      <c r="AQ4" s="210" t="str">
        <f t="shared" si="12"/>
        <v>ONC</v>
      </c>
      <c r="AR4" s="210"/>
      <c r="AZ4" s="210"/>
      <c r="BA4" s="210"/>
      <c r="BB4" s="210"/>
      <c r="BC4" s="210"/>
      <c r="BD4" s="210"/>
      <c r="BE4" s="210"/>
      <c r="BF4" s="210"/>
      <c r="BG4" s="210"/>
      <c r="BH4" s="210"/>
      <c r="BI4" s="210"/>
      <c r="BJ4" s="210"/>
      <c r="BK4" s="210"/>
      <c r="BL4" s="210"/>
      <c r="BM4" s="210"/>
      <c r="BN4" s="210"/>
      <c r="BO4" s="210"/>
      <c r="BP4" s="210"/>
      <c r="BQ4" s="210"/>
      <c r="BR4" s="210"/>
      <c r="BS4" s="210"/>
      <c r="BT4" s="210"/>
      <c r="BU4" s="210"/>
      <c r="BV4" s="210"/>
      <c r="BW4" s="210"/>
      <c r="BX4" s="210"/>
      <c r="BY4" s="210"/>
      <c r="BZ4" s="210"/>
      <c r="CA4" s="210"/>
      <c r="CB4" s="210"/>
      <c r="CC4" s="210"/>
      <c r="CD4" s="210"/>
      <c r="CE4" s="210"/>
      <c r="CF4" s="210"/>
      <c r="CG4" s="210"/>
      <c r="CH4" s="210"/>
      <c r="CI4" s="210"/>
      <c r="CJ4" s="210"/>
      <c r="CK4" s="210"/>
    </row>
    <row r="5">
      <c r="A5" s="222" t="s">
        <v>474</v>
      </c>
      <c r="B5" s="190" t="s">
        <v>475</v>
      </c>
      <c r="C5" s="223" t="s">
        <v>51</v>
      </c>
      <c r="D5" s="223" t="s">
        <v>844</v>
      </c>
      <c r="E5" s="190" t="s">
        <v>21</v>
      </c>
      <c r="F5" s="13" t="s">
        <v>927</v>
      </c>
      <c r="G5" s="13" t="s">
        <v>918</v>
      </c>
      <c r="H5" s="219">
        <f>IFERROR(
  MINIFS(ATTENDANCE_LOG!$F:$F,
         ATTENDANCE_LOG!$A:$A, C5,
         ATTENDANCE_LOG!$B:$B, E5),
"")</f>
        <v>45700.41667</v>
      </c>
      <c r="I5" s="219">
        <f t="shared" si="2"/>
        <v>45700.41667</v>
      </c>
      <c r="J5" s="190">
        <f>IFERROR(VLOOKUP(F5, LEVEL_HELPER!$A:$B, 2, 0), "")</f>
        <v>1</v>
      </c>
      <c r="K5" s="190">
        <f>IFERROR(VLOOKUP(G5, LEVEL_HELPER!$A:$B, 2, 0), "")</f>
        <v>3</v>
      </c>
      <c r="L5" s="220" t="s">
        <v>919</v>
      </c>
      <c r="M5" s="220" t="s">
        <v>920</v>
      </c>
      <c r="N5" s="190">
        <f t="array" ref="N5">IFERROR(
  INDEX($J$2:$J$543,
    MATCH(A5&amp;TEXT(I5,"yyyy-mm-dd"),
          $A$2:$A$543&amp;TEXT($H$2:$H$543,"yyyy-mm-dd"),
          0)),
"")</f>
        <v>1</v>
      </c>
      <c r="O5" s="210">
        <f t="shared" si="3"/>
        <v>3.5</v>
      </c>
      <c r="P5" s="210">
        <f t="shared" ref="P5:Q5" si="15">IF(N5="",0,IF(N5&lt;=2,1,IF(N5&lt;=4,2,IF(N5&lt;=5.5,3,4))))</f>
        <v>1</v>
      </c>
      <c r="Q5" s="210">
        <f t="shared" si="15"/>
        <v>2</v>
      </c>
      <c r="R5" s="210" t="str">
        <f t="shared" si="5"/>
        <v>Lv1 → Lv2</v>
      </c>
      <c r="S5" s="210">
        <f t="shared" si="6"/>
        <v>1</v>
      </c>
      <c r="T5" s="210"/>
      <c r="U5" s="210"/>
      <c r="V5" s="211" t="s">
        <v>474</v>
      </c>
      <c r="W5" s="210" t="str">
        <f t="shared" si="7"/>
        <v>QC</v>
      </c>
      <c r="X5" s="210" t="str">
        <f t="shared" si="8"/>
        <v>QC</v>
      </c>
      <c r="Y5" s="210" t="str">
        <f t="shared" si="9"/>
        <v>POC</v>
      </c>
      <c r="Z5" s="210"/>
      <c r="AA5" s="210" t="s">
        <v>931</v>
      </c>
      <c r="AB5" s="210"/>
      <c r="AC5" s="210">
        <v>1.0</v>
      </c>
      <c r="AD5" s="210">
        <v>20.0</v>
      </c>
      <c r="AE5" s="210">
        <v>7.0</v>
      </c>
      <c r="AF5" s="210">
        <v>2.0</v>
      </c>
      <c r="AG5" s="210">
        <v>16.0</v>
      </c>
      <c r="AH5" s="210">
        <v>8.0</v>
      </c>
      <c r="AI5" s="210"/>
      <c r="AJ5" s="221" t="s">
        <v>22</v>
      </c>
      <c r="AK5" s="220">
        <v>23.0</v>
      </c>
      <c r="AL5" s="210">
        <v>146.0</v>
      </c>
      <c r="AM5" s="214">
        <f t="shared" si="14"/>
        <v>6.347826087</v>
      </c>
      <c r="AN5" s="211" t="str">
        <f>IFERROR(__xludf.DUMMYFUNCTION("""COMPUTED_VALUE"""),"247423")</f>
        <v>247423</v>
      </c>
      <c r="AO5" s="210" t="str">
        <f t="shared" si="10"/>
        <v>DEV</v>
      </c>
      <c r="AP5" s="210" t="str">
        <f t="shared" si="11"/>
        <v>DEV, TA</v>
      </c>
      <c r="AQ5" s="210" t="str">
        <f t="shared" si="12"/>
        <v>MOC</v>
      </c>
      <c r="AR5" s="210"/>
      <c r="AZ5" s="210"/>
      <c r="BA5" s="210"/>
      <c r="BB5" s="210"/>
      <c r="BC5" s="210"/>
      <c r="BD5" s="210"/>
      <c r="BE5" s="210"/>
      <c r="BF5" s="210"/>
      <c r="BG5" s="210"/>
      <c r="BH5" s="210"/>
      <c r="BI5" s="210"/>
      <c r="BJ5" s="210"/>
      <c r="BK5" s="210"/>
      <c r="BL5" s="210"/>
      <c r="BM5" s="210"/>
      <c r="BN5" s="210"/>
      <c r="BO5" s="210"/>
      <c r="BP5" s="210"/>
      <c r="BQ5" s="210"/>
      <c r="BR5" s="210"/>
      <c r="BS5" s="210"/>
      <c r="BT5" s="210"/>
      <c r="BU5" s="210"/>
      <c r="BV5" s="210"/>
      <c r="BW5" s="210"/>
      <c r="BX5" s="210"/>
      <c r="BY5" s="210"/>
      <c r="BZ5" s="210"/>
      <c r="CA5" s="210"/>
      <c r="CB5" s="210"/>
      <c r="CC5" s="210"/>
      <c r="CD5" s="210"/>
      <c r="CE5" s="210"/>
      <c r="CF5" s="210"/>
      <c r="CG5" s="210"/>
      <c r="CH5" s="210"/>
      <c r="CI5" s="210"/>
      <c r="CJ5" s="210"/>
      <c r="CK5" s="210"/>
    </row>
    <row r="6">
      <c r="A6" s="222" t="s">
        <v>657</v>
      </c>
      <c r="B6" s="190" t="s">
        <v>658</v>
      </c>
      <c r="C6" s="223" t="s">
        <v>51</v>
      </c>
      <c r="D6" s="223" t="s">
        <v>844</v>
      </c>
      <c r="E6" s="190" t="s">
        <v>21</v>
      </c>
      <c r="F6" s="13" t="s">
        <v>932</v>
      </c>
      <c r="G6" s="13" t="s">
        <v>932</v>
      </c>
      <c r="H6" s="219">
        <f>IFERROR(
  MINIFS(ATTENDANCE_LOG!$F:$F,
         ATTENDANCE_LOG!$A:$A, C6,
         ATTENDANCE_LOG!$B:$B, E6),
"")</f>
        <v>45700.41667</v>
      </c>
      <c r="I6" s="219">
        <f t="shared" si="2"/>
        <v>45700.41667</v>
      </c>
      <c r="J6" s="190">
        <f>IFERROR(VLOOKUP(F6, LEVEL_HELPER!$A:$B, 2, 0), "")</f>
        <v>4.5</v>
      </c>
      <c r="K6" s="190">
        <f>IFERROR(VLOOKUP(G6, LEVEL_HELPER!$A:$B, 2, 0), "")</f>
        <v>4.5</v>
      </c>
      <c r="L6" s="220" t="s">
        <v>919</v>
      </c>
      <c r="M6" s="220" t="s">
        <v>920</v>
      </c>
      <c r="N6" s="190">
        <f t="array" ref="N6">IFERROR(
  INDEX($J$2:$J$543,
    MATCH(A6&amp;TEXT(I6,"yyyy-mm-dd"),
          $A$2:$A$543&amp;TEXT($H$2:$H$543,"yyyy-mm-dd"),
          0)),
"")</f>
        <v>4.5</v>
      </c>
      <c r="O6" s="210">
        <f t="shared" si="3"/>
        <v>5.5</v>
      </c>
      <c r="P6" s="210">
        <f t="shared" ref="P6:Q6" si="16">IF(N6="",0,IF(N6&lt;=2,1,IF(N6&lt;=4,2,IF(N6&lt;=5.5,3,4))))</f>
        <v>3</v>
      </c>
      <c r="Q6" s="210">
        <f t="shared" si="16"/>
        <v>3</v>
      </c>
      <c r="R6" s="210" t="str">
        <f t="shared" si="5"/>
        <v>Progress within level</v>
      </c>
      <c r="S6" s="210">
        <f t="shared" si="6"/>
        <v>1</v>
      </c>
      <c r="T6" s="210"/>
      <c r="U6" s="210"/>
      <c r="V6" s="211" t="s">
        <v>657</v>
      </c>
      <c r="W6" s="210" t="str">
        <f t="shared" si="7"/>
        <v>QC</v>
      </c>
      <c r="X6" s="210" t="str">
        <f t="shared" si="8"/>
        <v>QC</v>
      </c>
      <c r="Y6" s="210" t="str">
        <f t="shared" si="9"/>
        <v>POC</v>
      </c>
      <c r="Z6" s="210"/>
      <c r="AA6" s="210" t="s">
        <v>933</v>
      </c>
      <c r="AB6" s="210">
        <v>7.0</v>
      </c>
      <c r="AC6" s="210">
        <v>1.0</v>
      </c>
      <c r="AD6" s="210">
        <v>1.0</v>
      </c>
      <c r="AE6" s="210"/>
      <c r="AF6" s="210">
        <v>1.0</v>
      </c>
      <c r="AG6" s="210"/>
      <c r="AH6" s="210"/>
      <c r="AI6" s="210"/>
      <c r="AJ6" s="221" t="s">
        <v>23</v>
      </c>
      <c r="AK6" s="220">
        <v>3.0</v>
      </c>
      <c r="AL6" s="210">
        <v>22.0</v>
      </c>
      <c r="AM6" s="214">
        <f t="shared" si="14"/>
        <v>7.333333333</v>
      </c>
      <c r="AN6" s="211" t="str">
        <f>IFERROR(__xludf.DUMMYFUNCTION("""COMPUTED_VALUE"""),"183322")</f>
        <v>183322</v>
      </c>
      <c r="AO6" s="210" t="str">
        <f t="shared" si="10"/>
        <v>DEV</v>
      </c>
      <c r="AP6" s="210" t="str">
        <f t="shared" si="11"/>
        <v>DEV, TA</v>
      </c>
      <c r="AQ6" s="210" t="str">
        <f t="shared" si="12"/>
        <v>MOC</v>
      </c>
      <c r="AR6" s="210"/>
      <c r="AZ6" s="210"/>
      <c r="BA6" s="210"/>
      <c r="BB6" s="210"/>
      <c r="BC6" s="210"/>
      <c r="BD6" s="210"/>
      <c r="BE6" s="210"/>
      <c r="BF6" s="210"/>
      <c r="BG6" s="210"/>
      <c r="BH6" s="210"/>
      <c r="BI6" s="210"/>
      <c r="BJ6" s="210"/>
      <c r="BK6" s="210"/>
      <c r="BL6" s="210"/>
      <c r="BM6" s="210"/>
      <c r="BN6" s="210"/>
      <c r="BO6" s="210"/>
      <c r="BP6" s="210"/>
      <c r="BQ6" s="210"/>
      <c r="BR6" s="210"/>
      <c r="BS6" s="210"/>
      <c r="BT6" s="210"/>
      <c r="BU6" s="210"/>
      <c r="BV6" s="210"/>
      <c r="BW6" s="210"/>
      <c r="BX6" s="210"/>
      <c r="BY6" s="210"/>
      <c r="BZ6" s="210"/>
      <c r="CA6" s="210"/>
      <c r="CB6" s="210"/>
      <c r="CC6" s="210"/>
      <c r="CD6" s="210"/>
      <c r="CE6" s="210"/>
      <c r="CF6" s="210"/>
      <c r="CG6" s="210"/>
      <c r="CH6" s="210"/>
      <c r="CI6" s="210"/>
      <c r="CJ6" s="210"/>
      <c r="CK6" s="210"/>
    </row>
    <row r="7">
      <c r="A7" s="222" t="s">
        <v>659</v>
      </c>
      <c r="B7" s="190" t="s">
        <v>660</v>
      </c>
      <c r="C7" s="223" t="s">
        <v>51</v>
      </c>
      <c r="D7" s="223" t="s">
        <v>844</v>
      </c>
      <c r="E7" s="190" t="s">
        <v>21</v>
      </c>
      <c r="F7" s="13" t="s">
        <v>927</v>
      </c>
      <c r="G7" s="13" t="s">
        <v>935</v>
      </c>
      <c r="H7" s="219">
        <f>IFERROR(
  MINIFS(ATTENDANCE_LOG!$F:$F,
         ATTENDANCE_LOG!$A:$A, C7,
         ATTENDANCE_LOG!$B:$B, E7),
"")</f>
        <v>45700.41667</v>
      </c>
      <c r="I7" s="219">
        <f t="shared" si="2"/>
        <v>45700.41667</v>
      </c>
      <c r="J7" s="190">
        <f>IFERROR(VLOOKUP(F7, LEVEL_HELPER!$A:$B, 2, 0), "")</f>
        <v>1</v>
      </c>
      <c r="K7" s="190">
        <f>IFERROR(VLOOKUP(G7, LEVEL_HELPER!$A:$B, 2, 0), "")</f>
        <v>3.5</v>
      </c>
      <c r="L7" s="220" t="s">
        <v>919</v>
      </c>
      <c r="M7" s="220" t="s">
        <v>920</v>
      </c>
      <c r="N7" s="190">
        <f t="array" ref="N7">IFERROR(
  INDEX($J$2:$J$543,
    MATCH(A7&amp;TEXT(I7,"yyyy-mm-dd"),
          $A$2:$A$543&amp;TEXT($H$2:$H$543,"yyyy-mm-dd"),
          0)),
"")</f>
        <v>1</v>
      </c>
      <c r="O7" s="210">
        <f t="shared" si="3"/>
        <v>5</v>
      </c>
      <c r="P7" s="210">
        <f t="shared" ref="P7:Q7" si="17">IF(N7="",0,IF(N7&lt;=2,1,IF(N7&lt;=4,2,IF(N7&lt;=5.5,3,4))))</f>
        <v>1</v>
      </c>
      <c r="Q7" s="210">
        <f t="shared" si="17"/>
        <v>3</v>
      </c>
      <c r="R7" s="210" t="str">
        <f t="shared" si="5"/>
        <v>Lv1 → Lv3 (multi)</v>
      </c>
      <c r="S7" s="210">
        <f t="shared" si="6"/>
        <v>1</v>
      </c>
      <c r="T7" s="210"/>
      <c r="U7" s="210"/>
      <c r="V7" s="211" t="s">
        <v>659</v>
      </c>
      <c r="W7" s="210" t="str">
        <f t="shared" si="7"/>
        <v>QC</v>
      </c>
      <c r="X7" s="210" t="str">
        <f t="shared" si="8"/>
        <v>QC</v>
      </c>
      <c r="Y7" s="210" t="str">
        <f t="shared" si="9"/>
        <v>POC</v>
      </c>
      <c r="Z7" s="210"/>
      <c r="AA7" s="210" t="s">
        <v>934</v>
      </c>
      <c r="AB7" s="210"/>
      <c r="AC7" s="210">
        <v>6.0</v>
      </c>
      <c r="AD7" s="210"/>
      <c r="AE7" s="210"/>
      <c r="AF7" s="210"/>
      <c r="AG7" s="210"/>
      <c r="AH7" s="210">
        <v>1.0</v>
      </c>
      <c r="AI7" s="210"/>
      <c r="AJ7" s="210" t="s">
        <v>26</v>
      </c>
      <c r="AK7" s="210">
        <v>1.0</v>
      </c>
      <c r="AL7" s="210">
        <v>3.0</v>
      </c>
      <c r="AM7" s="214">
        <f t="shared" si="14"/>
        <v>3</v>
      </c>
      <c r="AN7" s="211" t="str">
        <f>IFERROR(__xludf.DUMMYFUNCTION("""COMPUTED_VALUE"""),"257134")</f>
        <v>257134</v>
      </c>
      <c r="AO7" s="210" t="str">
        <f t="shared" si="10"/>
        <v>Designer</v>
      </c>
      <c r="AP7" s="210" t="str">
        <f t="shared" si="11"/>
        <v>UI/UX, Des</v>
      </c>
      <c r="AQ7" s="210" t="str">
        <f t="shared" si="12"/>
        <v>LBU</v>
      </c>
      <c r="AR7" s="210"/>
      <c r="AZ7" s="210"/>
      <c r="BA7" s="210"/>
      <c r="BB7" s="210"/>
      <c r="BC7" s="210"/>
      <c r="BD7" s="210"/>
      <c r="BE7" s="210"/>
      <c r="BF7" s="210"/>
      <c r="BG7" s="210"/>
      <c r="BH7" s="210"/>
      <c r="BI7" s="210"/>
      <c r="BJ7" s="210"/>
      <c r="BK7" s="210"/>
      <c r="BL7" s="210"/>
      <c r="BM7" s="210"/>
      <c r="BN7" s="210"/>
      <c r="BO7" s="210"/>
      <c r="BP7" s="210"/>
      <c r="BQ7" s="210"/>
      <c r="BR7" s="210"/>
      <c r="BS7" s="210"/>
      <c r="BT7" s="210"/>
      <c r="BU7" s="210"/>
      <c r="BV7" s="210"/>
      <c r="BW7" s="210"/>
      <c r="BX7" s="210"/>
      <c r="BY7" s="210"/>
      <c r="BZ7" s="210"/>
      <c r="CA7" s="210"/>
      <c r="CB7" s="210"/>
      <c r="CC7" s="210"/>
      <c r="CD7" s="210"/>
      <c r="CE7" s="210"/>
      <c r="CF7" s="210"/>
      <c r="CG7" s="210"/>
      <c r="CH7" s="210"/>
      <c r="CI7" s="210"/>
      <c r="CJ7" s="210"/>
      <c r="CK7" s="210"/>
    </row>
    <row r="8">
      <c r="A8" s="216" t="s">
        <v>721</v>
      </c>
      <c r="B8" s="217" t="s">
        <v>722</v>
      </c>
      <c r="C8" s="218" t="s">
        <v>51</v>
      </c>
      <c r="D8" s="218" t="s">
        <v>844</v>
      </c>
      <c r="E8" s="217" t="s">
        <v>22</v>
      </c>
      <c r="F8" s="13" t="s">
        <v>918</v>
      </c>
      <c r="G8" s="13" t="s">
        <v>935</v>
      </c>
      <c r="H8" s="219">
        <f>IFERROR(
  MINIFS(ATTENDANCE_LOG!$F:$F,
         ATTENDANCE_LOG!$A:$A, C8,
         ATTENDANCE_LOG!$B:$B, E8),
"")</f>
        <v>45889.45833</v>
      </c>
      <c r="I8" s="219">
        <f t="shared" si="2"/>
        <v>45700.41667</v>
      </c>
      <c r="J8" s="190">
        <f>IFERROR(VLOOKUP(F8, LEVEL_HELPER!$A:$B, 2, 0), "")</f>
        <v>3</v>
      </c>
      <c r="K8" s="190">
        <f>IFERROR(VLOOKUP(G8, LEVEL_HELPER!$A:$B, 2, 0), "")</f>
        <v>3.5</v>
      </c>
      <c r="L8" s="220" t="s">
        <v>919</v>
      </c>
      <c r="M8" s="220" t="s">
        <v>920</v>
      </c>
      <c r="N8" s="190">
        <f t="array" ref="N8">IFERROR(
  INDEX($J$2:$J$543,
    MATCH(A8&amp;TEXT(I8,"yyyy-mm-dd"),
          $A$2:$A$543&amp;TEXT($H$2:$H$543,"yyyy-mm-dd"),
          0)),
"")</f>
        <v>2.5</v>
      </c>
      <c r="O8" s="210">
        <f t="shared" si="3"/>
        <v>3.5</v>
      </c>
      <c r="P8" s="210">
        <f t="shared" ref="P8:Q8" si="18">IF(N8="",0,IF(N8&lt;=2,1,IF(N8&lt;=4,2,IF(N8&lt;=5.5,3,4))))</f>
        <v>2</v>
      </c>
      <c r="Q8" s="210">
        <f t="shared" si="18"/>
        <v>2</v>
      </c>
      <c r="R8" s="210" t="str">
        <f t="shared" si="5"/>
        <v>Progress within level</v>
      </c>
      <c r="S8" s="210">
        <f t="shared" si="6"/>
        <v>0</v>
      </c>
      <c r="T8" s="210"/>
      <c r="U8" s="210"/>
      <c r="V8" s="211" t="s">
        <v>170</v>
      </c>
      <c r="W8" s="210" t="str">
        <f t="shared" si="7"/>
        <v>SM</v>
      </c>
      <c r="X8" s="210" t="str">
        <f t="shared" si="8"/>
        <v>PPO, SM, IM </v>
      </c>
      <c r="Y8" s="210" t="str">
        <f t="shared" si="9"/>
        <v>CHORUS</v>
      </c>
      <c r="Z8" s="210"/>
      <c r="AA8" s="210" t="s">
        <v>919</v>
      </c>
      <c r="AB8" s="210"/>
      <c r="AC8" s="210">
        <v>11.0</v>
      </c>
      <c r="AD8" s="210">
        <v>12.0</v>
      </c>
      <c r="AE8" s="210">
        <v>6.0</v>
      </c>
      <c r="AF8" s="210">
        <v>10.0</v>
      </c>
      <c r="AG8" s="210">
        <v>6.0</v>
      </c>
      <c r="AH8" s="210">
        <v>2.0</v>
      </c>
      <c r="AI8" s="210"/>
      <c r="AJ8" s="210" t="s">
        <v>25</v>
      </c>
      <c r="AK8" s="210">
        <v>5.0</v>
      </c>
      <c r="AL8" s="210">
        <v>41.0</v>
      </c>
      <c r="AM8" s="214">
        <f t="shared" si="14"/>
        <v>8.2</v>
      </c>
      <c r="AN8" s="211" t="str">
        <f>IFERROR(__xludf.DUMMYFUNCTION("""COMPUTED_VALUE"""),"237239")</f>
        <v>237239</v>
      </c>
      <c r="AO8" s="210" t="str">
        <f t="shared" si="10"/>
        <v>DEV</v>
      </c>
      <c r="AP8" s="210" t="str">
        <f t="shared" si="11"/>
        <v>DEV, TA</v>
      </c>
      <c r="AQ8" s="210" t="str">
        <f t="shared" si="12"/>
        <v>CHORUS</v>
      </c>
      <c r="AR8" s="210"/>
      <c r="AZ8" s="210"/>
      <c r="BA8" s="210"/>
      <c r="BB8" s="210"/>
      <c r="BC8" s="210"/>
      <c r="BD8" s="210"/>
      <c r="BE8" s="210"/>
      <c r="BF8" s="210"/>
      <c r="BG8" s="210"/>
      <c r="BH8" s="210"/>
      <c r="BI8" s="210"/>
      <c r="BJ8" s="210"/>
      <c r="BK8" s="210"/>
      <c r="BL8" s="210"/>
      <c r="BM8" s="210"/>
      <c r="BN8" s="210"/>
      <c r="BO8" s="210"/>
      <c r="BP8" s="210"/>
      <c r="BQ8" s="210"/>
      <c r="BR8" s="210"/>
      <c r="BS8" s="210"/>
      <c r="BT8" s="210"/>
      <c r="BU8" s="210"/>
      <c r="BV8" s="210"/>
      <c r="BW8" s="210"/>
      <c r="BX8" s="210"/>
      <c r="BY8" s="210"/>
      <c r="BZ8" s="210"/>
      <c r="CA8" s="210"/>
      <c r="CB8" s="210"/>
      <c r="CC8" s="210"/>
      <c r="CD8" s="210"/>
      <c r="CE8" s="210"/>
      <c r="CF8" s="210"/>
      <c r="CG8" s="210"/>
      <c r="CH8" s="210"/>
      <c r="CI8" s="210"/>
      <c r="CJ8" s="210"/>
      <c r="CK8" s="210"/>
    </row>
    <row r="9">
      <c r="A9" s="222" t="s">
        <v>296</v>
      </c>
      <c r="B9" s="190" t="s">
        <v>297</v>
      </c>
      <c r="C9" s="223" t="s">
        <v>51</v>
      </c>
      <c r="D9" s="223" t="s">
        <v>844</v>
      </c>
      <c r="E9" s="190" t="s">
        <v>22</v>
      </c>
      <c r="F9" s="13" t="s">
        <v>918</v>
      </c>
      <c r="G9" s="13" t="s">
        <v>935</v>
      </c>
      <c r="H9" s="219">
        <f>IFERROR(
  MINIFS(ATTENDANCE_LOG!$F:$F,
         ATTENDANCE_LOG!$A:$A, C9,
         ATTENDANCE_LOG!$B:$B, E9),
"")</f>
        <v>45889.45833</v>
      </c>
      <c r="I9" s="219">
        <f t="shared" si="2"/>
        <v>45700.41667</v>
      </c>
      <c r="J9" s="190">
        <f>IFERROR(VLOOKUP(F9, LEVEL_HELPER!$A:$B, 2, 0), "")</f>
        <v>3</v>
      </c>
      <c r="K9" s="190">
        <f>IFERROR(VLOOKUP(G9, LEVEL_HELPER!$A:$B, 2, 0), "")</f>
        <v>3.5</v>
      </c>
      <c r="L9" s="220" t="s">
        <v>919</v>
      </c>
      <c r="M9" s="220" t="s">
        <v>920</v>
      </c>
      <c r="N9" s="190">
        <f t="array" ref="N9">IFERROR(
  INDEX($J$2:$J$543,
    MATCH(A9&amp;TEXT(I9,"yyyy-mm-dd"),
          $A$2:$A$543&amp;TEXT($H$2:$H$543,"yyyy-mm-dd"),
          0)),
"")</f>
        <v>1</v>
      </c>
      <c r="O9" s="210">
        <f t="shared" si="3"/>
        <v>3.5</v>
      </c>
      <c r="P9" s="210">
        <f t="shared" ref="P9:Q9" si="19">IF(N9="",0,IF(N9&lt;=2,1,IF(N9&lt;=4,2,IF(N9&lt;=5.5,3,4))))</f>
        <v>1</v>
      </c>
      <c r="Q9" s="210">
        <f t="shared" si="19"/>
        <v>2</v>
      </c>
      <c r="R9" s="210" t="str">
        <f t="shared" si="5"/>
        <v>Lv1 → Lv2</v>
      </c>
      <c r="S9" s="210">
        <f t="shared" si="6"/>
        <v>0</v>
      </c>
      <c r="T9" s="210"/>
      <c r="U9" s="210"/>
      <c r="V9" s="211" t="s">
        <v>196</v>
      </c>
      <c r="W9" s="210" t="str">
        <f t="shared" si="7"/>
        <v>DEV</v>
      </c>
      <c r="X9" s="210" t="str">
        <f t="shared" si="8"/>
        <v>DEV, TA</v>
      </c>
      <c r="Y9" s="210" t="str">
        <f t="shared" si="9"/>
        <v>CHORUS</v>
      </c>
      <c r="Z9" s="210"/>
      <c r="AA9" s="210" t="s">
        <v>936</v>
      </c>
      <c r="AB9" s="210"/>
      <c r="AC9" s="210">
        <v>6.0</v>
      </c>
      <c r="AD9" s="210">
        <v>7.0</v>
      </c>
      <c r="AE9" s="210"/>
      <c r="AF9" s="210"/>
      <c r="AG9" s="210"/>
      <c r="AH9" s="210"/>
      <c r="AI9" s="225">
        <f>AI10/1200</f>
        <v>0.2533333333</v>
      </c>
      <c r="AJ9" s="210" t="s">
        <v>840</v>
      </c>
      <c r="AK9" s="210">
        <v>50.0</v>
      </c>
      <c r="AL9" s="226">
        <v>304.0</v>
      </c>
      <c r="AM9" s="214">
        <f t="shared" si="14"/>
        <v>6.08</v>
      </c>
      <c r="AN9" s="225" t="str">
        <f>IFERROR(__xludf.DUMMYFUNCTION("""COMPUTED_VALUE"""),"213835")</f>
        <v>213835</v>
      </c>
      <c r="AO9" s="210" t="str">
        <f t="shared" si="10"/>
        <v>DEV</v>
      </c>
      <c r="AP9" s="210" t="str">
        <f t="shared" si="11"/>
        <v>DEV, TA</v>
      </c>
      <c r="AQ9" s="210" t="str">
        <f t="shared" si="12"/>
        <v>MOC</v>
      </c>
      <c r="AR9" s="225"/>
      <c r="AZ9" s="210"/>
      <c r="BA9" s="225">
        <f>BA10/1200</f>
        <v>0.0875</v>
      </c>
      <c r="BB9" s="225"/>
      <c r="BC9" s="225"/>
      <c r="BD9" s="225"/>
      <c r="BE9" s="225"/>
      <c r="BF9" s="225"/>
      <c r="BG9" s="225"/>
      <c r="BH9" s="225"/>
      <c r="BI9" s="225"/>
      <c r="BJ9" s="225"/>
      <c r="BK9" s="225"/>
      <c r="BL9" s="225"/>
      <c r="BM9" s="225"/>
      <c r="BN9" s="225"/>
      <c r="BO9" s="225"/>
      <c r="BP9" s="225"/>
      <c r="BQ9" s="225"/>
      <c r="BR9" s="225"/>
      <c r="BS9" s="225"/>
      <c r="BT9" s="225"/>
      <c r="BU9" s="225"/>
      <c r="BV9" s="225"/>
      <c r="BW9" s="225"/>
      <c r="BX9" s="225"/>
      <c r="BY9" s="225"/>
      <c r="BZ9" s="225"/>
      <c r="CA9" s="225"/>
      <c r="CB9" s="225"/>
      <c r="CC9" s="225"/>
      <c r="CD9" s="225"/>
      <c r="CE9" s="225"/>
      <c r="CF9" s="225"/>
      <c r="CG9" s="225"/>
      <c r="CH9" s="225"/>
      <c r="CI9" s="225"/>
      <c r="CJ9" s="225"/>
      <c r="CK9" s="225"/>
    </row>
    <row r="10">
      <c r="A10" s="222" t="s">
        <v>319</v>
      </c>
      <c r="B10" s="190" t="s">
        <v>320</v>
      </c>
      <c r="C10" s="223" t="s">
        <v>51</v>
      </c>
      <c r="D10" s="223" t="s">
        <v>844</v>
      </c>
      <c r="E10" s="190" t="s">
        <v>22</v>
      </c>
      <c r="F10" s="13" t="s">
        <v>929</v>
      </c>
      <c r="G10" s="13" t="s">
        <v>937</v>
      </c>
      <c r="H10" s="219">
        <f>IFERROR(
  MINIFS(ATTENDANCE_LOG!$F:$F,
         ATTENDANCE_LOG!$A:$A, C10,
         ATTENDANCE_LOG!$B:$B, E10),
"")</f>
        <v>45889.45833</v>
      </c>
      <c r="I10" s="219">
        <f t="shared" si="2"/>
        <v>45700.41667</v>
      </c>
      <c r="J10" s="190">
        <f>IFERROR(VLOOKUP(F10, LEVEL_HELPER!$A:$B, 2, 0), "")</f>
        <v>1.5</v>
      </c>
      <c r="K10" s="190">
        <f>IFERROR(VLOOKUP(G10, LEVEL_HELPER!$A:$B, 2, 0), "")</f>
        <v>2</v>
      </c>
      <c r="L10" s="220" t="s">
        <v>919</v>
      </c>
      <c r="M10" s="220" t="s">
        <v>920</v>
      </c>
      <c r="N10" s="190">
        <f t="array" ref="N10">IFERROR(
  INDEX($J$2:$J$543,
    MATCH(A10&amp;TEXT(I10,"yyyy-mm-dd"),
          $A$2:$A$543&amp;TEXT($H$2:$H$543,"yyyy-mm-dd"),
          0)),
"")</f>
        <v>1</v>
      </c>
      <c r="O10" s="210">
        <f t="shared" si="3"/>
        <v>2</v>
      </c>
      <c r="P10" s="210">
        <f t="shared" ref="P10:Q10" si="20">IF(N10="",0,IF(N10&lt;=2,1,IF(N10&lt;=4,2,IF(N10&lt;=5.5,3,4))))</f>
        <v>1</v>
      </c>
      <c r="Q10" s="210">
        <f t="shared" si="20"/>
        <v>1</v>
      </c>
      <c r="R10" s="210" t="str">
        <f t="shared" si="5"/>
        <v>Progress within level</v>
      </c>
      <c r="S10" s="210">
        <f t="shared" si="6"/>
        <v>0</v>
      </c>
      <c r="T10" s="210"/>
      <c r="U10" s="210"/>
      <c r="V10" s="211" t="s">
        <v>328</v>
      </c>
      <c r="W10" s="210" t="str">
        <f t="shared" si="7"/>
        <v>DEV</v>
      </c>
      <c r="X10" s="210" t="str">
        <f t="shared" si="8"/>
        <v>DEV, TA</v>
      </c>
      <c r="Y10" s="210" t="str">
        <f t="shared" si="9"/>
        <v>CHORUS</v>
      </c>
      <c r="Z10" s="210"/>
      <c r="AA10" s="210" t="s">
        <v>840</v>
      </c>
      <c r="AB10" s="210">
        <v>7.0</v>
      </c>
      <c r="AC10" s="210">
        <v>61.0</v>
      </c>
      <c r="AD10" s="210">
        <v>63.0</v>
      </c>
      <c r="AE10" s="210">
        <v>57.0</v>
      </c>
      <c r="AF10" s="210">
        <v>55.0</v>
      </c>
      <c r="AG10" s="210">
        <v>28.0</v>
      </c>
      <c r="AH10" s="210">
        <v>33.0</v>
      </c>
      <c r="AI10" s="227">
        <f>sum(AB10:AH10)</f>
        <v>304</v>
      </c>
      <c r="AJ10" s="227"/>
      <c r="AK10" s="227"/>
      <c r="AL10" s="227"/>
      <c r="AM10" s="214"/>
      <c r="AN10" s="211" t="str">
        <f>IFERROR(__xludf.DUMMYFUNCTION("""COMPUTED_VALUE"""),"247063")</f>
        <v>247063</v>
      </c>
      <c r="AO10" s="210" t="str">
        <f t="shared" si="10"/>
        <v>GSD</v>
      </c>
      <c r="AP10" s="210" t="str">
        <f t="shared" si="11"/>
        <v>GSD</v>
      </c>
      <c r="AQ10" s="210" t="str">
        <f t="shared" si="12"/>
        <v>POC</v>
      </c>
      <c r="AR10" s="227"/>
      <c r="AS10" s="210"/>
      <c r="AT10" s="210"/>
      <c r="AU10" s="210"/>
      <c r="AV10" s="210"/>
      <c r="AW10" s="210"/>
      <c r="AX10" s="210"/>
      <c r="AY10" s="210"/>
      <c r="AZ10" s="210"/>
      <c r="BA10" s="227">
        <f>sum(AT9:AZ9)</f>
        <v>105</v>
      </c>
      <c r="BB10" s="227"/>
      <c r="BC10" s="227"/>
      <c r="BD10" s="227"/>
      <c r="BE10" s="227"/>
      <c r="BF10" s="227"/>
      <c r="BG10" s="227"/>
      <c r="BH10" s="227"/>
      <c r="BI10" s="227"/>
      <c r="BJ10" s="227"/>
      <c r="BK10" s="227"/>
      <c r="BL10" s="227"/>
      <c r="BM10" s="227"/>
      <c r="BN10" s="227"/>
      <c r="BO10" s="227"/>
      <c r="BP10" s="227"/>
      <c r="BQ10" s="227"/>
      <c r="BR10" s="227"/>
      <c r="BS10" s="227"/>
      <c r="BT10" s="227"/>
      <c r="BU10" s="227"/>
      <c r="BV10" s="227"/>
      <c r="BW10" s="227"/>
      <c r="BX10" s="227"/>
      <c r="BY10" s="227"/>
      <c r="BZ10" s="227"/>
      <c r="CA10" s="227"/>
      <c r="CB10" s="227"/>
      <c r="CC10" s="227"/>
      <c r="CD10" s="227"/>
      <c r="CE10" s="227"/>
      <c r="CF10" s="227"/>
      <c r="CG10" s="227"/>
      <c r="CH10" s="227"/>
      <c r="CI10" s="227"/>
      <c r="CJ10" s="227"/>
      <c r="CK10" s="227"/>
    </row>
    <row r="11">
      <c r="A11" s="222" t="s">
        <v>474</v>
      </c>
      <c r="B11" s="190" t="s">
        <v>475</v>
      </c>
      <c r="C11" s="223" t="s">
        <v>51</v>
      </c>
      <c r="D11" s="223" t="s">
        <v>844</v>
      </c>
      <c r="E11" s="190" t="s">
        <v>22</v>
      </c>
      <c r="F11" s="13" t="s">
        <v>918</v>
      </c>
      <c r="G11" s="13" t="s">
        <v>935</v>
      </c>
      <c r="H11" s="219">
        <f>IFERROR(
  MINIFS(ATTENDANCE_LOG!$F:$F,
         ATTENDANCE_LOG!$A:$A, C11,
         ATTENDANCE_LOG!$B:$B, E11),
"")</f>
        <v>45889.45833</v>
      </c>
      <c r="I11" s="219">
        <f t="shared" si="2"/>
        <v>45700.41667</v>
      </c>
      <c r="J11" s="190">
        <f>IFERROR(VLOOKUP(F11, LEVEL_HELPER!$A:$B, 2, 0), "")</f>
        <v>3</v>
      </c>
      <c r="K11" s="190">
        <f>IFERROR(VLOOKUP(G11, LEVEL_HELPER!$A:$B, 2, 0), "")</f>
        <v>3.5</v>
      </c>
      <c r="L11" s="220" t="s">
        <v>919</v>
      </c>
      <c r="M11" s="220" t="s">
        <v>920</v>
      </c>
      <c r="N11" s="190">
        <f t="array" ref="N11">IFERROR(
  INDEX($J$2:$J$543,
    MATCH(A11&amp;TEXT(I11,"yyyy-mm-dd"),
          $A$2:$A$543&amp;TEXT($H$2:$H$543,"yyyy-mm-dd"),
          0)),
"")</f>
        <v>1</v>
      </c>
      <c r="O11" s="210">
        <f t="shared" si="3"/>
        <v>3.5</v>
      </c>
      <c r="P11" s="210">
        <f t="shared" ref="P11:Q11" si="21">IF(N11="",0,IF(N11&lt;=2,1,IF(N11&lt;=4,2,IF(N11&lt;=5.5,3,4))))</f>
        <v>1</v>
      </c>
      <c r="Q11" s="210">
        <f t="shared" si="21"/>
        <v>2</v>
      </c>
      <c r="R11" s="210" t="str">
        <f t="shared" si="5"/>
        <v>Lv1 → Lv2</v>
      </c>
      <c r="S11" s="210">
        <f t="shared" si="6"/>
        <v>0</v>
      </c>
      <c r="T11" s="210"/>
      <c r="U11" s="210"/>
      <c r="V11" s="211" t="s">
        <v>506</v>
      </c>
      <c r="W11" s="210" t="str">
        <f t="shared" si="7"/>
        <v>TA</v>
      </c>
      <c r="X11" s="210" t="str">
        <f t="shared" si="8"/>
        <v>DEV, TA</v>
      </c>
      <c r="Y11" s="210" t="str">
        <f t="shared" si="9"/>
        <v>CHORUS</v>
      </c>
      <c r="Z11" s="210"/>
      <c r="AM11" s="194"/>
      <c r="AN11" s="222" t="str">
        <f>IFERROR(__xludf.DUMMYFUNCTION("""COMPUTED_VALUE"""),"193588")</f>
        <v>193588</v>
      </c>
      <c r="AO11" s="210" t="str">
        <f t="shared" si="10"/>
        <v>DEV</v>
      </c>
      <c r="AP11" s="210" t="str">
        <f t="shared" si="11"/>
        <v>DEV, TA</v>
      </c>
      <c r="AQ11" s="210" t="str">
        <f t="shared" si="12"/>
        <v>MOC</v>
      </c>
    </row>
    <row r="12">
      <c r="A12" s="222" t="s">
        <v>657</v>
      </c>
      <c r="B12" s="190" t="s">
        <v>658</v>
      </c>
      <c r="C12" s="223" t="s">
        <v>51</v>
      </c>
      <c r="D12" s="223" t="s">
        <v>844</v>
      </c>
      <c r="E12" s="190" t="s">
        <v>22</v>
      </c>
      <c r="F12" s="13" t="s">
        <v>932</v>
      </c>
      <c r="G12" s="13" t="s">
        <v>938</v>
      </c>
      <c r="H12" s="219">
        <f>IFERROR(
  MINIFS(ATTENDANCE_LOG!$F:$F,
         ATTENDANCE_LOG!$A:$A, C12,
         ATTENDANCE_LOG!$B:$B, E12),
"")</f>
        <v>45889.45833</v>
      </c>
      <c r="I12" s="219">
        <f t="shared" si="2"/>
        <v>45700.41667</v>
      </c>
      <c r="J12" s="190">
        <f>IFERROR(VLOOKUP(F12, LEVEL_HELPER!$A:$B, 2, 0), "")</f>
        <v>4.5</v>
      </c>
      <c r="K12" s="190">
        <f>IFERROR(VLOOKUP(G12, LEVEL_HELPER!$A:$B, 2, 0), "")</f>
        <v>5.5</v>
      </c>
      <c r="L12" s="220" t="s">
        <v>919</v>
      </c>
      <c r="M12" s="220" t="s">
        <v>920</v>
      </c>
      <c r="N12" s="190">
        <f t="array" ref="N12">IFERROR(
  INDEX($J$2:$J$543,
    MATCH(A12&amp;TEXT(I12,"yyyy-mm-dd"),
          $A$2:$A$543&amp;TEXT($H$2:$H$543,"yyyy-mm-dd"),
          0)),
"")</f>
        <v>4.5</v>
      </c>
      <c r="O12" s="210">
        <f t="shared" si="3"/>
        <v>5.5</v>
      </c>
      <c r="P12" s="210">
        <f t="shared" ref="P12:Q12" si="22">IF(N12="",0,IF(N12&lt;=2,1,IF(N12&lt;=4,2,IF(N12&lt;=5.5,3,4))))</f>
        <v>3</v>
      </c>
      <c r="Q12" s="210">
        <f t="shared" si="22"/>
        <v>3</v>
      </c>
      <c r="R12" s="210" t="str">
        <f t="shared" si="5"/>
        <v>Progress within level</v>
      </c>
      <c r="S12" s="210">
        <f t="shared" si="6"/>
        <v>0</v>
      </c>
      <c r="T12" s="210"/>
      <c r="U12" s="210"/>
      <c r="V12" s="211" t="s">
        <v>605</v>
      </c>
      <c r="W12" s="210" t="str">
        <f t="shared" si="7"/>
        <v>DEV</v>
      </c>
      <c r="X12" s="210" t="str">
        <f t="shared" si="8"/>
        <v>DEV, TA</v>
      </c>
      <c r="Y12" s="210" t="str">
        <f t="shared" si="9"/>
        <v>LBU</v>
      </c>
      <c r="Z12" s="210"/>
      <c r="AA12" s="228" t="s">
        <v>939</v>
      </c>
      <c r="AB12" s="210"/>
      <c r="AC12" s="210"/>
      <c r="AD12" s="210"/>
      <c r="AE12" s="210"/>
      <c r="AF12" s="210"/>
      <c r="AG12" s="210"/>
      <c r="AI12" s="210"/>
      <c r="AJ12" s="210"/>
      <c r="AK12" s="210"/>
      <c r="AL12" s="210"/>
      <c r="AM12" s="214"/>
      <c r="AN12" s="211" t="str">
        <f>IFERROR(__xludf.DUMMYFUNCTION("""COMPUTED_VALUE"""),"213893")</f>
        <v>213893</v>
      </c>
      <c r="AO12" s="210" t="str">
        <f t="shared" si="10"/>
        <v>DEV</v>
      </c>
      <c r="AP12" s="210" t="str">
        <f t="shared" si="11"/>
        <v>DEV, TA</v>
      </c>
      <c r="AQ12" s="210" t="str">
        <f t="shared" si="12"/>
        <v>ONC</v>
      </c>
      <c r="AR12" s="210"/>
      <c r="AS12" s="228" t="s">
        <v>940</v>
      </c>
      <c r="AT12" s="228"/>
      <c r="AU12" s="210"/>
      <c r="AV12" s="210"/>
      <c r="AW12" s="210"/>
      <c r="AX12" s="210"/>
      <c r="AY12" s="210"/>
      <c r="AZ12" s="210"/>
      <c r="BA12" s="210"/>
      <c r="BB12" s="210"/>
      <c r="BC12" s="210"/>
      <c r="BD12" s="210"/>
      <c r="BE12" s="210"/>
      <c r="BF12" s="210"/>
      <c r="BG12" s="210"/>
      <c r="BH12" s="210"/>
      <c r="BI12" s="210"/>
      <c r="BJ12" s="210"/>
      <c r="BK12" s="210"/>
      <c r="BL12" s="210"/>
      <c r="BM12" s="210"/>
      <c r="BN12" s="210"/>
      <c r="BO12" s="210"/>
      <c r="BP12" s="210"/>
      <c r="BQ12" s="210"/>
      <c r="BR12" s="210"/>
      <c r="BS12" s="210"/>
      <c r="BT12" s="210"/>
      <c r="BU12" s="210"/>
      <c r="BV12" s="210"/>
      <c r="BW12" s="210"/>
      <c r="BX12" s="210"/>
      <c r="BY12" s="210"/>
      <c r="BZ12" s="210"/>
      <c r="CA12" s="210"/>
      <c r="CB12" s="210"/>
      <c r="CC12" s="210"/>
      <c r="CD12" s="210"/>
      <c r="CE12" s="210"/>
      <c r="CF12" s="210"/>
      <c r="CG12" s="210"/>
      <c r="CH12" s="210"/>
      <c r="CI12" s="210"/>
      <c r="CJ12" s="210"/>
      <c r="CK12" s="210"/>
    </row>
    <row r="13">
      <c r="A13" s="222" t="s">
        <v>659</v>
      </c>
      <c r="B13" s="190" t="s">
        <v>660</v>
      </c>
      <c r="C13" s="223" t="s">
        <v>51</v>
      </c>
      <c r="D13" s="223" t="s">
        <v>844</v>
      </c>
      <c r="E13" s="190" t="s">
        <v>22</v>
      </c>
      <c r="F13" s="13" t="s">
        <v>935</v>
      </c>
      <c r="G13" s="13" t="s">
        <v>941</v>
      </c>
      <c r="H13" s="219">
        <f>IFERROR(
  MINIFS(ATTENDANCE_LOG!$F:$F,
         ATTENDANCE_LOG!$A:$A, C13,
         ATTENDANCE_LOG!$B:$B, E13),
"")</f>
        <v>45889.45833</v>
      </c>
      <c r="I13" s="219">
        <f t="shared" si="2"/>
        <v>45700.41667</v>
      </c>
      <c r="J13" s="190">
        <f>IFERROR(VLOOKUP(F13, LEVEL_HELPER!$A:$B, 2, 0), "")</f>
        <v>3.5</v>
      </c>
      <c r="K13" s="190">
        <f>IFERROR(VLOOKUP(G13, LEVEL_HELPER!$A:$B, 2, 0), "")</f>
        <v>5</v>
      </c>
      <c r="L13" s="220" t="s">
        <v>919</v>
      </c>
      <c r="M13" s="220" t="s">
        <v>920</v>
      </c>
      <c r="N13" s="190">
        <f t="array" ref="N13">IFERROR(
  INDEX($J$2:$J$543,
    MATCH(A13&amp;TEXT(I13,"yyyy-mm-dd"),
          $A$2:$A$543&amp;TEXT($H$2:$H$543,"yyyy-mm-dd"),
          0)),
"")</f>
        <v>1</v>
      </c>
      <c r="O13" s="210">
        <f t="shared" si="3"/>
        <v>5</v>
      </c>
      <c r="P13" s="210">
        <f t="shared" ref="P13:Q13" si="23">IF(N13="",0,IF(N13&lt;=2,1,IF(N13&lt;=4,2,IF(N13&lt;=5.5,3,4))))</f>
        <v>1</v>
      </c>
      <c r="Q13" s="210">
        <f t="shared" si="23"/>
        <v>3</v>
      </c>
      <c r="R13" s="210" t="str">
        <f t="shared" si="5"/>
        <v>Lv1 → Lv3 (multi)</v>
      </c>
      <c r="S13" s="210">
        <f t="shared" si="6"/>
        <v>0</v>
      </c>
      <c r="T13" s="210"/>
      <c r="U13" s="210"/>
      <c r="V13" s="211" t="s">
        <v>677</v>
      </c>
      <c r="W13" s="210" t="str">
        <f t="shared" si="7"/>
        <v>DEV</v>
      </c>
      <c r="X13" s="210" t="str">
        <f t="shared" si="8"/>
        <v>DEV, TA</v>
      </c>
      <c r="Y13" s="210" t="str">
        <f t="shared" si="9"/>
        <v>CHORUS</v>
      </c>
      <c r="Z13" s="210"/>
      <c r="AA13" s="210"/>
      <c r="AB13" s="210"/>
      <c r="AC13" s="210"/>
      <c r="AD13" s="210"/>
      <c r="AE13" s="210"/>
      <c r="AF13" s="210"/>
      <c r="AG13" s="210"/>
      <c r="AH13" s="210"/>
      <c r="AI13" s="210"/>
      <c r="AJ13" s="210"/>
      <c r="AK13" s="210"/>
      <c r="AL13" s="210"/>
      <c r="AM13" s="214"/>
      <c r="AN13" s="211" t="str">
        <f>IFERROR(__xludf.DUMMYFUNCTION("""COMPUTED_VALUE"""),"213901")</f>
        <v>213901</v>
      </c>
      <c r="AO13" s="210" t="str">
        <f t="shared" si="10"/>
        <v>DEV</v>
      </c>
      <c r="AP13" s="210" t="str">
        <f t="shared" si="11"/>
        <v>DEV, TA</v>
      </c>
      <c r="AQ13" s="210" t="str">
        <f t="shared" si="12"/>
        <v>LBU</v>
      </c>
      <c r="AR13" s="210"/>
      <c r="AS13" s="210"/>
      <c r="AT13" s="210"/>
      <c r="AU13" s="210"/>
      <c r="AV13" s="210"/>
      <c r="AW13" s="210"/>
      <c r="AX13" s="210"/>
      <c r="AY13" s="210"/>
      <c r="AZ13" s="210"/>
      <c r="BA13" s="210"/>
      <c r="BB13" s="210"/>
      <c r="BC13" s="210"/>
      <c r="BD13" s="210"/>
      <c r="BE13" s="210"/>
      <c r="BF13" s="210"/>
      <c r="BG13" s="210"/>
      <c r="BH13" s="210"/>
      <c r="BI13" s="210"/>
      <c r="BJ13" s="210"/>
      <c r="BK13" s="210"/>
      <c r="BL13" s="210"/>
      <c r="BM13" s="210"/>
      <c r="BN13" s="210"/>
      <c r="BO13" s="210"/>
      <c r="BP13" s="210"/>
      <c r="BQ13" s="210"/>
      <c r="BR13" s="210"/>
      <c r="BS13" s="210"/>
      <c r="BT13" s="210"/>
      <c r="BU13" s="210"/>
      <c r="BV13" s="210"/>
      <c r="BW13" s="210"/>
      <c r="BX13" s="210"/>
      <c r="BY13" s="210"/>
      <c r="BZ13" s="210"/>
      <c r="CA13" s="210"/>
      <c r="CB13" s="210"/>
      <c r="CC13" s="210"/>
      <c r="CD13" s="210"/>
      <c r="CE13" s="210"/>
      <c r="CF13" s="210"/>
      <c r="CG13" s="210"/>
      <c r="CH13" s="210"/>
      <c r="CI13" s="210"/>
      <c r="CJ13" s="210"/>
      <c r="CK13" s="210"/>
    </row>
    <row r="14">
      <c r="A14" s="216" t="s">
        <v>721</v>
      </c>
      <c r="B14" s="217" t="s">
        <v>722</v>
      </c>
      <c r="C14" s="218" t="s">
        <v>51</v>
      </c>
      <c r="D14" s="218" t="s">
        <v>844</v>
      </c>
      <c r="E14" s="217" t="s">
        <v>24</v>
      </c>
      <c r="F14" s="190"/>
      <c r="G14" s="190"/>
      <c r="H14" s="219">
        <f>IFERROR(
  MINIFS(ATTENDANCE_LOG!$F:$F,
         ATTENDANCE_LOG!$A:$A, C14,
         ATTENDANCE_LOG!$B:$B, E14),
"")</f>
        <v>46084.54167</v>
      </c>
      <c r="I14" s="219">
        <f t="shared" si="2"/>
        <v>45700.41667</v>
      </c>
      <c r="J14" s="190" t="str">
        <f>IFERROR(VLOOKUP(F14, LEVEL_HELPER!$A:$B, 2, 0), "")</f>
        <v/>
      </c>
      <c r="K14" s="190" t="str">
        <f>IFERROR(VLOOKUP(G14, LEVEL_HELPER!$A:$B, 2, 0), "")</f>
        <v/>
      </c>
      <c r="L14" s="220" t="s">
        <v>919</v>
      </c>
      <c r="M14" s="220" t="s">
        <v>920</v>
      </c>
      <c r="N14" s="190">
        <f t="array" ref="N14">IFERROR(
  INDEX($J$2:$J$543,
    MATCH(A14&amp;TEXT(I14,"yyyy-mm-dd"),
          $A$2:$A$543&amp;TEXT($H$2:$H$543,"yyyy-mm-dd"),
          0)),
"")</f>
        <v>2.5</v>
      </c>
      <c r="O14" s="210">
        <f t="shared" si="3"/>
        <v>3.5</v>
      </c>
      <c r="P14" s="210">
        <f t="shared" ref="P14:Q14" si="24">IF(N14="",0,IF(N14&lt;=2,1,IF(N14&lt;=4,2,IF(N14&lt;=5.5,3,4))))</f>
        <v>2</v>
      </c>
      <c r="Q14" s="210">
        <f t="shared" si="24"/>
        <v>2</v>
      </c>
      <c r="R14" s="210" t="str">
        <f t="shared" si="5"/>
        <v>Progress within level</v>
      </c>
      <c r="S14" s="210">
        <f t="shared" si="6"/>
        <v>0</v>
      </c>
      <c r="T14" s="210"/>
      <c r="U14" s="210"/>
      <c r="V14" s="211" t="s">
        <v>687</v>
      </c>
      <c r="W14" s="210" t="str">
        <f t="shared" si="7"/>
        <v>DEV</v>
      </c>
      <c r="X14" s="210" t="str">
        <f t="shared" si="8"/>
        <v>DEV, TA</v>
      </c>
      <c r="Y14" s="210" t="str">
        <f t="shared" si="9"/>
        <v>CHORUS</v>
      </c>
      <c r="Z14" s="210"/>
      <c r="AA14" s="210"/>
      <c r="AB14" s="210"/>
      <c r="AC14" s="210"/>
      <c r="AD14" s="210"/>
      <c r="AE14" s="210"/>
      <c r="AF14" s="210"/>
      <c r="AG14" s="210"/>
      <c r="AH14" s="210"/>
      <c r="AI14" s="210"/>
      <c r="AJ14" s="210"/>
      <c r="AK14" s="210"/>
      <c r="AL14" s="210"/>
      <c r="AM14" s="214"/>
      <c r="AN14" s="211" t="str">
        <f>IFERROR(__xludf.DUMMYFUNCTION("""COMPUTED_VALUE"""),"227244")</f>
        <v>227244</v>
      </c>
      <c r="AO14" s="210" t="str">
        <f t="shared" si="10"/>
        <v>DEV</v>
      </c>
      <c r="AP14" s="210" t="str">
        <f t="shared" si="11"/>
        <v>DEV, TA</v>
      </c>
      <c r="AQ14" s="210" t="str">
        <f t="shared" si="12"/>
        <v>ONC</v>
      </c>
      <c r="AR14" s="210"/>
      <c r="AS14" s="210"/>
      <c r="AT14" s="210"/>
      <c r="AU14" s="210"/>
      <c r="AV14" s="210"/>
      <c r="AW14" s="210"/>
      <c r="AX14" s="210"/>
      <c r="AY14" s="210"/>
      <c r="AZ14" s="210"/>
      <c r="BA14" s="210"/>
      <c r="BB14" s="210"/>
      <c r="BC14" s="210"/>
      <c r="BD14" s="210"/>
      <c r="BE14" s="210"/>
      <c r="BF14" s="210"/>
      <c r="BG14" s="210"/>
      <c r="BH14" s="210"/>
      <c r="BI14" s="210"/>
      <c r="BJ14" s="210"/>
      <c r="BK14" s="210"/>
      <c r="BL14" s="210"/>
      <c r="BM14" s="210"/>
      <c r="BN14" s="210"/>
      <c r="BO14" s="210"/>
      <c r="BP14" s="210"/>
      <c r="BQ14" s="210"/>
      <c r="BR14" s="210"/>
      <c r="BS14" s="210"/>
      <c r="BT14" s="210"/>
      <c r="BU14" s="210"/>
      <c r="BV14" s="210"/>
      <c r="BW14" s="210"/>
      <c r="BX14" s="210"/>
      <c r="BY14" s="210"/>
      <c r="BZ14" s="210"/>
      <c r="CA14" s="210"/>
      <c r="CB14" s="210"/>
      <c r="CC14" s="210"/>
      <c r="CD14" s="210"/>
      <c r="CE14" s="210"/>
      <c r="CF14" s="210"/>
      <c r="CG14" s="210"/>
      <c r="CH14" s="210"/>
      <c r="CI14" s="210"/>
      <c r="CJ14" s="210"/>
      <c r="CK14" s="210"/>
    </row>
    <row r="15">
      <c r="A15" s="222" t="s">
        <v>657</v>
      </c>
      <c r="B15" s="190" t="s">
        <v>658</v>
      </c>
      <c r="C15" s="223" t="s">
        <v>51</v>
      </c>
      <c r="D15" s="223" t="s">
        <v>844</v>
      </c>
      <c r="E15" s="190" t="s">
        <v>24</v>
      </c>
      <c r="F15" s="190"/>
      <c r="G15" s="190"/>
      <c r="H15" s="219">
        <f>IFERROR(
  MINIFS(ATTENDANCE_LOG!$F:$F,
         ATTENDANCE_LOG!$A:$A, C15,
         ATTENDANCE_LOG!$B:$B, E15),
"")</f>
        <v>46084.54167</v>
      </c>
      <c r="I15" s="219">
        <f t="shared" si="2"/>
        <v>45700.41667</v>
      </c>
      <c r="J15" s="190" t="str">
        <f>IFERROR(VLOOKUP(F15, LEVEL_HELPER!$A:$B, 2, 0), "")</f>
        <v/>
      </c>
      <c r="K15" s="190" t="str">
        <f>IFERROR(VLOOKUP(G15, LEVEL_HELPER!$A:$B, 2, 0), "")</f>
        <v/>
      </c>
      <c r="L15" s="220" t="s">
        <v>919</v>
      </c>
      <c r="M15" s="220" t="s">
        <v>920</v>
      </c>
      <c r="N15" s="190">
        <f t="array" ref="N15">IFERROR(
  INDEX($J$2:$J$543,
    MATCH(A15&amp;TEXT(I15,"yyyy-mm-dd"),
          $A$2:$A$543&amp;TEXT($H$2:$H$543,"yyyy-mm-dd"),
          0)),
"")</f>
        <v>4.5</v>
      </c>
      <c r="O15" s="210">
        <f t="shared" si="3"/>
        <v>5.5</v>
      </c>
      <c r="P15" s="210">
        <f t="shared" ref="P15:Q15" si="25">IF(N15="",0,IF(N15&lt;=2,1,IF(N15&lt;=4,2,IF(N15&lt;=5.5,3,4))))</f>
        <v>3</v>
      </c>
      <c r="Q15" s="210">
        <f t="shared" si="25"/>
        <v>3</v>
      </c>
      <c r="R15" s="210" t="str">
        <f t="shared" si="5"/>
        <v>Progress within level</v>
      </c>
      <c r="S15" s="210">
        <f t="shared" si="6"/>
        <v>0</v>
      </c>
      <c r="T15" s="210"/>
      <c r="U15" s="210"/>
      <c r="V15" s="211" t="s">
        <v>701</v>
      </c>
      <c r="W15" s="210" t="str">
        <f t="shared" si="7"/>
        <v>DEV</v>
      </c>
      <c r="X15" s="210" t="str">
        <f t="shared" si="8"/>
        <v>DEV, TA</v>
      </c>
      <c r="Y15" s="210" t="str">
        <f t="shared" si="9"/>
        <v>CHORUS</v>
      </c>
      <c r="Z15" s="210"/>
      <c r="AA15" s="210"/>
      <c r="AB15" s="210"/>
      <c r="AC15" s="210"/>
      <c r="AD15" s="210"/>
      <c r="AE15" s="210"/>
      <c r="AF15" s="210"/>
      <c r="AG15" s="210"/>
      <c r="AH15" s="210"/>
      <c r="AI15" s="210"/>
      <c r="AJ15" s="210"/>
      <c r="AK15" s="210"/>
      <c r="AL15" s="210"/>
      <c r="AM15" s="214"/>
      <c r="AN15" s="211" t="str">
        <f>IFERROR(__xludf.DUMMYFUNCTION("""COMPUTED_VALUE"""),"237117")</f>
        <v>237117</v>
      </c>
      <c r="AO15" s="210" t="str">
        <f t="shared" si="10"/>
        <v>DEV</v>
      </c>
      <c r="AP15" s="210" t="str">
        <f t="shared" si="11"/>
        <v>DEV, TA</v>
      </c>
      <c r="AQ15" s="210" t="str">
        <f t="shared" si="12"/>
        <v>TBU</v>
      </c>
      <c r="AR15" s="210"/>
      <c r="AS15" s="210"/>
      <c r="AT15" s="210"/>
      <c r="AU15" s="210"/>
      <c r="AV15" s="210"/>
      <c r="AW15" s="210"/>
      <c r="AX15" s="210"/>
      <c r="AY15" s="210"/>
      <c r="AZ15" s="210"/>
      <c r="BA15" s="210"/>
      <c r="BB15" s="210"/>
      <c r="BC15" s="210"/>
      <c r="BD15" s="210"/>
      <c r="BE15" s="210"/>
      <c r="BF15" s="210"/>
      <c r="BG15" s="210"/>
      <c r="BH15" s="210"/>
      <c r="BI15" s="210"/>
      <c r="BJ15" s="210"/>
      <c r="BK15" s="210"/>
      <c r="BL15" s="210"/>
      <c r="BM15" s="210"/>
      <c r="BN15" s="210"/>
      <c r="BO15" s="210"/>
      <c r="BP15" s="210"/>
      <c r="BQ15" s="210"/>
      <c r="BR15" s="210"/>
      <c r="BS15" s="210"/>
      <c r="BT15" s="210"/>
      <c r="BU15" s="210"/>
      <c r="BV15" s="210"/>
      <c r="BW15" s="210"/>
      <c r="BX15" s="210"/>
      <c r="BY15" s="210"/>
      <c r="BZ15" s="210"/>
      <c r="CA15" s="210"/>
      <c r="CB15" s="210"/>
      <c r="CC15" s="210"/>
      <c r="CD15" s="210"/>
      <c r="CE15" s="210"/>
      <c r="CF15" s="210"/>
      <c r="CG15" s="210"/>
      <c r="CH15" s="210"/>
      <c r="CI15" s="210"/>
      <c r="CJ15" s="210"/>
      <c r="CK15" s="210"/>
    </row>
    <row r="16">
      <c r="A16" s="222" t="s">
        <v>659</v>
      </c>
      <c r="B16" s="190" t="s">
        <v>660</v>
      </c>
      <c r="C16" s="223" t="s">
        <v>51</v>
      </c>
      <c r="D16" s="223" t="s">
        <v>844</v>
      </c>
      <c r="E16" s="190" t="s">
        <v>24</v>
      </c>
      <c r="F16" s="190"/>
      <c r="G16" s="190"/>
      <c r="H16" s="219">
        <f>IFERROR(
  MINIFS(ATTENDANCE_LOG!$F:$F,
         ATTENDANCE_LOG!$A:$A, C16,
         ATTENDANCE_LOG!$B:$B, E16),
"")</f>
        <v>46084.54167</v>
      </c>
      <c r="I16" s="219">
        <f t="shared" si="2"/>
        <v>45700.41667</v>
      </c>
      <c r="J16" s="190" t="str">
        <f>IFERROR(VLOOKUP(F16, LEVEL_HELPER!$A:$B, 2, 0), "")</f>
        <v/>
      </c>
      <c r="K16" s="190" t="str">
        <f>IFERROR(VLOOKUP(G16, LEVEL_HELPER!$A:$B, 2, 0), "")</f>
        <v/>
      </c>
      <c r="L16" s="220" t="s">
        <v>919</v>
      </c>
      <c r="M16" s="220" t="s">
        <v>920</v>
      </c>
      <c r="N16" s="190">
        <f t="array" ref="N16">IFERROR(
  INDEX($J$2:$J$543,
    MATCH(A16&amp;TEXT(I16,"yyyy-mm-dd"),
          $A$2:$A$543&amp;TEXT($H$2:$H$543,"yyyy-mm-dd"),
          0)),
"")</f>
        <v>1</v>
      </c>
      <c r="O16" s="210">
        <f t="shared" si="3"/>
        <v>5</v>
      </c>
      <c r="P16" s="210">
        <f t="shared" ref="P16:Q16" si="26">IF(N16="",0,IF(N16&lt;=2,1,IF(N16&lt;=4,2,IF(N16&lt;=5.5,3,4))))</f>
        <v>1</v>
      </c>
      <c r="Q16" s="210">
        <f t="shared" si="26"/>
        <v>3</v>
      </c>
      <c r="R16" s="210" t="str">
        <f t="shared" si="5"/>
        <v>Lv1 → Lv3 (multi)</v>
      </c>
      <c r="S16" s="210">
        <f t="shared" si="6"/>
        <v>0</v>
      </c>
      <c r="T16" s="210"/>
      <c r="U16" s="210"/>
      <c r="V16" s="211" t="s">
        <v>534</v>
      </c>
      <c r="W16" s="210" t="str">
        <f t="shared" si="7"/>
        <v>QC</v>
      </c>
      <c r="X16" s="210" t="str">
        <f t="shared" si="8"/>
        <v>QC</v>
      </c>
      <c r="Y16" s="210" t="str">
        <f t="shared" si="9"/>
        <v>LBU</v>
      </c>
      <c r="Z16" s="210"/>
      <c r="AA16" s="210"/>
      <c r="AB16" s="210"/>
      <c r="AC16" s="210"/>
      <c r="AD16" s="210"/>
      <c r="AE16" s="210"/>
      <c r="AF16" s="210"/>
      <c r="AG16" s="210"/>
      <c r="AH16" s="210"/>
      <c r="AI16" s="210"/>
      <c r="AJ16" s="210"/>
      <c r="AK16" s="210"/>
      <c r="AL16" s="210"/>
      <c r="AM16" s="214"/>
      <c r="AN16" s="211" t="str">
        <f>IFERROR(__xludf.DUMMYFUNCTION("""COMPUTED_VALUE"""),"213859")</f>
        <v>213859</v>
      </c>
      <c r="AO16" s="210" t="str">
        <f t="shared" si="10"/>
        <v>GSD</v>
      </c>
      <c r="AP16" s="210" t="str">
        <f t="shared" si="11"/>
        <v>GSD</v>
      </c>
      <c r="AQ16" s="210" t="str">
        <f t="shared" si="12"/>
        <v>MOC</v>
      </c>
      <c r="AR16" s="210"/>
      <c r="AS16" s="210"/>
      <c r="AT16" s="210"/>
      <c r="AU16" s="210"/>
      <c r="AV16" s="210"/>
      <c r="AW16" s="210"/>
      <c r="AX16" s="210"/>
      <c r="AY16" s="210"/>
      <c r="AZ16" s="210"/>
      <c r="BA16" s="210"/>
      <c r="BB16" s="210"/>
      <c r="BC16" s="210"/>
      <c r="BD16" s="210"/>
      <c r="BE16" s="210"/>
      <c r="BF16" s="210"/>
      <c r="BG16" s="210"/>
      <c r="BH16" s="210"/>
      <c r="BI16" s="210"/>
      <c r="BJ16" s="210"/>
      <c r="BK16" s="210"/>
      <c r="BL16" s="210"/>
      <c r="BM16" s="210"/>
      <c r="BN16" s="210"/>
      <c r="BO16" s="210"/>
      <c r="BP16" s="210"/>
      <c r="BQ16" s="210"/>
      <c r="BR16" s="210"/>
      <c r="BS16" s="210"/>
      <c r="BT16" s="210"/>
      <c r="BU16" s="210"/>
      <c r="BV16" s="210"/>
      <c r="BW16" s="210"/>
      <c r="BX16" s="210"/>
      <c r="BY16" s="210"/>
      <c r="BZ16" s="210"/>
      <c r="CA16" s="210"/>
      <c r="CB16" s="210"/>
      <c r="CC16" s="210"/>
      <c r="CD16" s="210"/>
      <c r="CE16" s="210"/>
      <c r="CF16" s="210"/>
      <c r="CG16" s="210"/>
      <c r="CH16" s="210"/>
      <c r="CI16" s="210"/>
      <c r="CJ16" s="210"/>
      <c r="CK16" s="210"/>
    </row>
    <row r="17">
      <c r="A17" s="216" t="s">
        <v>170</v>
      </c>
      <c r="B17" s="217" t="s">
        <v>171</v>
      </c>
      <c r="C17" s="218" t="s">
        <v>52</v>
      </c>
      <c r="D17" s="218" t="s">
        <v>846</v>
      </c>
      <c r="E17" s="217" t="s">
        <v>21</v>
      </c>
      <c r="F17" s="13" t="s">
        <v>917</v>
      </c>
      <c r="G17" s="190"/>
      <c r="H17" s="219">
        <f>IFERROR(
  MINIFS(ATTENDANCE_LOG!$F:$F,
         ATTENDANCE_LOG!$A:$A, C17,
         ATTENDANCE_LOG!$B:$B, E17),
"")</f>
        <v>45715.41667</v>
      </c>
      <c r="I17" s="219">
        <f t="shared" si="2"/>
        <v>45715.41667</v>
      </c>
      <c r="J17" s="190">
        <f>IFERROR(VLOOKUP(F17, LEVEL_HELPER!$A:$B, 2, 0), "")</f>
        <v>2.5</v>
      </c>
      <c r="K17" s="190" t="str">
        <f>IFERROR(VLOOKUP(G17, LEVEL_HELPER!$A:$B, 2, 0), "")</f>
        <v/>
      </c>
      <c r="L17" s="220" t="s">
        <v>942</v>
      </c>
      <c r="M17" s="229" t="s">
        <v>922</v>
      </c>
      <c r="N17" s="190">
        <f t="array" ref="N17">IFERROR(
  INDEX($J$2:$J$543,
    MATCH(A17&amp;TEXT(I17,"yyyy-mm-dd"),
          $A$2:$A$543&amp;TEXT($H$2:$H$543,"yyyy-mm-dd"),
          0)),
"")</f>
        <v>2.5</v>
      </c>
      <c r="O17" s="210">
        <f t="shared" si="3"/>
        <v>0</v>
      </c>
      <c r="P17" s="210">
        <f t="shared" ref="P17:Q17" si="27">IF(N17="",0,IF(N17&lt;=2,1,IF(N17&lt;=4,2,IF(N17&lt;=5.5,3,4))))</f>
        <v>2</v>
      </c>
      <c r="Q17" s="210">
        <f t="shared" si="27"/>
        <v>1</v>
      </c>
      <c r="R17" s="210" t="str">
        <f t="shared" si="5"/>
        <v>Not tested yet</v>
      </c>
      <c r="S17" s="210">
        <f t="shared" si="6"/>
        <v>1</v>
      </c>
      <c r="T17" s="210"/>
      <c r="U17" s="210"/>
      <c r="V17" s="211" t="s">
        <v>325</v>
      </c>
      <c r="W17" s="210" t="str">
        <f t="shared" si="7"/>
        <v>UI/UX</v>
      </c>
      <c r="X17" s="210" t="str">
        <f t="shared" si="8"/>
        <v>UI/UX, Des</v>
      </c>
      <c r="Y17" s="210" t="str">
        <f t="shared" si="9"/>
        <v>CHORUS</v>
      </c>
      <c r="Z17" s="210"/>
      <c r="AA17" s="210"/>
      <c r="AB17" s="210"/>
      <c r="AC17" s="210"/>
      <c r="AD17" s="210"/>
      <c r="AE17" s="210"/>
      <c r="AF17" s="210"/>
      <c r="AG17" s="210"/>
      <c r="AH17" s="210"/>
      <c r="AI17" s="210"/>
      <c r="AJ17" s="210"/>
      <c r="AK17" s="210"/>
      <c r="AL17" s="210"/>
      <c r="AM17" s="214"/>
      <c r="AN17" s="211" t="str">
        <f>IFERROR(__xludf.DUMMYFUNCTION("""COMPUTED_VALUE"""),"193584")</f>
        <v>193584</v>
      </c>
      <c r="AO17" s="210" t="str">
        <f t="shared" si="10"/>
        <v>GSD</v>
      </c>
      <c r="AP17" s="210" t="str">
        <f t="shared" si="11"/>
        <v>GSD</v>
      </c>
      <c r="AQ17" s="210" t="str">
        <f t="shared" si="12"/>
        <v>LBU</v>
      </c>
      <c r="AR17" s="210"/>
      <c r="AS17" s="210"/>
      <c r="AT17" s="210"/>
      <c r="AU17" s="210"/>
      <c r="AV17" s="210"/>
      <c r="AW17" s="210"/>
      <c r="AX17" s="210"/>
      <c r="AY17" s="210"/>
      <c r="AZ17" s="210"/>
      <c r="BA17" s="210"/>
      <c r="BB17" s="210"/>
      <c r="BC17" s="210"/>
      <c r="BD17" s="210"/>
      <c r="BE17" s="210"/>
      <c r="BF17" s="210"/>
      <c r="BG17" s="210"/>
      <c r="BH17" s="210"/>
      <c r="BI17" s="210"/>
      <c r="BJ17" s="210"/>
      <c r="BK17" s="210"/>
      <c r="BL17" s="210"/>
      <c r="BM17" s="210"/>
      <c r="BN17" s="210"/>
      <c r="BO17" s="210"/>
      <c r="BP17" s="210"/>
      <c r="BQ17" s="210"/>
      <c r="BR17" s="210"/>
      <c r="BS17" s="210"/>
      <c r="BT17" s="210"/>
      <c r="BU17" s="210"/>
      <c r="BV17" s="210"/>
      <c r="BW17" s="210"/>
      <c r="BX17" s="210"/>
      <c r="BY17" s="210"/>
      <c r="BZ17" s="210"/>
      <c r="CA17" s="210"/>
      <c r="CB17" s="210"/>
      <c r="CC17" s="210"/>
      <c r="CD17" s="210"/>
      <c r="CE17" s="210"/>
      <c r="CF17" s="210"/>
      <c r="CG17" s="210"/>
      <c r="CH17" s="210"/>
      <c r="CI17" s="210"/>
      <c r="CJ17" s="210"/>
      <c r="CK17" s="210"/>
    </row>
    <row r="18">
      <c r="A18" s="222" t="s">
        <v>196</v>
      </c>
      <c r="B18" s="190" t="s">
        <v>197</v>
      </c>
      <c r="C18" s="223" t="s">
        <v>52</v>
      </c>
      <c r="D18" s="223" t="s">
        <v>846</v>
      </c>
      <c r="E18" s="190" t="s">
        <v>21</v>
      </c>
      <c r="F18" s="13" t="s">
        <v>927</v>
      </c>
      <c r="G18" s="13" t="s">
        <v>932</v>
      </c>
      <c r="H18" s="219">
        <f>IFERROR(
  MINIFS(ATTENDANCE_LOG!$F:$F,
         ATTENDANCE_LOG!$A:$A, C18,
         ATTENDANCE_LOG!$B:$B, E18),
"")</f>
        <v>45715.41667</v>
      </c>
      <c r="I18" s="219">
        <f t="shared" si="2"/>
        <v>45715.41667</v>
      </c>
      <c r="J18" s="190">
        <f>IFERROR(VLOOKUP(F18, LEVEL_HELPER!$A:$B, 2, 0), "")</f>
        <v>1</v>
      </c>
      <c r="K18" s="190">
        <f>IFERROR(VLOOKUP(G18, LEVEL_HELPER!$A:$B, 2, 0), "")</f>
        <v>4.5</v>
      </c>
      <c r="L18" s="220" t="s">
        <v>943</v>
      </c>
      <c r="M18" s="229" t="s">
        <v>922</v>
      </c>
      <c r="N18" s="190">
        <f t="array" ref="N18">IFERROR(
  INDEX($J$2:$J$543,
    MATCH(A18&amp;TEXT(I18,"yyyy-mm-dd"),
          $A$2:$A$543&amp;TEXT($H$2:$H$543,"yyyy-mm-dd"),
          0)),
"")</f>
        <v>1</v>
      </c>
      <c r="O18" s="210">
        <f t="shared" si="3"/>
        <v>4.5</v>
      </c>
      <c r="P18" s="210">
        <f t="shared" ref="P18:Q18" si="28">IF(N18="",0,IF(N18&lt;=2,1,IF(N18&lt;=4,2,IF(N18&lt;=5.5,3,4))))</f>
        <v>1</v>
      </c>
      <c r="Q18" s="210">
        <f t="shared" si="28"/>
        <v>3</v>
      </c>
      <c r="R18" s="210" t="str">
        <f t="shared" si="5"/>
        <v>Lv1 → Lv3 (multi)</v>
      </c>
      <c r="S18" s="210">
        <f t="shared" si="6"/>
        <v>1</v>
      </c>
      <c r="T18" s="210"/>
      <c r="U18" s="210"/>
      <c r="V18" s="211" t="s">
        <v>415</v>
      </c>
      <c r="W18" s="210" t="str">
        <f t="shared" si="7"/>
        <v>QC</v>
      </c>
      <c r="X18" s="210" t="str">
        <f t="shared" si="8"/>
        <v>QC</v>
      </c>
      <c r="Y18" s="210" t="str">
        <f t="shared" si="9"/>
        <v>CHORUS</v>
      </c>
      <c r="Z18" s="210"/>
      <c r="AA18" s="210"/>
      <c r="AB18" s="210"/>
      <c r="AC18" s="210"/>
      <c r="AD18" s="210"/>
      <c r="AE18" s="210"/>
      <c r="AF18" s="210"/>
      <c r="AG18" s="210"/>
      <c r="AH18" s="210"/>
      <c r="AI18" s="210"/>
      <c r="AJ18" s="210"/>
      <c r="AK18" s="210"/>
      <c r="AL18" s="210"/>
      <c r="AM18" s="214"/>
      <c r="AN18" s="211" t="str">
        <f>IFERROR(__xludf.DUMMYFUNCTION("""COMPUTED_VALUE"""),"203780")</f>
        <v>203780</v>
      </c>
      <c r="AO18" s="210" t="str">
        <f t="shared" si="10"/>
        <v>QC</v>
      </c>
      <c r="AP18" s="210" t="str">
        <f t="shared" si="11"/>
        <v>QC</v>
      </c>
      <c r="AQ18" s="210" t="str">
        <f t="shared" si="12"/>
        <v>TBU</v>
      </c>
      <c r="AR18" s="210"/>
      <c r="AS18" s="210"/>
      <c r="AT18" s="210"/>
      <c r="AU18" s="210"/>
      <c r="AV18" s="210"/>
      <c r="AW18" s="210"/>
      <c r="AX18" s="210"/>
      <c r="AY18" s="210"/>
      <c r="AZ18" s="210"/>
      <c r="BA18" s="210"/>
      <c r="BB18" s="210"/>
      <c r="BC18" s="210"/>
      <c r="BD18" s="210"/>
      <c r="BE18" s="210"/>
      <c r="BF18" s="210"/>
      <c r="BG18" s="210"/>
      <c r="BH18" s="210"/>
      <c r="BI18" s="210"/>
      <c r="BJ18" s="210"/>
      <c r="BK18" s="210"/>
      <c r="BL18" s="210"/>
      <c r="BM18" s="210"/>
      <c r="BN18" s="210"/>
      <c r="BO18" s="210"/>
      <c r="BP18" s="210"/>
      <c r="BQ18" s="210"/>
      <c r="BR18" s="210"/>
      <c r="BS18" s="210"/>
      <c r="BT18" s="210"/>
      <c r="BU18" s="210"/>
      <c r="BV18" s="210"/>
      <c r="BW18" s="210"/>
      <c r="BX18" s="210"/>
      <c r="BY18" s="210"/>
      <c r="BZ18" s="210"/>
      <c r="CA18" s="210"/>
      <c r="CB18" s="210"/>
      <c r="CC18" s="210"/>
      <c r="CD18" s="210"/>
      <c r="CE18" s="210"/>
      <c r="CF18" s="210"/>
      <c r="CG18" s="210"/>
      <c r="CH18" s="210"/>
      <c r="CI18" s="210"/>
      <c r="CJ18" s="210"/>
      <c r="CK18" s="210"/>
    </row>
    <row r="19">
      <c r="A19" s="222" t="s">
        <v>328</v>
      </c>
      <c r="B19" s="190" t="s">
        <v>329</v>
      </c>
      <c r="C19" s="223" t="s">
        <v>52</v>
      </c>
      <c r="D19" s="223" t="s">
        <v>846</v>
      </c>
      <c r="E19" s="190" t="s">
        <v>21</v>
      </c>
      <c r="F19" s="13" t="s">
        <v>927</v>
      </c>
      <c r="G19" s="13" t="s">
        <v>918</v>
      </c>
      <c r="H19" s="219">
        <f>IFERROR(
  MINIFS(ATTENDANCE_LOG!$F:$F,
         ATTENDANCE_LOG!$A:$A, C19,
         ATTENDANCE_LOG!$B:$B, E19),
"")</f>
        <v>45715.41667</v>
      </c>
      <c r="I19" s="219">
        <f t="shared" si="2"/>
        <v>45715.41667</v>
      </c>
      <c r="J19" s="190">
        <f>IFERROR(VLOOKUP(F19, LEVEL_HELPER!$A:$B, 2, 0), "")</f>
        <v>1</v>
      </c>
      <c r="K19" s="190">
        <f>IFERROR(VLOOKUP(G19, LEVEL_HELPER!$A:$B, 2, 0), "")</f>
        <v>3</v>
      </c>
      <c r="L19" s="220" t="s">
        <v>943</v>
      </c>
      <c r="M19" s="229" t="s">
        <v>922</v>
      </c>
      <c r="N19" s="190">
        <f t="array" ref="N19">IFERROR(
  INDEX($J$2:$J$543,
    MATCH(A19&amp;TEXT(I19,"yyyy-mm-dd"),
          $A$2:$A$543&amp;TEXT($H$2:$H$543,"yyyy-mm-dd"),
          0)),
"")</f>
        <v>1</v>
      </c>
      <c r="O19" s="210">
        <f t="shared" si="3"/>
        <v>3</v>
      </c>
      <c r="P19" s="210">
        <f t="shared" ref="P19:Q19" si="29">IF(N19="",0,IF(N19&lt;=2,1,IF(N19&lt;=4,2,IF(N19&lt;=5.5,3,4))))</f>
        <v>1</v>
      </c>
      <c r="Q19" s="210">
        <f t="shared" si="29"/>
        <v>2</v>
      </c>
      <c r="R19" s="210" t="str">
        <f t="shared" si="5"/>
        <v>Lv1 → Lv2</v>
      </c>
      <c r="S19" s="210">
        <f t="shared" si="6"/>
        <v>1</v>
      </c>
      <c r="T19" s="210"/>
      <c r="U19" s="210"/>
      <c r="V19" s="211" t="s">
        <v>461</v>
      </c>
      <c r="W19" s="210" t="str">
        <f t="shared" si="7"/>
        <v>QC</v>
      </c>
      <c r="X19" s="210" t="str">
        <f t="shared" si="8"/>
        <v>QC</v>
      </c>
      <c r="Y19" s="210" t="str">
        <f t="shared" si="9"/>
        <v>LBU</v>
      </c>
      <c r="Z19" s="210"/>
      <c r="AA19" s="210"/>
      <c r="AB19" s="210"/>
      <c r="AC19" s="210"/>
      <c r="AD19" s="210"/>
      <c r="AE19" s="210"/>
      <c r="AF19" s="210"/>
      <c r="AG19" s="210"/>
      <c r="AH19" s="210"/>
      <c r="AI19" s="210"/>
      <c r="AJ19" s="210"/>
      <c r="AK19" s="210"/>
      <c r="AL19" s="210"/>
      <c r="AM19" s="214"/>
      <c r="AN19" s="211" t="str">
        <f>IFERROR(__xludf.DUMMYFUNCTION("""COMPUTED_VALUE"""),"193534")</f>
        <v>193534</v>
      </c>
      <c r="AO19" s="210" t="str">
        <f t="shared" si="10"/>
        <v>DEV</v>
      </c>
      <c r="AP19" s="210" t="str">
        <f t="shared" si="11"/>
        <v>DEV, TA</v>
      </c>
      <c r="AQ19" s="210" t="str">
        <f t="shared" si="12"/>
        <v>POC</v>
      </c>
      <c r="AR19" s="210"/>
      <c r="AS19" s="210"/>
      <c r="AT19" s="210"/>
      <c r="AU19" s="210"/>
      <c r="AV19" s="210"/>
      <c r="AW19" s="210"/>
      <c r="AX19" s="210"/>
      <c r="AY19" s="210"/>
      <c r="AZ19" s="210"/>
      <c r="BA19" s="210"/>
      <c r="BB19" s="210"/>
      <c r="BC19" s="210"/>
      <c r="BD19" s="210"/>
      <c r="BE19" s="210"/>
      <c r="BF19" s="210"/>
      <c r="BG19" s="210"/>
      <c r="BH19" s="210"/>
      <c r="BI19" s="210"/>
      <c r="BJ19" s="210"/>
      <c r="BK19" s="210"/>
      <c r="BL19" s="210"/>
      <c r="BM19" s="210"/>
      <c r="BN19" s="210"/>
      <c r="BO19" s="210"/>
      <c r="BP19" s="210"/>
      <c r="BQ19" s="210"/>
      <c r="BR19" s="210"/>
      <c r="BS19" s="210"/>
      <c r="BT19" s="210"/>
      <c r="BU19" s="210"/>
      <c r="BV19" s="210"/>
      <c r="BW19" s="210"/>
      <c r="BX19" s="210"/>
      <c r="BY19" s="210"/>
      <c r="BZ19" s="210"/>
      <c r="CA19" s="210"/>
      <c r="CB19" s="210"/>
      <c r="CC19" s="210"/>
      <c r="CD19" s="210"/>
      <c r="CE19" s="210"/>
      <c r="CF19" s="210"/>
      <c r="CG19" s="210"/>
      <c r="CH19" s="210"/>
      <c r="CI19" s="210"/>
      <c r="CJ19" s="210"/>
      <c r="CK19" s="210"/>
    </row>
    <row r="20">
      <c r="A20" s="222" t="s">
        <v>506</v>
      </c>
      <c r="B20" s="190" t="s">
        <v>507</v>
      </c>
      <c r="C20" s="223" t="s">
        <v>52</v>
      </c>
      <c r="D20" s="223" t="s">
        <v>846</v>
      </c>
      <c r="E20" s="190" t="s">
        <v>21</v>
      </c>
      <c r="F20" s="13" t="s">
        <v>927</v>
      </c>
      <c r="G20" s="190"/>
      <c r="H20" s="219">
        <f>IFERROR(
  MINIFS(ATTENDANCE_LOG!$F:$F,
         ATTENDANCE_LOG!$A:$A, C20,
         ATTENDANCE_LOG!$B:$B, E20),
"")</f>
        <v>45715.41667</v>
      </c>
      <c r="I20" s="219">
        <f t="shared" si="2"/>
        <v>45715.41667</v>
      </c>
      <c r="J20" s="190">
        <f>IFERROR(VLOOKUP(F20, LEVEL_HELPER!$A:$B, 2, 0), "")</f>
        <v>1</v>
      </c>
      <c r="K20" s="190" t="str">
        <f>IFERROR(VLOOKUP(G20, LEVEL_HELPER!$A:$B, 2, 0), "")</f>
        <v/>
      </c>
      <c r="L20" s="220" t="s">
        <v>944</v>
      </c>
      <c r="M20" s="229" t="s">
        <v>922</v>
      </c>
      <c r="N20" s="190">
        <f t="array" ref="N20">IFERROR(
  INDEX($J$2:$J$543,
    MATCH(A20&amp;TEXT(I20,"yyyy-mm-dd"),
          $A$2:$A$543&amp;TEXT($H$2:$H$543,"yyyy-mm-dd"),
          0)),
"")</f>
        <v>1</v>
      </c>
      <c r="O20" s="210">
        <f t="shared" si="3"/>
        <v>0</v>
      </c>
      <c r="P20" s="210">
        <f t="shared" ref="P20:Q20" si="30">IF(N20="",0,IF(N20&lt;=2,1,IF(N20&lt;=4,2,IF(N20&lt;=5.5,3,4))))</f>
        <v>1</v>
      </c>
      <c r="Q20" s="210">
        <f t="shared" si="30"/>
        <v>1</v>
      </c>
      <c r="R20" s="210" t="str">
        <f t="shared" si="5"/>
        <v>Not tested yet</v>
      </c>
      <c r="S20" s="210">
        <f t="shared" si="6"/>
        <v>1</v>
      </c>
      <c r="T20" s="210"/>
      <c r="U20" s="210"/>
      <c r="V20" s="211" t="s">
        <v>560</v>
      </c>
      <c r="W20" s="210" t="str">
        <f t="shared" si="7"/>
        <v>QC</v>
      </c>
      <c r="X20" s="210" t="str">
        <f t="shared" si="8"/>
        <v>QC</v>
      </c>
      <c r="Y20" s="210" t="str">
        <f t="shared" si="9"/>
        <v>CHORUS</v>
      </c>
      <c r="Z20" s="210"/>
      <c r="AA20" s="210"/>
      <c r="AB20" s="210"/>
      <c r="AC20" s="210"/>
      <c r="AD20" s="210"/>
      <c r="AE20" s="210"/>
      <c r="AF20" s="210"/>
      <c r="AG20" s="210"/>
      <c r="AH20" s="210"/>
      <c r="AI20" s="210"/>
      <c r="AJ20" s="210"/>
      <c r="AK20" s="210"/>
      <c r="AL20" s="210"/>
      <c r="AM20" s="214"/>
      <c r="AN20" s="211" t="str">
        <f>IFERROR(__xludf.DUMMYFUNCTION("""COMPUTED_VALUE"""),"247185")</f>
        <v>247185</v>
      </c>
      <c r="AO20" s="210" t="str">
        <f t="shared" si="10"/>
        <v>QC</v>
      </c>
      <c r="AP20" s="210" t="str">
        <f t="shared" si="11"/>
        <v>QC</v>
      </c>
      <c r="AQ20" s="210" t="str">
        <f t="shared" si="12"/>
        <v>ONC</v>
      </c>
      <c r="AR20" s="210"/>
      <c r="AS20" s="210"/>
      <c r="AT20" s="210"/>
      <c r="AU20" s="210"/>
      <c r="AV20" s="210"/>
      <c r="AW20" s="210"/>
      <c r="AX20" s="210"/>
      <c r="AY20" s="210"/>
      <c r="AZ20" s="210"/>
      <c r="BA20" s="210"/>
      <c r="BB20" s="210"/>
      <c r="BC20" s="210"/>
      <c r="BD20" s="210"/>
      <c r="BE20" s="210"/>
      <c r="BF20" s="210"/>
      <c r="BG20" s="210"/>
      <c r="BH20" s="210"/>
      <c r="BI20" s="210"/>
      <c r="BJ20" s="210"/>
      <c r="BK20" s="210"/>
      <c r="BL20" s="210"/>
      <c r="BM20" s="210"/>
      <c r="BN20" s="210"/>
      <c r="BO20" s="210"/>
      <c r="BP20" s="210"/>
      <c r="BQ20" s="210"/>
      <c r="BR20" s="210"/>
      <c r="BS20" s="210"/>
      <c r="BT20" s="210"/>
      <c r="BU20" s="210"/>
      <c r="BV20" s="210"/>
      <c r="BW20" s="210"/>
      <c r="BX20" s="210"/>
      <c r="BY20" s="210"/>
      <c r="BZ20" s="210"/>
      <c r="CA20" s="210"/>
      <c r="CB20" s="210"/>
      <c r="CC20" s="210"/>
      <c r="CD20" s="210"/>
      <c r="CE20" s="210"/>
      <c r="CF20" s="210"/>
      <c r="CG20" s="210"/>
      <c r="CH20" s="210"/>
      <c r="CI20" s="210"/>
      <c r="CJ20" s="210"/>
      <c r="CK20" s="210"/>
    </row>
    <row r="21">
      <c r="A21" s="222" t="s">
        <v>605</v>
      </c>
      <c r="B21" s="190" t="s">
        <v>606</v>
      </c>
      <c r="C21" s="223" t="s">
        <v>52</v>
      </c>
      <c r="D21" s="223" t="s">
        <v>846</v>
      </c>
      <c r="E21" s="190" t="s">
        <v>21</v>
      </c>
      <c r="F21" s="13" t="s">
        <v>927</v>
      </c>
      <c r="G21" s="190"/>
      <c r="H21" s="219">
        <f>IFERROR(
  MINIFS(ATTENDANCE_LOG!$F:$F,
         ATTENDANCE_LOG!$A:$A, C21,
         ATTENDANCE_LOG!$B:$B, E21),
"")</f>
        <v>45715.41667</v>
      </c>
      <c r="I21" s="219">
        <f t="shared" si="2"/>
        <v>45715.41667</v>
      </c>
      <c r="J21" s="190">
        <f>IFERROR(VLOOKUP(F21, LEVEL_HELPER!$A:$B, 2, 0), "")</f>
        <v>1</v>
      </c>
      <c r="K21" s="190" t="str">
        <f>IFERROR(VLOOKUP(G21, LEVEL_HELPER!$A:$B, 2, 0), "")</f>
        <v/>
      </c>
      <c r="L21" s="220" t="s">
        <v>943</v>
      </c>
      <c r="M21" s="220" t="s">
        <v>923</v>
      </c>
      <c r="N21" s="190">
        <f t="array" ref="N21">IFERROR(
  INDEX($J$2:$J$543,
    MATCH(A21&amp;TEXT(I21,"yyyy-mm-dd"),
          $A$2:$A$543&amp;TEXT($H$2:$H$543,"yyyy-mm-dd"),
          0)),
"")</f>
        <v>1</v>
      </c>
      <c r="O21" s="210">
        <f t="shared" si="3"/>
        <v>0</v>
      </c>
      <c r="P21" s="210">
        <f t="shared" ref="P21:Q21" si="31">IF(N21="",0,IF(N21&lt;=2,1,IF(N21&lt;=4,2,IF(N21&lt;=5.5,3,4))))</f>
        <v>1</v>
      </c>
      <c r="Q21" s="210">
        <f t="shared" si="31"/>
        <v>1</v>
      </c>
      <c r="R21" s="210" t="str">
        <f t="shared" si="5"/>
        <v>Not tested yet</v>
      </c>
      <c r="S21" s="210">
        <f t="shared" si="6"/>
        <v>1</v>
      </c>
      <c r="T21" s="210"/>
      <c r="U21" s="210"/>
      <c r="V21" s="211" t="s">
        <v>399</v>
      </c>
      <c r="W21" s="210" t="str">
        <f t="shared" si="7"/>
        <v>UI/UX</v>
      </c>
      <c r="X21" s="210" t="str">
        <f t="shared" si="8"/>
        <v>UI/UX, Des</v>
      </c>
      <c r="Y21" s="210" t="str">
        <f t="shared" si="9"/>
        <v>LBU</v>
      </c>
      <c r="Z21" s="210"/>
      <c r="AA21" s="210"/>
      <c r="AB21" s="210"/>
      <c r="AC21" s="210"/>
      <c r="AD21" s="210"/>
      <c r="AE21" s="210"/>
      <c r="AF21" s="210"/>
      <c r="AG21" s="210"/>
      <c r="AH21" s="210"/>
      <c r="AI21" s="210"/>
      <c r="AJ21" s="210"/>
      <c r="AK21" s="210"/>
      <c r="AL21" s="210"/>
      <c r="AM21" s="214"/>
      <c r="AN21" s="211" t="str">
        <f>IFERROR(__xludf.DUMMYFUNCTION("""COMPUTED_VALUE"""),"213844")</f>
        <v>213844</v>
      </c>
      <c r="AO21" s="210" t="str">
        <f t="shared" si="10"/>
        <v>DEV</v>
      </c>
      <c r="AP21" s="210" t="str">
        <f t="shared" si="11"/>
        <v>DEV, TA</v>
      </c>
      <c r="AQ21" s="210" t="str">
        <f t="shared" si="12"/>
        <v>MOC</v>
      </c>
      <c r="AR21" s="210"/>
      <c r="AS21" s="210"/>
      <c r="AT21" s="210"/>
      <c r="AU21" s="210"/>
      <c r="AV21" s="210"/>
      <c r="AW21" s="210"/>
      <c r="AX21" s="210"/>
      <c r="AY21" s="210"/>
      <c r="AZ21" s="210"/>
      <c r="BA21" s="210"/>
      <c r="BB21" s="210"/>
      <c r="BC21" s="210"/>
      <c r="BD21" s="210"/>
      <c r="BE21" s="210"/>
      <c r="BF21" s="210"/>
      <c r="BG21" s="210"/>
      <c r="BH21" s="210"/>
      <c r="BI21" s="210"/>
      <c r="BJ21" s="210"/>
      <c r="BK21" s="210"/>
      <c r="BL21" s="210"/>
      <c r="BM21" s="210"/>
      <c r="BN21" s="210"/>
      <c r="BO21" s="210"/>
      <c r="BP21" s="210"/>
      <c r="BQ21" s="210"/>
      <c r="BR21" s="210"/>
      <c r="BS21" s="210"/>
      <c r="BT21" s="210"/>
      <c r="BU21" s="210"/>
      <c r="BV21" s="210"/>
      <c r="BW21" s="210"/>
      <c r="BX21" s="210"/>
      <c r="BY21" s="210"/>
      <c r="BZ21" s="210"/>
      <c r="CA21" s="210"/>
      <c r="CB21" s="210"/>
      <c r="CC21" s="210"/>
      <c r="CD21" s="210"/>
      <c r="CE21" s="210"/>
      <c r="CF21" s="210"/>
      <c r="CG21" s="210"/>
      <c r="CH21" s="210"/>
      <c r="CI21" s="210"/>
      <c r="CJ21" s="210"/>
      <c r="CK21" s="210"/>
    </row>
    <row r="22">
      <c r="A22" s="222" t="s">
        <v>677</v>
      </c>
      <c r="B22" s="190" t="s">
        <v>678</v>
      </c>
      <c r="C22" s="223" t="s">
        <v>52</v>
      </c>
      <c r="D22" s="223" t="s">
        <v>846</v>
      </c>
      <c r="E22" s="190" t="s">
        <v>21</v>
      </c>
      <c r="F22" s="13" t="s">
        <v>927</v>
      </c>
      <c r="G22" s="13" t="s">
        <v>918</v>
      </c>
      <c r="H22" s="219">
        <f>IFERROR(
  MINIFS(ATTENDANCE_LOG!$F:$F,
         ATTENDANCE_LOG!$A:$A, C22,
         ATTENDANCE_LOG!$B:$B, E22),
"")</f>
        <v>45715.41667</v>
      </c>
      <c r="I22" s="219">
        <f t="shared" si="2"/>
        <v>45715.41667</v>
      </c>
      <c r="J22" s="190">
        <f>IFERROR(VLOOKUP(F22, LEVEL_HELPER!$A:$B, 2, 0), "")</f>
        <v>1</v>
      </c>
      <c r="K22" s="190">
        <f>IFERROR(VLOOKUP(G22, LEVEL_HELPER!$A:$B, 2, 0), "")</f>
        <v>3</v>
      </c>
      <c r="L22" s="220" t="s">
        <v>943</v>
      </c>
      <c r="M22" s="229" t="s">
        <v>922</v>
      </c>
      <c r="N22" s="190">
        <f t="array" ref="N22">IFERROR(
  INDEX($J$2:$J$543,
    MATCH(A22&amp;TEXT(I22,"yyyy-mm-dd"),
          $A$2:$A$543&amp;TEXT($H$2:$H$543,"yyyy-mm-dd"),
          0)),
"")</f>
        <v>1</v>
      </c>
      <c r="O22" s="210">
        <f t="shared" si="3"/>
        <v>3</v>
      </c>
      <c r="P22" s="210">
        <f t="shared" ref="P22:Q22" si="32">IF(N22="",0,IF(N22&lt;=2,1,IF(N22&lt;=4,2,IF(N22&lt;=5.5,3,4))))</f>
        <v>1</v>
      </c>
      <c r="Q22" s="210">
        <f t="shared" si="32"/>
        <v>2</v>
      </c>
      <c r="R22" s="210" t="str">
        <f t="shared" si="5"/>
        <v>Lv1 → Lv2</v>
      </c>
      <c r="S22" s="210">
        <f t="shared" si="6"/>
        <v>1</v>
      </c>
      <c r="T22" s="210"/>
      <c r="U22" s="210"/>
      <c r="V22" s="211" t="s">
        <v>510</v>
      </c>
      <c r="W22" s="210" t="str">
        <f t="shared" si="7"/>
        <v>DEV</v>
      </c>
      <c r="X22" s="210" t="str">
        <f t="shared" si="8"/>
        <v>DEV, TA</v>
      </c>
      <c r="Y22" s="210" t="str">
        <f t="shared" si="9"/>
        <v>ONC</v>
      </c>
      <c r="Z22" s="210"/>
      <c r="AA22" s="210"/>
      <c r="AB22" s="210"/>
      <c r="AC22" s="210"/>
      <c r="AD22" s="210"/>
      <c r="AE22" s="210"/>
      <c r="AF22" s="210"/>
      <c r="AG22" s="210"/>
      <c r="AH22" s="210"/>
      <c r="AI22" s="210"/>
      <c r="AJ22" s="210"/>
      <c r="AK22" s="210"/>
      <c r="AL22" s="210"/>
      <c r="AM22" s="214"/>
      <c r="AN22" s="211" t="str">
        <f>IFERROR(__xludf.DUMMYFUNCTION("""COMPUTED_VALUE"""),"227047")</f>
        <v>227047</v>
      </c>
      <c r="AO22" s="210" t="str">
        <f t="shared" si="10"/>
        <v>DEV</v>
      </c>
      <c r="AP22" s="210" t="str">
        <f t="shared" si="11"/>
        <v>DEV, TA</v>
      </c>
      <c r="AQ22" s="210" t="str">
        <f t="shared" si="12"/>
        <v>POC</v>
      </c>
      <c r="AR22" s="210"/>
      <c r="AS22" s="210"/>
      <c r="AT22" s="210"/>
      <c r="AU22" s="210"/>
      <c r="AV22" s="210"/>
      <c r="AW22" s="210"/>
      <c r="AX22" s="210"/>
      <c r="AY22" s="210"/>
      <c r="AZ22" s="210"/>
      <c r="BA22" s="210"/>
      <c r="BB22" s="210"/>
      <c r="BC22" s="210"/>
      <c r="BD22" s="210"/>
      <c r="BE22" s="210"/>
      <c r="BF22" s="210"/>
      <c r="BG22" s="210"/>
      <c r="BH22" s="210"/>
      <c r="BI22" s="210"/>
      <c r="BJ22" s="210"/>
      <c r="BK22" s="210"/>
      <c r="BL22" s="210"/>
      <c r="BM22" s="210"/>
      <c r="BN22" s="210"/>
      <c r="BO22" s="210"/>
      <c r="BP22" s="210"/>
      <c r="BQ22" s="210"/>
      <c r="BR22" s="210"/>
      <c r="BS22" s="210"/>
      <c r="BT22" s="210"/>
      <c r="BU22" s="210"/>
      <c r="BV22" s="210"/>
      <c r="BW22" s="210"/>
      <c r="BX22" s="210"/>
      <c r="BY22" s="210"/>
      <c r="BZ22" s="210"/>
      <c r="CA22" s="210"/>
      <c r="CB22" s="210"/>
      <c r="CC22" s="210"/>
      <c r="CD22" s="210"/>
      <c r="CE22" s="210"/>
      <c r="CF22" s="210"/>
      <c r="CG22" s="210"/>
      <c r="CH22" s="210"/>
      <c r="CI22" s="210"/>
      <c r="CJ22" s="210"/>
      <c r="CK22" s="210"/>
    </row>
    <row r="23">
      <c r="A23" s="222" t="s">
        <v>687</v>
      </c>
      <c r="B23" s="190" t="s">
        <v>688</v>
      </c>
      <c r="C23" s="223" t="s">
        <v>52</v>
      </c>
      <c r="D23" s="223" t="s">
        <v>846</v>
      </c>
      <c r="E23" s="190" t="s">
        <v>21</v>
      </c>
      <c r="F23" s="13" t="s">
        <v>927</v>
      </c>
      <c r="G23" s="13" t="s">
        <v>918</v>
      </c>
      <c r="H23" s="219">
        <f>IFERROR(
  MINIFS(ATTENDANCE_LOG!$F:$F,
         ATTENDANCE_LOG!$A:$A, C23,
         ATTENDANCE_LOG!$B:$B, E23),
"")</f>
        <v>45715.41667</v>
      </c>
      <c r="I23" s="219">
        <f t="shared" si="2"/>
        <v>45715.41667</v>
      </c>
      <c r="J23" s="190">
        <f>IFERROR(VLOOKUP(F23, LEVEL_HELPER!$A:$B, 2, 0), "")</f>
        <v>1</v>
      </c>
      <c r="K23" s="190">
        <f>IFERROR(VLOOKUP(G23, LEVEL_HELPER!$A:$B, 2, 0), "")</f>
        <v>3</v>
      </c>
      <c r="L23" s="220" t="s">
        <v>943</v>
      </c>
      <c r="M23" s="229" t="s">
        <v>922</v>
      </c>
      <c r="N23" s="190">
        <f t="array" ref="N23">IFERROR(
  INDEX($J$2:$J$543,
    MATCH(A23&amp;TEXT(I23,"yyyy-mm-dd"),
          $A$2:$A$543&amp;TEXT($H$2:$H$543,"yyyy-mm-dd"),
          0)),
"")</f>
        <v>1</v>
      </c>
      <c r="O23" s="210">
        <f t="shared" si="3"/>
        <v>3</v>
      </c>
      <c r="P23" s="210">
        <f t="shared" ref="P23:Q23" si="33">IF(N23="",0,IF(N23&lt;=2,1,IF(N23&lt;=4,2,IF(N23&lt;=5.5,3,4))))</f>
        <v>1</v>
      </c>
      <c r="Q23" s="210">
        <f t="shared" si="33"/>
        <v>2</v>
      </c>
      <c r="R23" s="210" t="str">
        <f t="shared" si="5"/>
        <v>Lv1 → Lv2</v>
      </c>
      <c r="S23" s="210">
        <f t="shared" si="6"/>
        <v>1</v>
      </c>
      <c r="T23" s="210"/>
      <c r="U23" s="210"/>
      <c r="V23" s="211" t="s">
        <v>144</v>
      </c>
      <c r="W23" s="210" t="str">
        <f t="shared" si="7"/>
        <v>DEV</v>
      </c>
      <c r="X23" s="210" t="str">
        <f t="shared" si="8"/>
        <v>DEV, TA</v>
      </c>
      <c r="Y23" s="210" t="str">
        <f t="shared" si="9"/>
        <v>ONC</v>
      </c>
      <c r="Z23" s="210"/>
      <c r="AA23" s="210"/>
      <c r="AB23" s="210"/>
      <c r="AC23" s="210"/>
      <c r="AD23" s="210"/>
      <c r="AE23" s="210"/>
      <c r="AF23" s="210"/>
      <c r="AG23" s="210"/>
      <c r="AH23" s="210"/>
      <c r="AI23" s="210"/>
      <c r="AJ23" s="210"/>
      <c r="AK23" s="210"/>
      <c r="AL23" s="210"/>
      <c r="AM23" s="214"/>
      <c r="AN23" s="211" t="str">
        <f>IFERROR(__xludf.DUMMYFUNCTION("""COMPUTED_VALUE"""),"227116")</f>
        <v>227116</v>
      </c>
      <c r="AO23" s="210" t="str">
        <f t="shared" si="10"/>
        <v>DEV</v>
      </c>
      <c r="AP23" s="210" t="str">
        <f t="shared" si="11"/>
        <v>DEV, TA</v>
      </c>
      <c r="AQ23" s="210" t="str">
        <f t="shared" si="12"/>
        <v>CHORUS</v>
      </c>
      <c r="AR23" s="210"/>
      <c r="AS23" s="210"/>
      <c r="AT23" s="210"/>
      <c r="AU23" s="210"/>
      <c r="AV23" s="210"/>
      <c r="AW23" s="210"/>
      <c r="AX23" s="210"/>
      <c r="AY23" s="210"/>
      <c r="AZ23" s="210"/>
      <c r="BA23" s="210"/>
      <c r="BB23" s="210"/>
      <c r="BC23" s="210"/>
      <c r="BD23" s="210"/>
      <c r="BE23" s="210"/>
      <c r="BF23" s="210"/>
      <c r="BG23" s="210"/>
      <c r="BH23" s="210"/>
      <c r="BI23" s="210"/>
      <c r="BJ23" s="210"/>
      <c r="BK23" s="210"/>
      <c r="BL23" s="210"/>
      <c r="BM23" s="210"/>
      <c r="BN23" s="210"/>
      <c r="BO23" s="210"/>
      <c r="BP23" s="210"/>
      <c r="BQ23" s="210"/>
      <c r="BR23" s="210"/>
      <c r="BS23" s="210"/>
      <c r="BT23" s="210"/>
      <c r="BU23" s="210"/>
      <c r="BV23" s="210"/>
      <c r="BW23" s="210"/>
      <c r="BX23" s="210"/>
      <c r="BY23" s="210"/>
      <c r="BZ23" s="210"/>
      <c r="CA23" s="210"/>
      <c r="CB23" s="210"/>
      <c r="CC23" s="210"/>
      <c r="CD23" s="210"/>
      <c r="CE23" s="210"/>
      <c r="CF23" s="210"/>
      <c r="CG23" s="210"/>
      <c r="CH23" s="210"/>
      <c r="CI23" s="210"/>
      <c r="CJ23" s="210"/>
      <c r="CK23" s="210"/>
    </row>
    <row r="24">
      <c r="A24" s="222" t="s">
        <v>701</v>
      </c>
      <c r="B24" s="190" t="s">
        <v>702</v>
      </c>
      <c r="C24" s="223" t="s">
        <v>52</v>
      </c>
      <c r="D24" s="223" t="s">
        <v>846</v>
      </c>
      <c r="E24" s="190" t="s">
        <v>21</v>
      </c>
      <c r="F24" s="13" t="s">
        <v>927</v>
      </c>
      <c r="G24" s="13" t="s">
        <v>935</v>
      </c>
      <c r="H24" s="219">
        <f>IFERROR(
  MINIFS(ATTENDANCE_LOG!$F:$F,
         ATTENDANCE_LOG!$A:$A, C24,
         ATTENDANCE_LOG!$B:$B, E24),
"")</f>
        <v>45715.41667</v>
      </c>
      <c r="I24" s="219">
        <f t="shared" si="2"/>
        <v>45715.41667</v>
      </c>
      <c r="J24" s="190">
        <f>IFERROR(VLOOKUP(F24, LEVEL_HELPER!$A:$B, 2, 0), "")</f>
        <v>1</v>
      </c>
      <c r="K24" s="190">
        <f>IFERROR(VLOOKUP(G24, LEVEL_HELPER!$A:$B, 2, 0), "")</f>
        <v>3.5</v>
      </c>
      <c r="L24" s="220" t="s">
        <v>943</v>
      </c>
      <c r="M24" s="229" t="s">
        <v>922</v>
      </c>
      <c r="N24" s="190">
        <f t="array" ref="N24">IFERROR(
  INDEX($J$2:$J$543,
    MATCH(A24&amp;TEXT(I24,"yyyy-mm-dd"),
          $A$2:$A$543&amp;TEXT($H$2:$H$543,"yyyy-mm-dd"),
          0)),
"")</f>
        <v>1</v>
      </c>
      <c r="O24" s="210">
        <f t="shared" si="3"/>
        <v>3.5</v>
      </c>
      <c r="P24" s="210">
        <f t="shared" ref="P24:Q24" si="34">IF(N24="",0,IF(N24&lt;=2,1,IF(N24&lt;=4,2,IF(N24&lt;=5.5,3,4))))</f>
        <v>1</v>
      </c>
      <c r="Q24" s="210">
        <f t="shared" si="34"/>
        <v>2</v>
      </c>
      <c r="R24" s="210" t="str">
        <f t="shared" si="5"/>
        <v>Lv1 → Lv2</v>
      </c>
      <c r="S24" s="210">
        <f t="shared" si="6"/>
        <v>1</v>
      </c>
      <c r="T24" s="210"/>
      <c r="U24" s="210"/>
      <c r="V24" s="211" t="s">
        <v>155</v>
      </c>
      <c r="W24" s="210" t="str">
        <f t="shared" si="7"/>
        <v>DEV</v>
      </c>
      <c r="X24" s="210" t="str">
        <f t="shared" si="8"/>
        <v>DEV, TA</v>
      </c>
      <c r="Y24" s="210" t="str">
        <f t="shared" si="9"/>
        <v>ONC</v>
      </c>
      <c r="Z24" s="210"/>
      <c r="AA24" s="210"/>
      <c r="AB24" s="210"/>
      <c r="AC24" s="210"/>
      <c r="AD24" s="210"/>
      <c r="AE24" s="210"/>
      <c r="AF24" s="210"/>
      <c r="AG24" s="210"/>
      <c r="AH24" s="210"/>
      <c r="AI24" s="210"/>
      <c r="AJ24" s="210"/>
      <c r="AK24" s="210"/>
      <c r="AL24" s="210"/>
      <c r="AM24" s="214"/>
      <c r="AN24" s="211" t="str">
        <f>IFERROR(__xludf.DUMMYFUNCTION("""COMPUTED_VALUE"""),"257133")</f>
        <v>257133</v>
      </c>
      <c r="AO24" s="210" t="str">
        <f t="shared" si="10"/>
        <v>QC</v>
      </c>
      <c r="AP24" s="210" t="str">
        <f t="shared" si="11"/>
        <v>QC</v>
      </c>
      <c r="AQ24" s="210" t="str">
        <f t="shared" si="12"/>
        <v>ONC</v>
      </c>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c r="BU24" s="210"/>
      <c r="BV24" s="210"/>
      <c r="BW24" s="210"/>
      <c r="BX24" s="210"/>
      <c r="BY24" s="210"/>
      <c r="BZ24" s="210"/>
      <c r="CA24" s="210"/>
      <c r="CB24" s="210"/>
      <c r="CC24" s="210"/>
      <c r="CD24" s="210"/>
      <c r="CE24" s="210"/>
      <c r="CF24" s="210"/>
      <c r="CG24" s="210"/>
      <c r="CH24" s="210"/>
      <c r="CI24" s="210"/>
      <c r="CJ24" s="210"/>
      <c r="CK24" s="210"/>
    </row>
    <row r="25">
      <c r="A25" s="216" t="s">
        <v>534</v>
      </c>
      <c r="B25" s="217" t="s">
        <v>535</v>
      </c>
      <c r="C25" s="218" t="s">
        <v>53</v>
      </c>
      <c r="D25" s="218" t="s">
        <v>847</v>
      </c>
      <c r="E25" s="217" t="s">
        <v>21</v>
      </c>
      <c r="F25" s="13" t="s">
        <v>927</v>
      </c>
      <c r="G25" s="13" t="s">
        <v>918</v>
      </c>
      <c r="H25" s="219">
        <f>IFERROR(
  MINIFS(ATTENDANCE_LOG!$F:$F,
         ATTENDANCE_LOG!$A:$A, C25,
         ATTENDANCE_LOG!$B:$B, E25),
"")</f>
        <v>45715.45833</v>
      </c>
      <c r="I25" s="219">
        <f t="shared" si="2"/>
        <v>45715.45833</v>
      </c>
      <c r="J25" s="190">
        <f>IFERROR(VLOOKUP(F25, LEVEL_HELPER!$A:$B, 2, 0), "")</f>
        <v>1</v>
      </c>
      <c r="K25" s="190">
        <f>IFERROR(VLOOKUP(G25, LEVEL_HELPER!$A:$B, 2, 0), "")</f>
        <v>3</v>
      </c>
      <c r="L25" s="220" t="s">
        <v>919</v>
      </c>
      <c r="M25" s="220" t="s">
        <v>923</v>
      </c>
      <c r="N25" s="190">
        <f t="array" ref="N25">IFERROR(
  INDEX($J$2:$J$543,
    MATCH(A25&amp;TEXT(I25,"yyyy-mm-dd"),
          $A$2:$A$543&amp;TEXT($H$2:$H$543,"yyyy-mm-dd"),
          0)),
"")</f>
        <v>1</v>
      </c>
      <c r="O25" s="210">
        <f t="shared" si="3"/>
        <v>3</v>
      </c>
      <c r="P25" s="210">
        <f t="shared" ref="P25:Q25" si="35">IF(N25="",0,IF(N25&lt;=2,1,IF(N25&lt;=4,2,IF(N25&lt;=5.5,3,4))))</f>
        <v>1</v>
      </c>
      <c r="Q25" s="210">
        <f t="shared" si="35"/>
        <v>2</v>
      </c>
      <c r="R25" s="210" t="str">
        <f t="shared" si="5"/>
        <v>Lv1 → Lv2</v>
      </c>
      <c r="S25" s="210">
        <f t="shared" si="6"/>
        <v>1</v>
      </c>
      <c r="T25" s="210"/>
      <c r="U25" s="210"/>
      <c r="V25" s="211" t="s">
        <v>226</v>
      </c>
      <c r="W25" s="210" t="str">
        <f t="shared" si="7"/>
        <v>DEV</v>
      </c>
      <c r="X25" s="210" t="str">
        <f t="shared" si="8"/>
        <v>DEV, TA</v>
      </c>
      <c r="Y25" s="210" t="str">
        <f t="shared" si="9"/>
        <v>ONC</v>
      </c>
      <c r="Z25" s="210"/>
      <c r="AA25" s="210"/>
      <c r="AB25" s="210"/>
      <c r="AC25" s="210"/>
      <c r="AD25" s="210"/>
      <c r="AE25" s="210"/>
      <c r="AF25" s="210"/>
      <c r="AG25" s="210"/>
      <c r="AH25" s="210"/>
      <c r="AI25" s="210"/>
      <c r="AJ25" s="210"/>
      <c r="AK25" s="210"/>
      <c r="AL25" s="210"/>
      <c r="AM25" s="214"/>
      <c r="AN25" s="211" t="str">
        <f>IFERROR(__xludf.DUMMYFUNCTION("""COMPUTED_VALUE"""),"173246")</f>
        <v>173246</v>
      </c>
      <c r="AO25" s="210" t="str">
        <f t="shared" si="10"/>
        <v>GSD</v>
      </c>
      <c r="AP25" s="210" t="str">
        <f t="shared" si="11"/>
        <v>GSD</v>
      </c>
      <c r="AQ25" s="210" t="str">
        <f t="shared" si="12"/>
        <v>POC</v>
      </c>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c r="BU25" s="210"/>
      <c r="BV25" s="210"/>
      <c r="BW25" s="210"/>
      <c r="BX25" s="210"/>
      <c r="BY25" s="210"/>
      <c r="BZ25" s="210"/>
      <c r="CA25" s="210"/>
      <c r="CB25" s="210"/>
      <c r="CC25" s="210"/>
      <c r="CD25" s="210"/>
      <c r="CE25" s="210"/>
      <c r="CF25" s="210"/>
      <c r="CG25" s="210"/>
      <c r="CH25" s="210"/>
      <c r="CI25" s="210"/>
      <c r="CJ25" s="210"/>
      <c r="CK25" s="210"/>
    </row>
    <row r="26">
      <c r="A26" s="222" t="s">
        <v>325</v>
      </c>
      <c r="B26" s="190" t="s">
        <v>326</v>
      </c>
      <c r="C26" s="223" t="s">
        <v>53</v>
      </c>
      <c r="D26" s="223" t="s">
        <v>847</v>
      </c>
      <c r="E26" s="190" t="s">
        <v>21</v>
      </c>
      <c r="F26" s="13" t="s">
        <v>927</v>
      </c>
      <c r="G26" s="13" t="s">
        <v>927</v>
      </c>
      <c r="H26" s="219">
        <f>IFERROR(
  MINIFS(ATTENDANCE_LOG!$F:$F,
         ATTENDANCE_LOG!$A:$A, C26,
         ATTENDANCE_LOG!$B:$B, E26),
"")</f>
        <v>45715.45833</v>
      </c>
      <c r="I26" s="219">
        <f t="shared" si="2"/>
        <v>45715.45833</v>
      </c>
      <c r="J26" s="190">
        <f>IFERROR(VLOOKUP(F26, LEVEL_HELPER!$A:$B, 2, 0), "")</f>
        <v>1</v>
      </c>
      <c r="K26" s="190">
        <f>IFERROR(VLOOKUP(G26, LEVEL_HELPER!$A:$B, 2, 0), "")</f>
        <v>1</v>
      </c>
      <c r="L26" s="220" t="s">
        <v>945</v>
      </c>
      <c r="M26" s="229" t="s">
        <v>922</v>
      </c>
      <c r="N26" s="190">
        <f t="array" ref="N26">IFERROR(
  INDEX($J$2:$J$543,
    MATCH(A26&amp;TEXT(I26,"yyyy-mm-dd"),
          $A$2:$A$543&amp;TEXT($H$2:$H$543,"yyyy-mm-dd"),
          0)),
"")</f>
        <v>1</v>
      </c>
      <c r="O26" s="210">
        <f t="shared" si="3"/>
        <v>3.5</v>
      </c>
      <c r="P26" s="210">
        <f t="shared" ref="P26:Q26" si="36">IF(N26="",0,IF(N26&lt;=2,1,IF(N26&lt;=4,2,IF(N26&lt;=5.5,3,4))))</f>
        <v>1</v>
      </c>
      <c r="Q26" s="210">
        <f t="shared" si="36"/>
        <v>2</v>
      </c>
      <c r="R26" s="210" t="str">
        <f t="shared" si="5"/>
        <v>Lv1 → Lv2</v>
      </c>
      <c r="S26" s="210">
        <f t="shared" si="6"/>
        <v>1</v>
      </c>
      <c r="T26" s="210"/>
      <c r="U26" s="210"/>
      <c r="V26" s="211" t="s">
        <v>245</v>
      </c>
      <c r="W26" s="210" t="str">
        <f t="shared" si="7"/>
        <v>DEV</v>
      </c>
      <c r="X26" s="210" t="str">
        <f t="shared" si="8"/>
        <v>DEV, TA</v>
      </c>
      <c r="Y26" s="210" t="str">
        <f t="shared" si="9"/>
        <v>ONC</v>
      </c>
      <c r="Z26" s="210"/>
      <c r="AA26" s="210"/>
      <c r="AB26" s="210"/>
      <c r="AC26" s="210"/>
      <c r="AD26" s="210"/>
      <c r="AE26" s="210"/>
      <c r="AF26" s="210"/>
      <c r="AG26" s="210"/>
      <c r="AH26" s="210"/>
      <c r="AI26" s="210"/>
      <c r="AJ26" s="210"/>
      <c r="AK26" s="210"/>
      <c r="AL26" s="210"/>
      <c r="AM26" s="214"/>
      <c r="AN26" s="211" t="str">
        <f>IFERROR(__xludf.DUMMYFUNCTION("""COMPUTED_VALUE"""),"173230")</f>
        <v>173230</v>
      </c>
      <c r="AO26" s="210" t="str">
        <f t="shared" si="10"/>
        <v>QC</v>
      </c>
      <c r="AP26" s="210" t="str">
        <f t="shared" si="11"/>
        <v>QC</v>
      </c>
      <c r="AQ26" s="210" t="str">
        <f t="shared" si="12"/>
        <v>POC</v>
      </c>
      <c r="AR26" s="210"/>
      <c r="AS26" s="210"/>
      <c r="AT26" s="210"/>
      <c r="AU26" s="210"/>
      <c r="AV26" s="210"/>
      <c r="AW26" s="210"/>
      <c r="AX26" s="210"/>
      <c r="AY26" s="210"/>
      <c r="AZ26" s="210"/>
      <c r="BA26" s="210"/>
      <c r="BB26" s="210"/>
      <c r="BC26" s="210"/>
      <c r="BD26" s="210"/>
      <c r="BE26" s="210"/>
      <c r="BF26" s="210"/>
      <c r="BG26" s="210"/>
      <c r="BH26" s="210"/>
      <c r="BI26" s="210"/>
      <c r="BJ26" s="210"/>
      <c r="BK26" s="210"/>
      <c r="BL26" s="210"/>
      <c r="BM26" s="210"/>
      <c r="BN26" s="210"/>
      <c r="BO26" s="210"/>
      <c r="BP26" s="210"/>
      <c r="BQ26" s="210"/>
      <c r="BR26" s="210"/>
      <c r="BS26" s="210"/>
      <c r="BT26" s="210"/>
      <c r="BU26" s="210"/>
      <c r="BV26" s="210"/>
      <c r="BW26" s="210"/>
      <c r="BX26" s="210"/>
      <c r="BY26" s="210"/>
      <c r="BZ26" s="210"/>
      <c r="CA26" s="210"/>
      <c r="CB26" s="210"/>
      <c r="CC26" s="210"/>
      <c r="CD26" s="210"/>
      <c r="CE26" s="210"/>
      <c r="CF26" s="210"/>
      <c r="CG26" s="210"/>
      <c r="CH26" s="210"/>
      <c r="CI26" s="210"/>
      <c r="CJ26" s="210"/>
      <c r="CK26" s="210"/>
    </row>
    <row r="27">
      <c r="A27" s="222" t="s">
        <v>415</v>
      </c>
      <c r="B27" s="190" t="s">
        <v>416</v>
      </c>
      <c r="C27" s="223" t="s">
        <v>53</v>
      </c>
      <c r="D27" s="223" t="s">
        <v>847</v>
      </c>
      <c r="E27" s="190" t="s">
        <v>21</v>
      </c>
      <c r="F27" s="13" t="s">
        <v>927</v>
      </c>
      <c r="G27" s="13" t="s">
        <v>927</v>
      </c>
      <c r="H27" s="219">
        <f>IFERROR(
  MINIFS(ATTENDANCE_LOG!$F:$F,
         ATTENDANCE_LOG!$A:$A, C27,
         ATTENDANCE_LOG!$B:$B, E27),
"")</f>
        <v>45715.45833</v>
      </c>
      <c r="I27" s="219">
        <f t="shared" si="2"/>
        <v>45715.45833</v>
      </c>
      <c r="J27" s="190">
        <f>IFERROR(VLOOKUP(F27, LEVEL_HELPER!$A:$B, 2, 0), "")</f>
        <v>1</v>
      </c>
      <c r="K27" s="190">
        <f>IFERROR(VLOOKUP(G27, LEVEL_HELPER!$A:$B, 2, 0), "")</f>
        <v>1</v>
      </c>
      <c r="L27" s="220" t="s">
        <v>919</v>
      </c>
      <c r="M27" s="229" t="s">
        <v>922</v>
      </c>
      <c r="N27" s="190">
        <f t="array" ref="N27">IFERROR(
  INDEX($J$2:$J$543,
    MATCH(A27&amp;TEXT(I27,"yyyy-mm-dd"),
          $A$2:$A$543&amp;TEXT($H$2:$H$543,"yyyy-mm-dd"),
          0)),
"")</f>
        <v>1</v>
      </c>
      <c r="O27" s="210">
        <f t="shared" si="3"/>
        <v>1</v>
      </c>
      <c r="P27" s="210">
        <f t="shared" ref="P27:Q27" si="37">IF(N27="",0,IF(N27&lt;=2,1,IF(N27&lt;=4,2,IF(N27&lt;=5.5,3,4))))</f>
        <v>1</v>
      </c>
      <c r="Q27" s="210">
        <f t="shared" si="37"/>
        <v>1</v>
      </c>
      <c r="R27" s="210" t="str">
        <f t="shared" si="5"/>
        <v>No Progress</v>
      </c>
      <c r="S27" s="210">
        <f t="shared" si="6"/>
        <v>1</v>
      </c>
      <c r="T27" s="210"/>
      <c r="U27" s="210"/>
      <c r="V27" s="211" t="s">
        <v>352</v>
      </c>
      <c r="W27" s="210" t="str">
        <f t="shared" si="7"/>
        <v>DEV</v>
      </c>
      <c r="X27" s="210" t="str">
        <f t="shared" si="8"/>
        <v>DEV, TA</v>
      </c>
      <c r="Y27" s="210" t="str">
        <f t="shared" si="9"/>
        <v>ONC</v>
      </c>
      <c r="Z27" s="210"/>
      <c r="AA27" s="210"/>
      <c r="AB27" s="210"/>
      <c r="AC27" s="210"/>
      <c r="AD27" s="210"/>
      <c r="AE27" s="210"/>
      <c r="AF27" s="210"/>
      <c r="AG27" s="210"/>
      <c r="AH27" s="210"/>
      <c r="AI27" s="210"/>
      <c r="AJ27" s="210"/>
      <c r="AK27" s="210"/>
      <c r="AL27" s="210"/>
      <c r="AM27" s="214"/>
      <c r="AN27" s="211" t="str">
        <f>IFERROR(__xludf.DUMMYFUNCTION("""COMPUTED_VALUE"""),"183422")</f>
        <v>183422</v>
      </c>
      <c r="AO27" s="210" t="str">
        <f t="shared" si="10"/>
        <v>DEV</v>
      </c>
      <c r="AP27" s="210" t="str">
        <f t="shared" si="11"/>
        <v>DEV, TA</v>
      </c>
      <c r="AQ27" s="210" t="str">
        <f t="shared" si="12"/>
        <v>ONC</v>
      </c>
      <c r="AR27" s="210"/>
      <c r="AS27" s="210"/>
      <c r="AT27" s="210"/>
      <c r="AU27" s="210"/>
      <c r="AV27" s="210"/>
      <c r="AW27" s="210"/>
      <c r="AX27" s="210"/>
      <c r="AY27" s="210"/>
      <c r="AZ27" s="210"/>
      <c r="BA27" s="210"/>
      <c r="BB27" s="210"/>
      <c r="BC27" s="210"/>
      <c r="BD27" s="210"/>
      <c r="BE27" s="210"/>
      <c r="BF27" s="210"/>
      <c r="BG27" s="210"/>
      <c r="BH27" s="210"/>
      <c r="BI27" s="210"/>
      <c r="BJ27" s="210"/>
      <c r="BK27" s="210"/>
      <c r="BL27" s="210"/>
      <c r="BM27" s="210"/>
      <c r="BN27" s="210"/>
      <c r="BO27" s="210"/>
      <c r="BP27" s="210"/>
      <c r="BQ27" s="210"/>
      <c r="BR27" s="210"/>
      <c r="BS27" s="210"/>
      <c r="BT27" s="210"/>
      <c r="BU27" s="210"/>
      <c r="BV27" s="210"/>
      <c r="BW27" s="210"/>
      <c r="BX27" s="210"/>
      <c r="BY27" s="210"/>
      <c r="BZ27" s="210"/>
      <c r="CA27" s="210"/>
      <c r="CB27" s="210"/>
      <c r="CC27" s="210"/>
      <c r="CD27" s="210"/>
      <c r="CE27" s="210"/>
      <c r="CF27" s="210"/>
      <c r="CG27" s="210"/>
      <c r="CH27" s="210"/>
      <c r="CI27" s="210"/>
      <c r="CJ27" s="210"/>
      <c r="CK27" s="210"/>
    </row>
    <row r="28">
      <c r="A28" s="222" t="s">
        <v>461</v>
      </c>
      <c r="B28" s="190" t="s">
        <v>462</v>
      </c>
      <c r="C28" s="223" t="s">
        <v>53</v>
      </c>
      <c r="D28" s="223" t="s">
        <v>847</v>
      </c>
      <c r="E28" s="190" t="s">
        <v>21</v>
      </c>
      <c r="F28" s="13" t="s">
        <v>927</v>
      </c>
      <c r="G28" s="13" t="s">
        <v>927</v>
      </c>
      <c r="H28" s="219">
        <f>IFERROR(
  MINIFS(ATTENDANCE_LOG!$F:$F,
         ATTENDANCE_LOG!$A:$A, C28,
         ATTENDANCE_LOG!$B:$B, E28),
"")</f>
        <v>45715.45833</v>
      </c>
      <c r="I28" s="219">
        <f t="shared" si="2"/>
        <v>45715.45833</v>
      </c>
      <c r="J28" s="190">
        <f>IFERROR(VLOOKUP(F28, LEVEL_HELPER!$A:$B, 2, 0), "")</f>
        <v>1</v>
      </c>
      <c r="K28" s="190">
        <f>IFERROR(VLOOKUP(G28, LEVEL_HELPER!$A:$B, 2, 0), "")</f>
        <v>1</v>
      </c>
      <c r="L28" s="220" t="s">
        <v>919</v>
      </c>
      <c r="M28" s="220" t="s">
        <v>923</v>
      </c>
      <c r="N28" s="190">
        <f t="array" ref="N28">IFERROR(
  INDEX($J$2:$J$543,
    MATCH(A28&amp;TEXT(I28,"yyyy-mm-dd"),
          $A$2:$A$543&amp;TEXT($H$2:$H$543,"yyyy-mm-dd"),
          0)),
"")</f>
        <v>1</v>
      </c>
      <c r="O28" s="210">
        <f t="shared" si="3"/>
        <v>3.5</v>
      </c>
      <c r="P28" s="210">
        <f t="shared" ref="P28:Q28" si="38">IF(N28="",0,IF(N28&lt;=2,1,IF(N28&lt;=4,2,IF(N28&lt;=5.5,3,4))))</f>
        <v>1</v>
      </c>
      <c r="Q28" s="210">
        <f t="shared" si="38"/>
        <v>2</v>
      </c>
      <c r="R28" s="210" t="str">
        <f t="shared" si="5"/>
        <v>Lv1 → Lv2</v>
      </c>
      <c r="S28" s="210">
        <f t="shared" si="6"/>
        <v>1</v>
      </c>
      <c r="T28" s="210"/>
      <c r="U28" s="210"/>
      <c r="V28" s="211" t="s">
        <v>553</v>
      </c>
      <c r="W28" s="210" t="str">
        <f t="shared" si="7"/>
        <v>DEV</v>
      </c>
      <c r="X28" s="210" t="str">
        <f t="shared" si="8"/>
        <v>DEV, TA</v>
      </c>
      <c r="Y28" s="210" t="str">
        <f t="shared" si="9"/>
        <v>ONC</v>
      </c>
      <c r="Z28" s="210"/>
      <c r="AA28" s="210"/>
      <c r="AB28" s="210"/>
      <c r="AC28" s="210"/>
      <c r="AD28" s="210"/>
      <c r="AE28" s="210"/>
      <c r="AF28" s="210"/>
      <c r="AG28" s="210"/>
      <c r="AH28" s="210"/>
      <c r="AI28" s="210"/>
      <c r="AJ28" s="210"/>
      <c r="AK28" s="210"/>
      <c r="AL28" s="210"/>
      <c r="AM28" s="214"/>
      <c r="AN28" s="211" t="str">
        <f>IFERROR(__xludf.DUMMYFUNCTION("""COMPUTED_VALUE"""),"213889")</f>
        <v>213889</v>
      </c>
      <c r="AO28" s="210" t="str">
        <f t="shared" si="10"/>
        <v>DEV</v>
      </c>
      <c r="AP28" s="210" t="str">
        <f t="shared" si="11"/>
        <v>DEV, TA</v>
      </c>
      <c r="AQ28" s="210" t="str">
        <f t="shared" si="12"/>
        <v>MOC</v>
      </c>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row>
    <row r="29">
      <c r="A29" s="222" t="s">
        <v>560</v>
      </c>
      <c r="B29" s="190" t="s">
        <v>561</v>
      </c>
      <c r="C29" s="223" t="s">
        <v>53</v>
      </c>
      <c r="D29" s="223" t="s">
        <v>847</v>
      </c>
      <c r="E29" s="190" t="s">
        <v>21</v>
      </c>
      <c r="F29" s="13" t="s">
        <v>927</v>
      </c>
      <c r="G29" s="13" t="s">
        <v>927</v>
      </c>
      <c r="H29" s="219">
        <f>IFERROR(
  MINIFS(ATTENDANCE_LOG!$F:$F,
         ATTENDANCE_LOG!$A:$A, C29,
         ATTENDANCE_LOG!$B:$B, E29),
"")</f>
        <v>45715.45833</v>
      </c>
      <c r="I29" s="219">
        <f t="shared" si="2"/>
        <v>45715.45833</v>
      </c>
      <c r="J29" s="190">
        <f>IFERROR(VLOOKUP(F29, LEVEL_HELPER!$A:$B, 2, 0), "")</f>
        <v>1</v>
      </c>
      <c r="K29" s="190">
        <f>IFERROR(VLOOKUP(G29, LEVEL_HELPER!$A:$B, 2, 0), "")</f>
        <v>1</v>
      </c>
      <c r="L29" s="220" t="s">
        <v>919</v>
      </c>
      <c r="M29" s="229" t="s">
        <v>922</v>
      </c>
      <c r="N29" s="190">
        <f t="array" ref="N29">IFERROR(
  INDEX($J$2:$J$543,
    MATCH(A29&amp;TEXT(I29,"yyyy-mm-dd"),
          $A$2:$A$543&amp;TEXT($H$2:$H$543,"yyyy-mm-dd"),
          0)),
"")</f>
        <v>1</v>
      </c>
      <c r="O29" s="210">
        <f t="shared" si="3"/>
        <v>1</v>
      </c>
      <c r="P29" s="210">
        <f t="shared" ref="P29:Q29" si="39">IF(N29="",0,IF(N29&lt;=2,1,IF(N29&lt;=4,2,IF(N29&lt;=5.5,3,4))))</f>
        <v>1</v>
      </c>
      <c r="Q29" s="210">
        <f t="shared" si="39"/>
        <v>1</v>
      </c>
      <c r="R29" s="210" t="str">
        <f t="shared" si="5"/>
        <v>No Progress</v>
      </c>
      <c r="S29" s="210">
        <f t="shared" si="6"/>
        <v>1</v>
      </c>
      <c r="T29" s="210"/>
      <c r="U29" s="210"/>
      <c r="V29" s="211" t="s">
        <v>617</v>
      </c>
      <c r="W29" s="210" t="str">
        <f t="shared" si="7"/>
        <v>DEV</v>
      </c>
      <c r="X29" s="210" t="str">
        <f t="shared" si="8"/>
        <v>DEV, TA</v>
      </c>
      <c r="Y29" s="210" t="str">
        <f t="shared" si="9"/>
        <v>ONC</v>
      </c>
      <c r="Z29" s="210"/>
      <c r="AA29" s="210"/>
      <c r="AB29" s="210"/>
      <c r="AC29" s="210"/>
      <c r="AD29" s="210"/>
      <c r="AE29" s="210"/>
      <c r="AF29" s="210"/>
      <c r="AG29" s="210"/>
      <c r="AH29" s="210"/>
      <c r="AI29" s="210"/>
      <c r="AJ29" s="210"/>
      <c r="AK29" s="210"/>
      <c r="AL29" s="210"/>
      <c r="AM29" s="214"/>
      <c r="AN29" s="211" t="str">
        <f>IFERROR(__xludf.DUMMYFUNCTION("""COMPUTED_VALUE"""),"163188")</f>
        <v>163188</v>
      </c>
      <c r="AO29" s="210" t="str">
        <f t="shared" si="10"/>
        <v>DEV</v>
      </c>
      <c r="AP29" s="210" t="str">
        <f t="shared" si="11"/>
        <v>DEV, TA</v>
      </c>
      <c r="AQ29" s="210" t="str">
        <f t="shared" si="12"/>
        <v>MOC</v>
      </c>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c r="BU29" s="210"/>
      <c r="BV29" s="210"/>
      <c r="BW29" s="210"/>
      <c r="BX29" s="210"/>
      <c r="BY29" s="210"/>
      <c r="BZ29" s="210"/>
      <c r="CA29" s="210"/>
      <c r="CB29" s="210"/>
      <c r="CC29" s="210"/>
      <c r="CD29" s="210"/>
      <c r="CE29" s="210"/>
      <c r="CF29" s="210"/>
      <c r="CG29" s="210"/>
      <c r="CH29" s="210"/>
      <c r="CI29" s="210"/>
      <c r="CJ29" s="210"/>
      <c r="CK29" s="210"/>
    </row>
    <row r="30">
      <c r="A30" s="230" t="s">
        <v>399</v>
      </c>
      <c r="B30" s="13" t="s">
        <v>400</v>
      </c>
      <c r="C30" s="223" t="s">
        <v>53</v>
      </c>
      <c r="D30" s="223" t="s">
        <v>847</v>
      </c>
      <c r="E30" s="190" t="s">
        <v>21</v>
      </c>
      <c r="F30" s="13" t="s">
        <v>917</v>
      </c>
      <c r="G30" s="13" t="s">
        <v>935</v>
      </c>
      <c r="H30" s="219">
        <f>IFERROR(
  MINIFS(ATTENDANCE_LOG!$F:$F,
         ATTENDANCE_LOG!$A:$A, C30,
         ATTENDANCE_LOG!$B:$B, E30),
"")</f>
        <v>45715.45833</v>
      </c>
      <c r="I30" s="219">
        <f t="shared" si="2"/>
        <v>45715.45833</v>
      </c>
      <c r="J30" s="190">
        <f>IFERROR(VLOOKUP(F30, LEVEL_HELPER!$A:$B, 2, 0), "")</f>
        <v>2.5</v>
      </c>
      <c r="K30" s="190">
        <f>IFERROR(VLOOKUP(G30, LEVEL_HELPER!$A:$B, 2, 0), "")</f>
        <v>3.5</v>
      </c>
      <c r="L30" s="220" t="s">
        <v>945</v>
      </c>
      <c r="M30" s="220" t="s">
        <v>923</v>
      </c>
      <c r="N30" s="190">
        <f t="array" ref="N30">IFERROR(
  INDEX($J$2:$J$543,
    MATCH(A30&amp;TEXT(I30,"yyyy-mm-dd"),
          $A$2:$A$543&amp;TEXT($H$2:$H$543,"yyyy-mm-dd"),
          0)),
"")</f>
        <v>2.5</v>
      </c>
      <c r="O30" s="210">
        <f t="shared" si="3"/>
        <v>3.5</v>
      </c>
      <c r="P30" s="210">
        <f t="shared" ref="P30:Q30" si="40">IF(N30="",0,IF(N30&lt;=2,1,IF(N30&lt;=4,2,IF(N30&lt;=5.5,3,4))))</f>
        <v>2</v>
      </c>
      <c r="Q30" s="210">
        <f t="shared" si="40"/>
        <v>2</v>
      </c>
      <c r="R30" s="210" t="str">
        <f t="shared" si="5"/>
        <v>Progress within level</v>
      </c>
      <c r="S30" s="210">
        <f t="shared" si="6"/>
        <v>1</v>
      </c>
      <c r="T30" s="210"/>
      <c r="U30" s="210"/>
      <c r="V30" s="211" t="s">
        <v>695</v>
      </c>
      <c r="W30" s="210" t="str">
        <f t="shared" si="7"/>
        <v>DEV</v>
      </c>
      <c r="X30" s="210" t="str">
        <f t="shared" si="8"/>
        <v>DEV, TA</v>
      </c>
      <c r="Y30" s="210" t="str">
        <f t="shared" si="9"/>
        <v>ONC</v>
      </c>
      <c r="Z30" s="210"/>
      <c r="AA30" s="210"/>
      <c r="AB30" s="210"/>
      <c r="AC30" s="210"/>
      <c r="AD30" s="210"/>
      <c r="AE30" s="210"/>
      <c r="AF30" s="210"/>
      <c r="AG30" s="210"/>
      <c r="AH30" s="210"/>
      <c r="AI30" s="210"/>
      <c r="AJ30" s="210"/>
      <c r="AK30" s="210"/>
      <c r="AL30" s="210"/>
      <c r="AM30" s="214"/>
      <c r="AN30" s="211" t="str">
        <f>IFERROR(__xludf.DUMMYFUNCTION("""COMPUTED_VALUE"""),"133051")</f>
        <v>133051</v>
      </c>
      <c r="AO30" s="210" t="str">
        <f t="shared" si="10"/>
        <v>DEV</v>
      </c>
      <c r="AP30" s="210" t="str">
        <f t="shared" si="11"/>
        <v>DEV, TA</v>
      </c>
      <c r="AQ30" s="210" t="str">
        <f t="shared" si="12"/>
        <v>TBU</v>
      </c>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c r="BU30" s="210"/>
      <c r="BV30" s="210"/>
      <c r="BW30" s="210"/>
      <c r="BX30" s="210"/>
      <c r="BY30" s="210"/>
      <c r="BZ30" s="210"/>
      <c r="CA30" s="210"/>
      <c r="CB30" s="210"/>
      <c r="CC30" s="210"/>
      <c r="CD30" s="210"/>
      <c r="CE30" s="210"/>
      <c r="CF30" s="210"/>
      <c r="CG30" s="210"/>
      <c r="CH30" s="210"/>
      <c r="CI30" s="210"/>
      <c r="CJ30" s="210"/>
      <c r="CK30" s="210"/>
    </row>
    <row r="31">
      <c r="A31" s="216" t="s">
        <v>510</v>
      </c>
      <c r="B31" s="217" t="s">
        <v>511</v>
      </c>
      <c r="C31" s="218" t="s">
        <v>54</v>
      </c>
      <c r="D31" s="218" t="s">
        <v>848</v>
      </c>
      <c r="E31" s="217" t="s">
        <v>21</v>
      </c>
      <c r="F31" s="13" t="s">
        <v>917</v>
      </c>
      <c r="G31" s="13" t="s">
        <v>935</v>
      </c>
      <c r="H31" s="219">
        <f>IFERROR(
  MINIFS(ATTENDANCE_LOG!$F:$F,
         ATTENDANCE_LOG!$A:$A, C31,
         ATTENDANCE_LOG!$B:$B, E31),
"")</f>
        <v>45639.58333</v>
      </c>
      <c r="I31" s="219">
        <f t="shared" si="2"/>
        <v>45639.58333</v>
      </c>
      <c r="J31" s="190">
        <f>IFERROR(VLOOKUP(F31, LEVEL_HELPER!$A:$B, 2, 0), "")</f>
        <v>2.5</v>
      </c>
      <c r="K31" s="190">
        <f>IFERROR(VLOOKUP(G31, LEVEL_HELPER!$A:$B, 2, 0), "")</f>
        <v>3.5</v>
      </c>
      <c r="L31" s="229" t="s">
        <v>943</v>
      </c>
      <c r="M31" s="220" t="s">
        <v>925</v>
      </c>
      <c r="N31" s="190">
        <f t="array" ref="N31">IFERROR(
  INDEX($J$2:$J$543,
    MATCH(A31&amp;TEXT(I31,"yyyy-mm-dd"),
          $A$2:$A$543&amp;TEXT($H$2:$H$543,"yyyy-mm-dd"),
          0)),
"")</f>
        <v>2.5</v>
      </c>
      <c r="O31" s="210">
        <f t="shared" si="3"/>
        <v>5</v>
      </c>
      <c r="P31" s="210">
        <f t="shared" ref="P31:Q31" si="41">IF(N31="",0,IF(N31&lt;=2,1,IF(N31&lt;=4,2,IF(N31&lt;=5.5,3,4))))</f>
        <v>2</v>
      </c>
      <c r="Q31" s="210">
        <f t="shared" si="41"/>
        <v>3</v>
      </c>
      <c r="R31" s="210" t="str">
        <f t="shared" si="5"/>
        <v>Lv2 → Lv3</v>
      </c>
      <c r="S31" s="210">
        <f t="shared" si="6"/>
        <v>1</v>
      </c>
      <c r="T31" s="210"/>
      <c r="U31" s="210"/>
      <c r="V31" s="211" t="s">
        <v>330</v>
      </c>
      <c r="W31" s="210" t="str">
        <f t="shared" si="7"/>
        <v>DEV</v>
      </c>
      <c r="X31" s="210" t="str">
        <f t="shared" si="8"/>
        <v>DEV, TA</v>
      </c>
      <c r="Y31" s="210" t="str">
        <f t="shared" si="9"/>
        <v>LBU</v>
      </c>
      <c r="Z31" s="210"/>
      <c r="AC31" s="231"/>
      <c r="AD31" s="210"/>
      <c r="AE31" s="210"/>
      <c r="AF31" s="210"/>
      <c r="AG31" s="210"/>
      <c r="AH31" s="210"/>
      <c r="AI31" s="210"/>
      <c r="AJ31" s="210"/>
      <c r="AK31" s="210"/>
      <c r="AL31" s="210"/>
      <c r="AM31" s="214"/>
      <c r="AN31" s="211" t="str">
        <f>IFERROR(__xludf.DUMMYFUNCTION("""COMPUTED_VALUE"""),"143079")</f>
        <v>143079</v>
      </c>
      <c r="AO31" s="210" t="str">
        <f t="shared" si="10"/>
        <v>QC</v>
      </c>
      <c r="AP31" s="210" t="str">
        <f t="shared" si="11"/>
        <v>QC</v>
      </c>
      <c r="AQ31" s="210" t="str">
        <f t="shared" si="12"/>
        <v>POC</v>
      </c>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c r="BU31" s="210"/>
      <c r="BV31" s="210"/>
      <c r="BW31" s="210"/>
      <c r="BX31" s="210"/>
      <c r="BY31" s="210"/>
      <c r="BZ31" s="210"/>
      <c r="CA31" s="210"/>
      <c r="CB31" s="210"/>
      <c r="CC31" s="210"/>
      <c r="CD31" s="210"/>
      <c r="CE31" s="210"/>
      <c r="CF31" s="210"/>
      <c r="CG31" s="210"/>
      <c r="CH31" s="210"/>
      <c r="CI31" s="210"/>
      <c r="CJ31" s="210"/>
      <c r="CK31" s="210"/>
    </row>
    <row r="32">
      <c r="A32" s="222" t="s">
        <v>144</v>
      </c>
      <c r="B32" s="190" t="s">
        <v>145</v>
      </c>
      <c r="C32" s="223" t="s">
        <v>54</v>
      </c>
      <c r="D32" s="223" t="s">
        <v>848</v>
      </c>
      <c r="E32" s="190" t="s">
        <v>21</v>
      </c>
      <c r="F32" s="13" t="s">
        <v>927</v>
      </c>
      <c r="G32" s="13" t="s">
        <v>927</v>
      </c>
      <c r="H32" s="219">
        <f>IFERROR(
  MINIFS(ATTENDANCE_LOG!$F:$F,
         ATTENDANCE_LOG!$A:$A, C32,
         ATTENDANCE_LOG!$B:$B, E32),
"")</f>
        <v>45639.58333</v>
      </c>
      <c r="I32" s="219">
        <f t="shared" si="2"/>
        <v>45639.58333</v>
      </c>
      <c r="J32" s="190">
        <f>IFERROR(VLOOKUP(F32, LEVEL_HELPER!$A:$B, 2, 0), "")</f>
        <v>1</v>
      </c>
      <c r="K32" s="190">
        <f>IFERROR(VLOOKUP(G32, LEVEL_HELPER!$A:$B, 2, 0), "")</f>
        <v>1</v>
      </c>
      <c r="L32" s="220" t="s">
        <v>943</v>
      </c>
      <c r="M32" s="220" t="s">
        <v>925</v>
      </c>
      <c r="N32" s="190">
        <f t="array" ref="N32">IFERROR(
  INDEX($J$2:$J$543,
    MATCH(A32&amp;TEXT(I32,"yyyy-mm-dd"),
          $A$2:$A$543&amp;TEXT($H$2:$H$543,"yyyy-mm-dd"),
          0)),
"")</f>
        <v>1</v>
      </c>
      <c r="O32" s="210">
        <f t="shared" si="3"/>
        <v>3.5</v>
      </c>
      <c r="P32" s="210">
        <f t="shared" ref="P32:Q32" si="42">IF(N32="",0,IF(N32&lt;=2,1,IF(N32&lt;=4,2,IF(N32&lt;=5.5,3,4))))</f>
        <v>1</v>
      </c>
      <c r="Q32" s="210">
        <f t="shared" si="42"/>
        <v>2</v>
      </c>
      <c r="R32" s="210" t="str">
        <f t="shared" si="5"/>
        <v>Lv1 → Lv2</v>
      </c>
      <c r="S32" s="210">
        <f t="shared" si="6"/>
        <v>1</v>
      </c>
      <c r="T32" s="210"/>
      <c r="U32" s="210"/>
      <c r="V32" s="211" t="s">
        <v>294</v>
      </c>
      <c r="W32" s="210" t="str">
        <f t="shared" si="7"/>
        <v>GSD</v>
      </c>
      <c r="X32" s="210" t="str">
        <f t="shared" si="8"/>
        <v>GSD</v>
      </c>
      <c r="Y32" s="210" t="str">
        <f t="shared" si="9"/>
        <v>LBU</v>
      </c>
      <c r="Z32" s="210"/>
      <c r="AC32" s="210"/>
      <c r="AD32" s="210"/>
      <c r="AE32" s="210"/>
      <c r="AF32" s="210"/>
      <c r="AG32" s="210"/>
      <c r="AH32" s="210"/>
      <c r="AI32" s="210"/>
      <c r="AJ32" s="210"/>
      <c r="AK32" s="210"/>
      <c r="AL32" s="210"/>
      <c r="AM32" s="214"/>
      <c r="AN32" s="211" t="str">
        <f>IFERROR(__xludf.DUMMYFUNCTION("""COMPUTED_VALUE"""),"237035")</f>
        <v>237035</v>
      </c>
      <c r="AO32" s="210" t="str">
        <f t="shared" si="10"/>
        <v>DEV</v>
      </c>
      <c r="AP32" s="210" t="str">
        <f t="shared" si="11"/>
        <v>DEV, TA</v>
      </c>
      <c r="AQ32" s="210" t="str">
        <f t="shared" si="12"/>
        <v>ONC</v>
      </c>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c r="BU32" s="210"/>
      <c r="BV32" s="210"/>
      <c r="BW32" s="210"/>
      <c r="BX32" s="210"/>
      <c r="BY32" s="210"/>
      <c r="BZ32" s="210"/>
      <c r="CA32" s="210"/>
      <c r="CB32" s="210"/>
      <c r="CC32" s="210"/>
      <c r="CD32" s="210"/>
      <c r="CE32" s="210"/>
      <c r="CF32" s="210"/>
      <c r="CG32" s="210"/>
      <c r="CH32" s="210"/>
      <c r="CI32" s="210"/>
      <c r="CJ32" s="210"/>
      <c r="CK32" s="210"/>
    </row>
    <row r="33">
      <c r="A33" s="222" t="s">
        <v>155</v>
      </c>
      <c r="B33" s="190" t="s">
        <v>156</v>
      </c>
      <c r="C33" s="223" t="s">
        <v>54</v>
      </c>
      <c r="D33" s="223" t="s">
        <v>848</v>
      </c>
      <c r="E33" s="190" t="s">
        <v>21</v>
      </c>
      <c r="F33" s="13" t="s">
        <v>927</v>
      </c>
      <c r="G33" s="13" t="s">
        <v>941</v>
      </c>
      <c r="H33" s="219">
        <f>IFERROR(
  MINIFS(ATTENDANCE_LOG!$F:$F,
         ATTENDANCE_LOG!$A:$A, C33,
         ATTENDANCE_LOG!$B:$B, E33),
"")</f>
        <v>45639.58333</v>
      </c>
      <c r="I33" s="219">
        <f t="shared" si="2"/>
        <v>45639.58333</v>
      </c>
      <c r="J33" s="190">
        <f>IFERROR(VLOOKUP(F33, LEVEL_HELPER!$A:$B, 2, 0), "")</f>
        <v>1</v>
      </c>
      <c r="K33" s="190">
        <f>IFERROR(VLOOKUP(G33, LEVEL_HELPER!$A:$B, 2, 0), "")</f>
        <v>5</v>
      </c>
      <c r="L33" s="220" t="s">
        <v>943</v>
      </c>
      <c r="M33" s="220" t="s">
        <v>925</v>
      </c>
      <c r="N33" s="190">
        <f t="array" ref="N33">IFERROR(
  INDEX($J$2:$J$543,
    MATCH(A33&amp;TEXT(I33,"yyyy-mm-dd"),
          $A$2:$A$543&amp;TEXT($H$2:$H$543,"yyyy-mm-dd"),
          0)),
"")</f>
        <v>1</v>
      </c>
      <c r="O33" s="210">
        <f t="shared" si="3"/>
        <v>5</v>
      </c>
      <c r="P33" s="210">
        <f t="shared" ref="P33:Q33" si="43">IF(N33="",0,IF(N33&lt;=2,1,IF(N33&lt;=4,2,IF(N33&lt;=5.5,3,4))))</f>
        <v>1</v>
      </c>
      <c r="Q33" s="210">
        <f t="shared" si="43"/>
        <v>3</v>
      </c>
      <c r="R33" s="210" t="str">
        <f t="shared" si="5"/>
        <v>Lv1 → Lv3 (multi)</v>
      </c>
      <c r="S33" s="210">
        <f t="shared" si="6"/>
        <v>1</v>
      </c>
      <c r="T33" s="210"/>
      <c r="U33" s="210"/>
      <c r="V33" s="211" t="s">
        <v>411</v>
      </c>
      <c r="W33" s="210" t="str">
        <f t="shared" si="7"/>
        <v>GSD</v>
      </c>
      <c r="X33" s="210" t="str">
        <f t="shared" si="8"/>
        <v>GSD</v>
      </c>
      <c r="Y33" s="210" t="str">
        <f t="shared" si="9"/>
        <v>LBU</v>
      </c>
      <c r="Z33" s="210"/>
      <c r="AC33" s="210"/>
      <c r="AD33" s="210"/>
      <c r="AE33" s="210"/>
      <c r="AF33" s="210"/>
      <c r="AG33" s="210"/>
      <c r="AH33" s="210"/>
      <c r="AI33" s="210"/>
      <c r="AJ33" s="210"/>
      <c r="AK33" s="210"/>
      <c r="AL33" s="210"/>
      <c r="AM33" s="214"/>
      <c r="AN33" s="211" t="str">
        <f>IFERROR(__xludf.DUMMYFUNCTION("""COMPUTED_VALUE"""),"247413")</f>
        <v>247413</v>
      </c>
      <c r="AO33" s="210" t="str">
        <f t="shared" si="10"/>
        <v>DEV</v>
      </c>
      <c r="AP33" s="210" t="str">
        <f t="shared" si="11"/>
        <v>DEV, TA</v>
      </c>
      <c r="AQ33" s="210" t="str">
        <f t="shared" si="12"/>
        <v>CHORUS</v>
      </c>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c r="BU33" s="210"/>
      <c r="BV33" s="210"/>
      <c r="BW33" s="210"/>
      <c r="BX33" s="210"/>
      <c r="BY33" s="210"/>
      <c r="BZ33" s="210"/>
      <c r="CA33" s="210"/>
      <c r="CB33" s="210"/>
      <c r="CC33" s="210"/>
      <c r="CD33" s="210"/>
      <c r="CE33" s="210"/>
      <c r="CF33" s="210"/>
      <c r="CG33" s="210"/>
      <c r="CH33" s="210"/>
      <c r="CI33" s="210"/>
      <c r="CJ33" s="210"/>
      <c r="CK33" s="210"/>
    </row>
    <row r="34">
      <c r="A34" s="222" t="s">
        <v>226</v>
      </c>
      <c r="B34" s="190" t="s">
        <v>227</v>
      </c>
      <c r="C34" s="223" t="s">
        <v>54</v>
      </c>
      <c r="D34" s="223" t="s">
        <v>848</v>
      </c>
      <c r="E34" s="190" t="s">
        <v>21</v>
      </c>
      <c r="F34" s="13" t="s">
        <v>927</v>
      </c>
      <c r="G34" s="13" t="s">
        <v>929</v>
      </c>
      <c r="H34" s="219">
        <f>IFERROR(
  MINIFS(ATTENDANCE_LOG!$F:$F,
         ATTENDANCE_LOG!$A:$A, C34,
         ATTENDANCE_LOG!$B:$B, E34),
"")</f>
        <v>45639.58333</v>
      </c>
      <c r="I34" s="219">
        <f t="shared" si="2"/>
        <v>45639.58333</v>
      </c>
      <c r="J34" s="190">
        <f>IFERROR(VLOOKUP(F34, LEVEL_HELPER!$A:$B, 2, 0), "")</f>
        <v>1</v>
      </c>
      <c r="K34" s="190">
        <f>IFERROR(VLOOKUP(G34, LEVEL_HELPER!$A:$B, 2, 0), "")</f>
        <v>1.5</v>
      </c>
      <c r="L34" s="220" t="s">
        <v>943</v>
      </c>
      <c r="M34" s="220" t="s">
        <v>925</v>
      </c>
      <c r="N34" s="190">
        <f t="array" ref="N34">IFERROR(
  INDEX($J$2:$J$543,
    MATCH(A34&amp;TEXT(I34,"yyyy-mm-dd"),
          $A$2:$A$543&amp;TEXT($H$2:$H$543,"yyyy-mm-dd"),
          0)),
"")</f>
        <v>1</v>
      </c>
      <c r="O34" s="210">
        <f t="shared" si="3"/>
        <v>3.5</v>
      </c>
      <c r="P34" s="210">
        <f t="shared" ref="P34:Q34" si="44">IF(N34="",0,IF(N34&lt;=2,1,IF(N34&lt;=4,2,IF(N34&lt;=5.5,3,4))))</f>
        <v>1</v>
      </c>
      <c r="Q34" s="210">
        <f t="shared" si="44"/>
        <v>2</v>
      </c>
      <c r="R34" s="210" t="str">
        <f t="shared" si="5"/>
        <v>Lv1 → Lv2</v>
      </c>
      <c r="S34" s="210">
        <f t="shared" si="6"/>
        <v>1</v>
      </c>
      <c r="T34" s="210"/>
      <c r="U34" s="210"/>
      <c r="V34" s="211" t="s">
        <v>496</v>
      </c>
      <c r="W34" s="210" t="str">
        <f t="shared" si="7"/>
        <v>GSD</v>
      </c>
      <c r="X34" s="210" t="str">
        <f t="shared" si="8"/>
        <v>GSD</v>
      </c>
      <c r="Y34" s="210" t="str">
        <f t="shared" si="9"/>
        <v>ONC</v>
      </c>
      <c r="Z34" s="210"/>
      <c r="AC34" s="210"/>
      <c r="AD34" s="210"/>
      <c r="AE34" s="210"/>
      <c r="AF34" s="210"/>
      <c r="AG34" s="210"/>
      <c r="AH34" s="210"/>
      <c r="AI34" s="210"/>
      <c r="AJ34" s="210"/>
      <c r="AK34" s="210"/>
      <c r="AL34" s="210"/>
      <c r="AM34" s="214"/>
      <c r="AN34" s="211" t="str">
        <f>IFERROR(__xludf.DUMMYFUNCTION("""COMPUTED_VALUE"""),"153116")</f>
        <v>153116</v>
      </c>
      <c r="AO34" s="210" t="str">
        <f t="shared" si="10"/>
        <v>GSD</v>
      </c>
      <c r="AP34" s="210" t="str">
        <f t="shared" si="11"/>
        <v>GSD</v>
      </c>
      <c r="AQ34" s="210" t="str">
        <f t="shared" si="12"/>
        <v>POC</v>
      </c>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c r="BU34" s="210"/>
      <c r="BV34" s="210"/>
      <c r="BW34" s="210"/>
      <c r="BX34" s="210"/>
      <c r="BY34" s="210"/>
      <c r="BZ34" s="210"/>
      <c r="CA34" s="210"/>
      <c r="CB34" s="210"/>
      <c r="CC34" s="210"/>
      <c r="CD34" s="210"/>
      <c r="CE34" s="210"/>
      <c r="CF34" s="210"/>
      <c r="CG34" s="210"/>
      <c r="CH34" s="210"/>
      <c r="CI34" s="210"/>
      <c r="CJ34" s="210"/>
      <c r="CK34" s="210"/>
    </row>
    <row r="35">
      <c r="A35" s="222" t="s">
        <v>245</v>
      </c>
      <c r="B35" s="190" t="s">
        <v>246</v>
      </c>
      <c r="C35" s="223" t="s">
        <v>54</v>
      </c>
      <c r="D35" s="223" t="s">
        <v>848</v>
      </c>
      <c r="E35" s="190" t="s">
        <v>21</v>
      </c>
      <c r="F35" s="13" t="s">
        <v>927</v>
      </c>
      <c r="G35" s="13" t="s">
        <v>927</v>
      </c>
      <c r="H35" s="219">
        <f>IFERROR(
  MINIFS(ATTENDANCE_LOG!$F:$F,
         ATTENDANCE_LOG!$A:$A, C35,
         ATTENDANCE_LOG!$B:$B, E35),
"")</f>
        <v>45639.58333</v>
      </c>
      <c r="I35" s="219">
        <f t="shared" si="2"/>
        <v>45639.58333</v>
      </c>
      <c r="J35" s="190">
        <f>IFERROR(VLOOKUP(F35, LEVEL_HELPER!$A:$B, 2, 0), "")</f>
        <v>1</v>
      </c>
      <c r="K35" s="190">
        <f>IFERROR(VLOOKUP(G35, LEVEL_HELPER!$A:$B, 2, 0), "")</f>
        <v>1</v>
      </c>
      <c r="L35" s="220" t="s">
        <v>943</v>
      </c>
      <c r="M35" s="220" t="s">
        <v>925</v>
      </c>
      <c r="N35" s="190">
        <f t="array" ref="N35">IFERROR(
  INDEX($J$2:$J$543,
    MATCH(A35&amp;TEXT(I35,"yyyy-mm-dd"),
          $A$2:$A$543&amp;TEXT($H$2:$H$543,"yyyy-mm-dd"),
          0)),
"")</f>
        <v>1</v>
      </c>
      <c r="O35" s="210">
        <f t="shared" si="3"/>
        <v>3</v>
      </c>
      <c r="P35" s="210">
        <f t="shared" ref="P35:Q35" si="45">IF(N35="",0,IF(N35&lt;=2,1,IF(N35&lt;=4,2,IF(N35&lt;=5.5,3,4))))</f>
        <v>1</v>
      </c>
      <c r="Q35" s="210">
        <f t="shared" si="45"/>
        <v>2</v>
      </c>
      <c r="R35" s="210" t="str">
        <f t="shared" si="5"/>
        <v>Lv1 → Lv2</v>
      </c>
      <c r="S35" s="210">
        <f t="shared" si="6"/>
        <v>1</v>
      </c>
      <c r="T35" s="210"/>
      <c r="U35" s="210"/>
      <c r="V35" s="211" t="s">
        <v>547</v>
      </c>
      <c r="W35" s="210" t="str">
        <f t="shared" si="7"/>
        <v>GSD</v>
      </c>
      <c r="X35" s="210" t="str">
        <f t="shared" si="8"/>
        <v>GSD</v>
      </c>
      <c r="Y35" s="210" t="str">
        <f t="shared" si="9"/>
        <v>LBU</v>
      </c>
      <c r="Z35" s="210"/>
      <c r="AC35" s="210"/>
      <c r="AD35" s="210"/>
      <c r="AE35" s="210"/>
      <c r="AF35" s="210"/>
      <c r="AG35" s="210"/>
      <c r="AH35" s="210"/>
      <c r="AI35" s="210"/>
      <c r="AJ35" s="210"/>
      <c r="AK35" s="210"/>
      <c r="AL35" s="210"/>
      <c r="AM35" s="214"/>
      <c r="AN35" s="211" t="str">
        <f>IFERROR(__xludf.DUMMYFUNCTION("""COMPUTED_VALUE"""),"183382")</f>
        <v>183382</v>
      </c>
      <c r="AO35" s="210" t="str">
        <f t="shared" si="10"/>
        <v>DEV</v>
      </c>
      <c r="AP35" s="210" t="str">
        <f t="shared" si="11"/>
        <v>DEV, TA</v>
      </c>
      <c r="AQ35" s="210" t="str">
        <f t="shared" si="12"/>
        <v>CHORUS</v>
      </c>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c r="BU35" s="210"/>
      <c r="BV35" s="210"/>
      <c r="BW35" s="210"/>
      <c r="BX35" s="210"/>
      <c r="BY35" s="210"/>
      <c r="BZ35" s="210"/>
      <c r="CA35" s="210"/>
      <c r="CB35" s="210"/>
      <c r="CC35" s="210"/>
      <c r="CD35" s="210"/>
      <c r="CE35" s="210"/>
      <c r="CF35" s="210"/>
      <c r="CG35" s="210"/>
      <c r="CH35" s="210"/>
      <c r="CI35" s="210"/>
      <c r="CJ35" s="210"/>
      <c r="CK35" s="210"/>
    </row>
    <row r="36">
      <c r="A36" s="222" t="s">
        <v>352</v>
      </c>
      <c r="B36" s="190" t="s">
        <v>353</v>
      </c>
      <c r="C36" s="223" t="s">
        <v>54</v>
      </c>
      <c r="D36" s="223" t="s">
        <v>848</v>
      </c>
      <c r="E36" s="190" t="s">
        <v>21</v>
      </c>
      <c r="F36" s="13" t="s">
        <v>927</v>
      </c>
      <c r="G36" s="13" t="s">
        <v>929</v>
      </c>
      <c r="H36" s="219">
        <f>IFERROR(
  MINIFS(ATTENDANCE_LOG!$F:$F,
         ATTENDANCE_LOG!$A:$A, C36,
         ATTENDANCE_LOG!$B:$B, E36),
"")</f>
        <v>45639.58333</v>
      </c>
      <c r="I36" s="219">
        <f t="shared" si="2"/>
        <v>45639.58333</v>
      </c>
      <c r="J36" s="190">
        <f>IFERROR(VLOOKUP(F36, LEVEL_HELPER!$A:$B, 2, 0), "")</f>
        <v>1</v>
      </c>
      <c r="K36" s="190">
        <f>IFERROR(VLOOKUP(G36, LEVEL_HELPER!$A:$B, 2, 0), "")</f>
        <v>1.5</v>
      </c>
      <c r="L36" s="220" t="s">
        <v>943</v>
      </c>
      <c r="M36" s="220" t="s">
        <v>925</v>
      </c>
      <c r="N36" s="190">
        <f t="array" ref="N36">IFERROR(
  INDEX($J$2:$J$543,
    MATCH(A36&amp;TEXT(I36,"yyyy-mm-dd"),
          $A$2:$A$543&amp;TEXT($H$2:$H$543,"yyyy-mm-dd"),
          0)),
"")</f>
        <v>1</v>
      </c>
      <c r="O36" s="210">
        <f t="shared" si="3"/>
        <v>3</v>
      </c>
      <c r="P36" s="210">
        <f t="shared" ref="P36:Q36" si="46">IF(N36="",0,IF(N36&lt;=2,1,IF(N36&lt;=4,2,IF(N36&lt;=5.5,3,4))))</f>
        <v>1</v>
      </c>
      <c r="Q36" s="210">
        <f t="shared" si="46"/>
        <v>2</v>
      </c>
      <c r="R36" s="210" t="str">
        <f t="shared" si="5"/>
        <v>Lv1 → Lv2</v>
      </c>
      <c r="S36" s="210">
        <f t="shared" si="6"/>
        <v>1</v>
      </c>
      <c r="T36" s="210"/>
      <c r="U36" s="210"/>
      <c r="V36" s="211" t="s">
        <v>445</v>
      </c>
      <c r="W36" s="210" t="str">
        <f t="shared" si="7"/>
        <v>DEV</v>
      </c>
      <c r="X36" s="210" t="str">
        <f t="shared" si="8"/>
        <v>DEV, TA</v>
      </c>
      <c r="Y36" s="210" t="str">
        <f t="shared" si="9"/>
        <v>LBU</v>
      </c>
      <c r="Z36" s="210"/>
      <c r="AC36" s="210"/>
      <c r="AD36" s="210"/>
      <c r="AE36" s="210"/>
      <c r="AF36" s="210"/>
      <c r="AG36" s="210"/>
      <c r="AH36" s="210"/>
      <c r="AI36" s="210"/>
      <c r="AJ36" s="210"/>
      <c r="AK36" s="210"/>
      <c r="AL36" s="210"/>
      <c r="AM36" s="214"/>
      <c r="AN36" s="211" t="str">
        <f>IFERROR(__xludf.DUMMYFUNCTION("""COMPUTED_VALUE"""),"203664")</f>
        <v>203664</v>
      </c>
      <c r="AO36" s="210" t="str">
        <f t="shared" si="10"/>
        <v>DEV</v>
      </c>
      <c r="AP36" s="210" t="str">
        <f t="shared" si="11"/>
        <v>DEV, TA</v>
      </c>
      <c r="AQ36" s="210" t="str">
        <f t="shared" si="12"/>
        <v>ONC</v>
      </c>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c r="BU36" s="210"/>
      <c r="BV36" s="210"/>
      <c r="BW36" s="210"/>
      <c r="BX36" s="210"/>
      <c r="BY36" s="210"/>
      <c r="BZ36" s="210"/>
      <c r="CA36" s="210"/>
      <c r="CB36" s="210"/>
      <c r="CC36" s="210"/>
      <c r="CD36" s="210"/>
      <c r="CE36" s="210"/>
      <c r="CF36" s="210"/>
      <c r="CG36" s="210"/>
      <c r="CH36" s="210"/>
      <c r="CI36" s="210"/>
      <c r="CJ36" s="210"/>
      <c r="CK36" s="210"/>
    </row>
    <row r="37">
      <c r="A37" s="222" t="s">
        <v>553</v>
      </c>
      <c r="B37" s="190" t="s">
        <v>554</v>
      </c>
      <c r="C37" s="223" t="s">
        <v>54</v>
      </c>
      <c r="D37" s="223" t="s">
        <v>848</v>
      </c>
      <c r="E37" s="190" t="s">
        <v>21</v>
      </c>
      <c r="F37" s="13" t="s">
        <v>927</v>
      </c>
      <c r="G37" s="13" t="s">
        <v>935</v>
      </c>
      <c r="H37" s="219">
        <f>IFERROR(
  MINIFS(ATTENDANCE_LOG!$F:$F,
         ATTENDANCE_LOG!$A:$A, C37,
         ATTENDANCE_LOG!$B:$B, E37),
"")</f>
        <v>45639.58333</v>
      </c>
      <c r="I37" s="219">
        <f t="shared" si="2"/>
        <v>45639.58333</v>
      </c>
      <c r="J37" s="190">
        <f>IFERROR(VLOOKUP(F37, LEVEL_HELPER!$A:$B, 2, 0), "")</f>
        <v>1</v>
      </c>
      <c r="K37" s="190">
        <f>IFERROR(VLOOKUP(G37, LEVEL_HELPER!$A:$B, 2, 0), "")</f>
        <v>3.5</v>
      </c>
      <c r="L37" s="220" t="s">
        <v>943</v>
      </c>
      <c r="M37" s="220" t="s">
        <v>925</v>
      </c>
      <c r="N37" s="190">
        <f t="array" ref="N37">IFERROR(
  INDEX($J$2:$J$543,
    MATCH(A37&amp;TEXT(I37,"yyyy-mm-dd"),
          $A$2:$A$543&amp;TEXT($H$2:$H$543,"yyyy-mm-dd"),
          0)),
"")</f>
        <v>1</v>
      </c>
      <c r="O37" s="210">
        <f t="shared" si="3"/>
        <v>5</v>
      </c>
      <c r="P37" s="210">
        <f t="shared" ref="P37:Q37" si="47">IF(N37="",0,IF(N37&lt;=2,1,IF(N37&lt;=4,2,IF(N37&lt;=5.5,3,4))))</f>
        <v>1</v>
      </c>
      <c r="Q37" s="210">
        <f t="shared" si="47"/>
        <v>3</v>
      </c>
      <c r="R37" s="210" t="str">
        <f t="shared" si="5"/>
        <v>Lv1 → Lv3 (multi)</v>
      </c>
      <c r="S37" s="210">
        <f t="shared" si="6"/>
        <v>1</v>
      </c>
      <c r="T37" s="210"/>
      <c r="U37" s="210"/>
      <c r="V37" s="211" t="s">
        <v>176</v>
      </c>
      <c r="W37" s="210" t="str">
        <f t="shared" si="7"/>
        <v>GSD</v>
      </c>
      <c r="X37" s="210" t="str">
        <f t="shared" si="8"/>
        <v>GSD</v>
      </c>
      <c r="Y37" s="210" t="str">
        <f t="shared" si="9"/>
        <v>LBU</v>
      </c>
      <c r="Z37" s="210"/>
      <c r="AC37" s="210"/>
      <c r="AD37" s="210"/>
      <c r="AE37" s="210"/>
      <c r="AF37" s="210"/>
      <c r="AG37" s="210"/>
      <c r="AH37" s="210"/>
      <c r="AI37" s="210"/>
      <c r="AJ37" s="210"/>
      <c r="AK37" s="210"/>
      <c r="AL37" s="210"/>
      <c r="AM37" s="214"/>
      <c r="AN37" s="211" t="str">
        <f>IFERROR(__xludf.DUMMYFUNCTION("""COMPUTED_VALUE"""),"193633")</f>
        <v>193633</v>
      </c>
      <c r="AO37" s="210" t="str">
        <f t="shared" si="10"/>
        <v>QC</v>
      </c>
      <c r="AP37" s="210" t="str">
        <f t="shared" si="11"/>
        <v>QC</v>
      </c>
      <c r="AQ37" s="210" t="str">
        <f t="shared" si="12"/>
        <v>ONC</v>
      </c>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c r="BU37" s="210"/>
      <c r="BV37" s="210"/>
      <c r="BW37" s="210"/>
      <c r="BX37" s="210"/>
      <c r="BY37" s="210"/>
      <c r="BZ37" s="210"/>
      <c r="CA37" s="210"/>
      <c r="CB37" s="210"/>
      <c r="CC37" s="210"/>
      <c r="CD37" s="210"/>
      <c r="CE37" s="210"/>
      <c r="CF37" s="210"/>
      <c r="CG37" s="210"/>
      <c r="CH37" s="210"/>
      <c r="CI37" s="210"/>
      <c r="CJ37" s="210"/>
      <c r="CK37" s="210"/>
    </row>
    <row r="38">
      <c r="A38" s="222" t="s">
        <v>617</v>
      </c>
      <c r="B38" s="190" t="s">
        <v>618</v>
      </c>
      <c r="C38" s="223" t="s">
        <v>54</v>
      </c>
      <c r="D38" s="223" t="s">
        <v>848</v>
      </c>
      <c r="E38" s="190" t="s">
        <v>21</v>
      </c>
      <c r="F38" s="13" t="s">
        <v>927</v>
      </c>
      <c r="G38" s="13" t="s">
        <v>918</v>
      </c>
      <c r="H38" s="219">
        <f>IFERROR(
  MINIFS(ATTENDANCE_LOG!$F:$F,
         ATTENDANCE_LOG!$A:$A, C38,
         ATTENDANCE_LOG!$B:$B, E38),
"")</f>
        <v>45639.58333</v>
      </c>
      <c r="I38" s="219">
        <f t="shared" si="2"/>
        <v>45639.58333</v>
      </c>
      <c r="J38" s="190">
        <f>IFERROR(VLOOKUP(F38, LEVEL_HELPER!$A:$B, 2, 0), "")</f>
        <v>1</v>
      </c>
      <c r="K38" s="190">
        <f>IFERROR(VLOOKUP(G38, LEVEL_HELPER!$A:$B, 2, 0), "")</f>
        <v>3</v>
      </c>
      <c r="L38" s="220" t="s">
        <v>943</v>
      </c>
      <c r="M38" s="220" t="s">
        <v>925</v>
      </c>
      <c r="N38" s="190">
        <f t="array" ref="N38">IFERROR(
  INDEX($J$2:$J$543,
    MATCH(A38&amp;TEXT(I38,"yyyy-mm-dd"),
          $A$2:$A$543&amp;TEXT($H$2:$H$543,"yyyy-mm-dd"),
          0)),
"")</f>
        <v>1</v>
      </c>
      <c r="O38" s="210">
        <f t="shared" si="3"/>
        <v>3.5</v>
      </c>
      <c r="P38" s="210">
        <f t="shared" ref="P38:Q38" si="48">IF(N38="",0,IF(N38&lt;=2,1,IF(N38&lt;=4,2,IF(N38&lt;=5.5,3,4))))</f>
        <v>1</v>
      </c>
      <c r="Q38" s="210">
        <f t="shared" si="48"/>
        <v>2</v>
      </c>
      <c r="R38" s="210" t="str">
        <f t="shared" si="5"/>
        <v>Lv1 → Lv2</v>
      </c>
      <c r="S38" s="210">
        <f t="shared" si="6"/>
        <v>1</v>
      </c>
      <c r="T38" s="210"/>
      <c r="U38" s="210"/>
      <c r="V38" s="211" t="s">
        <v>228</v>
      </c>
      <c r="W38" s="210" t="str">
        <f t="shared" si="7"/>
        <v>DEV</v>
      </c>
      <c r="X38" s="210" t="str">
        <f t="shared" si="8"/>
        <v>DEV, TA</v>
      </c>
      <c r="Y38" s="210" t="str">
        <f t="shared" si="9"/>
        <v>LBU</v>
      </c>
      <c r="Z38" s="210"/>
      <c r="AC38" s="210"/>
      <c r="AD38" s="210"/>
      <c r="AE38" s="210"/>
      <c r="AF38" s="210"/>
      <c r="AG38" s="210"/>
      <c r="AH38" s="210"/>
      <c r="AI38" s="210"/>
      <c r="AJ38" s="210"/>
      <c r="AK38" s="210"/>
      <c r="AL38" s="210"/>
      <c r="AM38" s="214"/>
      <c r="AN38" s="211" t="str">
        <f>IFERROR(__xludf.DUMMYFUNCTION("""COMPUTED_VALUE"""),"227218")</f>
        <v>227218</v>
      </c>
      <c r="AO38" s="210" t="str">
        <f t="shared" si="10"/>
        <v>GSD</v>
      </c>
      <c r="AP38" s="210" t="str">
        <f t="shared" si="11"/>
        <v>GSD</v>
      </c>
      <c r="AQ38" s="210" t="str">
        <f t="shared" si="12"/>
        <v>POC</v>
      </c>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c r="BU38" s="210"/>
      <c r="BV38" s="210"/>
      <c r="BW38" s="210"/>
      <c r="BX38" s="210"/>
      <c r="BY38" s="210"/>
      <c r="BZ38" s="210"/>
      <c r="CA38" s="210"/>
      <c r="CB38" s="210"/>
      <c r="CC38" s="210"/>
      <c r="CD38" s="210"/>
      <c r="CE38" s="210"/>
      <c r="CF38" s="210"/>
      <c r="CG38" s="210"/>
      <c r="CH38" s="210"/>
      <c r="CI38" s="210"/>
      <c r="CJ38" s="210"/>
      <c r="CK38" s="210"/>
    </row>
    <row r="39">
      <c r="A39" s="222" t="s">
        <v>695</v>
      </c>
      <c r="B39" s="190" t="s">
        <v>696</v>
      </c>
      <c r="C39" s="223" t="s">
        <v>54</v>
      </c>
      <c r="D39" s="223" t="s">
        <v>848</v>
      </c>
      <c r="E39" s="190" t="s">
        <v>21</v>
      </c>
      <c r="F39" s="190"/>
      <c r="G39" s="190"/>
      <c r="H39" s="219">
        <f>IFERROR(
  MINIFS(ATTENDANCE_LOG!$F:$F,
         ATTENDANCE_LOG!$A:$A, C39,
         ATTENDANCE_LOG!$B:$B, E39),
"")</f>
        <v>45639.58333</v>
      </c>
      <c r="I39" s="219">
        <f t="shared" si="2"/>
        <v>45639.58333</v>
      </c>
      <c r="J39" s="190" t="str">
        <f>IFERROR(VLOOKUP(F39, LEVEL_HELPER!$A:$B, 2, 0), "")</f>
        <v/>
      </c>
      <c r="K39" s="190" t="str">
        <f>IFERROR(VLOOKUP(G39, LEVEL_HELPER!$A:$B, 2, 0), "")</f>
        <v/>
      </c>
      <c r="L39" s="229" t="s">
        <v>943</v>
      </c>
      <c r="M39" s="220" t="s">
        <v>925</v>
      </c>
      <c r="N39" s="190" t="str">
        <f t="array" ref="N39">IFERROR(
  INDEX($J$2:$J$543,
    MATCH(A39&amp;TEXT(I39,"yyyy-mm-dd"),
          $A$2:$A$543&amp;TEXT($H$2:$H$543,"yyyy-mm-dd"),
          0)),
"")</f>
        <v/>
      </c>
      <c r="O39" s="210">
        <f t="shared" si="3"/>
        <v>0</v>
      </c>
      <c r="P39" s="210">
        <f t="shared" ref="P39:Q39" si="49">IF(N39="",0,IF(N39&lt;=2,1,IF(N39&lt;=4,2,IF(N39&lt;=5.5,3,4))))</f>
        <v>0</v>
      </c>
      <c r="Q39" s="210">
        <f t="shared" si="49"/>
        <v>1</v>
      </c>
      <c r="R39" s="210" t="str">
        <f t="shared" si="5"/>
        <v>Not tested yet</v>
      </c>
      <c r="S39" s="210">
        <f t="shared" si="6"/>
        <v>1</v>
      </c>
      <c r="T39" s="210"/>
      <c r="U39" s="210"/>
      <c r="V39" s="211" t="s">
        <v>482</v>
      </c>
      <c r="W39" s="210" t="str">
        <f t="shared" si="7"/>
        <v>QC</v>
      </c>
      <c r="X39" s="210" t="str">
        <f t="shared" si="8"/>
        <v>QC</v>
      </c>
      <c r="Y39" s="210" t="str">
        <f t="shared" si="9"/>
        <v>TBU</v>
      </c>
      <c r="Z39" s="210"/>
      <c r="AC39" s="210"/>
      <c r="AD39" s="210"/>
      <c r="AE39" s="210"/>
      <c r="AF39" s="210"/>
      <c r="AG39" s="210"/>
      <c r="AH39" s="210"/>
      <c r="AI39" s="210"/>
      <c r="AJ39" s="210"/>
      <c r="AK39" s="210"/>
      <c r="AL39" s="210"/>
      <c r="AM39" s="214"/>
      <c r="AN39" s="211" t="str">
        <f>IFERROR(__xludf.DUMMYFUNCTION("""COMPUTED_VALUE"""),"227081")</f>
        <v>227081</v>
      </c>
      <c r="AO39" s="210" t="str">
        <f t="shared" si="10"/>
        <v>DEV</v>
      </c>
      <c r="AP39" s="210" t="str">
        <f t="shared" si="11"/>
        <v>DEV, TA</v>
      </c>
      <c r="AQ39" s="210" t="str">
        <f t="shared" si="12"/>
        <v>MOC</v>
      </c>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c r="BU39" s="210"/>
      <c r="BV39" s="210"/>
      <c r="BW39" s="210"/>
      <c r="BX39" s="210"/>
      <c r="BY39" s="210"/>
      <c r="BZ39" s="210"/>
      <c r="CA39" s="210"/>
      <c r="CB39" s="210"/>
      <c r="CC39" s="210"/>
      <c r="CD39" s="210"/>
      <c r="CE39" s="210"/>
      <c r="CF39" s="210"/>
      <c r="CG39" s="210"/>
      <c r="CH39" s="210"/>
      <c r="CI39" s="210"/>
      <c r="CJ39" s="210"/>
      <c r="CK39" s="210"/>
    </row>
    <row r="40">
      <c r="A40" s="216" t="s">
        <v>510</v>
      </c>
      <c r="B40" s="217" t="s">
        <v>511</v>
      </c>
      <c r="C40" s="218" t="s">
        <v>54</v>
      </c>
      <c r="D40" s="218" t="s">
        <v>848</v>
      </c>
      <c r="E40" s="217" t="s">
        <v>22</v>
      </c>
      <c r="F40" s="13" t="s">
        <v>935</v>
      </c>
      <c r="G40" s="13" t="s">
        <v>941</v>
      </c>
      <c r="H40" s="219">
        <f>IFERROR(
  MINIFS(ATTENDANCE_LOG!$F:$F,
         ATTENDANCE_LOG!$A:$A, C40,
         ATTENDANCE_LOG!$B:$B, E40),
"")</f>
        <v>45869.58333</v>
      </c>
      <c r="I40" s="219">
        <f t="shared" si="2"/>
        <v>45639.58333</v>
      </c>
      <c r="J40" s="190">
        <f>IFERROR(VLOOKUP(F40, LEVEL_HELPER!$A:$B, 2, 0), "")</f>
        <v>3.5</v>
      </c>
      <c r="K40" s="190">
        <f>IFERROR(VLOOKUP(G40, LEVEL_HELPER!$A:$B, 2, 0), "")</f>
        <v>5</v>
      </c>
      <c r="L40" s="220" t="s">
        <v>943</v>
      </c>
      <c r="M40" s="220" t="s">
        <v>925</v>
      </c>
      <c r="N40" s="190">
        <f t="array" ref="N40">IFERROR(
  INDEX($J$2:$J$543,
    MATCH(A40&amp;TEXT(I40,"yyyy-mm-dd"),
          $A$2:$A$543&amp;TEXT($H$2:$H$543,"yyyy-mm-dd"),
          0)),
"")</f>
        <v>2.5</v>
      </c>
      <c r="O40" s="210">
        <f t="shared" si="3"/>
        <v>5</v>
      </c>
      <c r="P40" s="210">
        <f t="shared" ref="P40:Q40" si="50">IF(N40="",0,IF(N40&lt;=2,1,IF(N40&lt;=4,2,IF(N40&lt;=5.5,3,4))))</f>
        <v>2</v>
      </c>
      <c r="Q40" s="210">
        <f t="shared" si="50"/>
        <v>3</v>
      </c>
      <c r="R40" s="210" t="str">
        <f t="shared" si="5"/>
        <v>Lv2 → Lv3</v>
      </c>
      <c r="S40" s="210">
        <f t="shared" si="6"/>
        <v>0</v>
      </c>
      <c r="T40" s="210"/>
      <c r="U40" s="210"/>
      <c r="V40" s="211" t="s">
        <v>357</v>
      </c>
      <c r="W40" s="210" t="str">
        <f t="shared" si="7"/>
        <v>DEV</v>
      </c>
      <c r="X40" s="210" t="str">
        <f t="shared" si="8"/>
        <v>DEV, TA</v>
      </c>
      <c r="Y40" s="210" t="str">
        <f t="shared" si="9"/>
        <v>CHORUS</v>
      </c>
      <c r="Z40" s="210"/>
      <c r="AA40" s="210"/>
      <c r="AB40" s="210"/>
      <c r="AC40" s="210"/>
      <c r="AD40" s="210"/>
      <c r="AE40" s="210"/>
      <c r="AF40" s="210"/>
      <c r="AG40" s="210"/>
      <c r="AH40" s="210"/>
      <c r="AI40" s="210"/>
      <c r="AJ40" s="210"/>
      <c r="AK40" s="210"/>
      <c r="AL40" s="210"/>
      <c r="AM40" s="214"/>
      <c r="AN40" s="211" t="str">
        <f>IFERROR(__xludf.DUMMYFUNCTION("""COMPUTED_VALUE"""),"247313")</f>
        <v>247313</v>
      </c>
      <c r="AO40" s="210" t="str">
        <f t="shared" si="10"/>
        <v>SM</v>
      </c>
      <c r="AP40" s="210" t="str">
        <f t="shared" si="11"/>
        <v>PPO, SM, IM </v>
      </c>
      <c r="AQ40" s="210" t="str">
        <f t="shared" si="12"/>
        <v>TBU</v>
      </c>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c r="BU40" s="210"/>
      <c r="BV40" s="210"/>
      <c r="BW40" s="210"/>
      <c r="BX40" s="210"/>
      <c r="BY40" s="210"/>
      <c r="BZ40" s="210"/>
      <c r="CA40" s="210"/>
      <c r="CB40" s="210"/>
      <c r="CC40" s="210"/>
      <c r="CD40" s="210"/>
      <c r="CE40" s="210"/>
      <c r="CF40" s="210"/>
      <c r="CG40" s="210"/>
      <c r="CH40" s="210"/>
      <c r="CI40" s="210"/>
      <c r="CJ40" s="210"/>
      <c r="CK40" s="210"/>
    </row>
    <row r="41">
      <c r="A41" s="222" t="s">
        <v>144</v>
      </c>
      <c r="B41" s="190" t="s">
        <v>145</v>
      </c>
      <c r="C41" s="223" t="s">
        <v>54</v>
      </c>
      <c r="D41" s="223" t="s">
        <v>848</v>
      </c>
      <c r="E41" s="190" t="s">
        <v>22</v>
      </c>
      <c r="F41" s="13" t="s">
        <v>927</v>
      </c>
      <c r="G41" s="13" t="s">
        <v>935</v>
      </c>
      <c r="H41" s="219">
        <f>IFERROR(
  MINIFS(ATTENDANCE_LOG!$F:$F,
         ATTENDANCE_LOG!$A:$A, C41,
         ATTENDANCE_LOG!$B:$B, E41),
"")</f>
        <v>45869.58333</v>
      </c>
      <c r="I41" s="219">
        <f t="shared" si="2"/>
        <v>45639.58333</v>
      </c>
      <c r="J41" s="190">
        <f>IFERROR(VLOOKUP(F41, LEVEL_HELPER!$A:$B, 2, 0), "")</f>
        <v>1</v>
      </c>
      <c r="K41" s="190">
        <f>IFERROR(VLOOKUP(G41, LEVEL_HELPER!$A:$B, 2, 0), "")</f>
        <v>3.5</v>
      </c>
      <c r="L41" s="220" t="s">
        <v>943</v>
      </c>
      <c r="M41" s="220" t="s">
        <v>925</v>
      </c>
      <c r="N41" s="190">
        <f t="array" ref="N41">IFERROR(
  INDEX($J$2:$J$543,
    MATCH(A41&amp;TEXT(I41,"yyyy-mm-dd"),
          $A$2:$A$543&amp;TEXT($H$2:$H$543,"yyyy-mm-dd"),
          0)),
"")</f>
        <v>1</v>
      </c>
      <c r="O41" s="210">
        <f t="shared" si="3"/>
        <v>3.5</v>
      </c>
      <c r="P41" s="210">
        <f t="shared" ref="P41:Q41" si="51">IF(N41="",0,IF(N41&lt;=2,1,IF(N41&lt;=4,2,IF(N41&lt;=5.5,3,4))))</f>
        <v>1</v>
      </c>
      <c r="Q41" s="210">
        <f t="shared" si="51"/>
        <v>2</v>
      </c>
      <c r="R41" s="210" t="str">
        <f t="shared" si="5"/>
        <v>Lv1 → Lv2</v>
      </c>
      <c r="S41" s="210">
        <f t="shared" si="6"/>
        <v>0</v>
      </c>
      <c r="T41" s="210"/>
      <c r="U41" s="210"/>
      <c r="V41" s="211" t="s">
        <v>230</v>
      </c>
      <c r="W41" s="210" t="str">
        <f t="shared" si="7"/>
        <v>DEV</v>
      </c>
      <c r="X41" s="210" t="str">
        <f t="shared" si="8"/>
        <v>DEV, TA</v>
      </c>
      <c r="Y41" s="210" t="str">
        <f t="shared" si="9"/>
        <v>CHORUS</v>
      </c>
      <c r="Z41" s="210"/>
      <c r="AA41" s="210"/>
      <c r="AB41" s="210"/>
      <c r="AC41" s="210"/>
      <c r="AD41" s="210"/>
      <c r="AE41" s="210"/>
      <c r="AF41" s="210"/>
      <c r="AG41" s="210"/>
      <c r="AH41" s="210"/>
      <c r="AI41" s="210"/>
      <c r="AJ41" s="210"/>
      <c r="AK41" s="210"/>
      <c r="AL41" s="210"/>
      <c r="AM41" s="214"/>
      <c r="AN41" s="211" t="str">
        <f>IFERROR(__xludf.DUMMYFUNCTION("""COMPUTED_VALUE"""),"227103")</f>
        <v>227103</v>
      </c>
      <c r="AO41" s="210" t="str">
        <f t="shared" si="10"/>
        <v>DEV</v>
      </c>
      <c r="AP41" s="210" t="str">
        <f t="shared" si="11"/>
        <v>DEV, TA</v>
      </c>
      <c r="AQ41" s="210" t="str">
        <f t="shared" si="12"/>
        <v>CHORUS</v>
      </c>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c r="BU41" s="210"/>
      <c r="BV41" s="210"/>
      <c r="BW41" s="210"/>
      <c r="BX41" s="210"/>
      <c r="BY41" s="210"/>
      <c r="BZ41" s="210"/>
      <c r="CA41" s="210"/>
      <c r="CB41" s="210"/>
      <c r="CC41" s="210"/>
      <c r="CD41" s="210"/>
      <c r="CE41" s="210"/>
      <c r="CF41" s="210"/>
      <c r="CG41" s="210"/>
      <c r="CH41" s="210"/>
      <c r="CI41" s="210"/>
      <c r="CJ41" s="210"/>
      <c r="CK41" s="210"/>
    </row>
    <row r="42">
      <c r="A42" s="222" t="s">
        <v>155</v>
      </c>
      <c r="B42" s="190" t="s">
        <v>156</v>
      </c>
      <c r="C42" s="223" t="s">
        <v>54</v>
      </c>
      <c r="D42" s="223" t="s">
        <v>848</v>
      </c>
      <c r="E42" s="190" t="s">
        <v>22</v>
      </c>
      <c r="F42" s="13" t="s">
        <v>918</v>
      </c>
      <c r="G42" s="13" t="s">
        <v>918</v>
      </c>
      <c r="H42" s="219">
        <f>IFERROR(
  MINIFS(ATTENDANCE_LOG!$F:$F,
         ATTENDANCE_LOG!$A:$A, C42,
         ATTENDANCE_LOG!$B:$B, E42),
"")</f>
        <v>45869.58333</v>
      </c>
      <c r="I42" s="219">
        <f t="shared" si="2"/>
        <v>45639.58333</v>
      </c>
      <c r="J42" s="190">
        <f>IFERROR(VLOOKUP(F42, LEVEL_HELPER!$A:$B, 2, 0), "")</f>
        <v>3</v>
      </c>
      <c r="K42" s="190">
        <f>IFERROR(VLOOKUP(G42, LEVEL_HELPER!$A:$B, 2, 0), "")</f>
        <v>3</v>
      </c>
      <c r="L42" s="220" t="s">
        <v>943</v>
      </c>
      <c r="M42" s="220" t="s">
        <v>925</v>
      </c>
      <c r="N42" s="190">
        <f t="array" ref="N42">IFERROR(
  INDEX($J$2:$J$543,
    MATCH(A42&amp;TEXT(I42,"yyyy-mm-dd"),
          $A$2:$A$543&amp;TEXT($H$2:$H$543,"yyyy-mm-dd"),
          0)),
"")</f>
        <v>1</v>
      </c>
      <c r="O42" s="210">
        <f t="shared" si="3"/>
        <v>5</v>
      </c>
      <c r="P42" s="210">
        <f t="shared" ref="P42:Q42" si="52">IF(N42="",0,IF(N42&lt;=2,1,IF(N42&lt;=4,2,IF(N42&lt;=5.5,3,4))))</f>
        <v>1</v>
      </c>
      <c r="Q42" s="210">
        <f t="shared" si="52"/>
        <v>3</v>
      </c>
      <c r="R42" s="210" t="str">
        <f t="shared" si="5"/>
        <v>Lv1 → Lv3 (multi)</v>
      </c>
      <c r="S42" s="210">
        <f t="shared" si="6"/>
        <v>0</v>
      </c>
      <c r="T42" s="210"/>
      <c r="U42" s="210"/>
      <c r="V42" s="211" t="s">
        <v>568</v>
      </c>
      <c r="W42" s="210" t="str">
        <f t="shared" si="7"/>
        <v>DEV</v>
      </c>
      <c r="X42" s="210" t="str">
        <f t="shared" si="8"/>
        <v>DEV, TA</v>
      </c>
      <c r="Y42" s="210" t="str">
        <f t="shared" si="9"/>
        <v>LBU</v>
      </c>
      <c r="Z42" s="210"/>
      <c r="AA42" s="210"/>
      <c r="AB42" s="210"/>
      <c r="AC42" s="210"/>
      <c r="AD42" s="210"/>
      <c r="AE42" s="210"/>
      <c r="AF42" s="210"/>
      <c r="AG42" s="210"/>
      <c r="AH42" s="210"/>
      <c r="AI42" s="210"/>
      <c r="AJ42" s="210"/>
      <c r="AK42" s="210"/>
      <c r="AL42" s="210"/>
      <c r="AM42" s="214"/>
      <c r="AN42" s="211" t="str">
        <f>IFERROR(__xludf.DUMMYFUNCTION("""COMPUTED_VALUE"""),"227048")</f>
        <v>227048</v>
      </c>
      <c r="AO42" s="210" t="str">
        <f t="shared" si="10"/>
        <v>DEV</v>
      </c>
      <c r="AP42" s="210" t="str">
        <f t="shared" si="11"/>
        <v>DEV, TA</v>
      </c>
      <c r="AQ42" s="210" t="str">
        <f t="shared" si="12"/>
        <v>POC</v>
      </c>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c r="BU42" s="210"/>
      <c r="BV42" s="210"/>
      <c r="BW42" s="210"/>
      <c r="BX42" s="210"/>
      <c r="BY42" s="210"/>
      <c r="BZ42" s="210"/>
      <c r="CA42" s="210"/>
      <c r="CB42" s="210"/>
      <c r="CC42" s="210"/>
      <c r="CD42" s="210"/>
      <c r="CE42" s="210"/>
      <c r="CF42" s="210"/>
      <c r="CG42" s="210"/>
      <c r="CH42" s="210"/>
      <c r="CI42" s="210"/>
      <c r="CJ42" s="210"/>
      <c r="CK42" s="210"/>
    </row>
    <row r="43">
      <c r="A43" s="222" t="s">
        <v>226</v>
      </c>
      <c r="B43" s="190" t="s">
        <v>227</v>
      </c>
      <c r="C43" s="223" t="s">
        <v>54</v>
      </c>
      <c r="D43" s="223" t="s">
        <v>848</v>
      </c>
      <c r="E43" s="190" t="s">
        <v>22</v>
      </c>
      <c r="F43" s="13" t="s">
        <v>929</v>
      </c>
      <c r="G43" s="13" t="s">
        <v>935</v>
      </c>
      <c r="H43" s="219">
        <f>IFERROR(
  MINIFS(ATTENDANCE_LOG!$F:$F,
         ATTENDANCE_LOG!$A:$A, C43,
         ATTENDANCE_LOG!$B:$B, E43),
"")</f>
        <v>45869.58333</v>
      </c>
      <c r="I43" s="219">
        <f t="shared" si="2"/>
        <v>45639.58333</v>
      </c>
      <c r="J43" s="190">
        <f>IFERROR(VLOOKUP(F43, LEVEL_HELPER!$A:$B, 2, 0), "")</f>
        <v>1.5</v>
      </c>
      <c r="K43" s="190">
        <f>IFERROR(VLOOKUP(G43, LEVEL_HELPER!$A:$B, 2, 0), "")</f>
        <v>3.5</v>
      </c>
      <c r="L43" s="220" t="s">
        <v>943</v>
      </c>
      <c r="M43" s="220" t="s">
        <v>925</v>
      </c>
      <c r="N43" s="190">
        <f t="array" ref="N43">IFERROR(
  INDEX($J$2:$J$543,
    MATCH(A43&amp;TEXT(I43,"yyyy-mm-dd"),
          $A$2:$A$543&amp;TEXT($H$2:$H$543,"yyyy-mm-dd"),
          0)),
"")</f>
        <v>1</v>
      </c>
      <c r="O43" s="210">
        <f t="shared" si="3"/>
        <v>3.5</v>
      </c>
      <c r="P43" s="210">
        <f t="shared" ref="P43:Q43" si="53">IF(N43="",0,IF(N43&lt;=2,1,IF(N43&lt;=4,2,IF(N43&lt;=5.5,3,4))))</f>
        <v>1</v>
      </c>
      <c r="Q43" s="210">
        <f t="shared" si="53"/>
        <v>2</v>
      </c>
      <c r="R43" s="210" t="str">
        <f t="shared" si="5"/>
        <v>Lv1 → Lv2</v>
      </c>
      <c r="S43" s="210">
        <f t="shared" si="6"/>
        <v>0</v>
      </c>
      <c r="T43" s="210"/>
      <c r="U43" s="210"/>
      <c r="V43" s="211" t="s">
        <v>625</v>
      </c>
      <c r="W43" s="210" t="str">
        <f t="shared" si="7"/>
        <v>DEV</v>
      </c>
      <c r="X43" s="210" t="str">
        <f t="shared" si="8"/>
        <v>DEV, TA</v>
      </c>
      <c r="Y43" s="210" t="str">
        <f t="shared" si="9"/>
        <v>CHORUS</v>
      </c>
      <c r="Z43" s="210"/>
      <c r="AA43" s="210"/>
      <c r="AB43" s="210"/>
      <c r="AC43" s="210"/>
      <c r="AD43" s="210"/>
      <c r="AE43" s="210"/>
      <c r="AF43" s="210"/>
      <c r="AG43" s="210"/>
      <c r="AH43" s="210"/>
      <c r="AI43" s="210"/>
      <c r="AJ43" s="210"/>
      <c r="AK43" s="210"/>
      <c r="AL43" s="210"/>
      <c r="AM43" s="214"/>
      <c r="AN43" s="211" t="str">
        <f>IFERROR(__xludf.DUMMYFUNCTION("""COMPUTED_VALUE"""),"247172")</f>
        <v>247172</v>
      </c>
      <c r="AO43" s="210" t="str">
        <f t="shared" si="10"/>
        <v>DEV</v>
      </c>
      <c r="AP43" s="210" t="str">
        <f t="shared" si="11"/>
        <v>DEV, TA</v>
      </c>
      <c r="AQ43" s="210" t="str">
        <f t="shared" si="12"/>
        <v>MOC</v>
      </c>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c r="BU43" s="210"/>
      <c r="BV43" s="210"/>
      <c r="BW43" s="210"/>
      <c r="BX43" s="210"/>
      <c r="BY43" s="210"/>
      <c r="BZ43" s="210"/>
      <c r="CA43" s="210"/>
      <c r="CB43" s="210"/>
      <c r="CC43" s="210"/>
      <c r="CD43" s="210"/>
      <c r="CE43" s="210"/>
      <c r="CF43" s="210"/>
      <c r="CG43" s="210"/>
      <c r="CH43" s="210"/>
      <c r="CI43" s="210"/>
      <c r="CJ43" s="210"/>
      <c r="CK43" s="210"/>
    </row>
    <row r="44">
      <c r="A44" s="222" t="s">
        <v>245</v>
      </c>
      <c r="B44" s="190" t="s">
        <v>246</v>
      </c>
      <c r="C44" s="223" t="s">
        <v>54</v>
      </c>
      <c r="D44" s="223" t="s">
        <v>848</v>
      </c>
      <c r="E44" s="190" t="s">
        <v>22</v>
      </c>
      <c r="F44" s="13" t="s">
        <v>927</v>
      </c>
      <c r="G44" s="13" t="s">
        <v>918</v>
      </c>
      <c r="H44" s="219">
        <f>IFERROR(
  MINIFS(ATTENDANCE_LOG!$F:$F,
         ATTENDANCE_LOG!$A:$A, C44,
         ATTENDANCE_LOG!$B:$B, E44),
"")</f>
        <v>45869.58333</v>
      </c>
      <c r="I44" s="219">
        <f t="shared" si="2"/>
        <v>45639.58333</v>
      </c>
      <c r="J44" s="190">
        <f>IFERROR(VLOOKUP(F44, LEVEL_HELPER!$A:$B, 2, 0), "")</f>
        <v>1</v>
      </c>
      <c r="K44" s="190">
        <f>IFERROR(VLOOKUP(G44, LEVEL_HELPER!$A:$B, 2, 0), "")</f>
        <v>3</v>
      </c>
      <c r="L44" s="220" t="s">
        <v>943</v>
      </c>
      <c r="M44" s="220" t="s">
        <v>925</v>
      </c>
      <c r="N44" s="190">
        <f t="array" ref="N44">IFERROR(
  INDEX($J$2:$J$543,
    MATCH(A44&amp;TEXT(I44,"yyyy-mm-dd"),
          $A$2:$A$543&amp;TEXT($H$2:$H$543,"yyyy-mm-dd"),
          0)),
"")</f>
        <v>1</v>
      </c>
      <c r="O44" s="210">
        <f t="shared" si="3"/>
        <v>3</v>
      </c>
      <c r="P44" s="210">
        <f t="shared" ref="P44:Q44" si="54">IF(N44="",0,IF(N44&lt;=2,1,IF(N44&lt;=4,2,IF(N44&lt;=5.5,3,4))))</f>
        <v>1</v>
      </c>
      <c r="Q44" s="210">
        <f t="shared" si="54"/>
        <v>2</v>
      </c>
      <c r="R44" s="210" t="str">
        <f t="shared" si="5"/>
        <v>Lv1 → Lv2</v>
      </c>
      <c r="S44" s="210">
        <f t="shared" si="6"/>
        <v>0</v>
      </c>
      <c r="T44" s="210"/>
      <c r="U44" s="210"/>
      <c r="V44" s="211" t="s">
        <v>675</v>
      </c>
      <c r="W44" s="210" t="str">
        <f t="shared" si="7"/>
        <v>QC</v>
      </c>
      <c r="X44" s="210" t="str">
        <f t="shared" si="8"/>
        <v>QC</v>
      </c>
      <c r="Y44" s="210" t="str">
        <f t="shared" si="9"/>
        <v>MOC</v>
      </c>
      <c r="Z44" s="210"/>
      <c r="AA44" s="210"/>
      <c r="AB44" s="210"/>
      <c r="AC44" s="210"/>
      <c r="AD44" s="210"/>
      <c r="AE44" s="210"/>
      <c r="AF44" s="210"/>
      <c r="AG44" s="210"/>
      <c r="AH44" s="210"/>
      <c r="AI44" s="210"/>
      <c r="AJ44" s="210"/>
      <c r="AK44" s="210"/>
      <c r="AL44" s="210"/>
      <c r="AM44" s="214"/>
      <c r="AN44" s="211" t="str">
        <f>IFERROR(__xludf.DUMMYFUNCTION("""COMPUTED_VALUE"""),"237201")</f>
        <v>237201</v>
      </c>
      <c r="AO44" s="210" t="str">
        <f t="shared" si="10"/>
        <v>QC</v>
      </c>
      <c r="AP44" s="210" t="str">
        <f t="shared" si="11"/>
        <v>QC</v>
      </c>
      <c r="AQ44" s="210" t="str">
        <f t="shared" si="12"/>
        <v>CHORUS</v>
      </c>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c r="BU44" s="210"/>
      <c r="BV44" s="210"/>
      <c r="BW44" s="210"/>
      <c r="BX44" s="210"/>
      <c r="BY44" s="210"/>
      <c r="BZ44" s="210"/>
      <c r="CA44" s="210"/>
      <c r="CB44" s="210"/>
      <c r="CC44" s="210"/>
      <c r="CD44" s="210"/>
      <c r="CE44" s="210"/>
      <c r="CF44" s="210"/>
      <c r="CG44" s="210"/>
      <c r="CH44" s="210"/>
      <c r="CI44" s="210"/>
      <c r="CJ44" s="210"/>
      <c r="CK44" s="210"/>
    </row>
    <row r="45">
      <c r="A45" s="222" t="s">
        <v>352</v>
      </c>
      <c r="B45" s="190" t="s">
        <v>353</v>
      </c>
      <c r="C45" s="223" t="s">
        <v>54</v>
      </c>
      <c r="D45" s="223" t="s">
        <v>848</v>
      </c>
      <c r="E45" s="190" t="s">
        <v>22</v>
      </c>
      <c r="F45" s="13" t="s">
        <v>929</v>
      </c>
      <c r="G45" s="13" t="s">
        <v>918</v>
      </c>
      <c r="H45" s="219">
        <f>IFERROR(
  MINIFS(ATTENDANCE_LOG!$F:$F,
         ATTENDANCE_LOG!$A:$A, C45,
         ATTENDANCE_LOG!$B:$B, E45),
"")</f>
        <v>45869.58333</v>
      </c>
      <c r="I45" s="219">
        <f t="shared" si="2"/>
        <v>45639.58333</v>
      </c>
      <c r="J45" s="190">
        <f>IFERROR(VLOOKUP(F45, LEVEL_HELPER!$A:$B, 2, 0), "")</f>
        <v>1.5</v>
      </c>
      <c r="K45" s="190">
        <f>IFERROR(VLOOKUP(G45, LEVEL_HELPER!$A:$B, 2, 0), "")</f>
        <v>3</v>
      </c>
      <c r="L45" s="220" t="s">
        <v>943</v>
      </c>
      <c r="M45" s="220" t="s">
        <v>925</v>
      </c>
      <c r="N45" s="190">
        <f t="array" ref="N45">IFERROR(
  INDEX($J$2:$J$543,
    MATCH(A45&amp;TEXT(I45,"yyyy-mm-dd"),
          $A$2:$A$543&amp;TEXT($H$2:$H$543,"yyyy-mm-dd"),
          0)),
"")</f>
        <v>1</v>
      </c>
      <c r="O45" s="210">
        <f t="shared" si="3"/>
        <v>3</v>
      </c>
      <c r="P45" s="210">
        <f t="shared" ref="P45:Q45" si="55">IF(N45="",0,IF(N45&lt;=2,1,IF(N45&lt;=4,2,IF(N45&lt;=5.5,3,4))))</f>
        <v>1</v>
      </c>
      <c r="Q45" s="210">
        <f t="shared" si="55"/>
        <v>2</v>
      </c>
      <c r="R45" s="210" t="str">
        <f t="shared" si="5"/>
        <v>Lv1 → Lv2</v>
      </c>
      <c r="S45" s="210">
        <f t="shared" si="6"/>
        <v>0</v>
      </c>
      <c r="T45" s="210"/>
      <c r="U45" s="210"/>
      <c r="V45" s="211" t="s">
        <v>167</v>
      </c>
      <c r="W45" s="210" t="str">
        <f t="shared" si="7"/>
        <v>QC</v>
      </c>
      <c r="X45" s="210" t="str">
        <f t="shared" si="8"/>
        <v>QC</v>
      </c>
      <c r="Y45" s="210" t="str">
        <f t="shared" si="9"/>
        <v>LBU</v>
      </c>
      <c r="Z45" s="210"/>
      <c r="AA45" s="210"/>
      <c r="AB45" s="210"/>
      <c r="AC45" s="210"/>
      <c r="AD45" s="210"/>
      <c r="AE45" s="210"/>
      <c r="AF45" s="210"/>
      <c r="AG45" s="210"/>
      <c r="AH45" s="210"/>
      <c r="AI45" s="210"/>
      <c r="AJ45" s="210"/>
      <c r="AK45" s="210"/>
      <c r="AL45" s="210"/>
      <c r="AM45" s="214"/>
      <c r="AN45" s="211" t="str">
        <f>IFERROR(__xludf.DUMMYFUNCTION("""COMPUTED_VALUE"""),"227177")</f>
        <v>227177</v>
      </c>
      <c r="AO45" s="210" t="str">
        <f t="shared" si="10"/>
        <v>QC</v>
      </c>
      <c r="AP45" s="210" t="str">
        <f t="shared" si="11"/>
        <v>QC</v>
      </c>
      <c r="AQ45" s="210" t="str">
        <f t="shared" si="12"/>
        <v>ONC</v>
      </c>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c r="BU45" s="210"/>
      <c r="BV45" s="210"/>
      <c r="BW45" s="210"/>
      <c r="BX45" s="210"/>
      <c r="BY45" s="210"/>
      <c r="BZ45" s="210"/>
      <c r="CA45" s="210"/>
      <c r="CB45" s="210"/>
      <c r="CC45" s="210"/>
      <c r="CD45" s="210"/>
      <c r="CE45" s="210"/>
      <c r="CF45" s="210"/>
      <c r="CG45" s="210"/>
      <c r="CH45" s="210"/>
      <c r="CI45" s="210"/>
      <c r="CJ45" s="210"/>
      <c r="CK45" s="210"/>
    </row>
    <row r="46">
      <c r="A46" s="222" t="s">
        <v>553</v>
      </c>
      <c r="B46" s="190" t="s">
        <v>554</v>
      </c>
      <c r="C46" s="223" t="s">
        <v>54</v>
      </c>
      <c r="D46" s="223" t="s">
        <v>848</v>
      </c>
      <c r="E46" s="190" t="s">
        <v>22</v>
      </c>
      <c r="F46" s="13" t="s">
        <v>935</v>
      </c>
      <c r="G46" s="13" t="s">
        <v>941</v>
      </c>
      <c r="H46" s="219">
        <f>IFERROR(
  MINIFS(ATTENDANCE_LOG!$F:$F,
         ATTENDANCE_LOG!$A:$A, C46,
         ATTENDANCE_LOG!$B:$B, E46),
"")</f>
        <v>45869.58333</v>
      </c>
      <c r="I46" s="219">
        <f t="shared" si="2"/>
        <v>45639.58333</v>
      </c>
      <c r="J46" s="190">
        <f>IFERROR(VLOOKUP(F46, LEVEL_HELPER!$A:$B, 2, 0), "")</f>
        <v>3.5</v>
      </c>
      <c r="K46" s="190">
        <f>IFERROR(VLOOKUP(G46, LEVEL_HELPER!$A:$B, 2, 0), "")</f>
        <v>5</v>
      </c>
      <c r="L46" s="220" t="s">
        <v>943</v>
      </c>
      <c r="M46" s="220" t="s">
        <v>925</v>
      </c>
      <c r="N46" s="190">
        <f t="array" ref="N46">IFERROR(
  INDEX($J$2:$J$543,
    MATCH(A46&amp;TEXT(I46,"yyyy-mm-dd"),
          $A$2:$A$543&amp;TEXT($H$2:$H$543,"yyyy-mm-dd"),
          0)),
"")</f>
        <v>1</v>
      </c>
      <c r="O46" s="210">
        <f t="shared" si="3"/>
        <v>5</v>
      </c>
      <c r="P46" s="210">
        <f t="shared" ref="P46:Q46" si="56">IF(N46="",0,IF(N46&lt;=2,1,IF(N46&lt;=4,2,IF(N46&lt;=5.5,3,4))))</f>
        <v>1</v>
      </c>
      <c r="Q46" s="210">
        <f t="shared" si="56"/>
        <v>3</v>
      </c>
      <c r="R46" s="210" t="str">
        <f t="shared" si="5"/>
        <v>Lv1 → Lv3 (multi)</v>
      </c>
      <c r="S46" s="210">
        <f t="shared" si="6"/>
        <v>0</v>
      </c>
      <c r="T46" s="210"/>
      <c r="U46" s="210"/>
      <c r="V46" s="211" t="s">
        <v>184</v>
      </c>
      <c r="W46" s="210" t="str">
        <f t="shared" si="7"/>
        <v>DEV</v>
      </c>
      <c r="X46" s="210" t="str">
        <f t="shared" si="8"/>
        <v>DEV, TA</v>
      </c>
      <c r="Y46" s="210" t="str">
        <f t="shared" si="9"/>
        <v>TBU</v>
      </c>
      <c r="Z46" s="210"/>
      <c r="AA46" s="210"/>
      <c r="AB46" s="210"/>
      <c r="AC46" s="210"/>
      <c r="AD46" s="210"/>
      <c r="AE46" s="210"/>
      <c r="AF46" s="210"/>
      <c r="AG46" s="210"/>
      <c r="AH46" s="210"/>
      <c r="AI46" s="210"/>
      <c r="AJ46" s="210"/>
      <c r="AK46" s="210"/>
      <c r="AL46" s="210"/>
      <c r="AM46" s="214"/>
      <c r="AN46" s="211" t="str">
        <f>IFERROR(__xludf.DUMMYFUNCTION("""COMPUTED_VALUE"""),"227035")</f>
        <v>227035</v>
      </c>
      <c r="AO46" s="210" t="str">
        <f t="shared" si="10"/>
        <v>DEV</v>
      </c>
      <c r="AP46" s="210" t="str">
        <f t="shared" si="11"/>
        <v>DEV, TA</v>
      </c>
      <c r="AQ46" s="210" t="str">
        <f t="shared" si="12"/>
        <v>LBU</v>
      </c>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c r="BU46" s="210"/>
      <c r="BV46" s="210"/>
      <c r="BW46" s="210"/>
      <c r="BX46" s="210"/>
      <c r="BY46" s="210"/>
      <c r="BZ46" s="210"/>
      <c r="CA46" s="210"/>
      <c r="CB46" s="210"/>
      <c r="CC46" s="210"/>
      <c r="CD46" s="210"/>
      <c r="CE46" s="210"/>
      <c r="CF46" s="210"/>
      <c r="CG46" s="210"/>
      <c r="CH46" s="210"/>
      <c r="CI46" s="210"/>
      <c r="CJ46" s="210"/>
      <c r="CK46" s="210"/>
    </row>
    <row r="47">
      <c r="A47" s="222" t="s">
        <v>617</v>
      </c>
      <c r="B47" s="190" t="s">
        <v>618</v>
      </c>
      <c r="C47" s="223" t="s">
        <v>54</v>
      </c>
      <c r="D47" s="223" t="s">
        <v>848</v>
      </c>
      <c r="E47" s="190" t="s">
        <v>22</v>
      </c>
      <c r="F47" s="13" t="s">
        <v>918</v>
      </c>
      <c r="G47" s="13" t="s">
        <v>935</v>
      </c>
      <c r="H47" s="219">
        <f>IFERROR(
  MINIFS(ATTENDANCE_LOG!$F:$F,
         ATTENDANCE_LOG!$A:$A, C47,
         ATTENDANCE_LOG!$B:$B, E47),
"")</f>
        <v>45869.58333</v>
      </c>
      <c r="I47" s="219">
        <f t="shared" si="2"/>
        <v>45639.58333</v>
      </c>
      <c r="J47" s="190">
        <f>IFERROR(VLOOKUP(F47, LEVEL_HELPER!$A:$B, 2, 0), "")</f>
        <v>3</v>
      </c>
      <c r="K47" s="190">
        <f>IFERROR(VLOOKUP(G47, LEVEL_HELPER!$A:$B, 2, 0), "")</f>
        <v>3.5</v>
      </c>
      <c r="L47" s="220" t="s">
        <v>943</v>
      </c>
      <c r="M47" s="220" t="s">
        <v>925</v>
      </c>
      <c r="N47" s="190">
        <f t="array" ref="N47">IFERROR(
  INDEX($J$2:$J$543,
    MATCH(A47&amp;TEXT(I47,"yyyy-mm-dd"),
          $A$2:$A$543&amp;TEXT($H$2:$H$543,"yyyy-mm-dd"),
          0)),
"")</f>
        <v>1</v>
      </c>
      <c r="O47" s="210">
        <f t="shared" si="3"/>
        <v>3.5</v>
      </c>
      <c r="P47" s="210">
        <f t="shared" ref="P47:Q47" si="57">IF(N47="",0,IF(N47&lt;=2,1,IF(N47&lt;=4,2,IF(N47&lt;=5.5,3,4))))</f>
        <v>1</v>
      </c>
      <c r="Q47" s="210">
        <f t="shared" si="57"/>
        <v>2</v>
      </c>
      <c r="R47" s="210" t="str">
        <f t="shared" si="5"/>
        <v>Lv1 → Lv2</v>
      </c>
      <c r="S47" s="210">
        <f t="shared" si="6"/>
        <v>0</v>
      </c>
      <c r="T47" s="210"/>
      <c r="U47" s="210"/>
      <c r="V47" s="211" t="s">
        <v>188</v>
      </c>
      <c r="W47" s="210" t="str">
        <f t="shared" si="7"/>
        <v>QC</v>
      </c>
      <c r="X47" s="210" t="str">
        <f t="shared" si="8"/>
        <v>QC</v>
      </c>
      <c r="Y47" s="210" t="str">
        <f t="shared" si="9"/>
        <v>LBU</v>
      </c>
      <c r="Z47" s="210"/>
      <c r="AA47" s="210"/>
      <c r="AB47" s="210"/>
      <c r="AC47" s="210"/>
      <c r="AD47" s="210"/>
      <c r="AE47" s="210"/>
      <c r="AF47" s="210"/>
      <c r="AG47" s="210"/>
      <c r="AH47" s="210"/>
      <c r="AI47" s="210"/>
      <c r="AJ47" s="210"/>
      <c r="AK47" s="210"/>
      <c r="AL47" s="210"/>
      <c r="AM47" s="214"/>
      <c r="AN47" s="211" t="str">
        <f>IFERROR(__xludf.DUMMYFUNCTION("""COMPUTED_VALUE"""),"227214")</f>
        <v>227214</v>
      </c>
      <c r="AO47" s="210" t="str">
        <f t="shared" si="10"/>
        <v>GSD</v>
      </c>
      <c r="AP47" s="210" t="str">
        <f t="shared" si="11"/>
        <v>GSD</v>
      </c>
      <c r="AQ47" s="210" t="str">
        <f t="shared" si="12"/>
        <v>LBU</v>
      </c>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c r="BU47" s="210"/>
      <c r="BV47" s="210"/>
      <c r="BW47" s="210"/>
      <c r="BX47" s="210"/>
      <c r="BY47" s="210"/>
      <c r="BZ47" s="210"/>
      <c r="CA47" s="210"/>
      <c r="CB47" s="210"/>
      <c r="CC47" s="210"/>
      <c r="CD47" s="210"/>
      <c r="CE47" s="210"/>
      <c r="CF47" s="210"/>
      <c r="CG47" s="210"/>
      <c r="CH47" s="210"/>
      <c r="CI47" s="210"/>
      <c r="CJ47" s="210"/>
      <c r="CK47" s="210"/>
    </row>
    <row r="48">
      <c r="A48" s="222" t="s">
        <v>695</v>
      </c>
      <c r="B48" s="190" t="s">
        <v>696</v>
      </c>
      <c r="C48" s="223" t="s">
        <v>54</v>
      </c>
      <c r="D48" s="223" t="s">
        <v>848</v>
      </c>
      <c r="E48" s="190" t="s">
        <v>22</v>
      </c>
      <c r="F48" s="190"/>
      <c r="G48" s="190"/>
      <c r="H48" s="219">
        <f>IFERROR(
  MINIFS(ATTENDANCE_LOG!$F:$F,
         ATTENDANCE_LOG!$A:$A, C48,
         ATTENDANCE_LOG!$B:$B, E48),
"")</f>
        <v>45869.58333</v>
      </c>
      <c r="I48" s="219">
        <f t="shared" si="2"/>
        <v>45639.58333</v>
      </c>
      <c r="J48" s="190" t="str">
        <f>IFERROR(VLOOKUP(F48, LEVEL_HELPER!$A:$B, 2, 0), "")</f>
        <v/>
      </c>
      <c r="K48" s="190" t="str">
        <f>IFERROR(VLOOKUP(G48, LEVEL_HELPER!$A:$B, 2, 0), "")</f>
        <v/>
      </c>
      <c r="L48" s="220" t="s">
        <v>943</v>
      </c>
      <c r="M48" s="220" t="s">
        <v>925</v>
      </c>
      <c r="N48" s="190" t="str">
        <f t="array" ref="N48">IFERROR(
  INDEX($J$2:$J$543,
    MATCH(A48&amp;TEXT(I48,"yyyy-mm-dd"),
          $A$2:$A$543&amp;TEXT($H$2:$H$543,"yyyy-mm-dd"),
          0)),
"")</f>
        <v/>
      </c>
      <c r="O48" s="210">
        <f t="shared" si="3"/>
        <v>0</v>
      </c>
      <c r="P48" s="210">
        <f t="shared" ref="P48:Q48" si="58">IF(N48="",0,IF(N48&lt;=2,1,IF(N48&lt;=4,2,IF(N48&lt;=5.5,3,4))))</f>
        <v>0</v>
      </c>
      <c r="Q48" s="210">
        <f t="shared" si="58"/>
        <v>1</v>
      </c>
      <c r="R48" s="210" t="str">
        <f t="shared" si="5"/>
        <v>Not tested yet</v>
      </c>
      <c r="S48" s="210">
        <f t="shared" si="6"/>
        <v>0</v>
      </c>
      <c r="T48" s="210"/>
      <c r="U48" s="210"/>
      <c r="V48" s="211" t="s">
        <v>697</v>
      </c>
      <c r="W48" s="210" t="str">
        <f t="shared" si="7"/>
        <v>DEV</v>
      </c>
      <c r="X48" s="210" t="str">
        <f t="shared" si="8"/>
        <v>DEV, TA</v>
      </c>
      <c r="Y48" s="210" t="str">
        <f t="shared" si="9"/>
        <v>TBU</v>
      </c>
      <c r="Z48" s="210"/>
      <c r="AA48" s="210"/>
      <c r="AB48" s="210"/>
      <c r="AC48" s="210"/>
      <c r="AD48" s="210"/>
      <c r="AE48" s="210"/>
      <c r="AF48" s="210"/>
      <c r="AG48" s="210"/>
      <c r="AH48" s="210"/>
      <c r="AI48" s="210"/>
      <c r="AJ48" s="210"/>
      <c r="AK48" s="210"/>
      <c r="AL48" s="210"/>
      <c r="AM48" s="214"/>
      <c r="AN48" s="211" t="str">
        <f>IFERROR(__xludf.DUMMYFUNCTION("""COMPUTED_VALUE"""),"247332")</f>
        <v>247332</v>
      </c>
      <c r="AO48" s="210" t="str">
        <f t="shared" si="10"/>
        <v>DEV</v>
      </c>
      <c r="AP48" s="210" t="str">
        <f t="shared" si="11"/>
        <v>DEV, TA</v>
      </c>
      <c r="AQ48" s="210" t="str">
        <f t="shared" si="12"/>
        <v>LBU</v>
      </c>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c r="BU48" s="210"/>
      <c r="BV48" s="210"/>
      <c r="BW48" s="210"/>
      <c r="BX48" s="210"/>
      <c r="BY48" s="210"/>
      <c r="BZ48" s="210"/>
      <c r="CA48" s="210"/>
      <c r="CB48" s="210"/>
      <c r="CC48" s="210"/>
      <c r="CD48" s="210"/>
      <c r="CE48" s="210"/>
      <c r="CF48" s="210"/>
      <c r="CG48" s="210"/>
      <c r="CH48" s="210"/>
      <c r="CI48" s="210"/>
      <c r="CJ48" s="210"/>
      <c r="CK48" s="210"/>
    </row>
    <row r="49">
      <c r="A49" s="216" t="s">
        <v>330</v>
      </c>
      <c r="B49" s="217" t="s">
        <v>331</v>
      </c>
      <c r="C49" s="218" t="s">
        <v>55</v>
      </c>
      <c r="D49" s="218" t="s">
        <v>849</v>
      </c>
      <c r="E49" s="217" t="s">
        <v>21</v>
      </c>
      <c r="F49" s="13" t="s">
        <v>917</v>
      </c>
      <c r="G49" s="13" t="s">
        <v>932</v>
      </c>
      <c r="H49" s="219">
        <f>IFERROR(
  MINIFS(ATTENDANCE_LOG!$F:$F,
         ATTENDANCE_LOG!$A:$A, C49,
         ATTENDANCE_LOG!$B:$B, E49),
"")</f>
        <v>45637.41667</v>
      </c>
      <c r="I49" s="219">
        <f t="shared" si="2"/>
        <v>45637.41667</v>
      </c>
      <c r="J49" s="190">
        <f>IFERROR(VLOOKUP(F49, LEVEL_HELPER!$A:$B, 2, 0), "")</f>
        <v>2.5</v>
      </c>
      <c r="K49" s="190">
        <f>IFERROR(VLOOKUP(G49, LEVEL_HELPER!$A:$B, 2, 0), "")</f>
        <v>4.5</v>
      </c>
      <c r="L49" s="220" t="s">
        <v>943</v>
      </c>
      <c r="M49" s="220" t="s">
        <v>923</v>
      </c>
      <c r="N49" s="190">
        <f t="array" ref="N49">IFERROR(
  INDEX($J$2:$J$543,
    MATCH(A49&amp;TEXT(I49,"yyyy-mm-dd"),
          $A$2:$A$543&amp;TEXT($H$2:$H$543,"yyyy-mm-dd"),
          0)),
"")</f>
        <v>2.5</v>
      </c>
      <c r="O49" s="210">
        <f t="shared" si="3"/>
        <v>5.5</v>
      </c>
      <c r="P49" s="210">
        <f t="shared" ref="P49:Q49" si="59">IF(N49="",0,IF(N49&lt;=2,1,IF(N49&lt;=4,2,IF(N49&lt;=5.5,3,4))))</f>
        <v>2</v>
      </c>
      <c r="Q49" s="210">
        <f t="shared" si="59"/>
        <v>3</v>
      </c>
      <c r="R49" s="210" t="str">
        <f t="shared" si="5"/>
        <v>Lv2 → Lv3</v>
      </c>
      <c r="S49" s="210">
        <f t="shared" si="6"/>
        <v>1</v>
      </c>
      <c r="T49" s="210"/>
      <c r="U49" s="210"/>
      <c r="V49" s="211" t="s">
        <v>603</v>
      </c>
      <c r="W49" s="210" t="str">
        <f t="shared" si="7"/>
        <v>DEV</v>
      </c>
      <c r="X49" s="210" t="str">
        <f t="shared" si="8"/>
        <v>DEV, TA</v>
      </c>
      <c r="Y49" s="210" t="str">
        <f t="shared" si="9"/>
        <v>TBU</v>
      </c>
      <c r="Z49" s="210"/>
      <c r="AA49" s="210"/>
      <c r="AB49" s="210"/>
      <c r="AC49" s="210"/>
      <c r="AD49" s="210"/>
      <c r="AE49" s="210"/>
      <c r="AF49" s="210"/>
      <c r="AG49" s="210"/>
      <c r="AH49" s="210"/>
      <c r="AI49" s="210"/>
      <c r="AJ49" s="210"/>
      <c r="AK49" s="210"/>
      <c r="AL49" s="210"/>
      <c r="AM49" s="214"/>
      <c r="AN49" s="211" t="str">
        <f>IFERROR(__xludf.DUMMYFUNCTION("""COMPUTED_VALUE"""),"173232")</f>
        <v>173232</v>
      </c>
      <c r="AO49" s="210" t="str">
        <f t="shared" si="10"/>
        <v>TA</v>
      </c>
      <c r="AP49" s="210" t="str">
        <f t="shared" si="11"/>
        <v>DEV, TA</v>
      </c>
      <c r="AQ49" s="210" t="str">
        <f t="shared" si="12"/>
        <v>MOC</v>
      </c>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c r="BU49" s="210"/>
      <c r="BV49" s="210"/>
      <c r="BW49" s="210"/>
      <c r="BX49" s="210"/>
      <c r="BY49" s="210"/>
      <c r="BZ49" s="210"/>
      <c r="CA49" s="210"/>
      <c r="CB49" s="210"/>
      <c r="CC49" s="210"/>
      <c r="CD49" s="210"/>
      <c r="CE49" s="210"/>
      <c r="CF49" s="210"/>
      <c r="CG49" s="210"/>
      <c r="CH49" s="210"/>
      <c r="CI49" s="210"/>
      <c r="CJ49" s="210"/>
      <c r="CK49" s="210"/>
    </row>
    <row r="50">
      <c r="A50" s="222" t="s">
        <v>294</v>
      </c>
      <c r="B50" s="190" t="s">
        <v>295</v>
      </c>
      <c r="C50" s="223" t="s">
        <v>55</v>
      </c>
      <c r="D50" s="223" t="s">
        <v>849</v>
      </c>
      <c r="E50" s="190" t="s">
        <v>21</v>
      </c>
      <c r="F50" s="13" t="s">
        <v>927</v>
      </c>
      <c r="G50" s="13" t="s">
        <v>929</v>
      </c>
      <c r="H50" s="219">
        <f>IFERROR(
  MINIFS(ATTENDANCE_LOG!$F:$F,
         ATTENDANCE_LOG!$A:$A, C50,
         ATTENDANCE_LOG!$B:$B, E50),
"")</f>
        <v>45637.41667</v>
      </c>
      <c r="I50" s="219">
        <f t="shared" si="2"/>
        <v>45637.41667</v>
      </c>
      <c r="J50" s="190">
        <f>IFERROR(VLOOKUP(F50, LEVEL_HELPER!$A:$B, 2, 0), "")</f>
        <v>1</v>
      </c>
      <c r="K50" s="190">
        <f>IFERROR(VLOOKUP(G50, LEVEL_HELPER!$A:$B, 2, 0), "")</f>
        <v>1.5</v>
      </c>
      <c r="L50" s="220" t="s">
        <v>931</v>
      </c>
      <c r="M50" s="220" t="s">
        <v>923</v>
      </c>
      <c r="N50" s="190">
        <f t="array" ref="N50">IFERROR(
  INDEX($J$2:$J$543,
    MATCH(A50&amp;TEXT(I50,"yyyy-mm-dd"),
          $A$2:$A$543&amp;TEXT($H$2:$H$543,"yyyy-mm-dd"),
          0)),
"")</f>
        <v>1</v>
      </c>
      <c r="O50" s="210">
        <f t="shared" si="3"/>
        <v>3</v>
      </c>
      <c r="P50" s="210">
        <f t="shared" ref="P50:Q50" si="60">IF(N50="",0,IF(N50&lt;=2,1,IF(N50&lt;=4,2,IF(N50&lt;=5.5,3,4))))</f>
        <v>1</v>
      </c>
      <c r="Q50" s="210">
        <f t="shared" si="60"/>
        <v>2</v>
      </c>
      <c r="R50" s="210" t="str">
        <f t="shared" si="5"/>
        <v>Lv1 → Lv2</v>
      </c>
      <c r="S50" s="210">
        <f t="shared" si="6"/>
        <v>1</v>
      </c>
      <c r="T50" s="210"/>
      <c r="U50" s="210"/>
      <c r="V50" s="211" t="s">
        <v>239</v>
      </c>
      <c r="W50" s="210" t="str">
        <f t="shared" si="7"/>
        <v>DEV</v>
      </c>
      <c r="X50" s="210" t="str">
        <f t="shared" si="8"/>
        <v>DEV, TA</v>
      </c>
      <c r="Y50" s="210" t="str">
        <f t="shared" si="9"/>
        <v>TBU</v>
      </c>
      <c r="Z50" s="210"/>
      <c r="AA50" s="210"/>
      <c r="AB50" s="210"/>
      <c r="AC50" s="210"/>
      <c r="AD50" s="210"/>
      <c r="AE50" s="210"/>
      <c r="AF50" s="210"/>
      <c r="AG50" s="210"/>
      <c r="AH50" s="210"/>
      <c r="AI50" s="210"/>
      <c r="AJ50" s="210"/>
      <c r="AK50" s="210"/>
      <c r="AL50" s="210"/>
      <c r="AM50" s="214"/>
      <c r="AN50" s="211" t="str">
        <f>IFERROR(__xludf.DUMMYFUNCTION("""COMPUTED_VALUE"""),"193613")</f>
        <v>193613</v>
      </c>
      <c r="AO50" s="210" t="str">
        <f t="shared" si="10"/>
        <v>DEV</v>
      </c>
      <c r="AP50" s="210" t="str">
        <f t="shared" si="11"/>
        <v>DEV, TA</v>
      </c>
      <c r="AQ50" s="210" t="str">
        <f t="shared" si="12"/>
        <v>MOC</v>
      </c>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c r="BU50" s="210"/>
      <c r="BV50" s="210"/>
      <c r="BW50" s="210"/>
      <c r="BX50" s="210"/>
      <c r="BY50" s="210"/>
      <c r="BZ50" s="210"/>
      <c r="CA50" s="210"/>
      <c r="CB50" s="210"/>
      <c r="CC50" s="210"/>
      <c r="CD50" s="210"/>
      <c r="CE50" s="210"/>
      <c r="CF50" s="210"/>
      <c r="CG50" s="210"/>
      <c r="CH50" s="210"/>
      <c r="CI50" s="210"/>
      <c r="CJ50" s="210"/>
      <c r="CK50" s="210"/>
    </row>
    <row r="51">
      <c r="A51" s="222" t="s">
        <v>411</v>
      </c>
      <c r="B51" s="190" t="s">
        <v>412</v>
      </c>
      <c r="C51" s="223" t="s">
        <v>55</v>
      </c>
      <c r="D51" s="223" t="s">
        <v>849</v>
      </c>
      <c r="E51" s="190" t="s">
        <v>21</v>
      </c>
      <c r="F51" s="13" t="s">
        <v>917</v>
      </c>
      <c r="G51" s="13" t="s">
        <v>929</v>
      </c>
      <c r="H51" s="219">
        <f>IFERROR(
  MINIFS(ATTENDANCE_LOG!$F:$F,
         ATTENDANCE_LOG!$A:$A, C51,
         ATTENDANCE_LOG!$B:$B, E51),
"")</f>
        <v>45637.41667</v>
      </c>
      <c r="I51" s="219">
        <f t="shared" si="2"/>
        <v>45637.41667</v>
      </c>
      <c r="J51" s="190">
        <f>IFERROR(VLOOKUP(F51, LEVEL_HELPER!$A:$B, 2, 0), "")</f>
        <v>2.5</v>
      </c>
      <c r="K51" s="190">
        <f>IFERROR(VLOOKUP(G51, LEVEL_HELPER!$A:$B, 2, 0), "")</f>
        <v>1.5</v>
      </c>
      <c r="L51" s="220" t="s">
        <v>931</v>
      </c>
      <c r="M51" s="220" t="s">
        <v>923</v>
      </c>
      <c r="N51" s="190">
        <f t="array" ref="N51">IFERROR(
  INDEX($J$2:$J$543,
    MATCH(A51&amp;TEXT(I51,"yyyy-mm-dd"),
          $A$2:$A$543&amp;TEXT($H$2:$H$543,"yyyy-mm-dd"),
          0)),
"")</f>
        <v>2.5</v>
      </c>
      <c r="O51" s="210">
        <f t="shared" si="3"/>
        <v>5</v>
      </c>
      <c r="P51" s="210">
        <f t="shared" ref="P51:Q51" si="61">IF(N51="",0,IF(N51&lt;=2,1,IF(N51&lt;=4,2,IF(N51&lt;=5.5,3,4))))</f>
        <v>2</v>
      </c>
      <c r="Q51" s="210">
        <f t="shared" si="61"/>
        <v>3</v>
      </c>
      <c r="R51" s="210" t="str">
        <f t="shared" si="5"/>
        <v>Lv2 → Lv3</v>
      </c>
      <c r="S51" s="210">
        <f t="shared" si="6"/>
        <v>1</v>
      </c>
      <c r="T51" s="210"/>
      <c r="U51" s="210"/>
      <c r="V51" s="211" t="s">
        <v>263</v>
      </c>
      <c r="W51" s="210" t="str">
        <f t="shared" si="7"/>
        <v>QC</v>
      </c>
      <c r="X51" s="210" t="str">
        <f t="shared" si="8"/>
        <v>QC</v>
      </c>
      <c r="Y51" s="210" t="str">
        <f t="shared" si="9"/>
        <v>TBU</v>
      </c>
      <c r="Z51" s="210"/>
      <c r="AA51" s="210"/>
      <c r="AB51" s="210"/>
      <c r="AC51" s="210"/>
      <c r="AD51" s="210"/>
      <c r="AE51" s="210"/>
      <c r="AF51" s="210"/>
      <c r="AG51" s="210"/>
      <c r="AH51" s="210"/>
      <c r="AI51" s="210"/>
      <c r="AJ51" s="210"/>
      <c r="AK51" s="210"/>
      <c r="AL51" s="210"/>
      <c r="AM51" s="214"/>
      <c r="AN51" s="211" t="str">
        <f>IFERROR(__xludf.DUMMYFUNCTION("""COMPUTED_VALUE"""),"203790")</f>
        <v>203790</v>
      </c>
      <c r="AO51" s="210" t="str">
        <f t="shared" si="10"/>
        <v>GSD</v>
      </c>
      <c r="AP51" s="210" t="str">
        <f t="shared" si="11"/>
        <v>GSD</v>
      </c>
      <c r="AQ51" s="210" t="str">
        <f t="shared" si="12"/>
        <v>LBU</v>
      </c>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c r="BU51" s="210"/>
      <c r="BV51" s="210"/>
      <c r="BW51" s="210"/>
      <c r="BX51" s="210"/>
      <c r="BY51" s="210"/>
      <c r="BZ51" s="210"/>
      <c r="CA51" s="210"/>
      <c r="CB51" s="210"/>
      <c r="CC51" s="210"/>
      <c r="CD51" s="210"/>
      <c r="CE51" s="210"/>
      <c r="CF51" s="210"/>
      <c r="CG51" s="210"/>
      <c r="CH51" s="210"/>
      <c r="CI51" s="210"/>
      <c r="CJ51" s="210"/>
      <c r="CK51" s="210"/>
    </row>
    <row r="52">
      <c r="A52" s="222" t="s">
        <v>496</v>
      </c>
      <c r="B52" s="190" t="s">
        <v>497</v>
      </c>
      <c r="C52" s="223" t="s">
        <v>55</v>
      </c>
      <c r="D52" s="223" t="s">
        <v>849</v>
      </c>
      <c r="E52" s="190" t="s">
        <v>21</v>
      </c>
      <c r="F52" s="190"/>
      <c r="G52" s="190"/>
      <c r="H52" s="219">
        <f>IFERROR(
  MINIFS(ATTENDANCE_LOG!$F:$F,
         ATTENDANCE_LOG!$A:$A, C52,
         ATTENDANCE_LOG!$B:$B, E52),
"")</f>
        <v>45637.41667</v>
      </c>
      <c r="I52" s="219">
        <f t="shared" si="2"/>
        <v>45637.41667</v>
      </c>
      <c r="J52" s="190" t="str">
        <f>IFERROR(VLOOKUP(F52, LEVEL_HELPER!$A:$B, 2, 0), "")</f>
        <v/>
      </c>
      <c r="K52" s="190" t="str">
        <f>IFERROR(VLOOKUP(G52, LEVEL_HELPER!$A:$B, 2, 0), "")</f>
        <v/>
      </c>
      <c r="L52" s="220" t="s">
        <v>931</v>
      </c>
      <c r="M52" s="220" t="s">
        <v>925</v>
      </c>
      <c r="N52" s="190" t="str">
        <f t="array" ref="N52">IFERROR(
  INDEX($J$2:$J$543,
    MATCH(A52&amp;TEXT(I52,"yyyy-mm-dd"),
          $A$2:$A$543&amp;TEXT($H$2:$H$543,"yyyy-mm-dd"),
          0)),
"")</f>
        <v/>
      </c>
      <c r="O52" s="210">
        <f t="shared" si="3"/>
        <v>0</v>
      </c>
      <c r="P52" s="210">
        <f t="shared" ref="P52:Q52" si="62">IF(N52="",0,IF(N52&lt;=2,1,IF(N52&lt;=4,2,IF(N52&lt;=5.5,3,4))))</f>
        <v>0</v>
      </c>
      <c r="Q52" s="210">
        <f t="shared" si="62"/>
        <v>1</v>
      </c>
      <c r="R52" s="210" t="str">
        <f t="shared" si="5"/>
        <v>Not tested yet</v>
      </c>
      <c r="S52" s="210">
        <f t="shared" si="6"/>
        <v>1</v>
      </c>
      <c r="T52" s="210"/>
      <c r="U52" s="210"/>
      <c r="V52" s="211" t="s">
        <v>383</v>
      </c>
      <c r="W52" s="210" t="str">
        <f t="shared" si="7"/>
        <v>SM</v>
      </c>
      <c r="X52" s="210" t="str">
        <f t="shared" si="8"/>
        <v>PPO, SM, IM </v>
      </c>
      <c r="Y52" s="210" t="str">
        <f t="shared" si="9"/>
        <v>TBU</v>
      </c>
      <c r="Z52" s="210"/>
      <c r="AA52" s="210"/>
      <c r="AB52" s="210"/>
      <c r="AC52" s="210"/>
      <c r="AD52" s="210"/>
      <c r="AE52" s="210"/>
      <c r="AF52" s="210"/>
      <c r="AG52" s="210"/>
      <c r="AH52" s="210"/>
      <c r="AI52" s="210"/>
      <c r="AJ52" s="210"/>
      <c r="AK52" s="210"/>
      <c r="AL52" s="210"/>
      <c r="AM52" s="214"/>
      <c r="AN52" s="211" t="str">
        <f>IFERROR(__xludf.DUMMYFUNCTION("""COMPUTED_VALUE"""),"193632")</f>
        <v>193632</v>
      </c>
      <c r="AO52" s="210" t="str">
        <f t="shared" si="10"/>
        <v>GSD</v>
      </c>
      <c r="AP52" s="210" t="str">
        <f t="shared" si="11"/>
        <v>GSD</v>
      </c>
      <c r="AQ52" s="210" t="str">
        <f t="shared" si="12"/>
        <v>MOC</v>
      </c>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c r="BU52" s="210"/>
      <c r="BV52" s="210"/>
      <c r="BW52" s="210"/>
      <c r="BX52" s="210"/>
      <c r="BY52" s="210"/>
      <c r="BZ52" s="210"/>
      <c r="CA52" s="210"/>
      <c r="CB52" s="210"/>
      <c r="CC52" s="210"/>
      <c r="CD52" s="210"/>
      <c r="CE52" s="210"/>
      <c r="CF52" s="210"/>
      <c r="CG52" s="210"/>
      <c r="CH52" s="210"/>
      <c r="CI52" s="210"/>
      <c r="CJ52" s="210"/>
      <c r="CK52" s="210"/>
    </row>
    <row r="53">
      <c r="A53" s="222" t="s">
        <v>547</v>
      </c>
      <c r="B53" s="190" t="s">
        <v>548</v>
      </c>
      <c r="C53" s="223" t="s">
        <v>55</v>
      </c>
      <c r="D53" s="223" t="s">
        <v>849</v>
      </c>
      <c r="E53" s="190" t="s">
        <v>21</v>
      </c>
      <c r="F53" s="13" t="s">
        <v>932</v>
      </c>
      <c r="G53" s="13" t="s">
        <v>932</v>
      </c>
      <c r="H53" s="219">
        <f>IFERROR(
  MINIFS(ATTENDANCE_LOG!$F:$F,
         ATTENDANCE_LOG!$A:$A, C53,
         ATTENDANCE_LOG!$B:$B, E53),
"")</f>
        <v>45637.41667</v>
      </c>
      <c r="I53" s="219">
        <f t="shared" si="2"/>
        <v>45637.41667</v>
      </c>
      <c r="J53" s="190">
        <f>IFERROR(VLOOKUP(F53, LEVEL_HELPER!$A:$B, 2, 0), "")</f>
        <v>4.5</v>
      </c>
      <c r="K53" s="190">
        <f>IFERROR(VLOOKUP(G53, LEVEL_HELPER!$A:$B, 2, 0), "")</f>
        <v>4.5</v>
      </c>
      <c r="L53" s="220" t="s">
        <v>931</v>
      </c>
      <c r="M53" s="220" t="s">
        <v>923</v>
      </c>
      <c r="N53" s="190">
        <f t="array" ref="N53">IFERROR(
  INDEX($J$2:$J$543,
    MATCH(A53&amp;TEXT(I53,"yyyy-mm-dd"),
          $A$2:$A$543&amp;TEXT($H$2:$H$543,"yyyy-mm-dd"),
          0)),
"")</f>
        <v>4.5</v>
      </c>
      <c r="O53" s="210">
        <f t="shared" si="3"/>
        <v>5</v>
      </c>
      <c r="P53" s="210">
        <f t="shared" ref="P53:Q53" si="63">IF(N53="",0,IF(N53&lt;=2,1,IF(N53&lt;=4,2,IF(N53&lt;=5.5,3,4))))</f>
        <v>3</v>
      </c>
      <c r="Q53" s="210">
        <f t="shared" si="63"/>
        <v>3</v>
      </c>
      <c r="R53" s="210" t="str">
        <f t="shared" si="5"/>
        <v>Progress within level</v>
      </c>
      <c r="S53" s="210">
        <f t="shared" si="6"/>
        <v>1</v>
      </c>
      <c r="T53" s="210"/>
      <c r="U53" s="210"/>
      <c r="V53" s="211" t="s">
        <v>528</v>
      </c>
      <c r="W53" s="210" t="str">
        <f t="shared" si="7"/>
        <v>DEV</v>
      </c>
      <c r="X53" s="210" t="str">
        <f t="shared" si="8"/>
        <v>DEV, TA</v>
      </c>
      <c r="Y53" s="210" t="str">
        <f t="shared" si="9"/>
        <v>TBU</v>
      </c>
      <c r="Z53" s="210"/>
      <c r="AA53" s="210"/>
      <c r="AB53" s="210"/>
      <c r="AC53" s="210"/>
      <c r="AD53" s="210"/>
      <c r="AE53" s="210"/>
      <c r="AF53" s="210"/>
      <c r="AG53" s="210"/>
      <c r="AH53" s="210"/>
      <c r="AI53" s="210"/>
      <c r="AJ53" s="210"/>
      <c r="AK53" s="210"/>
      <c r="AL53" s="210"/>
      <c r="AM53" s="214"/>
      <c r="AN53" s="211" t="str">
        <f>IFERROR(__xludf.DUMMYFUNCTION("""COMPUTED_VALUE"""),"247097")</f>
        <v>247097</v>
      </c>
      <c r="AO53" s="210" t="str">
        <f t="shared" si="10"/>
        <v>DEV</v>
      </c>
      <c r="AP53" s="210" t="str">
        <f t="shared" si="11"/>
        <v>DEV, TA</v>
      </c>
      <c r="AQ53" s="210" t="str">
        <f t="shared" si="12"/>
        <v>MOC</v>
      </c>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c r="BU53" s="210"/>
      <c r="BV53" s="210"/>
      <c r="BW53" s="210"/>
      <c r="BX53" s="210"/>
      <c r="BY53" s="210"/>
      <c r="BZ53" s="210"/>
      <c r="CA53" s="210"/>
      <c r="CB53" s="210"/>
      <c r="CC53" s="210"/>
      <c r="CD53" s="210"/>
      <c r="CE53" s="210"/>
      <c r="CF53" s="210"/>
      <c r="CG53" s="210"/>
      <c r="CH53" s="210"/>
      <c r="CI53" s="210"/>
      <c r="CJ53" s="210"/>
      <c r="CK53" s="210"/>
    </row>
    <row r="54">
      <c r="A54" s="216" t="s">
        <v>445</v>
      </c>
      <c r="B54" s="217" t="s">
        <v>446</v>
      </c>
      <c r="C54" s="218" t="s">
        <v>56</v>
      </c>
      <c r="D54" s="218" t="s">
        <v>850</v>
      </c>
      <c r="E54" s="217" t="s">
        <v>21</v>
      </c>
      <c r="F54" s="13" t="s">
        <v>932</v>
      </c>
      <c r="G54" s="13" t="s">
        <v>932</v>
      </c>
      <c r="H54" s="219">
        <f>IFERROR(
  MINIFS(ATTENDANCE_LOG!$F:$F,
         ATTENDANCE_LOG!$A:$A, C54,
         ATTENDANCE_LOG!$B:$B, E54),
"")</f>
        <v>45639.41667</v>
      </c>
      <c r="I54" s="219">
        <f t="shared" si="2"/>
        <v>45639.41667</v>
      </c>
      <c r="J54" s="190">
        <f>IFERROR(VLOOKUP(F54, LEVEL_HELPER!$A:$B, 2, 0), "")</f>
        <v>4.5</v>
      </c>
      <c r="K54" s="190">
        <f>IFERROR(VLOOKUP(G54, LEVEL_HELPER!$A:$B, 2, 0), "")</f>
        <v>4.5</v>
      </c>
      <c r="L54" s="220" t="s">
        <v>943</v>
      </c>
      <c r="M54" s="220" t="s">
        <v>923</v>
      </c>
      <c r="N54" s="190">
        <f t="array" ref="N54">IFERROR(
  INDEX($J$2:$J$543,
    MATCH(A54&amp;TEXT(I54,"yyyy-mm-dd"),
          $A$2:$A$543&amp;TEXT($H$2:$H$543,"yyyy-mm-dd"),
          0)),
"")</f>
        <v>4.5</v>
      </c>
      <c r="O54" s="210">
        <f t="shared" si="3"/>
        <v>4.5</v>
      </c>
      <c r="P54" s="210">
        <f t="shared" ref="P54:Q54" si="64">IF(N54="",0,IF(N54&lt;=2,1,IF(N54&lt;=4,2,IF(N54&lt;=5.5,3,4))))</f>
        <v>3</v>
      </c>
      <c r="Q54" s="210">
        <f t="shared" si="64"/>
        <v>3</v>
      </c>
      <c r="R54" s="210" t="str">
        <f t="shared" si="5"/>
        <v>No Progress</v>
      </c>
      <c r="S54" s="210">
        <f t="shared" si="6"/>
        <v>1</v>
      </c>
      <c r="T54" s="210"/>
      <c r="U54" s="210"/>
      <c r="V54" s="211" t="s">
        <v>665</v>
      </c>
      <c r="W54" s="210" t="str">
        <f t="shared" si="7"/>
        <v>DEV</v>
      </c>
      <c r="X54" s="210" t="str">
        <f t="shared" si="8"/>
        <v>DEV, TA</v>
      </c>
      <c r="Y54" s="210" t="str">
        <f t="shared" si="9"/>
        <v>TBU</v>
      </c>
      <c r="Z54" s="210"/>
      <c r="AA54" s="210"/>
      <c r="AB54" s="210"/>
      <c r="AC54" s="210"/>
      <c r="AD54" s="210"/>
      <c r="AE54" s="210"/>
      <c r="AF54" s="210"/>
      <c r="AG54" s="210"/>
      <c r="AH54" s="210"/>
      <c r="AI54" s="210"/>
      <c r="AJ54" s="210"/>
      <c r="AK54" s="210"/>
      <c r="AL54" s="210"/>
      <c r="AM54" s="214"/>
      <c r="AN54" s="211" t="str">
        <f>IFERROR(__xludf.DUMMYFUNCTION("""COMPUTED_VALUE"""),"247062")</f>
        <v>247062</v>
      </c>
      <c r="AO54" s="210" t="str">
        <f t="shared" si="10"/>
        <v>GSD</v>
      </c>
      <c r="AP54" s="210" t="str">
        <f t="shared" si="11"/>
        <v>GSD</v>
      </c>
      <c r="AQ54" s="210" t="str">
        <f t="shared" si="12"/>
        <v>POC</v>
      </c>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c r="BU54" s="210"/>
      <c r="BV54" s="210"/>
      <c r="BW54" s="210"/>
      <c r="BX54" s="210"/>
      <c r="BY54" s="210"/>
      <c r="BZ54" s="210"/>
      <c r="CA54" s="210"/>
      <c r="CB54" s="210"/>
      <c r="CC54" s="210"/>
      <c r="CD54" s="210"/>
      <c r="CE54" s="210"/>
      <c r="CF54" s="210"/>
      <c r="CG54" s="210"/>
      <c r="CH54" s="210"/>
      <c r="CI54" s="210"/>
      <c r="CJ54" s="210"/>
      <c r="CK54" s="210"/>
    </row>
    <row r="55">
      <c r="A55" s="222" t="s">
        <v>176</v>
      </c>
      <c r="B55" s="190" t="s">
        <v>177</v>
      </c>
      <c r="C55" s="223" t="s">
        <v>56</v>
      </c>
      <c r="D55" s="223" t="s">
        <v>850</v>
      </c>
      <c r="E55" s="190" t="s">
        <v>21</v>
      </c>
      <c r="F55" s="13" t="s">
        <v>917</v>
      </c>
      <c r="G55" s="13" t="s">
        <v>932</v>
      </c>
      <c r="H55" s="219">
        <f>IFERROR(
  MINIFS(ATTENDANCE_LOG!$F:$F,
         ATTENDANCE_LOG!$A:$A, C55,
         ATTENDANCE_LOG!$B:$B, E55),
"")</f>
        <v>45639.41667</v>
      </c>
      <c r="I55" s="219">
        <f t="shared" si="2"/>
        <v>45639.41667</v>
      </c>
      <c r="J55" s="190">
        <f>IFERROR(VLOOKUP(F55, LEVEL_HELPER!$A:$B, 2, 0), "")</f>
        <v>2.5</v>
      </c>
      <c r="K55" s="190">
        <f>IFERROR(VLOOKUP(G55, LEVEL_HELPER!$A:$B, 2, 0), "")</f>
        <v>4.5</v>
      </c>
      <c r="L55" s="220" t="s">
        <v>931</v>
      </c>
      <c r="M55" s="220" t="s">
        <v>923</v>
      </c>
      <c r="N55" s="190">
        <f t="array" ref="N55">IFERROR(
  INDEX($J$2:$J$543,
    MATCH(A55&amp;TEXT(I55,"yyyy-mm-dd"),
          $A$2:$A$543&amp;TEXT($H$2:$H$543,"yyyy-mm-dd"),
          0)),
"")</f>
        <v>2.5</v>
      </c>
      <c r="O55" s="210">
        <f t="shared" si="3"/>
        <v>4.5</v>
      </c>
      <c r="P55" s="210">
        <f t="shared" ref="P55:Q55" si="65">IF(N55="",0,IF(N55&lt;=2,1,IF(N55&lt;=4,2,IF(N55&lt;=5.5,3,4))))</f>
        <v>2</v>
      </c>
      <c r="Q55" s="210">
        <f t="shared" si="65"/>
        <v>3</v>
      </c>
      <c r="R55" s="210" t="str">
        <f t="shared" si="5"/>
        <v>Lv2 → Lv3</v>
      </c>
      <c r="S55" s="210">
        <f t="shared" si="6"/>
        <v>1</v>
      </c>
      <c r="T55" s="210"/>
      <c r="U55" s="210"/>
      <c r="V55" s="211" t="s">
        <v>484</v>
      </c>
      <c r="W55" s="210" t="str">
        <f t="shared" si="7"/>
        <v>GSD</v>
      </c>
      <c r="X55" s="210" t="str">
        <f t="shared" si="8"/>
        <v>GSD</v>
      </c>
      <c r="Y55" s="210" t="str">
        <f t="shared" si="9"/>
        <v>ONC</v>
      </c>
      <c r="Z55" s="210"/>
      <c r="AA55" s="210"/>
      <c r="AB55" s="210"/>
      <c r="AC55" s="210"/>
      <c r="AD55" s="210"/>
      <c r="AE55" s="210"/>
      <c r="AF55" s="210"/>
      <c r="AG55" s="210"/>
      <c r="AH55" s="210"/>
      <c r="AI55" s="210"/>
      <c r="AJ55" s="210"/>
      <c r="AK55" s="210"/>
      <c r="AL55" s="210"/>
      <c r="AM55" s="214"/>
      <c r="AN55" s="211" t="str">
        <f>IFERROR(__xludf.DUMMYFUNCTION("""COMPUTED_VALUE"""),"247064")</f>
        <v>247064</v>
      </c>
      <c r="AO55" s="210" t="str">
        <f t="shared" si="10"/>
        <v>GSD</v>
      </c>
      <c r="AP55" s="210" t="str">
        <f t="shared" si="11"/>
        <v>GSD</v>
      </c>
      <c r="AQ55" s="210" t="str">
        <f t="shared" si="12"/>
        <v>POC</v>
      </c>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c r="BU55" s="210"/>
      <c r="BV55" s="210"/>
      <c r="BW55" s="210"/>
      <c r="BX55" s="210"/>
      <c r="BY55" s="210"/>
      <c r="BZ55" s="210"/>
      <c r="CA55" s="210"/>
      <c r="CB55" s="210"/>
      <c r="CC55" s="210"/>
      <c r="CD55" s="210"/>
      <c r="CE55" s="210"/>
      <c r="CF55" s="210"/>
      <c r="CG55" s="210"/>
      <c r="CH55" s="210"/>
      <c r="CI55" s="210"/>
      <c r="CJ55" s="210"/>
      <c r="CK55" s="210"/>
    </row>
    <row r="56">
      <c r="A56" s="222" t="s">
        <v>228</v>
      </c>
      <c r="B56" s="190" t="s">
        <v>229</v>
      </c>
      <c r="C56" s="223" t="s">
        <v>56</v>
      </c>
      <c r="D56" s="223" t="s">
        <v>850</v>
      </c>
      <c r="E56" s="190" t="s">
        <v>21</v>
      </c>
      <c r="F56" s="13" t="s">
        <v>927</v>
      </c>
      <c r="G56" s="13" t="s">
        <v>918</v>
      </c>
      <c r="H56" s="219">
        <f>IFERROR(
  MINIFS(ATTENDANCE_LOG!$F:$F,
         ATTENDANCE_LOG!$A:$A, C56,
         ATTENDANCE_LOG!$B:$B, E56),
"")</f>
        <v>45639.41667</v>
      </c>
      <c r="I56" s="219">
        <f t="shared" si="2"/>
        <v>45639.41667</v>
      </c>
      <c r="J56" s="190">
        <f>IFERROR(VLOOKUP(F56, LEVEL_HELPER!$A:$B, 2, 0), "")</f>
        <v>1</v>
      </c>
      <c r="K56" s="190">
        <f>IFERROR(VLOOKUP(G56, LEVEL_HELPER!$A:$B, 2, 0), "")</f>
        <v>3</v>
      </c>
      <c r="L56" s="220" t="s">
        <v>943</v>
      </c>
      <c r="M56" s="220" t="s">
        <v>923</v>
      </c>
      <c r="N56" s="190">
        <f t="array" ref="N56">IFERROR(
  INDEX($J$2:$J$543,
    MATCH(A56&amp;TEXT(I56,"yyyy-mm-dd"),
          $A$2:$A$543&amp;TEXT($H$2:$H$543,"yyyy-mm-dd"),
          0)),
"")</f>
        <v>1</v>
      </c>
      <c r="O56" s="210">
        <f t="shared" si="3"/>
        <v>3</v>
      </c>
      <c r="P56" s="210">
        <f t="shared" ref="P56:Q56" si="66">IF(N56="",0,IF(N56&lt;=2,1,IF(N56&lt;=4,2,IF(N56&lt;=5.5,3,4))))</f>
        <v>1</v>
      </c>
      <c r="Q56" s="210">
        <f t="shared" si="66"/>
        <v>2</v>
      </c>
      <c r="R56" s="210" t="str">
        <f t="shared" si="5"/>
        <v>Lv1 → Lv2</v>
      </c>
      <c r="S56" s="210">
        <f t="shared" si="6"/>
        <v>1</v>
      </c>
      <c r="T56" s="210"/>
      <c r="U56" s="210"/>
      <c r="V56" s="211" t="s">
        <v>159</v>
      </c>
      <c r="W56" s="210" t="str">
        <f t="shared" si="7"/>
        <v>GSD</v>
      </c>
      <c r="X56" s="210" t="str">
        <f t="shared" si="8"/>
        <v>GSD</v>
      </c>
      <c r="Y56" s="210" t="str">
        <f t="shared" si="9"/>
        <v>LBU</v>
      </c>
      <c r="Z56" s="210"/>
      <c r="AA56" s="210"/>
      <c r="AB56" s="210"/>
      <c r="AC56" s="210"/>
      <c r="AD56" s="210"/>
      <c r="AE56" s="210"/>
      <c r="AF56" s="210"/>
      <c r="AG56" s="210"/>
      <c r="AH56" s="210"/>
      <c r="AI56" s="210"/>
      <c r="AJ56" s="210"/>
      <c r="AK56" s="210"/>
      <c r="AL56" s="210"/>
      <c r="AM56" s="214"/>
      <c r="AN56" s="211" t="str">
        <f>IFERROR(__xludf.DUMMYFUNCTION("""COMPUTED_VALUE"""),"183330")</f>
        <v>183330</v>
      </c>
      <c r="AO56" s="210" t="str">
        <f t="shared" si="10"/>
        <v>GSD</v>
      </c>
      <c r="AP56" s="210" t="str">
        <f t="shared" si="11"/>
        <v>GSD</v>
      </c>
      <c r="AQ56" s="210" t="str">
        <f t="shared" si="12"/>
        <v>TBU</v>
      </c>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c r="BU56" s="210"/>
      <c r="BV56" s="210"/>
      <c r="BW56" s="210"/>
      <c r="BX56" s="210"/>
      <c r="BY56" s="210"/>
      <c r="BZ56" s="210"/>
      <c r="CA56" s="210"/>
      <c r="CB56" s="210"/>
      <c r="CC56" s="210"/>
      <c r="CD56" s="210"/>
      <c r="CE56" s="210"/>
      <c r="CF56" s="210"/>
      <c r="CG56" s="210"/>
      <c r="CH56" s="210"/>
      <c r="CI56" s="210"/>
      <c r="CJ56" s="210"/>
      <c r="CK56" s="210"/>
    </row>
    <row r="57">
      <c r="A57" s="222" t="s">
        <v>482</v>
      </c>
      <c r="B57" s="190" t="s">
        <v>483</v>
      </c>
      <c r="C57" s="223" t="s">
        <v>56</v>
      </c>
      <c r="D57" s="223" t="s">
        <v>850</v>
      </c>
      <c r="E57" s="190" t="s">
        <v>21</v>
      </c>
      <c r="F57" s="13" t="s">
        <v>917</v>
      </c>
      <c r="G57" s="13" t="s">
        <v>935</v>
      </c>
      <c r="H57" s="219">
        <f>IFERROR(
  MINIFS(ATTENDANCE_LOG!$F:$F,
         ATTENDANCE_LOG!$A:$A, C57,
         ATTENDANCE_LOG!$B:$B, E57),
"")</f>
        <v>45639.41667</v>
      </c>
      <c r="I57" s="219">
        <f t="shared" si="2"/>
        <v>45639.41667</v>
      </c>
      <c r="J57" s="190">
        <f>IFERROR(VLOOKUP(F57, LEVEL_HELPER!$A:$B, 2, 0), "")</f>
        <v>2.5</v>
      </c>
      <c r="K57" s="190">
        <f>IFERROR(VLOOKUP(G57, LEVEL_HELPER!$A:$B, 2, 0), "")</f>
        <v>3.5</v>
      </c>
      <c r="L57" s="220" t="s">
        <v>919</v>
      </c>
      <c r="M57" s="220" t="s">
        <v>926</v>
      </c>
      <c r="N57" s="190">
        <f t="array" ref="N57">IFERROR(
  INDEX($J$2:$J$543,
    MATCH(A57&amp;TEXT(I57,"yyyy-mm-dd"),
          $A$2:$A$543&amp;TEXT($H$2:$H$543,"yyyy-mm-dd"),
          0)),
"")</f>
        <v>2.5</v>
      </c>
      <c r="O57" s="210">
        <f t="shared" si="3"/>
        <v>3.5</v>
      </c>
      <c r="P57" s="210">
        <f t="shared" ref="P57:Q57" si="67">IF(N57="",0,IF(N57&lt;=2,1,IF(N57&lt;=4,2,IF(N57&lt;=5.5,3,4))))</f>
        <v>2</v>
      </c>
      <c r="Q57" s="210">
        <f t="shared" si="67"/>
        <v>2</v>
      </c>
      <c r="R57" s="210" t="str">
        <f t="shared" si="5"/>
        <v>Progress within level</v>
      </c>
      <c r="S57" s="210">
        <f t="shared" si="6"/>
        <v>1</v>
      </c>
      <c r="T57" s="210"/>
      <c r="U57" s="210"/>
      <c r="V57" s="211" t="s">
        <v>313</v>
      </c>
      <c r="W57" s="210" t="str">
        <f t="shared" si="7"/>
        <v>GSD</v>
      </c>
      <c r="X57" s="210" t="str">
        <f t="shared" si="8"/>
        <v>GSD</v>
      </c>
      <c r="Y57" s="210" t="str">
        <f t="shared" si="9"/>
        <v>LBU</v>
      </c>
      <c r="Z57" s="210"/>
      <c r="AA57" s="210"/>
      <c r="AB57" s="210"/>
      <c r="AC57" s="210"/>
      <c r="AD57" s="210"/>
      <c r="AE57" s="210"/>
      <c r="AF57" s="210"/>
      <c r="AG57" s="210"/>
      <c r="AH57" s="210"/>
      <c r="AI57" s="210"/>
      <c r="AJ57" s="210"/>
      <c r="AK57" s="210"/>
      <c r="AL57" s="210"/>
      <c r="AM57" s="214"/>
      <c r="AN57" s="211" t="str">
        <f>IFERROR(__xludf.DUMMYFUNCTION("""COMPUTED_VALUE"""),"227122")</f>
        <v>227122</v>
      </c>
      <c r="AO57" s="210" t="str">
        <f t="shared" si="10"/>
        <v>QC</v>
      </c>
      <c r="AP57" s="210" t="str">
        <f t="shared" si="11"/>
        <v>QC</v>
      </c>
      <c r="AQ57" s="210" t="str">
        <f t="shared" si="12"/>
        <v>POC</v>
      </c>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c r="BU57" s="210"/>
      <c r="BV57" s="210"/>
      <c r="BW57" s="210"/>
      <c r="BX57" s="210"/>
      <c r="BY57" s="210"/>
      <c r="BZ57" s="210"/>
      <c r="CA57" s="210"/>
      <c r="CB57" s="210"/>
      <c r="CC57" s="210"/>
      <c r="CD57" s="210"/>
      <c r="CE57" s="210"/>
      <c r="CF57" s="210"/>
      <c r="CG57" s="210"/>
      <c r="CH57" s="210"/>
      <c r="CI57" s="210"/>
      <c r="CJ57" s="210"/>
      <c r="CK57" s="210"/>
    </row>
    <row r="58">
      <c r="A58" s="216" t="s">
        <v>357</v>
      </c>
      <c r="B58" s="217" t="s">
        <v>358</v>
      </c>
      <c r="C58" s="218" t="s">
        <v>57</v>
      </c>
      <c r="D58" s="218" t="s">
        <v>851</v>
      </c>
      <c r="E58" s="217" t="s">
        <v>21</v>
      </c>
      <c r="F58" s="13" t="s">
        <v>917</v>
      </c>
      <c r="G58" s="13" t="s">
        <v>935</v>
      </c>
      <c r="H58" s="219">
        <f>IFERROR(
  MINIFS(ATTENDANCE_LOG!$F:$F,
         ATTENDANCE_LOG!$A:$A, C58,
         ATTENDANCE_LOG!$B:$B, E58),
"")</f>
        <v>45702.45833</v>
      </c>
      <c r="I58" s="219">
        <f t="shared" si="2"/>
        <v>45702.45833</v>
      </c>
      <c r="J58" s="190">
        <f>IFERROR(VLOOKUP(F58, LEVEL_HELPER!$A:$B, 2, 0), "")</f>
        <v>2.5</v>
      </c>
      <c r="K58" s="190">
        <f>IFERROR(VLOOKUP(G58, LEVEL_HELPER!$A:$B, 2, 0), "")</f>
        <v>3.5</v>
      </c>
      <c r="L58" s="220" t="s">
        <v>943</v>
      </c>
      <c r="M58" s="229" t="s">
        <v>922</v>
      </c>
      <c r="N58" s="190">
        <f t="array" ref="N58">IFERROR(
  INDEX($J$2:$J$543,
    MATCH(A58&amp;TEXT(I58,"yyyy-mm-dd"),
          $A$2:$A$543&amp;TEXT($H$2:$H$543,"yyyy-mm-dd"),
          0)),
"")</f>
        <v>2.5</v>
      </c>
      <c r="O58" s="210">
        <f t="shared" si="3"/>
        <v>3.5</v>
      </c>
      <c r="P58" s="210">
        <f t="shared" ref="P58:Q58" si="68">IF(N58="",0,IF(N58&lt;=2,1,IF(N58&lt;=4,2,IF(N58&lt;=5.5,3,4))))</f>
        <v>2</v>
      </c>
      <c r="Q58" s="210">
        <f t="shared" si="68"/>
        <v>2</v>
      </c>
      <c r="R58" s="210" t="str">
        <f t="shared" si="5"/>
        <v>Progress within level</v>
      </c>
      <c r="S58" s="210">
        <f t="shared" si="6"/>
        <v>1</v>
      </c>
      <c r="T58" s="210"/>
      <c r="U58" s="210"/>
      <c r="V58" s="211" t="s">
        <v>433</v>
      </c>
      <c r="W58" s="210" t="str">
        <f t="shared" si="7"/>
        <v>GSD</v>
      </c>
      <c r="X58" s="210" t="str">
        <f t="shared" si="8"/>
        <v>GSD</v>
      </c>
      <c r="Y58" s="210" t="str">
        <f t="shared" si="9"/>
        <v>LBU</v>
      </c>
      <c r="Z58" s="210"/>
      <c r="AA58" s="210"/>
      <c r="AB58" s="210"/>
      <c r="AC58" s="210"/>
      <c r="AD58" s="210"/>
      <c r="AE58" s="210"/>
      <c r="AF58" s="210"/>
      <c r="AG58" s="210"/>
      <c r="AH58" s="210"/>
      <c r="AI58" s="210"/>
      <c r="AJ58" s="210"/>
      <c r="AK58" s="210"/>
      <c r="AL58" s="210"/>
      <c r="AM58" s="214"/>
      <c r="AN58" s="211" t="str">
        <f>IFERROR(__xludf.DUMMYFUNCTION("""COMPUTED_VALUE"""),"247263")</f>
        <v>247263</v>
      </c>
      <c r="AO58" s="210" t="str">
        <f t="shared" si="10"/>
        <v>GSD</v>
      </c>
      <c r="AP58" s="210" t="str">
        <f t="shared" si="11"/>
        <v>GSD</v>
      </c>
      <c r="AQ58" s="210" t="str">
        <f t="shared" si="12"/>
        <v>MOC</v>
      </c>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c r="BU58" s="210"/>
      <c r="BV58" s="210"/>
      <c r="BW58" s="210"/>
      <c r="BX58" s="210"/>
      <c r="BY58" s="210"/>
      <c r="BZ58" s="210"/>
      <c r="CA58" s="210"/>
      <c r="CB58" s="210"/>
      <c r="CC58" s="210"/>
      <c r="CD58" s="210"/>
      <c r="CE58" s="210"/>
      <c r="CF58" s="210"/>
      <c r="CG58" s="210"/>
      <c r="CH58" s="210"/>
      <c r="CI58" s="210"/>
      <c r="CJ58" s="210"/>
      <c r="CK58" s="210"/>
    </row>
    <row r="59">
      <c r="A59" s="222" t="s">
        <v>230</v>
      </c>
      <c r="B59" s="190" t="s">
        <v>231</v>
      </c>
      <c r="C59" s="223" t="s">
        <v>57</v>
      </c>
      <c r="D59" s="223" t="s">
        <v>851</v>
      </c>
      <c r="E59" s="190" t="s">
        <v>21</v>
      </c>
      <c r="F59" s="13" t="s">
        <v>927</v>
      </c>
      <c r="G59" s="13" t="s">
        <v>918</v>
      </c>
      <c r="H59" s="219">
        <f>IFERROR(
  MINIFS(ATTENDANCE_LOG!$F:$F,
         ATTENDANCE_LOG!$A:$A, C59,
         ATTENDANCE_LOG!$B:$B, E59),
"")</f>
        <v>45702.45833</v>
      </c>
      <c r="I59" s="219">
        <f t="shared" si="2"/>
        <v>45702.45833</v>
      </c>
      <c r="J59" s="190">
        <f>IFERROR(VLOOKUP(F59, LEVEL_HELPER!$A:$B, 2, 0), "")</f>
        <v>1</v>
      </c>
      <c r="K59" s="190">
        <f>IFERROR(VLOOKUP(G59, LEVEL_HELPER!$A:$B, 2, 0), "")</f>
        <v>3</v>
      </c>
      <c r="L59" s="220" t="s">
        <v>943</v>
      </c>
      <c r="M59" s="229" t="s">
        <v>922</v>
      </c>
      <c r="N59" s="190">
        <f t="array" ref="N59">IFERROR(
  INDEX($J$2:$J$543,
    MATCH(A59&amp;TEXT(I59,"yyyy-mm-dd"),
          $A$2:$A$543&amp;TEXT($H$2:$H$543,"yyyy-mm-dd"),
          0)),
"")</f>
        <v>1</v>
      </c>
      <c r="O59" s="210">
        <f t="shared" si="3"/>
        <v>3</v>
      </c>
      <c r="P59" s="210">
        <f t="shared" ref="P59:Q59" si="69">IF(N59="",0,IF(N59&lt;=2,1,IF(N59&lt;=4,2,IF(N59&lt;=5.5,3,4))))</f>
        <v>1</v>
      </c>
      <c r="Q59" s="210">
        <f t="shared" si="69"/>
        <v>2</v>
      </c>
      <c r="R59" s="210" t="str">
        <f t="shared" si="5"/>
        <v>Lv1 → Lv2</v>
      </c>
      <c r="S59" s="210">
        <f t="shared" si="6"/>
        <v>1</v>
      </c>
      <c r="T59" s="210"/>
      <c r="U59" s="210"/>
      <c r="V59" s="211" t="s">
        <v>451</v>
      </c>
      <c r="W59" s="210" t="str">
        <f t="shared" si="7"/>
        <v>GSD</v>
      </c>
      <c r="X59" s="210" t="str">
        <f t="shared" si="8"/>
        <v>GSD</v>
      </c>
      <c r="Y59" s="210" t="str">
        <f t="shared" si="9"/>
        <v>LBU</v>
      </c>
      <c r="Z59" s="210"/>
      <c r="AA59" s="210"/>
      <c r="AB59" s="210"/>
      <c r="AC59" s="210"/>
      <c r="AD59" s="210"/>
      <c r="AE59" s="210"/>
      <c r="AF59" s="210"/>
      <c r="AG59" s="210"/>
      <c r="AH59" s="210"/>
      <c r="AI59" s="210"/>
      <c r="AJ59" s="210"/>
      <c r="AK59" s="210"/>
      <c r="AL59" s="210"/>
      <c r="AM59" s="214"/>
      <c r="AN59" s="211" t="str">
        <f>IFERROR(__xludf.DUMMYFUNCTION("""COMPUTED_VALUE"""),"247083")</f>
        <v>247083</v>
      </c>
      <c r="AO59" s="210" t="str">
        <f t="shared" si="10"/>
        <v>GSD</v>
      </c>
      <c r="AP59" s="210" t="str">
        <f t="shared" si="11"/>
        <v>GSD</v>
      </c>
      <c r="AQ59" s="210" t="str">
        <f t="shared" si="12"/>
        <v>LBU</v>
      </c>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c r="BU59" s="210"/>
      <c r="BV59" s="210"/>
      <c r="BW59" s="210"/>
      <c r="BX59" s="210"/>
      <c r="BY59" s="210"/>
      <c r="BZ59" s="210"/>
      <c r="CA59" s="210"/>
      <c r="CB59" s="210"/>
      <c r="CC59" s="210"/>
      <c r="CD59" s="210"/>
      <c r="CE59" s="210"/>
      <c r="CF59" s="210"/>
      <c r="CG59" s="210"/>
      <c r="CH59" s="210"/>
      <c r="CI59" s="210"/>
      <c r="CJ59" s="210"/>
      <c r="CK59" s="210"/>
    </row>
    <row r="60">
      <c r="A60" s="222" t="s">
        <v>568</v>
      </c>
      <c r="B60" s="190" t="s">
        <v>569</v>
      </c>
      <c r="C60" s="223" t="s">
        <v>57</v>
      </c>
      <c r="D60" s="223" t="s">
        <v>851</v>
      </c>
      <c r="E60" s="190" t="s">
        <v>21</v>
      </c>
      <c r="F60" s="13" t="s">
        <v>927</v>
      </c>
      <c r="G60" s="13" t="s">
        <v>918</v>
      </c>
      <c r="H60" s="219">
        <f>IFERROR(
  MINIFS(ATTENDANCE_LOG!$F:$F,
         ATTENDANCE_LOG!$A:$A, C60,
         ATTENDANCE_LOG!$B:$B, E60),
"")</f>
        <v>45702.45833</v>
      </c>
      <c r="I60" s="219">
        <f t="shared" si="2"/>
        <v>45702.45833</v>
      </c>
      <c r="J60" s="190">
        <f>IFERROR(VLOOKUP(F60, LEVEL_HELPER!$A:$B, 2, 0), "")</f>
        <v>1</v>
      </c>
      <c r="K60" s="190">
        <f>IFERROR(VLOOKUP(G60, LEVEL_HELPER!$A:$B, 2, 0), "")</f>
        <v>3</v>
      </c>
      <c r="L60" s="220" t="s">
        <v>943</v>
      </c>
      <c r="M60" s="220" t="s">
        <v>923</v>
      </c>
      <c r="N60" s="190">
        <f t="array" ref="N60">IFERROR(
  INDEX($J$2:$J$543,
    MATCH(A60&amp;TEXT(I60,"yyyy-mm-dd"),
          $A$2:$A$543&amp;TEXT($H$2:$H$543,"yyyy-mm-dd"),
          0)),
"")</f>
        <v>1</v>
      </c>
      <c r="O60" s="210">
        <f t="shared" si="3"/>
        <v>5</v>
      </c>
      <c r="P60" s="210">
        <f t="shared" ref="P60:Q60" si="70">IF(N60="",0,IF(N60&lt;=2,1,IF(N60&lt;=4,2,IF(N60&lt;=5.5,3,4))))</f>
        <v>1</v>
      </c>
      <c r="Q60" s="210">
        <f t="shared" si="70"/>
        <v>3</v>
      </c>
      <c r="R60" s="210" t="str">
        <f t="shared" si="5"/>
        <v>Lv1 → Lv3 (multi)</v>
      </c>
      <c r="S60" s="210">
        <f t="shared" si="6"/>
        <v>1</v>
      </c>
      <c r="T60" s="210"/>
      <c r="U60" s="210"/>
      <c r="V60" s="211" t="s">
        <v>466</v>
      </c>
      <c r="W60" s="210" t="str">
        <f t="shared" si="7"/>
        <v>GSD</v>
      </c>
      <c r="X60" s="210" t="str">
        <f t="shared" si="8"/>
        <v>GSD</v>
      </c>
      <c r="Y60" s="210" t="str">
        <f t="shared" si="9"/>
        <v>LBU</v>
      </c>
      <c r="Z60" s="210"/>
      <c r="AA60" s="210"/>
      <c r="AB60" s="210"/>
      <c r="AC60" s="210"/>
      <c r="AD60" s="210"/>
      <c r="AE60" s="210"/>
      <c r="AF60" s="210"/>
      <c r="AG60" s="210"/>
      <c r="AH60" s="210"/>
      <c r="AI60" s="210"/>
      <c r="AJ60" s="210"/>
      <c r="AK60" s="210"/>
      <c r="AL60" s="210"/>
      <c r="AM60" s="214"/>
      <c r="AN60" s="211" t="str">
        <f>IFERROR(__xludf.DUMMYFUNCTION("""COMPUTED_VALUE"""),"247178")</f>
        <v>247178</v>
      </c>
      <c r="AO60" s="210" t="str">
        <f t="shared" si="10"/>
        <v>GSD</v>
      </c>
      <c r="AP60" s="210" t="str">
        <f t="shared" si="11"/>
        <v>GSD</v>
      </c>
      <c r="AQ60" s="210" t="str">
        <f t="shared" si="12"/>
        <v>LBU</v>
      </c>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c r="BU60" s="210"/>
      <c r="BV60" s="210"/>
      <c r="BW60" s="210"/>
      <c r="BX60" s="210"/>
      <c r="BY60" s="210"/>
      <c r="BZ60" s="210"/>
      <c r="CA60" s="210"/>
      <c r="CB60" s="210"/>
      <c r="CC60" s="210"/>
      <c r="CD60" s="210"/>
      <c r="CE60" s="210"/>
      <c r="CF60" s="210"/>
      <c r="CG60" s="210"/>
      <c r="CH60" s="210"/>
      <c r="CI60" s="210"/>
      <c r="CJ60" s="210"/>
      <c r="CK60" s="210"/>
    </row>
    <row r="61">
      <c r="A61" s="222" t="s">
        <v>625</v>
      </c>
      <c r="B61" s="190" t="s">
        <v>626</v>
      </c>
      <c r="C61" s="223" t="s">
        <v>57</v>
      </c>
      <c r="D61" s="223" t="s">
        <v>851</v>
      </c>
      <c r="E61" s="190" t="s">
        <v>21</v>
      </c>
      <c r="F61" s="13" t="s">
        <v>927</v>
      </c>
      <c r="G61" s="13" t="s">
        <v>918</v>
      </c>
      <c r="H61" s="219">
        <f>IFERROR(
  MINIFS(ATTENDANCE_LOG!$F:$F,
         ATTENDANCE_LOG!$A:$A, C61,
         ATTENDANCE_LOG!$B:$B, E61),
"")</f>
        <v>45702.45833</v>
      </c>
      <c r="I61" s="219">
        <f t="shared" si="2"/>
        <v>45702.45833</v>
      </c>
      <c r="J61" s="190">
        <f>IFERROR(VLOOKUP(F61, LEVEL_HELPER!$A:$B, 2, 0), "")</f>
        <v>1</v>
      </c>
      <c r="K61" s="190">
        <f>IFERROR(VLOOKUP(G61, LEVEL_HELPER!$A:$B, 2, 0), "")</f>
        <v>3</v>
      </c>
      <c r="L61" s="220" t="s">
        <v>943</v>
      </c>
      <c r="M61" s="229" t="s">
        <v>922</v>
      </c>
      <c r="N61" s="190">
        <f t="array" ref="N61">IFERROR(
  INDEX($J$2:$J$543,
    MATCH(A61&amp;TEXT(I61,"yyyy-mm-dd"),
          $A$2:$A$543&amp;TEXT($H$2:$H$543,"yyyy-mm-dd"),
          0)),
"")</f>
        <v>1</v>
      </c>
      <c r="O61" s="210">
        <f t="shared" si="3"/>
        <v>3</v>
      </c>
      <c r="P61" s="210">
        <f t="shared" ref="P61:Q61" si="71">IF(N61="",0,IF(N61&lt;=2,1,IF(N61&lt;=4,2,IF(N61&lt;=5.5,3,4))))</f>
        <v>1</v>
      </c>
      <c r="Q61" s="210">
        <f t="shared" si="71"/>
        <v>2</v>
      </c>
      <c r="R61" s="210" t="str">
        <f t="shared" si="5"/>
        <v>Lv1 → Lv2</v>
      </c>
      <c r="S61" s="210">
        <f t="shared" si="6"/>
        <v>1</v>
      </c>
      <c r="T61" s="210"/>
      <c r="U61" s="210"/>
      <c r="V61" s="211" t="s">
        <v>247</v>
      </c>
      <c r="W61" s="210" t="str">
        <f t="shared" si="7"/>
        <v>GSD</v>
      </c>
      <c r="X61" s="210" t="str">
        <f t="shared" si="8"/>
        <v>GSD</v>
      </c>
      <c r="Y61" s="210" t="str">
        <f t="shared" si="9"/>
        <v>LBU</v>
      </c>
      <c r="Z61" s="210"/>
      <c r="AA61" s="210"/>
      <c r="AB61" s="210"/>
      <c r="AC61" s="210"/>
      <c r="AD61" s="210"/>
      <c r="AE61" s="210"/>
      <c r="AF61" s="210"/>
      <c r="AG61" s="210"/>
      <c r="AH61" s="210"/>
      <c r="AI61" s="210"/>
      <c r="AJ61" s="210"/>
      <c r="AK61" s="210"/>
      <c r="AL61" s="210"/>
      <c r="AM61" s="214"/>
      <c r="AN61" s="211" t="str">
        <f>IFERROR(__xludf.DUMMYFUNCTION("""COMPUTED_VALUE"""),"153139")</f>
        <v>153139</v>
      </c>
      <c r="AO61" s="210" t="str">
        <f t="shared" si="10"/>
        <v>BA</v>
      </c>
      <c r="AP61" s="210" t="str">
        <f t="shared" si="11"/>
        <v>BA, BC</v>
      </c>
      <c r="AQ61" s="210" t="str">
        <f t="shared" si="12"/>
        <v>POC</v>
      </c>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c r="BU61" s="210"/>
      <c r="BV61" s="210"/>
      <c r="BW61" s="210"/>
      <c r="BX61" s="210"/>
      <c r="BY61" s="210"/>
      <c r="BZ61" s="210"/>
      <c r="CA61" s="210"/>
      <c r="CB61" s="210"/>
      <c r="CC61" s="210"/>
      <c r="CD61" s="210"/>
      <c r="CE61" s="210"/>
      <c r="CF61" s="210"/>
      <c r="CG61" s="210"/>
      <c r="CH61" s="210"/>
      <c r="CI61" s="210"/>
      <c r="CJ61" s="210"/>
      <c r="CK61" s="210"/>
    </row>
    <row r="62">
      <c r="A62" s="222" t="s">
        <v>675</v>
      </c>
      <c r="B62" s="190" t="s">
        <v>676</v>
      </c>
      <c r="C62" s="223" t="s">
        <v>57</v>
      </c>
      <c r="D62" s="223" t="s">
        <v>851</v>
      </c>
      <c r="E62" s="190" t="s">
        <v>21</v>
      </c>
      <c r="F62" s="13" t="s">
        <v>917</v>
      </c>
      <c r="G62" s="13" t="s">
        <v>918</v>
      </c>
      <c r="H62" s="219">
        <f>IFERROR(
  MINIFS(ATTENDANCE_LOG!$F:$F,
         ATTENDANCE_LOG!$A:$A, C62,
         ATTENDANCE_LOG!$B:$B, E62),
"")</f>
        <v>45702.45833</v>
      </c>
      <c r="I62" s="219">
        <f t="shared" si="2"/>
        <v>45702.45833</v>
      </c>
      <c r="J62" s="190">
        <f>IFERROR(VLOOKUP(F62, LEVEL_HELPER!$A:$B, 2, 0), "")</f>
        <v>2.5</v>
      </c>
      <c r="K62" s="190">
        <f>IFERROR(VLOOKUP(G62, LEVEL_HELPER!$A:$B, 2, 0), "")</f>
        <v>3</v>
      </c>
      <c r="L62" s="220" t="s">
        <v>919</v>
      </c>
      <c r="M62" s="220" t="s">
        <v>924</v>
      </c>
      <c r="N62" s="190">
        <f t="array" ref="N62">IFERROR(
  INDEX($J$2:$J$543,
    MATCH(A62&amp;TEXT(I62,"yyyy-mm-dd"),
          $A$2:$A$543&amp;TEXT($H$2:$H$543,"yyyy-mm-dd"),
          0)),
"")</f>
        <v>2.5</v>
      </c>
      <c r="O62" s="210">
        <f t="shared" si="3"/>
        <v>3</v>
      </c>
      <c r="P62" s="210">
        <f t="shared" ref="P62:Q62" si="72">IF(N62="",0,IF(N62&lt;=2,1,IF(N62&lt;=4,2,IF(N62&lt;=5.5,3,4))))</f>
        <v>2</v>
      </c>
      <c r="Q62" s="210">
        <f t="shared" si="72"/>
        <v>2</v>
      </c>
      <c r="R62" s="210" t="str">
        <f t="shared" si="5"/>
        <v>Progress within level</v>
      </c>
      <c r="S62" s="210">
        <f t="shared" si="6"/>
        <v>1</v>
      </c>
      <c r="T62" s="210"/>
      <c r="U62" s="210"/>
      <c r="V62" s="211" t="s">
        <v>627</v>
      </c>
      <c r="W62" s="210" t="str">
        <f t="shared" si="7"/>
        <v>UI/UX</v>
      </c>
      <c r="X62" s="210" t="str">
        <f t="shared" si="8"/>
        <v>UI/UX, Des</v>
      </c>
      <c r="Y62" s="210" t="str">
        <f t="shared" si="9"/>
        <v>CHORUS</v>
      </c>
      <c r="Z62" s="210"/>
      <c r="AA62" s="210"/>
      <c r="AB62" s="210"/>
      <c r="AC62" s="210"/>
      <c r="AD62" s="210"/>
      <c r="AE62" s="210"/>
      <c r="AF62" s="210"/>
      <c r="AG62" s="210"/>
      <c r="AH62" s="210"/>
      <c r="AI62" s="210"/>
      <c r="AJ62" s="210"/>
      <c r="AK62" s="210"/>
      <c r="AL62" s="210"/>
      <c r="AM62" s="214"/>
      <c r="AN62" s="211" t="str">
        <f>IFERROR(__xludf.DUMMYFUNCTION("""COMPUTED_VALUE"""),"227091")</f>
        <v>227091</v>
      </c>
      <c r="AO62" s="210" t="str">
        <f t="shared" si="10"/>
        <v>GSD</v>
      </c>
      <c r="AP62" s="210" t="str">
        <f t="shared" si="11"/>
        <v>GSD</v>
      </c>
      <c r="AQ62" s="210" t="str">
        <f t="shared" si="12"/>
        <v>POC</v>
      </c>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c r="BU62" s="210"/>
      <c r="BV62" s="210"/>
      <c r="BW62" s="210"/>
      <c r="BX62" s="210"/>
      <c r="BY62" s="210"/>
      <c r="BZ62" s="210"/>
      <c r="CA62" s="210"/>
      <c r="CB62" s="210"/>
      <c r="CC62" s="210"/>
      <c r="CD62" s="210"/>
      <c r="CE62" s="210"/>
      <c r="CF62" s="210"/>
      <c r="CG62" s="210"/>
      <c r="CH62" s="210"/>
      <c r="CI62" s="210"/>
      <c r="CJ62" s="210"/>
      <c r="CK62" s="210"/>
    </row>
    <row r="63">
      <c r="A63" s="216" t="s">
        <v>357</v>
      </c>
      <c r="B63" s="217" t="s">
        <v>358</v>
      </c>
      <c r="C63" s="218" t="s">
        <v>57</v>
      </c>
      <c r="D63" s="218" t="s">
        <v>851</v>
      </c>
      <c r="E63" s="217" t="s">
        <v>22</v>
      </c>
      <c r="F63" s="13" t="s">
        <v>935</v>
      </c>
      <c r="G63" s="190"/>
      <c r="H63" s="219">
        <f>IFERROR(
  MINIFS(ATTENDANCE_LOG!$F:$F,
         ATTENDANCE_LOG!$A:$A, C63,
         ATTENDANCE_LOG!$B:$B, E63),
"")</f>
        <v>45841.58333</v>
      </c>
      <c r="I63" s="219">
        <f t="shared" si="2"/>
        <v>45702.45833</v>
      </c>
      <c r="J63" s="190">
        <f>IFERROR(VLOOKUP(F63, LEVEL_HELPER!$A:$B, 2, 0), "")</f>
        <v>3.5</v>
      </c>
      <c r="K63" s="190" t="str">
        <f>IFERROR(VLOOKUP(G63, LEVEL_HELPER!$A:$B, 2, 0), "")</f>
        <v/>
      </c>
      <c r="L63" s="220" t="s">
        <v>943</v>
      </c>
      <c r="M63" s="229" t="s">
        <v>922</v>
      </c>
      <c r="N63" s="190">
        <f t="array" ref="N63">IFERROR(
  INDEX($J$2:$J$543,
    MATCH(A63&amp;TEXT(I63,"yyyy-mm-dd"),
          $A$2:$A$543&amp;TEXT($H$2:$H$543,"yyyy-mm-dd"),
          0)),
"")</f>
        <v>2.5</v>
      </c>
      <c r="O63" s="210">
        <f t="shared" si="3"/>
        <v>3.5</v>
      </c>
      <c r="P63" s="210">
        <f t="shared" ref="P63:Q63" si="73">IF(N63="",0,IF(N63&lt;=2,1,IF(N63&lt;=4,2,IF(N63&lt;=5.5,3,4))))</f>
        <v>2</v>
      </c>
      <c r="Q63" s="210">
        <f t="shared" si="73"/>
        <v>2</v>
      </c>
      <c r="R63" s="210" t="str">
        <f t="shared" si="5"/>
        <v>Progress within level</v>
      </c>
      <c r="S63" s="210">
        <f t="shared" si="6"/>
        <v>0</v>
      </c>
      <c r="T63" s="210"/>
      <c r="U63" s="210"/>
      <c r="V63" s="211" t="s">
        <v>216</v>
      </c>
      <c r="W63" s="210" t="str">
        <f t="shared" si="7"/>
        <v>DEV</v>
      </c>
      <c r="X63" s="210" t="str">
        <f t="shared" si="8"/>
        <v>DEV, TA</v>
      </c>
      <c r="Y63" s="210" t="str">
        <f t="shared" si="9"/>
        <v>CHORUS</v>
      </c>
      <c r="Z63" s="210"/>
      <c r="AA63" s="210"/>
      <c r="AB63" s="210"/>
      <c r="AC63" s="210"/>
      <c r="AD63" s="210"/>
      <c r="AE63" s="210"/>
      <c r="AF63" s="210"/>
      <c r="AG63" s="210"/>
      <c r="AH63" s="210"/>
      <c r="AI63" s="210"/>
      <c r="AJ63" s="210"/>
      <c r="AK63" s="210"/>
      <c r="AL63" s="210"/>
      <c r="AM63" s="214"/>
      <c r="AN63" s="211" t="str">
        <f>IFERROR(__xludf.DUMMYFUNCTION("""COMPUTED_VALUE"""),"193523")</f>
        <v>193523</v>
      </c>
      <c r="AO63" s="210" t="str">
        <f t="shared" si="10"/>
        <v>DEV</v>
      </c>
      <c r="AP63" s="210" t="str">
        <f t="shared" si="11"/>
        <v>DEV, TA</v>
      </c>
      <c r="AQ63" s="210" t="str">
        <f t="shared" si="12"/>
        <v>TBU</v>
      </c>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c r="BU63" s="210"/>
      <c r="BV63" s="210"/>
      <c r="BW63" s="210"/>
      <c r="BX63" s="210"/>
      <c r="BY63" s="210"/>
      <c r="BZ63" s="210"/>
      <c r="CA63" s="210"/>
      <c r="CB63" s="210"/>
      <c r="CC63" s="210"/>
      <c r="CD63" s="210"/>
      <c r="CE63" s="210"/>
      <c r="CF63" s="210"/>
      <c r="CG63" s="210"/>
      <c r="CH63" s="210"/>
      <c r="CI63" s="210"/>
      <c r="CJ63" s="210"/>
      <c r="CK63" s="210"/>
    </row>
    <row r="64">
      <c r="A64" s="222" t="s">
        <v>167</v>
      </c>
      <c r="B64" s="190" t="s">
        <v>168</v>
      </c>
      <c r="C64" s="223" t="s">
        <v>57</v>
      </c>
      <c r="D64" s="223" t="s">
        <v>851</v>
      </c>
      <c r="E64" s="190" t="s">
        <v>22</v>
      </c>
      <c r="F64" s="190"/>
      <c r="G64" s="190"/>
      <c r="H64" s="219">
        <f>IFERROR(
  MINIFS(ATTENDANCE_LOG!$F:$F,
         ATTENDANCE_LOG!$A:$A, C64,
         ATTENDANCE_LOG!$B:$B, E64),
"")</f>
        <v>45841.58333</v>
      </c>
      <c r="I64" s="219">
        <f t="shared" si="2"/>
        <v>45638.41667</v>
      </c>
      <c r="J64" s="190" t="str">
        <f>IFERROR(VLOOKUP(F64, LEVEL_HELPER!$A:$B, 2, 0), "")</f>
        <v/>
      </c>
      <c r="K64" s="190" t="str">
        <f>IFERROR(VLOOKUP(G64, LEVEL_HELPER!$A:$B, 2, 0), "")</f>
        <v/>
      </c>
      <c r="L64" s="220" t="s">
        <v>919</v>
      </c>
      <c r="M64" s="220" t="s">
        <v>923</v>
      </c>
      <c r="N64" s="190">
        <f t="array" ref="N64">IFERROR(
  INDEX($J$2:$J$543,
    MATCH(A64&amp;TEXT(I64,"yyyy-mm-dd"),
          $A$2:$A$543&amp;TEXT($H$2:$H$543,"yyyy-mm-dd"),
          0)),
"")</f>
        <v>1</v>
      </c>
      <c r="O64" s="210">
        <f t="shared" si="3"/>
        <v>1.5</v>
      </c>
      <c r="P64" s="210">
        <f t="shared" ref="P64:Q64" si="74">IF(N64="",0,IF(N64&lt;=2,1,IF(N64&lt;=4,2,IF(N64&lt;=5.5,3,4))))</f>
        <v>1</v>
      </c>
      <c r="Q64" s="210">
        <f t="shared" si="74"/>
        <v>1</v>
      </c>
      <c r="R64" s="210" t="str">
        <f t="shared" si="5"/>
        <v>Progress within level</v>
      </c>
      <c r="S64" s="210">
        <f t="shared" si="6"/>
        <v>1</v>
      </c>
      <c r="T64" s="210"/>
      <c r="U64" s="210"/>
      <c r="V64" s="211" t="s">
        <v>232</v>
      </c>
      <c r="W64" s="210" t="str">
        <f t="shared" si="7"/>
        <v>DEV</v>
      </c>
      <c r="X64" s="210" t="str">
        <f t="shared" si="8"/>
        <v>DEV, TA</v>
      </c>
      <c r="Y64" s="210" t="str">
        <f t="shared" si="9"/>
        <v>CHORUS</v>
      </c>
      <c r="Z64" s="210"/>
      <c r="AA64" s="210"/>
      <c r="AB64" s="210"/>
      <c r="AC64" s="210"/>
      <c r="AD64" s="210"/>
      <c r="AE64" s="210"/>
      <c r="AF64" s="210"/>
      <c r="AG64" s="210"/>
      <c r="AH64" s="210"/>
      <c r="AI64" s="210"/>
      <c r="AJ64" s="210"/>
      <c r="AK64" s="210"/>
      <c r="AL64" s="210"/>
      <c r="AM64" s="214"/>
      <c r="AN64" s="211" t="str">
        <f>IFERROR(__xludf.DUMMYFUNCTION("""COMPUTED_VALUE"""),"247119")</f>
        <v>247119</v>
      </c>
      <c r="AO64" s="210" t="str">
        <f t="shared" si="10"/>
        <v>DEV</v>
      </c>
      <c r="AP64" s="210" t="str">
        <f t="shared" si="11"/>
        <v>DEV, TA</v>
      </c>
      <c r="AQ64" s="210" t="str">
        <f t="shared" si="12"/>
        <v>MOC</v>
      </c>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c r="BU64" s="210"/>
      <c r="BV64" s="210"/>
      <c r="BW64" s="210"/>
      <c r="BX64" s="210"/>
      <c r="BY64" s="210"/>
      <c r="BZ64" s="210"/>
      <c r="CA64" s="210"/>
      <c r="CB64" s="210"/>
      <c r="CC64" s="210"/>
      <c r="CD64" s="210"/>
      <c r="CE64" s="210"/>
      <c r="CF64" s="210"/>
      <c r="CG64" s="210"/>
      <c r="CH64" s="210"/>
      <c r="CI64" s="210"/>
      <c r="CJ64" s="210"/>
      <c r="CK64" s="210"/>
    </row>
    <row r="65">
      <c r="A65" s="222" t="s">
        <v>184</v>
      </c>
      <c r="B65" s="190" t="s">
        <v>185</v>
      </c>
      <c r="C65" s="223" t="s">
        <v>57</v>
      </c>
      <c r="D65" s="223" t="s">
        <v>851</v>
      </c>
      <c r="E65" s="190" t="s">
        <v>22</v>
      </c>
      <c r="F65" s="190"/>
      <c r="G65" s="190"/>
      <c r="H65" s="219">
        <f>IFERROR(
  MINIFS(ATTENDANCE_LOG!$F:$F,
         ATTENDANCE_LOG!$A:$A, C65,
         ATTENDANCE_LOG!$B:$B, E65),
"")</f>
        <v>45841.58333</v>
      </c>
      <c r="I65" s="219">
        <f t="shared" si="2"/>
        <v>45638.41667</v>
      </c>
      <c r="J65" s="190" t="str">
        <f>IFERROR(VLOOKUP(F65, LEVEL_HELPER!$A:$B, 2, 0), "")</f>
        <v/>
      </c>
      <c r="K65" s="190" t="str">
        <f>IFERROR(VLOOKUP(G65, LEVEL_HELPER!$A:$B, 2, 0), "")</f>
        <v/>
      </c>
      <c r="L65" s="220" t="s">
        <v>943</v>
      </c>
      <c r="M65" s="220" t="s">
        <v>926</v>
      </c>
      <c r="N65" s="190">
        <f t="array" ref="N65">IFERROR(
  INDEX($J$2:$J$543,
    MATCH(A65&amp;TEXT(I65,"yyyy-mm-dd"),
          $A$2:$A$543&amp;TEXT($H$2:$H$543,"yyyy-mm-dd"),
          0)),
"")</f>
        <v>1</v>
      </c>
      <c r="O65" s="210">
        <f t="shared" si="3"/>
        <v>3.5</v>
      </c>
      <c r="P65" s="210">
        <f t="shared" ref="P65:Q65" si="75">IF(N65="",0,IF(N65&lt;=2,1,IF(N65&lt;=4,2,IF(N65&lt;=5.5,3,4))))</f>
        <v>1</v>
      </c>
      <c r="Q65" s="210">
        <f t="shared" si="75"/>
        <v>2</v>
      </c>
      <c r="R65" s="210" t="str">
        <f t="shared" si="5"/>
        <v>Lv1 → Lv2</v>
      </c>
      <c r="S65" s="210">
        <f t="shared" si="6"/>
        <v>1</v>
      </c>
      <c r="T65" s="210"/>
      <c r="U65" s="210"/>
      <c r="V65" s="211" t="s">
        <v>321</v>
      </c>
      <c r="W65" s="210" t="str">
        <f t="shared" si="7"/>
        <v>QC</v>
      </c>
      <c r="X65" s="210" t="str">
        <f t="shared" si="8"/>
        <v>QC</v>
      </c>
      <c r="Y65" s="210" t="str">
        <f t="shared" si="9"/>
        <v>CHORUS</v>
      </c>
      <c r="Z65" s="210"/>
      <c r="AA65" s="210"/>
      <c r="AB65" s="210"/>
      <c r="AC65" s="210"/>
      <c r="AD65" s="210"/>
      <c r="AE65" s="210"/>
      <c r="AF65" s="210"/>
      <c r="AG65" s="210"/>
      <c r="AH65" s="210"/>
      <c r="AI65" s="210"/>
      <c r="AJ65" s="210"/>
      <c r="AK65" s="210"/>
      <c r="AL65" s="210"/>
      <c r="AM65" s="214"/>
      <c r="AN65" s="211" t="str">
        <f>IFERROR(__xludf.DUMMYFUNCTION("""COMPUTED_VALUE"""),"247147")</f>
        <v>247147</v>
      </c>
      <c r="AO65" s="210" t="str">
        <f t="shared" si="10"/>
        <v>GSD</v>
      </c>
      <c r="AP65" s="210" t="str">
        <f t="shared" si="11"/>
        <v>GSD</v>
      </c>
      <c r="AQ65" s="210" t="str">
        <f t="shared" si="12"/>
        <v>POC</v>
      </c>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c r="BU65" s="210"/>
      <c r="BV65" s="210"/>
      <c r="BW65" s="210"/>
      <c r="BX65" s="210"/>
      <c r="BY65" s="210"/>
      <c r="BZ65" s="210"/>
      <c r="CA65" s="210"/>
      <c r="CB65" s="210"/>
      <c r="CC65" s="210"/>
      <c r="CD65" s="210"/>
      <c r="CE65" s="210"/>
      <c r="CF65" s="210"/>
      <c r="CG65" s="210"/>
      <c r="CH65" s="210"/>
      <c r="CI65" s="210"/>
      <c r="CJ65" s="210"/>
      <c r="CK65" s="210"/>
    </row>
    <row r="66">
      <c r="A66" s="222" t="s">
        <v>188</v>
      </c>
      <c r="B66" s="190" t="s">
        <v>189</v>
      </c>
      <c r="C66" s="223" t="s">
        <v>57</v>
      </c>
      <c r="D66" s="223" t="s">
        <v>851</v>
      </c>
      <c r="E66" s="190" t="s">
        <v>22</v>
      </c>
      <c r="F66" s="190"/>
      <c r="G66" s="190"/>
      <c r="H66" s="219">
        <f>IFERROR(
  MINIFS(ATTENDANCE_LOG!$F:$F,
         ATTENDANCE_LOG!$A:$A, C66,
         ATTENDANCE_LOG!$B:$B, E66),
"")</f>
        <v>45841.58333</v>
      </c>
      <c r="I66" s="219">
        <f t="shared" si="2"/>
        <v>45638.41667</v>
      </c>
      <c r="J66" s="190" t="str">
        <f>IFERROR(VLOOKUP(F66, LEVEL_HELPER!$A:$B, 2, 0), "")</f>
        <v/>
      </c>
      <c r="K66" s="190" t="str">
        <f>IFERROR(VLOOKUP(G66, LEVEL_HELPER!$A:$B, 2, 0), "")</f>
        <v/>
      </c>
      <c r="L66" s="220" t="s">
        <v>919</v>
      </c>
      <c r="M66" s="220" t="s">
        <v>923</v>
      </c>
      <c r="N66" s="190">
        <f t="array" ref="N66">IFERROR(
  INDEX($J$2:$J$543,
    MATCH(A66&amp;TEXT(I66,"yyyy-mm-dd"),
          $A$2:$A$543&amp;TEXT($H$2:$H$543,"yyyy-mm-dd"),
          0)),
"")</f>
        <v>1</v>
      </c>
      <c r="O66" s="210">
        <f t="shared" si="3"/>
        <v>3.5</v>
      </c>
      <c r="P66" s="210">
        <f t="shared" ref="P66:Q66" si="76">IF(N66="",0,IF(N66&lt;=2,1,IF(N66&lt;=4,2,IF(N66&lt;=5.5,3,4))))</f>
        <v>1</v>
      </c>
      <c r="Q66" s="210">
        <f t="shared" si="76"/>
        <v>2</v>
      </c>
      <c r="R66" s="210" t="str">
        <f t="shared" si="5"/>
        <v>Lv1 → Lv2</v>
      </c>
      <c r="S66" s="210">
        <f t="shared" si="6"/>
        <v>1</v>
      </c>
      <c r="T66" s="210"/>
      <c r="U66" s="210"/>
      <c r="V66" s="211" t="s">
        <v>689</v>
      </c>
      <c r="W66" s="210" t="str">
        <f t="shared" si="7"/>
        <v>TA</v>
      </c>
      <c r="X66" s="210" t="str">
        <f t="shared" si="8"/>
        <v>DEV, TA</v>
      </c>
      <c r="Y66" s="210" t="str">
        <f t="shared" si="9"/>
        <v>CHORUS</v>
      </c>
      <c r="Z66" s="210"/>
      <c r="AA66" s="210"/>
      <c r="AB66" s="210"/>
      <c r="AC66" s="210"/>
      <c r="AD66" s="210"/>
      <c r="AE66" s="210"/>
      <c r="AF66" s="210"/>
      <c r="AG66" s="210"/>
      <c r="AH66" s="210"/>
      <c r="AI66" s="210"/>
      <c r="AJ66" s="210"/>
      <c r="AK66" s="210"/>
      <c r="AL66" s="210"/>
      <c r="AM66" s="214"/>
      <c r="AN66" s="211" t="str">
        <f>IFERROR(__xludf.DUMMYFUNCTION("""COMPUTED_VALUE"""),"203701")</f>
        <v>203701</v>
      </c>
      <c r="AO66" s="210" t="str">
        <f t="shared" si="10"/>
        <v>DEV</v>
      </c>
      <c r="AP66" s="210" t="str">
        <f t="shared" si="11"/>
        <v>DEV, TA</v>
      </c>
      <c r="AQ66" s="210" t="str">
        <f t="shared" si="12"/>
        <v>MOC</v>
      </c>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c r="BU66" s="210"/>
      <c r="BV66" s="210"/>
      <c r="BW66" s="210"/>
      <c r="BX66" s="210"/>
      <c r="BY66" s="210"/>
      <c r="BZ66" s="210"/>
      <c r="CA66" s="210"/>
      <c r="CB66" s="210"/>
      <c r="CC66" s="210"/>
      <c r="CD66" s="210"/>
      <c r="CE66" s="210"/>
      <c r="CF66" s="210"/>
      <c r="CG66" s="210"/>
      <c r="CH66" s="210"/>
      <c r="CI66" s="210"/>
      <c r="CJ66" s="210"/>
      <c r="CK66" s="210"/>
    </row>
    <row r="67">
      <c r="A67" s="222" t="s">
        <v>230</v>
      </c>
      <c r="B67" s="190" t="s">
        <v>231</v>
      </c>
      <c r="C67" s="223" t="s">
        <v>57</v>
      </c>
      <c r="D67" s="223" t="s">
        <v>851</v>
      </c>
      <c r="E67" s="190" t="s">
        <v>22</v>
      </c>
      <c r="F67" s="13" t="s">
        <v>918</v>
      </c>
      <c r="G67" s="190"/>
      <c r="H67" s="219">
        <f>IFERROR(
  MINIFS(ATTENDANCE_LOG!$F:$F,
         ATTENDANCE_LOG!$A:$A, C67,
         ATTENDANCE_LOG!$B:$B, E67),
"")</f>
        <v>45841.58333</v>
      </c>
      <c r="I67" s="219">
        <f t="shared" si="2"/>
        <v>45702.45833</v>
      </c>
      <c r="J67" s="190">
        <f>IFERROR(VLOOKUP(F67, LEVEL_HELPER!$A:$B, 2, 0), "")</f>
        <v>3</v>
      </c>
      <c r="K67" s="190" t="str">
        <f>IFERROR(VLOOKUP(G67, LEVEL_HELPER!$A:$B, 2, 0), "")</f>
        <v/>
      </c>
      <c r="L67" s="220" t="s">
        <v>943</v>
      </c>
      <c r="M67" s="229" t="s">
        <v>922</v>
      </c>
      <c r="N67" s="190">
        <f t="array" ref="N67">IFERROR(
  INDEX($J$2:$J$543,
    MATCH(A67&amp;TEXT(I67,"yyyy-mm-dd"),
          $A$2:$A$543&amp;TEXT($H$2:$H$543,"yyyy-mm-dd"),
          0)),
"")</f>
        <v>1</v>
      </c>
      <c r="O67" s="210">
        <f t="shared" si="3"/>
        <v>3</v>
      </c>
      <c r="P67" s="210">
        <f t="shared" ref="P67:Q67" si="77">IF(N67="",0,IF(N67&lt;=2,1,IF(N67&lt;=4,2,IF(N67&lt;=5.5,3,4))))</f>
        <v>1</v>
      </c>
      <c r="Q67" s="210">
        <f t="shared" si="77"/>
        <v>2</v>
      </c>
      <c r="R67" s="210" t="str">
        <f t="shared" si="5"/>
        <v>Lv1 → Lv2</v>
      </c>
      <c r="S67" s="210">
        <f t="shared" si="6"/>
        <v>0</v>
      </c>
      <c r="T67" s="210"/>
      <c r="U67" s="210"/>
      <c r="V67" s="211" t="s">
        <v>504</v>
      </c>
      <c r="W67" s="210" t="str">
        <f t="shared" si="7"/>
        <v>DEV</v>
      </c>
      <c r="X67" s="210" t="str">
        <f t="shared" si="8"/>
        <v>DEV, TA</v>
      </c>
      <c r="Y67" s="210" t="str">
        <f t="shared" si="9"/>
        <v>CHORUS</v>
      </c>
      <c r="Z67" s="210"/>
      <c r="AA67" s="210"/>
      <c r="AB67" s="210"/>
      <c r="AC67" s="210"/>
      <c r="AD67" s="210"/>
      <c r="AE67" s="210"/>
      <c r="AF67" s="210"/>
      <c r="AG67" s="210"/>
      <c r="AH67" s="210"/>
      <c r="AI67" s="210"/>
      <c r="AJ67" s="210"/>
      <c r="AK67" s="210"/>
      <c r="AL67" s="210"/>
      <c r="AM67" s="214"/>
      <c r="AN67" s="211" t="str">
        <f>IFERROR(__xludf.DUMMYFUNCTION("""COMPUTED_VALUE"""),"247065")</f>
        <v>247065</v>
      </c>
      <c r="AO67" s="210" t="str">
        <f t="shared" si="10"/>
        <v>DEV</v>
      </c>
      <c r="AP67" s="210" t="str">
        <f t="shared" si="11"/>
        <v>DEV, TA</v>
      </c>
      <c r="AQ67" s="210" t="str">
        <f t="shared" si="12"/>
        <v>ONC</v>
      </c>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c r="BU67" s="210"/>
      <c r="BV67" s="210"/>
      <c r="BW67" s="210"/>
      <c r="BX67" s="210"/>
      <c r="BY67" s="210"/>
      <c r="BZ67" s="210"/>
      <c r="CA67" s="210"/>
      <c r="CB67" s="210"/>
      <c r="CC67" s="210"/>
      <c r="CD67" s="210"/>
      <c r="CE67" s="210"/>
      <c r="CF67" s="210"/>
      <c r="CG67" s="210"/>
      <c r="CH67" s="210"/>
      <c r="CI67" s="210"/>
      <c r="CJ67" s="210"/>
      <c r="CK67" s="210"/>
    </row>
    <row r="68">
      <c r="A68" s="222" t="s">
        <v>568</v>
      </c>
      <c r="B68" s="190" t="s">
        <v>569</v>
      </c>
      <c r="C68" s="223" t="s">
        <v>57</v>
      </c>
      <c r="D68" s="223" t="s">
        <v>851</v>
      </c>
      <c r="E68" s="190" t="s">
        <v>22</v>
      </c>
      <c r="F68" s="13" t="s">
        <v>918</v>
      </c>
      <c r="G68" s="13" t="s">
        <v>941</v>
      </c>
      <c r="H68" s="219">
        <f>IFERROR(
  MINIFS(ATTENDANCE_LOG!$F:$F,
         ATTENDANCE_LOG!$A:$A, C68,
         ATTENDANCE_LOG!$B:$B, E68),
"")</f>
        <v>45841.58333</v>
      </c>
      <c r="I68" s="219">
        <f t="shared" si="2"/>
        <v>45702.45833</v>
      </c>
      <c r="J68" s="190">
        <f>IFERROR(VLOOKUP(F68, LEVEL_HELPER!$A:$B, 2, 0), "")</f>
        <v>3</v>
      </c>
      <c r="K68" s="190">
        <f>IFERROR(VLOOKUP(G68, LEVEL_HELPER!$A:$B, 2, 0), "")</f>
        <v>5</v>
      </c>
      <c r="L68" s="220" t="s">
        <v>943</v>
      </c>
      <c r="M68" s="220" t="s">
        <v>923</v>
      </c>
      <c r="N68" s="190">
        <f t="array" ref="N68">IFERROR(
  INDEX($J$2:$J$543,
    MATCH(A68&amp;TEXT(I68,"yyyy-mm-dd"),
          $A$2:$A$543&amp;TEXT($H$2:$H$543,"yyyy-mm-dd"),
          0)),
"")</f>
        <v>1</v>
      </c>
      <c r="O68" s="210">
        <f t="shared" si="3"/>
        <v>5</v>
      </c>
      <c r="P68" s="210">
        <f t="shared" ref="P68:Q68" si="78">IF(N68="",0,IF(N68&lt;=2,1,IF(N68&lt;=4,2,IF(N68&lt;=5.5,3,4))))</f>
        <v>1</v>
      </c>
      <c r="Q68" s="210">
        <f t="shared" si="78"/>
        <v>3</v>
      </c>
      <c r="R68" s="210" t="str">
        <f t="shared" si="5"/>
        <v>Lv1 → Lv3 (multi)</v>
      </c>
      <c r="S68" s="210">
        <f t="shared" si="6"/>
        <v>0</v>
      </c>
      <c r="T68" s="210"/>
      <c r="U68" s="210"/>
      <c r="V68" s="211" t="s">
        <v>140</v>
      </c>
      <c r="W68" s="210" t="str">
        <f t="shared" si="7"/>
        <v>DEV</v>
      </c>
      <c r="X68" s="210" t="str">
        <f t="shared" si="8"/>
        <v>DEV, TA</v>
      </c>
      <c r="Y68" s="210" t="str">
        <f t="shared" si="9"/>
        <v>CHORUS</v>
      </c>
      <c r="Z68" s="210"/>
      <c r="AA68" s="210"/>
      <c r="AB68" s="210"/>
      <c r="AC68" s="210"/>
      <c r="AD68" s="210"/>
      <c r="AE68" s="210"/>
      <c r="AF68" s="210"/>
      <c r="AG68" s="210"/>
      <c r="AH68" s="210"/>
      <c r="AI68" s="210"/>
      <c r="AJ68" s="210"/>
      <c r="AK68" s="210"/>
      <c r="AL68" s="210"/>
      <c r="AM68" s="214"/>
      <c r="AN68" s="211" t="str">
        <f>IFERROR(__xludf.DUMMYFUNCTION("""COMPUTED_VALUE"""),"193496")</f>
        <v>193496</v>
      </c>
      <c r="AO68" s="210" t="str">
        <f t="shared" si="10"/>
        <v>GSD</v>
      </c>
      <c r="AP68" s="210" t="str">
        <f t="shared" si="11"/>
        <v>GSD</v>
      </c>
      <c r="AQ68" s="210" t="str">
        <f t="shared" si="12"/>
        <v>POC</v>
      </c>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c r="BU68" s="210"/>
      <c r="BV68" s="210"/>
      <c r="BW68" s="210"/>
      <c r="BX68" s="210"/>
      <c r="BY68" s="210"/>
      <c r="BZ68" s="210"/>
      <c r="CA68" s="210"/>
      <c r="CB68" s="210"/>
      <c r="CC68" s="210"/>
      <c r="CD68" s="210"/>
      <c r="CE68" s="210"/>
      <c r="CF68" s="210"/>
      <c r="CG68" s="210"/>
      <c r="CH68" s="210"/>
      <c r="CI68" s="210"/>
      <c r="CJ68" s="210"/>
      <c r="CK68" s="210"/>
    </row>
    <row r="69">
      <c r="A69" s="222" t="s">
        <v>625</v>
      </c>
      <c r="B69" s="190" t="s">
        <v>626</v>
      </c>
      <c r="C69" s="223" t="s">
        <v>57</v>
      </c>
      <c r="D69" s="223" t="s">
        <v>851</v>
      </c>
      <c r="E69" s="190" t="s">
        <v>22</v>
      </c>
      <c r="F69" s="13" t="s">
        <v>918</v>
      </c>
      <c r="G69" s="190"/>
      <c r="H69" s="219">
        <f>IFERROR(
  MINIFS(ATTENDANCE_LOG!$F:$F,
         ATTENDANCE_LOG!$A:$A, C69,
         ATTENDANCE_LOG!$B:$B, E69),
"")</f>
        <v>45841.58333</v>
      </c>
      <c r="I69" s="219">
        <f t="shared" si="2"/>
        <v>45702.45833</v>
      </c>
      <c r="J69" s="190">
        <f>IFERROR(VLOOKUP(F69, LEVEL_HELPER!$A:$B, 2, 0), "")</f>
        <v>3</v>
      </c>
      <c r="K69" s="190" t="str">
        <f>IFERROR(VLOOKUP(G69, LEVEL_HELPER!$A:$B, 2, 0), "")</f>
        <v/>
      </c>
      <c r="L69" s="220" t="s">
        <v>943</v>
      </c>
      <c r="M69" s="229" t="s">
        <v>922</v>
      </c>
      <c r="N69" s="190">
        <f t="array" ref="N69">IFERROR(
  INDEX($J$2:$J$543,
    MATCH(A69&amp;TEXT(I69,"yyyy-mm-dd"),
          $A$2:$A$543&amp;TEXT($H$2:$H$543,"yyyy-mm-dd"),
          0)),
"")</f>
        <v>1</v>
      </c>
      <c r="O69" s="210">
        <f t="shared" si="3"/>
        <v>3</v>
      </c>
      <c r="P69" s="210">
        <f t="shared" ref="P69:Q69" si="79">IF(N69="",0,IF(N69&lt;=2,1,IF(N69&lt;=4,2,IF(N69&lt;=5.5,3,4))))</f>
        <v>1</v>
      </c>
      <c r="Q69" s="210">
        <f t="shared" si="79"/>
        <v>2</v>
      </c>
      <c r="R69" s="210" t="str">
        <f t="shared" si="5"/>
        <v>Lv1 → Lv2</v>
      </c>
      <c r="S69" s="210">
        <f t="shared" si="6"/>
        <v>0</v>
      </c>
      <c r="T69" s="210"/>
      <c r="U69" s="210"/>
      <c r="V69" s="211" t="s">
        <v>340</v>
      </c>
      <c r="W69" s="210" t="str">
        <f t="shared" si="7"/>
        <v>DEV</v>
      </c>
      <c r="X69" s="210" t="str">
        <f t="shared" si="8"/>
        <v>DEV, TA</v>
      </c>
      <c r="Y69" s="210" t="str">
        <f t="shared" si="9"/>
        <v>CHORUS</v>
      </c>
      <c r="Z69" s="210"/>
      <c r="AA69" s="210"/>
      <c r="AB69" s="210"/>
      <c r="AC69" s="210"/>
      <c r="AD69" s="210"/>
      <c r="AE69" s="210"/>
      <c r="AF69" s="210"/>
      <c r="AG69" s="210"/>
      <c r="AH69" s="210"/>
      <c r="AI69" s="210"/>
      <c r="AJ69" s="210"/>
      <c r="AK69" s="210"/>
      <c r="AL69" s="210"/>
      <c r="AM69" s="214"/>
      <c r="AN69" s="211" t="str">
        <f>IFERROR(__xludf.DUMMYFUNCTION("""COMPUTED_VALUE"""),"183427")</f>
        <v>183427</v>
      </c>
      <c r="AO69" s="210" t="str">
        <f t="shared" si="10"/>
        <v>DEV</v>
      </c>
      <c r="AP69" s="210" t="str">
        <f t="shared" si="11"/>
        <v>DEV, TA</v>
      </c>
      <c r="AQ69" s="210" t="str">
        <f t="shared" si="12"/>
        <v>ONC</v>
      </c>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c r="BU69" s="210"/>
      <c r="BV69" s="210"/>
      <c r="BW69" s="210"/>
      <c r="BX69" s="210"/>
      <c r="BY69" s="210"/>
      <c r="BZ69" s="210"/>
      <c r="CA69" s="210"/>
      <c r="CB69" s="210"/>
      <c r="CC69" s="210"/>
      <c r="CD69" s="210"/>
      <c r="CE69" s="210"/>
      <c r="CF69" s="210"/>
      <c r="CG69" s="210"/>
      <c r="CH69" s="210"/>
      <c r="CI69" s="210"/>
      <c r="CJ69" s="210"/>
      <c r="CK69" s="210"/>
    </row>
    <row r="70">
      <c r="A70" s="222" t="s">
        <v>697</v>
      </c>
      <c r="B70" s="190" t="s">
        <v>698</v>
      </c>
      <c r="C70" s="223" t="s">
        <v>57</v>
      </c>
      <c r="D70" s="223" t="s">
        <v>851</v>
      </c>
      <c r="E70" s="190" t="s">
        <v>22</v>
      </c>
      <c r="F70" s="190"/>
      <c r="G70" s="190"/>
      <c r="H70" s="219">
        <f>IFERROR(
  MINIFS(ATTENDANCE_LOG!$F:$F,
         ATTENDANCE_LOG!$A:$A, C70,
         ATTENDANCE_LOG!$B:$B, E70),
"")</f>
        <v>45841.58333</v>
      </c>
      <c r="I70" s="219">
        <f t="shared" si="2"/>
        <v>45638.41667</v>
      </c>
      <c r="J70" s="190" t="str">
        <f>IFERROR(VLOOKUP(F70, LEVEL_HELPER!$A:$B, 2, 0), "")</f>
        <v/>
      </c>
      <c r="K70" s="190" t="str">
        <f>IFERROR(VLOOKUP(G70, LEVEL_HELPER!$A:$B, 2, 0), "")</f>
        <v/>
      </c>
      <c r="L70" s="220" t="s">
        <v>943</v>
      </c>
      <c r="M70" s="220" t="s">
        <v>926</v>
      </c>
      <c r="N70" s="190">
        <f t="array" ref="N70">IFERROR(
  INDEX($J$2:$J$543,
    MATCH(A70&amp;TEXT(I70,"yyyy-mm-dd"),
          $A$2:$A$543&amp;TEXT($H$2:$H$543,"yyyy-mm-dd"),
          0)),
"")</f>
        <v>1</v>
      </c>
      <c r="O70" s="210">
        <f t="shared" si="3"/>
        <v>3</v>
      </c>
      <c r="P70" s="210">
        <f t="shared" ref="P70:Q70" si="80">IF(N70="",0,IF(N70&lt;=2,1,IF(N70&lt;=4,2,IF(N70&lt;=5.5,3,4))))</f>
        <v>1</v>
      </c>
      <c r="Q70" s="210">
        <f t="shared" si="80"/>
        <v>2</v>
      </c>
      <c r="R70" s="210" t="str">
        <f t="shared" si="5"/>
        <v>Lv1 → Lv2</v>
      </c>
      <c r="S70" s="210">
        <f t="shared" si="6"/>
        <v>1</v>
      </c>
      <c r="T70" s="210"/>
      <c r="U70" s="210"/>
      <c r="V70" s="211" t="s">
        <v>395</v>
      </c>
      <c r="W70" s="210" t="str">
        <f t="shared" si="7"/>
        <v>QC</v>
      </c>
      <c r="X70" s="210" t="str">
        <f t="shared" si="8"/>
        <v>QC</v>
      </c>
      <c r="Y70" s="210" t="str">
        <f t="shared" si="9"/>
        <v>CHORUS</v>
      </c>
      <c r="Z70" s="210"/>
      <c r="AA70" s="210"/>
      <c r="AB70" s="210"/>
      <c r="AC70" s="210"/>
      <c r="AD70" s="210"/>
      <c r="AE70" s="210"/>
      <c r="AF70" s="210"/>
      <c r="AG70" s="210"/>
      <c r="AH70" s="210"/>
      <c r="AI70" s="210"/>
      <c r="AJ70" s="210"/>
      <c r="AK70" s="210"/>
      <c r="AL70" s="210"/>
      <c r="AM70" s="214"/>
      <c r="AN70" s="211" t="str">
        <f>IFERROR(__xludf.DUMMYFUNCTION("""COMPUTED_VALUE"""),"193490")</f>
        <v>193490</v>
      </c>
      <c r="AO70" s="210" t="str">
        <f t="shared" si="10"/>
        <v>GSD</v>
      </c>
      <c r="AP70" s="210" t="str">
        <f t="shared" si="11"/>
        <v>GSD</v>
      </c>
      <c r="AQ70" s="210" t="str">
        <f t="shared" si="12"/>
        <v>POC</v>
      </c>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c r="BU70" s="210"/>
      <c r="BV70" s="210"/>
      <c r="BW70" s="210"/>
      <c r="BX70" s="210"/>
      <c r="BY70" s="210"/>
      <c r="BZ70" s="210"/>
      <c r="CA70" s="210"/>
      <c r="CB70" s="210"/>
      <c r="CC70" s="210"/>
      <c r="CD70" s="210"/>
      <c r="CE70" s="210"/>
      <c r="CF70" s="210"/>
      <c r="CG70" s="210"/>
      <c r="CH70" s="210"/>
      <c r="CI70" s="210"/>
      <c r="CJ70" s="210"/>
      <c r="CK70" s="210"/>
    </row>
    <row r="71">
      <c r="A71" s="216" t="s">
        <v>603</v>
      </c>
      <c r="B71" s="217" t="s">
        <v>604</v>
      </c>
      <c r="C71" s="218" t="s">
        <v>58</v>
      </c>
      <c r="D71" s="218" t="s">
        <v>852</v>
      </c>
      <c r="E71" s="217" t="s">
        <v>24</v>
      </c>
      <c r="F71" s="190"/>
      <c r="G71" s="190"/>
      <c r="H71" s="219">
        <f>IFERROR(
  MINIFS(ATTENDANCE_LOG!$F:$F,
         ATTENDANCE_LOG!$A:$A, C71,
         ATTENDANCE_LOG!$B:$B, E71),
"")</f>
        <v>0</v>
      </c>
      <c r="I71" s="219">
        <f t="shared" si="2"/>
        <v>45772.58333</v>
      </c>
      <c r="J71" s="190" t="str">
        <f>IFERROR(VLOOKUP(F71, LEVEL_HELPER!$A:$B, 2, 0), "")</f>
        <v/>
      </c>
      <c r="K71" s="190" t="str">
        <f>IFERROR(VLOOKUP(G71, LEVEL_HELPER!$A:$B, 2, 0), "")</f>
        <v/>
      </c>
      <c r="L71" s="220" t="s">
        <v>943</v>
      </c>
      <c r="M71" s="220" t="s">
        <v>926</v>
      </c>
      <c r="N71" s="190">
        <f t="array" ref="N71">IFERROR(
  INDEX($J$2:$J$543,
    MATCH(A71&amp;TEXT(I71,"yyyy-mm-dd"),
          $A$2:$A$543&amp;TEXT($H$2:$H$543,"yyyy-mm-dd"),
          0)),
"")</f>
        <v>1</v>
      </c>
      <c r="O71" s="210">
        <f t="shared" si="3"/>
        <v>5</v>
      </c>
      <c r="P71" s="210">
        <f t="shared" ref="P71:Q71" si="81">IF(N71="",0,IF(N71&lt;=2,1,IF(N71&lt;=4,2,IF(N71&lt;=5.5,3,4))))</f>
        <v>1</v>
      </c>
      <c r="Q71" s="210">
        <f t="shared" si="81"/>
        <v>3</v>
      </c>
      <c r="R71" s="210" t="str">
        <f t="shared" si="5"/>
        <v>Lv1 → Lv3 (multi)</v>
      </c>
      <c r="S71" s="210">
        <f t="shared" si="6"/>
        <v>1</v>
      </c>
      <c r="T71" s="210"/>
      <c r="U71" s="210"/>
      <c r="V71" s="211" t="s">
        <v>583</v>
      </c>
      <c r="W71" s="210" t="str">
        <f t="shared" si="7"/>
        <v>DEV</v>
      </c>
      <c r="X71" s="210" t="str">
        <f t="shared" si="8"/>
        <v>DEV, TA</v>
      </c>
      <c r="Y71" s="210" t="str">
        <f t="shared" si="9"/>
        <v>CHORUS</v>
      </c>
      <c r="Z71" s="210"/>
      <c r="AA71" s="210"/>
      <c r="AB71" s="210"/>
      <c r="AC71" s="210"/>
      <c r="AD71" s="210"/>
      <c r="AE71" s="210"/>
      <c r="AF71" s="210"/>
      <c r="AG71" s="210"/>
      <c r="AH71" s="210"/>
      <c r="AI71" s="210"/>
      <c r="AJ71" s="210"/>
      <c r="AK71" s="210"/>
      <c r="AL71" s="210"/>
      <c r="AM71" s="214"/>
      <c r="AN71" s="211" t="str">
        <f>IFERROR(__xludf.DUMMYFUNCTION("""COMPUTED_VALUE"""),"173268")</f>
        <v>173268</v>
      </c>
      <c r="AO71" s="210" t="str">
        <f t="shared" si="10"/>
        <v>GSD</v>
      </c>
      <c r="AP71" s="210" t="str">
        <f t="shared" si="11"/>
        <v>GSD</v>
      </c>
      <c r="AQ71" s="210" t="str">
        <f t="shared" si="12"/>
        <v>TBU</v>
      </c>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c r="BU71" s="210"/>
      <c r="BV71" s="210"/>
      <c r="BW71" s="210"/>
      <c r="BX71" s="210"/>
      <c r="BY71" s="210"/>
      <c r="BZ71" s="210"/>
      <c r="CA71" s="210"/>
      <c r="CB71" s="210"/>
      <c r="CC71" s="210"/>
      <c r="CD71" s="210"/>
      <c r="CE71" s="210"/>
      <c r="CF71" s="210"/>
      <c r="CG71" s="210"/>
      <c r="CH71" s="210"/>
      <c r="CI71" s="210"/>
      <c r="CJ71" s="210"/>
      <c r="CK71" s="210"/>
    </row>
    <row r="72">
      <c r="A72" s="222" t="s">
        <v>239</v>
      </c>
      <c r="B72" s="190" t="s">
        <v>240</v>
      </c>
      <c r="C72" s="223" t="s">
        <v>58</v>
      </c>
      <c r="D72" s="223" t="s">
        <v>852</v>
      </c>
      <c r="E72" s="190" t="s">
        <v>24</v>
      </c>
      <c r="F72" s="190"/>
      <c r="G72" s="190"/>
      <c r="H72" s="219">
        <f>IFERROR(
  MINIFS(ATTENDANCE_LOG!$F:$F,
         ATTENDANCE_LOG!$A:$A, C72,
         ATTENDANCE_LOG!$B:$B, E72),
"")</f>
        <v>0</v>
      </c>
      <c r="I72" s="219">
        <f t="shared" si="2"/>
        <v>45772.58333</v>
      </c>
      <c r="J72" s="190" t="str">
        <f>IFERROR(VLOOKUP(F72, LEVEL_HELPER!$A:$B, 2, 0), "")</f>
        <v/>
      </c>
      <c r="K72" s="190" t="str">
        <f>IFERROR(VLOOKUP(G72, LEVEL_HELPER!$A:$B, 2, 0), "")</f>
        <v/>
      </c>
      <c r="L72" s="220" t="s">
        <v>943</v>
      </c>
      <c r="M72" s="220" t="s">
        <v>926</v>
      </c>
      <c r="N72" s="190">
        <f t="array" ref="N72">IFERROR(
  INDEX($J$2:$J$543,
    MATCH(A72&amp;TEXT(I72,"yyyy-mm-dd"),
          $A$2:$A$543&amp;TEXT($H$2:$H$543,"yyyy-mm-dd"),
          0)),
"")</f>
        <v>1</v>
      </c>
      <c r="O72" s="210">
        <f t="shared" si="3"/>
        <v>5</v>
      </c>
      <c r="P72" s="210">
        <f t="shared" ref="P72:Q72" si="82">IF(N72="",0,IF(N72&lt;=2,1,IF(N72&lt;=4,2,IF(N72&lt;=5.5,3,4))))</f>
        <v>1</v>
      </c>
      <c r="Q72" s="210">
        <f t="shared" si="82"/>
        <v>3</v>
      </c>
      <c r="R72" s="210" t="str">
        <f t="shared" si="5"/>
        <v>Lv1 → Lv3 (multi)</v>
      </c>
      <c r="S72" s="210">
        <f t="shared" si="6"/>
        <v>1</v>
      </c>
      <c r="T72" s="210"/>
      <c r="U72" s="210"/>
      <c r="V72" s="211" t="s">
        <v>307</v>
      </c>
      <c r="W72" s="210" t="str">
        <f t="shared" si="7"/>
        <v>DEV</v>
      </c>
      <c r="X72" s="210" t="str">
        <f t="shared" si="8"/>
        <v>DEV, TA</v>
      </c>
      <c r="Y72" s="210" t="str">
        <f t="shared" si="9"/>
        <v>CHORUS</v>
      </c>
      <c r="Z72" s="210"/>
      <c r="AA72" s="210"/>
      <c r="AB72" s="210"/>
      <c r="AC72" s="210"/>
      <c r="AD72" s="210"/>
      <c r="AE72" s="210"/>
      <c r="AF72" s="210"/>
      <c r="AG72" s="210"/>
      <c r="AH72" s="210"/>
      <c r="AI72" s="210"/>
      <c r="AJ72" s="210"/>
      <c r="AK72" s="210"/>
      <c r="AL72" s="210"/>
      <c r="AM72" s="214"/>
      <c r="AN72" s="211" t="str">
        <f>IFERROR(__xludf.DUMMYFUNCTION("""COMPUTED_VALUE"""),"183379")</f>
        <v>183379</v>
      </c>
      <c r="AO72" s="210" t="str">
        <f t="shared" si="10"/>
        <v>DEV</v>
      </c>
      <c r="AP72" s="210" t="str">
        <f t="shared" si="11"/>
        <v>DEV, TA</v>
      </c>
      <c r="AQ72" s="210" t="str">
        <f t="shared" si="12"/>
        <v>ONC</v>
      </c>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c r="BU72" s="210"/>
      <c r="BV72" s="210"/>
      <c r="BW72" s="210"/>
      <c r="BX72" s="210"/>
      <c r="BY72" s="210"/>
      <c r="BZ72" s="210"/>
      <c r="CA72" s="210"/>
      <c r="CB72" s="210"/>
      <c r="CC72" s="210"/>
      <c r="CD72" s="210"/>
      <c r="CE72" s="210"/>
      <c r="CF72" s="210"/>
      <c r="CG72" s="210"/>
      <c r="CH72" s="210"/>
      <c r="CI72" s="210"/>
      <c r="CJ72" s="210"/>
      <c r="CK72" s="210"/>
    </row>
    <row r="73">
      <c r="A73" s="222" t="s">
        <v>263</v>
      </c>
      <c r="B73" s="190" t="s">
        <v>264</v>
      </c>
      <c r="C73" s="223" t="s">
        <v>58</v>
      </c>
      <c r="D73" s="223" t="s">
        <v>852</v>
      </c>
      <c r="E73" s="190" t="s">
        <v>24</v>
      </c>
      <c r="F73" s="190"/>
      <c r="G73" s="190"/>
      <c r="H73" s="219">
        <f>IFERROR(
  MINIFS(ATTENDANCE_LOG!$F:$F,
         ATTENDANCE_LOG!$A:$A, C73,
         ATTENDANCE_LOG!$B:$B, E73),
"")</f>
        <v>0</v>
      </c>
      <c r="I73" s="219">
        <f t="shared" si="2"/>
        <v>45772.58333</v>
      </c>
      <c r="J73" s="190" t="str">
        <f>IFERROR(VLOOKUP(F73, LEVEL_HELPER!$A:$B, 2, 0), "")</f>
        <v/>
      </c>
      <c r="K73" s="190" t="str">
        <f>IFERROR(VLOOKUP(G73, LEVEL_HELPER!$A:$B, 2, 0), "")</f>
        <v/>
      </c>
      <c r="L73" s="220" t="s">
        <v>919</v>
      </c>
      <c r="M73" s="220" t="s">
        <v>926</v>
      </c>
      <c r="N73" s="190">
        <f t="array" ref="N73">IFERROR(
  INDEX($J$2:$J$543,
    MATCH(A73&amp;TEXT(I73,"yyyy-mm-dd"),
          $A$2:$A$543&amp;TEXT($H$2:$H$543,"yyyy-mm-dd"),
          0)),
"")</f>
        <v>1</v>
      </c>
      <c r="O73" s="210">
        <f t="shared" si="3"/>
        <v>4.5</v>
      </c>
      <c r="P73" s="210">
        <f t="shared" ref="P73:Q73" si="83">IF(N73="",0,IF(N73&lt;=2,1,IF(N73&lt;=4,2,IF(N73&lt;=5.5,3,4))))</f>
        <v>1</v>
      </c>
      <c r="Q73" s="210">
        <f t="shared" si="83"/>
        <v>3</v>
      </c>
      <c r="R73" s="210" t="str">
        <f t="shared" si="5"/>
        <v>Lv1 → Lv3 (multi)</v>
      </c>
      <c r="S73" s="210">
        <f t="shared" si="6"/>
        <v>1</v>
      </c>
      <c r="T73" s="210"/>
      <c r="U73" s="210"/>
      <c r="V73" s="211" t="s">
        <v>190</v>
      </c>
      <c r="W73" s="210" t="str">
        <f t="shared" si="7"/>
        <v>TA</v>
      </c>
      <c r="X73" s="210" t="str">
        <f t="shared" si="8"/>
        <v>DEV, TA</v>
      </c>
      <c r="Y73" s="210" t="str">
        <f t="shared" si="9"/>
        <v>CHORUS</v>
      </c>
      <c r="Z73" s="210"/>
      <c r="AA73" s="210"/>
      <c r="AB73" s="210"/>
      <c r="AC73" s="210"/>
      <c r="AD73" s="210"/>
      <c r="AE73" s="210"/>
      <c r="AF73" s="210"/>
      <c r="AG73" s="210"/>
      <c r="AH73" s="210"/>
      <c r="AI73" s="210"/>
      <c r="AJ73" s="210"/>
      <c r="AK73" s="210"/>
      <c r="AL73" s="210"/>
      <c r="AM73" s="214"/>
      <c r="AN73" s="211" t="str">
        <f>IFERROR(__xludf.DUMMYFUNCTION("""COMPUTED_VALUE"""),"227101")</f>
        <v>227101</v>
      </c>
      <c r="AO73" s="210" t="str">
        <f t="shared" si="10"/>
        <v>DEV</v>
      </c>
      <c r="AP73" s="210" t="str">
        <f t="shared" si="11"/>
        <v>DEV, TA</v>
      </c>
      <c r="AQ73" s="210" t="str">
        <f t="shared" si="12"/>
        <v>ONC</v>
      </c>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c r="BU73" s="210"/>
      <c r="BV73" s="210"/>
      <c r="BW73" s="210"/>
      <c r="BX73" s="210"/>
      <c r="BY73" s="210"/>
      <c r="BZ73" s="210"/>
      <c r="CA73" s="210"/>
      <c r="CB73" s="210"/>
      <c r="CC73" s="210"/>
      <c r="CD73" s="210"/>
      <c r="CE73" s="210"/>
      <c r="CF73" s="210"/>
      <c r="CG73" s="210"/>
      <c r="CH73" s="210"/>
      <c r="CI73" s="210"/>
      <c r="CJ73" s="210"/>
      <c r="CK73" s="210"/>
    </row>
    <row r="74">
      <c r="A74" s="222" t="s">
        <v>383</v>
      </c>
      <c r="B74" s="190" t="s">
        <v>384</v>
      </c>
      <c r="C74" s="223" t="s">
        <v>58</v>
      </c>
      <c r="D74" s="223" t="s">
        <v>852</v>
      </c>
      <c r="E74" s="190" t="s">
        <v>24</v>
      </c>
      <c r="F74" s="190"/>
      <c r="G74" s="190"/>
      <c r="H74" s="219">
        <f>IFERROR(
  MINIFS(ATTENDANCE_LOG!$F:$F,
         ATTENDANCE_LOG!$A:$A, C74,
         ATTENDANCE_LOG!$B:$B, E74),
"")</f>
        <v>0</v>
      </c>
      <c r="I74" s="219">
        <f t="shared" si="2"/>
        <v>45813.45833</v>
      </c>
      <c r="J74" s="190" t="str">
        <f>IFERROR(VLOOKUP(F74, LEVEL_HELPER!$A:$B, 2, 0), "")</f>
        <v/>
      </c>
      <c r="K74" s="190" t="str">
        <f>IFERROR(VLOOKUP(G74, LEVEL_HELPER!$A:$B, 2, 0), "")</f>
        <v/>
      </c>
      <c r="L74" s="220" t="s">
        <v>942</v>
      </c>
      <c r="M74" s="220" t="s">
        <v>926</v>
      </c>
      <c r="N74" s="190">
        <f t="array" ref="N74">IFERROR(
  INDEX($J$2:$J$543,
    MATCH(A74&amp;TEXT(I74,"yyyy-mm-dd"),
          $A$2:$A$543&amp;TEXT($H$2:$H$543,"yyyy-mm-dd"),
          0)),
"")</f>
        <v>4.5</v>
      </c>
      <c r="O74" s="210">
        <f t="shared" si="3"/>
        <v>5.5</v>
      </c>
      <c r="P74" s="210">
        <f t="shared" ref="P74:Q74" si="84">IF(N74="",0,IF(N74&lt;=2,1,IF(N74&lt;=4,2,IF(N74&lt;=5.5,3,4))))</f>
        <v>3</v>
      </c>
      <c r="Q74" s="210">
        <f t="shared" si="84"/>
        <v>3</v>
      </c>
      <c r="R74" s="210" t="str">
        <f t="shared" si="5"/>
        <v>Progress within level</v>
      </c>
      <c r="S74" s="210">
        <f t="shared" si="6"/>
        <v>1</v>
      </c>
      <c r="T74" s="210"/>
      <c r="U74" s="210"/>
      <c r="V74" s="211" t="s">
        <v>198</v>
      </c>
      <c r="W74" s="210" t="str">
        <f t="shared" si="7"/>
        <v>DEV</v>
      </c>
      <c r="X74" s="210" t="str">
        <f t="shared" si="8"/>
        <v>DEV, TA</v>
      </c>
      <c r="Y74" s="210" t="str">
        <f t="shared" si="9"/>
        <v>TBU</v>
      </c>
      <c r="Z74" s="210"/>
      <c r="AA74" s="210"/>
      <c r="AB74" s="210"/>
      <c r="AC74" s="210"/>
      <c r="AD74" s="210"/>
      <c r="AE74" s="210"/>
      <c r="AF74" s="210"/>
      <c r="AG74" s="210"/>
      <c r="AH74" s="210"/>
      <c r="AI74" s="210"/>
      <c r="AJ74" s="210"/>
      <c r="AK74" s="210"/>
      <c r="AL74" s="210"/>
      <c r="AM74" s="214"/>
      <c r="AN74" s="211" t="str">
        <f>IFERROR(__xludf.DUMMYFUNCTION("""COMPUTED_VALUE"""),"193495")</f>
        <v>193495</v>
      </c>
      <c r="AO74" s="210" t="str">
        <f t="shared" si="10"/>
        <v>DEV</v>
      </c>
      <c r="AP74" s="210" t="str">
        <f t="shared" si="11"/>
        <v>DEV, TA</v>
      </c>
      <c r="AQ74" s="210" t="str">
        <f t="shared" si="12"/>
        <v>CHORUS</v>
      </c>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c r="BU74" s="210"/>
      <c r="BV74" s="210"/>
      <c r="BW74" s="210"/>
      <c r="BX74" s="210"/>
      <c r="BY74" s="210"/>
      <c r="BZ74" s="210"/>
      <c r="CA74" s="210"/>
      <c r="CB74" s="210"/>
      <c r="CC74" s="210"/>
      <c r="CD74" s="210"/>
      <c r="CE74" s="210"/>
      <c r="CF74" s="210"/>
      <c r="CG74" s="210"/>
      <c r="CH74" s="210"/>
      <c r="CI74" s="210"/>
      <c r="CJ74" s="210"/>
      <c r="CK74" s="210"/>
    </row>
    <row r="75">
      <c r="A75" s="222" t="s">
        <v>528</v>
      </c>
      <c r="B75" s="190" t="s">
        <v>529</v>
      </c>
      <c r="C75" s="223" t="s">
        <v>58</v>
      </c>
      <c r="D75" s="223" t="s">
        <v>852</v>
      </c>
      <c r="E75" s="190" t="s">
        <v>24</v>
      </c>
      <c r="F75" s="190"/>
      <c r="G75" s="190"/>
      <c r="H75" s="219">
        <f>IFERROR(
  MINIFS(ATTENDANCE_LOG!$F:$F,
         ATTENDANCE_LOG!$A:$A, C75,
         ATTENDANCE_LOG!$B:$B, E75),
"")</f>
        <v>0</v>
      </c>
      <c r="I75" s="219">
        <f t="shared" si="2"/>
        <v>45772.58333</v>
      </c>
      <c r="J75" s="190" t="str">
        <f>IFERROR(VLOOKUP(F75, LEVEL_HELPER!$A:$B, 2, 0), "")</f>
        <v/>
      </c>
      <c r="K75" s="190" t="str">
        <f>IFERROR(VLOOKUP(G75, LEVEL_HELPER!$A:$B, 2, 0), "")</f>
        <v/>
      </c>
      <c r="L75" s="220" t="s">
        <v>943</v>
      </c>
      <c r="M75" s="220" t="s">
        <v>926</v>
      </c>
      <c r="N75" s="190">
        <f t="array" ref="N75">IFERROR(
  INDEX($J$2:$J$543,
    MATCH(A75&amp;TEXT(I75,"yyyy-mm-dd"),
          $A$2:$A$543&amp;TEXT($H$2:$H$543,"yyyy-mm-dd"),
          0)),
"")</f>
        <v>1</v>
      </c>
      <c r="O75" s="210">
        <f t="shared" si="3"/>
        <v>5</v>
      </c>
      <c r="P75" s="210">
        <f t="shared" ref="P75:Q75" si="85">IF(N75="",0,IF(N75&lt;=2,1,IF(N75&lt;=4,2,IF(N75&lt;=5.5,3,4))))</f>
        <v>1</v>
      </c>
      <c r="Q75" s="210">
        <f t="shared" si="85"/>
        <v>3</v>
      </c>
      <c r="R75" s="210" t="str">
        <f t="shared" si="5"/>
        <v>Lv1 → Lv3 (multi)</v>
      </c>
      <c r="S75" s="210">
        <f t="shared" si="6"/>
        <v>1</v>
      </c>
      <c r="T75" s="210"/>
      <c r="U75" s="210"/>
      <c r="V75" s="211" t="s">
        <v>237</v>
      </c>
      <c r="W75" s="210" t="str">
        <f t="shared" si="7"/>
        <v>QC</v>
      </c>
      <c r="X75" s="210" t="str">
        <f t="shared" si="8"/>
        <v>QC</v>
      </c>
      <c r="Y75" s="210" t="str">
        <f t="shared" si="9"/>
        <v>CHORUS</v>
      </c>
      <c r="Z75" s="210"/>
      <c r="AA75" s="210"/>
      <c r="AB75" s="210"/>
      <c r="AC75" s="210"/>
      <c r="AD75" s="210"/>
      <c r="AE75" s="210"/>
      <c r="AF75" s="210"/>
      <c r="AG75" s="210"/>
      <c r="AH75" s="210"/>
      <c r="AI75" s="210"/>
      <c r="AJ75" s="210"/>
      <c r="AK75" s="210"/>
      <c r="AL75" s="210"/>
      <c r="AM75" s="214"/>
      <c r="AN75" s="211" t="str">
        <f>IFERROR(__xludf.DUMMYFUNCTION("""COMPUTED_VALUE"""),"247262")</f>
        <v>247262</v>
      </c>
      <c r="AO75" s="210" t="str">
        <f t="shared" si="10"/>
        <v>GSD</v>
      </c>
      <c r="AP75" s="210" t="str">
        <f t="shared" si="11"/>
        <v>GSD</v>
      </c>
      <c r="AQ75" s="210" t="str">
        <f t="shared" si="12"/>
        <v>MOC</v>
      </c>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c r="BU75" s="210"/>
      <c r="BV75" s="210"/>
      <c r="BW75" s="210"/>
      <c r="BX75" s="210"/>
      <c r="BY75" s="210"/>
      <c r="BZ75" s="210"/>
      <c r="CA75" s="210"/>
      <c r="CB75" s="210"/>
      <c r="CC75" s="210"/>
      <c r="CD75" s="210"/>
      <c r="CE75" s="210"/>
      <c r="CF75" s="210"/>
      <c r="CG75" s="210"/>
      <c r="CH75" s="210"/>
      <c r="CI75" s="210"/>
      <c r="CJ75" s="210"/>
      <c r="CK75" s="210"/>
    </row>
    <row r="76">
      <c r="A76" s="222" t="s">
        <v>665</v>
      </c>
      <c r="B76" s="190" t="s">
        <v>666</v>
      </c>
      <c r="C76" s="223" t="s">
        <v>58</v>
      </c>
      <c r="D76" s="223" t="s">
        <v>852</v>
      </c>
      <c r="E76" s="190" t="s">
        <v>24</v>
      </c>
      <c r="F76" s="190"/>
      <c r="G76" s="190"/>
      <c r="H76" s="219">
        <f>IFERROR(
  MINIFS(ATTENDANCE_LOG!$F:$F,
         ATTENDANCE_LOG!$A:$A, C76,
         ATTENDANCE_LOG!$B:$B, E76),
"")</f>
        <v>0</v>
      </c>
      <c r="I76" s="219">
        <f t="shared" si="2"/>
        <v>45772.58333</v>
      </c>
      <c r="J76" s="190" t="str">
        <f>IFERROR(VLOOKUP(F76, LEVEL_HELPER!$A:$B, 2, 0), "")</f>
        <v/>
      </c>
      <c r="K76" s="190" t="str">
        <f>IFERROR(VLOOKUP(G76, LEVEL_HELPER!$A:$B, 2, 0), "")</f>
        <v/>
      </c>
      <c r="L76" s="220" t="s">
        <v>943</v>
      </c>
      <c r="M76" s="220" t="s">
        <v>926</v>
      </c>
      <c r="N76" s="190">
        <f t="array" ref="N76">IFERROR(
  INDEX($J$2:$J$543,
    MATCH(A76&amp;TEXT(I76,"yyyy-mm-dd"),
          $A$2:$A$543&amp;TEXT($H$2:$H$543,"yyyy-mm-dd"),
          0)),
"")</f>
        <v>1</v>
      </c>
      <c r="O76" s="210">
        <f t="shared" si="3"/>
        <v>5</v>
      </c>
      <c r="P76" s="210">
        <f t="shared" ref="P76:Q76" si="86">IF(N76="",0,IF(N76&lt;=2,1,IF(N76&lt;=4,2,IF(N76&lt;=5.5,3,4))))</f>
        <v>1</v>
      </c>
      <c r="Q76" s="210">
        <f t="shared" si="86"/>
        <v>3</v>
      </c>
      <c r="R76" s="210" t="str">
        <f t="shared" si="5"/>
        <v>Lv1 → Lv3 (multi)</v>
      </c>
      <c r="S76" s="210">
        <f t="shared" si="6"/>
        <v>1</v>
      </c>
      <c r="T76" s="210"/>
      <c r="U76" s="210"/>
      <c r="V76" s="211" t="s">
        <v>249</v>
      </c>
      <c r="W76" s="210" t="str">
        <f t="shared" si="7"/>
        <v>DEV</v>
      </c>
      <c r="X76" s="210" t="str">
        <f t="shared" si="8"/>
        <v>DEV, TA</v>
      </c>
      <c r="Y76" s="210" t="str">
        <f t="shared" si="9"/>
        <v>CHORUS</v>
      </c>
      <c r="Z76" s="210"/>
      <c r="AA76" s="210"/>
      <c r="AB76" s="210"/>
      <c r="AC76" s="210"/>
      <c r="AD76" s="210"/>
      <c r="AE76" s="210"/>
      <c r="AF76" s="210"/>
      <c r="AG76" s="210"/>
      <c r="AH76" s="210"/>
      <c r="AI76" s="210"/>
      <c r="AJ76" s="210"/>
      <c r="AK76" s="210"/>
      <c r="AL76" s="210"/>
      <c r="AM76" s="214"/>
      <c r="AN76" s="211" t="str">
        <f>IFERROR(__xludf.DUMMYFUNCTION("""COMPUTED_VALUE"""),"193516")</f>
        <v>193516</v>
      </c>
      <c r="AO76" s="210" t="str">
        <f t="shared" si="10"/>
        <v>DEV</v>
      </c>
      <c r="AP76" s="210" t="str">
        <f t="shared" si="11"/>
        <v>DEV, TA</v>
      </c>
      <c r="AQ76" s="210" t="str">
        <f t="shared" si="12"/>
        <v>ONC</v>
      </c>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c r="BU76" s="210"/>
      <c r="BV76" s="210"/>
      <c r="BW76" s="210"/>
      <c r="BX76" s="210"/>
      <c r="BY76" s="210"/>
      <c r="BZ76" s="210"/>
      <c r="CA76" s="210"/>
      <c r="CB76" s="210"/>
      <c r="CC76" s="210"/>
      <c r="CD76" s="210"/>
      <c r="CE76" s="210"/>
      <c r="CF76" s="210"/>
      <c r="CG76" s="210"/>
      <c r="CH76" s="210"/>
      <c r="CI76" s="210"/>
      <c r="CJ76" s="210"/>
      <c r="CK76" s="210"/>
    </row>
    <row r="77">
      <c r="A77" s="216" t="s">
        <v>603</v>
      </c>
      <c r="B77" s="217" t="s">
        <v>604</v>
      </c>
      <c r="C77" s="218" t="s">
        <v>58</v>
      </c>
      <c r="D77" s="218" t="s">
        <v>852</v>
      </c>
      <c r="E77" s="217" t="s">
        <v>21</v>
      </c>
      <c r="F77" s="13" t="s">
        <v>927</v>
      </c>
      <c r="G77" s="13" t="s">
        <v>918</v>
      </c>
      <c r="H77" s="219">
        <f>IFERROR(
  MINIFS(ATTENDANCE_LOG!$F:$F,
         ATTENDANCE_LOG!$A:$A, C77,
         ATTENDANCE_LOG!$B:$B, E77),
"")</f>
        <v>45772.58333</v>
      </c>
      <c r="I77" s="219">
        <f t="shared" si="2"/>
        <v>45772.58333</v>
      </c>
      <c r="J77" s="190">
        <f>IFERROR(VLOOKUP(F77, LEVEL_HELPER!$A:$B, 2, 0), "")</f>
        <v>1</v>
      </c>
      <c r="K77" s="190">
        <f>IFERROR(VLOOKUP(G77, LEVEL_HELPER!$A:$B, 2, 0), "")</f>
        <v>3</v>
      </c>
      <c r="L77" s="220" t="s">
        <v>943</v>
      </c>
      <c r="M77" s="220" t="s">
        <v>926</v>
      </c>
      <c r="N77" s="190">
        <f t="array" ref="N77">IFERROR(
  INDEX($J$2:$J$543,
    MATCH(A77&amp;TEXT(I77,"yyyy-mm-dd"),
          $A$2:$A$543&amp;TEXT($H$2:$H$543,"yyyy-mm-dd"),
          0)),
"")</f>
        <v>1</v>
      </c>
      <c r="O77" s="210">
        <f t="shared" si="3"/>
        <v>5</v>
      </c>
      <c r="P77" s="210">
        <f t="shared" ref="P77:Q77" si="87">IF(N77="",0,IF(N77&lt;=2,1,IF(N77&lt;=4,2,IF(N77&lt;=5.5,3,4))))</f>
        <v>1</v>
      </c>
      <c r="Q77" s="210">
        <f t="shared" si="87"/>
        <v>3</v>
      </c>
      <c r="R77" s="210" t="str">
        <f t="shared" si="5"/>
        <v>Lv1 → Lv3 (multi)</v>
      </c>
      <c r="S77" s="210">
        <f t="shared" si="6"/>
        <v>0</v>
      </c>
      <c r="T77" s="210"/>
      <c r="U77" s="210"/>
      <c r="V77" s="211" t="s">
        <v>376</v>
      </c>
      <c r="W77" s="210" t="str">
        <f t="shared" si="7"/>
        <v>QC</v>
      </c>
      <c r="X77" s="210" t="str">
        <f t="shared" si="8"/>
        <v>QC</v>
      </c>
      <c r="Y77" s="210" t="str">
        <f t="shared" si="9"/>
        <v>CHORUS</v>
      </c>
      <c r="Z77" s="210"/>
      <c r="AA77" s="210"/>
      <c r="AB77" s="210"/>
      <c r="AC77" s="210"/>
      <c r="AD77" s="210"/>
      <c r="AE77" s="210"/>
      <c r="AF77" s="210"/>
      <c r="AG77" s="210"/>
      <c r="AH77" s="210"/>
      <c r="AI77" s="210"/>
      <c r="AJ77" s="210"/>
      <c r="AK77" s="210"/>
      <c r="AL77" s="210"/>
      <c r="AM77" s="214"/>
      <c r="AN77" s="211" t="str">
        <f>IFERROR(__xludf.DUMMYFUNCTION("""COMPUTED_VALUE"""),"193526")</f>
        <v>193526</v>
      </c>
      <c r="AO77" s="210" t="str">
        <f t="shared" si="10"/>
        <v>DEV</v>
      </c>
      <c r="AP77" s="210" t="str">
        <f t="shared" si="11"/>
        <v>DEV, TA</v>
      </c>
      <c r="AQ77" s="210" t="str">
        <f t="shared" si="12"/>
        <v>TBU</v>
      </c>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c r="BU77" s="210"/>
      <c r="BV77" s="210"/>
      <c r="BW77" s="210"/>
      <c r="BX77" s="210"/>
      <c r="BY77" s="210"/>
      <c r="BZ77" s="210"/>
      <c r="CA77" s="210"/>
      <c r="CB77" s="210"/>
      <c r="CC77" s="210"/>
      <c r="CD77" s="210"/>
      <c r="CE77" s="210"/>
      <c r="CF77" s="210"/>
      <c r="CG77" s="210"/>
      <c r="CH77" s="210"/>
      <c r="CI77" s="210"/>
      <c r="CJ77" s="210"/>
      <c r="CK77" s="210"/>
    </row>
    <row r="78">
      <c r="A78" s="222" t="s">
        <v>239</v>
      </c>
      <c r="B78" s="190" t="s">
        <v>240</v>
      </c>
      <c r="C78" s="223" t="s">
        <v>58</v>
      </c>
      <c r="D78" s="223" t="s">
        <v>852</v>
      </c>
      <c r="E78" s="190" t="s">
        <v>21</v>
      </c>
      <c r="F78" s="13" t="s">
        <v>927</v>
      </c>
      <c r="G78" s="13" t="s">
        <v>929</v>
      </c>
      <c r="H78" s="219">
        <f>IFERROR(
  MINIFS(ATTENDANCE_LOG!$F:$F,
         ATTENDANCE_LOG!$A:$A, C78,
         ATTENDANCE_LOG!$B:$B, E78),
"")</f>
        <v>45772.58333</v>
      </c>
      <c r="I78" s="219">
        <f t="shared" si="2"/>
        <v>45772.58333</v>
      </c>
      <c r="J78" s="190">
        <f>IFERROR(VLOOKUP(F78, LEVEL_HELPER!$A:$B, 2, 0), "")</f>
        <v>1</v>
      </c>
      <c r="K78" s="190">
        <f>IFERROR(VLOOKUP(G78, LEVEL_HELPER!$A:$B, 2, 0), "")</f>
        <v>1.5</v>
      </c>
      <c r="L78" s="220" t="s">
        <v>943</v>
      </c>
      <c r="M78" s="220" t="s">
        <v>926</v>
      </c>
      <c r="N78" s="190">
        <f t="array" ref="N78">IFERROR(
  INDEX($J$2:$J$543,
    MATCH(A78&amp;TEXT(I78,"yyyy-mm-dd"),
          $A$2:$A$543&amp;TEXT($H$2:$H$543,"yyyy-mm-dd"),
          0)),
"")</f>
        <v>1</v>
      </c>
      <c r="O78" s="210">
        <f t="shared" si="3"/>
        <v>5</v>
      </c>
      <c r="P78" s="210">
        <f t="shared" ref="P78:Q78" si="88">IF(N78="",0,IF(N78&lt;=2,1,IF(N78&lt;=4,2,IF(N78&lt;=5.5,3,4))))</f>
        <v>1</v>
      </c>
      <c r="Q78" s="210">
        <f t="shared" si="88"/>
        <v>3</v>
      </c>
      <c r="R78" s="210" t="str">
        <f t="shared" si="5"/>
        <v>Lv1 → Lv3 (multi)</v>
      </c>
      <c r="S78" s="210">
        <f t="shared" si="6"/>
        <v>0</v>
      </c>
      <c r="T78" s="210"/>
      <c r="U78" s="210"/>
      <c r="V78" s="211" t="s">
        <v>387</v>
      </c>
      <c r="W78" s="210" t="str">
        <f t="shared" si="7"/>
        <v>DEV</v>
      </c>
      <c r="X78" s="210" t="str">
        <f t="shared" si="8"/>
        <v>DEV, TA</v>
      </c>
      <c r="Y78" s="210" t="str">
        <f t="shared" si="9"/>
        <v>CHORUS</v>
      </c>
      <c r="Z78" s="210"/>
      <c r="AA78" s="210"/>
      <c r="AB78" s="210"/>
      <c r="AC78" s="210"/>
      <c r="AD78" s="210"/>
      <c r="AE78" s="210"/>
      <c r="AF78" s="210"/>
      <c r="AG78" s="210"/>
      <c r="AH78" s="210"/>
      <c r="AI78" s="210"/>
      <c r="AJ78" s="210"/>
      <c r="AK78" s="210"/>
      <c r="AL78" s="210"/>
      <c r="AM78" s="214"/>
      <c r="AN78" s="211" t="str">
        <f>IFERROR(__xludf.DUMMYFUNCTION("""COMPUTED_VALUE"""),"247102")</f>
        <v>247102</v>
      </c>
      <c r="AO78" s="210" t="str">
        <f t="shared" si="10"/>
        <v>GSD</v>
      </c>
      <c r="AP78" s="210" t="str">
        <f t="shared" si="11"/>
        <v>GSD</v>
      </c>
      <c r="AQ78" s="210" t="str">
        <f t="shared" si="12"/>
        <v>POC</v>
      </c>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c r="BU78" s="210"/>
      <c r="BV78" s="210"/>
      <c r="BW78" s="210"/>
      <c r="BX78" s="210"/>
      <c r="BY78" s="210"/>
      <c r="BZ78" s="210"/>
      <c r="CA78" s="210"/>
      <c r="CB78" s="210"/>
      <c r="CC78" s="210"/>
      <c r="CD78" s="210"/>
      <c r="CE78" s="210"/>
      <c r="CF78" s="210"/>
      <c r="CG78" s="210"/>
      <c r="CH78" s="210"/>
      <c r="CI78" s="210"/>
      <c r="CJ78" s="210"/>
      <c r="CK78" s="210"/>
    </row>
    <row r="79">
      <c r="A79" s="222" t="s">
        <v>263</v>
      </c>
      <c r="B79" s="190" t="s">
        <v>264</v>
      </c>
      <c r="C79" s="223" t="s">
        <v>58</v>
      </c>
      <c r="D79" s="223" t="s">
        <v>852</v>
      </c>
      <c r="E79" s="190" t="s">
        <v>21</v>
      </c>
      <c r="F79" s="13" t="s">
        <v>927</v>
      </c>
      <c r="G79" s="13" t="s">
        <v>918</v>
      </c>
      <c r="H79" s="219">
        <f>IFERROR(
  MINIFS(ATTENDANCE_LOG!$F:$F,
         ATTENDANCE_LOG!$A:$A, C79,
         ATTENDANCE_LOG!$B:$B, E79),
"")</f>
        <v>45772.58333</v>
      </c>
      <c r="I79" s="219">
        <f t="shared" si="2"/>
        <v>45772.58333</v>
      </c>
      <c r="J79" s="190">
        <f>IFERROR(VLOOKUP(F79, LEVEL_HELPER!$A:$B, 2, 0), "")</f>
        <v>1</v>
      </c>
      <c r="K79" s="190">
        <f>IFERROR(VLOOKUP(G79, LEVEL_HELPER!$A:$B, 2, 0), "")</f>
        <v>3</v>
      </c>
      <c r="L79" s="220" t="s">
        <v>919</v>
      </c>
      <c r="M79" s="220" t="s">
        <v>926</v>
      </c>
      <c r="N79" s="190">
        <f t="array" ref="N79">IFERROR(
  INDEX($J$2:$J$543,
    MATCH(A79&amp;TEXT(I79,"yyyy-mm-dd"),
          $A$2:$A$543&amp;TEXT($H$2:$H$543,"yyyy-mm-dd"),
          0)),
"")</f>
        <v>1</v>
      </c>
      <c r="O79" s="210">
        <f t="shared" si="3"/>
        <v>4.5</v>
      </c>
      <c r="P79" s="210">
        <f t="shared" ref="P79:Q79" si="89">IF(N79="",0,IF(N79&lt;=2,1,IF(N79&lt;=4,2,IF(N79&lt;=5.5,3,4))))</f>
        <v>1</v>
      </c>
      <c r="Q79" s="210">
        <f t="shared" si="89"/>
        <v>3</v>
      </c>
      <c r="R79" s="210" t="str">
        <f t="shared" si="5"/>
        <v>Lv1 → Lv3 (multi)</v>
      </c>
      <c r="S79" s="210">
        <f t="shared" si="6"/>
        <v>0</v>
      </c>
      <c r="T79" s="210"/>
      <c r="U79" s="210"/>
      <c r="V79" s="211" t="s">
        <v>298</v>
      </c>
      <c r="W79" s="210" t="str">
        <f t="shared" si="7"/>
        <v>DEV</v>
      </c>
      <c r="X79" s="210" t="str">
        <f t="shared" si="8"/>
        <v>DEV, TA</v>
      </c>
      <c r="Y79" s="210" t="str">
        <f t="shared" si="9"/>
        <v>ONC</v>
      </c>
      <c r="Z79" s="210"/>
      <c r="AA79" s="210"/>
      <c r="AB79" s="210"/>
      <c r="AC79" s="210"/>
      <c r="AD79" s="210"/>
      <c r="AE79" s="210"/>
      <c r="AF79" s="210"/>
      <c r="AG79" s="210"/>
      <c r="AH79" s="210"/>
      <c r="AI79" s="210"/>
      <c r="AJ79" s="210"/>
      <c r="AK79" s="210"/>
      <c r="AL79" s="210"/>
      <c r="AM79" s="214"/>
      <c r="AN79" s="211" t="str">
        <f>IFERROR(__xludf.DUMMYFUNCTION("""COMPUTED_VALUE"""),"247234")</f>
        <v>247234</v>
      </c>
      <c r="AO79" s="210" t="str">
        <f t="shared" si="10"/>
        <v>QC</v>
      </c>
      <c r="AP79" s="210" t="str">
        <f t="shared" si="11"/>
        <v>QC</v>
      </c>
      <c r="AQ79" s="210" t="str">
        <f t="shared" si="12"/>
        <v>LBU</v>
      </c>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c r="BU79" s="210"/>
      <c r="BV79" s="210"/>
      <c r="BW79" s="210"/>
      <c r="BX79" s="210"/>
      <c r="BY79" s="210"/>
      <c r="BZ79" s="210"/>
      <c r="CA79" s="210"/>
      <c r="CB79" s="210"/>
      <c r="CC79" s="210"/>
      <c r="CD79" s="210"/>
      <c r="CE79" s="210"/>
      <c r="CF79" s="210"/>
      <c r="CG79" s="210"/>
      <c r="CH79" s="210"/>
      <c r="CI79" s="210"/>
      <c r="CJ79" s="210"/>
      <c r="CK79" s="210"/>
    </row>
    <row r="80">
      <c r="A80" s="222" t="s">
        <v>528</v>
      </c>
      <c r="B80" s="190" t="s">
        <v>529</v>
      </c>
      <c r="C80" s="223" t="s">
        <v>58</v>
      </c>
      <c r="D80" s="223" t="s">
        <v>852</v>
      </c>
      <c r="E80" s="190" t="s">
        <v>21</v>
      </c>
      <c r="F80" s="13" t="s">
        <v>927</v>
      </c>
      <c r="G80" s="13" t="s">
        <v>929</v>
      </c>
      <c r="H80" s="219">
        <f>IFERROR(
  MINIFS(ATTENDANCE_LOG!$F:$F,
         ATTENDANCE_LOG!$A:$A, C80,
         ATTENDANCE_LOG!$B:$B, E80),
"")</f>
        <v>45772.58333</v>
      </c>
      <c r="I80" s="219">
        <f t="shared" si="2"/>
        <v>45772.58333</v>
      </c>
      <c r="J80" s="190">
        <f>IFERROR(VLOOKUP(F80, LEVEL_HELPER!$A:$B, 2, 0), "")</f>
        <v>1</v>
      </c>
      <c r="K80" s="190">
        <f>IFERROR(VLOOKUP(G80, LEVEL_HELPER!$A:$B, 2, 0), "")</f>
        <v>1.5</v>
      </c>
      <c r="L80" s="220" t="s">
        <v>943</v>
      </c>
      <c r="M80" s="220" t="s">
        <v>926</v>
      </c>
      <c r="N80" s="190">
        <f t="array" ref="N80">IFERROR(
  INDEX($J$2:$J$543,
    MATCH(A80&amp;TEXT(I80,"yyyy-mm-dd"),
          $A$2:$A$543&amp;TEXT($H$2:$H$543,"yyyy-mm-dd"),
          0)),
"")</f>
        <v>1</v>
      </c>
      <c r="O80" s="210">
        <f t="shared" si="3"/>
        <v>5</v>
      </c>
      <c r="P80" s="210">
        <f t="shared" ref="P80:Q80" si="90">IF(N80="",0,IF(N80&lt;=2,1,IF(N80&lt;=4,2,IF(N80&lt;=5.5,3,4))))</f>
        <v>1</v>
      </c>
      <c r="Q80" s="210">
        <f t="shared" si="90"/>
        <v>3</v>
      </c>
      <c r="R80" s="210" t="str">
        <f t="shared" si="5"/>
        <v>Lv1 → Lv3 (multi)</v>
      </c>
      <c r="S80" s="210">
        <f t="shared" si="6"/>
        <v>0</v>
      </c>
      <c r="T80" s="210"/>
      <c r="U80" s="210"/>
      <c r="V80" s="211" t="s">
        <v>220</v>
      </c>
      <c r="W80" s="210" t="str">
        <f t="shared" si="7"/>
        <v>DEV</v>
      </c>
      <c r="X80" s="210" t="str">
        <f t="shared" si="8"/>
        <v>DEV, TA</v>
      </c>
      <c r="Y80" s="210" t="str">
        <f t="shared" si="9"/>
        <v>ONC</v>
      </c>
      <c r="Z80" s="210"/>
      <c r="AA80" s="210"/>
      <c r="AB80" s="210"/>
      <c r="AC80" s="210"/>
      <c r="AD80" s="210"/>
      <c r="AE80" s="210"/>
      <c r="AF80" s="210"/>
      <c r="AG80" s="210"/>
      <c r="AH80" s="210"/>
      <c r="AI80" s="210"/>
      <c r="AJ80" s="210"/>
      <c r="AK80" s="210"/>
      <c r="AL80" s="210"/>
      <c r="AM80" s="214"/>
      <c r="AN80" s="211" t="str">
        <f>IFERROR(__xludf.DUMMYFUNCTION("""COMPUTED_VALUE"""),"193530")</f>
        <v>193530</v>
      </c>
      <c r="AO80" s="210" t="str">
        <f t="shared" si="10"/>
        <v>DEV</v>
      </c>
      <c r="AP80" s="210" t="str">
        <f t="shared" si="11"/>
        <v>DEV, TA</v>
      </c>
      <c r="AQ80" s="210" t="str">
        <f t="shared" si="12"/>
        <v>ONC</v>
      </c>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c r="BU80" s="210"/>
      <c r="BV80" s="210"/>
      <c r="BW80" s="210"/>
      <c r="BX80" s="210"/>
      <c r="BY80" s="210"/>
      <c r="BZ80" s="210"/>
      <c r="CA80" s="210"/>
      <c r="CB80" s="210"/>
      <c r="CC80" s="210"/>
      <c r="CD80" s="210"/>
      <c r="CE80" s="210"/>
      <c r="CF80" s="210"/>
      <c r="CG80" s="210"/>
      <c r="CH80" s="210"/>
      <c r="CI80" s="210"/>
      <c r="CJ80" s="210"/>
      <c r="CK80" s="210"/>
    </row>
    <row r="81">
      <c r="A81" s="222" t="s">
        <v>665</v>
      </c>
      <c r="B81" s="190" t="s">
        <v>666</v>
      </c>
      <c r="C81" s="223" t="s">
        <v>58</v>
      </c>
      <c r="D81" s="223" t="s">
        <v>852</v>
      </c>
      <c r="E81" s="190" t="s">
        <v>21</v>
      </c>
      <c r="F81" s="13" t="s">
        <v>927</v>
      </c>
      <c r="G81" s="13" t="s">
        <v>935</v>
      </c>
      <c r="H81" s="219">
        <f>IFERROR(
  MINIFS(ATTENDANCE_LOG!$F:$F,
         ATTENDANCE_LOG!$A:$A, C81,
         ATTENDANCE_LOG!$B:$B, E81),
"")</f>
        <v>45772.58333</v>
      </c>
      <c r="I81" s="219">
        <f t="shared" si="2"/>
        <v>45772.58333</v>
      </c>
      <c r="J81" s="190">
        <f>IFERROR(VLOOKUP(F81, LEVEL_HELPER!$A:$B, 2, 0), "")</f>
        <v>1</v>
      </c>
      <c r="K81" s="190">
        <f>IFERROR(VLOOKUP(G81, LEVEL_HELPER!$A:$B, 2, 0), "")</f>
        <v>3.5</v>
      </c>
      <c r="L81" s="220" t="s">
        <v>943</v>
      </c>
      <c r="M81" s="220" t="s">
        <v>926</v>
      </c>
      <c r="N81" s="190">
        <f t="array" ref="N81">IFERROR(
  INDEX($J$2:$J$543,
    MATCH(A81&amp;TEXT(I81,"yyyy-mm-dd"),
          $A$2:$A$543&amp;TEXT($H$2:$H$543,"yyyy-mm-dd"),
          0)),
"")</f>
        <v>1</v>
      </c>
      <c r="O81" s="210">
        <f t="shared" si="3"/>
        <v>5</v>
      </c>
      <c r="P81" s="210">
        <f t="shared" ref="P81:Q81" si="91">IF(N81="",0,IF(N81&lt;=2,1,IF(N81&lt;=4,2,IF(N81&lt;=5.5,3,4))))</f>
        <v>1</v>
      </c>
      <c r="Q81" s="210">
        <f t="shared" si="91"/>
        <v>3</v>
      </c>
      <c r="R81" s="210" t="str">
        <f t="shared" si="5"/>
        <v>Lv1 → Lv3 (multi)</v>
      </c>
      <c r="S81" s="210">
        <f t="shared" si="6"/>
        <v>0</v>
      </c>
      <c r="T81" s="210"/>
      <c r="U81" s="210"/>
      <c r="V81" s="211" t="s">
        <v>234</v>
      </c>
      <c r="W81" s="210" t="str">
        <f t="shared" si="7"/>
        <v>DEV</v>
      </c>
      <c r="X81" s="210" t="str">
        <f t="shared" si="8"/>
        <v>DEV, TA</v>
      </c>
      <c r="Y81" s="210" t="str">
        <f t="shared" si="9"/>
        <v>ONC</v>
      </c>
      <c r="Z81" s="210"/>
      <c r="AA81" s="210"/>
      <c r="AB81" s="210"/>
      <c r="AC81" s="210"/>
      <c r="AD81" s="210"/>
      <c r="AE81" s="210"/>
      <c r="AF81" s="210"/>
      <c r="AG81" s="210"/>
      <c r="AH81" s="210"/>
      <c r="AI81" s="210"/>
      <c r="AJ81" s="210"/>
      <c r="AK81" s="210"/>
      <c r="AL81" s="210"/>
      <c r="AM81" s="214"/>
      <c r="AN81" s="211" t="str">
        <f>IFERROR(__xludf.DUMMYFUNCTION("""COMPUTED_VALUE"""),"203764")</f>
        <v>203764</v>
      </c>
      <c r="AO81" s="210" t="str">
        <f t="shared" si="10"/>
        <v>DEV</v>
      </c>
      <c r="AP81" s="210" t="str">
        <f t="shared" si="11"/>
        <v>DEV, TA</v>
      </c>
      <c r="AQ81" s="210" t="str">
        <f t="shared" si="12"/>
        <v>MOC</v>
      </c>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c r="BU81" s="210"/>
      <c r="BV81" s="210"/>
      <c r="BW81" s="210"/>
      <c r="BX81" s="210"/>
      <c r="BY81" s="210"/>
      <c r="BZ81" s="210"/>
      <c r="CA81" s="210"/>
      <c r="CB81" s="210"/>
      <c r="CC81" s="210"/>
      <c r="CD81" s="210"/>
      <c r="CE81" s="210"/>
      <c r="CF81" s="210"/>
      <c r="CG81" s="210"/>
      <c r="CH81" s="210"/>
      <c r="CI81" s="210"/>
      <c r="CJ81" s="210"/>
      <c r="CK81" s="210"/>
    </row>
    <row r="82">
      <c r="A82" s="216" t="s">
        <v>603</v>
      </c>
      <c r="B82" s="217" t="s">
        <v>604</v>
      </c>
      <c r="C82" s="218" t="s">
        <v>58</v>
      </c>
      <c r="D82" s="218" t="s">
        <v>852</v>
      </c>
      <c r="E82" s="217" t="s">
        <v>22</v>
      </c>
      <c r="F82" s="13" t="s">
        <v>918</v>
      </c>
      <c r="G82" s="13" t="s">
        <v>941</v>
      </c>
      <c r="H82" s="219">
        <f>IFERROR(
  MINIFS(ATTENDANCE_LOG!$F:$F,
         ATTENDANCE_LOG!$A:$A, C82,
         ATTENDANCE_LOG!$B:$B, E82),
"")</f>
        <v>45946.45833</v>
      </c>
      <c r="I82" s="219">
        <f t="shared" si="2"/>
        <v>45772.58333</v>
      </c>
      <c r="J82" s="190">
        <f>IFERROR(VLOOKUP(F82, LEVEL_HELPER!$A:$B, 2, 0), "")</f>
        <v>3</v>
      </c>
      <c r="K82" s="190">
        <f>IFERROR(VLOOKUP(G82, LEVEL_HELPER!$A:$B, 2, 0), "")</f>
        <v>5</v>
      </c>
      <c r="L82" s="220" t="s">
        <v>943</v>
      </c>
      <c r="M82" s="220" t="s">
        <v>926</v>
      </c>
      <c r="N82" s="190">
        <f t="array" ref="N82">IFERROR(
  INDEX($J$2:$J$543,
    MATCH(A82&amp;TEXT(I82,"yyyy-mm-dd"),
          $A$2:$A$543&amp;TEXT($H$2:$H$543,"yyyy-mm-dd"),
          0)),
"")</f>
        <v>1</v>
      </c>
      <c r="O82" s="210">
        <f t="shared" si="3"/>
        <v>5</v>
      </c>
      <c r="P82" s="210">
        <f t="shared" ref="P82:Q82" si="92">IF(N82="",0,IF(N82&lt;=2,1,IF(N82&lt;=4,2,IF(N82&lt;=5.5,3,4))))</f>
        <v>1</v>
      </c>
      <c r="Q82" s="210">
        <f t="shared" si="92"/>
        <v>3</v>
      </c>
      <c r="R82" s="210" t="str">
        <f t="shared" si="5"/>
        <v>Lv1 → Lv3 (multi)</v>
      </c>
      <c r="S82" s="210">
        <f t="shared" si="6"/>
        <v>0</v>
      </c>
      <c r="T82" s="210"/>
      <c r="U82" s="210"/>
      <c r="V82" s="211" t="s">
        <v>438</v>
      </c>
      <c r="W82" s="210" t="str">
        <f t="shared" si="7"/>
        <v>DEV</v>
      </c>
      <c r="X82" s="210" t="str">
        <f t="shared" si="8"/>
        <v>DEV, TA</v>
      </c>
      <c r="Y82" s="210" t="str">
        <f t="shared" si="9"/>
        <v>ONC</v>
      </c>
      <c r="Z82" s="210"/>
      <c r="AA82" s="210"/>
      <c r="AB82" s="210"/>
      <c r="AC82" s="210"/>
      <c r="AD82" s="210"/>
      <c r="AE82" s="210"/>
      <c r="AF82" s="210"/>
      <c r="AG82" s="210"/>
      <c r="AH82" s="210"/>
      <c r="AI82" s="210"/>
      <c r="AJ82" s="210"/>
      <c r="AK82" s="210"/>
      <c r="AL82" s="210"/>
      <c r="AM82" s="214"/>
      <c r="AN82" s="211" t="str">
        <f>IFERROR(__xludf.DUMMYFUNCTION("""COMPUTED_VALUE"""),"237147")</f>
        <v>237147</v>
      </c>
      <c r="AO82" s="210" t="str">
        <f t="shared" si="10"/>
        <v>GSD</v>
      </c>
      <c r="AP82" s="210" t="str">
        <f t="shared" si="11"/>
        <v>GSD</v>
      </c>
      <c r="AQ82" s="210" t="str">
        <f t="shared" si="12"/>
        <v>MOC</v>
      </c>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c r="BU82" s="210"/>
      <c r="BV82" s="210"/>
      <c r="BW82" s="210"/>
      <c r="BX82" s="210"/>
      <c r="BY82" s="210"/>
      <c r="BZ82" s="210"/>
      <c r="CA82" s="210"/>
      <c r="CB82" s="210"/>
      <c r="CC82" s="210"/>
      <c r="CD82" s="210"/>
      <c r="CE82" s="210"/>
      <c r="CF82" s="210"/>
      <c r="CG82" s="210"/>
      <c r="CH82" s="210"/>
      <c r="CI82" s="210"/>
      <c r="CJ82" s="210"/>
      <c r="CK82" s="210"/>
    </row>
    <row r="83">
      <c r="A83" s="222" t="s">
        <v>239</v>
      </c>
      <c r="B83" s="190" t="s">
        <v>240</v>
      </c>
      <c r="C83" s="223" t="s">
        <v>58</v>
      </c>
      <c r="D83" s="223" t="s">
        <v>852</v>
      </c>
      <c r="E83" s="190" t="s">
        <v>22</v>
      </c>
      <c r="F83" s="13" t="s">
        <v>929</v>
      </c>
      <c r="G83" s="13" t="s">
        <v>941</v>
      </c>
      <c r="H83" s="219">
        <f>IFERROR(
  MINIFS(ATTENDANCE_LOG!$F:$F,
         ATTENDANCE_LOG!$A:$A, C83,
         ATTENDANCE_LOG!$B:$B, E83),
"")</f>
        <v>45946.45833</v>
      </c>
      <c r="I83" s="219">
        <f t="shared" si="2"/>
        <v>45772.58333</v>
      </c>
      <c r="J83" s="190">
        <f>IFERROR(VLOOKUP(F83, LEVEL_HELPER!$A:$B, 2, 0), "")</f>
        <v>1.5</v>
      </c>
      <c r="K83" s="190">
        <f>IFERROR(VLOOKUP(G83, LEVEL_HELPER!$A:$B, 2, 0), "")</f>
        <v>5</v>
      </c>
      <c r="L83" s="220" t="s">
        <v>943</v>
      </c>
      <c r="M83" s="220" t="s">
        <v>926</v>
      </c>
      <c r="N83" s="190">
        <f t="array" ref="N83">IFERROR(
  INDEX($J$2:$J$543,
    MATCH(A83&amp;TEXT(I83,"yyyy-mm-dd"),
          $A$2:$A$543&amp;TEXT($H$2:$H$543,"yyyy-mm-dd"),
          0)),
"")</f>
        <v>1</v>
      </c>
      <c r="O83" s="210">
        <f t="shared" si="3"/>
        <v>5</v>
      </c>
      <c r="P83" s="210">
        <f t="shared" ref="P83:Q83" si="93">IF(N83="",0,IF(N83&lt;=2,1,IF(N83&lt;=4,2,IF(N83&lt;=5.5,3,4))))</f>
        <v>1</v>
      </c>
      <c r="Q83" s="210">
        <f t="shared" si="93"/>
        <v>3</v>
      </c>
      <c r="R83" s="210" t="str">
        <f t="shared" si="5"/>
        <v>Lv1 → Lv3 (multi)</v>
      </c>
      <c r="S83" s="210">
        <f t="shared" si="6"/>
        <v>0</v>
      </c>
      <c r="T83" s="210"/>
      <c r="U83" s="210"/>
      <c r="V83" s="211" t="s">
        <v>599</v>
      </c>
      <c r="W83" s="210" t="str">
        <f t="shared" si="7"/>
        <v>DEV</v>
      </c>
      <c r="X83" s="210" t="str">
        <f t="shared" si="8"/>
        <v>DEV, TA</v>
      </c>
      <c r="Y83" s="210" t="str">
        <f t="shared" si="9"/>
        <v>ONC</v>
      </c>
      <c r="Z83" s="210"/>
      <c r="AA83" s="210"/>
      <c r="AB83" s="210"/>
      <c r="AC83" s="210"/>
      <c r="AD83" s="210"/>
      <c r="AE83" s="210"/>
      <c r="AF83" s="210"/>
      <c r="AG83" s="210"/>
      <c r="AH83" s="210"/>
      <c r="AI83" s="210"/>
      <c r="AJ83" s="210"/>
      <c r="AK83" s="210"/>
      <c r="AL83" s="210"/>
      <c r="AM83" s="214"/>
      <c r="AN83" s="211" t="str">
        <f>IFERROR(__xludf.DUMMYFUNCTION("""COMPUTED_VALUE"""),"257132")</f>
        <v>257132</v>
      </c>
      <c r="AO83" s="210" t="str">
        <f t="shared" si="10"/>
        <v>QC</v>
      </c>
      <c r="AP83" s="210" t="str">
        <f t="shared" si="11"/>
        <v>QC</v>
      </c>
      <c r="AQ83" s="210" t="str">
        <f t="shared" si="12"/>
        <v>ONC</v>
      </c>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c r="BU83" s="210"/>
      <c r="BV83" s="210"/>
      <c r="BW83" s="210"/>
      <c r="BX83" s="210"/>
      <c r="BY83" s="210"/>
      <c r="BZ83" s="210"/>
      <c r="CA83" s="210"/>
      <c r="CB83" s="210"/>
      <c r="CC83" s="210"/>
      <c r="CD83" s="210"/>
      <c r="CE83" s="210"/>
      <c r="CF83" s="210"/>
      <c r="CG83" s="210"/>
      <c r="CH83" s="210"/>
      <c r="CI83" s="210"/>
      <c r="CJ83" s="210"/>
      <c r="CK83" s="210"/>
    </row>
    <row r="84">
      <c r="A84" s="222" t="s">
        <v>263</v>
      </c>
      <c r="B84" s="190" t="s">
        <v>264</v>
      </c>
      <c r="C84" s="223" t="s">
        <v>58</v>
      </c>
      <c r="D84" s="223" t="s">
        <v>852</v>
      </c>
      <c r="E84" s="190" t="s">
        <v>22</v>
      </c>
      <c r="F84" s="13" t="s">
        <v>918</v>
      </c>
      <c r="G84" s="13" t="s">
        <v>932</v>
      </c>
      <c r="H84" s="219">
        <f>IFERROR(
  MINIFS(ATTENDANCE_LOG!$F:$F,
         ATTENDANCE_LOG!$A:$A, C84,
         ATTENDANCE_LOG!$B:$B, E84),
"")</f>
        <v>45946.45833</v>
      </c>
      <c r="I84" s="219">
        <f t="shared" si="2"/>
        <v>45772.58333</v>
      </c>
      <c r="J84" s="190">
        <f>IFERROR(VLOOKUP(F84, LEVEL_HELPER!$A:$B, 2, 0), "")</f>
        <v>3</v>
      </c>
      <c r="K84" s="190">
        <f>IFERROR(VLOOKUP(G84, LEVEL_HELPER!$A:$B, 2, 0), "")</f>
        <v>4.5</v>
      </c>
      <c r="L84" s="220" t="s">
        <v>919</v>
      </c>
      <c r="M84" s="220" t="s">
        <v>926</v>
      </c>
      <c r="N84" s="190">
        <f t="array" ref="N84">IFERROR(
  INDEX($J$2:$J$543,
    MATCH(A84&amp;TEXT(I84,"yyyy-mm-dd"),
          $A$2:$A$543&amp;TEXT($H$2:$H$543,"yyyy-mm-dd"),
          0)),
"")</f>
        <v>1</v>
      </c>
      <c r="O84" s="210">
        <f t="shared" si="3"/>
        <v>4.5</v>
      </c>
      <c r="P84" s="210">
        <f t="shared" ref="P84:Q84" si="94">IF(N84="",0,IF(N84&lt;=2,1,IF(N84&lt;=4,2,IF(N84&lt;=5.5,3,4))))</f>
        <v>1</v>
      </c>
      <c r="Q84" s="210">
        <f t="shared" si="94"/>
        <v>3</v>
      </c>
      <c r="R84" s="210" t="str">
        <f t="shared" si="5"/>
        <v>Lv1 → Lv3 (multi)</v>
      </c>
      <c r="S84" s="210">
        <f t="shared" si="6"/>
        <v>0</v>
      </c>
      <c r="T84" s="210"/>
      <c r="U84" s="210"/>
      <c r="V84" s="211" t="s">
        <v>611</v>
      </c>
      <c r="W84" s="210" t="str">
        <f t="shared" si="7"/>
        <v>QC</v>
      </c>
      <c r="X84" s="210" t="str">
        <f t="shared" si="8"/>
        <v>QC</v>
      </c>
      <c r="Y84" s="210" t="str">
        <f t="shared" si="9"/>
        <v>LBU</v>
      </c>
      <c r="Z84" s="210"/>
      <c r="AA84" s="210"/>
      <c r="AB84" s="210"/>
      <c r="AC84" s="210"/>
      <c r="AD84" s="210"/>
      <c r="AE84" s="210"/>
      <c r="AF84" s="210"/>
      <c r="AG84" s="210"/>
      <c r="AH84" s="210"/>
      <c r="AI84" s="210"/>
      <c r="AJ84" s="210"/>
      <c r="AK84" s="210"/>
      <c r="AL84" s="210"/>
      <c r="AM84" s="214"/>
      <c r="AN84" s="211" t="str">
        <f>IFERROR(__xludf.DUMMYFUNCTION("""COMPUTED_VALUE"""),"237050")</f>
        <v>237050</v>
      </c>
      <c r="AO84" s="210" t="str">
        <f t="shared" si="10"/>
        <v>QC</v>
      </c>
      <c r="AP84" s="210" t="str">
        <f t="shared" si="11"/>
        <v>QC</v>
      </c>
      <c r="AQ84" s="210" t="str">
        <f t="shared" si="12"/>
        <v>POC</v>
      </c>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c r="BU84" s="210"/>
      <c r="BV84" s="210"/>
      <c r="BW84" s="210"/>
      <c r="BX84" s="210"/>
      <c r="BY84" s="210"/>
      <c r="BZ84" s="210"/>
      <c r="CA84" s="210"/>
      <c r="CB84" s="210"/>
      <c r="CC84" s="210"/>
      <c r="CD84" s="210"/>
      <c r="CE84" s="210"/>
      <c r="CF84" s="210"/>
      <c r="CG84" s="210"/>
      <c r="CH84" s="210"/>
      <c r="CI84" s="210"/>
      <c r="CJ84" s="210"/>
      <c r="CK84" s="210"/>
    </row>
    <row r="85">
      <c r="A85" s="222" t="s">
        <v>528</v>
      </c>
      <c r="B85" s="190" t="s">
        <v>529</v>
      </c>
      <c r="C85" s="223" t="s">
        <v>58</v>
      </c>
      <c r="D85" s="223" t="s">
        <v>852</v>
      </c>
      <c r="E85" s="190" t="s">
        <v>22</v>
      </c>
      <c r="F85" s="13" t="s">
        <v>929</v>
      </c>
      <c r="G85" s="13" t="s">
        <v>941</v>
      </c>
      <c r="H85" s="219">
        <f>IFERROR(
  MINIFS(ATTENDANCE_LOG!$F:$F,
         ATTENDANCE_LOG!$A:$A, C85,
         ATTENDANCE_LOG!$B:$B, E85),
"")</f>
        <v>45946.45833</v>
      </c>
      <c r="I85" s="219">
        <f t="shared" si="2"/>
        <v>45772.58333</v>
      </c>
      <c r="J85" s="190">
        <f>IFERROR(VLOOKUP(F85, LEVEL_HELPER!$A:$B, 2, 0), "")</f>
        <v>1.5</v>
      </c>
      <c r="K85" s="190">
        <f>IFERROR(VLOOKUP(G85, LEVEL_HELPER!$A:$B, 2, 0), "")</f>
        <v>5</v>
      </c>
      <c r="L85" s="220" t="s">
        <v>943</v>
      </c>
      <c r="M85" s="220" t="s">
        <v>926</v>
      </c>
      <c r="N85" s="190">
        <f t="array" ref="N85">IFERROR(
  INDEX($J$2:$J$543,
    MATCH(A85&amp;TEXT(I85,"yyyy-mm-dd"),
          $A$2:$A$543&amp;TEXT($H$2:$H$543,"yyyy-mm-dd"),
          0)),
"")</f>
        <v>1</v>
      </c>
      <c r="O85" s="210">
        <f t="shared" si="3"/>
        <v>5</v>
      </c>
      <c r="P85" s="210">
        <f t="shared" ref="P85:Q85" si="95">IF(N85="",0,IF(N85&lt;=2,1,IF(N85&lt;=4,2,IF(N85&lt;=5.5,3,4))))</f>
        <v>1</v>
      </c>
      <c r="Q85" s="210">
        <f t="shared" si="95"/>
        <v>3</v>
      </c>
      <c r="R85" s="210" t="str">
        <f t="shared" si="5"/>
        <v>Lv1 → Lv3 (multi)</v>
      </c>
      <c r="S85" s="210">
        <f t="shared" si="6"/>
        <v>0</v>
      </c>
      <c r="T85" s="210"/>
      <c r="U85" s="210"/>
      <c r="V85" s="211" t="s">
        <v>946</v>
      </c>
      <c r="W85" s="210" t="str">
        <f t="shared" si="7"/>
        <v>QC</v>
      </c>
      <c r="X85" s="210" t="str">
        <f t="shared" si="8"/>
        <v>QC</v>
      </c>
      <c r="Y85" s="210" t="str">
        <f t="shared" si="9"/>
        <v>LBU</v>
      </c>
      <c r="Z85" s="210"/>
      <c r="AA85" s="210"/>
      <c r="AB85" s="210"/>
      <c r="AC85" s="210"/>
      <c r="AD85" s="210"/>
      <c r="AE85" s="210"/>
      <c r="AF85" s="210"/>
      <c r="AG85" s="210"/>
      <c r="AH85" s="210"/>
      <c r="AI85" s="210"/>
      <c r="AJ85" s="210"/>
      <c r="AK85" s="210"/>
      <c r="AL85" s="210"/>
      <c r="AM85" s="214"/>
      <c r="AN85" s="211" t="str">
        <f>IFERROR(__xludf.DUMMYFUNCTION("""COMPUTED_VALUE"""),"227148")</f>
        <v>227148</v>
      </c>
      <c r="AO85" s="210" t="str">
        <f t="shared" si="10"/>
        <v>QC</v>
      </c>
      <c r="AP85" s="210" t="str">
        <f t="shared" si="11"/>
        <v>QC</v>
      </c>
      <c r="AQ85" s="210" t="str">
        <f t="shared" si="12"/>
        <v>POC</v>
      </c>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c r="BU85" s="210"/>
      <c r="BV85" s="210"/>
      <c r="BW85" s="210"/>
      <c r="BX85" s="210"/>
      <c r="BY85" s="210"/>
      <c r="BZ85" s="210"/>
      <c r="CA85" s="210"/>
      <c r="CB85" s="210"/>
      <c r="CC85" s="210"/>
      <c r="CD85" s="210"/>
      <c r="CE85" s="210"/>
      <c r="CF85" s="210"/>
      <c r="CG85" s="210"/>
      <c r="CH85" s="210"/>
      <c r="CI85" s="210"/>
      <c r="CJ85" s="210"/>
      <c r="CK85" s="210"/>
    </row>
    <row r="86">
      <c r="A86" s="222" t="s">
        <v>665</v>
      </c>
      <c r="B86" s="190" t="s">
        <v>666</v>
      </c>
      <c r="C86" s="223" t="s">
        <v>58</v>
      </c>
      <c r="D86" s="223" t="s">
        <v>852</v>
      </c>
      <c r="E86" s="190" t="s">
        <v>22</v>
      </c>
      <c r="F86" s="13" t="s">
        <v>935</v>
      </c>
      <c r="G86" s="13" t="s">
        <v>941</v>
      </c>
      <c r="H86" s="219">
        <f>IFERROR(
  MINIFS(ATTENDANCE_LOG!$F:$F,
         ATTENDANCE_LOG!$A:$A, C86,
         ATTENDANCE_LOG!$B:$B, E86),
"")</f>
        <v>45946.45833</v>
      </c>
      <c r="I86" s="219">
        <f t="shared" si="2"/>
        <v>45772.58333</v>
      </c>
      <c r="J86" s="190">
        <f>IFERROR(VLOOKUP(F86, LEVEL_HELPER!$A:$B, 2, 0), "")</f>
        <v>3.5</v>
      </c>
      <c r="K86" s="190">
        <f>IFERROR(VLOOKUP(G86, LEVEL_HELPER!$A:$B, 2, 0), "")</f>
        <v>5</v>
      </c>
      <c r="L86" s="220" t="s">
        <v>943</v>
      </c>
      <c r="M86" s="220" t="s">
        <v>926</v>
      </c>
      <c r="N86" s="190">
        <f t="array" ref="N86">IFERROR(
  INDEX($J$2:$J$543,
    MATCH(A86&amp;TEXT(I86,"yyyy-mm-dd"),
          $A$2:$A$543&amp;TEXT($H$2:$H$543,"yyyy-mm-dd"),
          0)),
"")</f>
        <v>1</v>
      </c>
      <c r="O86" s="210">
        <f t="shared" si="3"/>
        <v>5</v>
      </c>
      <c r="P86" s="210">
        <f t="shared" ref="P86:Q86" si="96">IF(N86="",0,IF(N86&lt;=2,1,IF(N86&lt;=4,2,IF(N86&lt;=5.5,3,4))))</f>
        <v>1</v>
      </c>
      <c r="Q86" s="210">
        <f t="shared" si="96"/>
        <v>3</v>
      </c>
      <c r="R86" s="210" t="str">
        <f t="shared" si="5"/>
        <v>Lv1 → Lv3 (multi)</v>
      </c>
      <c r="S86" s="210">
        <f t="shared" si="6"/>
        <v>0</v>
      </c>
      <c r="T86" s="210"/>
      <c r="U86" s="210"/>
      <c r="V86" s="211" t="s">
        <v>317</v>
      </c>
      <c r="W86" s="210" t="str">
        <f t="shared" si="7"/>
        <v>QC</v>
      </c>
      <c r="X86" s="210" t="str">
        <f t="shared" si="8"/>
        <v>QC</v>
      </c>
      <c r="Y86" s="210" t="str">
        <f t="shared" si="9"/>
        <v>ONC</v>
      </c>
      <c r="Z86" s="210"/>
      <c r="AA86" s="210"/>
      <c r="AB86" s="210"/>
      <c r="AC86" s="210"/>
      <c r="AD86" s="210"/>
      <c r="AE86" s="210"/>
      <c r="AF86" s="210"/>
      <c r="AG86" s="210"/>
      <c r="AH86" s="210"/>
      <c r="AI86" s="210"/>
      <c r="AJ86" s="210"/>
      <c r="AK86" s="210"/>
      <c r="AL86" s="210"/>
      <c r="AM86" s="214"/>
      <c r="AN86" s="211" t="str">
        <f>IFERROR(__xludf.DUMMYFUNCTION("""COMPUTED_VALUE"""),"237161")</f>
        <v>237161</v>
      </c>
      <c r="AO86" s="210" t="str">
        <f t="shared" si="10"/>
        <v>DEV</v>
      </c>
      <c r="AP86" s="210" t="str">
        <f t="shared" si="11"/>
        <v>DEV, TA</v>
      </c>
      <c r="AQ86" s="210" t="str">
        <f t="shared" si="12"/>
        <v>TBU</v>
      </c>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c r="BU86" s="210"/>
      <c r="BV86" s="210"/>
      <c r="BW86" s="210"/>
      <c r="BX86" s="210"/>
      <c r="BY86" s="210"/>
      <c r="BZ86" s="210"/>
      <c r="CA86" s="210"/>
      <c r="CB86" s="210"/>
      <c r="CC86" s="210"/>
      <c r="CD86" s="210"/>
      <c r="CE86" s="210"/>
      <c r="CF86" s="210"/>
      <c r="CG86" s="210"/>
      <c r="CH86" s="210"/>
      <c r="CI86" s="210"/>
      <c r="CJ86" s="210"/>
      <c r="CK86" s="210"/>
    </row>
    <row r="87">
      <c r="A87" s="216" t="s">
        <v>484</v>
      </c>
      <c r="B87" s="217" t="s">
        <v>485</v>
      </c>
      <c r="C87" s="218" t="s">
        <v>59</v>
      </c>
      <c r="D87" s="218" t="s">
        <v>853</v>
      </c>
      <c r="E87" s="217" t="s">
        <v>21</v>
      </c>
      <c r="F87" s="13" t="s">
        <v>917</v>
      </c>
      <c r="G87" s="13" t="s">
        <v>935</v>
      </c>
      <c r="H87" s="219">
        <f>IFERROR(
  MINIFS(ATTENDANCE_LOG!$F:$F,
         ATTENDANCE_LOG!$A:$A, C87,
         ATTENDANCE_LOG!$B:$B, E87),
"")</f>
        <v>45663.58333</v>
      </c>
      <c r="I87" s="219">
        <f t="shared" si="2"/>
        <v>45663.58333</v>
      </c>
      <c r="J87" s="190">
        <f>IFERROR(VLOOKUP(F87, LEVEL_HELPER!$A:$B, 2, 0), "")</f>
        <v>2.5</v>
      </c>
      <c r="K87" s="190">
        <f>IFERROR(VLOOKUP(G87, LEVEL_HELPER!$A:$B, 2, 0), "")</f>
        <v>3.5</v>
      </c>
      <c r="L87" s="220" t="s">
        <v>931</v>
      </c>
      <c r="M87" s="229" t="s">
        <v>925</v>
      </c>
      <c r="N87" s="190">
        <f t="array" ref="N87">IFERROR(
  INDEX($J$2:$J$543,
    MATCH(A87&amp;TEXT(I87,"yyyy-mm-dd"),
          $A$2:$A$543&amp;TEXT($H$2:$H$543,"yyyy-mm-dd"),
          0)),
"")</f>
        <v>2.5</v>
      </c>
      <c r="O87" s="210">
        <f t="shared" si="3"/>
        <v>3.5</v>
      </c>
      <c r="P87" s="210">
        <f t="shared" ref="P87:Q87" si="97">IF(N87="",0,IF(N87&lt;=2,1,IF(N87&lt;=4,2,IF(N87&lt;=5.5,3,4))))</f>
        <v>2</v>
      </c>
      <c r="Q87" s="210">
        <f t="shared" si="97"/>
        <v>2</v>
      </c>
      <c r="R87" s="210" t="str">
        <f t="shared" si="5"/>
        <v>Progress within level</v>
      </c>
      <c r="S87" s="210">
        <f t="shared" si="6"/>
        <v>1</v>
      </c>
      <c r="T87" s="210"/>
      <c r="U87" s="210"/>
      <c r="V87" s="211" t="s">
        <v>342</v>
      </c>
      <c r="W87" s="210" t="str">
        <f t="shared" si="7"/>
        <v>QC</v>
      </c>
      <c r="X87" s="210" t="str">
        <f t="shared" si="8"/>
        <v>QC</v>
      </c>
      <c r="Y87" s="210" t="str">
        <f t="shared" si="9"/>
        <v>MOC</v>
      </c>
      <c r="Z87" s="210"/>
      <c r="AA87" s="210"/>
      <c r="AB87" s="210"/>
      <c r="AC87" s="210"/>
      <c r="AD87" s="210"/>
      <c r="AE87" s="210"/>
      <c r="AF87" s="210"/>
      <c r="AG87" s="210"/>
      <c r="AH87" s="210"/>
      <c r="AI87" s="210"/>
      <c r="AJ87" s="210"/>
      <c r="AK87" s="210"/>
      <c r="AL87" s="210"/>
      <c r="AM87" s="214"/>
      <c r="AN87" s="211" t="str">
        <f>IFERROR(__xludf.DUMMYFUNCTION("""COMPUTED_VALUE"""),"193511")</f>
        <v>193511</v>
      </c>
      <c r="AO87" s="210" t="str">
        <f t="shared" si="10"/>
        <v>DEV</v>
      </c>
      <c r="AP87" s="210" t="str">
        <f t="shared" si="11"/>
        <v>DEV, TA</v>
      </c>
      <c r="AQ87" s="210" t="str">
        <f t="shared" si="12"/>
        <v>ONC</v>
      </c>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c r="BU87" s="210"/>
      <c r="BV87" s="210"/>
      <c r="BW87" s="210"/>
      <c r="BX87" s="210"/>
      <c r="BY87" s="210"/>
      <c r="BZ87" s="210"/>
      <c r="CA87" s="210"/>
      <c r="CB87" s="210"/>
      <c r="CC87" s="210"/>
      <c r="CD87" s="210"/>
      <c r="CE87" s="210"/>
      <c r="CF87" s="210"/>
      <c r="CG87" s="210"/>
      <c r="CH87" s="210"/>
      <c r="CI87" s="210"/>
      <c r="CJ87" s="210"/>
      <c r="CK87" s="210"/>
    </row>
    <row r="88">
      <c r="A88" s="232" t="s">
        <v>159</v>
      </c>
      <c r="B88" s="233" t="s">
        <v>160</v>
      </c>
      <c r="C88" s="234" t="s">
        <v>59</v>
      </c>
      <c r="D88" s="234" t="s">
        <v>853</v>
      </c>
      <c r="E88" s="233" t="s">
        <v>21</v>
      </c>
      <c r="F88" s="235" t="s">
        <v>927</v>
      </c>
      <c r="G88" s="235" t="s">
        <v>918</v>
      </c>
      <c r="H88" s="236">
        <f>IFERROR(
  MINIFS(ATTENDANCE_LOG!$F:$F,
         ATTENDANCE_LOG!$A:$A, C88,
         ATTENDANCE_LOG!$B:$B, E88),
"")</f>
        <v>45663.58333</v>
      </c>
      <c r="I88" s="236">
        <f t="shared" si="2"/>
        <v>45663.58333</v>
      </c>
      <c r="J88" s="233">
        <f>IFERROR(VLOOKUP(F88, LEVEL_HELPER!$A:$B, 2, 0), "")</f>
        <v>1</v>
      </c>
      <c r="K88" s="233">
        <f>IFERROR(VLOOKUP(G88, LEVEL_HELPER!$A:$B, 2, 0), "")</f>
        <v>3</v>
      </c>
      <c r="L88" s="237" t="s">
        <v>931</v>
      </c>
      <c r="M88" s="237" t="s">
        <v>923</v>
      </c>
      <c r="N88" s="233">
        <f t="array" ref="N88">IFERROR(
  INDEX($J$2:$J$543,
    MATCH(A88&amp;TEXT(I88,"yyyy-mm-dd"),
          $A$2:$A$543&amp;TEXT($H$2:$H$543,"yyyy-mm-dd"),
          0)),
"")</f>
        <v>1</v>
      </c>
      <c r="O88" s="238">
        <f t="shared" si="3"/>
        <v>3</v>
      </c>
      <c r="P88" s="238">
        <f t="shared" ref="P88:Q88" si="98">IF(N88="",0,IF(N88&lt;=2,1,IF(N88&lt;=4,2,IF(N88&lt;=5.5,3,4))))</f>
        <v>1</v>
      </c>
      <c r="Q88" s="238">
        <f t="shared" si="98"/>
        <v>2</v>
      </c>
      <c r="R88" s="238" t="str">
        <f t="shared" si="5"/>
        <v>Lv1 → Lv2</v>
      </c>
      <c r="S88" s="238">
        <f t="shared" si="6"/>
        <v>1</v>
      </c>
      <c r="T88" s="238"/>
      <c r="U88" s="238"/>
      <c r="V88" s="239" t="s">
        <v>370</v>
      </c>
      <c r="W88" s="238" t="str">
        <f t="shared" si="7"/>
        <v>QC</v>
      </c>
      <c r="X88" s="238" t="str">
        <f t="shared" si="8"/>
        <v>QC</v>
      </c>
      <c r="Y88" s="238" t="str">
        <f t="shared" si="9"/>
        <v>ONC</v>
      </c>
      <c r="Z88" s="238"/>
      <c r="AA88" s="238"/>
      <c r="AB88" s="238"/>
      <c r="AC88" s="238"/>
      <c r="AD88" s="238"/>
      <c r="AE88" s="238"/>
      <c r="AF88" s="238"/>
      <c r="AG88" s="238"/>
      <c r="AH88" s="238"/>
      <c r="AI88" s="238"/>
      <c r="AJ88" s="238"/>
      <c r="AK88" s="238"/>
      <c r="AL88" s="238"/>
      <c r="AM88" s="240"/>
      <c r="AN88" s="239" t="str">
        <f>IFERROR(__xludf.DUMMYFUNCTION("""COMPUTED_VALUE"""),"183340")</f>
        <v>183340</v>
      </c>
      <c r="AO88" s="238" t="str">
        <f t="shared" si="10"/>
        <v>DEV</v>
      </c>
      <c r="AP88" s="238" t="str">
        <f t="shared" si="11"/>
        <v>DEV, TA</v>
      </c>
      <c r="AQ88" s="238" t="str">
        <f t="shared" si="12"/>
        <v>POC</v>
      </c>
      <c r="AR88" s="238"/>
      <c r="AS88" s="238"/>
      <c r="AT88" s="238"/>
      <c r="AU88" s="238"/>
      <c r="AV88" s="238"/>
      <c r="AW88" s="238"/>
      <c r="AX88" s="238"/>
      <c r="AY88" s="238"/>
      <c r="AZ88" s="238"/>
      <c r="BA88" s="238"/>
      <c r="BB88" s="238"/>
      <c r="BC88" s="238"/>
      <c r="BD88" s="238"/>
      <c r="BE88" s="238"/>
      <c r="BF88" s="238"/>
      <c r="BG88" s="238"/>
      <c r="BH88" s="238"/>
      <c r="BI88" s="238"/>
      <c r="BJ88" s="238"/>
      <c r="BK88" s="238"/>
      <c r="BL88" s="238"/>
      <c r="BM88" s="238"/>
      <c r="BN88" s="238"/>
      <c r="BO88" s="238"/>
      <c r="BP88" s="238"/>
      <c r="BQ88" s="238"/>
      <c r="BR88" s="238"/>
      <c r="BS88" s="238"/>
      <c r="BT88" s="238"/>
      <c r="BU88" s="238"/>
      <c r="BV88" s="238"/>
      <c r="BW88" s="238"/>
      <c r="BX88" s="238"/>
      <c r="BY88" s="238"/>
      <c r="BZ88" s="238"/>
      <c r="CA88" s="238"/>
      <c r="CB88" s="238"/>
      <c r="CC88" s="238"/>
      <c r="CD88" s="238"/>
      <c r="CE88" s="238"/>
      <c r="CF88" s="238"/>
      <c r="CG88" s="238"/>
      <c r="CH88" s="238"/>
      <c r="CI88" s="238"/>
      <c r="CJ88" s="238"/>
      <c r="CK88" s="238"/>
    </row>
    <row r="89">
      <c r="A89" s="222" t="s">
        <v>313</v>
      </c>
      <c r="B89" s="190" t="s">
        <v>314</v>
      </c>
      <c r="C89" s="223" t="s">
        <v>59</v>
      </c>
      <c r="D89" s="223" t="s">
        <v>853</v>
      </c>
      <c r="E89" s="190" t="s">
        <v>21</v>
      </c>
      <c r="F89" s="13" t="s">
        <v>927</v>
      </c>
      <c r="G89" s="13" t="s">
        <v>918</v>
      </c>
      <c r="H89" s="219">
        <f>IFERROR(
  MINIFS(ATTENDANCE_LOG!$F:$F,
         ATTENDANCE_LOG!$A:$A, C89,
         ATTENDANCE_LOG!$B:$B, E89),
"")</f>
        <v>45663.58333</v>
      </c>
      <c r="I89" s="219">
        <f t="shared" si="2"/>
        <v>45663.58333</v>
      </c>
      <c r="J89" s="190">
        <f>IFERROR(VLOOKUP(F89, LEVEL_HELPER!$A:$B, 2, 0), "")</f>
        <v>1</v>
      </c>
      <c r="K89" s="190">
        <f>IFERROR(VLOOKUP(G89, LEVEL_HELPER!$A:$B, 2, 0), "")</f>
        <v>3</v>
      </c>
      <c r="L89" s="220" t="s">
        <v>931</v>
      </c>
      <c r="M89" s="220" t="s">
        <v>923</v>
      </c>
      <c r="N89" s="190">
        <f t="array" ref="N89">IFERROR(
  INDEX($J$2:$J$543,
    MATCH(A89&amp;TEXT(I89,"yyyy-mm-dd"),
          $A$2:$A$543&amp;TEXT($H$2:$H$543,"yyyy-mm-dd"),
          0)),
"")</f>
        <v>1</v>
      </c>
      <c r="O89" s="210">
        <f t="shared" si="3"/>
        <v>5</v>
      </c>
      <c r="P89" s="210">
        <f t="shared" ref="P89:Q89" si="99">IF(N89="",0,IF(N89&lt;=2,1,IF(N89&lt;=4,2,IF(N89&lt;=5.5,3,4))))</f>
        <v>1</v>
      </c>
      <c r="Q89" s="210">
        <f t="shared" si="99"/>
        <v>3</v>
      </c>
      <c r="R89" s="210" t="str">
        <f t="shared" si="5"/>
        <v>Lv1 → Lv3 (multi)</v>
      </c>
      <c r="S89" s="210">
        <f t="shared" si="6"/>
        <v>1</v>
      </c>
      <c r="T89" s="210"/>
      <c r="U89" s="210"/>
      <c r="V89" s="211" t="s">
        <v>717</v>
      </c>
      <c r="W89" s="210" t="str">
        <f t="shared" si="7"/>
        <v>QC</v>
      </c>
      <c r="X89" s="210" t="str">
        <f t="shared" si="8"/>
        <v>QC</v>
      </c>
      <c r="Y89" s="210" t="str">
        <f t="shared" si="9"/>
        <v>ONC</v>
      </c>
      <c r="Z89" s="210"/>
      <c r="AA89" s="210"/>
      <c r="AB89" s="210"/>
      <c r="AC89" s="210"/>
      <c r="AD89" s="210"/>
      <c r="AE89" s="210"/>
      <c r="AF89" s="210"/>
      <c r="AG89" s="210"/>
      <c r="AH89" s="210"/>
      <c r="AI89" s="210"/>
      <c r="AJ89" s="210"/>
      <c r="AK89" s="210"/>
      <c r="AL89" s="210"/>
      <c r="AM89" s="214"/>
      <c r="AN89" s="211" t="str">
        <f>IFERROR(__xludf.DUMMYFUNCTION("""COMPUTED_VALUE"""),"213916")</f>
        <v>213916</v>
      </c>
      <c r="AO89" s="210" t="str">
        <f t="shared" si="10"/>
        <v>DEV</v>
      </c>
      <c r="AP89" s="210" t="str">
        <f t="shared" si="11"/>
        <v>DEV, TA</v>
      </c>
      <c r="AQ89" s="210" t="str">
        <f t="shared" si="12"/>
        <v>MOC</v>
      </c>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c r="BU89" s="210"/>
      <c r="BV89" s="210"/>
      <c r="BW89" s="210"/>
      <c r="BX89" s="210"/>
      <c r="BY89" s="210"/>
      <c r="BZ89" s="210"/>
      <c r="CA89" s="210"/>
      <c r="CB89" s="210"/>
      <c r="CC89" s="210"/>
      <c r="CD89" s="210"/>
      <c r="CE89" s="210"/>
      <c r="CF89" s="210"/>
      <c r="CG89" s="210"/>
      <c r="CH89" s="210"/>
      <c r="CI89" s="210"/>
      <c r="CJ89" s="210"/>
      <c r="CK89" s="210"/>
    </row>
    <row r="90">
      <c r="A90" s="222" t="s">
        <v>433</v>
      </c>
      <c r="B90" s="190" t="s">
        <v>432</v>
      </c>
      <c r="C90" s="223" t="s">
        <v>59</v>
      </c>
      <c r="D90" s="223" t="s">
        <v>853</v>
      </c>
      <c r="E90" s="190" t="s">
        <v>21</v>
      </c>
      <c r="F90" s="13" t="s">
        <v>917</v>
      </c>
      <c r="G90" s="13" t="s">
        <v>918</v>
      </c>
      <c r="H90" s="219">
        <f>IFERROR(
  MINIFS(ATTENDANCE_LOG!$F:$F,
         ATTENDANCE_LOG!$A:$A, C90,
         ATTENDANCE_LOG!$B:$B, E90),
"")</f>
        <v>45663.58333</v>
      </c>
      <c r="I90" s="219">
        <f t="shared" si="2"/>
        <v>45663.58333</v>
      </c>
      <c r="J90" s="190">
        <f>IFERROR(VLOOKUP(F90, LEVEL_HELPER!$A:$B, 2, 0), "")</f>
        <v>2.5</v>
      </c>
      <c r="K90" s="190">
        <f>IFERROR(VLOOKUP(G90, LEVEL_HELPER!$A:$B, 2, 0), "")</f>
        <v>3</v>
      </c>
      <c r="L90" s="220" t="s">
        <v>931</v>
      </c>
      <c r="M90" s="220" t="s">
        <v>923</v>
      </c>
      <c r="N90" s="190">
        <f t="array" ref="N90">IFERROR(
  INDEX($J$2:$J$543,
    MATCH(A90&amp;TEXT(I90,"yyyy-mm-dd"),
          $A$2:$A$543&amp;TEXT($H$2:$H$543,"yyyy-mm-dd"),
          0)),
"")</f>
        <v>2.5</v>
      </c>
      <c r="O90" s="210">
        <f t="shared" si="3"/>
        <v>3.5</v>
      </c>
      <c r="P90" s="210">
        <f t="shared" ref="P90:Q90" si="100">IF(N90="",0,IF(N90&lt;=2,1,IF(N90&lt;=4,2,IF(N90&lt;=5.5,3,4))))</f>
        <v>2</v>
      </c>
      <c r="Q90" s="210">
        <f t="shared" si="100"/>
        <v>2</v>
      </c>
      <c r="R90" s="210" t="str">
        <f t="shared" si="5"/>
        <v>Progress within level</v>
      </c>
      <c r="S90" s="210">
        <f t="shared" si="6"/>
        <v>1</v>
      </c>
      <c r="T90" s="210"/>
      <c r="U90" s="210"/>
      <c r="V90" s="211" t="s">
        <v>149</v>
      </c>
      <c r="W90" s="210" t="str">
        <f t="shared" si="7"/>
        <v>QC</v>
      </c>
      <c r="X90" s="210" t="str">
        <f t="shared" si="8"/>
        <v>QC</v>
      </c>
      <c r="Y90" s="210" t="str">
        <f t="shared" si="9"/>
        <v>ONC</v>
      </c>
      <c r="Z90" s="210"/>
      <c r="AA90" s="210"/>
      <c r="AB90" s="210"/>
      <c r="AC90" s="210"/>
      <c r="AD90" s="210"/>
      <c r="AE90" s="210"/>
      <c r="AF90" s="210"/>
      <c r="AG90" s="210"/>
      <c r="AH90" s="210"/>
      <c r="AI90" s="210"/>
      <c r="AJ90" s="210"/>
      <c r="AK90" s="210"/>
      <c r="AL90" s="210"/>
      <c r="AM90" s="214"/>
      <c r="AN90" s="211" t="str">
        <f>IFERROR(__xludf.DUMMYFUNCTION("""COMPUTED_VALUE"""),"227155")</f>
        <v>227155</v>
      </c>
      <c r="AO90" s="210" t="str">
        <f t="shared" si="10"/>
        <v>QC</v>
      </c>
      <c r="AP90" s="210" t="str">
        <f t="shared" si="11"/>
        <v>QC</v>
      </c>
      <c r="AQ90" s="210" t="str">
        <f t="shared" si="12"/>
        <v>POC</v>
      </c>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c r="BU90" s="210"/>
      <c r="BV90" s="210"/>
      <c r="BW90" s="210"/>
      <c r="BX90" s="210"/>
      <c r="BY90" s="210"/>
      <c r="BZ90" s="210"/>
      <c r="CA90" s="210"/>
      <c r="CB90" s="210"/>
      <c r="CC90" s="210"/>
      <c r="CD90" s="210"/>
      <c r="CE90" s="210"/>
      <c r="CF90" s="210"/>
      <c r="CG90" s="210"/>
      <c r="CH90" s="210"/>
      <c r="CI90" s="210"/>
      <c r="CJ90" s="210"/>
      <c r="CK90" s="210"/>
    </row>
    <row r="91">
      <c r="A91" s="222" t="s">
        <v>451</v>
      </c>
      <c r="B91" s="190" t="s">
        <v>452</v>
      </c>
      <c r="C91" s="223" t="s">
        <v>59</v>
      </c>
      <c r="D91" s="223" t="s">
        <v>853</v>
      </c>
      <c r="E91" s="190" t="s">
        <v>21</v>
      </c>
      <c r="F91" s="13" t="s">
        <v>927</v>
      </c>
      <c r="G91" s="13" t="s">
        <v>935</v>
      </c>
      <c r="H91" s="219">
        <f>IFERROR(
  MINIFS(ATTENDANCE_LOG!$F:$F,
         ATTENDANCE_LOG!$A:$A, C91,
         ATTENDANCE_LOG!$B:$B, E91),
"")</f>
        <v>45663.58333</v>
      </c>
      <c r="I91" s="219">
        <f t="shared" si="2"/>
        <v>45663.58333</v>
      </c>
      <c r="J91" s="190">
        <f>IFERROR(VLOOKUP(F91, LEVEL_HELPER!$A:$B, 2, 0), "")</f>
        <v>1</v>
      </c>
      <c r="K91" s="190">
        <f>IFERROR(VLOOKUP(G91, LEVEL_HELPER!$A:$B, 2, 0), "")</f>
        <v>3.5</v>
      </c>
      <c r="L91" s="220" t="s">
        <v>931</v>
      </c>
      <c r="M91" s="220" t="s">
        <v>923</v>
      </c>
      <c r="N91" s="190">
        <f t="array" ref="N91">IFERROR(
  INDEX($J$2:$J$543,
    MATCH(A91&amp;TEXT(I91,"yyyy-mm-dd"),
          $A$2:$A$543&amp;TEXT($H$2:$H$543,"yyyy-mm-dd"),
          0)),
"")</f>
        <v>1</v>
      </c>
      <c r="O91" s="210">
        <f t="shared" si="3"/>
        <v>5.5</v>
      </c>
      <c r="P91" s="210">
        <f t="shared" ref="P91:Q91" si="101">IF(N91="",0,IF(N91&lt;=2,1,IF(N91&lt;=4,2,IF(N91&lt;=5.5,3,4))))</f>
        <v>1</v>
      </c>
      <c r="Q91" s="210">
        <f t="shared" si="101"/>
        <v>3</v>
      </c>
      <c r="R91" s="210" t="str">
        <f t="shared" si="5"/>
        <v>Lv1 → Lv3 (multi)</v>
      </c>
      <c r="S91" s="210">
        <f t="shared" si="6"/>
        <v>1</v>
      </c>
      <c r="T91" s="210"/>
      <c r="U91" s="210"/>
      <c r="V91" s="211" t="s">
        <v>212</v>
      </c>
      <c r="W91" s="210" t="str">
        <f t="shared" si="7"/>
        <v>QC</v>
      </c>
      <c r="X91" s="210" t="str">
        <f t="shared" si="8"/>
        <v>QC</v>
      </c>
      <c r="Y91" s="210" t="str">
        <f t="shared" si="9"/>
        <v>ONC</v>
      </c>
      <c r="Z91" s="210"/>
      <c r="AA91" s="210"/>
      <c r="AB91" s="210"/>
      <c r="AC91" s="210"/>
      <c r="AD91" s="210"/>
      <c r="AE91" s="210"/>
      <c r="AF91" s="210"/>
      <c r="AG91" s="210"/>
      <c r="AH91" s="210"/>
      <c r="AI91" s="210"/>
      <c r="AJ91" s="210"/>
      <c r="AK91" s="210"/>
      <c r="AL91" s="210"/>
      <c r="AM91" s="214"/>
      <c r="AN91" s="211">
        <f>IFERROR(__xludf.DUMMYFUNCTION("""COMPUTED_VALUE"""),193470.0)</f>
        <v>193470</v>
      </c>
      <c r="AO91" s="210" t="str">
        <f t="shared" si="10"/>
        <v>#N/A</v>
      </c>
      <c r="AP91" s="210" t="str">
        <f t="shared" si="11"/>
        <v>#N/A</v>
      </c>
      <c r="AQ91" s="210" t="str">
        <f t="shared" si="12"/>
        <v>#N/A</v>
      </c>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c r="BU91" s="210"/>
      <c r="BV91" s="210"/>
      <c r="BW91" s="210"/>
      <c r="BX91" s="210"/>
      <c r="BY91" s="210"/>
      <c r="BZ91" s="210"/>
      <c r="CA91" s="210"/>
      <c r="CB91" s="210"/>
      <c r="CC91" s="210"/>
      <c r="CD91" s="210"/>
      <c r="CE91" s="210"/>
      <c r="CF91" s="210"/>
      <c r="CG91" s="210"/>
      <c r="CH91" s="210"/>
      <c r="CI91" s="210"/>
      <c r="CJ91" s="210"/>
      <c r="CK91" s="210"/>
    </row>
    <row r="92">
      <c r="A92" s="222" t="s">
        <v>466</v>
      </c>
      <c r="B92" s="190" t="s">
        <v>467</v>
      </c>
      <c r="C92" s="223" t="s">
        <v>59</v>
      </c>
      <c r="D92" s="223" t="s">
        <v>853</v>
      </c>
      <c r="E92" s="190" t="s">
        <v>21</v>
      </c>
      <c r="F92" s="13" t="s">
        <v>927</v>
      </c>
      <c r="G92" s="13" t="s">
        <v>929</v>
      </c>
      <c r="H92" s="219">
        <f>IFERROR(
  MINIFS(ATTENDANCE_LOG!$F:$F,
         ATTENDANCE_LOG!$A:$A, C92,
         ATTENDANCE_LOG!$B:$B, E92),
"")</f>
        <v>45663.58333</v>
      </c>
      <c r="I92" s="219">
        <f t="shared" si="2"/>
        <v>45663.58333</v>
      </c>
      <c r="J92" s="190">
        <f>IFERROR(VLOOKUP(F92, LEVEL_HELPER!$A:$B, 2, 0), "")</f>
        <v>1</v>
      </c>
      <c r="K92" s="190">
        <f>IFERROR(VLOOKUP(G92, LEVEL_HELPER!$A:$B, 2, 0), "")</f>
        <v>1.5</v>
      </c>
      <c r="L92" s="220" t="s">
        <v>931</v>
      </c>
      <c r="M92" s="220" t="s">
        <v>923</v>
      </c>
      <c r="N92" s="190">
        <f t="array" ref="N92">IFERROR(
  INDEX($J$2:$J$543,
    MATCH(A92&amp;TEXT(I92,"yyyy-mm-dd"),
          $A$2:$A$543&amp;TEXT($H$2:$H$543,"yyyy-mm-dd"),
          0)),
"")</f>
        <v>1</v>
      </c>
      <c r="O92" s="210">
        <f t="shared" si="3"/>
        <v>3</v>
      </c>
      <c r="P92" s="210">
        <f t="shared" ref="P92:Q92" si="102">IF(N92="",0,IF(N92&lt;=2,1,IF(N92&lt;=4,2,IF(N92&lt;=5.5,3,4))))</f>
        <v>1</v>
      </c>
      <c r="Q92" s="210">
        <f t="shared" si="102"/>
        <v>2</v>
      </c>
      <c r="R92" s="210" t="str">
        <f t="shared" si="5"/>
        <v>Lv1 → Lv2</v>
      </c>
      <c r="S92" s="210">
        <f t="shared" si="6"/>
        <v>1</v>
      </c>
      <c r="T92" s="210"/>
      <c r="U92" s="210"/>
      <c r="V92" s="211" t="s">
        <v>267</v>
      </c>
      <c r="W92" s="210" t="str">
        <f t="shared" si="7"/>
        <v>QC</v>
      </c>
      <c r="X92" s="210" t="str">
        <f t="shared" si="8"/>
        <v>QC</v>
      </c>
      <c r="Y92" s="210" t="str">
        <f t="shared" si="9"/>
        <v>ONC</v>
      </c>
      <c r="Z92" s="210"/>
      <c r="AA92" s="210"/>
      <c r="AB92" s="210"/>
      <c r="AC92" s="210"/>
      <c r="AD92" s="210"/>
      <c r="AE92" s="210"/>
      <c r="AF92" s="210"/>
      <c r="AG92" s="210"/>
      <c r="AH92" s="210"/>
      <c r="AI92" s="210"/>
      <c r="AJ92" s="210"/>
      <c r="AK92" s="210"/>
      <c r="AL92" s="210"/>
      <c r="AM92" s="214"/>
      <c r="AN92" s="211" t="str">
        <f>IFERROR(__xludf.DUMMYFUNCTION("""COMPUTED_VALUE"""),"153138")</f>
        <v>153138</v>
      </c>
      <c r="AO92" s="210" t="str">
        <f t="shared" si="10"/>
        <v>DEV</v>
      </c>
      <c r="AP92" s="210" t="str">
        <f t="shared" si="11"/>
        <v>DEV, TA</v>
      </c>
      <c r="AQ92" s="210" t="str">
        <f t="shared" si="12"/>
        <v>ONC</v>
      </c>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c r="BU92" s="210"/>
      <c r="BV92" s="210"/>
      <c r="BW92" s="210"/>
      <c r="BX92" s="210"/>
      <c r="BY92" s="210"/>
      <c r="BZ92" s="210"/>
      <c r="CA92" s="210"/>
      <c r="CB92" s="210"/>
      <c r="CC92" s="210"/>
      <c r="CD92" s="210"/>
      <c r="CE92" s="210"/>
      <c r="CF92" s="210"/>
      <c r="CG92" s="210"/>
      <c r="CH92" s="210"/>
      <c r="CI92" s="210"/>
      <c r="CJ92" s="210"/>
      <c r="CK92" s="210"/>
    </row>
    <row r="93">
      <c r="A93" s="216" t="s">
        <v>330</v>
      </c>
      <c r="B93" s="217" t="s">
        <v>331</v>
      </c>
      <c r="C93" s="218" t="s">
        <v>59</v>
      </c>
      <c r="D93" s="218" t="s">
        <v>853</v>
      </c>
      <c r="E93" s="217" t="s">
        <v>22</v>
      </c>
      <c r="F93" s="13" t="s">
        <v>932</v>
      </c>
      <c r="G93" s="13" t="s">
        <v>938</v>
      </c>
      <c r="H93" s="219">
        <f>IFERROR(
  MINIFS(ATTENDANCE_LOG!$F:$F,
         ATTENDANCE_LOG!$A:$A, C93,
         ATTENDANCE_LOG!$B:$B, E93),
"")</f>
        <v>45915.54167</v>
      </c>
      <c r="I93" s="219">
        <f t="shared" si="2"/>
        <v>45637.41667</v>
      </c>
      <c r="J93" s="190">
        <f>IFERROR(VLOOKUP(F93, LEVEL_HELPER!$A:$B, 2, 0), "")</f>
        <v>4.5</v>
      </c>
      <c r="K93" s="190">
        <f>IFERROR(VLOOKUP(G93, LEVEL_HELPER!$A:$B, 2, 0), "")</f>
        <v>5.5</v>
      </c>
      <c r="L93" s="220" t="s">
        <v>943</v>
      </c>
      <c r="M93" s="220" t="s">
        <v>923</v>
      </c>
      <c r="N93" s="190">
        <f t="array" ref="N93">IFERROR(
  INDEX($J$2:$J$543,
    MATCH(A93&amp;TEXT(I93,"yyyy-mm-dd"),
          $A$2:$A$543&amp;TEXT($H$2:$H$543,"yyyy-mm-dd"),
          0)),
"")</f>
        <v>2.5</v>
      </c>
      <c r="O93" s="210">
        <f t="shared" si="3"/>
        <v>5.5</v>
      </c>
      <c r="P93" s="210">
        <f t="shared" ref="P93:Q93" si="103">IF(N93="",0,IF(N93&lt;=2,1,IF(N93&lt;=4,2,IF(N93&lt;=5.5,3,4))))</f>
        <v>2</v>
      </c>
      <c r="Q93" s="210">
        <f t="shared" si="103"/>
        <v>3</v>
      </c>
      <c r="R93" s="210" t="str">
        <f t="shared" si="5"/>
        <v>Lv2 → Lv3</v>
      </c>
      <c r="S93" s="210">
        <f t="shared" si="6"/>
        <v>0</v>
      </c>
      <c r="T93" s="210"/>
      <c r="U93" s="210"/>
      <c r="V93" s="211" t="s">
        <v>413</v>
      </c>
      <c r="W93" s="210" t="str">
        <f t="shared" si="7"/>
        <v>QC</v>
      </c>
      <c r="X93" s="210" t="str">
        <f t="shared" si="8"/>
        <v>QC</v>
      </c>
      <c r="Y93" s="210" t="str">
        <f t="shared" si="9"/>
        <v>ONC</v>
      </c>
      <c r="Z93" s="210"/>
      <c r="AA93" s="210"/>
      <c r="AB93" s="210"/>
      <c r="AC93" s="210"/>
      <c r="AD93" s="210"/>
      <c r="AE93" s="210"/>
      <c r="AF93" s="210"/>
      <c r="AG93" s="210"/>
      <c r="AH93" s="210"/>
      <c r="AI93" s="210"/>
      <c r="AJ93" s="210"/>
      <c r="AK93" s="210"/>
      <c r="AL93" s="210"/>
      <c r="AM93" s="214"/>
      <c r="AN93" s="211" t="str">
        <f>IFERROR(__xludf.DUMMYFUNCTION("""COMPUTED_VALUE"""),"193522")</f>
        <v>193522</v>
      </c>
      <c r="AO93" s="210" t="str">
        <f t="shared" si="10"/>
        <v>DEV</v>
      </c>
      <c r="AP93" s="210" t="str">
        <f t="shared" si="11"/>
        <v>DEV, TA</v>
      </c>
      <c r="AQ93" s="210" t="str">
        <f t="shared" si="12"/>
        <v>ONC</v>
      </c>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c r="BU93" s="210"/>
      <c r="BV93" s="210"/>
      <c r="BW93" s="210"/>
      <c r="BX93" s="210"/>
      <c r="BY93" s="210"/>
      <c r="BZ93" s="210"/>
      <c r="CA93" s="210"/>
      <c r="CB93" s="210"/>
      <c r="CC93" s="210"/>
      <c r="CD93" s="210"/>
      <c r="CE93" s="210"/>
      <c r="CF93" s="210"/>
      <c r="CG93" s="210"/>
      <c r="CH93" s="210"/>
      <c r="CI93" s="210"/>
      <c r="CJ93" s="210"/>
      <c r="CK93" s="210"/>
    </row>
    <row r="94">
      <c r="A94" s="222" t="s">
        <v>247</v>
      </c>
      <c r="B94" s="190" t="s">
        <v>248</v>
      </c>
      <c r="C94" s="223" t="s">
        <v>59</v>
      </c>
      <c r="D94" s="223" t="s">
        <v>853</v>
      </c>
      <c r="E94" s="190" t="s">
        <v>22</v>
      </c>
      <c r="F94" s="13" t="s">
        <v>929</v>
      </c>
      <c r="G94" s="13" t="s">
        <v>929</v>
      </c>
      <c r="H94" s="219">
        <f>IFERROR(
  MINIFS(ATTENDANCE_LOG!$F:$F,
         ATTENDANCE_LOG!$A:$A, C94,
         ATTENDANCE_LOG!$B:$B, E94),
"")</f>
        <v>45915.54167</v>
      </c>
      <c r="I94" s="219">
        <f t="shared" si="2"/>
        <v>45715.58333</v>
      </c>
      <c r="J94" s="190">
        <f>IFERROR(VLOOKUP(F94, LEVEL_HELPER!$A:$B, 2, 0), "")</f>
        <v>1.5</v>
      </c>
      <c r="K94" s="190">
        <f>IFERROR(VLOOKUP(G94, LEVEL_HELPER!$A:$B, 2, 0), "")</f>
        <v>1.5</v>
      </c>
      <c r="L94" s="220" t="s">
        <v>931</v>
      </c>
      <c r="M94" s="220" t="s">
        <v>923</v>
      </c>
      <c r="N94" s="190">
        <f t="array" ref="N94">IFERROR(
  INDEX($J$2:$J$543,
    MATCH(A94&amp;TEXT(I94,"yyyy-mm-dd"),
          $A$2:$A$543&amp;TEXT($H$2:$H$543,"yyyy-mm-dd"),
          0)),
"")</f>
        <v>1</v>
      </c>
      <c r="O94" s="210">
        <f t="shared" si="3"/>
        <v>1.5</v>
      </c>
      <c r="P94" s="210">
        <f t="shared" ref="P94:Q94" si="104">IF(N94="",0,IF(N94&lt;=2,1,IF(N94&lt;=4,2,IF(N94&lt;=5.5,3,4))))</f>
        <v>1</v>
      </c>
      <c r="Q94" s="210">
        <f t="shared" si="104"/>
        <v>1</v>
      </c>
      <c r="R94" s="210" t="str">
        <f t="shared" si="5"/>
        <v>Progress within level</v>
      </c>
      <c r="S94" s="210">
        <f t="shared" si="6"/>
        <v>1</v>
      </c>
      <c r="T94" s="210"/>
      <c r="U94" s="210"/>
      <c r="V94" s="211" t="s">
        <v>601</v>
      </c>
      <c r="W94" s="210" t="str">
        <f t="shared" si="7"/>
        <v>QC</v>
      </c>
      <c r="X94" s="210" t="str">
        <f t="shared" si="8"/>
        <v>QC</v>
      </c>
      <c r="Y94" s="210" t="str">
        <f t="shared" si="9"/>
        <v>LBU</v>
      </c>
      <c r="Z94" s="210"/>
      <c r="AA94" s="210"/>
      <c r="AB94" s="210"/>
      <c r="AC94" s="210"/>
      <c r="AD94" s="210"/>
      <c r="AE94" s="210"/>
      <c r="AF94" s="210"/>
      <c r="AG94" s="210"/>
      <c r="AH94" s="210"/>
      <c r="AI94" s="210"/>
      <c r="AJ94" s="210"/>
      <c r="AK94" s="210"/>
      <c r="AL94" s="210"/>
      <c r="AM94" s="214"/>
      <c r="AN94" s="211" t="str">
        <f>IFERROR(__xludf.DUMMYFUNCTION("""COMPUTED_VALUE"""),"237070")</f>
        <v>237070</v>
      </c>
      <c r="AO94" s="210" t="str">
        <f t="shared" si="10"/>
        <v>DEV</v>
      </c>
      <c r="AP94" s="210" t="str">
        <f t="shared" si="11"/>
        <v>DEV, TA</v>
      </c>
      <c r="AQ94" s="210" t="str">
        <f t="shared" si="12"/>
        <v>ONC</v>
      </c>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c r="BU94" s="210"/>
      <c r="BV94" s="210"/>
      <c r="BW94" s="210"/>
      <c r="BX94" s="210"/>
      <c r="BY94" s="210"/>
      <c r="BZ94" s="210"/>
      <c r="CA94" s="210"/>
      <c r="CB94" s="210"/>
      <c r="CC94" s="210"/>
      <c r="CD94" s="210"/>
      <c r="CE94" s="210"/>
      <c r="CF94" s="210"/>
      <c r="CG94" s="210"/>
      <c r="CH94" s="210"/>
      <c r="CI94" s="210"/>
      <c r="CJ94" s="210"/>
      <c r="CK94" s="210"/>
    </row>
    <row r="95">
      <c r="A95" s="222" t="s">
        <v>294</v>
      </c>
      <c r="B95" s="190" t="s">
        <v>295</v>
      </c>
      <c r="C95" s="223" t="s">
        <v>59</v>
      </c>
      <c r="D95" s="223" t="s">
        <v>853</v>
      </c>
      <c r="E95" s="190" t="s">
        <v>22</v>
      </c>
      <c r="F95" s="13" t="s">
        <v>929</v>
      </c>
      <c r="G95" s="13" t="s">
        <v>918</v>
      </c>
      <c r="H95" s="219">
        <f>IFERROR(
  MINIFS(ATTENDANCE_LOG!$F:$F,
         ATTENDANCE_LOG!$A:$A, C95,
         ATTENDANCE_LOG!$B:$B, E95),
"")</f>
        <v>45915.54167</v>
      </c>
      <c r="I95" s="219">
        <f t="shared" si="2"/>
        <v>45637.41667</v>
      </c>
      <c r="J95" s="190">
        <f>IFERROR(VLOOKUP(F95, LEVEL_HELPER!$A:$B, 2, 0), "")</f>
        <v>1.5</v>
      </c>
      <c r="K95" s="190">
        <f>IFERROR(VLOOKUP(G95, LEVEL_HELPER!$A:$B, 2, 0), "")</f>
        <v>3</v>
      </c>
      <c r="L95" s="220" t="s">
        <v>931</v>
      </c>
      <c r="M95" s="220" t="s">
        <v>923</v>
      </c>
      <c r="N95" s="190">
        <f t="array" ref="N95">IFERROR(
  INDEX($J$2:$J$543,
    MATCH(A95&amp;TEXT(I95,"yyyy-mm-dd"),
          $A$2:$A$543&amp;TEXT($H$2:$H$543,"yyyy-mm-dd"),
          0)),
"")</f>
        <v>1</v>
      </c>
      <c r="O95" s="210">
        <f t="shared" si="3"/>
        <v>3</v>
      </c>
      <c r="P95" s="210">
        <f t="shared" ref="P95:Q95" si="105">IF(N95="",0,IF(N95&lt;=2,1,IF(N95&lt;=4,2,IF(N95&lt;=5.5,3,4))))</f>
        <v>1</v>
      </c>
      <c r="Q95" s="210">
        <f t="shared" si="105"/>
        <v>2</v>
      </c>
      <c r="R95" s="210" t="str">
        <f t="shared" si="5"/>
        <v>Lv1 → Lv2</v>
      </c>
      <c r="S95" s="210">
        <f t="shared" si="6"/>
        <v>0</v>
      </c>
      <c r="T95" s="210"/>
      <c r="U95" s="210"/>
      <c r="V95" s="211" t="s">
        <v>699</v>
      </c>
      <c r="W95" s="210" t="str">
        <f t="shared" si="7"/>
        <v>QC</v>
      </c>
      <c r="X95" s="210" t="str">
        <f t="shared" si="8"/>
        <v>QC</v>
      </c>
      <c r="Y95" s="210" t="str">
        <f t="shared" si="9"/>
        <v>LBU</v>
      </c>
      <c r="Z95" s="210"/>
      <c r="AA95" s="210"/>
      <c r="AB95" s="210"/>
      <c r="AC95" s="210"/>
      <c r="AD95" s="210"/>
      <c r="AE95" s="210"/>
      <c r="AF95" s="210"/>
      <c r="AG95" s="210"/>
      <c r="AH95" s="210"/>
      <c r="AI95" s="210"/>
      <c r="AJ95" s="210"/>
      <c r="AK95" s="210"/>
      <c r="AL95" s="210"/>
      <c r="AM95" s="214"/>
      <c r="AN95" s="211" t="str">
        <f>IFERROR(__xludf.DUMMYFUNCTION("""COMPUTED_VALUE"""),"203757")</f>
        <v>203757</v>
      </c>
      <c r="AO95" s="210" t="str">
        <f t="shared" si="10"/>
        <v>DEV</v>
      </c>
      <c r="AP95" s="210" t="str">
        <f t="shared" si="11"/>
        <v>DEV, TA</v>
      </c>
      <c r="AQ95" s="210" t="str">
        <f t="shared" si="12"/>
        <v>ONC</v>
      </c>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c r="BU95" s="210"/>
      <c r="BV95" s="210"/>
      <c r="BW95" s="210"/>
      <c r="BX95" s="210"/>
      <c r="BY95" s="210"/>
      <c r="BZ95" s="210"/>
      <c r="CA95" s="210"/>
      <c r="CB95" s="210"/>
      <c r="CC95" s="210"/>
      <c r="CD95" s="210"/>
      <c r="CE95" s="210"/>
      <c r="CF95" s="210"/>
      <c r="CG95" s="210"/>
      <c r="CH95" s="210"/>
      <c r="CI95" s="210"/>
      <c r="CJ95" s="210"/>
      <c r="CK95" s="210"/>
    </row>
    <row r="96">
      <c r="A96" s="222" t="s">
        <v>313</v>
      </c>
      <c r="B96" s="190" t="s">
        <v>314</v>
      </c>
      <c r="C96" s="223" t="s">
        <v>59</v>
      </c>
      <c r="D96" s="223" t="s">
        <v>853</v>
      </c>
      <c r="E96" s="190" t="s">
        <v>22</v>
      </c>
      <c r="F96" s="13" t="s">
        <v>918</v>
      </c>
      <c r="G96" s="13" t="s">
        <v>941</v>
      </c>
      <c r="H96" s="219">
        <f>IFERROR(
  MINIFS(ATTENDANCE_LOG!$F:$F,
         ATTENDANCE_LOG!$A:$A, C96,
         ATTENDANCE_LOG!$B:$B, E96),
"")</f>
        <v>45915.54167</v>
      </c>
      <c r="I96" s="219">
        <f t="shared" si="2"/>
        <v>45663.58333</v>
      </c>
      <c r="J96" s="190">
        <f>IFERROR(VLOOKUP(F96, LEVEL_HELPER!$A:$B, 2, 0), "")</f>
        <v>3</v>
      </c>
      <c r="K96" s="190">
        <f>IFERROR(VLOOKUP(G96, LEVEL_HELPER!$A:$B, 2, 0), "")</f>
        <v>5</v>
      </c>
      <c r="L96" s="220" t="s">
        <v>931</v>
      </c>
      <c r="M96" s="220" t="s">
        <v>923</v>
      </c>
      <c r="N96" s="190">
        <f t="array" ref="N96">IFERROR(
  INDEX($J$2:$J$543,
    MATCH(A96&amp;TEXT(I96,"yyyy-mm-dd"),
          $A$2:$A$543&amp;TEXT($H$2:$H$543,"yyyy-mm-dd"),
          0)),
"")</f>
        <v>1</v>
      </c>
      <c r="O96" s="210">
        <f t="shared" si="3"/>
        <v>5</v>
      </c>
      <c r="P96" s="210">
        <f t="shared" ref="P96:Q96" si="106">IF(N96="",0,IF(N96&lt;=2,1,IF(N96&lt;=4,2,IF(N96&lt;=5.5,3,4))))</f>
        <v>1</v>
      </c>
      <c r="Q96" s="210">
        <f t="shared" si="106"/>
        <v>3</v>
      </c>
      <c r="R96" s="210" t="str">
        <f t="shared" si="5"/>
        <v>Lv1 → Lv3 (multi)</v>
      </c>
      <c r="S96" s="210">
        <f t="shared" si="6"/>
        <v>0</v>
      </c>
      <c r="T96" s="210"/>
      <c r="U96" s="210"/>
      <c r="V96" s="211" t="s">
        <v>346</v>
      </c>
      <c r="W96" s="210" t="str">
        <f t="shared" si="7"/>
        <v>BA</v>
      </c>
      <c r="X96" s="210" t="str">
        <f t="shared" si="8"/>
        <v>BA, BC</v>
      </c>
      <c r="Y96" s="210" t="str">
        <f t="shared" si="9"/>
        <v>TBU</v>
      </c>
      <c r="Z96" s="210"/>
      <c r="AA96" s="210"/>
      <c r="AB96" s="210"/>
      <c r="AC96" s="210"/>
      <c r="AD96" s="210"/>
      <c r="AE96" s="210"/>
      <c r="AF96" s="210"/>
      <c r="AG96" s="210"/>
      <c r="AH96" s="210"/>
      <c r="AI96" s="210"/>
      <c r="AJ96" s="210"/>
      <c r="AK96" s="210"/>
      <c r="AL96" s="210"/>
      <c r="AM96" s="214"/>
      <c r="AN96" s="211" t="str">
        <f>IFERROR(__xludf.DUMMYFUNCTION("""COMPUTED_VALUE"""),"213911")</f>
        <v>213911</v>
      </c>
      <c r="AO96" s="210" t="str">
        <f t="shared" si="10"/>
        <v>DEV</v>
      </c>
      <c r="AP96" s="210" t="str">
        <f t="shared" si="11"/>
        <v>DEV, TA</v>
      </c>
      <c r="AQ96" s="210" t="str">
        <f t="shared" si="12"/>
        <v>ONC</v>
      </c>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c r="BU96" s="210"/>
      <c r="BV96" s="210"/>
      <c r="BW96" s="210"/>
      <c r="BX96" s="210"/>
      <c r="BY96" s="210"/>
      <c r="BZ96" s="210"/>
      <c r="CA96" s="210"/>
      <c r="CB96" s="210"/>
      <c r="CC96" s="210"/>
      <c r="CD96" s="210"/>
      <c r="CE96" s="210"/>
      <c r="CF96" s="210"/>
      <c r="CG96" s="210"/>
      <c r="CH96" s="210"/>
      <c r="CI96" s="210"/>
      <c r="CJ96" s="210"/>
      <c r="CK96" s="210"/>
    </row>
    <row r="97">
      <c r="A97" s="222" t="s">
        <v>411</v>
      </c>
      <c r="B97" s="190" t="s">
        <v>412</v>
      </c>
      <c r="C97" s="223" t="s">
        <v>59</v>
      </c>
      <c r="D97" s="223" t="s">
        <v>853</v>
      </c>
      <c r="E97" s="190" t="s">
        <v>22</v>
      </c>
      <c r="F97" s="13" t="s">
        <v>929</v>
      </c>
      <c r="G97" s="13" t="s">
        <v>941</v>
      </c>
      <c r="H97" s="219">
        <f>IFERROR(
  MINIFS(ATTENDANCE_LOG!$F:$F,
         ATTENDANCE_LOG!$A:$A, C97,
         ATTENDANCE_LOG!$B:$B, E97),
"")</f>
        <v>45915.54167</v>
      </c>
      <c r="I97" s="219">
        <f t="shared" si="2"/>
        <v>45637.41667</v>
      </c>
      <c r="J97" s="190">
        <f>IFERROR(VLOOKUP(F97, LEVEL_HELPER!$A:$B, 2, 0), "")</f>
        <v>1.5</v>
      </c>
      <c r="K97" s="190">
        <f>IFERROR(VLOOKUP(G97, LEVEL_HELPER!$A:$B, 2, 0), "")</f>
        <v>5</v>
      </c>
      <c r="L97" s="220" t="s">
        <v>931</v>
      </c>
      <c r="M97" s="220" t="s">
        <v>923</v>
      </c>
      <c r="N97" s="190">
        <f t="array" ref="N97">IFERROR(
  INDEX($J$2:$J$543,
    MATCH(A97&amp;TEXT(I97,"yyyy-mm-dd"),
          $A$2:$A$543&amp;TEXT($H$2:$H$543,"yyyy-mm-dd"),
          0)),
"")</f>
        <v>2.5</v>
      </c>
      <c r="O97" s="210">
        <f t="shared" si="3"/>
        <v>5</v>
      </c>
      <c r="P97" s="210">
        <f t="shared" ref="P97:Q97" si="107">IF(N97="",0,IF(N97&lt;=2,1,IF(N97&lt;=4,2,IF(N97&lt;=5.5,3,4))))</f>
        <v>2</v>
      </c>
      <c r="Q97" s="210">
        <f t="shared" si="107"/>
        <v>3</v>
      </c>
      <c r="R97" s="210" t="str">
        <f t="shared" si="5"/>
        <v>Lv2 → Lv3</v>
      </c>
      <c r="S97" s="210">
        <f t="shared" si="6"/>
        <v>0</v>
      </c>
      <c r="T97" s="210"/>
      <c r="U97" s="210"/>
      <c r="V97" s="211" t="s">
        <v>514</v>
      </c>
      <c r="W97" s="210" t="str">
        <f t="shared" si="7"/>
        <v>DEV</v>
      </c>
      <c r="X97" s="210" t="str">
        <f t="shared" si="8"/>
        <v>DEV, TA</v>
      </c>
      <c r="Y97" s="210" t="str">
        <f t="shared" si="9"/>
        <v>TBU</v>
      </c>
      <c r="Z97" s="210"/>
      <c r="AA97" s="210"/>
      <c r="AB97" s="210"/>
      <c r="AC97" s="210"/>
      <c r="AD97" s="210"/>
      <c r="AE97" s="210"/>
      <c r="AF97" s="210"/>
      <c r="AG97" s="210"/>
      <c r="AH97" s="210"/>
      <c r="AI97" s="210"/>
      <c r="AJ97" s="210"/>
      <c r="AK97" s="210"/>
      <c r="AL97" s="210"/>
      <c r="AM97" s="214"/>
      <c r="AN97" s="211" t="str">
        <f>IFERROR(__xludf.DUMMYFUNCTION("""COMPUTED_VALUE"""),"203791")</f>
        <v>203791</v>
      </c>
      <c r="AO97" s="210" t="str">
        <f t="shared" si="10"/>
        <v>DEV</v>
      </c>
      <c r="AP97" s="210" t="str">
        <f t="shared" si="11"/>
        <v>DEV, TA</v>
      </c>
      <c r="AQ97" s="210" t="str">
        <f t="shared" si="12"/>
        <v>ONC</v>
      </c>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c r="BU97" s="210"/>
      <c r="BV97" s="210"/>
      <c r="BW97" s="210"/>
      <c r="BX97" s="210"/>
      <c r="BY97" s="210"/>
      <c r="BZ97" s="210"/>
      <c r="CA97" s="210"/>
      <c r="CB97" s="210"/>
      <c r="CC97" s="210"/>
      <c r="CD97" s="210"/>
      <c r="CE97" s="210"/>
      <c r="CF97" s="210"/>
      <c r="CG97" s="210"/>
      <c r="CH97" s="210"/>
      <c r="CI97" s="210"/>
      <c r="CJ97" s="210"/>
      <c r="CK97" s="210"/>
    </row>
    <row r="98">
      <c r="A98" s="222" t="s">
        <v>451</v>
      </c>
      <c r="B98" s="190" t="s">
        <v>452</v>
      </c>
      <c r="C98" s="223" t="s">
        <v>59</v>
      </c>
      <c r="D98" s="223" t="s">
        <v>853</v>
      </c>
      <c r="E98" s="190" t="s">
        <v>22</v>
      </c>
      <c r="F98" s="13" t="s">
        <v>935</v>
      </c>
      <c r="G98" s="13" t="s">
        <v>938</v>
      </c>
      <c r="H98" s="219">
        <f>IFERROR(
  MINIFS(ATTENDANCE_LOG!$F:$F,
         ATTENDANCE_LOG!$A:$A, C98,
         ATTENDANCE_LOG!$B:$B, E98),
"")</f>
        <v>45915.54167</v>
      </c>
      <c r="I98" s="219">
        <f t="shared" si="2"/>
        <v>45663.58333</v>
      </c>
      <c r="J98" s="190">
        <f>IFERROR(VLOOKUP(F98, LEVEL_HELPER!$A:$B, 2, 0), "")</f>
        <v>3.5</v>
      </c>
      <c r="K98" s="190">
        <f>IFERROR(VLOOKUP(G98, LEVEL_HELPER!$A:$B, 2, 0), "")</f>
        <v>5.5</v>
      </c>
      <c r="L98" s="220" t="s">
        <v>931</v>
      </c>
      <c r="M98" s="220" t="s">
        <v>923</v>
      </c>
      <c r="N98" s="190">
        <f t="array" ref="N98">IFERROR(
  INDEX($J$2:$J$543,
    MATCH(A98&amp;TEXT(I98,"yyyy-mm-dd"),
          $A$2:$A$543&amp;TEXT($H$2:$H$543,"yyyy-mm-dd"),
          0)),
"")</f>
        <v>1</v>
      </c>
      <c r="O98" s="210">
        <f t="shared" si="3"/>
        <v>5.5</v>
      </c>
      <c r="P98" s="210">
        <f t="shared" ref="P98:Q98" si="108">IF(N98="",0,IF(N98&lt;=2,1,IF(N98&lt;=4,2,IF(N98&lt;=5.5,3,4))))</f>
        <v>1</v>
      </c>
      <c r="Q98" s="210">
        <f t="shared" si="108"/>
        <v>3</v>
      </c>
      <c r="R98" s="210" t="str">
        <f t="shared" si="5"/>
        <v>Lv1 → Lv3 (multi)</v>
      </c>
      <c r="S98" s="210">
        <f t="shared" si="6"/>
        <v>0</v>
      </c>
      <c r="T98" s="210"/>
      <c r="U98" s="210"/>
      <c r="V98" s="211" t="s">
        <v>518</v>
      </c>
      <c r="W98" s="210" t="str">
        <f t="shared" si="7"/>
        <v>DEV</v>
      </c>
      <c r="X98" s="210" t="str">
        <f t="shared" si="8"/>
        <v>DEV, TA</v>
      </c>
      <c r="Y98" s="210" t="str">
        <f t="shared" si="9"/>
        <v>TBU</v>
      </c>
      <c r="Z98" s="210"/>
      <c r="AA98" s="210"/>
      <c r="AB98" s="210"/>
      <c r="AC98" s="210"/>
      <c r="AD98" s="210"/>
      <c r="AE98" s="210"/>
      <c r="AF98" s="210"/>
      <c r="AG98" s="210"/>
      <c r="AH98" s="210"/>
      <c r="AI98" s="210"/>
      <c r="AJ98" s="210"/>
      <c r="AK98" s="210"/>
      <c r="AL98" s="210"/>
      <c r="AM98" s="214"/>
      <c r="AN98" s="211" t="str">
        <f>IFERROR(__xludf.DUMMYFUNCTION("""COMPUTED_VALUE"""),"237031")</f>
        <v>237031</v>
      </c>
      <c r="AO98" s="210" t="str">
        <f t="shared" si="10"/>
        <v>DEV</v>
      </c>
      <c r="AP98" s="210" t="str">
        <f t="shared" si="11"/>
        <v>DEV, TA</v>
      </c>
      <c r="AQ98" s="210" t="str">
        <f t="shared" si="12"/>
        <v>ONC</v>
      </c>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c r="BU98" s="210"/>
      <c r="BV98" s="210"/>
      <c r="BW98" s="210"/>
      <c r="BX98" s="210"/>
      <c r="BY98" s="210"/>
      <c r="BZ98" s="210"/>
      <c r="CA98" s="210"/>
      <c r="CB98" s="210"/>
      <c r="CC98" s="210"/>
      <c r="CD98" s="210"/>
      <c r="CE98" s="210"/>
      <c r="CF98" s="210"/>
      <c r="CG98" s="210"/>
      <c r="CH98" s="210"/>
      <c r="CI98" s="210"/>
      <c r="CJ98" s="210"/>
      <c r="CK98" s="210"/>
    </row>
    <row r="99">
      <c r="A99" s="222" t="s">
        <v>466</v>
      </c>
      <c r="B99" s="190" t="s">
        <v>467</v>
      </c>
      <c r="C99" s="223" t="s">
        <v>59</v>
      </c>
      <c r="D99" s="223" t="s">
        <v>853</v>
      </c>
      <c r="E99" s="190" t="s">
        <v>22</v>
      </c>
      <c r="F99" s="13" t="s">
        <v>929</v>
      </c>
      <c r="G99" s="13" t="s">
        <v>918</v>
      </c>
      <c r="H99" s="219">
        <f>IFERROR(
  MINIFS(ATTENDANCE_LOG!$F:$F,
         ATTENDANCE_LOG!$A:$A, C99,
         ATTENDANCE_LOG!$B:$B, E99),
"")</f>
        <v>45915.54167</v>
      </c>
      <c r="I99" s="219">
        <f t="shared" si="2"/>
        <v>45663.58333</v>
      </c>
      <c r="J99" s="190">
        <f>IFERROR(VLOOKUP(F99, LEVEL_HELPER!$A:$B, 2, 0), "")</f>
        <v>1.5</v>
      </c>
      <c r="K99" s="190">
        <f>IFERROR(VLOOKUP(G99, LEVEL_HELPER!$A:$B, 2, 0), "")</f>
        <v>3</v>
      </c>
      <c r="L99" s="220" t="s">
        <v>931</v>
      </c>
      <c r="M99" s="220" t="s">
        <v>923</v>
      </c>
      <c r="N99" s="190">
        <f t="array" ref="N99">IFERROR(
  INDEX($J$2:$J$543,
    MATCH(A99&amp;TEXT(I99,"yyyy-mm-dd"),
          $A$2:$A$543&amp;TEXT($H$2:$H$543,"yyyy-mm-dd"),
          0)),
"")</f>
        <v>1</v>
      </c>
      <c r="O99" s="210">
        <f t="shared" si="3"/>
        <v>3</v>
      </c>
      <c r="P99" s="210">
        <f t="shared" ref="P99:Q99" si="109">IF(N99="",0,IF(N99&lt;=2,1,IF(N99&lt;=4,2,IF(N99&lt;=5.5,3,4))))</f>
        <v>1</v>
      </c>
      <c r="Q99" s="210">
        <f t="shared" si="109"/>
        <v>2</v>
      </c>
      <c r="R99" s="210" t="str">
        <f t="shared" si="5"/>
        <v>Lv1 → Lv2</v>
      </c>
      <c r="S99" s="210">
        <f t="shared" si="6"/>
        <v>0</v>
      </c>
      <c r="T99" s="210"/>
      <c r="U99" s="210"/>
      <c r="V99" s="211" t="s">
        <v>522</v>
      </c>
      <c r="W99" s="210" t="str">
        <f t="shared" si="7"/>
        <v>DEV</v>
      </c>
      <c r="X99" s="210" t="str">
        <f t="shared" si="8"/>
        <v>DEV, TA</v>
      </c>
      <c r="Y99" s="210" t="str">
        <f t="shared" si="9"/>
        <v>TBU</v>
      </c>
      <c r="Z99" s="210"/>
      <c r="AA99" s="210"/>
      <c r="AB99" s="210"/>
      <c r="AC99" s="210"/>
      <c r="AD99" s="210"/>
      <c r="AE99" s="210"/>
      <c r="AF99" s="210"/>
      <c r="AG99" s="210"/>
      <c r="AH99" s="210"/>
      <c r="AI99" s="210"/>
      <c r="AJ99" s="210"/>
      <c r="AK99" s="210"/>
      <c r="AL99" s="210"/>
      <c r="AM99" s="214"/>
      <c r="AN99" s="211" t="str">
        <f>IFERROR(__xludf.DUMMYFUNCTION("""COMPUTED_VALUE"""),"203713")</f>
        <v>203713</v>
      </c>
      <c r="AO99" s="210" t="str">
        <f t="shared" si="10"/>
        <v>DEV</v>
      </c>
      <c r="AP99" s="210" t="str">
        <f t="shared" si="11"/>
        <v>DEV, TA</v>
      </c>
      <c r="AQ99" s="210" t="str">
        <f t="shared" si="12"/>
        <v>ONC</v>
      </c>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c r="BU99" s="210"/>
      <c r="BV99" s="210"/>
      <c r="BW99" s="210"/>
      <c r="BX99" s="210"/>
      <c r="BY99" s="210"/>
      <c r="BZ99" s="210"/>
      <c r="CA99" s="210"/>
      <c r="CB99" s="210"/>
      <c r="CC99" s="210"/>
      <c r="CD99" s="210"/>
      <c r="CE99" s="210"/>
      <c r="CF99" s="210"/>
      <c r="CG99" s="210"/>
      <c r="CH99" s="210"/>
      <c r="CI99" s="210"/>
      <c r="CJ99" s="210"/>
      <c r="CK99" s="210"/>
    </row>
    <row r="100">
      <c r="A100" s="222" t="s">
        <v>484</v>
      </c>
      <c r="B100" s="190" t="s">
        <v>485</v>
      </c>
      <c r="C100" s="223" t="s">
        <v>59</v>
      </c>
      <c r="D100" s="223" t="s">
        <v>853</v>
      </c>
      <c r="E100" s="190" t="s">
        <v>22</v>
      </c>
      <c r="F100" s="13" t="s">
        <v>935</v>
      </c>
      <c r="G100" s="13" t="s">
        <v>935</v>
      </c>
      <c r="H100" s="219">
        <f>IFERROR(
  MINIFS(ATTENDANCE_LOG!$F:$F,
         ATTENDANCE_LOG!$A:$A, C100,
         ATTENDANCE_LOG!$B:$B, E100),
"")</f>
        <v>45915.54167</v>
      </c>
      <c r="I100" s="219">
        <f t="shared" si="2"/>
        <v>45663.58333</v>
      </c>
      <c r="J100" s="190">
        <f>IFERROR(VLOOKUP(F100, LEVEL_HELPER!$A:$B, 2, 0), "")</f>
        <v>3.5</v>
      </c>
      <c r="K100" s="190">
        <f>IFERROR(VLOOKUP(G100, LEVEL_HELPER!$A:$B, 2, 0), "")</f>
        <v>3.5</v>
      </c>
      <c r="L100" s="220" t="s">
        <v>931</v>
      </c>
      <c r="M100" s="229" t="s">
        <v>925</v>
      </c>
      <c r="N100" s="190">
        <f t="array" ref="N100">IFERROR(
  INDEX($J$2:$J$543,
    MATCH(A100&amp;TEXT(I100,"yyyy-mm-dd"),
          $A$2:$A$543&amp;TEXT($H$2:$H$543,"yyyy-mm-dd"),
          0)),
"")</f>
        <v>2.5</v>
      </c>
      <c r="O100" s="210">
        <f t="shared" si="3"/>
        <v>3.5</v>
      </c>
      <c r="P100" s="210">
        <f t="shared" ref="P100:Q100" si="110">IF(N100="",0,IF(N100&lt;=2,1,IF(N100&lt;=4,2,IF(N100&lt;=5.5,3,4))))</f>
        <v>2</v>
      </c>
      <c r="Q100" s="210">
        <f t="shared" si="110"/>
        <v>2</v>
      </c>
      <c r="R100" s="210" t="str">
        <f t="shared" si="5"/>
        <v>Progress within level</v>
      </c>
      <c r="S100" s="210">
        <f t="shared" si="6"/>
        <v>0</v>
      </c>
      <c r="T100" s="210"/>
      <c r="U100" s="210"/>
      <c r="V100" s="211" t="s">
        <v>589</v>
      </c>
      <c r="W100" s="210" t="str">
        <f t="shared" si="7"/>
        <v>DEV</v>
      </c>
      <c r="X100" s="210" t="str">
        <f t="shared" si="8"/>
        <v>DEV, TA</v>
      </c>
      <c r="Y100" s="210" t="str">
        <f t="shared" si="9"/>
        <v>TBU</v>
      </c>
      <c r="Z100" s="210"/>
      <c r="AA100" s="210"/>
      <c r="AB100" s="210"/>
      <c r="AC100" s="210"/>
      <c r="AD100" s="210"/>
      <c r="AE100" s="210"/>
      <c r="AF100" s="210"/>
      <c r="AG100" s="210"/>
      <c r="AH100" s="210"/>
      <c r="AI100" s="210"/>
      <c r="AJ100" s="210"/>
      <c r="AK100" s="210"/>
      <c r="AL100" s="210"/>
      <c r="AM100" s="214"/>
      <c r="AN100" s="211" t="str">
        <f>IFERROR(__xludf.DUMMYFUNCTION("""COMPUTED_VALUE"""),"213874")</f>
        <v>213874</v>
      </c>
      <c r="AO100" s="210" t="str">
        <f t="shared" si="10"/>
        <v>DEV</v>
      </c>
      <c r="AP100" s="210" t="str">
        <f t="shared" si="11"/>
        <v>DEV, TA</v>
      </c>
      <c r="AQ100" s="210" t="str">
        <f t="shared" si="12"/>
        <v>ONC</v>
      </c>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c r="BU100" s="210"/>
      <c r="BV100" s="210"/>
      <c r="BW100" s="210"/>
      <c r="BX100" s="210"/>
      <c r="BY100" s="210"/>
      <c r="BZ100" s="210"/>
      <c r="CA100" s="210"/>
      <c r="CB100" s="210"/>
      <c r="CC100" s="210"/>
      <c r="CD100" s="210"/>
      <c r="CE100" s="210"/>
      <c r="CF100" s="210"/>
      <c r="CG100" s="210"/>
      <c r="CH100" s="210"/>
      <c r="CI100" s="210"/>
      <c r="CJ100" s="210"/>
      <c r="CK100" s="210"/>
    </row>
    <row r="101">
      <c r="A101" s="222" t="s">
        <v>547</v>
      </c>
      <c r="B101" s="190" t="s">
        <v>548</v>
      </c>
      <c r="C101" s="223" t="s">
        <v>59</v>
      </c>
      <c r="D101" s="223" t="s">
        <v>853</v>
      </c>
      <c r="E101" s="190" t="s">
        <v>22</v>
      </c>
      <c r="F101" s="13" t="s">
        <v>932</v>
      </c>
      <c r="G101" s="13" t="s">
        <v>941</v>
      </c>
      <c r="H101" s="219">
        <f>IFERROR(
  MINIFS(ATTENDANCE_LOG!$F:$F,
         ATTENDANCE_LOG!$A:$A, C101,
         ATTENDANCE_LOG!$B:$B, E101),
"")</f>
        <v>45915.54167</v>
      </c>
      <c r="I101" s="219">
        <f t="shared" si="2"/>
        <v>45637.41667</v>
      </c>
      <c r="J101" s="190">
        <f>IFERROR(VLOOKUP(F101, LEVEL_HELPER!$A:$B, 2, 0), "")</f>
        <v>4.5</v>
      </c>
      <c r="K101" s="190">
        <f>IFERROR(VLOOKUP(G101, LEVEL_HELPER!$A:$B, 2, 0), "")</f>
        <v>5</v>
      </c>
      <c r="L101" s="220" t="s">
        <v>931</v>
      </c>
      <c r="M101" s="220" t="s">
        <v>923</v>
      </c>
      <c r="N101" s="190">
        <f t="array" ref="N101">IFERROR(
  INDEX($J$2:$J$543,
    MATCH(A101&amp;TEXT(I101,"yyyy-mm-dd"),
          $A$2:$A$543&amp;TEXT($H$2:$H$543,"yyyy-mm-dd"),
          0)),
"")</f>
        <v>4.5</v>
      </c>
      <c r="O101" s="210">
        <f t="shared" si="3"/>
        <v>5</v>
      </c>
      <c r="P101" s="210">
        <f t="shared" ref="P101:Q101" si="111">IF(N101="",0,IF(N101&lt;=2,1,IF(N101&lt;=4,2,IF(N101&lt;=5.5,3,4))))</f>
        <v>3</v>
      </c>
      <c r="Q101" s="210">
        <f t="shared" si="111"/>
        <v>3</v>
      </c>
      <c r="R101" s="210" t="str">
        <f t="shared" si="5"/>
        <v>Progress within level</v>
      </c>
      <c r="S101" s="210">
        <f t="shared" si="6"/>
        <v>0</v>
      </c>
      <c r="T101" s="210"/>
      <c r="U101" s="210"/>
      <c r="V101" s="211" t="s">
        <v>645</v>
      </c>
      <c r="W101" s="210" t="str">
        <f t="shared" si="7"/>
        <v>DEV</v>
      </c>
      <c r="X101" s="210" t="str">
        <f t="shared" si="8"/>
        <v>DEV, TA</v>
      </c>
      <c r="Y101" s="210" t="str">
        <f t="shared" si="9"/>
        <v>TBU</v>
      </c>
      <c r="Z101" s="210"/>
      <c r="AA101" s="210"/>
      <c r="AB101" s="210"/>
      <c r="AC101" s="210"/>
      <c r="AD101" s="210"/>
      <c r="AE101" s="210"/>
      <c r="AF101" s="210"/>
      <c r="AG101" s="210"/>
      <c r="AH101" s="210"/>
      <c r="AI101" s="210"/>
      <c r="AJ101" s="210"/>
      <c r="AK101" s="210"/>
      <c r="AL101" s="210"/>
      <c r="AM101" s="214"/>
      <c r="AN101" s="211" t="str">
        <f>IFERROR(__xludf.DUMMYFUNCTION("""COMPUTED_VALUE"""),"203725")</f>
        <v>203725</v>
      </c>
      <c r="AO101" s="210" t="str">
        <f t="shared" si="10"/>
        <v>DEV</v>
      </c>
      <c r="AP101" s="210" t="str">
        <f t="shared" si="11"/>
        <v>DEV, TA</v>
      </c>
      <c r="AQ101" s="210" t="str">
        <f t="shared" si="12"/>
        <v>ONC</v>
      </c>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c r="BU101" s="210"/>
      <c r="BV101" s="210"/>
      <c r="BW101" s="210"/>
      <c r="BX101" s="210"/>
      <c r="BY101" s="210"/>
      <c r="BZ101" s="210"/>
      <c r="CA101" s="210"/>
      <c r="CB101" s="210"/>
      <c r="CC101" s="210"/>
      <c r="CD101" s="210"/>
      <c r="CE101" s="210"/>
      <c r="CF101" s="210"/>
      <c r="CG101" s="210"/>
      <c r="CH101" s="210"/>
      <c r="CI101" s="210"/>
      <c r="CJ101" s="210"/>
      <c r="CK101" s="210"/>
    </row>
    <row r="102">
      <c r="A102" s="216" t="s">
        <v>627</v>
      </c>
      <c r="B102" s="217" t="s">
        <v>628</v>
      </c>
      <c r="C102" s="218" t="s">
        <v>60</v>
      </c>
      <c r="D102" s="218" t="s">
        <v>854</v>
      </c>
      <c r="E102" s="217" t="s">
        <v>21</v>
      </c>
      <c r="F102" s="13" t="s">
        <v>927</v>
      </c>
      <c r="G102" s="13" t="s">
        <v>917</v>
      </c>
      <c r="H102" s="219">
        <f>IFERROR(
  MINIFS(ATTENDANCE_LOG!$F:$F,
         ATTENDANCE_LOG!$A:$A, C102,
         ATTENDANCE_LOG!$B:$B, E102),
"")</f>
        <v>45644.375</v>
      </c>
      <c r="I102" s="219">
        <f t="shared" si="2"/>
        <v>45644.375</v>
      </c>
      <c r="J102" s="190">
        <f>IFERROR(VLOOKUP(F102, LEVEL_HELPER!$A:$B, 2, 0), "")</f>
        <v>1</v>
      </c>
      <c r="K102" s="190">
        <f>IFERROR(VLOOKUP(G102, LEVEL_HELPER!$A:$B, 2, 0), "")</f>
        <v>2.5</v>
      </c>
      <c r="L102" s="220" t="s">
        <v>945</v>
      </c>
      <c r="M102" s="229" t="s">
        <v>922</v>
      </c>
      <c r="N102" s="190">
        <f t="array" ref="N102">IFERROR(
  INDEX($J$2:$J$543,
    MATCH(A102&amp;TEXT(I102,"yyyy-mm-dd"),
          $A$2:$A$543&amp;TEXT($H$2:$H$543,"yyyy-mm-dd"),
          0)),
"")</f>
        <v>1</v>
      </c>
      <c r="O102" s="210">
        <f t="shared" si="3"/>
        <v>2.5</v>
      </c>
      <c r="P102" s="210">
        <f t="shared" ref="P102:Q102" si="112">IF(N102="",0,IF(N102&lt;=2,1,IF(N102&lt;=4,2,IF(N102&lt;=5.5,3,4))))</f>
        <v>1</v>
      </c>
      <c r="Q102" s="210">
        <f t="shared" si="112"/>
        <v>2</v>
      </c>
      <c r="R102" s="210" t="str">
        <f t="shared" si="5"/>
        <v>Lv1 → Lv2</v>
      </c>
      <c r="S102" s="210">
        <f t="shared" si="6"/>
        <v>1</v>
      </c>
      <c r="T102" s="210"/>
      <c r="U102" s="210"/>
      <c r="V102" s="211" t="s">
        <v>142</v>
      </c>
      <c r="W102" s="210" t="str">
        <f t="shared" si="7"/>
        <v>HR</v>
      </c>
      <c r="X102" s="210" t="str">
        <f t="shared" si="8"/>
        <v>HR, GA, Mgt</v>
      </c>
      <c r="Y102" s="210" t="str">
        <f t="shared" si="9"/>
        <v>BSG</v>
      </c>
      <c r="Z102" s="210"/>
      <c r="AA102" s="210"/>
      <c r="AB102" s="210"/>
      <c r="AC102" s="210"/>
      <c r="AD102" s="210"/>
      <c r="AE102" s="210"/>
      <c r="AF102" s="210"/>
      <c r="AG102" s="210"/>
      <c r="AH102" s="210"/>
      <c r="AI102" s="210"/>
      <c r="AJ102" s="210"/>
      <c r="AK102" s="210"/>
      <c r="AL102" s="210"/>
      <c r="AM102" s="214"/>
      <c r="AN102" s="211" t="str">
        <f>IFERROR(__xludf.DUMMYFUNCTION("""COMPUTED_VALUE"""),"227005")</f>
        <v>227005</v>
      </c>
      <c r="AO102" s="210" t="str">
        <f t="shared" si="10"/>
        <v>IM</v>
      </c>
      <c r="AP102" s="210" t="str">
        <f t="shared" si="11"/>
        <v>PPO, SM, IM </v>
      </c>
      <c r="AQ102" s="210" t="str">
        <f t="shared" si="12"/>
        <v>CHORUS</v>
      </c>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c r="BU102" s="210"/>
      <c r="BV102" s="210"/>
      <c r="BW102" s="210"/>
      <c r="BX102" s="210"/>
      <c r="BY102" s="210"/>
      <c r="BZ102" s="210"/>
      <c r="CA102" s="210"/>
      <c r="CB102" s="210"/>
      <c r="CC102" s="210"/>
      <c r="CD102" s="210"/>
      <c r="CE102" s="210"/>
      <c r="CF102" s="210"/>
      <c r="CG102" s="210"/>
      <c r="CH102" s="210"/>
      <c r="CI102" s="210"/>
      <c r="CJ102" s="210"/>
      <c r="CK102" s="210"/>
    </row>
    <row r="103">
      <c r="A103" s="222" t="s">
        <v>216</v>
      </c>
      <c r="B103" s="190" t="s">
        <v>217</v>
      </c>
      <c r="C103" s="223" t="s">
        <v>60</v>
      </c>
      <c r="D103" s="223" t="s">
        <v>854</v>
      </c>
      <c r="E103" s="190" t="s">
        <v>21</v>
      </c>
      <c r="F103" s="13" t="s">
        <v>917</v>
      </c>
      <c r="G103" s="13" t="s">
        <v>917</v>
      </c>
      <c r="H103" s="219">
        <f>IFERROR(
  MINIFS(ATTENDANCE_LOG!$F:$F,
         ATTENDANCE_LOG!$A:$A, C103,
         ATTENDANCE_LOG!$B:$B, E103),
"")</f>
        <v>45644.375</v>
      </c>
      <c r="I103" s="219">
        <f t="shared" si="2"/>
        <v>45644.375</v>
      </c>
      <c r="J103" s="190">
        <f>IFERROR(VLOOKUP(F103, LEVEL_HELPER!$A:$B, 2, 0), "")</f>
        <v>2.5</v>
      </c>
      <c r="K103" s="190">
        <f>IFERROR(VLOOKUP(G103, LEVEL_HELPER!$A:$B, 2, 0), "")</f>
        <v>2.5</v>
      </c>
      <c r="L103" s="220" t="s">
        <v>943</v>
      </c>
      <c r="M103" s="229" t="s">
        <v>922</v>
      </c>
      <c r="N103" s="190">
        <f t="array" ref="N103">IFERROR(
  INDEX($J$2:$J$543,
    MATCH(A103&amp;TEXT(I103,"yyyy-mm-dd"),
          $A$2:$A$543&amp;TEXT($H$2:$H$543,"yyyy-mm-dd"),
          0)),
"")</f>
        <v>2.5</v>
      </c>
      <c r="O103" s="210">
        <f t="shared" si="3"/>
        <v>2.5</v>
      </c>
      <c r="P103" s="210">
        <f t="shared" ref="P103:Q103" si="113">IF(N103="",0,IF(N103&lt;=2,1,IF(N103&lt;=4,2,IF(N103&lt;=5.5,3,4))))</f>
        <v>2</v>
      </c>
      <c r="Q103" s="210">
        <f t="shared" si="113"/>
        <v>2</v>
      </c>
      <c r="R103" s="210" t="str">
        <f t="shared" si="5"/>
        <v>No Progress</v>
      </c>
      <c r="S103" s="210">
        <f t="shared" si="6"/>
        <v>1</v>
      </c>
      <c r="T103" s="210"/>
      <c r="U103" s="210"/>
      <c r="V103" s="211" t="s">
        <v>204</v>
      </c>
      <c r="W103" s="210" t="str">
        <f t="shared" si="7"/>
        <v>HR</v>
      </c>
      <c r="X103" s="210" t="str">
        <f t="shared" si="8"/>
        <v>HR, GA, Mgt</v>
      </c>
      <c r="Y103" s="210" t="str">
        <f t="shared" si="9"/>
        <v>LBU</v>
      </c>
      <c r="Z103" s="210"/>
      <c r="AA103" s="210"/>
      <c r="AB103" s="210"/>
      <c r="AC103" s="210"/>
      <c r="AD103" s="210"/>
      <c r="AE103" s="210"/>
      <c r="AF103" s="210"/>
      <c r="AG103" s="210"/>
      <c r="AH103" s="210"/>
      <c r="AI103" s="210"/>
      <c r="AJ103" s="210"/>
      <c r="AK103" s="210"/>
      <c r="AL103" s="210"/>
      <c r="AM103" s="214"/>
      <c r="AN103" s="211" t="str">
        <f>IFERROR(__xludf.DUMMYFUNCTION("""COMPUTED_VALUE"""),"213813")</f>
        <v>213813</v>
      </c>
      <c r="AO103" s="210" t="str">
        <f t="shared" si="10"/>
        <v>DEV</v>
      </c>
      <c r="AP103" s="210" t="str">
        <f t="shared" si="11"/>
        <v>DEV, TA</v>
      </c>
      <c r="AQ103" s="210" t="str">
        <f t="shared" si="12"/>
        <v>LBU</v>
      </c>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c r="BU103" s="210"/>
      <c r="BV103" s="210"/>
      <c r="BW103" s="210"/>
      <c r="BX103" s="210"/>
      <c r="BY103" s="210"/>
      <c r="BZ103" s="210"/>
      <c r="CA103" s="210"/>
      <c r="CB103" s="210"/>
      <c r="CC103" s="210"/>
      <c r="CD103" s="210"/>
      <c r="CE103" s="210"/>
      <c r="CF103" s="210"/>
      <c r="CG103" s="210"/>
      <c r="CH103" s="210"/>
      <c r="CI103" s="210"/>
      <c r="CJ103" s="210"/>
      <c r="CK103" s="210"/>
    </row>
    <row r="104">
      <c r="A104" s="222" t="s">
        <v>232</v>
      </c>
      <c r="B104" s="190" t="s">
        <v>233</v>
      </c>
      <c r="C104" s="223" t="s">
        <v>60</v>
      </c>
      <c r="D104" s="223" t="s">
        <v>854</v>
      </c>
      <c r="E104" s="190" t="s">
        <v>21</v>
      </c>
      <c r="F104" s="13" t="s">
        <v>927</v>
      </c>
      <c r="G104" s="13" t="s">
        <v>917</v>
      </c>
      <c r="H104" s="219">
        <f>IFERROR(
  MINIFS(ATTENDANCE_LOG!$F:$F,
         ATTENDANCE_LOG!$A:$A, C104,
         ATTENDANCE_LOG!$B:$B, E104),
"")</f>
        <v>45644.375</v>
      </c>
      <c r="I104" s="219">
        <f t="shared" si="2"/>
        <v>45644.375</v>
      </c>
      <c r="J104" s="190">
        <f>IFERROR(VLOOKUP(F104, LEVEL_HELPER!$A:$B, 2, 0), "")</f>
        <v>1</v>
      </c>
      <c r="K104" s="190">
        <f>IFERROR(VLOOKUP(G104, LEVEL_HELPER!$A:$B, 2, 0), "")</f>
        <v>2.5</v>
      </c>
      <c r="L104" s="220" t="s">
        <v>943</v>
      </c>
      <c r="M104" s="229" t="s">
        <v>922</v>
      </c>
      <c r="N104" s="190">
        <f t="array" ref="N104">IFERROR(
  INDEX($J$2:$J$543,
    MATCH(A104&amp;TEXT(I104,"yyyy-mm-dd"),
          $A$2:$A$543&amp;TEXT($H$2:$H$543,"yyyy-mm-dd"),
          0)),
"")</f>
        <v>1</v>
      </c>
      <c r="O104" s="210">
        <f t="shared" si="3"/>
        <v>2.5</v>
      </c>
      <c r="P104" s="210">
        <f t="shared" ref="P104:Q104" si="114">IF(N104="",0,IF(N104&lt;=2,1,IF(N104&lt;=4,2,IF(N104&lt;=5.5,3,4))))</f>
        <v>1</v>
      </c>
      <c r="Q104" s="210">
        <f t="shared" si="114"/>
        <v>2</v>
      </c>
      <c r="R104" s="210" t="str">
        <f t="shared" si="5"/>
        <v>Lv1 → Lv2</v>
      </c>
      <c r="S104" s="210">
        <f t="shared" si="6"/>
        <v>1</v>
      </c>
      <c r="T104" s="210"/>
      <c r="U104" s="210"/>
      <c r="V104" s="211" t="s">
        <v>222</v>
      </c>
      <c r="W104" s="210" t="str">
        <f t="shared" si="7"/>
        <v>HR</v>
      </c>
      <c r="X104" s="210" t="str">
        <f t="shared" si="8"/>
        <v>HR, GA, Mgt</v>
      </c>
      <c r="Y104" s="210" t="str">
        <f t="shared" si="9"/>
        <v>BSG</v>
      </c>
      <c r="Z104" s="210"/>
      <c r="AA104" s="210"/>
      <c r="AB104" s="210"/>
      <c r="AC104" s="210"/>
      <c r="AD104" s="210"/>
      <c r="AE104" s="210"/>
      <c r="AF104" s="210"/>
      <c r="AG104" s="210"/>
      <c r="AH104" s="210"/>
      <c r="AI104" s="210"/>
      <c r="AJ104" s="210"/>
      <c r="AK104" s="210"/>
      <c r="AL104" s="210"/>
      <c r="AM104" s="214"/>
      <c r="AN104" s="211" t="str">
        <f>IFERROR(__xludf.DUMMYFUNCTION("""COMPUTED_VALUE"""),"203786")</f>
        <v>203786</v>
      </c>
      <c r="AO104" s="210" t="str">
        <f t="shared" si="10"/>
        <v>BA</v>
      </c>
      <c r="AP104" s="210" t="str">
        <f t="shared" si="11"/>
        <v>BA, BC</v>
      </c>
      <c r="AQ104" s="210" t="str">
        <f t="shared" si="12"/>
        <v>LBU</v>
      </c>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c r="BU104" s="210"/>
      <c r="BV104" s="210"/>
      <c r="BW104" s="210"/>
      <c r="BX104" s="210"/>
      <c r="BY104" s="210"/>
      <c r="BZ104" s="210"/>
      <c r="CA104" s="210"/>
      <c r="CB104" s="210"/>
      <c r="CC104" s="210"/>
      <c r="CD104" s="210"/>
      <c r="CE104" s="210"/>
      <c r="CF104" s="210"/>
      <c r="CG104" s="210"/>
      <c r="CH104" s="210"/>
      <c r="CI104" s="210"/>
      <c r="CJ104" s="210"/>
      <c r="CK104" s="210"/>
    </row>
    <row r="105">
      <c r="A105" s="222" t="s">
        <v>321</v>
      </c>
      <c r="B105" s="190" t="s">
        <v>322</v>
      </c>
      <c r="C105" s="223" t="s">
        <v>60</v>
      </c>
      <c r="D105" s="223" t="s">
        <v>854</v>
      </c>
      <c r="E105" s="190" t="s">
        <v>21</v>
      </c>
      <c r="F105" s="13" t="s">
        <v>927</v>
      </c>
      <c r="G105" s="13" t="s">
        <v>917</v>
      </c>
      <c r="H105" s="219">
        <f>IFERROR(
  MINIFS(ATTENDANCE_LOG!$F:$F,
         ATTENDANCE_LOG!$A:$A, C105,
         ATTENDANCE_LOG!$B:$B, E105),
"")</f>
        <v>45644.375</v>
      </c>
      <c r="I105" s="219">
        <f t="shared" si="2"/>
        <v>45644.375</v>
      </c>
      <c r="J105" s="190">
        <f>IFERROR(VLOOKUP(F105, LEVEL_HELPER!$A:$B, 2, 0), "")</f>
        <v>1</v>
      </c>
      <c r="K105" s="190">
        <f>IFERROR(VLOOKUP(G105, LEVEL_HELPER!$A:$B, 2, 0), "")</f>
        <v>2.5</v>
      </c>
      <c r="L105" s="220" t="s">
        <v>919</v>
      </c>
      <c r="M105" s="229" t="s">
        <v>922</v>
      </c>
      <c r="N105" s="190">
        <f t="array" ref="N105">IFERROR(
  INDEX($J$2:$J$543,
    MATCH(A105&amp;TEXT(I105,"yyyy-mm-dd"),
          $A$2:$A$543&amp;TEXT($H$2:$H$543,"yyyy-mm-dd"),
          0)),
"")</f>
        <v>1</v>
      </c>
      <c r="O105" s="210">
        <f t="shared" si="3"/>
        <v>2.5</v>
      </c>
      <c r="P105" s="210">
        <f t="shared" ref="P105:Q105" si="115">IF(N105="",0,IF(N105&lt;=2,1,IF(N105&lt;=4,2,IF(N105&lt;=5.5,3,4))))</f>
        <v>1</v>
      </c>
      <c r="Q105" s="210">
        <f t="shared" si="115"/>
        <v>2</v>
      </c>
      <c r="R105" s="210" t="str">
        <f t="shared" si="5"/>
        <v>Lv1 → Lv2</v>
      </c>
      <c r="S105" s="210">
        <f t="shared" si="6"/>
        <v>1</v>
      </c>
      <c r="T105" s="210"/>
      <c r="U105" s="210"/>
      <c r="V105" s="211" t="s">
        <v>292</v>
      </c>
      <c r="W105" s="210" t="str">
        <f t="shared" si="7"/>
        <v>HR</v>
      </c>
      <c r="X105" s="210" t="str">
        <f t="shared" si="8"/>
        <v>HR, GA, Mgt</v>
      </c>
      <c r="Y105" s="210" t="str">
        <f t="shared" si="9"/>
        <v>BSG</v>
      </c>
      <c r="Z105" s="210"/>
      <c r="AA105" s="210"/>
      <c r="AB105" s="210"/>
      <c r="AC105" s="210"/>
      <c r="AD105" s="210"/>
      <c r="AE105" s="210"/>
      <c r="AF105" s="210"/>
      <c r="AG105" s="210"/>
      <c r="AH105" s="210"/>
      <c r="AI105" s="210"/>
      <c r="AJ105" s="210"/>
      <c r="AK105" s="210"/>
      <c r="AL105" s="210"/>
      <c r="AM105" s="214"/>
      <c r="AN105" s="211" t="str">
        <f>IFERROR(__xludf.DUMMYFUNCTION("""COMPUTED_VALUE"""),"257121")</f>
        <v>257121</v>
      </c>
      <c r="AO105" s="210" t="str">
        <f t="shared" si="10"/>
        <v>GSD</v>
      </c>
      <c r="AP105" s="210" t="str">
        <f t="shared" si="11"/>
        <v>GSD</v>
      </c>
      <c r="AQ105" s="210" t="str">
        <f t="shared" si="12"/>
        <v>POC</v>
      </c>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c r="BU105" s="210"/>
      <c r="BV105" s="210"/>
      <c r="BW105" s="210"/>
      <c r="BX105" s="210"/>
      <c r="BY105" s="210"/>
      <c r="BZ105" s="210"/>
      <c r="CA105" s="210"/>
      <c r="CB105" s="210"/>
      <c r="CC105" s="210"/>
      <c r="CD105" s="210"/>
      <c r="CE105" s="210"/>
      <c r="CF105" s="210"/>
      <c r="CG105" s="210"/>
      <c r="CH105" s="210"/>
      <c r="CI105" s="210"/>
      <c r="CJ105" s="210"/>
      <c r="CK105" s="210"/>
    </row>
    <row r="106">
      <c r="A106" s="222" t="s">
        <v>689</v>
      </c>
      <c r="B106" s="190" t="s">
        <v>690</v>
      </c>
      <c r="C106" s="223" t="s">
        <v>60</v>
      </c>
      <c r="D106" s="223" t="s">
        <v>854</v>
      </c>
      <c r="E106" s="190" t="s">
        <v>21</v>
      </c>
      <c r="F106" s="13" t="s">
        <v>927</v>
      </c>
      <c r="G106" s="13" t="s">
        <v>917</v>
      </c>
      <c r="H106" s="219">
        <f>IFERROR(
  MINIFS(ATTENDANCE_LOG!$F:$F,
         ATTENDANCE_LOG!$A:$A, C106,
         ATTENDANCE_LOG!$B:$B, E106),
"")</f>
        <v>45644.375</v>
      </c>
      <c r="I106" s="219">
        <f t="shared" si="2"/>
        <v>45644.375</v>
      </c>
      <c r="J106" s="190">
        <f>IFERROR(VLOOKUP(F106, LEVEL_HELPER!$A:$B, 2, 0), "")</f>
        <v>1</v>
      </c>
      <c r="K106" s="190">
        <f>IFERROR(VLOOKUP(G106, LEVEL_HELPER!$A:$B, 2, 0), "")</f>
        <v>2.5</v>
      </c>
      <c r="L106" s="220" t="s">
        <v>944</v>
      </c>
      <c r="M106" s="229" t="s">
        <v>922</v>
      </c>
      <c r="N106" s="190">
        <f t="array" ref="N106">IFERROR(
  INDEX($J$2:$J$543,
    MATCH(A106&amp;TEXT(I106,"yyyy-mm-dd"),
          $A$2:$A$543&amp;TEXT($H$2:$H$543,"yyyy-mm-dd"),
          0)),
"")</f>
        <v>1</v>
      </c>
      <c r="O106" s="210">
        <f t="shared" si="3"/>
        <v>2.5</v>
      </c>
      <c r="P106" s="210">
        <f t="shared" ref="P106:Q106" si="116">IF(N106="",0,IF(N106&lt;=2,1,IF(N106&lt;=4,2,IF(N106&lt;=5.5,3,4))))</f>
        <v>1</v>
      </c>
      <c r="Q106" s="210">
        <f t="shared" si="116"/>
        <v>2</v>
      </c>
      <c r="R106" s="210" t="str">
        <f t="shared" si="5"/>
        <v>Lv1 → Lv2</v>
      </c>
      <c r="S106" s="210">
        <f t="shared" si="6"/>
        <v>1</v>
      </c>
      <c r="T106" s="210"/>
      <c r="U106" s="210"/>
      <c r="V106" s="211" t="s">
        <v>348</v>
      </c>
      <c r="W106" s="210" t="str">
        <f t="shared" si="7"/>
        <v>HR</v>
      </c>
      <c r="X106" s="210" t="str">
        <f t="shared" si="8"/>
        <v>HR, GA, Mgt</v>
      </c>
      <c r="Y106" s="210" t="str">
        <f t="shared" si="9"/>
        <v>BSG</v>
      </c>
      <c r="Z106" s="210"/>
      <c r="AA106" s="210"/>
      <c r="AB106" s="210"/>
      <c r="AC106" s="210"/>
      <c r="AD106" s="210"/>
      <c r="AE106" s="210"/>
      <c r="AF106" s="210"/>
      <c r="AG106" s="210"/>
      <c r="AH106" s="210"/>
      <c r="AI106" s="210"/>
      <c r="AJ106" s="210"/>
      <c r="AK106" s="210"/>
      <c r="AL106" s="210"/>
      <c r="AM106" s="214"/>
      <c r="AN106" s="211" t="str">
        <f>IFERROR(__xludf.DUMMYFUNCTION("""COMPUTED_VALUE"""),"257135")</f>
        <v>257135</v>
      </c>
      <c r="AO106" s="210" t="str">
        <f t="shared" si="10"/>
        <v>Designer</v>
      </c>
      <c r="AP106" s="210" t="str">
        <f t="shared" si="11"/>
        <v>UI/UX, Des</v>
      </c>
      <c r="AQ106" s="210" t="str">
        <f t="shared" si="12"/>
        <v>LBU</v>
      </c>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c r="BU106" s="210"/>
      <c r="BV106" s="210"/>
      <c r="BW106" s="210"/>
      <c r="BX106" s="210"/>
      <c r="BY106" s="210"/>
      <c r="BZ106" s="210"/>
      <c r="CA106" s="210"/>
      <c r="CB106" s="210"/>
      <c r="CC106" s="210"/>
      <c r="CD106" s="210"/>
      <c r="CE106" s="210"/>
      <c r="CF106" s="210"/>
      <c r="CG106" s="210"/>
      <c r="CH106" s="210"/>
      <c r="CI106" s="210"/>
      <c r="CJ106" s="210"/>
      <c r="CK106" s="210"/>
    </row>
    <row r="107">
      <c r="A107" s="216" t="s">
        <v>504</v>
      </c>
      <c r="B107" s="217" t="s">
        <v>505</v>
      </c>
      <c r="C107" s="218" t="s">
        <v>60</v>
      </c>
      <c r="D107" s="218" t="s">
        <v>854</v>
      </c>
      <c r="E107" s="217" t="s">
        <v>22</v>
      </c>
      <c r="F107" s="13" t="s">
        <v>927</v>
      </c>
      <c r="G107" s="190"/>
      <c r="H107" s="219">
        <f>IFERROR(
  MINIFS(ATTENDANCE_LOG!$F:$F,
         ATTENDANCE_LOG!$A:$A, C107,
         ATTENDANCE_LOG!$B:$B, E107),
"")</f>
        <v>45853.375</v>
      </c>
      <c r="I107" s="219">
        <f t="shared" si="2"/>
        <v>45644.375</v>
      </c>
      <c r="J107" s="190">
        <f>IFERROR(VLOOKUP(F107, LEVEL_HELPER!$A:$B, 2, 0), "")</f>
        <v>1</v>
      </c>
      <c r="K107" s="190" t="str">
        <f>IFERROR(VLOOKUP(G107, LEVEL_HELPER!$A:$B, 2, 0), "")</f>
        <v/>
      </c>
      <c r="L107" s="220" t="s">
        <v>943</v>
      </c>
      <c r="M107" s="229" t="s">
        <v>922</v>
      </c>
      <c r="N107" s="190">
        <f t="array" ref="N107">IFERROR(
  INDEX($J$2:$J$543,
    MATCH(A107&amp;TEXT(I107,"yyyy-mm-dd"),
          $A$2:$A$543&amp;TEXT($H$2:$H$543,"yyyy-mm-dd"),
          0)),
"")</f>
        <v>1</v>
      </c>
      <c r="O107" s="210">
        <f t="shared" si="3"/>
        <v>1</v>
      </c>
      <c r="P107" s="210">
        <f t="shared" ref="P107:Q107" si="117">IF(N107="",0,IF(N107&lt;=2,1,IF(N107&lt;=4,2,IF(N107&lt;=5.5,3,4))))</f>
        <v>1</v>
      </c>
      <c r="Q107" s="210">
        <f t="shared" si="117"/>
        <v>1</v>
      </c>
      <c r="R107" s="210" t="str">
        <f t="shared" si="5"/>
        <v>No Progress</v>
      </c>
      <c r="S107" s="210">
        <f t="shared" si="6"/>
        <v>1</v>
      </c>
      <c r="T107" s="210"/>
      <c r="U107" s="210"/>
      <c r="V107" s="211" t="s">
        <v>480</v>
      </c>
      <c r="W107" s="210" t="str">
        <f t="shared" si="7"/>
        <v>HR</v>
      </c>
      <c r="X107" s="210" t="str">
        <f t="shared" si="8"/>
        <v>HR, GA, Mgt</v>
      </c>
      <c r="Y107" s="210" t="str">
        <f t="shared" si="9"/>
        <v>BSG</v>
      </c>
      <c r="Z107" s="210"/>
      <c r="AA107" s="210"/>
      <c r="AB107" s="210"/>
      <c r="AC107" s="210"/>
      <c r="AD107" s="210"/>
      <c r="AE107" s="210"/>
      <c r="AF107" s="210"/>
      <c r="AG107" s="210"/>
      <c r="AH107" s="210"/>
      <c r="AI107" s="210"/>
      <c r="AJ107" s="210"/>
      <c r="AK107" s="210"/>
      <c r="AL107" s="210"/>
      <c r="AM107" s="214"/>
      <c r="AN107" s="211" t="str">
        <f>IFERROR(__xludf.DUMMYFUNCTION("""COMPUTED_VALUE"""),"257059")</f>
        <v>257059</v>
      </c>
      <c r="AO107" s="210" t="str">
        <f t="shared" si="10"/>
        <v>Designer</v>
      </c>
      <c r="AP107" s="210" t="str">
        <f t="shared" si="11"/>
        <v>UI/UX, Des</v>
      </c>
      <c r="AQ107" s="210" t="str">
        <f t="shared" si="12"/>
        <v>LBU</v>
      </c>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c r="BU107" s="210"/>
      <c r="BV107" s="210"/>
      <c r="BW107" s="210"/>
      <c r="BX107" s="210"/>
      <c r="BY107" s="210"/>
      <c r="BZ107" s="210"/>
      <c r="CA107" s="210"/>
      <c r="CB107" s="210"/>
      <c r="CC107" s="210"/>
      <c r="CD107" s="210"/>
      <c r="CE107" s="210"/>
      <c r="CF107" s="210"/>
      <c r="CG107" s="210"/>
      <c r="CH107" s="210"/>
      <c r="CI107" s="210"/>
      <c r="CJ107" s="210"/>
      <c r="CK107" s="210"/>
    </row>
    <row r="108">
      <c r="A108" s="222" t="s">
        <v>140</v>
      </c>
      <c r="B108" s="190" t="s">
        <v>141</v>
      </c>
      <c r="C108" s="223" t="s">
        <v>60</v>
      </c>
      <c r="D108" s="223" t="s">
        <v>854</v>
      </c>
      <c r="E108" s="190" t="s">
        <v>22</v>
      </c>
      <c r="F108" s="13" t="s">
        <v>917</v>
      </c>
      <c r="G108" s="190"/>
      <c r="H108" s="219">
        <f>IFERROR(
  MINIFS(ATTENDANCE_LOG!$F:$F,
         ATTENDANCE_LOG!$A:$A, C108,
         ATTENDANCE_LOG!$B:$B, E108),
"")</f>
        <v>45853.375</v>
      </c>
      <c r="I108" s="219">
        <f t="shared" si="2"/>
        <v>45644.375</v>
      </c>
      <c r="J108" s="190">
        <f>IFERROR(VLOOKUP(F108, LEVEL_HELPER!$A:$B, 2, 0), "")</f>
        <v>2.5</v>
      </c>
      <c r="K108" s="190" t="str">
        <f>IFERROR(VLOOKUP(G108, LEVEL_HELPER!$A:$B, 2, 0), "")</f>
        <v/>
      </c>
      <c r="L108" s="220" t="s">
        <v>943</v>
      </c>
      <c r="M108" s="229" t="s">
        <v>922</v>
      </c>
      <c r="N108" s="190">
        <f t="array" ref="N108">IFERROR(
  INDEX($J$2:$J$543,
    MATCH(A108&amp;TEXT(I108,"yyyy-mm-dd"),
          $A$2:$A$543&amp;TEXT($H$2:$H$543,"yyyy-mm-dd"),
          0)),
"")</f>
        <v>1</v>
      </c>
      <c r="O108" s="210">
        <f t="shared" si="3"/>
        <v>2.5</v>
      </c>
      <c r="P108" s="210">
        <f t="shared" ref="P108:Q108" si="118">IF(N108="",0,IF(N108&lt;=2,1,IF(N108&lt;=4,2,IF(N108&lt;=5.5,3,4))))</f>
        <v>1</v>
      </c>
      <c r="Q108" s="210">
        <f t="shared" si="118"/>
        <v>2</v>
      </c>
      <c r="R108" s="210" t="str">
        <f t="shared" si="5"/>
        <v>Lv1 → Lv2</v>
      </c>
      <c r="S108" s="210">
        <f t="shared" si="6"/>
        <v>1</v>
      </c>
      <c r="T108" s="210"/>
      <c r="U108" s="210"/>
      <c r="V108" s="211" t="s">
        <v>564</v>
      </c>
      <c r="W108" s="210" t="str">
        <f t="shared" si="7"/>
        <v>Admin</v>
      </c>
      <c r="X108" s="210" t="str">
        <f t="shared" si="8"/>
        <v>HR, GA, Mgt</v>
      </c>
      <c r="Y108" s="210" t="str">
        <f t="shared" si="9"/>
        <v>BSG</v>
      </c>
      <c r="Z108" s="210"/>
      <c r="AA108" s="210"/>
      <c r="AB108" s="210"/>
      <c r="AC108" s="210"/>
      <c r="AD108" s="210"/>
      <c r="AE108" s="210"/>
      <c r="AF108" s="210"/>
      <c r="AG108" s="210"/>
      <c r="AH108" s="210"/>
      <c r="AI108" s="210"/>
      <c r="AJ108" s="210"/>
      <c r="AK108" s="210"/>
      <c r="AL108" s="210"/>
      <c r="AM108" s="214"/>
      <c r="AN108" s="210"/>
      <c r="AO108" s="210" t="str">
        <f t="shared" si="10"/>
        <v>#N/A</v>
      </c>
      <c r="AP108" s="210" t="str">
        <f t="shared" si="11"/>
        <v>#N/A</v>
      </c>
      <c r="AQ108" s="210" t="str">
        <f t="shared" si="12"/>
        <v>#N/A</v>
      </c>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c r="BU108" s="210"/>
      <c r="BV108" s="210"/>
      <c r="BW108" s="210"/>
      <c r="BX108" s="210"/>
      <c r="BY108" s="210"/>
      <c r="BZ108" s="210"/>
      <c r="CA108" s="210"/>
      <c r="CB108" s="210"/>
      <c r="CC108" s="210"/>
      <c r="CD108" s="210"/>
      <c r="CE108" s="210"/>
      <c r="CF108" s="210"/>
      <c r="CG108" s="210"/>
      <c r="CH108" s="210"/>
      <c r="CI108" s="210"/>
      <c r="CJ108" s="210"/>
      <c r="CK108" s="210"/>
    </row>
    <row r="109">
      <c r="A109" s="222" t="s">
        <v>216</v>
      </c>
      <c r="B109" s="190" t="s">
        <v>217</v>
      </c>
      <c r="C109" s="223" t="s">
        <v>60</v>
      </c>
      <c r="D109" s="223" t="s">
        <v>854</v>
      </c>
      <c r="E109" s="190" t="s">
        <v>22</v>
      </c>
      <c r="F109" s="13" t="s">
        <v>917</v>
      </c>
      <c r="G109" s="190"/>
      <c r="H109" s="219">
        <f>IFERROR(
  MINIFS(ATTENDANCE_LOG!$F:$F,
         ATTENDANCE_LOG!$A:$A, C109,
         ATTENDANCE_LOG!$B:$B, E109),
"")</f>
        <v>45853.375</v>
      </c>
      <c r="I109" s="219">
        <f t="shared" si="2"/>
        <v>45644.375</v>
      </c>
      <c r="J109" s="190">
        <f>IFERROR(VLOOKUP(F109, LEVEL_HELPER!$A:$B, 2, 0), "")</f>
        <v>2.5</v>
      </c>
      <c r="K109" s="190" t="str">
        <f>IFERROR(VLOOKUP(G109, LEVEL_HELPER!$A:$B, 2, 0), "")</f>
        <v/>
      </c>
      <c r="L109" s="220" t="s">
        <v>943</v>
      </c>
      <c r="M109" s="229" t="s">
        <v>922</v>
      </c>
      <c r="N109" s="190">
        <f t="array" ref="N109">IFERROR(
  INDEX($J$2:$J$543,
    MATCH(A109&amp;TEXT(I109,"yyyy-mm-dd"),
          $A$2:$A$543&amp;TEXT($H$2:$H$543,"yyyy-mm-dd"),
          0)),
"")</f>
        <v>2.5</v>
      </c>
      <c r="O109" s="210">
        <f t="shared" si="3"/>
        <v>2.5</v>
      </c>
      <c r="P109" s="210">
        <f t="shared" ref="P109:Q109" si="119">IF(N109="",0,IF(N109&lt;=2,1,IF(N109&lt;=4,2,IF(N109&lt;=5.5,3,4))))</f>
        <v>2</v>
      </c>
      <c r="Q109" s="210">
        <f t="shared" si="119"/>
        <v>2</v>
      </c>
      <c r="R109" s="210" t="str">
        <f t="shared" si="5"/>
        <v>No Progress</v>
      </c>
      <c r="S109" s="210">
        <f t="shared" si="6"/>
        <v>0</v>
      </c>
      <c r="T109" s="210"/>
      <c r="U109" s="210"/>
      <c r="V109" s="211" t="s">
        <v>647</v>
      </c>
      <c r="W109" s="210" t="str">
        <f t="shared" si="7"/>
        <v>Admin</v>
      </c>
      <c r="X109" s="210" t="str">
        <f t="shared" si="8"/>
        <v>HR, GA, Mgt</v>
      </c>
      <c r="Y109" s="210" t="str">
        <f t="shared" si="9"/>
        <v>BSG</v>
      </c>
      <c r="Z109" s="210"/>
      <c r="AA109" s="210"/>
      <c r="AB109" s="210"/>
      <c r="AC109" s="210"/>
      <c r="AD109" s="210"/>
      <c r="AE109" s="210"/>
      <c r="AF109" s="210"/>
      <c r="AG109" s="210"/>
      <c r="AH109" s="210"/>
      <c r="AI109" s="210"/>
      <c r="AJ109" s="210"/>
      <c r="AK109" s="210"/>
      <c r="AL109" s="210"/>
      <c r="AM109" s="214"/>
      <c r="AN109" s="210"/>
      <c r="AO109" s="210" t="str">
        <f t="shared" si="10"/>
        <v>#N/A</v>
      </c>
      <c r="AP109" s="210" t="str">
        <f t="shared" si="11"/>
        <v>#N/A</v>
      </c>
      <c r="AQ109" s="210" t="str">
        <f t="shared" si="12"/>
        <v>#N/A</v>
      </c>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c r="BU109" s="210"/>
      <c r="BV109" s="210"/>
      <c r="BW109" s="210"/>
      <c r="BX109" s="210"/>
      <c r="BY109" s="210"/>
      <c r="BZ109" s="210"/>
      <c r="CA109" s="210"/>
      <c r="CB109" s="210"/>
      <c r="CC109" s="210"/>
      <c r="CD109" s="210"/>
      <c r="CE109" s="210"/>
      <c r="CF109" s="210"/>
      <c r="CG109" s="210"/>
      <c r="CH109" s="210"/>
      <c r="CI109" s="210"/>
      <c r="CJ109" s="210"/>
      <c r="CK109" s="210"/>
    </row>
    <row r="110">
      <c r="A110" s="222" t="s">
        <v>232</v>
      </c>
      <c r="B110" s="190" t="s">
        <v>233</v>
      </c>
      <c r="C110" s="223" t="s">
        <v>60</v>
      </c>
      <c r="D110" s="223" t="s">
        <v>854</v>
      </c>
      <c r="E110" s="190" t="s">
        <v>22</v>
      </c>
      <c r="F110" s="13" t="s">
        <v>917</v>
      </c>
      <c r="G110" s="190"/>
      <c r="H110" s="219">
        <f>IFERROR(
  MINIFS(ATTENDANCE_LOG!$F:$F,
         ATTENDANCE_LOG!$A:$A, C110,
         ATTENDANCE_LOG!$B:$B, E110),
"")</f>
        <v>45853.375</v>
      </c>
      <c r="I110" s="219">
        <f t="shared" si="2"/>
        <v>45644.375</v>
      </c>
      <c r="J110" s="190">
        <f>IFERROR(VLOOKUP(F110, LEVEL_HELPER!$A:$B, 2, 0), "")</f>
        <v>2.5</v>
      </c>
      <c r="K110" s="190" t="str">
        <f>IFERROR(VLOOKUP(G110, LEVEL_HELPER!$A:$B, 2, 0), "")</f>
        <v/>
      </c>
      <c r="L110" s="220" t="s">
        <v>943</v>
      </c>
      <c r="M110" s="229" t="s">
        <v>922</v>
      </c>
      <c r="N110" s="190">
        <f t="array" ref="N110">IFERROR(
  INDEX($J$2:$J$543,
    MATCH(A110&amp;TEXT(I110,"yyyy-mm-dd"),
          $A$2:$A$543&amp;TEXT($H$2:$H$543,"yyyy-mm-dd"),
          0)),
"")</f>
        <v>1</v>
      </c>
      <c r="O110" s="210">
        <f t="shared" si="3"/>
        <v>2.5</v>
      </c>
      <c r="P110" s="210">
        <f t="shared" ref="P110:Q110" si="120">IF(N110="",0,IF(N110&lt;=2,1,IF(N110&lt;=4,2,IF(N110&lt;=5.5,3,4))))</f>
        <v>1</v>
      </c>
      <c r="Q110" s="210">
        <f t="shared" si="120"/>
        <v>2</v>
      </c>
      <c r="R110" s="210" t="str">
        <f t="shared" si="5"/>
        <v>Lv1 → Lv2</v>
      </c>
      <c r="S110" s="210">
        <f t="shared" si="6"/>
        <v>0</v>
      </c>
      <c r="T110" s="210"/>
      <c r="U110" s="210"/>
      <c r="V110" s="211" t="s">
        <v>556</v>
      </c>
      <c r="W110" s="210" t="str">
        <f t="shared" si="7"/>
        <v>DEV</v>
      </c>
      <c r="X110" s="210" t="str">
        <f t="shared" si="8"/>
        <v>DEV, TA</v>
      </c>
      <c r="Y110" s="210" t="str">
        <f t="shared" si="9"/>
        <v>ONC</v>
      </c>
      <c r="Z110" s="210"/>
      <c r="AA110" s="210"/>
      <c r="AB110" s="210"/>
      <c r="AC110" s="210"/>
      <c r="AD110" s="210"/>
      <c r="AE110" s="210"/>
      <c r="AF110" s="210"/>
      <c r="AG110" s="210"/>
      <c r="AH110" s="210"/>
      <c r="AI110" s="210"/>
      <c r="AJ110" s="210"/>
      <c r="AK110" s="210"/>
      <c r="AL110" s="210"/>
      <c r="AM110" s="214"/>
      <c r="AN110" s="210"/>
      <c r="AO110" s="210" t="str">
        <f t="shared" si="10"/>
        <v>#N/A</v>
      </c>
      <c r="AP110" s="210" t="str">
        <f t="shared" si="11"/>
        <v>#N/A</v>
      </c>
      <c r="AQ110" s="210" t="str">
        <f t="shared" si="12"/>
        <v>#N/A</v>
      </c>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c r="BU110" s="210"/>
      <c r="BV110" s="210"/>
      <c r="BW110" s="210"/>
      <c r="BX110" s="210"/>
      <c r="BY110" s="210"/>
      <c r="BZ110" s="210"/>
      <c r="CA110" s="210"/>
      <c r="CB110" s="210"/>
      <c r="CC110" s="210"/>
      <c r="CD110" s="210"/>
      <c r="CE110" s="210"/>
      <c r="CF110" s="210"/>
      <c r="CG110" s="210"/>
      <c r="CH110" s="210"/>
      <c r="CI110" s="210"/>
      <c r="CJ110" s="210"/>
      <c r="CK110" s="210"/>
    </row>
    <row r="111">
      <c r="A111" s="222" t="s">
        <v>321</v>
      </c>
      <c r="B111" s="190" t="s">
        <v>322</v>
      </c>
      <c r="C111" s="223" t="s">
        <v>60</v>
      </c>
      <c r="D111" s="223" t="s">
        <v>854</v>
      </c>
      <c r="E111" s="190" t="s">
        <v>22</v>
      </c>
      <c r="F111" s="13" t="s">
        <v>917</v>
      </c>
      <c r="G111" s="190"/>
      <c r="H111" s="219">
        <f>IFERROR(
  MINIFS(ATTENDANCE_LOG!$F:$F,
         ATTENDANCE_LOG!$A:$A, C111,
         ATTENDANCE_LOG!$B:$B, E111),
"")</f>
        <v>45853.375</v>
      </c>
      <c r="I111" s="219">
        <f t="shared" si="2"/>
        <v>45644.375</v>
      </c>
      <c r="J111" s="190">
        <f>IFERROR(VLOOKUP(F111, LEVEL_HELPER!$A:$B, 2, 0), "")</f>
        <v>2.5</v>
      </c>
      <c r="K111" s="190" t="str">
        <f>IFERROR(VLOOKUP(G111, LEVEL_HELPER!$A:$B, 2, 0), "")</f>
        <v/>
      </c>
      <c r="L111" s="220" t="s">
        <v>919</v>
      </c>
      <c r="M111" s="229" t="s">
        <v>922</v>
      </c>
      <c r="N111" s="190">
        <f t="array" ref="N111">IFERROR(
  INDEX($J$2:$J$543,
    MATCH(A111&amp;TEXT(I111,"yyyy-mm-dd"),
          $A$2:$A$543&amp;TEXT($H$2:$H$543,"yyyy-mm-dd"),
          0)),
"")</f>
        <v>1</v>
      </c>
      <c r="O111" s="210">
        <f t="shared" si="3"/>
        <v>2.5</v>
      </c>
      <c r="P111" s="210">
        <f t="shared" ref="P111:Q111" si="121">IF(N111="",0,IF(N111&lt;=2,1,IF(N111&lt;=4,2,IF(N111&lt;=5.5,3,4))))</f>
        <v>1</v>
      </c>
      <c r="Q111" s="210">
        <f t="shared" si="121"/>
        <v>2</v>
      </c>
      <c r="R111" s="210" t="str">
        <f t="shared" si="5"/>
        <v>Lv1 → Lv2</v>
      </c>
      <c r="S111" s="210">
        <f t="shared" si="6"/>
        <v>0</v>
      </c>
      <c r="T111" s="210"/>
      <c r="U111" s="210"/>
      <c r="V111" s="211" t="s">
        <v>218</v>
      </c>
      <c r="W111" s="210" t="str">
        <f t="shared" si="7"/>
        <v>DEV</v>
      </c>
      <c r="X111" s="210" t="str">
        <f t="shared" si="8"/>
        <v>DEV, TA</v>
      </c>
      <c r="Y111" s="210" t="str">
        <f t="shared" si="9"/>
        <v>ONC</v>
      </c>
      <c r="Z111" s="210"/>
      <c r="AA111" s="210"/>
      <c r="AB111" s="210"/>
      <c r="AC111" s="210"/>
      <c r="AD111" s="210"/>
      <c r="AE111" s="210"/>
      <c r="AF111" s="210"/>
      <c r="AG111" s="210"/>
      <c r="AH111" s="210"/>
      <c r="AI111" s="210"/>
      <c r="AJ111" s="210"/>
      <c r="AK111" s="210"/>
      <c r="AL111" s="210"/>
      <c r="AM111" s="214"/>
      <c r="AN111" s="210"/>
      <c r="AO111" s="210" t="str">
        <f t="shared" si="10"/>
        <v>#N/A</v>
      </c>
      <c r="AP111" s="210" t="str">
        <f t="shared" si="11"/>
        <v>#N/A</v>
      </c>
      <c r="AQ111" s="210" t="str">
        <f t="shared" si="12"/>
        <v>#N/A</v>
      </c>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c r="BU111" s="210"/>
      <c r="BV111" s="210"/>
      <c r="BW111" s="210"/>
      <c r="BX111" s="210"/>
      <c r="BY111" s="210"/>
      <c r="BZ111" s="210"/>
      <c r="CA111" s="210"/>
      <c r="CB111" s="210"/>
      <c r="CC111" s="210"/>
      <c r="CD111" s="210"/>
      <c r="CE111" s="210"/>
      <c r="CF111" s="210"/>
      <c r="CG111" s="210"/>
      <c r="CH111" s="210"/>
      <c r="CI111" s="210"/>
      <c r="CJ111" s="210"/>
      <c r="CK111" s="210"/>
    </row>
    <row r="112">
      <c r="A112" s="222" t="s">
        <v>340</v>
      </c>
      <c r="B112" s="190" t="s">
        <v>341</v>
      </c>
      <c r="C112" s="223" t="s">
        <v>60</v>
      </c>
      <c r="D112" s="223" t="s">
        <v>854</v>
      </c>
      <c r="E112" s="190" t="s">
        <v>22</v>
      </c>
      <c r="F112" s="13" t="s">
        <v>917</v>
      </c>
      <c r="G112" s="190"/>
      <c r="H112" s="219">
        <f>IFERROR(
  MINIFS(ATTENDANCE_LOG!$F:$F,
         ATTENDANCE_LOG!$A:$A, C112,
         ATTENDANCE_LOG!$B:$B, E112),
"")</f>
        <v>45853.375</v>
      </c>
      <c r="I112" s="219">
        <f t="shared" si="2"/>
        <v>45644.375</v>
      </c>
      <c r="J112" s="190">
        <f>IFERROR(VLOOKUP(F112, LEVEL_HELPER!$A:$B, 2, 0), "")</f>
        <v>2.5</v>
      </c>
      <c r="K112" s="190" t="str">
        <f>IFERROR(VLOOKUP(G112, LEVEL_HELPER!$A:$B, 2, 0), "")</f>
        <v/>
      </c>
      <c r="L112" s="220" t="s">
        <v>943</v>
      </c>
      <c r="M112" s="229" t="s">
        <v>922</v>
      </c>
      <c r="N112" s="190">
        <f t="array" ref="N112">IFERROR(
  INDEX($J$2:$J$543,
    MATCH(A112&amp;TEXT(I112,"yyyy-mm-dd"),
          $A$2:$A$543&amp;TEXT($H$2:$H$543,"yyyy-mm-dd"),
          0)),
"")</f>
        <v>1</v>
      </c>
      <c r="O112" s="210">
        <f t="shared" si="3"/>
        <v>2.5</v>
      </c>
      <c r="P112" s="210">
        <f t="shared" ref="P112:Q112" si="122">IF(N112="",0,IF(N112&lt;=2,1,IF(N112&lt;=4,2,IF(N112&lt;=5.5,3,4))))</f>
        <v>1</v>
      </c>
      <c r="Q112" s="210">
        <f t="shared" si="122"/>
        <v>2</v>
      </c>
      <c r="R112" s="210" t="str">
        <f t="shared" si="5"/>
        <v>Lv1 → Lv2</v>
      </c>
      <c r="S112" s="210">
        <f t="shared" si="6"/>
        <v>1</v>
      </c>
      <c r="T112" s="210"/>
      <c r="U112" s="210"/>
      <c r="V112" s="211" t="s">
        <v>374</v>
      </c>
      <c r="W112" s="210" t="str">
        <f t="shared" si="7"/>
        <v>DEV</v>
      </c>
      <c r="X112" s="210" t="str">
        <f t="shared" si="8"/>
        <v>DEV, TA</v>
      </c>
      <c r="Y112" s="210" t="str">
        <f t="shared" si="9"/>
        <v>ONC</v>
      </c>
      <c r="Z112" s="210"/>
      <c r="AA112" s="210"/>
      <c r="AB112" s="210"/>
      <c r="AC112" s="210"/>
      <c r="AD112" s="210"/>
      <c r="AE112" s="210"/>
      <c r="AF112" s="210"/>
      <c r="AG112" s="210"/>
      <c r="AH112" s="210"/>
      <c r="AI112" s="210"/>
      <c r="AJ112" s="210"/>
      <c r="AK112" s="210"/>
      <c r="AL112" s="210"/>
      <c r="AM112" s="214"/>
      <c r="AN112" s="210"/>
      <c r="AO112" s="210" t="str">
        <f t="shared" si="10"/>
        <v>#N/A</v>
      </c>
      <c r="AP112" s="210" t="str">
        <f t="shared" si="11"/>
        <v>#N/A</v>
      </c>
      <c r="AQ112" s="210" t="str">
        <f t="shared" si="12"/>
        <v>#N/A</v>
      </c>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c r="BU112" s="210"/>
      <c r="BV112" s="210"/>
      <c r="BW112" s="210"/>
      <c r="BX112" s="210"/>
      <c r="BY112" s="210"/>
      <c r="BZ112" s="210"/>
      <c r="CA112" s="210"/>
      <c r="CB112" s="210"/>
      <c r="CC112" s="210"/>
      <c r="CD112" s="210"/>
      <c r="CE112" s="210"/>
      <c r="CF112" s="210"/>
      <c r="CG112" s="210"/>
      <c r="CH112" s="210"/>
      <c r="CI112" s="210"/>
      <c r="CJ112" s="210"/>
      <c r="CK112" s="210"/>
    </row>
    <row r="113">
      <c r="A113" s="222" t="s">
        <v>395</v>
      </c>
      <c r="B113" s="190" t="s">
        <v>396</v>
      </c>
      <c r="C113" s="223" t="s">
        <v>60</v>
      </c>
      <c r="D113" s="223" t="s">
        <v>854</v>
      </c>
      <c r="E113" s="190" t="s">
        <v>22</v>
      </c>
      <c r="F113" s="13" t="s">
        <v>917</v>
      </c>
      <c r="G113" s="190"/>
      <c r="H113" s="219">
        <f>IFERROR(
  MINIFS(ATTENDANCE_LOG!$F:$F,
         ATTENDANCE_LOG!$A:$A, C113,
         ATTENDANCE_LOG!$B:$B, E113),
"")</f>
        <v>45853.375</v>
      </c>
      <c r="I113" s="219">
        <f t="shared" si="2"/>
        <v>45644.375</v>
      </c>
      <c r="J113" s="190">
        <f>IFERROR(VLOOKUP(F113, LEVEL_HELPER!$A:$B, 2, 0), "")</f>
        <v>2.5</v>
      </c>
      <c r="K113" s="190" t="str">
        <f>IFERROR(VLOOKUP(G113, LEVEL_HELPER!$A:$B, 2, 0), "")</f>
        <v/>
      </c>
      <c r="L113" s="220" t="s">
        <v>919</v>
      </c>
      <c r="M113" s="229" t="s">
        <v>922</v>
      </c>
      <c r="N113" s="190">
        <f t="array" ref="N113">IFERROR(
  INDEX($J$2:$J$543,
    MATCH(A113&amp;TEXT(I113,"yyyy-mm-dd"),
          $A$2:$A$543&amp;TEXT($H$2:$H$543,"yyyy-mm-dd"),
          0)),
"")</f>
        <v>2.5</v>
      </c>
      <c r="O113" s="210">
        <f t="shared" si="3"/>
        <v>2.5</v>
      </c>
      <c r="P113" s="210">
        <f t="shared" ref="P113:Q113" si="123">IF(N113="",0,IF(N113&lt;=2,1,IF(N113&lt;=4,2,IF(N113&lt;=5.5,3,4))))</f>
        <v>2</v>
      </c>
      <c r="Q113" s="210">
        <f t="shared" si="123"/>
        <v>2</v>
      </c>
      <c r="R113" s="210" t="str">
        <f t="shared" si="5"/>
        <v>No Progress</v>
      </c>
      <c r="S113" s="210">
        <f t="shared" si="6"/>
        <v>1</v>
      </c>
      <c r="T113" s="210"/>
      <c r="U113" s="210"/>
      <c r="V113" s="211" t="s">
        <v>643</v>
      </c>
      <c r="W113" s="210" t="str">
        <f t="shared" si="7"/>
        <v>DEV</v>
      </c>
      <c r="X113" s="210" t="str">
        <f t="shared" si="8"/>
        <v>DEV, TA</v>
      </c>
      <c r="Y113" s="210" t="str">
        <f t="shared" si="9"/>
        <v>ONC</v>
      </c>
      <c r="Z113" s="210"/>
      <c r="AA113" s="210"/>
      <c r="AB113" s="210"/>
      <c r="AC113" s="210"/>
      <c r="AD113" s="210"/>
      <c r="AE113" s="210"/>
      <c r="AF113" s="210"/>
      <c r="AG113" s="210"/>
      <c r="AH113" s="210"/>
      <c r="AI113" s="210"/>
      <c r="AJ113" s="210"/>
      <c r="AK113" s="210"/>
      <c r="AL113" s="210"/>
      <c r="AM113" s="214"/>
      <c r="AN113" s="210"/>
      <c r="AO113" s="210" t="str">
        <f t="shared" si="10"/>
        <v>#N/A</v>
      </c>
      <c r="AP113" s="210" t="str">
        <f t="shared" si="11"/>
        <v>#N/A</v>
      </c>
      <c r="AQ113" s="210" t="str">
        <f t="shared" si="12"/>
        <v>#N/A</v>
      </c>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c r="BU113" s="210"/>
      <c r="BV113" s="210"/>
      <c r="BW113" s="210"/>
      <c r="BX113" s="210"/>
      <c r="BY113" s="210"/>
      <c r="BZ113" s="210"/>
      <c r="CA113" s="210"/>
      <c r="CB113" s="210"/>
      <c r="CC113" s="210"/>
      <c r="CD113" s="210"/>
      <c r="CE113" s="210"/>
      <c r="CF113" s="210"/>
      <c r="CG113" s="210"/>
      <c r="CH113" s="210"/>
      <c r="CI113" s="210"/>
      <c r="CJ113" s="210"/>
      <c r="CK113" s="210"/>
    </row>
    <row r="114">
      <c r="A114" s="222" t="s">
        <v>583</v>
      </c>
      <c r="B114" s="190" t="s">
        <v>584</v>
      </c>
      <c r="C114" s="223" t="s">
        <v>60</v>
      </c>
      <c r="D114" s="223" t="s">
        <v>854</v>
      </c>
      <c r="E114" s="190" t="s">
        <v>22</v>
      </c>
      <c r="F114" s="13" t="s">
        <v>932</v>
      </c>
      <c r="G114" s="190"/>
      <c r="H114" s="219">
        <f>IFERROR(
  MINIFS(ATTENDANCE_LOG!$F:$F,
         ATTENDANCE_LOG!$A:$A, C114,
         ATTENDANCE_LOG!$B:$B, E114),
"")</f>
        <v>45853.375</v>
      </c>
      <c r="I114" s="219">
        <f t="shared" si="2"/>
        <v>45644.375</v>
      </c>
      <c r="J114" s="190">
        <f>IFERROR(VLOOKUP(F114, LEVEL_HELPER!$A:$B, 2, 0), "")</f>
        <v>4.5</v>
      </c>
      <c r="K114" s="190" t="str">
        <f>IFERROR(VLOOKUP(G114, LEVEL_HELPER!$A:$B, 2, 0), "")</f>
        <v/>
      </c>
      <c r="L114" s="220" t="s">
        <v>943</v>
      </c>
      <c r="M114" s="229" t="s">
        <v>922</v>
      </c>
      <c r="N114" s="190">
        <f t="array" ref="N114">IFERROR(
  INDEX($J$2:$J$543,
    MATCH(A114&amp;TEXT(I114,"yyyy-mm-dd"),
          $A$2:$A$543&amp;TEXT($H$2:$H$543,"yyyy-mm-dd"),
          0)),
"")</f>
        <v>2.5</v>
      </c>
      <c r="O114" s="210">
        <f t="shared" si="3"/>
        <v>4.5</v>
      </c>
      <c r="P114" s="210">
        <f t="shared" ref="P114:Q114" si="124">IF(N114="",0,IF(N114&lt;=2,1,IF(N114&lt;=4,2,IF(N114&lt;=5.5,3,4))))</f>
        <v>2</v>
      </c>
      <c r="Q114" s="210">
        <f t="shared" si="124"/>
        <v>3</v>
      </c>
      <c r="R114" s="210" t="str">
        <f t="shared" si="5"/>
        <v>Lv2 → Lv3</v>
      </c>
      <c r="S114" s="210">
        <f t="shared" si="6"/>
        <v>1</v>
      </c>
      <c r="T114" s="210"/>
      <c r="U114" s="210"/>
      <c r="V114" s="211" t="s">
        <v>323</v>
      </c>
      <c r="W114" s="210" t="str">
        <f t="shared" si="7"/>
        <v>DEV</v>
      </c>
      <c r="X114" s="210" t="str">
        <f t="shared" si="8"/>
        <v>DEV, TA</v>
      </c>
      <c r="Y114" s="210" t="str">
        <f t="shared" si="9"/>
        <v>ONC</v>
      </c>
      <c r="Z114" s="210"/>
      <c r="AA114" s="210"/>
      <c r="AB114" s="210"/>
      <c r="AC114" s="210"/>
      <c r="AD114" s="210"/>
      <c r="AE114" s="210"/>
      <c r="AF114" s="210"/>
      <c r="AG114" s="210"/>
      <c r="AH114" s="210"/>
      <c r="AI114" s="210"/>
      <c r="AJ114" s="210"/>
      <c r="AK114" s="210"/>
      <c r="AL114" s="210"/>
      <c r="AM114" s="214"/>
      <c r="AN114" s="210"/>
      <c r="AO114" s="210" t="str">
        <f t="shared" si="10"/>
        <v>#N/A</v>
      </c>
      <c r="AP114" s="210" t="str">
        <f t="shared" si="11"/>
        <v>#N/A</v>
      </c>
      <c r="AQ114" s="210" t="str">
        <f t="shared" si="12"/>
        <v>#N/A</v>
      </c>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c r="BU114" s="210"/>
      <c r="BV114" s="210"/>
      <c r="BW114" s="210"/>
      <c r="BX114" s="210"/>
      <c r="BY114" s="210"/>
      <c r="BZ114" s="210"/>
      <c r="CA114" s="210"/>
      <c r="CB114" s="210"/>
      <c r="CC114" s="210"/>
      <c r="CD114" s="210"/>
      <c r="CE114" s="210"/>
      <c r="CF114" s="210"/>
      <c r="CG114" s="210"/>
      <c r="CH114" s="210"/>
      <c r="CI114" s="210"/>
      <c r="CJ114" s="210"/>
      <c r="CK114" s="210"/>
    </row>
    <row r="115">
      <c r="A115" s="216" t="s">
        <v>395</v>
      </c>
      <c r="B115" s="217" t="s">
        <v>396</v>
      </c>
      <c r="C115" s="218" t="s">
        <v>61</v>
      </c>
      <c r="D115" s="218" t="s">
        <v>855</v>
      </c>
      <c r="E115" s="217" t="s">
        <v>21</v>
      </c>
      <c r="F115" s="13" t="s">
        <v>917</v>
      </c>
      <c r="G115" s="13" t="s">
        <v>917</v>
      </c>
      <c r="H115" s="219">
        <f>IFERROR(
  MINIFS(ATTENDANCE_LOG!$F:$F,
         ATTENDANCE_LOG!$A:$A, C115,
         ATTENDANCE_LOG!$B:$B, E115),
"")</f>
        <v>45644.375</v>
      </c>
      <c r="I115" s="219">
        <f t="shared" si="2"/>
        <v>45644.375</v>
      </c>
      <c r="J115" s="190">
        <f>IFERROR(VLOOKUP(F115, LEVEL_HELPER!$A:$B, 2, 0), "")</f>
        <v>2.5</v>
      </c>
      <c r="K115" s="190">
        <f>IFERROR(VLOOKUP(G115, LEVEL_HELPER!$A:$B, 2, 0), "")</f>
        <v>2.5</v>
      </c>
      <c r="L115" s="220" t="s">
        <v>919</v>
      </c>
      <c r="M115" s="229" t="s">
        <v>922</v>
      </c>
      <c r="N115" s="190">
        <f t="array" ref="N115">IFERROR(
  INDEX($J$2:$J$543,
    MATCH(A115&amp;TEXT(I115,"yyyy-mm-dd"),
          $A$2:$A$543&amp;TEXT($H$2:$H$543,"yyyy-mm-dd"),
          0)),
"")</f>
        <v>2.5</v>
      </c>
      <c r="O115" s="210">
        <f t="shared" si="3"/>
        <v>2.5</v>
      </c>
      <c r="P115" s="210">
        <f t="shared" ref="P115:Q115" si="125">IF(N115="",0,IF(N115&lt;=2,1,IF(N115&lt;=4,2,IF(N115&lt;=5.5,3,4))))</f>
        <v>2</v>
      </c>
      <c r="Q115" s="210">
        <f t="shared" si="125"/>
        <v>2</v>
      </c>
      <c r="R115" s="210" t="str">
        <f t="shared" si="5"/>
        <v>No Progress</v>
      </c>
      <c r="S115" s="210">
        <f t="shared" si="6"/>
        <v>0</v>
      </c>
      <c r="T115" s="210"/>
      <c r="U115" s="210"/>
      <c r="V115" s="211" t="s">
        <v>639</v>
      </c>
      <c r="W115" s="210" t="str">
        <f t="shared" si="7"/>
        <v>DEV</v>
      </c>
      <c r="X115" s="210" t="str">
        <f t="shared" si="8"/>
        <v>DEV, TA</v>
      </c>
      <c r="Y115" s="210" t="str">
        <f t="shared" si="9"/>
        <v>ONC</v>
      </c>
      <c r="Z115" s="210"/>
      <c r="AA115" s="210"/>
      <c r="AB115" s="210"/>
      <c r="AC115" s="210"/>
      <c r="AD115" s="210"/>
      <c r="AE115" s="210"/>
      <c r="AF115" s="210"/>
      <c r="AG115" s="210"/>
      <c r="AH115" s="210"/>
      <c r="AI115" s="210"/>
      <c r="AJ115" s="210"/>
      <c r="AK115" s="210"/>
      <c r="AL115" s="210"/>
      <c r="AM115" s="214"/>
      <c r="AN115" s="210"/>
      <c r="AO115" s="210" t="str">
        <f t="shared" si="10"/>
        <v>#N/A</v>
      </c>
      <c r="AP115" s="210" t="str">
        <f t="shared" si="11"/>
        <v>#N/A</v>
      </c>
      <c r="AQ115" s="210" t="str">
        <f t="shared" si="12"/>
        <v>#N/A</v>
      </c>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c r="BU115" s="210"/>
      <c r="BV115" s="210"/>
      <c r="BW115" s="210"/>
      <c r="BX115" s="210"/>
      <c r="BY115" s="210"/>
      <c r="BZ115" s="210"/>
      <c r="CA115" s="210"/>
      <c r="CB115" s="210"/>
      <c r="CC115" s="210"/>
      <c r="CD115" s="210"/>
      <c r="CE115" s="210"/>
      <c r="CF115" s="210"/>
      <c r="CG115" s="210"/>
      <c r="CH115" s="210"/>
      <c r="CI115" s="210"/>
      <c r="CJ115" s="210"/>
      <c r="CK115" s="210"/>
    </row>
    <row r="116">
      <c r="A116" s="222" t="s">
        <v>140</v>
      </c>
      <c r="B116" s="190" t="s">
        <v>141</v>
      </c>
      <c r="C116" s="223" t="s">
        <v>61</v>
      </c>
      <c r="D116" s="223" t="s">
        <v>855</v>
      </c>
      <c r="E116" s="190" t="s">
        <v>21</v>
      </c>
      <c r="F116" s="13" t="s">
        <v>927</v>
      </c>
      <c r="G116" s="13" t="s">
        <v>917</v>
      </c>
      <c r="H116" s="219">
        <f>IFERROR(
  MINIFS(ATTENDANCE_LOG!$F:$F,
         ATTENDANCE_LOG!$A:$A, C116,
         ATTENDANCE_LOG!$B:$B, E116),
"")</f>
        <v>45644.375</v>
      </c>
      <c r="I116" s="219">
        <f t="shared" si="2"/>
        <v>45644.375</v>
      </c>
      <c r="J116" s="190">
        <f>IFERROR(VLOOKUP(F116, LEVEL_HELPER!$A:$B, 2, 0), "")</f>
        <v>1</v>
      </c>
      <c r="K116" s="190">
        <f>IFERROR(VLOOKUP(G116, LEVEL_HELPER!$A:$B, 2, 0), "")</f>
        <v>2.5</v>
      </c>
      <c r="L116" s="220" t="s">
        <v>943</v>
      </c>
      <c r="M116" s="229" t="s">
        <v>922</v>
      </c>
      <c r="N116" s="190">
        <f t="array" ref="N116">IFERROR(
  INDEX($J$2:$J$543,
    MATCH(A116&amp;TEXT(I116,"yyyy-mm-dd"),
          $A$2:$A$543&amp;TEXT($H$2:$H$543,"yyyy-mm-dd"),
          0)),
"")</f>
        <v>1</v>
      </c>
      <c r="O116" s="210">
        <f t="shared" si="3"/>
        <v>2.5</v>
      </c>
      <c r="P116" s="210">
        <f t="shared" ref="P116:Q116" si="126">IF(N116="",0,IF(N116&lt;=2,1,IF(N116&lt;=4,2,IF(N116&lt;=5.5,3,4))))</f>
        <v>1</v>
      </c>
      <c r="Q116" s="210">
        <f t="shared" si="126"/>
        <v>2</v>
      </c>
      <c r="R116" s="210" t="str">
        <f t="shared" si="5"/>
        <v>Lv1 → Lv2</v>
      </c>
      <c r="S116" s="210">
        <f t="shared" si="6"/>
        <v>0</v>
      </c>
      <c r="T116" s="210"/>
      <c r="U116" s="210"/>
      <c r="V116" s="211" t="s">
        <v>715</v>
      </c>
      <c r="W116" s="210" t="str">
        <f t="shared" si="7"/>
        <v>DEV</v>
      </c>
      <c r="X116" s="210" t="str">
        <f t="shared" si="8"/>
        <v>DEV, TA</v>
      </c>
      <c r="Y116" s="210" t="str">
        <f t="shared" si="9"/>
        <v>ONC</v>
      </c>
      <c r="Z116" s="210"/>
      <c r="AA116" s="210"/>
      <c r="AB116" s="210"/>
      <c r="AC116" s="210"/>
      <c r="AD116" s="210"/>
      <c r="AE116" s="210"/>
      <c r="AF116" s="210"/>
      <c r="AG116" s="210"/>
      <c r="AH116" s="210"/>
      <c r="AI116" s="210"/>
      <c r="AJ116" s="210"/>
      <c r="AK116" s="210"/>
      <c r="AL116" s="210"/>
      <c r="AM116" s="214"/>
      <c r="AN116" s="210"/>
      <c r="AO116" s="210" t="str">
        <f t="shared" si="10"/>
        <v>#N/A</v>
      </c>
      <c r="AP116" s="210" t="str">
        <f t="shared" si="11"/>
        <v>#N/A</v>
      </c>
      <c r="AQ116" s="210" t="str">
        <f t="shared" si="12"/>
        <v>#N/A</v>
      </c>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c r="BU116" s="210"/>
      <c r="BV116" s="210"/>
      <c r="BW116" s="210"/>
      <c r="BX116" s="210"/>
      <c r="BY116" s="210"/>
      <c r="BZ116" s="210"/>
      <c r="CA116" s="210"/>
      <c r="CB116" s="210"/>
      <c r="CC116" s="210"/>
      <c r="CD116" s="210"/>
      <c r="CE116" s="210"/>
      <c r="CF116" s="210"/>
      <c r="CG116" s="210"/>
      <c r="CH116" s="210"/>
      <c r="CI116" s="210"/>
      <c r="CJ116" s="210"/>
      <c r="CK116" s="210"/>
    </row>
    <row r="117">
      <c r="A117" s="222" t="s">
        <v>340</v>
      </c>
      <c r="B117" s="190" t="s">
        <v>341</v>
      </c>
      <c r="C117" s="223" t="s">
        <v>61</v>
      </c>
      <c r="D117" s="223" t="s">
        <v>855</v>
      </c>
      <c r="E117" s="190" t="s">
        <v>21</v>
      </c>
      <c r="F117" s="13" t="s">
        <v>927</v>
      </c>
      <c r="G117" s="13" t="s">
        <v>917</v>
      </c>
      <c r="H117" s="219">
        <f>IFERROR(
  MINIFS(ATTENDANCE_LOG!$F:$F,
         ATTENDANCE_LOG!$A:$A, C117,
         ATTENDANCE_LOG!$B:$B, E117),
"")</f>
        <v>45644.375</v>
      </c>
      <c r="I117" s="219">
        <f t="shared" si="2"/>
        <v>45644.375</v>
      </c>
      <c r="J117" s="190">
        <f>IFERROR(VLOOKUP(F117, LEVEL_HELPER!$A:$B, 2, 0), "")</f>
        <v>1</v>
      </c>
      <c r="K117" s="190">
        <f>IFERROR(VLOOKUP(G117, LEVEL_HELPER!$A:$B, 2, 0), "")</f>
        <v>2.5</v>
      </c>
      <c r="L117" s="220" t="s">
        <v>943</v>
      </c>
      <c r="M117" s="229" t="s">
        <v>922</v>
      </c>
      <c r="N117" s="190">
        <f t="array" ref="N117">IFERROR(
  INDEX($J$2:$J$543,
    MATCH(A117&amp;TEXT(I117,"yyyy-mm-dd"),
          $A$2:$A$543&amp;TEXT($H$2:$H$543,"yyyy-mm-dd"),
          0)),
"")</f>
        <v>1</v>
      </c>
      <c r="O117" s="210">
        <f t="shared" si="3"/>
        <v>2.5</v>
      </c>
      <c r="P117" s="210">
        <f t="shared" ref="P117:Q117" si="127">IF(N117="",0,IF(N117&lt;=2,1,IF(N117&lt;=4,2,IF(N117&lt;=5.5,3,4))))</f>
        <v>1</v>
      </c>
      <c r="Q117" s="210">
        <f t="shared" si="127"/>
        <v>2</v>
      </c>
      <c r="R117" s="210" t="str">
        <f t="shared" si="5"/>
        <v>Lv1 → Lv2</v>
      </c>
      <c r="S117" s="210">
        <f t="shared" si="6"/>
        <v>0</v>
      </c>
      <c r="T117" s="210"/>
      <c r="U117" s="210"/>
      <c r="V117" s="211" t="s">
        <v>257</v>
      </c>
      <c r="W117" s="210" t="str">
        <f t="shared" si="7"/>
        <v>DEV</v>
      </c>
      <c r="X117" s="210" t="str">
        <f t="shared" si="8"/>
        <v>DEV, TA</v>
      </c>
      <c r="Y117" s="210" t="str">
        <f t="shared" si="9"/>
        <v>ONC</v>
      </c>
      <c r="Z117" s="210"/>
      <c r="AA117" s="210"/>
      <c r="AB117" s="210"/>
      <c r="AC117" s="210"/>
      <c r="AD117" s="210"/>
      <c r="AE117" s="210"/>
      <c r="AF117" s="210"/>
      <c r="AG117" s="210"/>
      <c r="AH117" s="210"/>
      <c r="AI117" s="210"/>
      <c r="AJ117" s="210"/>
      <c r="AK117" s="210"/>
      <c r="AL117" s="210"/>
      <c r="AM117" s="214"/>
      <c r="AN117" s="210"/>
      <c r="AO117" s="210" t="str">
        <f t="shared" si="10"/>
        <v>#N/A</v>
      </c>
      <c r="AP117" s="210" t="str">
        <f t="shared" si="11"/>
        <v>#N/A</v>
      </c>
      <c r="AQ117" s="210" t="str">
        <f t="shared" si="12"/>
        <v>#N/A</v>
      </c>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c r="BU117" s="210"/>
      <c r="BV117" s="210"/>
      <c r="BW117" s="210"/>
      <c r="BX117" s="210"/>
      <c r="BY117" s="210"/>
      <c r="BZ117" s="210"/>
      <c r="CA117" s="210"/>
      <c r="CB117" s="210"/>
      <c r="CC117" s="210"/>
      <c r="CD117" s="210"/>
      <c r="CE117" s="210"/>
      <c r="CF117" s="210"/>
      <c r="CG117" s="210"/>
      <c r="CH117" s="210"/>
      <c r="CI117" s="210"/>
      <c r="CJ117" s="210"/>
      <c r="CK117" s="210"/>
    </row>
    <row r="118">
      <c r="A118" s="222" t="s">
        <v>504</v>
      </c>
      <c r="B118" s="190" t="s">
        <v>505</v>
      </c>
      <c r="C118" s="223" t="s">
        <v>61</v>
      </c>
      <c r="D118" s="223" t="s">
        <v>855</v>
      </c>
      <c r="E118" s="190" t="s">
        <v>21</v>
      </c>
      <c r="F118" s="13" t="s">
        <v>927</v>
      </c>
      <c r="G118" s="13" t="s">
        <v>927</v>
      </c>
      <c r="H118" s="219">
        <f>IFERROR(
  MINIFS(ATTENDANCE_LOG!$F:$F,
         ATTENDANCE_LOG!$A:$A, C118,
         ATTENDANCE_LOG!$B:$B, E118),
"")</f>
        <v>45644.375</v>
      </c>
      <c r="I118" s="219">
        <f t="shared" si="2"/>
        <v>45644.375</v>
      </c>
      <c r="J118" s="190">
        <f>IFERROR(VLOOKUP(F118, LEVEL_HELPER!$A:$B, 2, 0), "")</f>
        <v>1</v>
      </c>
      <c r="K118" s="190">
        <f>IFERROR(VLOOKUP(G118, LEVEL_HELPER!$A:$B, 2, 0), "")</f>
        <v>1</v>
      </c>
      <c r="L118" s="220" t="s">
        <v>943</v>
      </c>
      <c r="M118" s="229" t="s">
        <v>922</v>
      </c>
      <c r="N118" s="190">
        <f t="array" ref="N118">IFERROR(
  INDEX($J$2:$J$543,
    MATCH(A118&amp;TEXT(I118,"yyyy-mm-dd"),
          $A$2:$A$543&amp;TEXT($H$2:$H$543,"yyyy-mm-dd"),
          0)),
"")</f>
        <v>1</v>
      </c>
      <c r="O118" s="210">
        <f t="shared" si="3"/>
        <v>1</v>
      </c>
      <c r="P118" s="210">
        <f t="shared" ref="P118:Q118" si="128">IF(N118="",0,IF(N118&lt;=2,1,IF(N118&lt;=4,2,IF(N118&lt;=5.5,3,4))))</f>
        <v>1</v>
      </c>
      <c r="Q118" s="210">
        <f t="shared" si="128"/>
        <v>1</v>
      </c>
      <c r="R118" s="210" t="str">
        <f t="shared" si="5"/>
        <v>No Progress</v>
      </c>
      <c r="S118" s="210">
        <f t="shared" si="6"/>
        <v>0</v>
      </c>
      <c r="T118" s="210"/>
      <c r="U118" s="210"/>
      <c r="V118" s="211" t="s">
        <v>311</v>
      </c>
      <c r="W118" s="210" t="str">
        <f t="shared" si="7"/>
        <v>DEV</v>
      </c>
      <c r="X118" s="210" t="str">
        <f t="shared" si="8"/>
        <v>DEV, TA</v>
      </c>
      <c r="Y118" s="210" t="str">
        <f t="shared" si="9"/>
        <v>ONC</v>
      </c>
      <c r="Z118" s="210"/>
      <c r="AA118" s="210"/>
      <c r="AB118" s="210"/>
      <c r="AC118" s="210"/>
      <c r="AD118" s="210"/>
      <c r="AE118" s="210"/>
      <c r="AF118" s="210"/>
      <c r="AG118" s="210"/>
      <c r="AH118" s="210"/>
      <c r="AI118" s="210"/>
      <c r="AJ118" s="210"/>
      <c r="AK118" s="210"/>
      <c r="AL118" s="210"/>
      <c r="AM118" s="214"/>
      <c r="AN118" s="210"/>
      <c r="AO118" s="210" t="str">
        <f t="shared" si="10"/>
        <v>#N/A</v>
      </c>
      <c r="AP118" s="210" t="str">
        <f t="shared" si="11"/>
        <v>#N/A</v>
      </c>
      <c r="AQ118" s="210" t="str">
        <f t="shared" si="12"/>
        <v>#N/A</v>
      </c>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c r="BU118" s="210"/>
      <c r="BV118" s="210"/>
      <c r="BW118" s="210"/>
      <c r="BX118" s="210"/>
      <c r="BY118" s="210"/>
      <c r="BZ118" s="210"/>
      <c r="CA118" s="210"/>
      <c r="CB118" s="210"/>
      <c r="CC118" s="210"/>
      <c r="CD118" s="210"/>
      <c r="CE118" s="210"/>
      <c r="CF118" s="210"/>
      <c r="CG118" s="210"/>
      <c r="CH118" s="210"/>
      <c r="CI118" s="210"/>
      <c r="CJ118" s="210"/>
      <c r="CK118" s="210"/>
    </row>
    <row r="119">
      <c r="A119" s="222" t="s">
        <v>583</v>
      </c>
      <c r="B119" s="190" t="s">
        <v>584</v>
      </c>
      <c r="C119" s="223" t="s">
        <v>61</v>
      </c>
      <c r="D119" s="223" t="s">
        <v>855</v>
      </c>
      <c r="E119" s="190" t="s">
        <v>21</v>
      </c>
      <c r="F119" s="13" t="s">
        <v>917</v>
      </c>
      <c r="G119" s="13" t="s">
        <v>932</v>
      </c>
      <c r="H119" s="219">
        <f>IFERROR(
  MINIFS(ATTENDANCE_LOG!$F:$F,
         ATTENDANCE_LOG!$A:$A, C119,
         ATTENDANCE_LOG!$B:$B, E119),
"")</f>
        <v>45644.375</v>
      </c>
      <c r="I119" s="219">
        <f t="shared" si="2"/>
        <v>45644.375</v>
      </c>
      <c r="J119" s="190">
        <f>IFERROR(VLOOKUP(F119, LEVEL_HELPER!$A:$B, 2, 0), "")</f>
        <v>2.5</v>
      </c>
      <c r="K119" s="190">
        <f>IFERROR(VLOOKUP(G119, LEVEL_HELPER!$A:$B, 2, 0), "")</f>
        <v>4.5</v>
      </c>
      <c r="L119" s="220" t="s">
        <v>943</v>
      </c>
      <c r="M119" s="229" t="s">
        <v>922</v>
      </c>
      <c r="N119" s="190">
        <f t="array" ref="N119">IFERROR(
  INDEX($J$2:$J$543,
    MATCH(A119&amp;TEXT(I119,"yyyy-mm-dd"),
          $A$2:$A$543&amp;TEXT($H$2:$H$543,"yyyy-mm-dd"),
          0)),
"")</f>
        <v>2.5</v>
      </c>
      <c r="O119" s="210">
        <f t="shared" si="3"/>
        <v>4.5</v>
      </c>
      <c r="P119" s="210">
        <f t="shared" ref="P119:Q119" si="129">IF(N119="",0,IF(N119&lt;=2,1,IF(N119&lt;=4,2,IF(N119&lt;=5.5,3,4))))</f>
        <v>2</v>
      </c>
      <c r="Q119" s="210">
        <f t="shared" si="129"/>
        <v>3</v>
      </c>
      <c r="R119" s="210" t="str">
        <f t="shared" si="5"/>
        <v>Lv2 → Lv3</v>
      </c>
      <c r="S119" s="210">
        <f t="shared" si="6"/>
        <v>0</v>
      </c>
      <c r="T119" s="210"/>
      <c r="U119" s="210"/>
      <c r="V119" s="211" t="s">
        <v>403</v>
      </c>
      <c r="W119" s="210" t="str">
        <f t="shared" si="7"/>
        <v>DEV</v>
      </c>
      <c r="X119" s="210" t="str">
        <f t="shared" si="8"/>
        <v>DEV, TA</v>
      </c>
      <c r="Y119" s="210" t="str">
        <f t="shared" si="9"/>
        <v>ONC</v>
      </c>
      <c r="Z119" s="210"/>
      <c r="AA119" s="210"/>
      <c r="AB119" s="210"/>
      <c r="AC119" s="210"/>
      <c r="AD119" s="210"/>
      <c r="AE119" s="210"/>
      <c r="AF119" s="210"/>
      <c r="AG119" s="210"/>
      <c r="AH119" s="210"/>
      <c r="AI119" s="210"/>
      <c r="AJ119" s="210"/>
      <c r="AK119" s="210"/>
      <c r="AL119" s="210"/>
      <c r="AM119" s="214"/>
      <c r="AN119" s="210"/>
      <c r="AO119" s="210" t="str">
        <f t="shared" si="10"/>
        <v>#N/A</v>
      </c>
      <c r="AP119" s="210" t="str">
        <f t="shared" si="11"/>
        <v>#N/A</v>
      </c>
      <c r="AQ119" s="210" t="str">
        <f t="shared" si="12"/>
        <v>#N/A</v>
      </c>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c r="BU119" s="210"/>
      <c r="BV119" s="210"/>
      <c r="BW119" s="210"/>
      <c r="BX119" s="210"/>
      <c r="BY119" s="210"/>
      <c r="BZ119" s="210"/>
      <c r="CA119" s="210"/>
      <c r="CB119" s="210"/>
      <c r="CC119" s="210"/>
      <c r="CD119" s="210"/>
      <c r="CE119" s="210"/>
      <c r="CF119" s="210"/>
      <c r="CG119" s="210"/>
      <c r="CH119" s="210"/>
      <c r="CI119" s="210"/>
      <c r="CJ119" s="210"/>
      <c r="CK119" s="210"/>
    </row>
    <row r="120">
      <c r="A120" s="216" t="s">
        <v>307</v>
      </c>
      <c r="B120" s="217" t="s">
        <v>308</v>
      </c>
      <c r="C120" s="218" t="s">
        <v>62</v>
      </c>
      <c r="D120" s="218" t="s">
        <v>856</v>
      </c>
      <c r="E120" s="217" t="s">
        <v>21</v>
      </c>
      <c r="F120" s="13" t="s">
        <v>917</v>
      </c>
      <c r="G120" s="13" t="s">
        <v>935</v>
      </c>
      <c r="H120" s="219">
        <f>IFERROR(
  MINIFS(ATTENDANCE_LOG!$F:$F,
         ATTENDANCE_LOG!$A:$A, C120,
         ATTENDANCE_LOG!$B:$B, E120),
"")</f>
        <v>45646.375</v>
      </c>
      <c r="I120" s="219">
        <f t="shared" si="2"/>
        <v>45646.375</v>
      </c>
      <c r="J120" s="190">
        <f>IFERROR(VLOOKUP(F120, LEVEL_HELPER!$A:$B, 2, 0), "")</f>
        <v>2.5</v>
      </c>
      <c r="K120" s="190">
        <f>IFERROR(VLOOKUP(G120, LEVEL_HELPER!$A:$B, 2, 0), "")</f>
        <v>3.5</v>
      </c>
      <c r="L120" s="220" t="s">
        <v>943</v>
      </c>
      <c r="M120" s="229" t="s">
        <v>922</v>
      </c>
      <c r="N120" s="190">
        <f t="array" ref="N120">IFERROR(
  INDEX($J$2:$J$543,
    MATCH(A120&amp;TEXT(I120,"yyyy-mm-dd"),
          $A$2:$A$543&amp;TEXT($H$2:$H$543,"yyyy-mm-dd"),
          0)),
"")</f>
        <v>2.5</v>
      </c>
      <c r="O120" s="210">
        <f t="shared" si="3"/>
        <v>3.5</v>
      </c>
      <c r="P120" s="210">
        <f t="shared" ref="P120:Q120" si="130">IF(N120="",0,IF(N120&lt;=2,1,IF(N120&lt;=4,2,IF(N120&lt;=5.5,3,4))))</f>
        <v>2</v>
      </c>
      <c r="Q120" s="210">
        <f t="shared" si="130"/>
        <v>2</v>
      </c>
      <c r="R120" s="210" t="str">
        <f t="shared" si="5"/>
        <v>Progress within level</v>
      </c>
      <c r="S120" s="210">
        <f t="shared" si="6"/>
        <v>1</v>
      </c>
      <c r="T120" s="210"/>
      <c r="U120" s="210"/>
      <c r="V120" s="211" t="s">
        <v>434</v>
      </c>
      <c r="W120" s="210" t="str">
        <f t="shared" si="7"/>
        <v>DEV</v>
      </c>
      <c r="X120" s="210" t="str">
        <f t="shared" si="8"/>
        <v>DEV, TA</v>
      </c>
      <c r="Y120" s="210" t="str">
        <f t="shared" si="9"/>
        <v>TBU</v>
      </c>
      <c r="Z120" s="210"/>
      <c r="AA120" s="210"/>
      <c r="AB120" s="210"/>
      <c r="AC120" s="210"/>
      <c r="AD120" s="210"/>
      <c r="AE120" s="210"/>
      <c r="AF120" s="210"/>
      <c r="AG120" s="210"/>
      <c r="AH120" s="210"/>
      <c r="AI120" s="210"/>
      <c r="AJ120" s="210"/>
      <c r="AK120" s="210"/>
      <c r="AL120" s="210"/>
      <c r="AM120" s="214"/>
      <c r="AN120" s="210"/>
      <c r="AO120" s="210" t="str">
        <f t="shared" si="10"/>
        <v>#N/A</v>
      </c>
      <c r="AP120" s="210" t="str">
        <f t="shared" si="11"/>
        <v>#N/A</v>
      </c>
      <c r="AQ120" s="210" t="str">
        <f t="shared" si="12"/>
        <v>#N/A</v>
      </c>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c r="BU120" s="210"/>
      <c r="BV120" s="210"/>
      <c r="BW120" s="210"/>
      <c r="BX120" s="210"/>
      <c r="BY120" s="210"/>
      <c r="BZ120" s="210"/>
      <c r="CA120" s="210"/>
      <c r="CB120" s="210"/>
      <c r="CC120" s="210"/>
      <c r="CD120" s="210"/>
      <c r="CE120" s="210"/>
      <c r="CF120" s="210"/>
      <c r="CG120" s="210"/>
      <c r="CH120" s="210"/>
      <c r="CI120" s="210"/>
      <c r="CJ120" s="210"/>
      <c r="CK120" s="210"/>
    </row>
    <row r="121">
      <c r="A121" s="222" t="s">
        <v>190</v>
      </c>
      <c r="B121" s="190" t="s">
        <v>191</v>
      </c>
      <c r="C121" s="223" t="s">
        <v>62</v>
      </c>
      <c r="D121" s="223" t="s">
        <v>856</v>
      </c>
      <c r="E121" s="190" t="s">
        <v>21</v>
      </c>
      <c r="F121" s="13" t="s">
        <v>927</v>
      </c>
      <c r="G121" s="190"/>
      <c r="H121" s="219">
        <f>IFERROR(
  MINIFS(ATTENDANCE_LOG!$F:$F,
         ATTENDANCE_LOG!$A:$A, C121,
         ATTENDANCE_LOG!$B:$B, E121),
"")</f>
        <v>45646.375</v>
      </c>
      <c r="I121" s="219">
        <f t="shared" si="2"/>
        <v>45646.375</v>
      </c>
      <c r="J121" s="190">
        <f>IFERROR(VLOOKUP(F121, LEVEL_HELPER!$A:$B, 2, 0), "")</f>
        <v>1</v>
      </c>
      <c r="K121" s="190" t="str">
        <f>IFERROR(VLOOKUP(G121, LEVEL_HELPER!$A:$B, 2, 0), "")</f>
        <v/>
      </c>
      <c r="L121" s="220" t="s">
        <v>944</v>
      </c>
      <c r="M121" s="229" t="s">
        <v>922</v>
      </c>
      <c r="N121" s="190">
        <f t="array" ref="N121">IFERROR(
  INDEX($J$2:$J$543,
    MATCH(A121&amp;TEXT(I121,"yyyy-mm-dd"),
          $A$2:$A$543&amp;TEXT($H$2:$H$543,"yyyy-mm-dd"),
          0)),
"")</f>
        <v>1</v>
      </c>
      <c r="O121" s="210">
        <f t="shared" si="3"/>
        <v>0</v>
      </c>
      <c r="P121" s="210">
        <f t="shared" ref="P121:Q121" si="131">IF(N121="",0,IF(N121&lt;=2,1,IF(N121&lt;=4,2,IF(N121&lt;=5.5,3,4))))</f>
        <v>1</v>
      </c>
      <c r="Q121" s="210">
        <f t="shared" si="131"/>
        <v>1</v>
      </c>
      <c r="R121" s="210" t="str">
        <f t="shared" si="5"/>
        <v>Not tested yet</v>
      </c>
      <c r="S121" s="210">
        <f t="shared" si="6"/>
        <v>1</v>
      </c>
      <c r="T121" s="210"/>
      <c r="U121" s="210"/>
      <c r="V121" s="211" t="s">
        <v>192</v>
      </c>
      <c r="W121" s="210" t="str">
        <f t="shared" si="7"/>
        <v>DEV</v>
      </c>
      <c r="X121" s="210" t="str">
        <f t="shared" si="8"/>
        <v>DEV, TA</v>
      </c>
      <c r="Y121" s="210" t="str">
        <f t="shared" si="9"/>
        <v>LBU</v>
      </c>
      <c r="Z121" s="210"/>
      <c r="AA121" s="210"/>
      <c r="AB121" s="210"/>
      <c r="AC121" s="210"/>
      <c r="AD121" s="210"/>
      <c r="AE121" s="210"/>
      <c r="AF121" s="210"/>
      <c r="AG121" s="210"/>
      <c r="AH121" s="210"/>
      <c r="AI121" s="210"/>
      <c r="AJ121" s="210"/>
      <c r="AK121" s="210"/>
      <c r="AL121" s="210"/>
      <c r="AM121" s="214"/>
      <c r="AN121" s="210"/>
      <c r="AO121" s="210" t="str">
        <f t="shared" si="10"/>
        <v>#N/A</v>
      </c>
      <c r="AP121" s="210" t="str">
        <f t="shared" si="11"/>
        <v>#N/A</v>
      </c>
      <c r="AQ121" s="210" t="str">
        <f t="shared" si="12"/>
        <v>#N/A</v>
      </c>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c r="BU121" s="210"/>
      <c r="BV121" s="210"/>
      <c r="BW121" s="210"/>
      <c r="BX121" s="210"/>
      <c r="BY121" s="210"/>
      <c r="BZ121" s="210"/>
      <c r="CA121" s="210"/>
      <c r="CB121" s="210"/>
      <c r="CC121" s="210"/>
      <c r="CD121" s="210"/>
      <c r="CE121" s="210"/>
      <c r="CF121" s="210"/>
      <c r="CG121" s="210"/>
      <c r="CH121" s="210"/>
      <c r="CI121" s="210"/>
      <c r="CJ121" s="210"/>
      <c r="CK121" s="210"/>
    </row>
    <row r="122">
      <c r="A122" s="222" t="s">
        <v>198</v>
      </c>
      <c r="B122" s="190" t="s">
        <v>199</v>
      </c>
      <c r="C122" s="223" t="s">
        <v>62</v>
      </c>
      <c r="D122" s="223" t="s">
        <v>856</v>
      </c>
      <c r="E122" s="190" t="s">
        <v>21</v>
      </c>
      <c r="F122" s="13" t="s">
        <v>917</v>
      </c>
      <c r="G122" s="190"/>
      <c r="H122" s="219">
        <f>IFERROR(
  MINIFS(ATTENDANCE_LOG!$F:$F,
         ATTENDANCE_LOG!$A:$A, C122,
         ATTENDANCE_LOG!$B:$B, E122),
"")</f>
        <v>45646.375</v>
      </c>
      <c r="I122" s="219">
        <f t="shared" si="2"/>
        <v>45646.375</v>
      </c>
      <c r="J122" s="190">
        <f>IFERROR(VLOOKUP(F122, LEVEL_HELPER!$A:$B, 2, 0), "")</f>
        <v>2.5</v>
      </c>
      <c r="K122" s="190" t="str">
        <f>IFERROR(VLOOKUP(G122, LEVEL_HELPER!$A:$B, 2, 0), "")</f>
        <v/>
      </c>
      <c r="L122" s="220" t="s">
        <v>943</v>
      </c>
      <c r="M122" s="220" t="s">
        <v>926</v>
      </c>
      <c r="N122" s="190">
        <f t="array" ref="N122">IFERROR(
  INDEX($J$2:$J$543,
    MATCH(A122&amp;TEXT(I122,"yyyy-mm-dd"),
          $A$2:$A$543&amp;TEXT($H$2:$H$543,"yyyy-mm-dd"),
          0)),
"")</f>
        <v>2.5</v>
      </c>
      <c r="O122" s="210">
        <f t="shared" si="3"/>
        <v>0</v>
      </c>
      <c r="P122" s="210">
        <f t="shared" ref="P122:Q122" si="132">IF(N122="",0,IF(N122&lt;=2,1,IF(N122&lt;=4,2,IF(N122&lt;=5.5,3,4))))</f>
        <v>2</v>
      </c>
      <c r="Q122" s="210">
        <f t="shared" si="132"/>
        <v>1</v>
      </c>
      <c r="R122" s="210" t="str">
        <f t="shared" si="5"/>
        <v>Not tested yet</v>
      </c>
      <c r="S122" s="210">
        <f t="shared" si="6"/>
        <v>1</v>
      </c>
      <c r="T122" s="210"/>
      <c r="U122" s="210"/>
      <c r="V122" s="211" t="s">
        <v>202</v>
      </c>
      <c r="W122" s="210" t="str">
        <f t="shared" si="7"/>
        <v>DEV</v>
      </c>
      <c r="X122" s="210" t="str">
        <f t="shared" si="8"/>
        <v>DEV, TA</v>
      </c>
      <c r="Y122" s="210" t="str">
        <f t="shared" si="9"/>
        <v>TBU</v>
      </c>
      <c r="Z122" s="210"/>
      <c r="AA122" s="210"/>
      <c r="AB122" s="210"/>
      <c r="AC122" s="210"/>
      <c r="AD122" s="210"/>
      <c r="AE122" s="210"/>
      <c r="AF122" s="210"/>
      <c r="AG122" s="210"/>
      <c r="AH122" s="210"/>
      <c r="AI122" s="210"/>
      <c r="AJ122" s="210"/>
      <c r="AK122" s="210"/>
      <c r="AL122" s="210"/>
      <c r="AM122" s="214"/>
      <c r="AN122" s="210"/>
      <c r="AO122" s="210" t="str">
        <f t="shared" si="10"/>
        <v>#N/A</v>
      </c>
      <c r="AP122" s="210" t="str">
        <f t="shared" si="11"/>
        <v>#N/A</v>
      </c>
      <c r="AQ122" s="210" t="str">
        <f t="shared" si="12"/>
        <v>#N/A</v>
      </c>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c r="BU122" s="210"/>
      <c r="BV122" s="210"/>
      <c r="BW122" s="210"/>
      <c r="BX122" s="210"/>
      <c r="BY122" s="210"/>
      <c r="BZ122" s="210"/>
      <c r="CA122" s="210"/>
      <c r="CB122" s="210"/>
      <c r="CC122" s="210"/>
      <c r="CD122" s="210"/>
      <c r="CE122" s="210"/>
      <c r="CF122" s="210"/>
      <c r="CG122" s="210"/>
      <c r="CH122" s="210"/>
      <c r="CI122" s="210"/>
      <c r="CJ122" s="210"/>
      <c r="CK122" s="210"/>
    </row>
    <row r="123">
      <c r="A123" s="222" t="s">
        <v>237</v>
      </c>
      <c r="B123" s="190" t="s">
        <v>238</v>
      </c>
      <c r="C123" s="223" t="s">
        <v>62</v>
      </c>
      <c r="D123" s="223" t="s">
        <v>856</v>
      </c>
      <c r="E123" s="190" t="s">
        <v>21</v>
      </c>
      <c r="F123" s="13" t="s">
        <v>917</v>
      </c>
      <c r="G123" s="190"/>
      <c r="H123" s="219">
        <f>IFERROR(
  MINIFS(ATTENDANCE_LOG!$F:$F,
         ATTENDANCE_LOG!$A:$A, C123,
         ATTENDANCE_LOG!$B:$B, E123),
"")</f>
        <v>45646.375</v>
      </c>
      <c r="I123" s="219">
        <f t="shared" si="2"/>
        <v>45646.375</v>
      </c>
      <c r="J123" s="190">
        <f>IFERROR(VLOOKUP(F123, LEVEL_HELPER!$A:$B, 2, 0), "")</f>
        <v>2.5</v>
      </c>
      <c r="K123" s="190" t="str">
        <f>IFERROR(VLOOKUP(G123, LEVEL_HELPER!$A:$B, 2, 0), "")</f>
        <v/>
      </c>
      <c r="L123" s="220" t="s">
        <v>919</v>
      </c>
      <c r="M123" s="229" t="s">
        <v>922</v>
      </c>
      <c r="N123" s="190">
        <f t="array" ref="N123">IFERROR(
  INDEX($J$2:$J$543,
    MATCH(A123&amp;TEXT(I123,"yyyy-mm-dd"),
          $A$2:$A$543&amp;TEXT($H$2:$H$543,"yyyy-mm-dd"),
          0)),
"")</f>
        <v>2.5</v>
      </c>
      <c r="O123" s="210">
        <f t="shared" si="3"/>
        <v>0</v>
      </c>
      <c r="P123" s="210">
        <f t="shared" ref="P123:Q123" si="133">IF(N123="",0,IF(N123&lt;=2,1,IF(N123&lt;=4,2,IF(N123&lt;=5.5,3,4))))</f>
        <v>2</v>
      </c>
      <c r="Q123" s="210">
        <f t="shared" si="133"/>
        <v>1</v>
      </c>
      <c r="R123" s="210" t="str">
        <f t="shared" si="5"/>
        <v>Not tested yet</v>
      </c>
      <c r="S123" s="210">
        <f t="shared" si="6"/>
        <v>1</v>
      </c>
      <c r="T123" s="210"/>
      <c r="U123" s="210"/>
      <c r="V123" s="211" t="s">
        <v>607</v>
      </c>
      <c r="W123" s="210" t="str">
        <f t="shared" si="7"/>
        <v>DEV</v>
      </c>
      <c r="X123" s="210" t="str">
        <f t="shared" si="8"/>
        <v>DEV, TA</v>
      </c>
      <c r="Y123" s="210" t="str">
        <f t="shared" si="9"/>
        <v>CHORUS</v>
      </c>
      <c r="Z123" s="210"/>
      <c r="AA123" s="210"/>
      <c r="AB123" s="210"/>
      <c r="AC123" s="210"/>
      <c r="AD123" s="210"/>
      <c r="AE123" s="210"/>
      <c r="AF123" s="210"/>
      <c r="AG123" s="210"/>
      <c r="AH123" s="210"/>
      <c r="AI123" s="210"/>
      <c r="AJ123" s="210"/>
      <c r="AK123" s="210"/>
      <c r="AL123" s="210"/>
      <c r="AM123" s="214"/>
      <c r="AN123" s="210"/>
      <c r="AO123" s="210" t="str">
        <f t="shared" si="10"/>
        <v>#N/A</v>
      </c>
      <c r="AP123" s="210" t="str">
        <f t="shared" si="11"/>
        <v>#N/A</v>
      </c>
      <c r="AQ123" s="210" t="str">
        <f t="shared" si="12"/>
        <v>#N/A</v>
      </c>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c r="BU123" s="210"/>
      <c r="BV123" s="210"/>
      <c r="BW123" s="210"/>
      <c r="BX123" s="210"/>
      <c r="BY123" s="210"/>
      <c r="BZ123" s="210"/>
      <c r="CA123" s="210"/>
      <c r="CB123" s="210"/>
      <c r="CC123" s="210"/>
      <c r="CD123" s="210"/>
      <c r="CE123" s="210"/>
      <c r="CF123" s="210"/>
      <c r="CG123" s="210"/>
      <c r="CH123" s="210"/>
      <c r="CI123" s="210"/>
      <c r="CJ123" s="210"/>
      <c r="CK123" s="210"/>
    </row>
    <row r="124">
      <c r="A124" s="222" t="s">
        <v>249</v>
      </c>
      <c r="B124" s="190" t="s">
        <v>250</v>
      </c>
      <c r="C124" s="223" t="s">
        <v>62</v>
      </c>
      <c r="D124" s="223" t="s">
        <v>856</v>
      </c>
      <c r="E124" s="190" t="s">
        <v>21</v>
      </c>
      <c r="F124" s="13" t="s">
        <v>927</v>
      </c>
      <c r="G124" s="190"/>
      <c r="H124" s="219">
        <f>IFERROR(
  MINIFS(ATTENDANCE_LOG!$F:$F,
         ATTENDANCE_LOG!$A:$A, C124,
         ATTENDANCE_LOG!$B:$B, E124),
"")</f>
        <v>45646.375</v>
      </c>
      <c r="I124" s="219">
        <f t="shared" si="2"/>
        <v>45646.375</v>
      </c>
      <c r="J124" s="190">
        <f>IFERROR(VLOOKUP(F124, LEVEL_HELPER!$A:$B, 2, 0), "")</f>
        <v>1</v>
      </c>
      <c r="K124" s="190" t="str">
        <f>IFERROR(VLOOKUP(G124, LEVEL_HELPER!$A:$B, 2, 0), "")</f>
        <v/>
      </c>
      <c r="L124" s="220" t="s">
        <v>943</v>
      </c>
      <c r="M124" s="229" t="s">
        <v>922</v>
      </c>
      <c r="N124" s="190">
        <f t="array" ref="N124">IFERROR(
  INDEX($J$2:$J$543,
    MATCH(A124&amp;TEXT(I124,"yyyy-mm-dd"),
          $A$2:$A$543&amp;TEXT($H$2:$H$543,"yyyy-mm-dd"),
          0)),
"")</f>
        <v>1</v>
      </c>
      <c r="O124" s="210">
        <f t="shared" si="3"/>
        <v>0</v>
      </c>
      <c r="P124" s="210">
        <f t="shared" ref="P124:Q124" si="134">IF(N124="",0,IF(N124&lt;=2,1,IF(N124&lt;=4,2,IF(N124&lt;=5.5,3,4))))</f>
        <v>1</v>
      </c>
      <c r="Q124" s="210">
        <f t="shared" si="134"/>
        <v>1</v>
      </c>
      <c r="R124" s="210" t="str">
        <f t="shared" si="5"/>
        <v>Not tested yet</v>
      </c>
      <c r="S124" s="210">
        <f t="shared" si="6"/>
        <v>1</v>
      </c>
      <c r="T124" s="210"/>
      <c r="U124" s="210"/>
      <c r="V124" s="211" t="s">
        <v>631</v>
      </c>
      <c r="W124" s="210" t="str">
        <f t="shared" si="7"/>
        <v>Designer</v>
      </c>
      <c r="X124" s="210" t="str">
        <f t="shared" si="8"/>
        <v>UI/UX, Des</v>
      </c>
      <c r="Y124" s="210" t="str">
        <f t="shared" si="9"/>
        <v>LBU</v>
      </c>
      <c r="Z124" s="210"/>
      <c r="AA124" s="210"/>
      <c r="AB124" s="210"/>
      <c r="AC124" s="210"/>
      <c r="AD124" s="210"/>
      <c r="AE124" s="210"/>
      <c r="AF124" s="210"/>
      <c r="AG124" s="210"/>
      <c r="AH124" s="210"/>
      <c r="AI124" s="210"/>
      <c r="AJ124" s="210"/>
      <c r="AK124" s="210"/>
      <c r="AL124" s="210"/>
      <c r="AM124" s="214"/>
      <c r="AN124" s="210"/>
      <c r="AO124" s="210" t="str">
        <f t="shared" si="10"/>
        <v>#N/A</v>
      </c>
      <c r="AP124" s="210" t="str">
        <f t="shared" si="11"/>
        <v>#N/A</v>
      </c>
      <c r="AQ124" s="210" t="str">
        <f t="shared" si="12"/>
        <v>#N/A</v>
      </c>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c r="BU124" s="210"/>
      <c r="BV124" s="210"/>
      <c r="BW124" s="210"/>
      <c r="BX124" s="210"/>
      <c r="BY124" s="210"/>
      <c r="BZ124" s="210"/>
      <c r="CA124" s="210"/>
      <c r="CB124" s="210"/>
      <c r="CC124" s="210"/>
      <c r="CD124" s="210"/>
      <c r="CE124" s="210"/>
      <c r="CF124" s="210"/>
      <c r="CG124" s="210"/>
      <c r="CH124" s="210"/>
      <c r="CI124" s="210"/>
      <c r="CJ124" s="210"/>
      <c r="CK124" s="210"/>
    </row>
    <row r="125">
      <c r="A125" s="222" t="s">
        <v>376</v>
      </c>
      <c r="B125" s="190" t="s">
        <v>377</v>
      </c>
      <c r="C125" s="223" t="s">
        <v>62</v>
      </c>
      <c r="D125" s="223" t="s">
        <v>856</v>
      </c>
      <c r="E125" s="190" t="s">
        <v>21</v>
      </c>
      <c r="F125" s="13" t="s">
        <v>927</v>
      </c>
      <c r="G125" s="190"/>
      <c r="H125" s="219">
        <f>IFERROR(
  MINIFS(ATTENDANCE_LOG!$F:$F,
         ATTENDANCE_LOG!$A:$A, C125,
         ATTENDANCE_LOG!$B:$B, E125),
"")</f>
        <v>45646.375</v>
      </c>
      <c r="I125" s="219">
        <f t="shared" si="2"/>
        <v>45646.375</v>
      </c>
      <c r="J125" s="190">
        <f>IFERROR(VLOOKUP(F125, LEVEL_HELPER!$A:$B, 2, 0), "")</f>
        <v>1</v>
      </c>
      <c r="K125" s="190" t="str">
        <f>IFERROR(VLOOKUP(G125, LEVEL_HELPER!$A:$B, 2, 0), "")</f>
        <v/>
      </c>
      <c r="L125" s="220" t="s">
        <v>919</v>
      </c>
      <c r="M125" s="229" t="s">
        <v>922</v>
      </c>
      <c r="N125" s="190">
        <f t="array" ref="N125">IFERROR(
  INDEX($J$2:$J$543,
    MATCH(A125&amp;TEXT(I125,"yyyy-mm-dd"),
          $A$2:$A$543&amp;TEXT($H$2:$H$543,"yyyy-mm-dd"),
          0)),
"")</f>
        <v>1</v>
      </c>
      <c r="O125" s="210">
        <f t="shared" si="3"/>
        <v>0</v>
      </c>
      <c r="P125" s="210">
        <f t="shared" ref="P125:Q125" si="135">IF(N125="",0,IF(N125&lt;=2,1,IF(N125&lt;=4,2,IF(N125&lt;=5.5,3,4))))</f>
        <v>1</v>
      </c>
      <c r="Q125" s="210">
        <f t="shared" si="135"/>
        <v>1</v>
      </c>
      <c r="R125" s="210" t="str">
        <f t="shared" si="5"/>
        <v>Not tested yet</v>
      </c>
      <c r="S125" s="210">
        <f t="shared" si="6"/>
        <v>1</v>
      </c>
      <c r="T125" s="210"/>
      <c r="U125" s="210"/>
      <c r="V125" s="211" t="s">
        <v>288</v>
      </c>
      <c r="W125" s="210" t="str">
        <f t="shared" si="7"/>
        <v>Designer</v>
      </c>
      <c r="X125" s="210" t="str">
        <f t="shared" si="8"/>
        <v>UI/UX, Des</v>
      </c>
      <c r="Y125" s="210" t="str">
        <f t="shared" si="9"/>
        <v>LBU</v>
      </c>
      <c r="Z125" s="210"/>
      <c r="AA125" s="210"/>
      <c r="AB125" s="210"/>
      <c r="AC125" s="210"/>
      <c r="AD125" s="210"/>
      <c r="AE125" s="210"/>
      <c r="AF125" s="210"/>
      <c r="AG125" s="210"/>
      <c r="AH125" s="210"/>
      <c r="AI125" s="210"/>
      <c r="AJ125" s="210"/>
      <c r="AK125" s="210"/>
      <c r="AL125" s="210"/>
      <c r="AM125" s="214"/>
      <c r="AN125" s="210"/>
      <c r="AO125" s="210" t="str">
        <f t="shared" si="10"/>
        <v>#N/A</v>
      </c>
      <c r="AP125" s="210" t="str">
        <f t="shared" si="11"/>
        <v>#N/A</v>
      </c>
      <c r="AQ125" s="210" t="str">
        <f t="shared" si="12"/>
        <v>#N/A</v>
      </c>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c r="BU125" s="210"/>
      <c r="BV125" s="210"/>
      <c r="BW125" s="210"/>
      <c r="BX125" s="210"/>
      <c r="BY125" s="210"/>
      <c r="BZ125" s="210"/>
      <c r="CA125" s="210"/>
      <c r="CB125" s="210"/>
      <c r="CC125" s="210"/>
      <c r="CD125" s="210"/>
      <c r="CE125" s="210"/>
      <c r="CF125" s="210"/>
      <c r="CG125" s="210"/>
      <c r="CH125" s="210"/>
      <c r="CI125" s="210"/>
      <c r="CJ125" s="210"/>
      <c r="CK125" s="210"/>
    </row>
    <row r="126">
      <c r="A126" s="222" t="s">
        <v>387</v>
      </c>
      <c r="B126" s="190" t="s">
        <v>388</v>
      </c>
      <c r="C126" s="223" t="s">
        <v>62</v>
      </c>
      <c r="D126" s="223" t="s">
        <v>856</v>
      </c>
      <c r="E126" s="190" t="s">
        <v>21</v>
      </c>
      <c r="F126" s="13" t="s">
        <v>927</v>
      </c>
      <c r="G126" s="13" t="s">
        <v>929</v>
      </c>
      <c r="H126" s="219">
        <f>IFERROR(
  MINIFS(ATTENDANCE_LOG!$F:$F,
         ATTENDANCE_LOG!$A:$A, C126,
         ATTENDANCE_LOG!$B:$B, E126),
"")</f>
        <v>45646.375</v>
      </c>
      <c r="I126" s="219">
        <f t="shared" si="2"/>
        <v>45646.375</v>
      </c>
      <c r="J126" s="190">
        <f>IFERROR(VLOOKUP(F126, LEVEL_HELPER!$A:$B, 2, 0), "")</f>
        <v>1</v>
      </c>
      <c r="K126" s="190">
        <f>IFERROR(VLOOKUP(G126, LEVEL_HELPER!$A:$B, 2, 0), "")</f>
        <v>1.5</v>
      </c>
      <c r="L126" s="220" t="s">
        <v>943</v>
      </c>
      <c r="M126" s="229" t="s">
        <v>922</v>
      </c>
      <c r="N126" s="190">
        <f t="array" ref="N126">IFERROR(
  INDEX($J$2:$J$543,
    MATCH(A126&amp;TEXT(I126,"yyyy-mm-dd"),
          $A$2:$A$543&amp;TEXT($H$2:$H$543,"yyyy-mm-dd"),
          0)),
"")</f>
        <v>1</v>
      </c>
      <c r="O126" s="210">
        <f t="shared" si="3"/>
        <v>1.5</v>
      </c>
      <c r="P126" s="210">
        <f t="shared" ref="P126:Q126" si="136">IF(N126="",0,IF(N126&lt;=2,1,IF(N126&lt;=4,2,IF(N126&lt;=5.5,3,4))))</f>
        <v>1</v>
      </c>
      <c r="Q126" s="210">
        <f t="shared" si="136"/>
        <v>1</v>
      </c>
      <c r="R126" s="210" t="str">
        <f t="shared" si="5"/>
        <v>Progress within level</v>
      </c>
      <c r="S126" s="210">
        <f t="shared" si="6"/>
        <v>1</v>
      </c>
      <c r="T126" s="210"/>
      <c r="U126" s="210"/>
      <c r="V126" s="211" t="s">
        <v>570</v>
      </c>
      <c r="W126" s="210" t="str">
        <f t="shared" si="7"/>
        <v>Designer</v>
      </c>
      <c r="X126" s="210" t="str">
        <f t="shared" si="8"/>
        <v>UI/UX, Des</v>
      </c>
      <c r="Y126" s="210" t="str">
        <f t="shared" si="9"/>
        <v>CHORUS</v>
      </c>
      <c r="Z126" s="210"/>
      <c r="AA126" s="210"/>
      <c r="AB126" s="210"/>
      <c r="AC126" s="210"/>
      <c r="AD126" s="210"/>
      <c r="AE126" s="210"/>
      <c r="AF126" s="210"/>
      <c r="AG126" s="210"/>
      <c r="AH126" s="210"/>
      <c r="AI126" s="210"/>
      <c r="AJ126" s="210"/>
      <c r="AK126" s="210"/>
      <c r="AL126" s="210"/>
      <c r="AM126" s="214"/>
      <c r="AN126" s="210"/>
      <c r="AO126" s="210" t="str">
        <f t="shared" si="10"/>
        <v>#N/A</v>
      </c>
      <c r="AP126" s="210" t="str">
        <f t="shared" si="11"/>
        <v>#N/A</v>
      </c>
      <c r="AQ126" s="210" t="str">
        <f t="shared" si="12"/>
        <v>#N/A</v>
      </c>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c r="BU126" s="210"/>
      <c r="BV126" s="210"/>
      <c r="BW126" s="210"/>
      <c r="BX126" s="210"/>
      <c r="BY126" s="210"/>
      <c r="BZ126" s="210"/>
      <c r="CA126" s="210"/>
      <c r="CB126" s="210"/>
      <c r="CC126" s="210"/>
      <c r="CD126" s="210"/>
      <c r="CE126" s="210"/>
      <c r="CF126" s="210"/>
      <c r="CG126" s="210"/>
      <c r="CH126" s="210"/>
      <c r="CI126" s="210"/>
      <c r="CJ126" s="210"/>
      <c r="CK126" s="210"/>
    </row>
    <row r="127">
      <c r="A127" s="216" t="s">
        <v>298</v>
      </c>
      <c r="B127" s="217" t="s">
        <v>299</v>
      </c>
      <c r="C127" s="218" t="s">
        <v>63</v>
      </c>
      <c r="D127" s="218" t="s">
        <v>857</v>
      </c>
      <c r="E127" s="217" t="s">
        <v>21</v>
      </c>
      <c r="F127" s="13" t="s">
        <v>927</v>
      </c>
      <c r="G127" s="13" t="s">
        <v>918</v>
      </c>
      <c r="H127" s="219">
        <f>IFERROR(
  MINIFS(ATTENDANCE_LOG!$F:$F,
         ATTENDANCE_LOG!$A:$A, C127,
         ATTENDANCE_LOG!$B:$B, E127),
"")</f>
        <v>45636.45833</v>
      </c>
      <c r="I127" s="219">
        <f t="shared" si="2"/>
        <v>45636.45833</v>
      </c>
      <c r="J127" s="190">
        <f>IFERROR(VLOOKUP(F127, LEVEL_HELPER!$A:$B, 2, 0), "")</f>
        <v>1</v>
      </c>
      <c r="K127" s="190">
        <f>IFERROR(VLOOKUP(G127, LEVEL_HELPER!$A:$B, 2, 0), "")</f>
        <v>3</v>
      </c>
      <c r="L127" s="220" t="s">
        <v>943</v>
      </c>
      <c r="M127" s="220" t="s">
        <v>925</v>
      </c>
      <c r="N127" s="190">
        <f t="array" ref="N127">IFERROR(
  INDEX($J$2:$J$543,
    MATCH(A127&amp;TEXT(I127,"yyyy-mm-dd"),
          $A$2:$A$543&amp;TEXT($H$2:$H$543,"yyyy-mm-dd"),
          0)),
"")</f>
        <v>1</v>
      </c>
      <c r="O127" s="210">
        <f t="shared" si="3"/>
        <v>3.5</v>
      </c>
      <c r="P127" s="210">
        <f t="shared" ref="P127:Q127" si="137">IF(N127="",0,IF(N127&lt;=2,1,IF(N127&lt;=4,2,IF(N127&lt;=5.5,3,4))))</f>
        <v>1</v>
      </c>
      <c r="Q127" s="210">
        <f t="shared" si="137"/>
        <v>2</v>
      </c>
      <c r="R127" s="210" t="str">
        <f t="shared" si="5"/>
        <v>Lv1 → Lv2</v>
      </c>
      <c r="S127" s="210">
        <f t="shared" si="6"/>
        <v>1</v>
      </c>
      <c r="T127" s="210"/>
      <c r="U127" s="210"/>
      <c r="V127" s="211" t="s">
        <v>619</v>
      </c>
      <c r="W127" s="210" t="str">
        <f t="shared" si="7"/>
        <v>Designer</v>
      </c>
      <c r="X127" s="210" t="str">
        <f t="shared" si="8"/>
        <v>UI/UX, Des</v>
      </c>
      <c r="Y127" s="210" t="str">
        <f t="shared" si="9"/>
        <v>LBU</v>
      </c>
      <c r="Z127" s="210"/>
      <c r="AA127" s="210"/>
      <c r="AB127" s="210"/>
      <c r="AC127" s="210"/>
      <c r="AD127" s="210"/>
      <c r="AE127" s="210"/>
      <c r="AF127" s="210"/>
      <c r="AG127" s="210"/>
      <c r="AH127" s="210"/>
      <c r="AI127" s="210"/>
      <c r="AJ127" s="210"/>
      <c r="AK127" s="210"/>
      <c r="AL127" s="210"/>
      <c r="AM127" s="214"/>
      <c r="AN127" s="210"/>
      <c r="AO127" s="210" t="str">
        <f t="shared" si="10"/>
        <v>#N/A</v>
      </c>
      <c r="AP127" s="210" t="str">
        <f t="shared" si="11"/>
        <v>#N/A</v>
      </c>
      <c r="AQ127" s="210" t="str">
        <f t="shared" si="12"/>
        <v>#N/A</v>
      </c>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c r="BU127" s="210"/>
      <c r="BV127" s="210"/>
      <c r="BW127" s="210"/>
      <c r="BX127" s="210"/>
      <c r="BY127" s="210"/>
      <c r="BZ127" s="210"/>
      <c r="CA127" s="210"/>
      <c r="CB127" s="210"/>
      <c r="CC127" s="210"/>
      <c r="CD127" s="210"/>
      <c r="CE127" s="210"/>
      <c r="CF127" s="210"/>
      <c r="CG127" s="210"/>
      <c r="CH127" s="210"/>
      <c r="CI127" s="210"/>
      <c r="CJ127" s="210"/>
      <c r="CK127" s="210"/>
    </row>
    <row r="128">
      <c r="A128" s="222" t="s">
        <v>220</v>
      </c>
      <c r="B128" s="190" t="s">
        <v>221</v>
      </c>
      <c r="C128" s="223" t="s">
        <v>63</v>
      </c>
      <c r="D128" s="223" t="s">
        <v>857</v>
      </c>
      <c r="E128" s="190" t="s">
        <v>21</v>
      </c>
      <c r="F128" s="13" t="s">
        <v>927</v>
      </c>
      <c r="G128" s="13" t="s">
        <v>929</v>
      </c>
      <c r="H128" s="219">
        <f>IFERROR(
  MINIFS(ATTENDANCE_LOG!$F:$F,
         ATTENDANCE_LOG!$A:$A, C128,
         ATTENDANCE_LOG!$B:$B, E128),
"")</f>
        <v>45636.45833</v>
      </c>
      <c r="I128" s="219">
        <f t="shared" si="2"/>
        <v>45636.45833</v>
      </c>
      <c r="J128" s="190">
        <f>IFERROR(VLOOKUP(F128, LEVEL_HELPER!$A:$B, 2, 0), "")</f>
        <v>1</v>
      </c>
      <c r="K128" s="190">
        <f>IFERROR(VLOOKUP(G128, LEVEL_HELPER!$A:$B, 2, 0), "")</f>
        <v>1.5</v>
      </c>
      <c r="L128" s="220" t="s">
        <v>943</v>
      </c>
      <c r="M128" s="220" t="s">
        <v>925</v>
      </c>
      <c r="N128" s="190">
        <f t="array" ref="N128">IFERROR(
  INDEX($J$2:$J$543,
    MATCH(A128&amp;TEXT(I128,"yyyy-mm-dd"),
          $A$2:$A$543&amp;TEXT($H$2:$H$543,"yyyy-mm-dd"),
          0)),
"")</f>
        <v>1</v>
      </c>
      <c r="O128" s="210">
        <f t="shared" si="3"/>
        <v>3</v>
      </c>
      <c r="P128" s="210">
        <f t="shared" ref="P128:Q128" si="138">IF(N128="",0,IF(N128&lt;=2,1,IF(N128&lt;=4,2,IF(N128&lt;=5.5,3,4))))</f>
        <v>1</v>
      </c>
      <c r="Q128" s="210">
        <f t="shared" si="138"/>
        <v>2</v>
      </c>
      <c r="R128" s="210" t="str">
        <f t="shared" si="5"/>
        <v>Lv1 → Lv2</v>
      </c>
      <c r="S128" s="210">
        <f t="shared" si="6"/>
        <v>1</v>
      </c>
      <c r="T128" s="210"/>
      <c r="U128" s="210"/>
      <c r="V128" s="211" t="s">
        <v>635</v>
      </c>
      <c r="W128" s="210" t="str">
        <f t="shared" si="7"/>
        <v>QC</v>
      </c>
      <c r="X128" s="210" t="str">
        <f t="shared" si="8"/>
        <v>QC</v>
      </c>
      <c r="Y128" s="210" t="str">
        <f t="shared" si="9"/>
        <v>LBU</v>
      </c>
      <c r="Z128" s="210"/>
      <c r="AA128" s="210"/>
      <c r="AB128" s="210"/>
      <c r="AC128" s="210"/>
      <c r="AD128" s="210"/>
      <c r="AE128" s="210"/>
      <c r="AF128" s="210"/>
      <c r="AG128" s="210"/>
      <c r="AH128" s="210"/>
      <c r="AI128" s="210"/>
      <c r="AJ128" s="210"/>
      <c r="AK128" s="210"/>
      <c r="AL128" s="210"/>
      <c r="AM128" s="214"/>
      <c r="AN128" s="210"/>
      <c r="AO128" s="210" t="str">
        <f t="shared" si="10"/>
        <v>#N/A</v>
      </c>
      <c r="AP128" s="210" t="str">
        <f t="shared" si="11"/>
        <v>#N/A</v>
      </c>
      <c r="AQ128" s="210" t="str">
        <f t="shared" si="12"/>
        <v>#N/A</v>
      </c>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c r="BU128" s="210"/>
      <c r="BV128" s="210"/>
      <c r="BW128" s="210"/>
      <c r="BX128" s="210"/>
      <c r="BY128" s="210"/>
      <c r="BZ128" s="210"/>
      <c r="CA128" s="210"/>
      <c r="CB128" s="210"/>
      <c r="CC128" s="210"/>
      <c r="CD128" s="210"/>
      <c r="CE128" s="210"/>
      <c r="CF128" s="210"/>
      <c r="CG128" s="210"/>
      <c r="CH128" s="210"/>
      <c r="CI128" s="210"/>
      <c r="CJ128" s="210"/>
      <c r="CK128" s="210"/>
    </row>
    <row r="129">
      <c r="A129" s="222" t="s">
        <v>234</v>
      </c>
      <c r="B129" s="190" t="s">
        <v>235</v>
      </c>
      <c r="C129" s="223" t="s">
        <v>63</v>
      </c>
      <c r="D129" s="223" t="s">
        <v>857</v>
      </c>
      <c r="E129" s="190" t="s">
        <v>21</v>
      </c>
      <c r="F129" s="13" t="s">
        <v>917</v>
      </c>
      <c r="G129" s="13" t="s">
        <v>918</v>
      </c>
      <c r="H129" s="219">
        <f>IFERROR(
  MINIFS(ATTENDANCE_LOG!$F:$F,
         ATTENDANCE_LOG!$A:$A, C129,
         ATTENDANCE_LOG!$B:$B, E129),
"")</f>
        <v>45636.45833</v>
      </c>
      <c r="I129" s="219">
        <f t="shared" si="2"/>
        <v>45636.45833</v>
      </c>
      <c r="J129" s="190">
        <f>IFERROR(VLOOKUP(F129, LEVEL_HELPER!$A:$B, 2, 0), "")</f>
        <v>2.5</v>
      </c>
      <c r="K129" s="190">
        <f>IFERROR(VLOOKUP(G129, LEVEL_HELPER!$A:$B, 2, 0), "")</f>
        <v>3</v>
      </c>
      <c r="L129" s="220" t="s">
        <v>943</v>
      </c>
      <c r="M129" s="220" t="s">
        <v>925</v>
      </c>
      <c r="N129" s="190">
        <f t="array" ref="N129">IFERROR(
  INDEX($J$2:$J$543,
    MATCH(A129&amp;TEXT(I129,"yyyy-mm-dd"),
          $A$2:$A$543&amp;TEXT($H$2:$H$543,"yyyy-mm-dd"),
          0)),
"")</f>
        <v>2.5</v>
      </c>
      <c r="O129" s="210">
        <f t="shared" si="3"/>
        <v>3.5</v>
      </c>
      <c r="P129" s="210">
        <f t="shared" ref="P129:Q129" si="139">IF(N129="",0,IF(N129&lt;=2,1,IF(N129&lt;=4,2,IF(N129&lt;=5.5,3,4))))</f>
        <v>2</v>
      </c>
      <c r="Q129" s="210">
        <f t="shared" si="139"/>
        <v>2</v>
      </c>
      <c r="R129" s="210" t="str">
        <f t="shared" si="5"/>
        <v>Progress within level</v>
      </c>
      <c r="S129" s="210">
        <f t="shared" si="6"/>
        <v>1</v>
      </c>
      <c r="T129" s="210"/>
      <c r="U129" s="210"/>
      <c r="V129" s="211" t="s">
        <v>667</v>
      </c>
      <c r="W129" s="210" t="str">
        <f t="shared" si="7"/>
        <v>UI/UX</v>
      </c>
      <c r="X129" s="210" t="str">
        <f t="shared" si="8"/>
        <v>UI/UX, Des</v>
      </c>
      <c r="Y129" s="210" t="str">
        <f t="shared" si="9"/>
        <v>CHORUS</v>
      </c>
      <c r="Z129" s="210"/>
      <c r="AA129" s="210"/>
      <c r="AB129" s="210"/>
      <c r="AC129" s="210"/>
      <c r="AD129" s="210"/>
      <c r="AE129" s="210"/>
      <c r="AF129" s="210"/>
      <c r="AG129" s="210"/>
      <c r="AH129" s="210"/>
      <c r="AI129" s="210"/>
      <c r="AJ129" s="210"/>
      <c r="AK129" s="210"/>
      <c r="AL129" s="210"/>
      <c r="AM129" s="214"/>
      <c r="AN129" s="210"/>
      <c r="AO129" s="210" t="str">
        <f t="shared" si="10"/>
        <v>#N/A</v>
      </c>
      <c r="AP129" s="210" t="str">
        <f t="shared" si="11"/>
        <v>#N/A</v>
      </c>
      <c r="AQ129" s="210" t="str">
        <f t="shared" si="12"/>
        <v>#N/A</v>
      </c>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c r="BU129" s="210"/>
      <c r="BV129" s="210"/>
      <c r="BW129" s="210"/>
      <c r="BX129" s="210"/>
      <c r="BY129" s="210"/>
      <c r="BZ129" s="210"/>
      <c r="CA129" s="210"/>
      <c r="CB129" s="210"/>
      <c r="CC129" s="210"/>
      <c r="CD129" s="210"/>
      <c r="CE129" s="210"/>
      <c r="CF129" s="210"/>
      <c r="CG129" s="210"/>
      <c r="CH129" s="210"/>
      <c r="CI129" s="210"/>
      <c r="CJ129" s="210"/>
      <c r="CK129" s="210"/>
    </row>
    <row r="130">
      <c r="A130" s="222" t="s">
        <v>438</v>
      </c>
      <c r="B130" s="190" t="s">
        <v>439</v>
      </c>
      <c r="C130" s="223" t="s">
        <v>63</v>
      </c>
      <c r="D130" s="223" t="s">
        <v>857</v>
      </c>
      <c r="E130" s="190" t="s">
        <v>21</v>
      </c>
      <c r="F130" s="13" t="s">
        <v>927</v>
      </c>
      <c r="G130" s="13" t="s">
        <v>929</v>
      </c>
      <c r="H130" s="219">
        <f>IFERROR(
  MINIFS(ATTENDANCE_LOG!$F:$F,
         ATTENDANCE_LOG!$A:$A, C130,
         ATTENDANCE_LOG!$B:$B, E130),
"")</f>
        <v>45636.45833</v>
      </c>
      <c r="I130" s="219">
        <f t="shared" si="2"/>
        <v>45636.45833</v>
      </c>
      <c r="J130" s="190">
        <f>IFERROR(VLOOKUP(F130, LEVEL_HELPER!$A:$B, 2, 0), "")</f>
        <v>1</v>
      </c>
      <c r="K130" s="190">
        <f>IFERROR(VLOOKUP(G130, LEVEL_HELPER!$A:$B, 2, 0), "")</f>
        <v>1.5</v>
      </c>
      <c r="L130" s="220" t="s">
        <v>943</v>
      </c>
      <c r="M130" s="220" t="s">
        <v>925</v>
      </c>
      <c r="N130" s="190">
        <f t="array" ref="N130">IFERROR(
  INDEX($J$2:$J$543,
    MATCH(A130&amp;TEXT(I130,"yyyy-mm-dd"),
          $A$2:$A$543&amp;TEXT($H$2:$H$543,"yyyy-mm-dd"),
          0)),
"")</f>
        <v>1</v>
      </c>
      <c r="O130" s="210">
        <f t="shared" si="3"/>
        <v>1.5</v>
      </c>
      <c r="P130" s="210">
        <f t="shared" ref="P130:Q130" si="140">IF(N130="",0,IF(N130&lt;=2,1,IF(N130&lt;=4,2,IF(N130&lt;=5.5,3,4))))</f>
        <v>1</v>
      </c>
      <c r="Q130" s="210">
        <f t="shared" si="140"/>
        <v>1</v>
      </c>
      <c r="R130" s="210" t="str">
        <f t="shared" si="5"/>
        <v>Progress within level</v>
      </c>
      <c r="S130" s="210">
        <f t="shared" si="6"/>
        <v>1</v>
      </c>
      <c r="T130" s="210"/>
      <c r="U130" s="210"/>
      <c r="V130" s="211" t="s">
        <v>683</v>
      </c>
      <c r="W130" s="210" t="str">
        <f t="shared" si="7"/>
        <v>DEV</v>
      </c>
      <c r="X130" s="210" t="str">
        <f t="shared" si="8"/>
        <v>DEV, TA</v>
      </c>
      <c r="Y130" s="210" t="str">
        <f t="shared" si="9"/>
        <v>POC</v>
      </c>
      <c r="Z130" s="210"/>
      <c r="AA130" s="210"/>
      <c r="AB130" s="210"/>
      <c r="AC130" s="210"/>
      <c r="AD130" s="210"/>
      <c r="AE130" s="210"/>
      <c r="AF130" s="210"/>
      <c r="AG130" s="210"/>
      <c r="AH130" s="210"/>
      <c r="AI130" s="210"/>
      <c r="AJ130" s="210"/>
      <c r="AK130" s="210"/>
      <c r="AL130" s="210"/>
      <c r="AM130" s="214"/>
      <c r="AN130" s="210"/>
      <c r="AO130" s="210" t="str">
        <f t="shared" si="10"/>
        <v>#N/A</v>
      </c>
      <c r="AP130" s="210" t="str">
        <f t="shared" si="11"/>
        <v>#N/A</v>
      </c>
      <c r="AQ130" s="210" t="str">
        <f t="shared" si="12"/>
        <v>#N/A</v>
      </c>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c r="BU130" s="210"/>
      <c r="BV130" s="210"/>
      <c r="BW130" s="210"/>
      <c r="BX130" s="210"/>
      <c r="BY130" s="210"/>
      <c r="BZ130" s="210"/>
      <c r="CA130" s="210"/>
      <c r="CB130" s="210"/>
      <c r="CC130" s="210"/>
      <c r="CD130" s="210"/>
      <c r="CE130" s="210"/>
      <c r="CF130" s="210"/>
      <c r="CG130" s="210"/>
      <c r="CH130" s="210"/>
      <c r="CI130" s="210"/>
      <c r="CJ130" s="210"/>
      <c r="CK130" s="210"/>
    </row>
    <row r="131">
      <c r="A131" s="222" t="s">
        <v>599</v>
      </c>
      <c r="B131" s="190" t="s">
        <v>600</v>
      </c>
      <c r="C131" s="223" t="s">
        <v>63</v>
      </c>
      <c r="D131" s="223" t="s">
        <v>857</v>
      </c>
      <c r="E131" s="190" t="s">
        <v>21</v>
      </c>
      <c r="F131" s="13" t="s">
        <v>917</v>
      </c>
      <c r="G131" s="13" t="s">
        <v>935</v>
      </c>
      <c r="H131" s="219">
        <f>IFERROR(
  MINIFS(ATTENDANCE_LOG!$F:$F,
         ATTENDANCE_LOG!$A:$A, C131,
         ATTENDANCE_LOG!$B:$B, E131),
"")</f>
        <v>45636.45833</v>
      </c>
      <c r="I131" s="219">
        <f t="shared" si="2"/>
        <v>45636.45833</v>
      </c>
      <c r="J131" s="190">
        <f>IFERROR(VLOOKUP(F131, LEVEL_HELPER!$A:$B, 2, 0), "")</f>
        <v>2.5</v>
      </c>
      <c r="K131" s="190">
        <f>IFERROR(VLOOKUP(G131, LEVEL_HELPER!$A:$B, 2, 0), "")</f>
        <v>3.5</v>
      </c>
      <c r="L131" s="220" t="s">
        <v>943</v>
      </c>
      <c r="M131" s="220" t="s">
        <v>925</v>
      </c>
      <c r="N131" s="190">
        <f t="array" ref="N131">IFERROR(
  INDEX($J$2:$J$543,
    MATCH(A131&amp;TEXT(I131,"yyyy-mm-dd"),
          $A$2:$A$543&amp;TEXT($H$2:$H$543,"yyyy-mm-dd"),
          0)),
"")</f>
        <v>2.5</v>
      </c>
      <c r="O131" s="210">
        <f t="shared" si="3"/>
        <v>3.5</v>
      </c>
      <c r="P131" s="210">
        <f t="shared" ref="P131:Q131" si="141">IF(N131="",0,IF(N131&lt;=2,1,IF(N131&lt;=4,2,IF(N131&lt;=5.5,3,4))))</f>
        <v>2</v>
      </c>
      <c r="Q131" s="210">
        <f t="shared" si="141"/>
        <v>2</v>
      </c>
      <c r="R131" s="210" t="str">
        <f t="shared" si="5"/>
        <v>Progress within level</v>
      </c>
      <c r="S131" s="210">
        <f t="shared" si="6"/>
        <v>1</v>
      </c>
      <c r="T131" s="210"/>
      <c r="U131" s="210"/>
      <c r="V131" s="211" t="s">
        <v>265</v>
      </c>
      <c r="W131" s="210" t="str">
        <f t="shared" si="7"/>
        <v>DEV</v>
      </c>
      <c r="X131" s="210" t="str">
        <f t="shared" si="8"/>
        <v>DEV, TA</v>
      </c>
      <c r="Y131" s="210" t="str">
        <f t="shared" si="9"/>
        <v>POC</v>
      </c>
      <c r="Z131" s="210"/>
      <c r="AA131" s="210"/>
      <c r="AB131" s="210"/>
      <c r="AC131" s="210"/>
      <c r="AD131" s="210"/>
      <c r="AE131" s="210"/>
      <c r="AF131" s="210"/>
      <c r="AG131" s="210"/>
      <c r="AH131" s="210"/>
      <c r="AI131" s="210"/>
      <c r="AJ131" s="210"/>
      <c r="AK131" s="210"/>
      <c r="AL131" s="210"/>
      <c r="AM131" s="214"/>
      <c r="AN131" s="210"/>
      <c r="AO131" s="210" t="str">
        <f t="shared" si="10"/>
        <v>#N/A</v>
      </c>
      <c r="AP131" s="210" t="str">
        <f t="shared" si="11"/>
        <v>#N/A</v>
      </c>
      <c r="AQ131" s="210" t="str">
        <f t="shared" si="12"/>
        <v>#N/A</v>
      </c>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c r="BU131" s="210"/>
      <c r="BV131" s="210"/>
      <c r="BW131" s="210"/>
      <c r="BX131" s="210"/>
      <c r="BY131" s="210"/>
      <c r="BZ131" s="210"/>
      <c r="CA131" s="210"/>
      <c r="CB131" s="210"/>
      <c r="CC131" s="210"/>
      <c r="CD131" s="210"/>
      <c r="CE131" s="210"/>
      <c r="CF131" s="210"/>
      <c r="CG131" s="210"/>
      <c r="CH131" s="210"/>
      <c r="CI131" s="210"/>
      <c r="CJ131" s="210"/>
      <c r="CK131" s="210"/>
    </row>
    <row r="132">
      <c r="A132" s="222" t="s">
        <v>611</v>
      </c>
      <c r="B132" s="190" t="s">
        <v>612</v>
      </c>
      <c r="C132" s="223" t="s">
        <v>63</v>
      </c>
      <c r="D132" s="223" t="s">
        <v>857</v>
      </c>
      <c r="E132" s="190" t="s">
        <v>21</v>
      </c>
      <c r="F132" s="13" t="s">
        <v>927</v>
      </c>
      <c r="G132" s="13" t="s">
        <v>935</v>
      </c>
      <c r="H132" s="219">
        <f>IFERROR(
  MINIFS(ATTENDANCE_LOG!$F:$F,
         ATTENDANCE_LOG!$A:$A, C132,
         ATTENDANCE_LOG!$B:$B, E132),
"")</f>
        <v>45636.45833</v>
      </c>
      <c r="I132" s="219">
        <f t="shared" si="2"/>
        <v>45636.45833</v>
      </c>
      <c r="J132" s="190">
        <f>IFERROR(VLOOKUP(F132, LEVEL_HELPER!$A:$B, 2, 0), "")</f>
        <v>1</v>
      </c>
      <c r="K132" s="190">
        <f>IFERROR(VLOOKUP(G132, LEVEL_HELPER!$A:$B, 2, 0), "")</f>
        <v>3.5</v>
      </c>
      <c r="L132" s="220" t="s">
        <v>919</v>
      </c>
      <c r="M132" s="220" t="s">
        <v>923</v>
      </c>
      <c r="N132" s="190">
        <f t="array" ref="N132">IFERROR(
  INDEX($J$2:$J$543,
    MATCH(A132&amp;TEXT(I132,"yyyy-mm-dd"),
          $A$2:$A$543&amp;TEXT($H$2:$H$543,"yyyy-mm-dd"),
          0)),
"")</f>
        <v>1</v>
      </c>
      <c r="O132" s="210">
        <f t="shared" si="3"/>
        <v>5</v>
      </c>
      <c r="P132" s="210">
        <f t="shared" ref="P132:Q132" si="142">IF(N132="",0,IF(N132&lt;=2,1,IF(N132&lt;=4,2,IF(N132&lt;=5.5,3,4))))</f>
        <v>1</v>
      </c>
      <c r="Q132" s="210">
        <f t="shared" si="142"/>
        <v>3</v>
      </c>
      <c r="R132" s="210" t="str">
        <f t="shared" si="5"/>
        <v>Lv1 → Lv3 (multi)</v>
      </c>
      <c r="S132" s="210">
        <f t="shared" si="6"/>
        <v>1</v>
      </c>
      <c r="T132" s="210"/>
      <c r="U132" s="210"/>
      <c r="V132" s="211" t="s">
        <v>108</v>
      </c>
      <c r="W132" s="210" t="str">
        <f t="shared" si="7"/>
        <v>DEV</v>
      </c>
      <c r="X132" s="210" t="str">
        <f t="shared" si="8"/>
        <v>DEV, TA</v>
      </c>
      <c r="Y132" s="210" t="str">
        <f t="shared" si="9"/>
        <v>POC</v>
      </c>
      <c r="Z132" s="210"/>
      <c r="AA132" s="210"/>
      <c r="AB132" s="210"/>
      <c r="AC132" s="210"/>
      <c r="AD132" s="210"/>
      <c r="AE132" s="210"/>
      <c r="AF132" s="210"/>
      <c r="AG132" s="210"/>
      <c r="AH132" s="210"/>
      <c r="AI132" s="210"/>
      <c r="AJ132" s="210"/>
      <c r="AK132" s="210"/>
      <c r="AL132" s="210"/>
      <c r="AM132" s="214"/>
      <c r="AN132" s="210"/>
      <c r="AO132" s="210" t="str">
        <f t="shared" si="10"/>
        <v>#N/A</v>
      </c>
      <c r="AP132" s="210" t="str">
        <f t="shared" si="11"/>
        <v>#N/A</v>
      </c>
      <c r="AQ132" s="210" t="str">
        <f t="shared" si="12"/>
        <v>#N/A</v>
      </c>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c r="BU132" s="210"/>
      <c r="BV132" s="210"/>
      <c r="BW132" s="210"/>
      <c r="BX132" s="210"/>
      <c r="BY132" s="210"/>
      <c r="BZ132" s="210"/>
      <c r="CA132" s="210"/>
      <c r="CB132" s="210"/>
      <c r="CC132" s="210"/>
      <c r="CD132" s="210"/>
      <c r="CE132" s="210"/>
      <c r="CF132" s="210"/>
      <c r="CG132" s="210"/>
      <c r="CH132" s="210"/>
      <c r="CI132" s="210"/>
      <c r="CJ132" s="210"/>
      <c r="CK132" s="210"/>
    </row>
    <row r="133">
      <c r="A133" s="216" t="s">
        <v>298</v>
      </c>
      <c r="B133" s="217" t="s">
        <v>299</v>
      </c>
      <c r="C133" s="218" t="s">
        <v>63</v>
      </c>
      <c r="D133" s="218" t="s">
        <v>857</v>
      </c>
      <c r="E133" s="217" t="s">
        <v>22</v>
      </c>
      <c r="F133" s="13" t="s">
        <v>918</v>
      </c>
      <c r="G133" s="13" t="s">
        <v>935</v>
      </c>
      <c r="H133" s="219">
        <f>IFERROR(
  MINIFS(ATTENDANCE_LOG!$F:$F,
         ATTENDANCE_LOG!$A:$A, C133,
         ATTENDANCE_LOG!$B:$B, E133),
"")</f>
        <v>45841.375</v>
      </c>
      <c r="I133" s="219">
        <f t="shared" si="2"/>
        <v>45636.45833</v>
      </c>
      <c r="J133" s="190">
        <f>IFERROR(VLOOKUP(F133, LEVEL_HELPER!$A:$B, 2, 0), "")</f>
        <v>3</v>
      </c>
      <c r="K133" s="190">
        <f>IFERROR(VLOOKUP(G133, LEVEL_HELPER!$A:$B, 2, 0), "")</f>
        <v>3.5</v>
      </c>
      <c r="L133" s="220" t="s">
        <v>943</v>
      </c>
      <c r="M133" s="220" t="s">
        <v>925</v>
      </c>
      <c r="N133" s="190">
        <f t="array" ref="N133">IFERROR(
  INDEX($J$2:$J$543,
    MATCH(A133&amp;TEXT(I133,"yyyy-mm-dd"),
          $A$2:$A$543&amp;TEXT($H$2:$H$543,"yyyy-mm-dd"),
          0)),
"")</f>
        <v>1</v>
      </c>
      <c r="O133" s="210">
        <f t="shared" si="3"/>
        <v>3.5</v>
      </c>
      <c r="P133" s="210">
        <f t="shared" ref="P133:Q133" si="143">IF(N133="",0,IF(N133&lt;=2,1,IF(N133&lt;=4,2,IF(N133&lt;=5.5,3,4))))</f>
        <v>1</v>
      </c>
      <c r="Q133" s="210">
        <f t="shared" si="143"/>
        <v>2</v>
      </c>
      <c r="R133" s="210" t="str">
        <f t="shared" si="5"/>
        <v>Lv1 → Lv2</v>
      </c>
      <c r="S133" s="210">
        <f t="shared" si="6"/>
        <v>0</v>
      </c>
      <c r="T133" s="210"/>
      <c r="U133" s="210"/>
      <c r="V133" s="211" t="s">
        <v>315</v>
      </c>
      <c r="W133" s="210" t="str">
        <f t="shared" si="7"/>
        <v>DEV</v>
      </c>
      <c r="X133" s="210" t="str">
        <f t="shared" si="8"/>
        <v>DEV, TA</v>
      </c>
      <c r="Y133" s="210" t="str">
        <f t="shared" si="9"/>
        <v>TBU</v>
      </c>
      <c r="Z133" s="210"/>
      <c r="AA133" s="210"/>
      <c r="AB133" s="210"/>
      <c r="AC133" s="210"/>
      <c r="AD133" s="210"/>
      <c r="AE133" s="210"/>
      <c r="AF133" s="210"/>
      <c r="AG133" s="210"/>
      <c r="AH133" s="210"/>
      <c r="AI133" s="210"/>
      <c r="AJ133" s="210"/>
      <c r="AK133" s="210"/>
      <c r="AL133" s="210"/>
      <c r="AM133" s="214"/>
      <c r="AN133" s="210"/>
      <c r="AO133" s="210" t="str">
        <f t="shared" si="10"/>
        <v>#N/A</v>
      </c>
      <c r="AP133" s="210" t="str">
        <f t="shared" si="11"/>
        <v>#N/A</v>
      </c>
      <c r="AQ133" s="210" t="str">
        <f t="shared" si="12"/>
        <v>#N/A</v>
      </c>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c r="BU133" s="210"/>
      <c r="BV133" s="210"/>
      <c r="BW133" s="210"/>
      <c r="BX133" s="210"/>
      <c r="BY133" s="210"/>
      <c r="BZ133" s="210"/>
      <c r="CA133" s="210"/>
      <c r="CB133" s="210"/>
      <c r="CC133" s="210"/>
      <c r="CD133" s="210"/>
      <c r="CE133" s="210"/>
      <c r="CF133" s="210"/>
      <c r="CG133" s="210"/>
      <c r="CH133" s="210"/>
      <c r="CI133" s="210"/>
      <c r="CJ133" s="210"/>
      <c r="CK133" s="210"/>
    </row>
    <row r="134">
      <c r="A134" s="222" t="s">
        <v>220</v>
      </c>
      <c r="B134" s="190" t="s">
        <v>221</v>
      </c>
      <c r="C134" s="223" t="s">
        <v>63</v>
      </c>
      <c r="D134" s="223" t="s">
        <v>857</v>
      </c>
      <c r="E134" s="190" t="s">
        <v>22</v>
      </c>
      <c r="F134" s="13" t="s">
        <v>929</v>
      </c>
      <c r="G134" s="13" t="s">
        <v>918</v>
      </c>
      <c r="H134" s="219">
        <f>IFERROR(
  MINIFS(ATTENDANCE_LOG!$F:$F,
         ATTENDANCE_LOG!$A:$A, C134,
         ATTENDANCE_LOG!$B:$B, E134),
"")</f>
        <v>45841.375</v>
      </c>
      <c r="I134" s="219">
        <f t="shared" si="2"/>
        <v>45636.45833</v>
      </c>
      <c r="J134" s="190">
        <f>IFERROR(VLOOKUP(F134, LEVEL_HELPER!$A:$B, 2, 0), "")</f>
        <v>1.5</v>
      </c>
      <c r="K134" s="190">
        <f>IFERROR(VLOOKUP(G134, LEVEL_HELPER!$A:$B, 2, 0), "")</f>
        <v>3</v>
      </c>
      <c r="L134" s="220" t="s">
        <v>943</v>
      </c>
      <c r="M134" s="220" t="s">
        <v>925</v>
      </c>
      <c r="N134" s="190">
        <f t="array" ref="N134">IFERROR(
  INDEX($J$2:$J$543,
    MATCH(A134&amp;TEXT(I134,"yyyy-mm-dd"),
          $A$2:$A$543&amp;TEXT($H$2:$H$543,"yyyy-mm-dd"),
          0)),
"")</f>
        <v>1</v>
      </c>
      <c r="O134" s="210">
        <f t="shared" si="3"/>
        <v>3</v>
      </c>
      <c r="P134" s="210">
        <f t="shared" ref="P134:Q134" si="144">IF(N134="",0,IF(N134&lt;=2,1,IF(N134&lt;=4,2,IF(N134&lt;=5.5,3,4))))</f>
        <v>1</v>
      </c>
      <c r="Q134" s="210">
        <f t="shared" si="144"/>
        <v>2</v>
      </c>
      <c r="R134" s="210" t="str">
        <f t="shared" si="5"/>
        <v>Lv1 → Lv2</v>
      </c>
      <c r="S134" s="210">
        <f t="shared" si="6"/>
        <v>0</v>
      </c>
      <c r="T134" s="210"/>
      <c r="U134" s="210"/>
      <c r="V134" s="211" t="s">
        <v>334</v>
      </c>
      <c r="W134" s="210" t="str">
        <f t="shared" si="7"/>
        <v>DEV</v>
      </c>
      <c r="X134" s="210" t="str">
        <f t="shared" si="8"/>
        <v>DEV, TA</v>
      </c>
      <c r="Y134" s="210" t="str">
        <f t="shared" si="9"/>
        <v>TBU</v>
      </c>
      <c r="Z134" s="210"/>
      <c r="AA134" s="210"/>
      <c r="AB134" s="210"/>
      <c r="AC134" s="210"/>
      <c r="AD134" s="210"/>
      <c r="AE134" s="210"/>
      <c r="AF134" s="210"/>
      <c r="AG134" s="210"/>
      <c r="AH134" s="210"/>
      <c r="AI134" s="210"/>
      <c r="AJ134" s="210"/>
      <c r="AK134" s="210"/>
      <c r="AL134" s="210"/>
      <c r="AM134" s="214"/>
      <c r="AN134" s="210"/>
      <c r="AO134" s="210" t="str">
        <f t="shared" si="10"/>
        <v>#N/A</v>
      </c>
      <c r="AP134" s="210" t="str">
        <f t="shared" si="11"/>
        <v>#N/A</v>
      </c>
      <c r="AQ134" s="210" t="str">
        <f t="shared" si="12"/>
        <v>#N/A</v>
      </c>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c r="BU134" s="210"/>
      <c r="BV134" s="210"/>
      <c r="BW134" s="210"/>
      <c r="BX134" s="210"/>
      <c r="BY134" s="210"/>
      <c r="BZ134" s="210"/>
      <c r="CA134" s="210"/>
      <c r="CB134" s="210"/>
      <c r="CC134" s="210"/>
      <c r="CD134" s="210"/>
      <c r="CE134" s="210"/>
      <c r="CF134" s="210"/>
      <c r="CG134" s="210"/>
      <c r="CH134" s="210"/>
      <c r="CI134" s="210"/>
      <c r="CJ134" s="210"/>
      <c r="CK134" s="210"/>
    </row>
    <row r="135">
      <c r="A135" s="222" t="s">
        <v>234</v>
      </c>
      <c r="B135" s="190" t="s">
        <v>235</v>
      </c>
      <c r="C135" s="223" t="s">
        <v>63</v>
      </c>
      <c r="D135" s="223" t="s">
        <v>857</v>
      </c>
      <c r="E135" s="190" t="s">
        <v>22</v>
      </c>
      <c r="F135" s="13" t="s">
        <v>918</v>
      </c>
      <c r="G135" s="13" t="s">
        <v>935</v>
      </c>
      <c r="H135" s="219">
        <f>IFERROR(
  MINIFS(ATTENDANCE_LOG!$F:$F,
         ATTENDANCE_LOG!$A:$A, C135,
         ATTENDANCE_LOG!$B:$B, E135),
"")</f>
        <v>45841.375</v>
      </c>
      <c r="I135" s="219">
        <f t="shared" si="2"/>
        <v>45636.45833</v>
      </c>
      <c r="J135" s="190">
        <f>IFERROR(VLOOKUP(F135, LEVEL_HELPER!$A:$B, 2, 0), "")</f>
        <v>3</v>
      </c>
      <c r="K135" s="190">
        <f>IFERROR(VLOOKUP(G135, LEVEL_HELPER!$A:$B, 2, 0), "")</f>
        <v>3.5</v>
      </c>
      <c r="L135" s="220" t="s">
        <v>943</v>
      </c>
      <c r="M135" s="220" t="s">
        <v>925</v>
      </c>
      <c r="N135" s="190">
        <f t="array" ref="N135">IFERROR(
  INDEX($J$2:$J$543,
    MATCH(A135&amp;TEXT(I135,"yyyy-mm-dd"),
          $A$2:$A$543&amp;TEXT($H$2:$H$543,"yyyy-mm-dd"),
          0)),
"")</f>
        <v>2.5</v>
      </c>
      <c r="O135" s="210">
        <f t="shared" si="3"/>
        <v>3.5</v>
      </c>
      <c r="P135" s="210">
        <f t="shared" ref="P135:Q135" si="145">IF(N135="",0,IF(N135&lt;=2,1,IF(N135&lt;=4,2,IF(N135&lt;=5.5,3,4))))</f>
        <v>2</v>
      </c>
      <c r="Q135" s="210">
        <f t="shared" si="145"/>
        <v>2</v>
      </c>
      <c r="R135" s="210" t="str">
        <f t="shared" si="5"/>
        <v>Progress within level</v>
      </c>
      <c r="S135" s="210">
        <f t="shared" si="6"/>
        <v>0</v>
      </c>
      <c r="T135" s="210"/>
      <c r="U135" s="210"/>
      <c r="V135" s="211" t="s">
        <v>401</v>
      </c>
      <c r="W135" s="210" t="str">
        <f t="shared" si="7"/>
        <v>DEV</v>
      </c>
      <c r="X135" s="210" t="str">
        <f t="shared" si="8"/>
        <v>DEV, TA</v>
      </c>
      <c r="Y135" s="210" t="str">
        <f t="shared" si="9"/>
        <v>POC</v>
      </c>
      <c r="Z135" s="210"/>
      <c r="AA135" s="210"/>
      <c r="AB135" s="210"/>
      <c r="AC135" s="210"/>
      <c r="AD135" s="210"/>
      <c r="AE135" s="210"/>
      <c r="AF135" s="210"/>
      <c r="AG135" s="210"/>
      <c r="AH135" s="210"/>
      <c r="AI135" s="210"/>
      <c r="AJ135" s="210"/>
      <c r="AK135" s="210"/>
      <c r="AL135" s="210"/>
      <c r="AM135" s="214"/>
      <c r="AN135" s="210"/>
      <c r="AO135" s="210" t="str">
        <f t="shared" si="10"/>
        <v>#N/A</v>
      </c>
      <c r="AP135" s="210" t="str">
        <f t="shared" si="11"/>
        <v>#N/A</v>
      </c>
      <c r="AQ135" s="210" t="str">
        <f t="shared" si="12"/>
        <v>#N/A</v>
      </c>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c r="BU135" s="210"/>
      <c r="BV135" s="210"/>
      <c r="BW135" s="210"/>
      <c r="BX135" s="210"/>
      <c r="BY135" s="210"/>
      <c r="BZ135" s="210"/>
      <c r="CA135" s="210"/>
      <c r="CB135" s="210"/>
      <c r="CC135" s="210"/>
      <c r="CD135" s="210"/>
      <c r="CE135" s="210"/>
      <c r="CF135" s="210"/>
      <c r="CG135" s="210"/>
      <c r="CH135" s="210"/>
      <c r="CI135" s="210"/>
      <c r="CJ135" s="210"/>
      <c r="CK135" s="210"/>
    </row>
    <row r="136">
      <c r="A136" s="222" t="s">
        <v>438</v>
      </c>
      <c r="B136" s="190" t="s">
        <v>439</v>
      </c>
      <c r="C136" s="223" t="s">
        <v>63</v>
      </c>
      <c r="D136" s="223" t="s">
        <v>857</v>
      </c>
      <c r="E136" s="190" t="s">
        <v>22</v>
      </c>
      <c r="F136" s="13" t="s">
        <v>929</v>
      </c>
      <c r="G136" s="190"/>
      <c r="H136" s="219">
        <f>IFERROR(
  MINIFS(ATTENDANCE_LOG!$F:$F,
         ATTENDANCE_LOG!$A:$A, C136,
         ATTENDANCE_LOG!$B:$B, E136),
"")</f>
        <v>45841.375</v>
      </c>
      <c r="I136" s="219">
        <f t="shared" si="2"/>
        <v>45636.45833</v>
      </c>
      <c r="J136" s="190">
        <f>IFERROR(VLOOKUP(F136, LEVEL_HELPER!$A:$B, 2, 0), "")</f>
        <v>1.5</v>
      </c>
      <c r="K136" s="190" t="str">
        <f>IFERROR(VLOOKUP(G136, LEVEL_HELPER!$A:$B, 2, 0), "")</f>
        <v/>
      </c>
      <c r="L136" s="220" t="s">
        <v>943</v>
      </c>
      <c r="M136" s="220" t="s">
        <v>925</v>
      </c>
      <c r="N136" s="190">
        <f t="array" ref="N136">IFERROR(
  INDEX($J$2:$J$543,
    MATCH(A136&amp;TEXT(I136,"yyyy-mm-dd"),
          $A$2:$A$543&amp;TEXT($H$2:$H$543,"yyyy-mm-dd"),
          0)),
"")</f>
        <v>1</v>
      </c>
      <c r="O136" s="210">
        <f t="shared" si="3"/>
        <v>1.5</v>
      </c>
      <c r="P136" s="210">
        <f t="shared" ref="P136:Q136" si="146">IF(N136="",0,IF(N136&lt;=2,1,IF(N136&lt;=4,2,IF(N136&lt;=5.5,3,4))))</f>
        <v>1</v>
      </c>
      <c r="Q136" s="210">
        <f t="shared" si="146"/>
        <v>1</v>
      </c>
      <c r="R136" s="210" t="str">
        <f t="shared" si="5"/>
        <v>Progress within level</v>
      </c>
      <c r="S136" s="210">
        <f t="shared" si="6"/>
        <v>0</v>
      </c>
      <c r="T136" s="210"/>
      <c r="U136" s="210"/>
      <c r="V136" s="211" t="s">
        <v>572</v>
      </c>
      <c r="W136" s="210" t="str">
        <f t="shared" si="7"/>
        <v>DEV</v>
      </c>
      <c r="X136" s="210" t="str">
        <f t="shared" si="8"/>
        <v>DEV, TA</v>
      </c>
      <c r="Y136" s="210" t="str">
        <f t="shared" si="9"/>
        <v>TBU</v>
      </c>
      <c r="Z136" s="210"/>
      <c r="AA136" s="210"/>
      <c r="AB136" s="210"/>
      <c r="AC136" s="210"/>
      <c r="AD136" s="210"/>
      <c r="AE136" s="210"/>
      <c r="AF136" s="210"/>
      <c r="AG136" s="210"/>
      <c r="AH136" s="210"/>
      <c r="AI136" s="210"/>
      <c r="AJ136" s="210"/>
      <c r="AK136" s="210"/>
      <c r="AL136" s="210"/>
      <c r="AM136" s="214"/>
      <c r="AN136" s="210"/>
      <c r="AO136" s="210" t="str">
        <f t="shared" si="10"/>
        <v>#N/A</v>
      </c>
      <c r="AP136" s="210" t="str">
        <f t="shared" si="11"/>
        <v>#N/A</v>
      </c>
      <c r="AQ136" s="210" t="str">
        <f t="shared" si="12"/>
        <v>#N/A</v>
      </c>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c r="BU136" s="210"/>
      <c r="BV136" s="210"/>
      <c r="BW136" s="210"/>
      <c r="BX136" s="210"/>
      <c r="BY136" s="210"/>
      <c r="BZ136" s="210"/>
      <c r="CA136" s="210"/>
      <c r="CB136" s="210"/>
      <c r="CC136" s="210"/>
      <c r="CD136" s="210"/>
      <c r="CE136" s="210"/>
      <c r="CF136" s="210"/>
      <c r="CG136" s="210"/>
      <c r="CH136" s="210"/>
      <c r="CI136" s="210"/>
      <c r="CJ136" s="210"/>
      <c r="CK136" s="210"/>
    </row>
    <row r="137">
      <c r="A137" s="222" t="s">
        <v>599</v>
      </c>
      <c r="B137" s="190" t="s">
        <v>600</v>
      </c>
      <c r="C137" s="223" t="s">
        <v>63</v>
      </c>
      <c r="D137" s="223" t="s">
        <v>857</v>
      </c>
      <c r="E137" s="190" t="s">
        <v>22</v>
      </c>
      <c r="F137" s="13" t="s">
        <v>935</v>
      </c>
      <c r="G137" s="13" t="s">
        <v>935</v>
      </c>
      <c r="H137" s="219">
        <f>IFERROR(
  MINIFS(ATTENDANCE_LOG!$F:$F,
         ATTENDANCE_LOG!$A:$A, C137,
         ATTENDANCE_LOG!$B:$B, E137),
"")</f>
        <v>45841.375</v>
      </c>
      <c r="I137" s="219">
        <f t="shared" si="2"/>
        <v>45636.45833</v>
      </c>
      <c r="J137" s="190">
        <f>IFERROR(VLOOKUP(F137, LEVEL_HELPER!$A:$B, 2, 0), "")</f>
        <v>3.5</v>
      </c>
      <c r="K137" s="190">
        <f>IFERROR(VLOOKUP(G137, LEVEL_HELPER!$A:$B, 2, 0), "")</f>
        <v>3.5</v>
      </c>
      <c r="L137" s="220" t="s">
        <v>943</v>
      </c>
      <c r="M137" s="220" t="s">
        <v>925</v>
      </c>
      <c r="N137" s="190">
        <f t="array" ref="N137">IFERROR(
  INDEX($J$2:$J$543,
    MATCH(A137&amp;TEXT(I137,"yyyy-mm-dd"),
          $A$2:$A$543&amp;TEXT($H$2:$H$543,"yyyy-mm-dd"),
          0)),
"")</f>
        <v>2.5</v>
      </c>
      <c r="O137" s="210">
        <f t="shared" si="3"/>
        <v>3.5</v>
      </c>
      <c r="P137" s="210">
        <f t="shared" ref="P137:Q137" si="147">IF(N137="",0,IF(N137&lt;=2,1,IF(N137&lt;=4,2,IF(N137&lt;=5.5,3,4))))</f>
        <v>2</v>
      </c>
      <c r="Q137" s="210">
        <f t="shared" si="147"/>
        <v>2</v>
      </c>
      <c r="R137" s="210" t="str">
        <f t="shared" si="5"/>
        <v>Progress within level</v>
      </c>
      <c r="S137" s="210">
        <f t="shared" si="6"/>
        <v>0</v>
      </c>
      <c r="T137" s="210"/>
      <c r="U137" s="210"/>
      <c r="V137" s="211" t="s">
        <v>576</v>
      </c>
      <c r="W137" s="210" t="str">
        <f t="shared" si="7"/>
        <v>DEV</v>
      </c>
      <c r="X137" s="210" t="str">
        <f t="shared" si="8"/>
        <v>DEV, TA</v>
      </c>
      <c r="Y137" s="210" t="str">
        <f t="shared" si="9"/>
        <v>POC</v>
      </c>
      <c r="Z137" s="210"/>
      <c r="AA137" s="210"/>
      <c r="AB137" s="210"/>
      <c r="AC137" s="210"/>
      <c r="AD137" s="210"/>
      <c r="AE137" s="210"/>
      <c r="AF137" s="210"/>
      <c r="AG137" s="210"/>
      <c r="AH137" s="210"/>
      <c r="AI137" s="210"/>
      <c r="AJ137" s="210"/>
      <c r="AK137" s="210"/>
      <c r="AL137" s="210"/>
      <c r="AM137" s="214"/>
      <c r="AN137" s="210"/>
      <c r="AO137" s="210" t="str">
        <f t="shared" si="10"/>
        <v>#N/A</v>
      </c>
      <c r="AP137" s="210" t="str">
        <f t="shared" si="11"/>
        <v>#N/A</v>
      </c>
      <c r="AQ137" s="210" t="str">
        <f t="shared" si="12"/>
        <v>#N/A</v>
      </c>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c r="BU137" s="210"/>
      <c r="BV137" s="210"/>
      <c r="BW137" s="210"/>
      <c r="BX137" s="210"/>
      <c r="BY137" s="210"/>
      <c r="BZ137" s="210"/>
      <c r="CA137" s="210"/>
      <c r="CB137" s="210"/>
      <c r="CC137" s="210"/>
      <c r="CD137" s="210"/>
      <c r="CE137" s="210"/>
      <c r="CF137" s="210"/>
      <c r="CG137" s="210"/>
      <c r="CH137" s="210"/>
      <c r="CI137" s="210"/>
      <c r="CJ137" s="210"/>
      <c r="CK137" s="210"/>
    </row>
    <row r="138">
      <c r="A138" s="222" t="s">
        <v>611</v>
      </c>
      <c r="B138" s="190" t="s">
        <v>612</v>
      </c>
      <c r="C138" s="223" t="s">
        <v>63</v>
      </c>
      <c r="D138" s="223" t="s">
        <v>857</v>
      </c>
      <c r="E138" s="190" t="s">
        <v>22</v>
      </c>
      <c r="F138" s="13" t="s">
        <v>935</v>
      </c>
      <c r="G138" s="13" t="s">
        <v>941</v>
      </c>
      <c r="H138" s="219">
        <f>IFERROR(
  MINIFS(ATTENDANCE_LOG!$F:$F,
         ATTENDANCE_LOG!$A:$A, C138,
         ATTENDANCE_LOG!$B:$B, E138),
"")</f>
        <v>45841.375</v>
      </c>
      <c r="I138" s="219">
        <f t="shared" si="2"/>
        <v>45636.45833</v>
      </c>
      <c r="J138" s="190">
        <f>IFERROR(VLOOKUP(F138, LEVEL_HELPER!$A:$B, 2, 0), "")</f>
        <v>3.5</v>
      </c>
      <c r="K138" s="190">
        <f>IFERROR(VLOOKUP(G138, LEVEL_HELPER!$A:$B, 2, 0), "")</f>
        <v>5</v>
      </c>
      <c r="L138" s="220" t="s">
        <v>919</v>
      </c>
      <c r="M138" s="220" t="s">
        <v>923</v>
      </c>
      <c r="N138" s="190">
        <f t="array" ref="N138">IFERROR(
  INDEX($J$2:$J$543,
    MATCH(A138&amp;TEXT(I138,"yyyy-mm-dd"),
          $A$2:$A$543&amp;TEXT($H$2:$H$543,"yyyy-mm-dd"),
          0)),
"")</f>
        <v>1</v>
      </c>
      <c r="O138" s="210">
        <f t="shared" si="3"/>
        <v>5</v>
      </c>
      <c r="P138" s="210">
        <f t="shared" ref="P138:Q138" si="148">IF(N138="",0,IF(N138&lt;=2,1,IF(N138&lt;=4,2,IF(N138&lt;=5.5,3,4))))</f>
        <v>1</v>
      </c>
      <c r="Q138" s="210">
        <f t="shared" si="148"/>
        <v>3</v>
      </c>
      <c r="R138" s="210" t="str">
        <f t="shared" si="5"/>
        <v>Lv1 → Lv3 (multi)</v>
      </c>
      <c r="S138" s="210">
        <f t="shared" si="6"/>
        <v>0</v>
      </c>
      <c r="T138" s="210"/>
      <c r="U138" s="210"/>
      <c r="V138" s="211" t="s">
        <v>309</v>
      </c>
      <c r="W138" s="210" t="str">
        <f t="shared" si="7"/>
        <v>DEV</v>
      </c>
      <c r="X138" s="210" t="str">
        <f t="shared" si="8"/>
        <v>DEV, TA</v>
      </c>
      <c r="Y138" s="210" t="str">
        <f t="shared" si="9"/>
        <v>MOC</v>
      </c>
      <c r="Z138" s="210"/>
      <c r="AA138" s="210"/>
      <c r="AB138" s="210"/>
      <c r="AC138" s="210"/>
      <c r="AD138" s="210"/>
      <c r="AE138" s="210"/>
      <c r="AF138" s="210"/>
      <c r="AG138" s="210"/>
      <c r="AH138" s="210"/>
      <c r="AI138" s="210"/>
      <c r="AJ138" s="210"/>
      <c r="AK138" s="210"/>
      <c r="AL138" s="210"/>
      <c r="AM138" s="214"/>
      <c r="AN138" s="210"/>
      <c r="AO138" s="210" t="str">
        <f t="shared" si="10"/>
        <v>#N/A</v>
      </c>
      <c r="AP138" s="210" t="str">
        <f t="shared" si="11"/>
        <v>#N/A</v>
      </c>
      <c r="AQ138" s="210" t="str">
        <f t="shared" si="12"/>
        <v>#N/A</v>
      </c>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c r="BU138" s="210"/>
      <c r="BV138" s="210"/>
      <c r="BW138" s="210"/>
      <c r="BX138" s="210"/>
      <c r="BY138" s="210"/>
      <c r="BZ138" s="210"/>
      <c r="CA138" s="210"/>
      <c r="CB138" s="210"/>
      <c r="CC138" s="210"/>
      <c r="CD138" s="210"/>
      <c r="CE138" s="210"/>
      <c r="CF138" s="210"/>
      <c r="CG138" s="210"/>
      <c r="CH138" s="210"/>
      <c r="CI138" s="210"/>
      <c r="CJ138" s="210"/>
      <c r="CK138" s="210"/>
    </row>
    <row r="139">
      <c r="A139" s="216" t="s">
        <v>298</v>
      </c>
      <c r="B139" s="217" t="s">
        <v>299</v>
      </c>
      <c r="C139" s="218" t="s">
        <v>63</v>
      </c>
      <c r="D139" s="218" t="s">
        <v>857</v>
      </c>
      <c r="E139" s="217" t="s">
        <v>23</v>
      </c>
      <c r="F139" s="190"/>
      <c r="G139" s="190"/>
      <c r="H139" s="219">
        <f>IFERROR(
  MINIFS(ATTENDANCE_LOG!$F:$F,
         ATTENDANCE_LOG!$A:$A, C139,
         ATTENDANCE_LOG!$B:$B, E139),
"")</f>
        <v>45729.45833</v>
      </c>
      <c r="I139" s="219">
        <f t="shared" si="2"/>
        <v>45636.45833</v>
      </c>
      <c r="J139" s="190" t="str">
        <f>IFERROR(VLOOKUP(F139, LEVEL_HELPER!$A:$B, 2, 0), "")</f>
        <v/>
      </c>
      <c r="K139" s="190" t="str">
        <f>IFERROR(VLOOKUP(G139, LEVEL_HELPER!$A:$B, 2, 0), "")</f>
        <v/>
      </c>
      <c r="L139" s="220" t="s">
        <v>943</v>
      </c>
      <c r="M139" s="220" t="s">
        <v>925</v>
      </c>
      <c r="N139" s="190">
        <f t="array" ref="N139">IFERROR(
  INDEX($J$2:$J$543,
    MATCH(A139&amp;TEXT(I139,"yyyy-mm-dd"),
          $A$2:$A$543&amp;TEXT($H$2:$H$543,"yyyy-mm-dd"),
          0)),
"")</f>
        <v>1</v>
      </c>
      <c r="O139" s="210">
        <f t="shared" si="3"/>
        <v>3.5</v>
      </c>
      <c r="P139" s="210">
        <f t="shared" ref="P139:Q139" si="149">IF(N139="",0,IF(N139&lt;=2,1,IF(N139&lt;=4,2,IF(N139&lt;=5.5,3,4))))</f>
        <v>1</v>
      </c>
      <c r="Q139" s="210">
        <f t="shared" si="149"/>
        <v>2</v>
      </c>
      <c r="R139" s="210" t="str">
        <f t="shared" si="5"/>
        <v>Lv1 → Lv2</v>
      </c>
      <c r="S139" s="210">
        <f t="shared" si="6"/>
        <v>0</v>
      </c>
      <c r="T139" s="210"/>
      <c r="U139" s="210"/>
      <c r="V139" s="211" t="s">
        <v>332</v>
      </c>
      <c r="W139" s="210" t="str">
        <f t="shared" si="7"/>
        <v>DEV</v>
      </c>
      <c r="X139" s="210" t="str">
        <f t="shared" si="8"/>
        <v>DEV, TA</v>
      </c>
      <c r="Y139" s="210" t="str">
        <f t="shared" si="9"/>
        <v>MOC</v>
      </c>
      <c r="Z139" s="210"/>
      <c r="AA139" s="210"/>
      <c r="AB139" s="210"/>
      <c r="AC139" s="210"/>
      <c r="AD139" s="210"/>
      <c r="AE139" s="210"/>
      <c r="AF139" s="210"/>
      <c r="AG139" s="210"/>
      <c r="AH139" s="210"/>
      <c r="AI139" s="210"/>
      <c r="AJ139" s="210"/>
      <c r="AK139" s="210"/>
      <c r="AL139" s="210"/>
      <c r="AM139" s="214"/>
      <c r="AN139" s="210"/>
      <c r="AO139" s="210" t="str">
        <f t="shared" si="10"/>
        <v>#N/A</v>
      </c>
      <c r="AP139" s="210" t="str">
        <f t="shared" si="11"/>
        <v>#N/A</v>
      </c>
      <c r="AQ139" s="210" t="str">
        <f t="shared" si="12"/>
        <v>#N/A</v>
      </c>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c r="BU139" s="210"/>
      <c r="BV139" s="210"/>
      <c r="BW139" s="210"/>
      <c r="BX139" s="210"/>
      <c r="BY139" s="210"/>
      <c r="BZ139" s="210"/>
      <c r="CA139" s="210"/>
      <c r="CB139" s="210"/>
      <c r="CC139" s="210"/>
      <c r="CD139" s="210"/>
      <c r="CE139" s="210"/>
      <c r="CF139" s="210"/>
      <c r="CG139" s="210"/>
      <c r="CH139" s="210"/>
      <c r="CI139" s="210"/>
      <c r="CJ139" s="210"/>
      <c r="CK139" s="210"/>
    </row>
    <row r="140">
      <c r="A140" s="222" t="s">
        <v>220</v>
      </c>
      <c r="B140" s="190" t="s">
        <v>221</v>
      </c>
      <c r="C140" s="223" t="s">
        <v>63</v>
      </c>
      <c r="D140" s="223" t="s">
        <v>857</v>
      </c>
      <c r="E140" s="190" t="s">
        <v>23</v>
      </c>
      <c r="F140" s="190"/>
      <c r="G140" s="190"/>
      <c r="H140" s="219">
        <f>IFERROR(
  MINIFS(ATTENDANCE_LOG!$F:$F,
         ATTENDANCE_LOG!$A:$A, C140,
         ATTENDANCE_LOG!$B:$B, E140),
"")</f>
        <v>45729.45833</v>
      </c>
      <c r="I140" s="219">
        <f t="shared" si="2"/>
        <v>45636.45833</v>
      </c>
      <c r="J140" s="190" t="str">
        <f>IFERROR(VLOOKUP(F140, LEVEL_HELPER!$A:$B, 2, 0), "")</f>
        <v/>
      </c>
      <c r="K140" s="190" t="str">
        <f>IFERROR(VLOOKUP(G140, LEVEL_HELPER!$A:$B, 2, 0), "")</f>
        <v/>
      </c>
      <c r="L140" s="220" t="s">
        <v>943</v>
      </c>
      <c r="M140" s="220" t="s">
        <v>925</v>
      </c>
      <c r="N140" s="190">
        <f t="array" ref="N140">IFERROR(
  INDEX($J$2:$J$543,
    MATCH(A140&amp;TEXT(I140,"yyyy-mm-dd"),
          $A$2:$A$543&amp;TEXT($H$2:$H$543,"yyyy-mm-dd"),
          0)),
"")</f>
        <v>1</v>
      </c>
      <c r="O140" s="210">
        <f t="shared" si="3"/>
        <v>3</v>
      </c>
      <c r="P140" s="210">
        <f t="shared" ref="P140:Q140" si="150">IF(N140="",0,IF(N140&lt;=2,1,IF(N140&lt;=4,2,IF(N140&lt;=5.5,3,4))))</f>
        <v>1</v>
      </c>
      <c r="Q140" s="210">
        <f t="shared" si="150"/>
        <v>2</v>
      </c>
      <c r="R140" s="210" t="str">
        <f t="shared" si="5"/>
        <v>Lv1 → Lv2</v>
      </c>
      <c r="S140" s="210">
        <f t="shared" si="6"/>
        <v>0</v>
      </c>
      <c r="T140" s="210"/>
      <c r="U140" s="210"/>
      <c r="V140" s="211" t="s">
        <v>419</v>
      </c>
      <c r="W140" s="210" t="str">
        <f t="shared" si="7"/>
        <v>DEV</v>
      </c>
      <c r="X140" s="210" t="str">
        <f t="shared" si="8"/>
        <v>DEV, TA</v>
      </c>
      <c r="Y140" s="210" t="str">
        <f t="shared" si="9"/>
        <v>LBU</v>
      </c>
      <c r="Z140" s="210"/>
      <c r="AA140" s="210"/>
      <c r="AB140" s="210"/>
      <c r="AC140" s="210"/>
      <c r="AD140" s="210"/>
      <c r="AE140" s="210"/>
      <c r="AF140" s="210"/>
      <c r="AG140" s="210"/>
      <c r="AH140" s="210"/>
      <c r="AI140" s="210"/>
      <c r="AJ140" s="210"/>
      <c r="AK140" s="210"/>
      <c r="AL140" s="210"/>
      <c r="AM140" s="214"/>
      <c r="AN140" s="210"/>
      <c r="AO140" s="210" t="str">
        <f t="shared" si="10"/>
        <v>#N/A</v>
      </c>
      <c r="AP140" s="210" t="str">
        <f t="shared" si="11"/>
        <v>#N/A</v>
      </c>
      <c r="AQ140" s="210" t="str">
        <f t="shared" si="12"/>
        <v>#N/A</v>
      </c>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c r="BU140" s="210"/>
      <c r="BV140" s="210"/>
      <c r="BW140" s="210"/>
      <c r="BX140" s="210"/>
      <c r="BY140" s="210"/>
      <c r="BZ140" s="210"/>
      <c r="CA140" s="210"/>
      <c r="CB140" s="210"/>
      <c r="CC140" s="210"/>
      <c r="CD140" s="210"/>
      <c r="CE140" s="210"/>
      <c r="CF140" s="210"/>
      <c r="CG140" s="210"/>
      <c r="CH140" s="210"/>
      <c r="CI140" s="210"/>
      <c r="CJ140" s="210"/>
      <c r="CK140" s="210"/>
    </row>
    <row r="141">
      <c r="A141" s="222" t="s">
        <v>234</v>
      </c>
      <c r="B141" s="190" t="s">
        <v>235</v>
      </c>
      <c r="C141" s="223" t="s">
        <v>63</v>
      </c>
      <c r="D141" s="223" t="s">
        <v>857</v>
      </c>
      <c r="E141" s="190" t="s">
        <v>23</v>
      </c>
      <c r="F141" s="190"/>
      <c r="G141" s="190"/>
      <c r="H141" s="219">
        <f>IFERROR(
  MINIFS(ATTENDANCE_LOG!$F:$F,
         ATTENDANCE_LOG!$A:$A, C141,
         ATTENDANCE_LOG!$B:$B, E141),
"")</f>
        <v>45729.45833</v>
      </c>
      <c r="I141" s="219">
        <f t="shared" si="2"/>
        <v>45636.45833</v>
      </c>
      <c r="J141" s="190" t="str">
        <f>IFERROR(VLOOKUP(F141, LEVEL_HELPER!$A:$B, 2, 0), "")</f>
        <v/>
      </c>
      <c r="K141" s="190" t="str">
        <f>IFERROR(VLOOKUP(G141, LEVEL_HELPER!$A:$B, 2, 0), "")</f>
        <v/>
      </c>
      <c r="L141" s="220" t="s">
        <v>943</v>
      </c>
      <c r="M141" s="220" t="s">
        <v>925</v>
      </c>
      <c r="N141" s="190">
        <f t="array" ref="N141">IFERROR(
  INDEX($J$2:$J$543,
    MATCH(A141&amp;TEXT(I141,"yyyy-mm-dd"),
          $A$2:$A$543&amp;TEXT($H$2:$H$543,"yyyy-mm-dd"),
          0)),
"")</f>
        <v>2.5</v>
      </c>
      <c r="O141" s="210">
        <f t="shared" si="3"/>
        <v>3.5</v>
      </c>
      <c r="P141" s="210">
        <f t="shared" ref="P141:Q141" si="151">IF(N141="",0,IF(N141&lt;=2,1,IF(N141&lt;=4,2,IF(N141&lt;=5.5,3,4))))</f>
        <v>2</v>
      </c>
      <c r="Q141" s="210">
        <f t="shared" si="151"/>
        <v>2</v>
      </c>
      <c r="R141" s="210" t="str">
        <f t="shared" si="5"/>
        <v>Progress within level</v>
      </c>
      <c r="S141" s="210">
        <f t="shared" si="6"/>
        <v>0</v>
      </c>
      <c r="T141" s="210"/>
      <c r="U141" s="210"/>
      <c r="V141" s="211" t="s">
        <v>562</v>
      </c>
      <c r="W141" s="210" t="str">
        <f t="shared" si="7"/>
        <v>DEV</v>
      </c>
      <c r="X141" s="210" t="str">
        <f t="shared" si="8"/>
        <v>DEV, TA</v>
      </c>
      <c r="Y141" s="210" t="str">
        <f t="shared" si="9"/>
        <v>MOC</v>
      </c>
      <c r="Z141" s="210"/>
      <c r="AA141" s="210"/>
      <c r="AB141" s="210"/>
      <c r="AC141" s="210"/>
      <c r="AD141" s="210"/>
      <c r="AE141" s="210"/>
      <c r="AF141" s="210"/>
      <c r="AG141" s="210"/>
      <c r="AH141" s="210"/>
      <c r="AI141" s="210"/>
      <c r="AJ141" s="210"/>
      <c r="AK141" s="210"/>
      <c r="AL141" s="210"/>
      <c r="AM141" s="214"/>
      <c r="AN141" s="210"/>
      <c r="AO141" s="210" t="str">
        <f t="shared" si="10"/>
        <v>#N/A</v>
      </c>
      <c r="AP141" s="210" t="str">
        <f t="shared" si="11"/>
        <v>#N/A</v>
      </c>
      <c r="AQ141" s="210" t="str">
        <f t="shared" si="12"/>
        <v>#N/A</v>
      </c>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c r="BU141" s="210"/>
      <c r="BV141" s="210"/>
      <c r="BW141" s="210"/>
      <c r="BX141" s="210"/>
      <c r="BY141" s="210"/>
      <c r="BZ141" s="210"/>
      <c r="CA141" s="210"/>
      <c r="CB141" s="210"/>
      <c r="CC141" s="210"/>
      <c r="CD141" s="210"/>
      <c r="CE141" s="210"/>
      <c r="CF141" s="210"/>
      <c r="CG141" s="210"/>
      <c r="CH141" s="210"/>
      <c r="CI141" s="210"/>
      <c r="CJ141" s="210"/>
      <c r="CK141" s="210"/>
    </row>
    <row r="142">
      <c r="A142" s="222" t="s">
        <v>553</v>
      </c>
      <c r="B142" s="190" t="s">
        <v>554</v>
      </c>
      <c r="C142" s="223" t="s">
        <v>63</v>
      </c>
      <c r="D142" s="223" t="s">
        <v>857</v>
      </c>
      <c r="E142" s="190" t="s">
        <v>23</v>
      </c>
      <c r="F142" s="190"/>
      <c r="G142" s="190"/>
      <c r="H142" s="219">
        <f>IFERROR(
  MINIFS(ATTENDANCE_LOG!$F:$F,
         ATTENDANCE_LOG!$A:$A, C142,
         ATTENDANCE_LOG!$B:$B, E142),
"")</f>
        <v>45729.45833</v>
      </c>
      <c r="I142" s="219">
        <f t="shared" si="2"/>
        <v>45639.58333</v>
      </c>
      <c r="J142" s="190" t="str">
        <f>IFERROR(VLOOKUP(F142, LEVEL_HELPER!$A:$B, 2, 0), "")</f>
        <v/>
      </c>
      <c r="K142" s="190" t="str">
        <f>IFERROR(VLOOKUP(G142, LEVEL_HELPER!$A:$B, 2, 0), "")</f>
        <v/>
      </c>
      <c r="L142" s="220" t="s">
        <v>943</v>
      </c>
      <c r="M142" s="220" t="s">
        <v>925</v>
      </c>
      <c r="N142" s="190">
        <f t="array" ref="N142">IFERROR(
  INDEX($J$2:$J$543,
    MATCH(A142&amp;TEXT(I142,"yyyy-mm-dd"),
          $A$2:$A$543&amp;TEXT($H$2:$H$543,"yyyy-mm-dd"),
          0)),
"")</f>
        <v>1</v>
      </c>
      <c r="O142" s="210">
        <f t="shared" si="3"/>
        <v>5</v>
      </c>
      <c r="P142" s="210">
        <f t="shared" ref="P142:Q142" si="152">IF(N142="",0,IF(N142&lt;=2,1,IF(N142&lt;=4,2,IF(N142&lt;=5.5,3,4))))</f>
        <v>1</v>
      </c>
      <c r="Q142" s="210">
        <f t="shared" si="152"/>
        <v>3</v>
      </c>
      <c r="R142" s="210" t="str">
        <f t="shared" si="5"/>
        <v>Lv1 → Lv3 (multi)</v>
      </c>
      <c r="S142" s="210">
        <f t="shared" si="6"/>
        <v>0</v>
      </c>
      <c r="T142" s="210"/>
      <c r="U142" s="210"/>
      <c r="V142" s="211" t="s">
        <v>693</v>
      </c>
      <c r="W142" s="210" t="str">
        <f t="shared" si="7"/>
        <v>DEV</v>
      </c>
      <c r="X142" s="210" t="str">
        <f t="shared" si="8"/>
        <v>DEV, TA</v>
      </c>
      <c r="Y142" s="210" t="str">
        <f t="shared" si="9"/>
        <v>MOC</v>
      </c>
      <c r="Z142" s="210"/>
      <c r="AA142" s="210"/>
      <c r="AB142" s="210"/>
      <c r="AC142" s="210"/>
      <c r="AD142" s="210"/>
      <c r="AE142" s="210"/>
      <c r="AF142" s="210"/>
      <c r="AG142" s="210"/>
      <c r="AH142" s="210"/>
      <c r="AI142" s="210"/>
      <c r="AJ142" s="210"/>
      <c r="AK142" s="210"/>
      <c r="AL142" s="210"/>
      <c r="AM142" s="214"/>
      <c r="AN142" s="210"/>
      <c r="AO142" s="210" t="str">
        <f t="shared" si="10"/>
        <v>#N/A</v>
      </c>
      <c r="AP142" s="210" t="str">
        <f t="shared" si="11"/>
        <v>#N/A</v>
      </c>
      <c r="AQ142" s="210" t="str">
        <f t="shared" si="12"/>
        <v>#N/A</v>
      </c>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c r="BU142" s="210"/>
      <c r="BV142" s="210"/>
      <c r="BW142" s="210"/>
      <c r="BX142" s="210"/>
      <c r="BY142" s="210"/>
      <c r="BZ142" s="210"/>
      <c r="CA142" s="210"/>
      <c r="CB142" s="210"/>
      <c r="CC142" s="210"/>
      <c r="CD142" s="210"/>
      <c r="CE142" s="210"/>
      <c r="CF142" s="210"/>
      <c r="CG142" s="210"/>
      <c r="CH142" s="210"/>
      <c r="CI142" s="210"/>
      <c r="CJ142" s="210"/>
      <c r="CK142" s="210"/>
    </row>
    <row r="143">
      <c r="A143" s="222" t="s">
        <v>599</v>
      </c>
      <c r="B143" s="190" t="s">
        <v>600</v>
      </c>
      <c r="C143" s="223" t="s">
        <v>63</v>
      </c>
      <c r="D143" s="223" t="s">
        <v>857</v>
      </c>
      <c r="E143" s="190" t="s">
        <v>23</v>
      </c>
      <c r="F143" s="190"/>
      <c r="G143" s="190"/>
      <c r="H143" s="219">
        <f>IFERROR(
  MINIFS(ATTENDANCE_LOG!$F:$F,
         ATTENDANCE_LOG!$A:$A, C143,
         ATTENDANCE_LOG!$B:$B, E143),
"")</f>
        <v>45729.45833</v>
      </c>
      <c r="I143" s="219">
        <f t="shared" si="2"/>
        <v>45636.45833</v>
      </c>
      <c r="J143" s="190" t="str">
        <f>IFERROR(VLOOKUP(F143, LEVEL_HELPER!$A:$B, 2, 0), "")</f>
        <v/>
      </c>
      <c r="K143" s="190" t="str">
        <f>IFERROR(VLOOKUP(G143, LEVEL_HELPER!$A:$B, 2, 0), "")</f>
        <v/>
      </c>
      <c r="L143" s="220" t="s">
        <v>943</v>
      </c>
      <c r="M143" s="220" t="s">
        <v>925</v>
      </c>
      <c r="N143" s="190">
        <f t="array" ref="N143">IFERROR(
  INDEX($J$2:$J$543,
    MATCH(A143&amp;TEXT(I143,"yyyy-mm-dd"),
          $A$2:$A$543&amp;TEXT($H$2:$H$543,"yyyy-mm-dd"),
          0)),
"")</f>
        <v>2.5</v>
      </c>
      <c r="O143" s="210">
        <f t="shared" si="3"/>
        <v>3.5</v>
      </c>
      <c r="P143" s="210">
        <f t="shared" ref="P143:Q143" si="153">IF(N143="",0,IF(N143&lt;=2,1,IF(N143&lt;=4,2,IF(N143&lt;=5.5,3,4))))</f>
        <v>2</v>
      </c>
      <c r="Q143" s="210">
        <f t="shared" si="153"/>
        <v>2</v>
      </c>
      <c r="R143" s="210" t="str">
        <f t="shared" si="5"/>
        <v>Progress within level</v>
      </c>
      <c r="S143" s="210">
        <f t="shared" si="6"/>
        <v>0</v>
      </c>
      <c r="T143" s="210"/>
      <c r="U143" s="210"/>
      <c r="V143" s="211" t="s">
        <v>224</v>
      </c>
      <c r="W143" s="210" t="str">
        <f t="shared" si="7"/>
        <v>DEV</v>
      </c>
      <c r="X143" s="210" t="str">
        <f t="shared" si="8"/>
        <v>DEV, TA</v>
      </c>
      <c r="Y143" s="210" t="str">
        <f t="shared" si="9"/>
        <v>LBU</v>
      </c>
      <c r="Z143" s="210"/>
      <c r="AA143" s="210"/>
      <c r="AB143" s="210"/>
      <c r="AC143" s="210"/>
      <c r="AD143" s="210"/>
      <c r="AE143" s="210"/>
      <c r="AF143" s="210"/>
      <c r="AG143" s="210"/>
      <c r="AH143" s="210"/>
      <c r="AI143" s="210"/>
      <c r="AJ143" s="210"/>
      <c r="AK143" s="210"/>
      <c r="AL143" s="210"/>
      <c r="AM143" s="214"/>
      <c r="AN143" s="210"/>
      <c r="AO143" s="210" t="str">
        <f t="shared" si="10"/>
        <v>#N/A</v>
      </c>
      <c r="AP143" s="210" t="str">
        <f t="shared" si="11"/>
        <v>#N/A</v>
      </c>
      <c r="AQ143" s="210" t="str">
        <f t="shared" si="12"/>
        <v>#N/A</v>
      </c>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c r="BU143" s="210"/>
      <c r="BV143" s="210"/>
      <c r="BW143" s="210"/>
      <c r="BX143" s="210"/>
      <c r="BY143" s="210"/>
      <c r="BZ143" s="210"/>
      <c r="CA143" s="210"/>
      <c r="CB143" s="210"/>
      <c r="CC143" s="210"/>
      <c r="CD143" s="210"/>
      <c r="CE143" s="210"/>
      <c r="CF143" s="210"/>
      <c r="CG143" s="210"/>
      <c r="CH143" s="210"/>
      <c r="CI143" s="210"/>
      <c r="CJ143" s="210"/>
      <c r="CK143" s="210"/>
    </row>
    <row r="144">
      <c r="A144" s="222" t="s">
        <v>611</v>
      </c>
      <c r="B144" s="190" t="s">
        <v>612</v>
      </c>
      <c r="C144" s="223" t="s">
        <v>63</v>
      </c>
      <c r="D144" s="223" t="s">
        <v>857</v>
      </c>
      <c r="E144" s="190" t="s">
        <v>23</v>
      </c>
      <c r="F144" s="190"/>
      <c r="G144" s="190"/>
      <c r="H144" s="219">
        <f>IFERROR(
  MINIFS(ATTENDANCE_LOG!$F:$F,
         ATTENDANCE_LOG!$A:$A, C144,
         ATTENDANCE_LOG!$B:$B, E144),
"")</f>
        <v>45729.45833</v>
      </c>
      <c r="I144" s="219">
        <f t="shared" si="2"/>
        <v>45636.45833</v>
      </c>
      <c r="J144" s="190" t="str">
        <f>IFERROR(VLOOKUP(F144, LEVEL_HELPER!$A:$B, 2, 0), "")</f>
        <v/>
      </c>
      <c r="K144" s="190" t="str">
        <f>IFERROR(VLOOKUP(G144, LEVEL_HELPER!$A:$B, 2, 0), "")</f>
        <v/>
      </c>
      <c r="L144" s="220" t="s">
        <v>919</v>
      </c>
      <c r="M144" s="220" t="s">
        <v>923</v>
      </c>
      <c r="N144" s="190">
        <f t="array" ref="N144">IFERROR(
  INDEX($J$2:$J$543,
    MATCH(A144&amp;TEXT(I144,"yyyy-mm-dd"),
          $A$2:$A$543&amp;TEXT($H$2:$H$543,"yyyy-mm-dd"),
          0)),
"")</f>
        <v>1</v>
      </c>
      <c r="O144" s="210">
        <f t="shared" si="3"/>
        <v>5</v>
      </c>
      <c r="P144" s="210">
        <f t="shared" ref="P144:Q144" si="154">IF(N144="",0,IF(N144&lt;=2,1,IF(N144&lt;=4,2,IF(N144&lt;=5.5,3,4))))</f>
        <v>1</v>
      </c>
      <c r="Q144" s="210">
        <f t="shared" si="154"/>
        <v>3</v>
      </c>
      <c r="R144" s="210" t="str">
        <f t="shared" si="5"/>
        <v>Lv1 → Lv3 (multi)</v>
      </c>
      <c r="S144" s="210">
        <f t="shared" si="6"/>
        <v>0</v>
      </c>
      <c r="T144" s="210"/>
      <c r="U144" s="210"/>
      <c r="V144" s="211" t="s">
        <v>186</v>
      </c>
      <c r="W144" s="210" t="str">
        <f t="shared" si="7"/>
        <v>DEV</v>
      </c>
      <c r="X144" s="210" t="str">
        <f t="shared" si="8"/>
        <v>DEV, TA</v>
      </c>
      <c r="Y144" s="210" t="str">
        <f t="shared" si="9"/>
        <v>MOC</v>
      </c>
      <c r="Z144" s="210"/>
      <c r="AA144" s="210"/>
      <c r="AB144" s="210"/>
      <c r="AC144" s="210"/>
      <c r="AD144" s="210"/>
      <c r="AE144" s="210"/>
      <c r="AF144" s="210"/>
      <c r="AG144" s="210"/>
      <c r="AH144" s="210"/>
      <c r="AI144" s="210"/>
      <c r="AJ144" s="210"/>
      <c r="AK144" s="210"/>
      <c r="AL144" s="210"/>
      <c r="AM144" s="214"/>
      <c r="AN144" s="210"/>
      <c r="AO144" s="210" t="str">
        <f t="shared" si="10"/>
        <v>#N/A</v>
      </c>
      <c r="AP144" s="210" t="str">
        <f t="shared" si="11"/>
        <v>#N/A</v>
      </c>
      <c r="AQ144" s="210" t="str">
        <f t="shared" si="12"/>
        <v>#N/A</v>
      </c>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c r="BU144" s="210"/>
      <c r="BV144" s="210"/>
      <c r="BW144" s="210"/>
      <c r="BX144" s="210"/>
      <c r="BY144" s="210"/>
      <c r="BZ144" s="210"/>
      <c r="CA144" s="210"/>
      <c r="CB144" s="210"/>
      <c r="CC144" s="210"/>
      <c r="CD144" s="210"/>
      <c r="CE144" s="210"/>
      <c r="CF144" s="210"/>
      <c r="CG144" s="210"/>
      <c r="CH144" s="210"/>
      <c r="CI144" s="210"/>
      <c r="CJ144" s="210"/>
      <c r="CK144" s="210"/>
    </row>
    <row r="145">
      <c r="A145" s="241" t="s">
        <v>946</v>
      </c>
      <c r="B145" s="242" t="s">
        <v>723</v>
      </c>
      <c r="C145" s="243" t="s">
        <v>64</v>
      </c>
      <c r="D145" s="243" t="s">
        <v>829</v>
      </c>
      <c r="E145" s="242" t="s">
        <v>21</v>
      </c>
      <c r="F145" s="13" t="s">
        <v>927</v>
      </c>
      <c r="G145" s="13" t="s">
        <v>927</v>
      </c>
      <c r="H145" s="219">
        <f>IFERROR(
  MINIFS(ATTENDANCE_LOG!$F:$F,
         ATTENDANCE_LOG!$A:$A, C145,
         ATTENDANCE_LOG!$B:$B, E145),
"")</f>
        <v>45635.4375</v>
      </c>
      <c r="I145" s="219">
        <f t="shared" si="2"/>
        <v>45635.4375</v>
      </c>
      <c r="J145" s="190">
        <f>IFERROR(VLOOKUP(F145, LEVEL_HELPER!$A:$B, 2, 0), "")</f>
        <v>1</v>
      </c>
      <c r="K145" s="190">
        <f>IFERROR(VLOOKUP(G145, LEVEL_HELPER!$A:$B, 2, 0), "")</f>
        <v>1</v>
      </c>
      <c r="L145" s="220" t="s">
        <v>919</v>
      </c>
      <c r="M145" s="220" t="s">
        <v>923</v>
      </c>
      <c r="N145" s="190">
        <f t="array" ref="N145">IFERROR(
  INDEX($J$2:$J$543,
    MATCH(A145&amp;TEXT(I145,"yyyy-mm-dd"),
          $A$2:$A$543&amp;TEXT($H$2:$H$543,"yyyy-mm-dd"),
          0)),
"")</f>
        <v>1</v>
      </c>
      <c r="O145" s="210">
        <f t="shared" si="3"/>
        <v>1</v>
      </c>
      <c r="P145" s="210">
        <f t="shared" ref="P145:Q145" si="155">IF(N145="",0,IF(N145&lt;=2,1,IF(N145&lt;=4,2,IF(N145&lt;=5.5,3,4))))</f>
        <v>1</v>
      </c>
      <c r="Q145" s="210">
        <f t="shared" si="155"/>
        <v>1</v>
      </c>
      <c r="R145" s="210" t="str">
        <f t="shared" si="5"/>
        <v>No Progress</v>
      </c>
      <c r="S145" s="210">
        <f t="shared" si="6"/>
        <v>1</v>
      </c>
      <c r="T145" s="210"/>
      <c r="U145" s="210"/>
      <c r="V145" s="211" t="s">
        <v>382</v>
      </c>
      <c r="W145" s="210" t="str">
        <f t="shared" si="7"/>
        <v>DEV</v>
      </c>
      <c r="X145" s="210" t="str">
        <f t="shared" si="8"/>
        <v>DEV, TA</v>
      </c>
      <c r="Y145" s="210" t="str">
        <f t="shared" si="9"/>
        <v>MOC</v>
      </c>
      <c r="Z145" s="210"/>
      <c r="AA145" s="210"/>
      <c r="AB145" s="210"/>
      <c r="AC145" s="210"/>
      <c r="AD145" s="210"/>
      <c r="AE145" s="210"/>
      <c r="AF145" s="210"/>
      <c r="AG145" s="210"/>
      <c r="AH145" s="210"/>
      <c r="AI145" s="210"/>
      <c r="AJ145" s="210"/>
      <c r="AK145" s="210"/>
      <c r="AL145" s="210"/>
      <c r="AM145" s="214"/>
      <c r="AN145" s="210"/>
      <c r="AO145" s="210" t="str">
        <f t="shared" si="10"/>
        <v>#N/A</v>
      </c>
      <c r="AP145" s="210" t="str">
        <f t="shared" si="11"/>
        <v>#N/A</v>
      </c>
      <c r="AQ145" s="210" t="str">
        <f t="shared" si="12"/>
        <v>#N/A</v>
      </c>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c r="BU145" s="210"/>
      <c r="BV145" s="210"/>
      <c r="BW145" s="210"/>
      <c r="BX145" s="210"/>
      <c r="BY145" s="210"/>
      <c r="BZ145" s="210"/>
      <c r="CA145" s="210"/>
      <c r="CB145" s="210"/>
      <c r="CC145" s="210"/>
      <c r="CD145" s="210"/>
      <c r="CE145" s="210"/>
      <c r="CF145" s="210"/>
      <c r="CG145" s="210"/>
      <c r="CH145" s="210"/>
      <c r="CI145" s="210"/>
      <c r="CJ145" s="210"/>
      <c r="CK145" s="210"/>
    </row>
    <row r="146">
      <c r="A146" s="222" t="s">
        <v>317</v>
      </c>
      <c r="B146" s="190" t="s">
        <v>318</v>
      </c>
      <c r="C146" s="223" t="s">
        <v>64</v>
      </c>
      <c r="D146" s="223" t="s">
        <v>829</v>
      </c>
      <c r="E146" s="190" t="s">
        <v>21</v>
      </c>
      <c r="F146" s="13" t="s">
        <v>927</v>
      </c>
      <c r="G146" s="13" t="s">
        <v>927</v>
      </c>
      <c r="H146" s="219">
        <f>IFERROR(
  MINIFS(ATTENDANCE_LOG!$F:$F,
         ATTENDANCE_LOG!$A:$A, C146,
         ATTENDANCE_LOG!$B:$B, E146),
"")</f>
        <v>45635.4375</v>
      </c>
      <c r="I146" s="219">
        <f t="shared" si="2"/>
        <v>45635.4375</v>
      </c>
      <c r="J146" s="190">
        <f>IFERROR(VLOOKUP(F146, LEVEL_HELPER!$A:$B, 2, 0), "")</f>
        <v>1</v>
      </c>
      <c r="K146" s="190">
        <f>IFERROR(VLOOKUP(G146, LEVEL_HELPER!$A:$B, 2, 0), "")</f>
        <v>1</v>
      </c>
      <c r="L146" s="220" t="s">
        <v>919</v>
      </c>
      <c r="M146" s="220" t="s">
        <v>925</v>
      </c>
      <c r="N146" s="190">
        <f t="array" ref="N146">IFERROR(
  INDEX($J$2:$J$543,
    MATCH(A146&amp;TEXT(I146,"yyyy-mm-dd"),
          $A$2:$A$543&amp;TEXT($H$2:$H$543,"yyyy-mm-dd"),
          0)),
"")</f>
        <v>1</v>
      </c>
      <c r="O146" s="210">
        <f t="shared" si="3"/>
        <v>1</v>
      </c>
      <c r="P146" s="210">
        <f t="shared" ref="P146:Q146" si="156">IF(N146="",0,IF(N146&lt;=2,1,IF(N146&lt;=4,2,IF(N146&lt;=5.5,3,4))))</f>
        <v>1</v>
      </c>
      <c r="Q146" s="210">
        <f t="shared" si="156"/>
        <v>1</v>
      </c>
      <c r="R146" s="210" t="str">
        <f t="shared" si="5"/>
        <v>No Progress</v>
      </c>
      <c r="S146" s="210">
        <f t="shared" si="6"/>
        <v>1</v>
      </c>
      <c r="T146" s="210"/>
      <c r="U146" s="210"/>
      <c r="V146" s="211" t="s">
        <v>425</v>
      </c>
      <c r="W146" s="210" t="str">
        <f t="shared" si="7"/>
        <v>DEV</v>
      </c>
      <c r="X146" s="210" t="str">
        <f t="shared" si="8"/>
        <v>DEV, TA</v>
      </c>
      <c r="Y146" s="210" t="str">
        <f t="shared" si="9"/>
        <v>LBU</v>
      </c>
      <c r="Z146" s="210"/>
      <c r="AA146" s="210"/>
      <c r="AB146" s="210"/>
      <c r="AC146" s="210"/>
      <c r="AD146" s="210"/>
      <c r="AE146" s="210"/>
      <c r="AF146" s="210"/>
      <c r="AG146" s="210"/>
      <c r="AH146" s="210"/>
      <c r="AI146" s="210"/>
      <c r="AJ146" s="210"/>
      <c r="AK146" s="210"/>
      <c r="AL146" s="210"/>
      <c r="AM146" s="214"/>
      <c r="AN146" s="210"/>
      <c r="AO146" s="210" t="str">
        <f t="shared" si="10"/>
        <v>#N/A</v>
      </c>
      <c r="AP146" s="210" t="str">
        <f t="shared" si="11"/>
        <v>#N/A</v>
      </c>
      <c r="AQ146" s="210" t="str">
        <f t="shared" si="12"/>
        <v>#N/A</v>
      </c>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c r="BU146" s="210"/>
      <c r="BV146" s="210"/>
      <c r="BW146" s="210"/>
      <c r="BX146" s="210"/>
      <c r="BY146" s="210"/>
      <c r="BZ146" s="210"/>
      <c r="CA146" s="210"/>
      <c r="CB146" s="210"/>
      <c r="CC146" s="210"/>
      <c r="CD146" s="210"/>
      <c r="CE146" s="210"/>
      <c r="CF146" s="210"/>
      <c r="CG146" s="210"/>
      <c r="CH146" s="210"/>
      <c r="CI146" s="210"/>
      <c r="CJ146" s="210"/>
      <c r="CK146" s="210"/>
    </row>
    <row r="147">
      <c r="A147" s="222" t="s">
        <v>342</v>
      </c>
      <c r="B147" s="190" t="s">
        <v>343</v>
      </c>
      <c r="C147" s="223" t="s">
        <v>64</v>
      </c>
      <c r="D147" s="223" t="s">
        <v>829</v>
      </c>
      <c r="E147" s="190" t="s">
        <v>21</v>
      </c>
      <c r="F147" s="13" t="s">
        <v>927</v>
      </c>
      <c r="G147" s="13" t="s">
        <v>927</v>
      </c>
      <c r="H147" s="219">
        <f>IFERROR(
  MINIFS(ATTENDANCE_LOG!$F:$F,
         ATTENDANCE_LOG!$A:$A, C147,
         ATTENDANCE_LOG!$B:$B, E147),
"")</f>
        <v>45635.4375</v>
      </c>
      <c r="I147" s="219">
        <f t="shared" si="2"/>
        <v>45635.4375</v>
      </c>
      <c r="J147" s="190">
        <f>IFERROR(VLOOKUP(F147, LEVEL_HELPER!$A:$B, 2, 0), "")</f>
        <v>1</v>
      </c>
      <c r="K147" s="190">
        <f>IFERROR(VLOOKUP(G147, LEVEL_HELPER!$A:$B, 2, 0), "")</f>
        <v>1</v>
      </c>
      <c r="L147" s="220" t="s">
        <v>919</v>
      </c>
      <c r="M147" s="220" t="s">
        <v>924</v>
      </c>
      <c r="N147" s="190">
        <f t="array" ref="N147">IFERROR(
  INDEX($J$2:$J$543,
    MATCH(A147&amp;TEXT(I147,"yyyy-mm-dd"),
          $A$2:$A$543&amp;TEXT($H$2:$H$543,"yyyy-mm-dd"),
          0)),
"")</f>
        <v>1</v>
      </c>
      <c r="O147" s="210">
        <f t="shared" si="3"/>
        <v>1</v>
      </c>
      <c r="P147" s="210">
        <f t="shared" ref="P147:Q147" si="157">IF(N147="",0,IF(N147&lt;=2,1,IF(N147&lt;=4,2,IF(N147&lt;=5.5,3,4))))</f>
        <v>1</v>
      </c>
      <c r="Q147" s="210">
        <f t="shared" si="157"/>
        <v>1</v>
      </c>
      <c r="R147" s="210" t="str">
        <f t="shared" si="5"/>
        <v>No Progress</v>
      </c>
      <c r="S147" s="210">
        <f t="shared" si="6"/>
        <v>1</v>
      </c>
      <c r="T147" s="210"/>
      <c r="U147" s="210"/>
      <c r="V147" s="211" t="s">
        <v>431</v>
      </c>
      <c r="W147" s="210" t="str">
        <f t="shared" si="7"/>
        <v>DEV</v>
      </c>
      <c r="X147" s="210" t="str">
        <f t="shared" si="8"/>
        <v>DEV, TA</v>
      </c>
      <c r="Y147" s="210" t="str">
        <f t="shared" si="9"/>
        <v>MOC</v>
      </c>
      <c r="Z147" s="210"/>
      <c r="AA147" s="210"/>
      <c r="AB147" s="210"/>
      <c r="AC147" s="210"/>
      <c r="AD147" s="210"/>
      <c r="AE147" s="210"/>
      <c r="AF147" s="210"/>
      <c r="AG147" s="210"/>
      <c r="AH147" s="210"/>
      <c r="AI147" s="210"/>
      <c r="AJ147" s="210"/>
      <c r="AK147" s="210"/>
      <c r="AL147" s="210"/>
      <c r="AM147" s="214"/>
      <c r="AN147" s="210"/>
      <c r="AO147" s="210" t="str">
        <f t="shared" si="10"/>
        <v>#N/A</v>
      </c>
      <c r="AP147" s="210" t="str">
        <f t="shared" si="11"/>
        <v>#N/A</v>
      </c>
      <c r="AQ147" s="210" t="str">
        <f t="shared" si="12"/>
        <v>#N/A</v>
      </c>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c r="BU147" s="210"/>
      <c r="BV147" s="210"/>
      <c r="BW147" s="210"/>
      <c r="BX147" s="210"/>
      <c r="BY147" s="210"/>
      <c r="BZ147" s="210"/>
      <c r="CA147" s="210"/>
      <c r="CB147" s="210"/>
      <c r="CC147" s="210"/>
      <c r="CD147" s="210"/>
      <c r="CE147" s="210"/>
      <c r="CF147" s="210"/>
      <c r="CG147" s="210"/>
      <c r="CH147" s="210"/>
      <c r="CI147" s="210"/>
      <c r="CJ147" s="210"/>
      <c r="CK147" s="210"/>
    </row>
    <row r="148">
      <c r="A148" s="222" t="s">
        <v>370</v>
      </c>
      <c r="B148" s="190" t="s">
        <v>371</v>
      </c>
      <c r="C148" s="223" t="s">
        <v>64</v>
      </c>
      <c r="D148" s="223" t="s">
        <v>829</v>
      </c>
      <c r="E148" s="190" t="s">
        <v>21</v>
      </c>
      <c r="F148" s="13" t="s">
        <v>927</v>
      </c>
      <c r="G148" s="13" t="s">
        <v>927</v>
      </c>
      <c r="H148" s="219">
        <f>IFERROR(
  MINIFS(ATTENDANCE_LOG!$F:$F,
         ATTENDANCE_LOG!$A:$A, C148,
         ATTENDANCE_LOG!$B:$B, E148),
"")</f>
        <v>45635.4375</v>
      </c>
      <c r="I148" s="219">
        <f t="shared" si="2"/>
        <v>45635.4375</v>
      </c>
      <c r="J148" s="190">
        <f>IFERROR(VLOOKUP(F148, LEVEL_HELPER!$A:$B, 2, 0), "")</f>
        <v>1</v>
      </c>
      <c r="K148" s="190">
        <f>IFERROR(VLOOKUP(G148, LEVEL_HELPER!$A:$B, 2, 0), "")</f>
        <v>1</v>
      </c>
      <c r="L148" s="220" t="s">
        <v>919</v>
      </c>
      <c r="M148" s="220" t="s">
        <v>925</v>
      </c>
      <c r="N148" s="190">
        <f t="array" ref="N148">IFERROR(
  INDEX($J$2:$J$543,
    MATCH(A148&amp;TEXT(I148,"yyyy-mm-dd"),
          $A$2:$A$543&amp;TEXT($H$2:$H$543,"yyyy-mm-dd"),
          0)),
"")</f>
        <v>1</v>
      </c>
      <c r="O148" s="210">
        <f t="shared" si="3"/>
        <v>1</v>
      </c>
      <c r="P148" s="210">
        <f t="shared" ref="P148:Q148" si="158">IF(N148="",0,IF(N148&lt;=2,1,IF(N148&lt;=4,2,IF(N148&lt;=5.5,3,4))))</f>
        <v>1</v>
      </c>
      <c r="Q148" s="210">
        <f t="shared" si="158"/>
        <v>1</v>
      </c>
      <c r="R148" s="210" t="str">
        <f t="shared" si="5"/>
        <v>No Progress</v>
      </c>
      <c r="S148" s="210">
        <f t="shared" si="6"/>
        <v>1</v>
      </c>
      <c r="T148" s="210"/>
      <c r="U148" s="210"/>
      <c r="V148" s="211" t="s">
        <v>453</v>
      </c>
      <c r="W148" s="210" t="str">
        <f t="shared" si="7"/>
        <v>DEV</v>
      </c>
      <c r="X148" s="210" t="str">
        <f t="shared" si="8"/>
        <v>DEV, TA</v>
      </c>
      <c r="Y148" s="210" t="str">
        <f t="shared" si="9"/>
        <v>MOC</v>
      </c>
      <c r="Z148" s="210"/>
      <c r="AA148" s="210"/>
      <c r="AB148" s="210"/>
      <c r="AC148" s="210"/>
      <c r="AD148" s="210"/>
      <c r="AE148" s="210"/>
      <c r="AF148" s="210"/>
      <c r="AG148" s="210"/>
      <c r="AH148" s="210"/>
      <c r="AI148" s="210"/>
      <c r="AJ148" s="210"/>
      <c r="AK148" s="210"/>
      <c r="AL148" s="210"/>
      <c r="AM148" s="214"/>
      <c r="AN148" s="210"/>
      <c r="AO148" s="210" t="str">
        <f t="shared" si="10"/>
        <v>#N/A</v>
      </c>
      <c r="AP148" s="210" t="str">
        <f t="shared" si="11"/>
        <v>#N/A</v>
      </c>
      <c r="AQ148" s="210" t="str">
        <f t="shared" si="12"/>
        <v>#N/A</v>
      </c>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c r="BU148" s="210"/>
      <c r="BV148" s="210"/>
      <c r="BW148" s="210"/>
      <c r="BX148" s="210"/>
      <c r="BY148" s="210"/>
      <c r="BZ148" s="210"/>
      <c r="CA148" s="210"/>
      <c r="CB148" s="210"/>
      <c r="CC148" s="210"/>
      <c r="CD148" s="210"/>
      <c r="CE148" s="210"/>
      <c r="CF148" s="210"/>
      <c r="CG148" s="210"/>
      <c r="CH148" s="210"/>
      <c r="CI148" s="210"/>
      <c r="CJ148" s="210"/>
      <c r="CK148" s="210"/>
    </row>
    <row r="149">
      <c r="A149" s="222" t="s">
        <v>717</v>
      </c>
      <c r="B149" s="190" t="s">
        <v>718</v>
      </c>
      <c r="C149" s="223" t="s">
        <v>64</v>
      </c>
      <c r="D149" s="223" t="s">
        <v>829</v>
      </c>
      <c r="E149" s="190" t="s">
        <v>21</v>
      </c>
      <c r="F149" s="13" t="s">
        <v>932</v>
      </c>
      <c r="G149" s="13" t="s">
        <v>917</v>
      </c>
      <c r="H149" s="219">
        <f>IFERROR(
  MINIFS(ATTENDANCE_LOG!$F:$F,
         ATTENDANCE_LOG!$A:$A, C149,
         ATTENDANCE_LOG!$B:$B, E149),
"")</f>
        <v>45635.4375</v>
      </c>
      <c r="I149" s="219">
        <f t="shared" si="2"/>
        <v>45635.4375</v>
      </c>
      <c r="J149" s="190">
        <f>IFERROR(VLOOKUP(F149, LEVEL_HELPER!$A:$B, 2, 0), "")</f>
        <v>4.5</v>
      </c>
      <c r="K149" s="190">
        <f>IFERROR(VLOOKUP(G149, LEVEL_HELPER!$A:$B, 2, 0), "")</f>
        <v>2.5</v>
      </c>
      <c r="L149" s="220" t="s">
        <v>919</v>
      </c>
      <c r="M149" s="220" t="s">
        <v>925</v>
      </c>
      <c r="N149" s="190">
        <f t="array" ref="N149">IFERROR(
  INDEX($J$2:$J$543,
    MATCH(A149&amp;TEXT(I149,"yyyy-mm-dd"),
          $A$2:$A$543&amp;TEXT($H$2:$H$543,"yyyy-mm-dd"),
          0)),
"")</f>
        <v>4.5</v>
      </c>
      <c r="O149" s="210">
        <f t="shared" si="3"/>
        <v>2.5</v>
      </c>
      <c r="P149" s="210">
        <f t="shared" ref="P149:Q149" si="159">IF(N149="",0,IF(N149&lt;=2,1,IF(N149&lt;=4,2,IF(N149&lt;=5.5,3,4))))</f>
        <v>3</v>
      </c>
      <c r="Q149" s="210">
        <f t="shared" si="159"/>
        <v>2</v>
      </c>
      <c r="R149" s="210" t="str">
        <f t="shared" si="5"/>
        <v>Regressed</v>
      </c>
      <c r="S149" s="210">
        <f t="shared" si="6"/>
        <v>1</v>
      </c>
      <c r="T149" s="210"/>
      <c r="U149" s="210"/>
      <c r="V149" s="211" t="s">
        <v>492</v>
      </c>
      <c r="W149" s="210" t="str">
        <f t="shared" si="7"/>
        <v>DEV</v>
      </c>
      <c r="X149" s="210" t="str">
        <f t="shared" si="8"/>
        <v>DEV, TA</v>
      </c>
      <c r="Y149" s="210" t="str">
        <f t="shared" si="9"/>
        <v>LBU</v>
      </c>
      <c r="Z149" s="210"/>
      <c r="AA149" s="210"/>
      <c r="AB149" s="210"/>
      <c r="AC149" s="210"/>
      <c r="AD149" s="210"/>
      <c r="AE149" s="210"/>
      <c r="AF149" s="210"/>
      <c r="AG149" s="210"/>
      <c r="AH149" s="210"/>
      <c r="AI149" s="210"/>
      <c r="AJ149" s="210"/>
      <c r="AK149" s="210"/>
      <c r="AL149" s="210"/>
      <c r="AM149" s="214"/>
      <c r="AN149" s="210"/>
      <c r="AO149" s="210" t="str">
        <f t="shared" si="10"/>
        <v>#N/A</v>
      </c>
      <c r="AP149" s="210" t="str">
        <f t="shared" si="11"/>
        <v>#N/A</v>
      </c>
      <c r="AQ149" s="210" t="str">
        <f t="shared" si="12"/>
        <v>#N/A</v>
      </c>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c r="BU149" s="210"/>
      <c r="BV149" s="210"/>
      <c r="BW149" s="210"/>
      <c r="BX149" s="210"/>
      <c r="BY149" s="210"/>
      <c r="BZ149" s="210"/>
      <c r="CA149" s="210"/>
      <c r="CB149" s="210"/>
      <c r="CC149" s="210"/>
      <c r="CD149" s="210"/>
      <c r="CE149" s="210"/>
      <c r="CF149" s="210"/>
      <c r="CG149" s="210"/>
      <c r="CH149" s="210"/>
      <c r="CI149" s="210"/>
      <c r="CJ149" s="210"/>
      <c r="CK149" s="210"/>
    </row>
    <row r="150">
      <c r="A150" s="216" t="s">
        <v>149</v>
      </c>
      <c r="B150" s="217" t="s">
        <v>150</v>
      </c>
      <c r="C150" s="218" t="s">
        <v>65</v>
      </c>
      <c r="D150" s="218" t="s">
        <v>858</v>
      </c>
      <c r="E150" s="217" t="s">
        <v>21</v>
      </c>
      <c r="F150" s="13" t="s">
        <v>927</v>
      </c>
      <c r="G150" s="13" t="s">
        <v>917</v>
      </c>
      <c r="H150" s="219">
        <f>IFERROR(
  MINIFS(ATTENDANCE_LOG!$F:$F,
         ATTENDANCE_LOG!$A:$A, C150,
         ATTENDANCE_LOG!$B:$B, E150),
"")</f>
        <v>45637.375</v>
      </c>
      <c r="I150" s="219">
        <f t="shared" si="2"/>
        <v>45637.375</v>
      </c>
      <c r="J150" s="190">
        <f>IFERROR(VLOOKUP(F150, LEVEL_HELPER!$A:$B, 2, 0), "")</f>
        <v>1</v>
      </c>
      <c r="K150" s="190">
        <f>IFERROR(VLOOKUP(G150, LEVEL_HELPER!$A:$B, 2, 0), "")</f>
        <v>2.5</v>
      </c>
      <c r="L150" s="220" t="s">
        <v>919</v>
      </c>
      <c r="M150" s="220" t="s">
        <v>925</v>
      </c>
      <c r="N150" s="190">
        <f t="array" ref="N150">IFERROR(
  INDEX($J$2:$J$543,
    MATCH(A150&amp;TEXT(I150,"yyyy-mm-dd"),
          $A$2:$A$543&amp;TEXT($H$2:$H$543,"yyyy-mm-dd"),
          0)),
"")</f>
        <v>1</v>
      </c>
      <c r="O150" s="210">
        <f t="shared" si="3"/>
        <v>2.5</v>
      </c>
      <c r="P150" s="210">
        <f t="shared" ref="P150:Q150" si="160">IF(N150="",0,IF(N150&lt;=2,1,IF(N150&lt;=4,2,IF(N150&lt;=5.5,3,4))))</f>
        <v>1</v>
      </c>
      <c r="Q150" s="210">
        <f t="shared" si="160"/>
        <v>2</v>
      </c>
      <c r="R150" s="210" t="str">
        <f t="shared" si="5"/>
        <v>Lv1 → Lv2</v>
      </c>
      <c r="S150" s="210">
        <f t="shared" si="6"/>
        <v>1</v>
      </c>
      <c r="T150" s="210"/>
      <c r="U150" s="210"/>
      <c r="V150" s="211" t="s">
        <v>591</v>
      </c>
      <c r="W150" s="210" t="str">
        <f t="shared" si="7"/>
        <v>DEV</v>
      </c>
      <c r="X150" s="210" t="str">
        <f t="shared" si="8"/>
        <v>DEV, TA</v>
      </c>
      <c r="Y150" s="210" t="str">
        <f t="shared" si="9"/>
        <v>LBU</v>
      </c>
      <c r="Z150" s="210"/>
      <c r="AA150" s="210"/>
      <c r="AB150" s="210"/>
      <c r="AC150" s="210"/>
      <c r="AD150" s="210"/>
      <c r="AE150" s="210"/>
      <c r="AF150" s="210"/>
      <c r="AG150" s="210"/>
      <c r="AH150" s="210"/>
      <c r="AI150" s="210"/>
      <c r="AJ150" s="210"/>
      <c r="AK150" s="210"/>
      <c r="AL150" s="210"/>
      <c r="AM150" s="214"/>
      <c r="AN150" s="210"/>
      <c r="AO150" s="210" t="str">
        <f t="shared" si="10"/>
        <v>#N/A</v>
      </c>
      <c r="AP150" s="210" t="str">
        <f t="shared" si="11"/>
        <v>#N/A</v>
      </c>
      <c r="AQ150" s="210" t="str">
        <f t="shared" si="12"/>
        <v>#N/A</v>
      </c>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c r="BU150" s="210"/>
      <c r="BV150" s="210"/>
      <c r="BW150" s="210"/>
      <c r="BX150" s="210"/>
      <c r="BY150" s="210"/>
      <c r="BZ150" s="210"/>
      <c r="CA150" s="210"/>
      <c r="CB150" s="210"/>
      <c r="CC150" s="210"/>
      <c r="CD150" s="210"/>
      <c r="CE150" s="210"/>
      <c r="CF150" s="210"/>
      <c r="CG150" s="210"/>
      <c r="CH150" s="210"/>
      <c r="CI150" s="210"/>
      <c r="CJ150" s="210"/>
      <c r="CK150" s="210"/>
    </row>
    <row r="151">
      <c r="A151" s="222" t="s">
        <v>212</v>
      </c>
      <c r="B151" s="190" t="s">
        <v>213</v>
      </c>
      <c r="C151" s="223" t="s">
        <v>65</v>
      </c>
      <c r="D151" s="223" t="s">
        <v>858</v>
      </c>
      <c r="E151" s="190" t="s">
        <v>21</v>
      </c>
      <c r="F151" s="13" t="s">
        <v>927</v>
      </c>
      <c r="G151" s="13" t="s">
        <v>917</v>
      </c>
      <c r="H151" s="219">
        <f>IFERROR(
  MINIFS(ATTENDANCE_LOG!$F:$F,
         ATTENDANCE_LOG!$A:$A, C151,
         ATTENDANCE_LOG!$B:$B, E151),
"")</f>
        <v>45637.375</v>
      </c>
      <c r="I151" s="219">
        <f t="shared" si="2"/>
        <v>45637.375</v>
      </c>
      <c r="J151" s="190">
        <f>IFERROR(VLOOKUP(F151, LEVEL_HELPER!$A:$B, 2, 0), "")</f>
        <v>1</v>
      </c>
      <c r="K151" s="190">
        <f>IFERROR(VLOOKUP(G151, LEVEL_HELPER!$A:$B, 2, 0), "")</f>
        <v>2.5</v>
      </c>
      <c r="L151" s="229" t="s">
        <v>919</v>
      </c>
      <c r="M151" s="220" t="s">
        <v>925</v>
      </c>
      <c r="N151" s="190">
        <f t="array" ref="N151">IFERROR(
  INDEX($J$2:$J$543,
    MATCH(A151&amp;TEXT(I151,"yyyy-mm-dd"),
          $A$2:$A$543&amp;TEXT($H$2:$H$543,"yyyy-mm-dd"),
          0)),
"")</f>
        <v>1</v>
      </c>
      <c r="O151" s="210">
        <f t="shared" si="3"/>
        <v>2.5</v>
      </c>
      <c r="P151" s="210">
        <f t="shared" ref="P151:Q151" si="161">IF(N151="",0,IF(N151&lt;=2,1,IF(N151&lt;=4,2,IF(N151&lt;=5.5,3,4))))</f>
        <v>1</v>
      </c>
      <c r="Q151" s="210">
        <f t="shared" si="161"/>
        <v>2</v>
      </c>
      <c r="R151" s="210" t="str">
        <f t="shared" si="5"/>
        <v>Lv1 → Lv2</v>
      </c>
      <c r="S151" s="210">
        <f t="shared" si="6"/>
        <v>1</v>
      </c>
      <c r="T151" s="210"/>
      <c r="U151" s="210"/>
      <c r="V151" s="211" t="s">
        <v>593</v>
      </c>
      <c r="W151" s="210" t="str">
        <f t="shared" si="7"/>
        <v>DEV</v>
      </c>
      <c r="X151" s="210" t="str">
        <f t="shared" si="8"/>
        <v>DEV, TA</v>
      </c>
      <c r="Y151" s="210" t="str">
        <f t="shared" si="9"/>
        <v>MOC</v>
      </c>
      <c r="Z151" s="210"/>
      <c r="AA151" s="210"/>
      <c r="AB151" s="210"/>
      <c r="AC151" s="210"/>
      <c r="AD151" s="210"/>
      <c r="AE151" s="210"/>
      <c r="AF151" s="210"/>
      <c r="AG151" s="210"/>
      <c r="AH151" s="210"/>
      <c r="AI151" s="210"/>
      <c r="AJ151" s="210"/>
      <c r="AK151" s="210"/>
      <c r="AL151" s="210"/>
      <c r="AM151" s="214"/>
      <c r="AN151" s="210"/>
      <c r="AO151" s="210" t="str">
        <f t="shared" si="10"/>
        <v>#N/A</v>
      </c>
      <c r="AP151" s="210" t="str">
        <f t="shared" si="11"/>
        <v>#N/A</v>
      </c>
      <c r="AQ151" s="210" t="str">
        <f t="shared" si="12"/>
        <v>#N/A</v>
      </c>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c r="BU151" s="210"/>
      <c r="BV151" s="210"/>
      <c r="BW151" s="210"/>
      <c r="BX151" s="210"/>
      <c r="BY151" s="210"/>
      <c r="BZ151" s="210"/>
      <c r="CA151" s="210"/>
      <c r="CB151" s="210"/>
      <c r="CC151" s="210"/>
      <c r="CD151" s="210"/>
      <c r="CE151" s="210"/>
      <c r="CF151" s="210"/>
      <c r="CG151" s="210"/>
      <c r="CH151" s="210"/>
      <c r="CI151" s="210"/>
      <c r="CJ151" s="210"/>
      <c r="CK151" s="210"/>
    </row>
    <row r="152">
      <c r="A152" s="222" t="s">
        <v>267</v>
      </c>
      <c r="B152" s="190" t="s">
        <v>268</v>
      </c>
      <c r="C152" s="223" t="s">
        <v>65</v>
      </c>
      <c r="D152" s="223" t="s">
        <v>858</v>
      </c>
      <c r="E152" s="190" t="s">
        <v>21</v>
      </c>
      <c r="F152" s="13" t="s">
        <v>927</v>
      </c>
      <c r="G152" s="13" t="s">
        <v>917</v>
      </c>
      <c r="H152" s="219">
        <f>IFERROR(
  MINIFS(ATTENDANCE_LOG!$F:$F,
         ATTENDANCE_LOG!$A:$A, C152,
         ATTENDANCE_LOG!$B:$B, E152),
"")</f>
        <v>45637.375</v>
      </c>
      <c r="I152" s="219">
        <f t="shared" si="2"/>
        <v>45637.375</v>
      </c>
      <c r="J152" s="190">
        <f>IFERROR(VLOOKUP(F152, LEVEL_HELPER!$A:$B, 2, 0), "")</f>
        <v>1</v>
      </c>
      <c r="K152" s="190">
        <f>IFERROR(VLOOKUP(G152, LEVEL_HELPER!$A:$B, 2, 0), "")</f>
        <v>2.5</v>
      </c>
      <c r="L152" s="220" t="s">
        <v>919</v>
      </c>
      <c r="M152" s="220" t="s">
        <v>925</v>
      </c>
      <c r="N152" s="190">
        <f t="array" ref="N152">IFERROR(
  INDEX($J$2:$J$543,
    MATCH(A152&amp;TEXT(I152,"yyyy-mm-dd"),
          $A$2:$A$543&amp;TEXT($H$2:$H$543,"yyyy-mm-dd"),
          0)),
"")</f>
        <v>1</v>
      </c>
      <c r="O152" s="210">
        <f t="shared" si="3"/>
        <v>2.5</v>
      </c>
      <c r="P152" s="210">
        <f t="shared" ref="P152:Q152" si="162">IF(N152="",0,IF(N152&lt;=2,1,IF(N152&lt;=4,2,IF(N152&lt;=5.5,3,4))))</f>
        <v>1</v>
      </c>
      <c r="Q152" s="210">
        <f t="shared" si="162"/>
        <v>2</v>
      </c>
      <c r="R152" s="210" t="str">
        <f t="shared" si="5"/>
        <v>Lv1 → Lv2</v>
      </c>
      <c r="S152" s="210">
        <f t="shared" si="6"/>
        <v>1</v>
      </c>
      <c r="T152" s="210"/>
      <c r="U152" s="210"/>
      <c r="V152" s="211" t="s">
        <v>173</v>
      </c>
      <c r="W152" s="210" t="str">
        <f t="shared" si="7"/>
        <v>DEV</v>
      </c>
      <c r="X152" s="210" t="str">
        <f t="shared" si="8"/>
        <v>DEV, TA</v>
      </c>
      <c r="Y152" s="210" t="str">
        <f t="shared" si="9"/>
        <v>MOC</v>
      </c>
      <c r="Z152" s="210"/>
      <c r="AA152" s="210"/>
      <c r="AB152" s="210"/>
      <c r="AC152" s="210"/>
      <c r="AD152" s="210"/>
      <c r="AE152" s="210"/>
      <c r="AF152" s="210"/>
      <c r="AG152" s="210"/>
      <c r="AH152" s="210"/>
      <c r="AI152" s="210"/>
      <c r="AJ152" s="210"/>
      <c r="AK152" s="210"/>
      <c r="AL152" s="210"/>
      <c r="AM152" s="214"/>
      <c r="AN152" s="210"/>
      <c r="AO152" s="210" t="str">
        <f t="shared" si="10"/>
        <v>#N/A</v>
      </c>
      <c r="AP152" s="210" t="str">
        <f t="shared" si="11"/>
        <v>#N/A</v>
      </c>
      <c r="AQ152" s="210" t="str">
        <f t="shared" si="12"/>
        <v>#N/A</v>
      </c>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c r="BU152" s="210"/>
      <c r="BV152" s="210"/>
      <c r="BW152" s="210"/>
      <c r="BX152" s="210"/>
      <c r="BY152" s="210"/>
      <c r="BZ152" s="210"/>
      <c r="CA152" s="210"/>
      <c r="CB152" s="210"/>
      <c r="CC152" s="210"/>
      <c r="CD152" s="210"/>
      <c r="CE152" s="210"/>
      <c r="CF152" s="210"/>
      <c r="CG152" s="210"/>
      <c r="CH152" s="210"/>
      <c r="CI152" s="210"/>
      <c r="CJ152" s="210"/>
      <c r="CK152" s="210"/>
    </row>
    <row r="153">
      <c r="A153" s="222" t="s">
        <v>413</v>
      </c>
      <c r="B153" s="190" t="s">
        <v>414</v>
      </c>
      <c r="C153" s="223" t="s">
        <v>65</v>
      </c>
      <c r="D153" s="223" t="s">
        <v>858</v>
      </c>
      <c r="E153" s="190" t="s">
        <v>21</v>
      </c>
      <c r="F153" s="13" t="s">
        <v>927</v>
      </c>
      <c r="G153" s="13" t="s">
        <v>917</v>
      </c>
      <c r="H153" s="219">
        <f>IFERROR(
  MINIFS(ATTENDANCE_LOG!$F:$F,
         ATTENDANCE_LOG!$A:$A, C153,
         ATTENDANCE_LOG!$B:$B, E153),
"")</f>
        <v>45637.375</v>
      </c>
      <c r="I153" s="219">
        <f t="shared" si="2"/>
        <v>45637.375</v>
      </c>
      <c r="J153" s="190">
        <f>IFERROR(VLOOKUP(F153, LEVEL_HELPER!$A:$B, 2, 0), "")</f>
        <v>1</v>
      </c>
      <c r="K153" s="190">
        <f>IFERROR(VLOOKUP(G153, LEVEL_HELPER!$A:$B, 2, 0), "")</f>
        <v>2.5</v>
      </c>
      <c r="L153" s="220" t="s">
        <v>919</v>
      </c>
      <c r="M153" s="220" t="s">
        <v>925</v>
      </c>
      <c r="N153" s="190">
        <f t="array" ref="N153">IFERROR(
  INDEX($J$2:$J$543,
    MATCH(A153&amp;TEXT(I153,"yyyy-mm-dd"),
          $A$2:$A$543&amp;TEXT($H$2:$H$543,"yyyy-mm-dd"),
          0)),
"")</f>
        <v>1</v>
      </c>
      <c r="O153" s="210">
        <f t="shared" si="3"/>
        <v>2.5</v>
      </c>
      <c r="P153" s="210">
        <f t="shared" ref="P153:Q153" si="163">IF(N153="",0,IF(N153&lt;=2,1,IF(N153&lt;=4,2,IF(N153&lt;=5.5,3,4))))</f>
        <v>1</v>
      </c>
      <c r="Q153" s="210">
        <f t="shared" si="163"/>
        <v>2</v>
      </c>
      <c r="R153" s="210" t="str">
        <f t="shared" si="5"/>
        <v>Lv1 → Lv2</v>
      </c>
      <c r="S153" s="210">
        <f t="shared" si="6"/>
        <v>1</v>
      </c>
      <c r="T153" s="210"/>
      <c r="U153" s="210"/>
      <c r="V153" s="211" t="s">
        <v>281</v>
      </c>
      <c r="W153" s="210" t="str">
        <f t="shared" si="7"/>
        <v>DEV</v>
      </c>
      <c r="X153" s="210" t="str">
        <f t="shared" si="8"/>
        <v>DEV, TA</v>
      </c>
      <c r="Y153" s="210" t="str">
        <f t="shared" si="9"/>
        <v>MOC</v>
      </c>
      <c r="Z153" s="210"/>
      <c r="AA153" s="210"/>
      <c r="AB153" s="210"/>
      <c r="AC153" s="210"/>
      <c r="AD153" s="210"/>
      <c r="AE153" s="210"/>
      <c r="AF153" s="210"/>
      <c r="AG153" s="210"/>
      <c r="AH153" s="210"/>
      <c r="AI153" s="210"/>
      <c r="AJ153" s="210"/>
      <c r="AK153" s="210"/>
      <c r="AL153" s="210"/>
      <c r="AM153" s="214"/>
      <c r="AN153" s="210"/>
      <c r="AO153" s="210" t="str">
        <f t="shared" si="10"/>
        <v>#N/A</v>
      </c>
      <c r="AP153" s="210" t="str">
        <f t="shared" si="11"/>
        <v>#N/A</v>
      </c>
      <c r="AQ153" s="210" t="str">
        <f t="shared" si="12"/>
        <v>#N/A</v>
      </c>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c r="BU153" s="210"/>
      <c r="BV153" s="210"/>
      <c r="BW153" s="210"/>
      <c r="BX153" s="210"/>
      <c r="BY153" s="210"/>
      <c r="BZ153" s="210"/>
      <c r="CA153" s="210"/>
      <c r="CB153" s="210"/>
      <c r="CC153" s="210"/>
      <c r="CD153" s="210"/>
      <c r="CE153" s="210"/>
      <c r="CF153" s="210"/>
      <c r="CG153" s="210"/>
      <c r="CH153" s="210"/>
      <c r="CI153" s="210"/>
      <c r="CJ153" s="210"/>
      <c r="CK153" s="210"/>
    </row>
    <row r="154">
      <c r="A154" s="222" t="s">
        <v>601</v>
      </c>
      <c r="B154" s="190" t="s">
        <v>602</v>
      </c>
      <c r="C154" s="223" t="s">
        <v>65</v>
      </c>
      <c r="D154" s="223" t="s">
        <v>858</v>
      </c>
      <c r="E154" s="190" t="s">
        <v>21</v>
      </c>
      <c r="F154" s="13" t="s">
        <v>932</v>
      </c>
      <c r="G154" s="190"/>
      <c r="H154" s="219">
        <f>IFERROR(
  MINIFS(ATTENDANCE_LOG!$F:$F,
         ATTENDANCE_LOG!$A:$A, C154,
         ATTENDANCE_LOG!$B:$B, E154),
"")</f>
        <v>45637.375</v>
      </c>
      <c r="I154" s="219">
        <f t="shared" si="2"/>
        <v>45637.375</v>
      </c>
      <c r="J154" s="190">
        <f>IFERROR(VLOOKUP(F154, LEVEL_HELPER!$A:$B, 2, 0), "")</f>
        <v>4.5</v>
      </c>
      <c r="K154" s="190" t="str">
        <f>IFERROR(VLOOKUP(G154, LEVEL_HELPER!$A:$B, 2, 0), "")</f>
        <v/>
      </c>
      <c r="L154" s="220" t="s">
        <v>919</v>
      </c>
      <c r="M154" s="229" t="s">
        <v>923</v>
      </c>
      <c r="N154" s="190">
        <f t="array" ref="N154">IFERROR(
  INDEX($J$2:$J$543,
    MATCH(A154&amp;TEXT(I154,"yyyy-mm-dd"),
          $A$2:$A$543&amp;TEXT($H$2:$H$543,"yyyy-mm-dd"),
          0)),
"")</f>
        <v>4.5</v>
      </c>
      <c r="O154" s="210">
        <f t="shared" si="3"/>
        <v>0</v>
      </c>
      <c r="P154" s="210">
        <f t="shared" ref="P154:Q154" si="164">IF(N154="",0,IF(N154&lt;=2,1,IF(N154&lt;=4,2,IF(N154&lt;=5.5,3,4))))</f>
        <v>3</v>
      </c>
      <c r="Q154" s="210">
        <f t="shared" si="164"/>
        <v>1</v>
      </c>
      <c r="R154" s="210" t="str">
        <f t="shared" si="5"/>
        <v>Not tested yet</v>
      </c>
      <c r="S154" s="210">
        <f t="shared" si="6"/>
        <v>1</v>
      </c>
      <c r="T154" s="210"/>
      <c r="U154" s="210"/>
      <c r="V154" s="211" t="s">
        <v>336</v>
      </c>
      <c r="W154" s="210" t="str">
        <f t="shared" si="7"/>
        <v>QC</v>
      </c>
      <c r="X154" s="210" t="str">
        <f t="shared" si="8"/>
        <v>QC</v>
      </c>
      <c r="Y154" s="210" t="str">
        <f t="shared" si="9"/>
        <v>MOC</v>
      </c>
      <c r="Z154" s="210"/>
      <c r="AA154" s="210"/>
      <c r="AB154" s="210"/>
      <c r="AC154" s="210"/>
      <c r="AD154" s="210"/>
      <c r="AE154" s="210"/>
      <c r="AF154" s="210"/>
      <c r="AG154" s="210"/>
      <c r="AH154" s="210"/>
      <c r="AI154" s="210"/>
      <c r="AJ154" s="210"/>
      <c r="AK154" s="210"/>
      <c r="AL154" s="210"/>
      <c r="AM154" s="214"/>
      <c r="AN154" s="210"/>
      <c r="AO154" s="210" t="str">
        <f t="shared" si="10"/>
        <v>#N/A</v>
      </c>
      <c r="AP154" s="210" t="str">
        <f t="shared" si="11"/>
        <v>#N/A</v>
      </c>
      <c r="AQ154" s="210" t="str">
        <f t="shared" si="12"/>
        <v>#N/A</v>
      </c>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c r="BU154" s="210"/>
      <c r="BV154" s="210"/>
      <c r="BW154" s="210"/>
      <c r="BX154" s="210"/>
      <c r="BY154" s="210"/>
      <c r="BZ154" s="210"/>
      <c r="CA154" s="210"/>
      <c r="CB154" s="210"/>
      <c r="CC154" s="210"/>
      <c r="CD154" s="210"/>
      <c r="CE154" s="210"/>
      <c r="CF154" s="210"/>
      <c r="CG154" s="210"/>
      <c r="CH154" s="210"/>
      <c r="CI154" s="210"/>
      <c r="CJ154" s="210"/>
      <c r="CK154" s="210"/>
    </row>
    <row r="155">
      <c r="A155" s="222" t="s">
        <v>699</v>
      </c>
      <c r="B155" s="190" t="s">
        <v>700</v>
      </c>
      <c r="C155" s="223" t="s">
        <v>65</v>
      </c>
      <c r="D155" s="223" t="s">
        <v>858</v>
      </c>
      <c r="E155" s="190" t="s">
        <v>21</v>
      </c>
      <c r="F155" s="13" t="s">
        <v>917</v>
      </c>
      <c r="G155" s="13" t="s">
        <v>932</v>
      </c>
      <c r="H155" s="219">
        <f>IFERROR(
  MINIFS(ATTENDANCE_LOG!$F:$F,
         ATTENDANCE_LOG!$A:$A, C155,
         ATTENDANCE_LOG!$B:$B, E155),
"")</f>
        <v>45637.375</v>
      </c>
      <c r="I155" s="219">
        <f t="shared" si="2"/>
        <v>45637.375</v>
      </c>
      <c r="J155" s="190">
        <f>IFERROR(VLOOKUP(F155, LEVEL_HELPER!$A:$B, 2, 0), "")</f>
        <v>2.5</v>
      </c>
      <c r="K155" s="190">
        <f>IFERROR(VLOOKUP(G155, LEVEL_HELPER!$A:$B, 2, 0), "")</f>
        <v>4.5</v>
      </c>
      <c r="L155" s="220" t="s">
        <v>919</v>
      </c>
      <c r="M155" s="220" t="s">
        <v>923</v>
      </c>
      <c r="N155" s="190">
        <f t="array" ref="N155">IFERROR(
  INDEX($J$2:$J$543,
    MATCH(A155&amp;TEXT(I155,"yyyy-mm-dd"),
          $A$2:$A$543&amp;TEXT($H$2:$H$543,"yyyy-mm-dd"),
          0)),
"")</f>
        <v>2.5</v>
      </c>
      <c r="O155" s="210">
        <f t="shared" si="3"/>
        <v>4.5</v>
      </c>
      <c r="P155" s="210">
        <f t="shared" ref="P155:Q155" si="165">IF(N155="",0,IF(N155&lt;=2,1,IF(N155&lt;=4,2,IF(N155&lt;=5.5,3,4))))</f>
        <v>2</v>
      </c>
      <c r="Q155" s="210">
        <f t="shared" si="165"/>
        <v>3</v>
      </c>
      <c r="R155" s="210" t="str">
        <f t="shared" si="5"/>
        <v>Lv2 → Lv3</v>
      </c>
      <c r="S155" s="210">
        <f t="shared" si="6"/>
        <v>1</v>
      </c>
      <c r="T155" s="210"/>
      <c r="U155" s="210"/>
      <c r="V155" s="211" t="s">
        <v>417</v>
      </c>
      <c r="W155" s="210" t="str">
        <f t="shared" si="7"/>
        <v>QC</v>
      </c>
      <c r="X155" s="210" t="str">
        <f t="shared" si="8"/>
        <v>QC</v>
      </c>
      <c r="Y155" s="210" t="str">
        <f t="shared" si="9"/>
        <v>MOC</v>
      </c>
      <c r="Z155" s="210"/>
      <c r="AA155" s="210"/>
      <c r="AB155" s="210"/>
      <c r="AC155" s="210"/>
      <c r="AD155" s="210"/>
      <c r="AE155" s="210"/>
      <c r="AF155" s="210"/>
      <c r="AG155" s="210"/>
      <c r="AH155" s="210"/>
      <c r="AI155" s="210"/>
      <c r="AJ155" s="210"/>
      <c r="AK155" s="210"/>
      <c r="AL155" s="210"/>
      <c r="AM155" s="214"/>
      <c r="AN155" s="210"/>
      <c r="AO155" s="210" t="str">
        <f t="shared" si="10"/>
        <v>#N/A</v>
      </c>
      <c r="AP155" s="210" t="str">
        <f t="shared" si="11"/>
        <v>#N/A</v>
      </c>
      <c r="AQ155" s="210" t="str">
        <f t="shared" si="12"/>
        <v>#N/A</v>
      </c>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c r="BU155" s="210"/>
      <c r="BV155" s="210"/>
      <c r="BW155" s="210"/>
      <c r="BX155" s="210"/>
      <c r="BY155" s="210"/>
      <c r="BZ155" s="210"/>
      <c r="CA155" s="210"/>
      <c r="CB155" s="210"/>
      <c r="CC155" s="210"/>
      <c r="CD155" s="210"/>
      <c r="CE155" s="210"/>
      <c r="CF155" s="210"/>
      <c r="CG155" s="210"/>
      <c r="CH155" s="210"/>
      <c r="CI155" s="210"/>
      <c r="CJ155" s="210"/>
      <c r="CK155" s="210"/>
    </row>
    <row r="156">
      <c r="A156" s="216" t="s">
        <v>413</v>
      </c>
      <c r="B156" s="217" t="s">
        <v>414</v>
      </c>
      <c r="C156" s="218" t="s">
        <v>65</v>
      </c>
      <c r="D156" s="218" t="s">
        <v>858</v>
      </c>
      <c r="E156" s="217" t="s">
        <v>22</v>
      </c>
      <c r="F156" s="13" t="s">
        <v>917</v>
      </c>
      <c r="G156" s="13" t="s">
        <v>917</v>
      </c>
      <c r="H156" s="219">
        <f>IFERROR(
  MINIFS(ATTENDANCE_LOG!$F:$F,
         ATTENDANCE_LOG!$A:$A, C156,
         ATTENDANCE_LOG!$B:$B, E156),
"")</f>
        <v>45839.375</v>
      </c>
      <c r="I156" s="219">
        <f t="shared" si="2"/>
        <v>45637.375</v>
      </c>
      <c r="J156" s="190">
        <f>IFERROR(VLOOKUP(F156, LEVEL_HELPER!$A:$B, 2, 0), "")</f>
        <v>2.5</v>
      </c>
      <c r="K156" s="190">
        <f>IFERROR(VLOOKUP(G156, LEVEL_HELPER!$A:$B, 2, 0), "")</f>
        <v>2.5</v>
      </c>
      <c r="L156" s="220" t="s">
        <v>919</v>
      </c>
      <c r="M156" s="220" t="s">
        <v>925</v>
      </c>
      <c r="N156" s="190">
        <f t="array" ref="N156">IFERROR(
  INDEX($J$2:$J$543,
    MATCH(A156&amp;TEXT(I156,"yyyy-mm-dd"),
          $A$2:$A$543&amp;TEXT($H$2:$H$543,"yyyy-mm-dd"),
          0)),
"")</f>
        <v>1</v>
      </c>
      <c r="O156" s="210">
        <f t="shared" si="3"/>
        <v>2.5</v>
      </c>
      <c r="P156" s="210">
        <f t="shared" ref="P156:Q156" si="166">IF(N156="",0,IF(N156&lt;=2,1,IF(N156&lt;=4,2,IF(N156&lt;=5.5,3,4))))</f>
        <v>1</v>
      </c>
      <c r="Q156" s="210">
        <f t="shared" si="166"/>
        <v>2</v>
      </c>
      <c r="R156" s="210" t="str">
        <f t="shared" si="5"/>
        <v>Lv1 → Lv2</v>
      </c>
      <c r="S156" s="210">
        <f t="shared" si="6"/>
        <v>0</v>
      </c>
      <c r="T156" s="210"/>
      <c r="U156" s="210"/>
      <c r="V156" s="211" t="s">
        <v>587</v>
      </c>
      <c r="W156" s="210" t="str">
        <f t="shared" si="7"/>
        <v>DEV</v>
      </c>
      <c r="X156" s="210" t="str">
        <f t="shared" si="8"/>
        <v>DEV, TA</v>
      </c>
      <c r="Y156" s="210" t="str">
        <f t="shared" si="9"/>
        <v>LBU</v>
      </c>
      <c r="Z156" s="210"/>
      <c r="AA156" s="210"/>
      <c r="AB156" s="210"/>
      <c r="AC156" s="210"/>
      <c r="AD156" s="210"/>
      <c r="AE156" s="210"/>
      <c r="AF156" s="210"/>
      <c r="AG156" s="210"/>
      <c r="AH156" s="210"/>
      <c r="AI156" s="210"/>
      <c r="AJ156" s="210"/>
      <c r="AK156" s="210"/>
      <c r="AL156" s="210"/>
      <c r="AM156" s="214"/>
      <c r="AN156" s="210"/>
      <c r="AO156" s="210" t="str">
        <f t="shared" si="10"/>
        <v>#N/A</v>
      </c>
      <c r="AP156" s="210" t="str">
        <f t="shared" si="11"/>
        <v>#N/A</v>
      </c>
      <c r="AQ156" s="210" t="str">
        <f t="shared" si="12"/>
        <v>#N/A</v>
      </c>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c r="BU156" s="210"/>
      <c r="BV156" s="210"/>
      <c r="BW156" s="210"/>
      <c r="BX156" s="210"/>
      <c r="BY156" s="210"/>
      <c r="BZ156" s="210"/>
      <c r="CA156" s="210"/>
      <c r="CB156" s="210"/>
      <c r="CC156" s="210"/>
      <c r="CD156" s="210"/>
      <c r="CE156" s="210"/>
      <c r="CF156" s="210"/>
      <c r="CG156" s="210"/>
      <c r="CH156" s="210"/>
      <c r="CI156" s="210"/>
      <c r="CJ156" s="210"/>
      <c r="CK156" s="210"/>
    </row>
    <row r="157">
      <c r="A157" s="222" t="s">
        <v>212</v>
      </c>
      <c r="B157" s="190" t="s">
        <v>213</v>
      </c>
      <c r="C157" s="223" t="s">
        <v>65</v>
      </c>
      <c r="D157" s="223" t="s">
        <v>858</v>
      </c>
      <c r="E157" s="190" t="s">
        <v>22</v>
      </c>
      <c r="F157" s="13" t="s">
        <v>917</v>
      </c>
      <c r="G157" s="13" t="s">
        <v>917</v>
      </c>
      <c r="H157" s="219">
        <f>IFERROR(
  MINIFS(ATTENDANCE_LOG!$F:$F,
         ATTENDANCE_LOG!$A:$A, C157,
         ATTENDANCE_LOG!$B:$B, E157),
"")</f>
        <v>45839.375</v>
      </c>
      <c r="I157" s="219">
        <f t="shared" si="2"/>
        <v>45637.375</v>
      </c>
      <c r="J157" s="190">
        <f>IFERROR(VLOOKUP(F157, LEVEL_HELPER!$A:$B, 2, 0), "")</f>
        <v>2.5</v>
      </c>
      <c r="K157" s="190">
        <f>IFERROR(VLOOKUP(G157, LEVEL_HELPER!$A:$B, 2, 0), "")</f>
        <v>2.5</v>
      </c>
      <c r="L157" s="229" t="s">
        <v>919</v>
      </c>
      <c r="M157" s="220" t="s">
        <v>925</v>
      </c>
      <c r="N157" s="190">
        <f t="array" ref="N157">IFERROR(
  INDEX($J$2:$J$543,
    MATCH(A157&amp;TEXT(I157,"yyyy-mm-dd"),
          $A$2:$A$543&amp;TEXT($H$2:$H$543,"yyyy-mm-dd"),
          0)),
"")</f>
        <v>1</v>
      </c>
      <c r="O157" s="210">
        <f t="shared" si="3"/>
        <v>2.5</v>
      </c>
      <c r="P157" s="210">
        <f t="shared" ref="P157:Q157" si="167">IF(N157="",0,IF(N157&lt;=2,1,IF(N157&lt;=4,2,IF(N157&lt;=5.5,3,4))))</f>
        <v>1</v>
      </c>
      <c r="Q157" s="210">
        <f t="shared" si="167"/>
        <v>2</v>
      </c>
      <c r="R157" s="210" t="str">
        <f t="shared" si="5"/>
        <v>Lv1 → Lv2</v>
      </c>
      <c r="S157" s="210">
        <f t="shared" si="6"/>
        <v>0</v>
      </c>
      <c r="T157" s="210"/>
      <c r="U157" s="210"/>
      <c r="V157" s="211" t="s">
        <v>651</v>
      </c>
      <c r="W157" s="210" t="str">
        <f t="shared" si="7"/>
        <v>QC</v>
      </c>
      <c r="X157" s="210" t="str">
        <f t="shared" si="8"/>
        <v>QC</v>
      </c>
      <c r="Y157" s="210" t="str">
        <f t="shared" si="9"/>
        <v>LBU</v>
      </c>
      <c r="Z157" s="210"/>
      <c r="AA157" s="210"/>
      <c r="AB157" s="210"/>
      <c r="AC157" s="210"/>
      <c r="AD157" s="210"/>
      <c r="AE157" s="210"/>
      <c r="AF157" s="210"/>
      <c r="AG157" s="210"/>
      <c r="AH157" s="210"/>
      <c r="AI157" s="210"/>
      <c r="AJ157" s="210"/>
      <c r="AK157" s="210"/>
      <c r="AL157" s="210"/>
      <c r="AM157" s="214"/>
      <c r="AN157" s="210"/>
      <c r="AO157" s="210" t="str">
        <f t="shared" si="10"/>
        <v>#N/A</v>
      </c>
      <c r="AP157" s="210" t="str">
        <f t="shared" si="11"/>
        <v>#N/A</v>
      </c>
      <c r="AQ157" s="210" t="str">
        <f t="shared" si="12"/>
        <v>#N/A</v>
      </c>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c r="BU157" s="210"/>
      <c r="BV157" s="210"/>
      <c r="BW157" s="210"/>
      <c r="BX157" s="210"/>
      <c r="BY157" s="210"/>
      <c r="BZ157" s="210"/>
      <c r="CA157" s="210"/>
      <c r="CB157" s="210"/>
      <c r="CC157" s="210"/>
      <c r="CD157" s="210"/>
      <c r="CE157" s="210"/>
      <c r="CF157" s="210"/>
      <c r="CG157" s="210"/>
      <c r="CH157" s="210"/>
      <c r="CI157" s="210"/>
      <c r="CJ157" s="210"/>
      <c r="CK157" s="210"/>
    </row>
    <row r="158">
      <c r="A158" s="222" t="s">
        <v>267</v>
      </c>
      <c r="B158" s="190" t="s">
        <v>268</v>
      </c>
      <c r="C158" s="223" t="s">
        <v>65</v>
      </c>
      <c r="D158" s="223" t="s">
        <v>858</v>
      </c>
      <c r="E158" s="190" t="s">
        <v>22</v>
      </c>
      <c r="F158" s="13" t="s">
        <v>917</v>
      </c>
      <c r="G158" s="13" t="s">
        <v>917</v>
      </c>
      <c r="H158" s="219">
        <f>IFERROR(
  MINIFS(ATTENDANCE_LOG!$F:$F,
         ATTENDANCE_LOG!$A:$A, C158,
         ATTENDANCE_LOG!$B:$B, E158),
"")</f>
        <v>45839.375</v>
      </c>
      <c r="I158" s="219">
        <f t="shared" si="2"/>
        <v>45637.375</v>
      </c>
      <c r="J158" s="190">
        <f>IFERROR(VLOOKUP(F158, LEVEL_HELPER!$A:$B, 2, 0), "")</f>
        <v>2.5</v>
      </c>
      <c r="K158" s="190">
        <f>IFERROR(VLOOKUP(G158, LEVEL_HELPER!$A:$B, 2, 0), "")</f>
        <v>2.5</v>
      </c>
      <c r="L158" s="220" t="s">
        <v>919</v>
      </c>
      <c r="M158" s="220" t="s">
        <v>925</v>
      </c>
      <c r="N158" s="190">
        <f t="array" ref="N158">IFERROR(
  INDEX($J$2:$J$543,
    MATCH(A158&amp;TEXT(I158,"yyyy-mm-dd"),
          $A$2:$A$543&amp;TEXT($H$2:$H$543,"yyyy-mm-dd"),
          0)),
"")</f>
        <v>1</v>
      </c>
      <c r="O158" s="210">
        <f t="shared" si="3"/>
        <v>2.5</v>
      </c>
      <c r="P158" s="210">
        <f t="shared" ref="P158:Q158" si="168">IF(N158="",0,IF(N158&lt;=2,1,IF(N158&lt;=4,2,IF(N158&lt;=5.5,3,4))))</f>
        <v>1</v>
      </c>
      <c r="Q158" s="210">
        <f t="shared" si="168"/>
        <v>2</v>
      </c>
      <c r="R158" s="210" t="str">
        <f t="shared" si="5"/>
        <v>Lv1 → Lv2</v>
      </c>
      <c r="S158" s="210">
        <f t="shared" si="6"/>
        <v>0</v>
      </c>
      <c r="T158" s="210"/>
      <c r="U158" s="210"/>
      <c r="V158" s="211" t="s">
        <v>210</v>
      </c>
      <c r="W158" s="210" t="str">
        <f t="shared" si="7"/>
        <v>DEV</v>
      </c>
      <c r="X158" s="210" t="str">
        <f t="shared" si="8"/>
        <v>DEV, TA</v>
      </c>
      <c r="Y158" s="210" t="str">
        <f t="shared" si="9"/>
        <v>LBU</v>
      </c>
      <c r="Z158" s="210"/>
      <c r="AA158" s="210"/>
      <c r="AB158" s="210"/>
      <c r="AC158" s="210"/>
      <c r="AD158" s="210"/>
      <c r="AE158" s="210"/>
      <c r="AF158" s="210"/>
      <c r="AG158" s="210"/>
      <c r="AH158" s="210"/>
      <c r="AI158" s="210"/>
      <c r="AJ158" s="210"/>
      <c r="AK158" s="210"/>
      <c r="AL158" s="210"/>
      <c r="AM158" s="214"/>
      <c r="AN158" s="210"/>
      <c r="AO158" s="210" t="str">
        <f t="shared" si="10"/>
        <v>#N/A</v>
      </c>
      <c r="AP158" s="210" t="str">
        <f t="shared" si="11"/>
        <v>#N/A</v>
      </c>
      <c r="AQ158" s="210" t="str">
        <f t="shared" si="12"/>
        <v>#N/A</v>
      </c>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c r="BU158" s="210"/>
      <c r="BV158" s="210"/>
      <c r="BW158" s="210"/>
      <c r="BX158" s="210"/>
      <c r="BY158" s="210"/>
      <c r="BZ158" s="210"/>
      <c r="CA158" s="210"/>
      <c r="CB158" s="210"/>
      <c r="CC158" s="210"/>
      <c r="CD158" s="210"/>
      <c r="CE158" s="210"/>
      <c r="CF158" s="210"/>
      <c r="CG158" s="210"/>
      <c r="CH158" s="210"/>
      <c r="CI158" s="210"/>
      <c r="CJ158" s="210"/>
      <c r="CK158" s="210"/>
    </row>
    <row r="159">
      <c r="A159" s="222" t="s">
        <v>699</v>
      </c>
      <c r="B159" s="190" t="s">
        <v>700</v>
      </c>
      <c r="C159" s="223" t="s">
        <v>65</v>
      </c>
      <c r="D159" s="223" t="s">
        <v>858</v>
      </c>
      <c r="E159" s="190" t="s">
        <v>22</v>
      </c>
      <c r="F159" s="13" t="s">
        <v>932</v>
      </c>
      <c r="G159" s="13" t="s">
        <v>932</v>
      </c>
      <c r="H159" s="219">
        <f>IFERROR(
  MINIFS(ATTENDANCE_LOG!$F:$F,
         ATTENDANCE_LOG!$A:$A, C159,
         ATTENDANCE_LOG!$B:$B, E159),
"")</f>
        <v>45839.375</v>
      </c>
      <c r="I159" s="219">
        <f t="shared" si="2"/>
        <v>45637.375</v>
      </c>
      <c r="J159" s="190">
        <f>IFERROR(VLOOKUP(F159, LEVEL_HELPER!$A:$B, 2, 0), "")</f>
        <v>4.5</v>
      </c>
      <c r="K159" s="190">
        <f>IFERROR(VLOOKUP(G159, LEVEL_HELPER!$A:$B, 2, 0), "")</f>
        <v>4.5</v>
      </c>
      <c r="L159" s="220" t="s">
        <v>919</v>
      </c>
      <c r="M159" s="220" t="s">
        <v>923</v>
      </c>
      <c r="N159" s="190">
        <f t="array" ref="N159">IFERROR(
  INDEX($J$2:$J$543,
    MATCH(A159&amp;TEXT(I159,"yyyy-mm-dd"),
          $A$2:$A$543&amp;TEXT($H$2:$H$543,"yyyy-mm-dd"),
          0)),
"")</f>
        <v>2.5</v>
      </c>
      <c r="O159" s="210">
        <f t="shared" si="3"/>
        <v>4.5</v>
      </c>
      <c r="P159" s="210">
        <f t="shared" ref="P159:Q159" si="169">IF(N159="",0,IF(N159&lt;=2,1,IF(N159&lt;=4,2,IF(N159&lt;=5.5,3,4))))</f>
        <v>2</v>
      </c>
      <c r="Q159" s="210">
        <f t="shared" si="169"/>
        <v>3</v>
      </c>
      <c r="R159" s="210" t="str">
        <f t="shared" si="5"/>
        <v>Lv2 → Lv3</v>
      </c>
      <c r="S159" s="210">
        <f t="shared" si="6"/>
        <v>0</v>
      </c>
      <c r="T159" s="210"/>
      <c r="U159" s="210"/>
      <c r="V159" s="211" t="s">
        <v>440</v>
      </c>
      <c r="W159" s="210" t="str">
        <f t="shared" si="7"/>
        <v>DEV</v>
      </c>
      <c r="X159" s="210" t="str">
        <f t="shared" si="8"/>
        <v>DEV, TA</v>
      </c>
      <c r="Y159" s="210" t="str">
        <f t="shared" si="9"/>
        <v>LBU</v>
      </c>
      <c r="Z159" s="210"/>
      <c r="AA159" s="210"/>
      <c r="AB159" s="210"/>
      <c r="AC159" s="210"/>
      <c r="AD159" s="210"/>
      <c r="AE159" s="210"/>
      <c r="AF159" s="210"/>
      <c r="AG159" s="210"/>
      <c r="AH159" s="210"/>
      <c r="AI159" s="210"/>
      <c r="AJ159" s="210"/>
      <c r="AK159" s="210"/>
      <c r="AL159" s="210"/>
      <c r="AM159" s="214"/>
      <c r="AN159" s="210"/>
      <c r="AO159" s="210" t="str">
        <f t="shared" si="10"/>
        <v>#N/A</v>
      </c>
      <c r="AP159" s="210" t="str">
        <f t="shared" si="11"/>
        <v>#N/A</v>
      </c>
      <c r="AQ159" s="210" t="str">
        <f t="shared" si="12"/>
        <v>#N/A</v>
      </c>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c r="BU159" s="210"/>
      <c r="BV159" s="210"/>
      <c r="BW159" s="210"/>
      <c r="BX159" s="210"/>
      <c r="BY159" s="210"/>
      <c r="BZ159" s="210"/>
      <c r="CA159" s="210"/>
      <c r="CB159" s="210"/>
      <c r="CC159" s="210"/>
      <c r="CD159" s="210"/>
      <c r="CE159" s="210"/>
      <c r="CF159" s="210"/>
      <c r="CG159" s="210"/>
      <c r="CH159" s="210"/>
      <c r="CI159" s="210"/>
      <c r="CJ159" s="210"/>
      <c r="CK159" s="210"/>
    </row>
    <row r="160">
      <c r="A160" s="216" t="s">
        <v>346</v>
      </c>
      <c r="B160" s="217" t="s">
        <v>347</v>
      </c>
      <c r="C160" s="218" t="s">
        <v>66</v>
      </c>
      <c r="D160" s="218" t="s">
        <v>859</v>
      </c>
      <c r="E160" s="217" t="s">
        <v>21</v>
      </c>
      <c r="F160" s="190"/>
      <c r="G160" s="190"/>
      <c r="H160" s="219">
        <f>IFERROR(
  MINIFS(ATTENDANCE_LOG!$F:$F,
         ATTENDANCE_LOG!$A:$A, C160,
         ATTENDANCE_LOG!$B:$B, E160),
"")</f>
        <v>45693.45833</v>
      </c>
      <c r="I160" s="219">
        <f t="shared" si="2"/>
        <v>45693.45833</v>
      </c>
      <c r="J160" s="190" t="str">
        <f>IFERROR(VLOOKUP(F160, LEVEL_HELPER!$A:$B, 2, 0), "")</f>
        <v/>
      </c>
      <c r="K160" s="190" t="str">
        <f>IFERROR(VLOOKUP(G160, LEVEL_HELPER!$A:$B, 2, 0), "")</f>
        <v/>
      </c>
      <c r="L160" s="220" t="s">
        <v>947</v>
      </c>
      <c r="M160" s="220" t="s">
        <v>926</v>
      </c>
      <c r="N160" s="190" t="str">
        <f t="array" ref="N160">IFERROR(
  INDEX($J$2:$J$543,
    MATCH(A160&amp;TEXT(I160,"yyyy-mm-dd"),
          $A$2:$A$543&amp;TEXT($H$2:$H$543,"yyyy-mm-dd"),
          0)),
"")</f>
        <v/>
      </c>
      <c r="O160" s="210">
        <f t="shared" si="3"/>
        <v>0</v>
      </c>
      <c r="P160" s="210">
        <f t="shared" ref="P160:Q160" si="170">IF(N160="",0,IF(N160&lt;=2,1,IF(N160&lt;=4,2,IF(N160&lt;=5.5,3,4))))</f>
        <v>0</v>
      </c>
      <c r="Q160" s="210">
        <f t="shared" si="170"/>
        <v>1</v>
      </c>
      <c r="R160" s="210" t="str">
        <f t="shared" si="5"/>
        <v>Not tested yet</v>
      </c>
      <c r="S160" s="210">
        <f t="shared" si="6"/>
        <v>1</v>
      </c>
      <c r="T160" s="210"/>
      <c r="U160" s="210"/>
      <c r="V160" s="211" t="s">
        <v>520</v>
      </c>
      <c r="W160" s="210" t="str">
        <f t="shared" si="7"/>
        <v>DEV</v>
      </c>
      <c r="X160" s="210" t="str">
        <f t="shared" si="8"/>
        <v>DEV, TA</v>
      </c>
      <c r="Y160" s="210" t="str">
        <f t="shared" si="9"/>
        <v>LBU</v>
      </c>
      <c r="Z160" s="210"/>
      <c r="AA160" s="210"/>
      <c r="AB160" s="210"/>
      <c r="AC160" s="210"/>
      <c r="AD160" s="210"/>
      <c r="AE160" s="210"/>
      <c r="AF160" s="210"/>
      <c r="AG160" s="210"/>
      <c r="AH160" s="210"/>
      <c r="AI160" s="210"/>
      <c r="AJ160" s="210"/>
      <c r="AK160" s="210"/>
      <c r="AL160" s="210"/>
      <c r="AM160" s="214"/>
      <c r="AN160" s="210"/>
      <c r="AO160" s="210" t="str">
        <f t="shared" si="10"/>
        <v>#N/A</v>
      </c>
      <c r="AP160" s="210" t="str">
        <f t="shared" si="11"/>
        <v>#N/A</v>
      </c>
      <c r="AQ160" s="210" t="str">
        <f t="shared" si="12"/>
        <v>#N/A</v>
      </c>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c r="BU160" s="210"/>
      <c r="BV160" s="210"/>
      <c r="BW160" s="210"/>
      <c r="BX160" s="210"/>
      <c r="BY160" s="210"/>
      <c r="BZ160" s="210"/>
      <c r="CA160" s="210"/>
      <c r="CB160" s="210"/>
      <c r="CC160" s="210"/>
      <c r="CD160" s="210"/>
      <c r="CE160" s="210"/>
      <c r="CF160" s="210"/>
      <c r="CG160" s="210"/>
      <c r="CH160" s="210"/>
      <c r="CI160" s="210"/>
      <c r="CJ160" s="210"/>
      <c r="CK160" s="210"/>
    </row>
    <row r="161">
      <c r="A161" s="222" t="s">
        <v>514</v>
      </c>
      <c r="B161" s="190" t="s">
        <v>515</v>
      </c>
      <c r="C161" s="223" t="s">
        <v>66</v>
      </c>
      <c r="D161" s="223" t="s">
        <v>859</v>
      </c>
      <c r="E161" s="190" t="s">
        <v>21</v>
      </c>
      <c r="F161" s="190"/>
      <c r="G161" s="190"/>
      <c r="H161" s="219">
        <f>IFERROR(
  MINIFS(ATTENDANCE_LOG!$F:$F,
         ATTENDANCE_LOG!$A:$A, C161,
         ATTENDANCE_LOG!$B:$B, E161),
"")</f>
        <v>45693.45833</v>
      </c>
      <c r="I161" s="219">
        <f t="shared" si="2"/>
        <v>45693.45833</v>
      </c>
      <c r="J161" s="190" t="str">
        <f>IFERROR(VLOOKUP(F161, LEVEL_HELPER!$A:$B, 2, 0), "")</f>
        <v/>
      </c>
      <c r="K161" s="190" t="str">
        <f>IFERROR(VLOOKUP(G161, LEVEL_HELPER!$A:$B, 2, 0), "")</f>
        <v/>
      </c>
      <c r="L161" s="220" t="s">
        <v>943</v>
      </c>
      <c r="M161" s="220" t="s">
        <v>926</v>
      </c>
      <c r="N161" s="190" t="str">
        <f t="array" ref="N161">IFERROR(
  INDEX($J$2:$J$543,
    MATCH(A161&amp;TEXT(I161,"yyyy-mm-dd"),
          $A$2:$A$543&amp;TEXT($H$2:$H$543,"yyyy-mm-dd"),
          0)),
"")</f>
        <v/>
      </c>
      <c r="O161" s="210">
        <f t="shared" si="3"/>
        <v>0</v>
      </c>
      <c r="P161" s="210">
        <f t="shared" ref="P161:Q161" si="171">IF(N161="",0,IF(N161&lt;=2,1,IF(N161&lt;=4,2,IF(N161&lt;=5.5,3,4))))</f>
        <v>0</v>
      </c>
      <c r="Q161" s="210">
        <f t="shared" si="171"/>
        <v>1</v>
      </c>
      <c r="R161" s="210" t="str">
        <f t="shared" si="5"/>
        <v>Not tested yet</v>
      </c>
      <c r="S161" s="210">
        <f t="shared" si="6"/>
        <v>1</v>
      </c>
      <c r="T161" s="210"/>
      <c r="U161" s="210"/>
      <c r="V161" s="211" t="s">
        <v>595</v>
      </c>
      <c r="W161" s="210" t="str">
        <f t="shared" si="7"/>
        <v>DEV</v>
      </c>
      <c r="X161" s="210" t="str">
        <f t="shared" si="8"/>
        <v>DEV, TA</v>
      </c>
      <c r="Y161" s="210" t="str">
        <f t="shared" si="9"/>
        <v>LBU</v>
      </c>
      <c r="Z161" s="210"/>
      <c r="AA161" s="210"/>
      <c r="AB161" s="210"/>
      <c r="AC161" s="210"/>
      <c r="AD161" s="210"/>
      <c r="AE161" s="210"/>
      <c r="AF161" s="210"/>
      <c r="AG161" s="210"/>
      <c r="AH161" s="210"/>
      <c r="AI161" s="210"/>
      <c r="AJ161" s="210"/>
      <c r="AK161" s="210"/>
      <c r="AL161" s="210"/>
      <c r="AM161" s="214"/>
      <c r="AN161" s="210"/>
      <c r="AO161" s="210" t="str">
        <f t="shared" si="10"/>
        <v>#N/A</v>
      </c>
      <c r="AP161" s="210" t="str">
        <f t="shared" si="11"/>
        <v>#N/A</v>
      </c>
      <c r="AQ161" s="210" t="str">
        <f t="shared" si="12"/>
        <v>#N/A</v>
      </c>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c r="BU161" s="210"/>
      <c r="BV161" s="210"/>
      <c r="BW161" s="210"/>
      <c r="BX161" s="210"/>
      <c r="BY161" s="210"/>
      <c r="BZ161" s="210"/>
      <c r="CA161" s="210"/>
      <c r="CB161" s="210"/>
      <c r="CC161" s="210"/>
      <c r="CD161" s="210"/>
      <c r="CE161" s="210"/>
      <c r="CF161" s="210"/>
      <c r="CG161" s="210"/>
      <c r="CH161" s="210"/>
      <c r="CI161" s="210"/>
      <c r="CJ161" s="210"/>
      <c r="CK161" s="210"/>
    </row>
    <row r="162">
      <c r="A162" s="222" t="s">
        <v>518</v>
      </c>
      <c r="B162" s="190" t="s">
        <v>519</v>
      </c>
      <c r="C162" s="223" t="s">
        <v>66</v>
      </c>
      <c r="D162" s="223" t="s">
        <v>859</v>
      </c>
      <c r="E162" s="190" t="s">
        <v>21</v>
      </c>
      <c r="F162" s="190"/>
      <c r="G162" s="190"/>
      <c r="H162" s="219">
        <f>IFERROR(
  MINIFS(ATTENDANCE_LOG!$F:$F,
         ATTENDANCE_LOG!$A:$A, C162,
         ATTENDANCE_LOG!$B:$B, E162),
"")</f>
        <v>45693.45833</v>
      </c>
      <c r="I162" s="219">
        <f t="shared" si="2"/>
        <v>45693.45833</v>
      </c>
      <c r="J162" s="190" t="str">
        <f>IFERROR(VLOOKUP(F162, LEVEL_HELPER!$A:$B, 2, 0), "")</f>
        <v/>
      </c>
      <c r="K162" s="190" t="str">
        <f>IFERROR(VLOOKUP(G162, LEVEL_HELPER!$A:$B, 2, 0), "")</f>
        <v/>
      </c>
      <c r="L162" s="220" t="s">
        <v>943</v>
      </c>
      <c r="M162" s="220" t="s">
        <v>926</v>
      </c>
      <c r="N162" s="190" t="str">
        <f t="array" ref="N162">IFERROR(
  INDEX($J$2:$J$543,
    MATCH(A162&amp;TEXT(I162,"yyyy-mm-dd"),
          $A$2:$A$543&amp;TEXT($H$2:$H$543,"yyyy-mm-dd"),
          0)),
"")</f>
        <v/>
      </c>
      <c r="O162" s="210">
        <f t="shared" si="3"/>
        <v>0</v>
      </c>
      <c r="P162" s="210">
        <f t="shared" ref="P162:Q162" si="172">IF(N162="",0,IF(N162&lt;=2,1,IF(N162&lt;=4,2,IF(N162&lt;=5.5,3,4))))</f>
        <v>0</v>
      </c>
      <c r="Q162" s="210">
        <f t="shared" si="172"/>
        <v>1</v>
      </c>
      <c r="R162" s="210" t="str">
        <f t="shared" si="5"/>
        <v>Not tested yet</v>
      </c>
      <c r="S162" s="210">
        <f t="shared" si="6"/>
        <v>1</v>
      </c>
      <c r="T162" s="210"/>
      <c r="U162" s="210"/>
      <c r="V162" s="211" t="s">
        <v>615</v>
      </c>
      <c r="W162" s="210" t="str">
        <f t="shared" si="7"/>
        <v>QC</v>
      </c>
      <c r="X162" s="210" t="str">
        <f t="shared" si="8"/>
        <v>QC</v>
      </c>
      <c r="Y162" s="210" t="str">
        <f t="shared" si="9"/>
        <v>LBU</v>
      </c>
      <c r="Z162" s="210"/>
      <c r="AA162" s="210"/>
      <c r="AB162" s="210"/>
      <c r="AC162" s="210"/>
      <c r="AD162" s="210"/>
      <c r="AE162" s="210"/>
      <c r="AF162" s="210"/>
      <c r="AG162" s="210"/>
      <c r="AH162" s="210"/>
      <c r="AI162" s="210"/>
      <c r="AJ162" s="210"/>
      <c r="AK162" s="210"/>
      <c r="AL162" s="210"/>
      <c r="AM162" s="214"/>
      <c r="AN162" s="210"/>
      <c r="AO162" s="210" t="str">
        <f t="shared" si="10"/>
        <v>#N/A</v>
      </c>
      <c r="AP162" s="210" t="str">
        <f t="shared" si="11"/>
        <v>#N/A</v>
      </c>
      <c r="AQ162" s="210" t="str">
        <f t="shared" si="12"/>
        <v>#N/A</v>
      </c>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c r="BU162" s="210"/>
      <c r="BV162" s="210"/>
      <c r="BW162" s="210"/>
      <c r="BX162" s="210"/>
      <c r="BY162" s="210"/>
      <c r="BZ162" s="210"/>
      <c r="CA162" s="210"/>
      <c r="CB162" s="210"/>
      <c r="CC162" s="210"/>
      <c r="CD162" s="210"/>
      <c r="CE162" s="210"/>
      <c r="CF162" s="210"/>
      <c r="CG162" s="210"/>
      <c r="CH162" s="210"/>
      <c r="CI162" s="210"/>
      <c r="CJ162" s="210"/>
      <c r="CK162" s="210"/>
    </row>
    <row r="163">
      <c r="A163" s="222" t="s">
        <v>522</v>
      </c>
      <c r="B163" s="190" t="s">
        <v>523</v>
      </c>
      <c r="C163" s="223" t="s">
        <v>66</v>
      </c>
      <c r="D163" s="223" t="s">
        <v>859</v>
      </c>
      <c r="E163" s="190" t="s">
        <v>21</v>
      </c>
      <c r="F163" s="190"/>
      <c r="G163" s="190"/>
      <c r="H163" s="219">
        <f>IFERROR(
  MINIFS(ATTENDANCE_LOG!$F:$F,
         ATTENDANCE_LOG!$A:$A, C163,
         ATTENDANCE_LOG!$B:$B, E163),
"")</f>
        <v>45693.45833</v>
      </c>
      <c r="I163" s="219">
        <f t="shared" si="2"/>
        <v>45693.45833</v>
      </c>
      <c r="J163" s="190" t="str">
        <f>IFERROR(VLOOKUP(F163, LEVEL_HELPER!$A:$B, 2, 0), "")</f>
        <v/>
      </c>
      <c r="K163" s="190" t="str">
        <f>IFERROR(VLOOKUP(G163, LEVEL_HELPER!$A:$B, 2, 0), "")</f>
        <v/>
      </c>
      <c r="L163" s="220" t="s">
        <v>943</v>
      </c>
      <c r="M163" s="220" t="s">
        <v>926</v>
      </c>
      <c r="N163" s="190" t="str">
        <f t="array" ref="N163">IFERROR(
  INDEX($J$2:$J$543,
    MATCH(A163&amp;TEXT(I163,"yyyy-mm-dd"),
          $A$2:$A$543&amp;TEXT($H$2:$H$543,"yyyy-mm-dd"),
          0)),
"")</f>
        <v/>
      </c>
      <c r="O163" s="210">
        <f t="shared" si="3"/>
        <v>0</v>
      </c>
      <c r="P163" s="210">
        <f t="shared" ref="P163:Q163" si="173">IF(N163="",0,IF(N163&lt;=2,1,IF(N163&lt;=4,2,IF(N163&lt;=5.5,3,4))))</f>
        <v>0</v>
      </c>
      <c r="Q163" s="210">
        <f t="shared" si="173"/>
        <v>1</v>
      </c>
      <c r="R163" s="210" t="str">
        <f t="shared" si="5"/>
        <v>Not tested yet</v>
      </c>
      <c r="S163" s="210">
        <f t="shared" si="6"/>
        <v>1</v>
      </c>
      <c r="T163" s="210"/>
      <c r="U163" s="210"/>
      <c r="V163" s="211" t="s">
        <v>685</v>
      </c>
      <c r="W163" s="210" t="str">
        <f t="shared" si="7"/>
        <v>DEV</v>
      </c>
      <c r="X163" s="210" t="str">
        <f t="shared" si="8"/>
        <v>DEV, TA</v>
      </c>
      <c r="Y163" s="210" t="str">
        <f t="shared" si="9"/>
        <v>LBU</v>
      </c>
      <c r="Z163" s="210"/>
      <c r="AA163" s="210"/>
      <c r="AB163" s="210"/>
      <c r="AC163" s="210"/>
      <c r="AD163" s="210"/>
      <c r="AE163" s="210"/>
      <c r="AF163" s="210"/>
      <c r="AG163" s="210"/>
      <c r="AH163" s="210"/>
      <c r="AI163" s="210"/>
      <c r="AJ163" s="210"/>
      <c r="AK163" s="210"/>
      <c r="AL163" s="210"/>
      <c r="AM163" s="214"/>
      <c r="AN163" s="210"/>
      <c r="AO163" s="210" t="str">
        <f t="shared" si="10"/>
        <v>#N/A</v>
      </c>
      <c r="AP163" s="210" t="str">
        <f t="shared" si="11"/>
        <v>#N/A</v>
      </c>
      <c r="AQ163" s="210" t="str">
        <f t="shared" si="12"/>
        <v>#N/A</v>
      </c>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c r="BU163" s="210"/>
      <c r="BV163" s="210"/>
      <c r="BW163" s="210"/>
      <c r="BX163" s="210"/>
      <c r="BY163" s="210"/>
      <c r="BZ163" s="210"/>
      <c r="CA163" s="210"/>
      <c r="CB163" s="210"/>
      <c r="CC163" s="210"/>
      <c r="CD163" s="210"/>
      <c r="CE163" s="210"/>
      <c r="CF163" s="210"/>
      <c r="CG163" s="210"/>
      <c r="CH163" s="210"/>
      <c r="CI163" s="210"/>
      <c r="CJ163" s="210"/>
      <c r="CK163" s="210"/>
    </row>
    <row r="164">
      <c r="A164" s="222" t="s">
        <v>589</v>
      </c>
      <c r="B164" s="190" t="s">
        <v>590</v>
      </c>
      <c r="C164" s="223" t="s">
        <v>66</v>
      </c>
      <c r="D164" s="223" t="s">
        <v>859</v>
      </c>
      <c r="E164" s="190" t="s">
        <v>21</v>
      </c>
      <c r="F164" s="190"/>
      <c r="G164" s="190"/>
      <c r="H164" s="219">
        <f>IFERROR(
  MINIFS(ATTENDANCE_LOG!$F:$F,
         ATTENDANCE_LOG!$A:$A, C164,
         ATTENDANCE_LOG!$B:$B, E164),
"")</f>
        <v>45693.45833</v>
      </c>
      <c r="I164" s="219">
        <f t="shared" si="2"/>
        <v>45693.45833</v>
      </c>
      <c r="J164" s="190" t="str">
        <f>IFERROR(VLOOKUP(F164, LEVEL_HELPER!$A:$B, 2, 0), "")</f>
        <v/>
      </c>
      <c r="K164" s="190" t="str">
        <f>IFERROR(VLOOKUP(G164, LEVEL_HELPER!$A:$B, 2, 0), "")</f>
        <v/>
      </c>
      <c r="L164" s="220" t="s">
        <v>943</v>
      </c>
      <c r="M164" s="220" t="s">
        <v>926</v>
      </c>
      <c r="N164" s="190" t="str">
        <f t="array" ref="N164">IFERROR(
  INDEX($J$2:$J$543,
    MATCH(A164&amp;TEXT(I164,"yyyy-mm-dd"),
          $A$2:$A$543&amp;TEXT($H$2:$H$543,"yyyy-mm-dd"),
          0)),
"")</f>
        <v/>
      </c>
      <c r="O164" s="210">
        <f t="shared" si="3"/>
        <v>0</v>
      </c>
      <c r="P164" s="210">
        <f t="shared" ref="P164:Q164" si="174">IF(N164="",0,IF(N164&lt;=2,1,IF(N164&lt;=4,2,IF(N164&lt;=5.5,3,4))))</f>
        <v>0</v>
      </c>
      <c r="Q164" s="210">
        <f t="shared" si="174"/>
        <v>1</v>
      </c>
      <c r="R164" s="210" t="str">
        <f t="shared" si="5"/>
        <v>Not tested yet</v>
      </c>
      <c r="S164" s="210">
        <f t="shared" si="6"/>
        <v>1</v>
      </c>
      <c r="T164" s="210"/>
      <c r="U164" s="210"/>
      <c r="V164" s="211" t="s">
        <v>709</v>
      </c>
      <c r="W164" s="210" t="str">
        <f t="shared" si="7"/>
        <v>DEV</v>
      </c>
      <c r="X164" s="210" t="str">
        <f t="shared" si="8"/>
        <v>DEV, TA</v>
      </c>
      <c r="Y164" s="210" t="str">
        <f t="shared" si="9"/>
        <v>LBU</v>
      </c>
      <c r="Z164" s="210"/>
      <c r="AA164" s="210"/>
      <c r="AB164" s="210"/>
      <c r="AC164" s="210"/>
      <c r="AD164" s="210"/>
      <c r="AE164" s="210"/>
      <c r="AF164" s="210"/>
      <c r="AG164" s="210"/>
      <c r="AH164" s="210"/>
      <c r="AI164" s="210"/>
      <c r="AJ164" s="210"/>
      <c r="AK164" s="210"/>
      <c r="AL164" s="210"/>
      <c r="AM164" s="214"/>
      <c r="AN164" s="210"/>
      <c r="AO164" s="210" t="str">
        <f t="shared" si="10"/>
        <v>#N/A</v>
      </c>
      <c r="AP164" s="210" t="str">
        <f t="shared" si="11"/>
        <v>#N/A</v>
      </c>
      <c r="AQ164" s="210" t="str">
        <f t="shared" si="12"/>
        <v>#N/A</v>
      </c>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c r="BU164" s="210"/>
      <c r="BV164" s="210"/>
      <c r="BW164" s="210"/>
      <c r="BX164" s="210"/>
      <c r="BY164" s="210"/>
      <c r="BZ164" s="210"/>
      <c r="CA164" s="210"/>
      <c r="CB164" s="210"/>
      <c r="CC164" s="210"/>
      <c r="CD164" s="210"/>
      <c r="CE164" s="210"/>
      <c r="CF164" s="210"/>
      <c r="CG164" s="210"/>
      <c r="CH164" s="210"/>
      <c r="CI164" s="210"/>
      <c r="CJ164" s="210"/>
      <c r="CK164" s="210"/>
    </row>
    <row r="165">
      <c r="A165" s="222" t="s">
        <v>645</v>
      </c>
      <c r="B165" s="190" t="s">
        <v>646</v>
      </c>
      <c r="C165" s="223" t="s">
        <v>66</v>
      </c>
      <c r="D165" s="223" t="s">
        <v>859</v>
      </c>
      <c r="E165" s="190" t="s">
        <v>21</v>
      </c>
      <c r="F165" s="190"/>
      <c r="G165" s="190"/>
      <c r="H165" s="219">
        <f>IFERROR(
  MINIFS(ATTENDANCE_LOG!$F:$F,
         ATTENDANCE_LOG!$A:$A, C165,
         ATTENDANCE_LOG!$B:$B, E165),
"")</f>
        <v>45693.45833</v>
      </c>
      <c r="I165" s="219">
        <f t="shared" si="2"/>
        <v>45693.45833</v>
      </c>
      <c r="J165" s="190" t="str">
        <f>IFERROR(VLOOKUP(F165, LEVEL_HELPER!$A:$B, 2, 0), "")</f>
        <v/>
      </c>
      <c r="K165" s="190" t="str">
        <f>IFERROR(VLOOKUP(G165, LEVEL_HELPER!$A:$B, 2, 0), "")</f>
        <v/>
      </c>
      <c r="L165" s="220" t="s">
        <v>943</v>
      </c>
      <c r="M165" s="220" t="s">
        <v>926</v>
      </c>
      <c r="N165" s="190" t="str">
        <f t="array" ref="N165">IFERROR(
  INDEX($J$2:$J$543,
    MATCH(A165&amp;TEXT(I165,"yyyy-mm-dd"),
          $A$2:$A$543&amp;TEXT($H$2:$H$543,"yyyy-mm-dd"),
          0)),
"")</f>
        <v/>
      </c>
      <c r="O165" s="210">
        <f t="shared" si="3"/>
        <v>0</v>
      </c>
      <c r="P165" s="210">
        <f t="shared" ref="P165:Q165" si="175">IF(N165="",0,IF(N165&lt;=2,1,IF(N165&lt;=4,2,IF(N165&lt;=5.5,3,4))))</f>
        <v>0</v>
      </c>
      <c r="Q165" s="210">
        <f t="shared" si="175"/>
        <v>1</v>
      </c>
      <c r="R165" s="210" t="str">
        <f t="shared" si="5"/>
        <v>Not tested yet</v>
      </c>
      <c r="S165" s="210">
        <f t="shared" si="6"/>
        <v>1</v>
      </c>
      <c r="T165" s="210"/>
      <c r="U165" s="210"/>
      <c r="V165" s="211" t="s">
        <v>421</v>
      </c>
      <c r="W165" s="210" t="str">
        <f t="shared" si="7"/>
        <v>GSD</v>
      </c>
      <c r="X165" s="210" t="str">
        <f t="shared" si="8"/>
        <v>GSD</v>
      </c>
      <c r="Y165" s="210" t="str">
        <f t="shared" si="9"/>
        <v>LBU</v>
      </c>
      <c r="Z165" s="210"/>
      <c r="AA165" s="210"/>
      <c r="AB165" s="210"/>
      <c r="AC165" s="210"/>
      <c r="AD165" s="210"/>
      <c r="AE165" s="210"/>
      <c r="AF165" s="210"/>
      <c r="AG165" s="210"/>
      <c r="AH165" s="210"/>
      <c r="AI165" s="210"/>
      <c r="AJ165" s="210"/>
      <c r="AK165" s="210"/>
      <c r="AL165" s="210"/>
      <c r="AM165" s="214"/>
      <c r="AN165" s="210"/>
      <c r="AO165" s="210" t="str">
        <f t="shared" si="10"/>
        <v>#N/A</v>
      </c>
      <c r="AP165" s="210" t="str">
        <f t="shared" si="11"/>
        <v>#N/A</v>
      </c>
      <c r="AQ165" s="210" t="str">
        <f t="shared" si="12"/>
        <v>#N/A</v>
      </c>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c r="BU165" s="210"/>
      <c r="BV165" s="210"/>
      <c r="BW165" s="210"/>
      <c r="BX165" s="210"/>
      <c r="BY165" s="210"/>
      <c r="BZ165" s="210"/>
      <c r="CA165" s="210"/>
      <c r="CB165" s="210"/>
      <c r="CC165" s="210"/>
      <c r="CD165" s="210"/>
      <c r="CE165" s="210"/>
      <c r="CF165" s="210"/>
      <c r="CG165" s="210"/>
      <c r="CH165" s="210"/>
      <c r="CI165" s="210"/>
      <c r="CJ165" s="210"/>
      <c r="CK165" s="210"/>
    </row>
    <row r="166">
      <c r="A166" s="216" t="s">
        <v>142</v>
      </c>
      <c r="B166" s="217" t="s">
        <v>143</v>
      </c>
      <c r="C166" s="218" t="s">
        <v>67</v>
      </c>
      <c r="D166" s="218" t="s">
        <v>860</v>
      </c>
      <c r="E166" s="217" t="s">
        <v>21</v>
      </c>
      <c r="F166" s="13" t="s">
        <v>917</v>
      </c>
      <c r="G166" s="13" t="s">
        <v>917</v>
      </c>
      <c r="H166" s="219">
        <f>IFERROR(
  MINIFS(ATTENDANCE_LOG!$F:$F,
         ATTENDANCE_LOG!$A:$A, C166,
         ATTENDANCE_LOG!$B:$B, E166),
"")</f>
        <v>45639.45833</v>
      </c>
      <c r="I166" s="219">
        <f t="shared" si="2"/>
        <v>45639.45833</v>
      </c>
      <c r="J166" s="190">
        <f>IFERROR(VLOOKUP(F166, LEVEL_HELPER!$A:$B, 2, 0), "")</f>
        <v>2.5</v>
      </c>
      <c r="K166" s="190">
        <f>IFERROR(VLOOKUP(G166, LEVEL_HELPER!$A:$B, 2, 0), "")</f>
        <v>2.5</v>
      </c>
      <c r="L166" s="229" t="s">
        <v>948</v>
      </c>
      <c r="M166" s="220" t="s">
        <v>921</v>
      </c>
      <c r="N166" s="190">
        <f t="array" ref="N166">IFERROR(
  INDEX($J$2:$J$543,
    MATCH(A166&amp;TEXT(I166,"yyyy-mm-dd"),
          $A$2:$A$543&amp;TEXT($H$2:$H$543,"yyyy-mm-dd"),
          0)),
"")</f>
        <v>2.5</v>
      </c>
      <c r="O166" s="210">
        <f t="shared" si="3"/>
        <v>2.5</v>
      </c>
      <c r="P166" s="210">
        <f t="shared" ref="P166:Q166" si="176">IF(N166="",0,IF(N166&lt;=2,1,IF(N166&lt;=4,2,IF(N166&lt;=5.5,3,4))))</f>
        <v>2</v>
      </c>
      <c r="Q166" s="210">
        <f t="shared" si="176"/>
        <v>2</v>
      </c>
      <c r="R166" s="210" t="str">
        <f t="shared" si="5"/>
        <v>No Progress</v>
      </c>
      <c r="S166" s="210">
        <f t="shared" si="6"/>
        <v>1</v>
      </c>
      <c r="T166" s="210"/>
      <c r="U166" s="210"/>
      <c r="V166" s="211" t="s">
        <v>147</v>
      </c>
      <c r="W166" s="210" t="str">
        <f t="shared" si="7"/>
        <v>GSD</v>
      </c>
      <c r="X166" s="210" t="str">
        <f t="shared" si="8"/>
        <v>GSD</v>
      </c>
      <c r="Y166" s="210" t="str">
        <f t="shared" si="9"/>
        <v>LBU</v>
      </c>
      <c r="Z166" s="210"/>
      <c r="AA166" s="210"/>
      <c r="AB166" s="210"/>
      <c r="AC166" s="210"/>
      <c r="AD166" s="210"/>
      <c r="AE166" s="210"/>
      <c r="AF166" s="210"/>
      <c r="AG166" s="210"/>
      <c r="AH166" s="210"/>
      <c r="AI166" s="210"/>
      <c r="AJ166" s="210"/>
      <c r="AK166" s="210"/>
      <c r="AL166" s="210"/>
      <c r="AM166" s="214"/>
      <c r="AN166" s="210"/>
      <c r="AO166" s="210" t="str">
        <f t="shared" si="10"/>
        <v>#N/A</v>
      </c>
      <c r="AP166" s="210" t="str">
        <f t="shared" si="11"/>
        <v>#N/A</v>
      </c>
      <c r="AQ166" s="210" t="str">
        <f t="shared" si="12"/>
        <v>#N/A</v>
      </c>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c r="BU166" s="210"/>
      <c r="BV166" s="210"/>
      <c r="BW166" s="210"/>
      <c r="BX166" s="210"/>
      <c r="BY166" s="210"/>
      <c r="BZ166" s="210"/>
      <c r="CA166" s="210"/>
      <c r="CB166" s="210"/>
      <c r="CC166" s="210"/>
      <c r="CD166" s="210"/>
      <c r="CE166" s="210"/>
      <c r="CF166" s="210"/>
      <c r="CG166" s="210"/>
      <c r="CH166" s="210"/>
      <c r="CI166" s="210"/>
      <c r="CJ166" s="210"/>
      <c r="CK166" s="210"/>
    </row>
    <row r="167">
      <c r="A167" s="222" t="s">
        <v>204</v>
      </c>
      <c r="B167" s="190" t="s">
        <v>205</v>
      </c>
      <c r="C167" s="223" t="s">
        <v>67</v>
      </c>
      <c r="D167" s="223" t="s">
        <v>860</v>
      </c>
      <c r="E167" s="190" t="s">
        <v>21</v>
      </c>
      <c r="F167" s="190"/>
      <c r="G167" s="190"/>
      <c r="H167" s="219">
        <f>IFERROR(
  MINIFS(ATTENDANCE_LOG!$F:$F,
         ATTENDANCE_LOG!$A:$A, C167,
         ATTENDANCE_LOG!$B:$B, E167),
"")</f>
        <v>45639.45833</v>
      </c>
      <c r="I167" s="219">
        <f t="shared" si="2"/>
        <v>45639.45833</v>
      </c>
      <c r="J167" s="190" t="str">
        <f>IFERROR(VLOOKUP(F167, LEVEL_HELPER!$A:$B, 2, 0), "")</f>
        <v/>
      </c>
      <c r="K167" s="190" t="str">
        <f>IFERROR(VLOOKUP(G167, LEVEL_HELPER!$A:$B, 2, 0), "")</f>
        <v/>
      </c>
      <c r="L167" s="229" t="s">
        <v>948</v>
      </c>
      <c r="M167" s="220" t="s">
        <v>923</v>
      </c>
      <c r="N167" s="190" t="str">
        <f t="array" ref="N167">IFERROR(
  INDEX($J$2:$J$543,
    MATCH(A167&amp;TEXT(I167,"yyyy-mm-dd"),
          $A$2:$A$543&amp;TEXT($H$2:$H$543,"yyyy-mm-dd"),
          0)),
"")</f>
        <v/>
      </c>
      <c r="O167" s="210">
        <f t="shared" si="3"/>
        <v>0</v>
      </c>
      <c r="P167" s="210">
        <f t="shared" ref="P167:Q167" si="177">IF(N167="",0,IF(N167&lt;=2,1,IF(N167&lt;=4,2,IF(N167&lt;=5.5,3,4))))</f>
        <v>0</v>
      </c>
      <c r="Q167" s="210">
        <f t="shared" si="177"/>
        <v>1</v>
      </c>
      <c r="R167" s="210" t="str">
        <f t="shared" si="5"/>
        <v>Not tested yet</v>
      </c>
      <c r="S167" s="210">
        <f t="shared" si="6"/>
        <v>1</v>
      </c>
      <c r="T167" s="210"/>
      <c r="U167" s="210"/>
      <c r="V167" s="211" t="s">
        <v>255</v>
      </c>
      <c r="W167" s="210" t="str">
        <f t="shared" si="7"/>
        <v>GSD</v>
      </c>
      <c r="X167" s="210" t="str">
        <f t="shared" si="8"/>
        <v>GSD</v>
      </c>
      <c r="Y167" s="210" t="str">
        <f t="shared" si="9"/>
        <v>LBU</v>
      </c>
      <c r="Z167" s="210"/>
      <c r="AA167" s="210"/>
      <c r="AB167" s="210"/>
      <c r="AC167" s="210"/>
      <c r="AD167" s="210"/>
      <c r="AE167" s="210"/>
      <c r="AF167" s="210"/>
      <c r="AG167" s="210"/>
      <c r="AH167" s="210"/>
      <c r="AI167" s="210"/>
      <c r="AJ167" s="210"/>
      <c r="AK167" s="210"/>
      <c r="AL167" s="210"/>
      <c r="AM167" s="214"/>
      <c r="AN167" s="210"/>
      <c r="AO167" s="210" t="str">
        <f t="shared" si="10"/>
        <v>#N/A</v>
      </c>
      <c r="AP167" s="210" t="str">
        <f t="shared" si="11"/>
        <v>#N/A</v>
      </c>
      <c r="AQ167" s="210" t="str">
        <f t="shared" si="12"/>
        <v>#N/A</v>
      </c>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c r="BU167" s="210"/>
      <c r="BV167" s="210"/>
      <c r="BW167" s="210"/>
      <c r="BX167" s="210"/>
      <c r="BY167" s="210"/>
      <c r="BZ167" s="210"/>
      <c r="CA167" s="210"/>
      <c r="CB167" s="210"/>
      <c r="CC167" s="210"/>
      <c r="CD167" s="210"/>
      <c r="CE167" s="210"/>
      <c r="CF167" s="210"/>
      <c r="CG167" s="210"/>
      <c r="CH167" s="210"/>
      <c r="CI167" s="210"/>
      <c r="CJ167" s="210"/>
      <c r="CK167" s="210"/>
    </row>
    <row r="168">
      <c r="A168" s="222" t="s">
        <v>222</v>
      </c>
      <c r="B168" s="190" t="s">
        <v>223</v>
      </c>
      <c r="C168" s="223" t="s">
        <v>67</v>
      </c>
      <c r="D168" s="223" t="s">
        <v>860</v>
      </c>
      <c r="E168" s="190" t="s">
        <v>21</v>
      </c>
      <c r="F168" s="13" t="s">
        <v>927</v>
      </c>
      <c r="G168" s="13" t="s">
        <v>927</v>
      </c>
      <c r="H168" s="219">
        <f>IFERROR(
  MINIFS(ATTENDANCE_LOG!$F:$F,
         ATTENDANCE_LOG!$A:$A, C168,
         ATTENDANCE_LOG!$B:$B, E168),
"")</f>
        <v>45639.45833</v>
      </c>
      <c r="I168" s="219">
        <f t="shared" si="2"/>
        <v>45639.45833</v>
      </c>
      <c r="J168" s="190">
        <f>IFERROR(VLOOKUP(F168, LEVEL_HELPER!$A:$B, 2, 0), "")</f>
        <v>1</v>
      </c>
      <c r="K168" s="190">
        <f>IFERROR(VLOOKUP(G168, LEVEL_HELPER!$A:$B, 2, 0), "")</f>
        <v>1</v>
      </c>
      <c r="L168" s="229" t="s">
        <v>948</v>
      </c>
      <c r="M168" s="220" t="s">
        <v>921</v>
      </c>
      <c r="N168" s="190">
        <f t="array" ref="N168">IFERROR(
  INDEX($J$2:$J$543,
    MATCH(A168&amp;TEXT(I168,"yyyy-mm-dd"),
          $A$2:$A$543&amp;TEXT($H$2:$H$543,"yyyy-mm-dd"),
          0)),
"")</f>
        <v>1</v>
      </c>
      <c r="O168" s="210">
        <f t="shared" si="3"/>
        <v>1</v>
      </c>
      <c r="P168" s="210">
        <f t="shared" ref="P168:Q168" si="178">IF(N168="",0,IF(N168&lt;=2,1,IF(N168&lt;=4,2,IF(N168&lt;=5.5,3,4))))</f>
        <v>1</v>
      </c>
      <c r="Q168" s="210">
        <f t="shared" si="178"/>
        <v>1</v>
      </c>
      <c r="R168" s="210" t="str">
        <f t="shared" si="5"/>
        <v>No Progress</v>
      </c>
      <c r="S168" s="210">
        <f t="shared" si="6"/>
        <v>1</v>
      </c>
      <c r="T168" s="210"/>
      <c r="U168" s="210"/>
      <c r="V168" s="211" t="s">
        <v>273</v>
      </c>
      <c r="W168" s="210" t="str">
        <f t="shared" si="7"/>
        <v>GSD</v>
      </c>
      <c r="X168" s="210" t="str">
        <f t="shared" si="8"/>
        <v>GSD</v>
      </c>
      <c r="Y168" s="210" t="str">
        <f t="shared" si="9"/>
        <v>LBU</v>
      </c>
      <c r="Z168" s="210"/>
      <c r="AA168" s="210"/>
      <c r="AB168" s="210"/>
      <c r="AC168" s="210"/>
      <c r="AD168" s="210"/>
      <c r="AE168" s="210"/>
      <c r="AF168" s="210"/>
      <c r="AG168" s="210"/>
      <c r="AH168" s="210"/>
      <c r="AI168" s="210"/>
      <c r="AJ168" s="210"/>
      <c r="AK168" s="210"/>
      <c r="AL168" s="210"/>
      <c r="AM168" s="214"/>
      <c r="AN168" s="210"/>
      <c r="AO168" s="210" t="str">
        <f t="shared" si="10"/>
        <v>#N/A</v>
      </c>
      <c r="AP168" s="210" t="str">
        <f t="shared" si="11"/>
        <v>#N/A</v>
      </c>
      <c r="AQ168" s="210" t="str">
        <f t="shared" si="12"/>
        <v>#N/A</v>
      </c>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c r="BU168" s="210"/>
      <c r="BV168" s="210"/>
      <c r="BW168" s="210"/>
      <c r="BX168" s="210"/>
      <c r="BY168" s="210"/>
      <c r="BZ168" s="210"/>
      <c r="CA168" s="210"/>
      <c r="CB168" s="210"/>
      <c r="CC168" s="210"/>
      <c r="CD168" s="210"/>
      <c r="CE168" s="210"/>
      <c r="CF168" s="210"/>
      <c r="CG168" s="210"/>
      <c r="CH168" s="210"/>
      <c r="CI168" s="210"/>
      <c r="CJ168" s="210"/>
      <c r="CK168" s="210"/>
    </row>
    <row r="169">
      <c r="A169" s="222" t="s">
        <v>292</v>
      </c>
      <c r="B169" s="190" t="s">
        <v>293</v>
      </c>
      <c r="C169" s="223" t="s">
        <v>67</v>
      </c>
      <c r="D169" s="223" t="s">
        <v>860</v>
      </c>
      <c r="E169" s="190" t="s">
        <v>21</v>
      </c>
      <c r="F169" s="13" t="s">
        <v>927</v>
      </c>
      <c r="G169" s="13" t="s">
        <v>917</v>
      </c>
      <c r="H169" s="219">
        <f>IFERROR(
  MINIFS(ATTENDANCE_LOG!$F:$F,
         ATTENDANCE_LOG!$A:$A, C169,
         ATTENDANCE_LOG!$B:$B, E169),
"")</f>
        <v>45639.45833</v>
      </c>
      <c r="I169" s="219">
        <f t="shared" si="2"/>
        <v>45639.45833</v>
      </c>
      <c r="J169" s="190">
        <f>IFERROR(VLOOKUP(F169, LEVEL_HELPER!$A:$B, 2, 0), "")</f>
        <v>1</v>
      </c>
      <c r="K169" s="190">
        <f>IFERROR(VLOOKUP(G169, LEVEL_HELPER!$A:$B, 2, 0), "")</f>
        <v>2.5</v>
      </c>
      <c r="L169" s="229" t="s">
        <v>948</v>
      </c>
      <c r="M169" s="220" t="s">
        <v>921</v>
      </c>
      <c r="N169" s="190">
        <f t="array" ref="N169">IFERROR(
  INDEX($J$2:$J$543,
    MATCH(A169&amp;TEXT(I169,"yyyy-mm-dd"),
          $A$2:$A$543&amp;TEXT($H$2:$H$543,"yyyy-mm-dd"),
          0)),
"")</f>
        <v>1</v>
      </c>
      <c r="O169" s="210">
        <f t="shared" si="3"/>
        <v>2.5</v>
      </c>
      <c r="P169" s="210">
        <f t="shared" ref="P169:Q169" si="179">IF(N169="",0,IF(N169&lt;=2,1,IF(N169&lt;=4,2,IF(N169&lt;=5.5,3,4))))</f>
        <v>1</v>
      </c>
      <c r="Q169" s="210">
        <f t="shared" si="179"/>
        <v>2</v>
      </c>
      <c r="R169" s="210" t="str">
        <f t="shared" si="5"/>
        <v>Lv1 → Lv2</v>
      </c>
      <c r="S169" s="210">
        <f t="shared" si="6"/>
        <v>1</v>
      </c>
      <c r="T169" s="210"/>
      <c r="U169" s="210"/>
      <c r="V169" s="211" t="s">
        <v>302</v>
      </c>
      <c r="W169" s="210" t="str">
        <f t="shared" si="7"/>
        <v>BA</v>
      </c>
      <c r="X169" s="210" t="str">
        <f t="shared" si="8"/>
        <v>BA, BC</v>
      </c>
      <c r="Y169" s="210" t="str">
        <f t="shared" si="9"/>
        <v>LBU</v>
      </c>
      <c r="Z169" s="210"/>
      <c r="AA169" s="210"/>
      <c r="AB169" s="210"/>
      <c r="AC169" s="210"/>
      <c r="AD169" s="210"/>
      <c r="AE169" s="210"/>
      <c r="AF169" s="210"/>
      <c r="AG169" s="210"/>
      <c r="AH169" s="210"/>
      <c r="AI169" s="210"/>
      <c r="AJ169" s="210"/>
      <c r="AK169" s="210"/>
      <c r="AL169" s="210"/>
      <c r="AM169" s="214"/>
      <c r="AN169" s="210"/>
      <c r="AO169" s="210" t="str">
        <f t="shared" si="10"/>
        <v>#N/A</v>
      </c>
      <c r="AP169" s="210" t="str">
        <f t="shared" si="11"/>
        <v>#N/A</v>
      </c>
      <c r="AQ169" s="210" t="str">
        <f t="shared" si="12"/>
        <v>#N/A</v>
      </c>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c r="BU169" s="210"/>
      <c r="BV169" s="210"/>
      <c r="BW169" s="210"/>
      <c r="BX169" s="210"/>
      <c r="BY169" s="210"/>
      <c r="BZ169" s="210"/>
      <c r="CA169" s="210"/>
      <c r="CB169" s="210"/>
      <c r="CC169" s="210"/>
      <c r="CD169" s="210"/>
      <c r="CE169" s="210"/>
      <c r="CF169" s="210"/>
      <c r="CG169" s="210"/>
      <c r="CH169" s="210"/>
      <c r="CI169" s="210"/>
      <c r="CJ169" s="210"/>
      <c r="CK169" s="210"/>
    </row>
    <row r="170">
      <c r="A170" s="222" t="s">
        <v>348</v>
      </c>
      <c r="B170" s="190" t="s">
        <v>349</v>
      </c>
      <c r="C170" s="223" t="s">
        <v>67</v>
      </c>
      <c r="D170" s="223" t="s">
        <v>860</v>
      </c>
      <c r="E170" s="190" t="s">
        <v>21</v>
      </c>
      <c r="F170" s="13" t="s">
        <v>917</v>
      </c>
      <c r="G170" s="13" t="s">
        <v>932</v>
      </c>
      <c r="H170" s="219">
        <f>IFERROR(
  MINIFS(ATTENDANCE_LOG!$F:$F,
         ATTENDANCE_LOG!$A:$A, C170,
         ATTENDANCE_LOG!$B:$B, E170),
"")</f>
        <v>45639.45833</v>
      </c>
      <c r="I170" s="219">
        <f t="shared" si="2"/>
        <v>45639.45833</v>
      </c>
      <c r="J170" s="190">
        <f>IFERROR(VLOOKUP(F170, LEVEL_HELPER!$A:$B, 2, 0), "")</f>
        <v>2.5</v>
      </c>
      <c r="K170" s="190">
        <f>IFERROR(VLOOKUP(G170, LEVEL_HELPER!$A:$B, 2, 0), "")</f>
        <v>4.5</v>
      </c>
      <c r="L170" s="229" t="s">
        <v>948</v>
      </c>
      <c r="M170" s="220" t="s">
        <v>921</v>
      </c>
      <c r="N170" s="190">
        <f t="array" ref="N170">IFERROR(
  INDEX($J$2:$J$543,
    MATCH(A170&amp;TEXT(I170,"yyyy-mm-dd"),
          $A$2:$A$543&amp;TEXT($H$2:$H$543,"yyyy-mm-dd"),
          0)),
"")</f>
        <v>2.5</v>
      </c>
      <c r="O170" s="210">
        <f t="shared" si="3"/>
        <v>4.5</v>
      </c>
      <c r="P170" s="210">
        <f t="shared" ref="P170:Q170" si="180">IF(N170="",0,IF(N170&lt;=2,1,IF(N170&lt;=4,2,IF(N170&lt;=5.5,3,4))))</f>
        <v>2</v>
      </c>
      <c r="Q170" s="210">
        <f t="shared" si="180"/>
        <v>3</v>
      </c>
      <c r="R170" s="210" t="str">
        <f t="shared" si="5"/>
        <v>Lv2 → Lv3</v>
      </c>
      <c r="S170" s="210">
        <f t="shared" si="6"/>
        <v>1</v>
      </c>
      <c r="T170" s="210"/>
      <c r="U170" s="210"/>
      <c r="V170" s="211" t="s">
        <v>494</v>
      </c>
      <c r="W170" s="210" t="str">
        <f t="shared" si="7"/>
        <v>GSD</v>
      </c>
      <c r="X170" s="210" t="str">
        <f t="shared" si="8"/>
        <v>GSD</v>
      </c>
      <c r="Y170" s="210" t="str">
        <f t="shared" si="9"/>
        <v>LBU</v>
      </c>
      <c r="Z170" s="210"/>
      <c r="AA170" s="210"/>
      <c r="AB170" s="210"/>
      <c r="AC170" s="210"/>
      <c r="AD170" s="210"/>
      <c r="AE170" s="210"/>
      <c r="AF170" s="210"/>
      <c r="AG170" s="210"/>
      <c r="AH170" s="210"/>
      <c r="AI170" s="210"/>
      <c r="AJ170" s="210"/>
      <c r="AK170" s="210"/>
      <c r="AL170" s="210"/>
      <c r="AM170" s="214"/>
      <c r="AN170" s="210"/>
      <c r="AO170" s="210" t="str">
        <f t="shared" si="10"/>
        <v>#N/A</v>
      </c>
      <c r="AP170" s="210" t="str">
        <f t="shared" si="11"/>
        <v>#N/A</v>
      </c>
      <c r="AQ170" s="210" t="str">
        <f t="shared" si="12"/>
        <v>#N/A</v>
      </c>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c r="BU170" s="210"/>
      <c r="BV170" s="210"/>
      <c r="BW170" s="210"/>
      <c r="BX170" s="210"/>
      <c r="BY170" s="210"/>
      <c r="BZ170" s="210"/>
      <c r="CA170" s="210"/>
      <c r="CB170" s="210"/>
      <c r="CC170" s="210"/>
      <c r="CD170" s="210"/>
      <c r="CE170" s="210"/>
      <c r="CF170" s="210"/>
      <c r="CG170" s="210"/>
      <c r="CH170" s="210"/>
      <c r="CI170" s="210"/>
      <c r="CJ170" s="210"/>
      <c r="CK170" s="210"/>
    </row>
    <row r="171">
      <c r="A171" s="222" t="s">
        <v>480</v>
      </c>
      <c r="B171" s="190" t="s">
        <v>481</v>
      </c>
      <c r="C171" s="223" t="s">
        <v>67</v>
      </c>
      <c r="D171" s="223" t="s">
        <v>860</v>
      </c>
      <c r="E171" s="190" t="s">
        <v>21</v>
      </c>
      <c r="F171" s="13" t="s">
        <v>927</v>
      </c>
      <c r="G171" s="13" t="s">
        <v>927</v>
      </c>
      <c r="H171" s="219">
        <f>IFERROR(
  MINIFS(ATTENDANCE_LOG!$F:$F,
         ATTENDANCE_LOG!$A:$A, C171,
         ATTENDANCE_LOG!$B:$B, E171),
"")</f>
        <v>45639.45833</v>
      </c>
      <c r="I171" s="219">
        <f t="shared" si="2"/>
        <v>45639.45833</v>
      </c>
      <c r="J171" s="190">
        <f>IFERROR(VLOOKUP(F171, LEVEL_HELPER!$A:$B, 2, 0), "")</f>
        <v>1</v>
      </c>
      <c r="K171" s="190">
        <f>IFERROR(VLOOKUP(G171, LEVEL_HELPER!$A:$B, 2, 0), "")</f>
        <v>1</v>
      </c>
      <c r="L171" s="229" t="s">
        <v>948</v>
      </c>
      <c r="M171" s="220" t="s">
        <v>921</v>
      </c>
      <c r="N171" s="190">
        <f t="array" ref="N171">IFERROR(
  INDEX($J$2:$J$543,
    MATCH(A171&amp;TEXT(I171,"yyyy-mm-dd"),
          $A$2:$A$543&amp;TEXT($H$2:$H$543,"yyyy-mm-dd"),
          0)),
"")</f>
        <v>1</v>
      </c>
      <c r="O171" s="210">
        <f t="shared" si="3"/>
        <v>1</v>
      </c>
      <c r="P171" s="210">
        <f t="shared" ref="P171:Q171" si="181">IF(N171="",0,IF(N171&lt;=2,1,IF(N171&lt;=4,2,IF(N171&lt;=5.5,3,4))))</f>
        <v>1</v>
      </c>
      <c r="Q171" s="210">
        <f t="shared" si="181"/>
        <v>1</v>
      </c>
      <c r="R171" s="210" t="str">
        <f t="shared" si="5"/>
        <v>No Progress</v>
      </c>
      <c r="S171" s="210">
        <f t="shared" si="6"/>
        <v>1</v>
      </c>
      <c r="T171" s="210"/>
      <c r="U171" s="210"/>
      <c r="V171" s="211" t="s">
        <v>498</v>
      </c>
      <c r="W171" s="210" t="str">
        <f t="shared" si="7"/>
        <v>GSD</v>
      </c>
      <c r="X171" s="210" t="str">
        <f t="shared" si="8"/>
        <v>GSD</v>
      </c>
      <c r="Y171" s="210" t="str">
        <f t="shared" si="9"/>
        <v>LBU</v>
      </c>
      <c r="Z171" s="210"/>
      <c r="AA171" s="210"/>
      <c r="AB171" s="210"/>
      <c r="AC171" s="210"/>
      <c r="AD171" s="210"/>
      <c r="AE171" s="210"/>
      <c r="AF171" s="210"/>
      <c r="AG171" s="210"/>
      <c r="AH171" s="210"/>
      <c r="AI171" s="210"/>
      <c r="AJ171" s="210"/>
      <c r="AK171" s="210"/>
      <c r="AL171" s="210"/>
      <c r="AM171" s="214"/>
      <c r="AN171" s="210"/>
      <c r="AO171" s="210" t="str">
        <f t="shared" si="10"/>
        <v>#N/A</v>
      </c>
      <c r="AP171" s="210" t="str">
        <f t="shared" si="11"/>
        <v>#N/A</v>
      </c>
      <c r="AQ171" s="210" t="str">
        <f t="shared" si="12"/>
        <v>#N/A</v>
      </c>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c r="BU171" s="210"/>
      <c r="BV171" s="210"/>
      <c r="BW171" s="210"/>
      <c r="BX171" s="210"/>
      <c r="BY171" s="210"/>
      <c r="BZ171" s="210"/>
      <c r="CA171" s="210"/>
      <c r="CB171" s="210"/>
      <c r="CC171" s="210"/>
      <c r="CD171" s="210"/>
      <c r="CE171" s="210"/>
      <c r="CF171" s="210"/>
      <c r="CG171" s="210"/>
      <c r="CH171" s="210"/>
      <c r="CI171" s="210"/>
      <c r="CJ171" s="210"/>
      <c r="CK171" s="210"/>
    </row>
    <row r="172">
      <c r="A172" s="222" t="s">
        <v>564</v>
      </c>
      <c r="B172" s="190" t="s">
        <v>565</v>
      </c>
      <c r="C172" s="223" t="s">
        <v>67</v>
      </c>
      <c r="D172" s="223" t="s">
        <v>860</v>
      </c>
      <c r="E172" s="190" t="s">
        <v>21</v>
      </c>
      <c r="F172" s="13" t="s">
        <v>927</v>
      </c>
      <c r="G172" s="190"/>
      <c r="H172" s="219">
        <f>IFERROR(
  MINIFS(ATTENDANCE_LOG!$F:$F,
         ATTENDANCE_LOG!$A:$A, C172,
         ATTENDANCE_LOG!$B:$B, E172),
"")</f>
        <v>45639.45833</v>
      </c>
      <c r="I172" s="219">
        <f t="shared" si="2"/>
        <v>45639.45833</v>
      </c>
      <c r="J172" s="190">
        <f>IFERROR(VLOOKUP(F172, LEVEL_HELPER!$A:$B, 2, 0), "")</f>
        <v>1</v>
      </c>
      <c r="K172" s="190" t="str">
        <f>IFERROR(VLOOKUP(G172, LEVEL_HELPER!$A:$B, 2, 0), "")</f>
        <v/>
      </c>
      <c r="L172" s="229" t="s">
        <v>949</v>
      </c>
      <c r="M172" s="220" t="s">
        <v>921</v>
      </c>
      <c r="N172" s="190">
        <f t="array" ref="N172">IFERROR(
  INDEX($J$2:$J$543,
    MATCH(A172&amp;TEXT(I172,"yyyy-mm-dd"),
          $A$2:$A$543&amp;TEXT($H$2:$H$543,"yyyy-mm-dd"),
          0)),
"")</f>
        <v>1</v>
      </c>
      <c r="O172" s="210">
        <f t="shared" si="3"/>
        <v>0</v>
      </c>
      <c r="P172" s="210">
        <f t="shared" ref="P172:Q172" si="182">IF(N172="",0,IF(N172&lt;=2,1,IF(N172&lt;=4,2,IF(N172&lt;=5.5,3,4))))</f>
        <v>1</v>
      </c>
      <c r="Q172" s="210">
        <f t="shared" si="182"/>
        <v>1</v>
      </c>
      <c r="R172" s="210" t="str">
        <f t="shared" si="5"/>
        <v>Not tested yet</v>
      </c>
      <c r="S172" s="210">
        <f t="shared" si="6"/>
        <v>1</v>
      </c>
      <c r="T172" s="210"/>
      <c r="U172" s="210"/>
      <c r="V172" s="211" t="s">
        <v>566</v>
      </c>
      <c r="W172" s="210" t="str">
        <f t="shared" si="7"/>
        <v>BA</v>
      </c>
      <c r="X172" s="210" t="str">
        <f t="shared" si="8"/>
        <v>BA, BC</v>
      </c>
      <c r="Y172" s="210" t="str">
        <f t="shared" si="9"/>
        <v>LBU</v>
      </c>
      <c r="Z172" s="210"/>
      <c r="AA172" s="210"/>
      <c r="AB172" s="210"/>
      <c r="AC172" s="210"/>
      <c r="AD172" s="210"/>
      <c r="AE172" s="210"/>
      <c r="AF172" s="210"/>
      <c r="AG172" s="210"/>
      <c r="AH172" s="210"/>
      <c r="AI172" s="210"/>
      <c r="AJ172" s="210"/>
      <c r="AK172" s="210"/>
      <c r="AL172" s="210"/>
      <c r="AM172" s="214"/>
      <c r="AN172" s="210"/>
      <c r="AO172" s="210" t="str">
        <f t="shared" si="10"/>
        <v>#N/A</v>
      </c>
      <c r="AP172" s="210" t="str">
        <f t="shared" si="11"/>
        <v>#N/A</v>
      </c>
      <c r="AQ172" s="210" t="str">
        <f t="shared" si="12"/>
        <v>#N/A</v>
      </c>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c r="BU172" s="210"/>
      <c r="BV172" s="210"/>
      <c r="BW172" s="210"/>
      <c r="BX172" s="210"/>
      <c r="BY172" s="210"/>
      <c r="BZ172" s="210"/>
      <c r="CA172" s="210"/>
      <c r="CB172" s="210"/>
      <c r="CC172" s="210"/>
      <c r="CD172" s="210"/>
      <c r="CE172" s="210"/>
      <c r="CF172" s="210"/>
      <c r="CG172" s="210"/>
      <c r="CH172" s="210"/>
      <c r="CI172" s="210"/>
      <c r="CJ172" s="210"/>
      <c r="CK172" s="210"/>
    </row>
    <row r="173">
      <c r="A173" s="222" t="s">
        <v>647</v>
      </c>
      <c r="B173" s="190" t="s">
        <v>648</v>
      </c>
      <c r="C173" s="223" t="s">
        <v>67</v>
      </c>
      <c r="D173" s="223" t="s">
        <v>860</v>
      </c>
      <c r="E173" s="190" t="s">
        <v>21</v>
      </c>
      <c r="F173" s="13" t="s">
        <v>927</v>
      </c>
      <c r="G173" s="190"/>
      <c r="H173" s="219">
        <f>IFERROR(
  MINIFS(ATTENDANCE_LOG!$F:$F,
         ATTENDANCE_LOG!$A:$A, C173,
         ATTENDANCE_LOG!$B:$B, E173),
"")</f>
        <v>45639.45833</v>
      </c>
      <c r="I173" s="219">
        <f t="shared" si="2"/>
        <v>45639.45833</v>
      </c>
      <c r="J173" s="190">
        <f>IFERROR(VLOOKUP(F173, LEVEL_HELPER!$A:$B, 2, 0), "")</f>
        <v>1</v>
      </c>
      <c r="K173" s="190" t="str">
        <f>IFERROR(VLOOKUP(G173, LEVEL_HELPER!$A:$B, 2, 0), "")</f>
        <v/>
      </c>
      <c r="L173" s="229" t="s">
        <v>949</v>
      </c>
      <c r="M173" s="220" t="s">
        <v>921</v>
      </c>
      <c r="N173" s="190">
        <f t="array" ref="N173">IFERROR(
  INDEX($J$2:$J$543,
    MATCH(A173&amp;TEXT(I173,"yyyy-mm-dd"),
          $A$2:$A$543&amp;TEXT($H$2:$H$543,"yyyy-mm-dd"),
          0)),
"")</f>
        <v>1</v>
      </c>
      <c r="O173" s="210">
        <f t="shared" si="3"/>
        <v>0</v>
      </c>
      <c r="P173" s="210">
        <f t="shared" ref="P173:Q173" si="183">IF(N173="",0,IF(N173&lt;=2,1,IF(N173&lt;=4,2,IF(N173&lt;=5.5,3,4))))</f>
        <v>1</v>
      </c>
      <c r="Q173" s="210">
        <f t="shared" si="183"/>
        <v>1</v>
      </c>
      <c r="R173" s="210" t="str">
        <f t="shared" si="5"/>
        <v>Not tested yet</v>
      </c>
      <c r="S173" s="210">
        <f t="shared" si="6"/>
        <v>1</v>
      </c>
      <c r="T173" s="210"/>
      <c r="U173" s="210"/>
      <c r="V173" s="211" t="s">
        <v>261</v>
      </c>
      <c r="W173" s="210" t="str">
        <f t="shared" si="7"/>
        <v>Management</v>
      </c>
      <c r="X173" s="210" t="str">
        <f t="shared" si="8"/>
        <v>HR, GA, Mgt</v>
      </c>
      <c r="Y173" s="210" t="str">
        <f t="shared" si="9"/>
        <v>CHORUS</v>
      </c>
      <c r="Z173" s="210"/>
      <c r="AA173" s="210"/>
      <c r="AB173" s="210"/>
      <c r="AC173" s="210"/>
      <c r="AD173" s="210"/>
      <c r="AE173" s="210"/>
      <c r="AF173" s="210"/>
      <c r="AG173" s="210"/>
      <c r="AH173" s="210"/>
      <c r="AI173" s="210"/>
      <c r="AJ173" s="210"/>
      <c r="AK173" s="210"/>
      <c r="AL173" s="210"/>
      <c r="AM173" s="214"/>
      <c r="AN173" s="210"/>
      <c r="AO173" s="210" t="str">
        <f t="shared" si="10"/>
        <v>#N/A</v>
      </c>
      <c r="AP173" s="210" t="str">
        <f t="shared" si="11"/>
        <v>#N/A</v>
      </c>
      <c r="AQ173" s="210" t="str">
        <f t="shared" si="12"/>
        <v>#N/A</v>
      </c>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c r="BU173" s="210"/>
      <c r="BV173" s="210"/>
      <c r="BW173" s="210"/>
      <c r="BX173" s="210"/>
      <c r="BY173" s="210"/>
      <c r="BZ173" s="210"/>
      <c r="CA173" s="210"/>
      <c r="CB173" s="210"/>
      <c r="CC173" s="210"/>
      <c r="CD173" s="210"/>
      <c r="CE173" s="210"/>
      <c r="CF173" s="210"/>
      <c r="CG173" s="210"/>
      <c r="CH173" s="210"/>
      <c r="CI173" s="210"/>
      <c r="CJ173" s="210"/>
      <c r="CK173" s="210"/>
    </row>
    <row r="174">
      <c r="A174" s="216" t="s">
        <v>556</v>
      </c>
      <c r="B174" s="217" t="s">
        <v>557</v>
      </c>
      <c r="C174" s="218" t="s">
        <v>68</v>
      </c>
      <c r="D174" s="218" t="s">
        <v>861</v>
      </c>
      <c r="E174" s="217" t="s">
        <v>21</v>
      </c>
      <c r="F174" s="13" t="s">
        <v>917</v>
      </c>
      <c r="G174" s="13" t="s">
        <v>935</v>
      </c>
      <c r="H174" s="219">
        <f>IFERROR(
  MINIFS(ATTENDANCE_LOG!$F:$F,
         ATTENDANCE_LOG!$A:$A, C174,
         ATTENDANCE_LOG!$B:$B, E174),
"")</f>
        <v>45645.41667</v>
      </c>
      <c r="I174" s="219">
        <f t="shared" si="2"/>
        <v>45645.41667</v>
      </c>
      <c r="J174" s="190">
        <f>IFERROR(VLOOKUP(F174, LEVEL_HELPER!$A:$B, 2, 0), "")</f>
        <v>2.5</v>
      </c>
      <c r="K174" s="190">
        <f>IFERROR(VLOOKUP(G174, LEVEL_HELPER!$A:$B, 2, 0), "")</f>
        <v>3.5</v>
      </c>
      <c r="L174" s="220" t="s">
        <v>943</v>
      </c>
      <c r="M174" s="220" t="s">
        <v>925</v>
      </c>
      <c r="N174" s="190">
        <f t="array" ref="N174">IFERROR(
  INDEX($J$2:$J$543,
    MATCH(A174&amp;TEXT(I174,"yyyy-mm-dd"),
          $A$2:$A$543&amp;TEXT($H$2:$H$543,"yyyy-mm-dd"),
          0)),
"")</f>
        <v>2.5</v>
      </c>
      <c r="O174" s="210">
        <f t="shared" si="3"/>
        <v>3.5</v>
      </c>
      <c r="P174" s="210">
        <f t="shared" ref="P174:Q174" si="184">IF(N174="",0,IF(N174&lt;=2,1,IF(N174&lt;=4,2,IF(N174&lt;=5.5,3,4))))</f>
        <v>2</v>
      </c>
      <c r="Q174" s="210">
        <f t="shared" si="184"/>
        <v>2</v>
      </c>
      <c r="R174" s="210" t="str">
        <f t="shared" si="5"/>
        <v>Progress within level</v>
      </c>
      <c r="S174" s="210">
        <f t="shared" si="6"/>
        <v>1</v>
      </c>
      <c r="T174" s="210"/>
      <c r="U174" s="210"/>
      <c r="V174" s="211" t="s">
        <v>182</v>
      </c>
      <c r="W174" s="210" t="str">
        <f t="shared" si="7"/>
        <v>QC</v>
      </c>
      <c r="X174" s="210" t="str">
        <f t="shared" si="8"/>
        <v>QC</v>
      </c>
      <c r="Y174" s="210" t="str">
        <f t="shared" si="9"/>
        <v>CHORUS</v>
      </c>
      <c r="Z174" s="210"/>
      <c r="AA174" s="210"/>
      <c r="AB174" s="210"/>
      <c r="AC174" s="210"/>
      <c r="AD174" s="210"/>
      <c r="AE174" s="210"/>
      <c r="AF174" s="210"/>
      <c r="AG174" s="210"/>
      <c r="AH174" s="210"/>
      <c r="AI174" s="210"/>
      <c r="AJ174" s="210"/>
      <c r="AK174" s="210"/>
      <c r="AL174" s="210"/>
      <c r="AM174" s="214"/>
      <c r="AN174" s="210"/>
      <c r="AO174" s="210" t="str">
        <f t="shared" si="10"/>
        <v>#N/A</v>
      </c>
      <c r="AP174" s="210" t="str">
        <f t="shared" si="11"/>
        <v>#N/A</v>
      </c>
      <c r="AQ174" s="210" t="str">
        <f t="shared" si="12"/>
        <v>#N/A</v>
      </c>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c r="BU174" s="210"/>
      <c r="BV174" s="210"/>
      <c r="BW174" s="210"/>
      <c r="BX174" s="210"/>
      <c r="BY174" s="210"/>
      <c r="BZ174" s="210"/>
      <c r="CA174" s="210"/>
      <c r="CB174" s="210"/>
      <c r="CC174" s="210"/>
      <c r="CD174" s="210"/>
      <c r="CE174" s="210"/>
      <c r="CF174" s="210"/>
      <c r="CG174" s="210"/>
      <c r="CH174" s="210"/>
      <c r="CI174" s="210"/>
      <c r="CJ174" s="210"/>
      <c r="CK174" s="210"/>
    </row>
    <row r="175">
      <c r="A175" s="222" t="s">
        <v>218</v>
      </c>
      <c r="B175" s="190" t="s">
        <v>219</v>
      </c>
      <c r="C175" s="223" t="s">
        <v>68</v>
      </c>
      <c r="D175" s="223" t="s">
        <v>861</v>
      </c>
      <c r="E175" s="190" t="s">
        <v>21</v>
      </c>
      <c r="F175" s="13" t="s">
        <v>927</v>
      </c>
      <c r="G175" s="13" t="s">
        <v>935</v>
      </c>
      <c r="H175" s="219">
        <f>IFERROR(
  MINIFS(ATTENDANCE_LOG!$F:$F,
         ATTENDANCE_LOG!$A:$A, C175,
         ATTENDANCE_LOG!$B:$B, E175),
"")</f>
        <v>45645.41667</v>
      </c>
      <c r="I175" s="219">
        <f t="shared" si="2"/>
        <v>45645.41667</v>
      </c>
      <c r="J175" s="190">
        <f>IFERROR(VLOOKUP(F175, LEVEL_HELPER!$A:$B, 2, 0), "")</f>
        <v>1</v>
      </c>
      <c r="K175" s="190">
        <f>IFERROR(VLOOKUP(G175, LEVEL_HELPER!$A:$B, 2, 0), "")</f>
        <v>3.5</v>
      </c>
      <c r="L175" s="220" t="s">
        <v>943</v>
      </c>
      <c r="M175" s="220" t="s">
        <v>925</v>
      </c>
      <c r="N175" s="190">
        <f t="array" ref="N175">IFERROR(
  INDEX($J$2:$J$543,
    MATCH(A175&amp;TEXT(I175,"yyyy-mm-dd"),
          $A$2:$A$543&amp;TEXT($H$2:$H$543,"yyyy-mm-dd"),
          0)),
"")</f>
        <v>1</v>
      </c>
      <c r="O175" s="210">
        <f t="shared" si="3"/>
        <v>3.5</v>
      </c>
      <c r="P175" s="210">
        <f t="shared" ref="P175:Q175" si="185">IF(N175="",0,IF(N175&lt;=2,1,IF(N175&lt;=4,2,IF(N175&lt;=5.5,3,4))))</f>
        <v>1</v>
      </c>
      <c r="Q175" s="210">
        <f t="shared" si="185"/>
        <v>2</v>
      </c>
      <c r="R175" s="210" t="str">
        <f t="shared" si="5"/>
        <v>Lv1 → Lv2</v>
      </c>
      <c r="S175" s="210">
        <f t="shared" si="6"/>
        <v>1</v>
      </c>
      <c r="T175" s="210"/>
      <c r="U175" s="210"/>
      <c r="V175" s="211" t="s">
        <v>259</v>
      </c>
      <c r="W175" s="210" t="str">
        <f t="shared" si="7"/>
        <v>UI/UX</v>
      </c>
      <c r="X175" s="210" t="str">
        <f t="shared" si="8"/>
        <v>UI/UX, Des</v>
      </c>
      <c r="Y175" s="210" t="str">
        <f t="shared" si="9"/>
        <v>CHORUS</v>
      </c>
      <c r="Z175" s="210"/>
      <c r="AA175" s="210"/>
      <c r="AB175" s="210"/>
      <c r="AC175" s="210"/>
      <c r="AD175" s="210"/>
      <c r="AE175" s="210"/>
      <c r="AF175" s="210"/>
      <c r="AG175" s="210"/>
      <c r="AH175" s="210"/>
      <c r="AI175" s="210"/>
      <c r="AJ175" s="210"/>
      <c r="AK175" s="210"/>
      <c r="AL175" s="210"/>
      <c r="AM175" s="214"/>
      <c r="AN175" s="210"/>
      <c r="AO175" s="210" t="str">
        <f t="shared" si="10"/>
        <v>#N/A</v>
      </c>
      <c r="AP175" s="210" t="str">
        <f t="shared" si="11"/>
        <v>#N/A</v>
      </c>
      <c r="AQ175" s="210" t="str">
        <f t="shared" si="12"/>
        <v>#N/A</v>
      </c>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c r="BU175" s="210"/>
      <c r="BV175" s="210"/>
      <c r="BW175" s="210"/>
      <c r="BX175" s="210"/>
      <c r="BY175" s="210"/>
      <c r="BZ175" s="210"/>
      <c r="CA175" s="210"/>
      <c r="CB175" s="210"/>
      <c r="CC175" s="210"/>
      <c r="CD175" s="210"/>
      <c r="CE175" s="210"/>
      <c r="CF175" s="210"/>
      <c r="CG175" s="210"/>
      <c r="CH175" s="210"/>
      <c r="CI175" s="210"/>
      <c r="CJ175" s="210"/>
      <c r="CK175" s="210"/>
    </row>
    <row r="176">
      <c r="A176" s="222" t="s">
        <v>374</v>
      </c>
      <c r="B176" s="190" t="s">
        <v>375</v>
      </c>
      <c r="C176" s="223" t="s">
        <v>68</v>
      </c>
      <c r="D176" s="223" t="s">
        <v>861</v>
      </c>
      <c r="E176" s="190" t="s">
        <v>21</v>
      </c>
      <c r="F176" s="190"/>
      <c r="G176" s="190"/>
      <c r="H176" s="219">
        <f>IFERROR(
  MINIFS(ATTENDANCE_LOG!$F:$F,
         ATTENDANCE_LOG!$A:$A, C176,
         ATTENDANCE_LOG!$B:$B, E176),
"")</f>
        <v>45645.41667</v>
      </c>
      <c r="I176" s="219">
        <f t="shared" si="2"/>
        <v>45645.41667</v>
      </c>
      <c r="J176" s="190" t="str">
        <f>IFERROR(VLOOKUP(F176, LEVEL_HELPER!$A:$B, 2, 0), "")</f>
        <v/>
      </c>
      <c r="K176" s="190" t="str">
        <f>IFERROR(VLOOKUP(G176, LEVEL_HELPER!$A:$B, 2, 0), "")</f>
        <v/>
      </c>
      <c r="L176" s="220" t="s">
        <v>943</v>
      </c>
      <c r="M176" s="220" t="s">
        <v>925</v>
      </c>
      <c r="N176" s="190" t="str">
        <f t="array" ref="N176">IFERROR(
  INDEX($J$2:$J$543,
    MATCH(A176&amp;TEXT(I176,"yyyy-mm-dd"),
          $A$2:$A$543&amp;TEXT($H$2:$H$543,"yyyy-mm-dd"),
          0)),
"")</f>
        <v/>
      </c>
      <c r="O176" s="210">
        <f t="shared" si="3"/>
        <v>0</v>
      </c>
      <c r="P176" s="210">
        <f t="shared" ref="P176:Q176" si="186">IF(N176="",0,IF(N176&lt;=2,1,IF(N176&lt;=4,2,IF(N176&lt;=5.5,3,4))))</f>
        <v>0</v>
      </c>
      <c r="Q176" s="210">
        <f t="shared" si="186"/>
        <v>1</v>
      </c>
      <c r="R176" s="210" t="str">
        <f t="shared" si="5"/>
        <v>Not tested yet</v>
      </c>
      <c r="S176" s="210">
        <f t="shared" si="6"/>
        <v>1</v>
      </c>
      <c r="T176" s="210"/>
      <c r="U176" s="210"/>
      <c r="V176" s="211" t="s">
        <v>423</v>
      </c>
      <c r="W176" s="210" t="str">
        <f t="shared" si="7"/>
        <v>DEV</v>
      </c>
      <c r="X176" s="210" t="str">
        <f t="shared" si="8"/>
        <v>DEV, TA</v>
      </c>
      <c r="Y176" s="210" t="str">
        <f t="shared" si="9"/>
        <v>CHORUS</v>
      </c>
      <c r="Z176" s="210"/>
      <c r="AA176" s="210"/>
      <c r="AB176" s="210"/>
      <c r="AC176" s="210"/>
      <c r="AD176" s="210"/>
      <c r="AE176" s="210"/>
      <c r="AF176" s="210"/>
      <c r="AG176" s="210"/>
      <c r="AH176" s="210"/>
      <c r="AI176" s="210"/>
      <c r="AJ176" s="210"/>
      <c r="AK176" s="210"/>
      <c r="AL176" s="210"/>
      <c r="AM176" s="214"/>
      <c r="AN176" s="210"/>
      <c r="AO176" s="210" t="str">
        <f t="shared" si="10"/>
        <v>#N/A</v>
      </c>
      <c r="AP176" s="210" t="str">
        <f t="shared" si="11"/>
        <v>#N/A</v>
      </c>
      <c r="AQ176" s="210" t="str">
        <f t="shared" si="12"/>
        <v>#N/A</v>
      </c>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c r="BU176" s="210"/>
      <c r="BV176" s="210"/>
      <c r="BW176" s="210"/>
      <c r="BX176" s="210"/>
      <c r="BY176" s="210"/>
      <c r="BZ176" s="210"/>
      <c r="CA176" s="210"/>
      <c r="CB176" s="210"/>
      <c r="CC176" s="210"/>
      <c r="CD176" s="210"/>
      <c r="CE176" s="210"/>
      <c r="CF176" s="210"/>
      <c r="CG176" s="210"/>
      <c r="CH176" s="210"/>
      <c r="CI176" s="210"/>
      <c r="CJ176" s="210"/>
      <c r="CK176" s="210"/>
    </row>
    <row r="177">
      <c r="A177" s="222" t="s">
        <v>643</v>
      </c>
      <c r="B177" s="190" t="s">
        <v>644</v>
      </c>
      <c r="C177" s="223" t="s">
        <v>68</v>
      </c>
      <c r="D177" s="223" t="s">
        <v>861</v>
      </c>
      <c r="E177" s="190" t="s">
        <v>21</v>
      </c>
      <c r="F177" s="13" t="s">
        <v>927</v>
      </c>
      <c r="G177" s="13" t="s">
        <v>918</v>
      </c>
      <c r="H177" s="219">
        <f>IFERROR(
  MINIFS(ATTENDANCE_LOG!$F:$F,
         ATTENDANCE_LOG!$A:$A, C177,
         ATTENDANCE_LOG!$B:$B, E177),
"")</f>
        <v>45645.41667</v>
      </c>
      <c r="I177" s="219">
        <f t="shared" si="2"/>
        <v>45645.41667</v>
      </c>
      <c r="J177" s="190">
        <f>IFERROR(VLOOKUP(F177, LEVEL_HELPER!$A:$B, 2, 0), "")</f>
        <v>1</v>
      </c>
      <c r="K177" s="190">
        <f>IFERROR(VLOOKUP(G177, LEVEL_HELPER!$A:$B, 2, 0), "")</f>
        <v>3</v>
      </c>
      <c r="L177" s="220" t="s">
        <v>943</v>
      </c>
      <c r="M177" s="220" t="s">
        <v>925</v>
      </c>
      <c r="N177" s="190">
        <f t="array" ref="N177">IFERROR(
  INDEX($J$2:$J$543,
    MATCH(A177&amp;TEXT(I177,"yyyy-mm-dd"),
          $A$2:$A$543&amp;TEXT($H$2:$H$543,"yyyy-mm-dd"),
          0)),
"")</f>
        <v>1</v>
      </c>
      <c r="O177" s="210">
        <f t="shared" si="3"/>
        <v>3</v>
      </c>
      <c r="P177" s="210">
        <f t="shared" ref="P177:Q177" si="187">IF(N177="",0,IF(N177&lt;=2,1,IF(N177&lt;=4,2,IF(N177&lt;=5.5,3,4))))</f>
        <v>1</v>
      </c>
      <c r="Q177" s="210">
        <f t="shared" si="187"/>
        <v>2</v>
      </c>
      <c r="R177" s="210" t="str">
        <f t="shared" si="5"/>
        <v>Lv1 → Lv2</v>
      </c>
      <c r="S177" s="210">
        <f t="shared" si="6"/>
        <v>1</v>
      </c>
      <c r="T177" s="210"/>
      <c r="U177" s="210"/>
      <c r="V177" s="211" t="s">
        <v>711</v>
      </c>
      <c r="W177" s="210" t="str">
        <f t="shared" si="7"/>
        <v>PPO</v>
      </c>
      <c r="X177" s="210" t="str">
        <f t="shared" si="8"/>
        <v>PPO, SM, IM </v>
      </c>
      <c r="Y177" s="210" t="str">
        <f t="shared" si="9"/>
        <v>CHORUS</v>
      </c>
      <c r="Z177" s="210"/>
      <c r="AA177" s="210"/>
      <c r="AB177" s="210"/>
      <c r="AC177" s="210"/>
      <c r="AD177" s="210"/>
      <c r="AE177" s="210"/>
      <c r="AF177" s="210"/>
      <c r="AG177" s="210"/>
      <c r="AH177" s="210"/>
      <c r="AI177" s="210"/>
      <c r="AJ177" s="210"/>
      <c r="AK177" s="210"/>
      <c r="AL177" s="210"/>
      <c r="AM177" s="214"/>
      <c r="AN177" s="210"/>
      <c r="AO177" s="210" t="str">
        <f t="shared" si="10"/>
        <v>#N/A</v>
      </c>
      <c r="AP177" s="210" t="str">
        <f t="shared" si="11"/>
        <v>#N/A</v>
      </c>
      <c r="AQ177" s="210" t="str">
        <f t="shared" si="12"/>
        <v>#N/A</v>
      </c>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c r="BU177" s="210"/>
      <c r="BV177" s="210"/>
      <c r="BW177" s="210"/>
      <c r="BX177" s="210"/>
      <c r="BY177" s="210"/>
      <c r="BZ177" s="210"/>
      <c r="CA177" s="210"/>
      <c r="CB177" s="210"/>
      <c r="CC177" s="210"/>
      <c r="CD177" s="210"/>
      <c r="CE177" s="210"/>
      <c r="CF177" s="210"/>
      <c r="CG177" s="210"/>
      <c r="CH177" s="210"/>
      <c r="CI177" s="210"/>
      <c r="CJ177" s="210"/>
      <c r="CK177" s="210"/>
    </row>
    <row r="178">
      <c r="A178" s="216" t="s">
        <v>556</v>
      </c>
      <c r="B178" s="217" t="s">
        <v>557</v>
      </c>
      <c r="C178" s="218" t="s">
        <v>68</v>
      </c>
      <c r="D178" s="218" t="s">
        <v>861</v>
      </c>
      <c r="E178" s="217" t="s">
        <v>22</v>
      </c>
      <c r="F178" s="13" t="s">
        <v>935</v>
      </c>
      <c r="G178" s="190"/>
      <c r="H178" s="219">
        <f>IFERROR(
  MINIFS(ATTENDANCE_LOG!$F:$F,
         ATTENDANCE_LOG!$A:$A, C178,
         ATTENDANCE_LOG!$B:$B, E178),
"")</f>
        <v>45887.375</v>
      </c>
      <c r="I178" s="219">
        <f t="shared" si="2"/>
        <v>45645.41667</v>
      </c>
      <c r="J178" s="190">
        <f>IFERROR(VLOOKUP(F178, LEVEL_HELPER!$A:$B, 2, 0), "")</f>
        <v>3.5</v>
      </c>
      <c r="K178" s="190" t="str">
        <f>IFERROR(VLOOKUP(G178, LEVEL_HELPER!$A:$B, 2, 0), "")</f>
        <v/>
      </c>
      <c r="L178" s="220" t="s">
        <v>943</v>
      </c>
      <c r="M178" s="220" t="s">
        <v>925</v>
      </c>
      <c r="N178" s="190">
        <f t="array" ref="N178">IFERROR(
  INDEX($J$2:$J$543,
    MATCH(A178&amp;TEXT(I178,"yyyy-mm-dd"),
          $A$2:$A$543&amp;TEXT($H$2:$H$543,"yyyy-mm-dd"),
          0)),
"")</f>
        <v>2.5</v>
      </c>
      <c r="O178" s="210">
        <f t="shared" si="3"/>
        <v>3.5</v>
      </c>
      <c r="P178" s="210">
        <f t="shared" ref="P178:Q178" si="188">IF(N178="",0,IF(N178&lt;=2,1,IF(N178&lt;=4,2,IF(N178&lt;=5.5,3,4))))</f>
        <v>2</v>
      </c>
      <c r="Q178" s="210">
        <f t="shared" si="188"/>
        <v>2</v>
      </c>
      <c r="R178" s="210" t="str">
        <f t="shared" si="5"/>
        <v>Progress within level</v>
      </c>
      <c r="S178" s="210">
        <f t="shared" si="6"/>
        <v>0</v>
      </c>
      <c r="T178" s="210"/>
      <c r="U178" s="210"/>
      <c r="V178" s="211" t="s">
        <v>713</v>
      </c>
      <c r="W178" s="210" t="str">
        <f t="shared" si="7"/>
        <v>DEV</v>
      </c>
      <c r="X178" s="210" t="str">
        <f t="shared" si="8"/>
        <v>DEV, TA</v>
      </c>
      <c r="Y178" s="210" t="str">
        <f t="shared" si="9"/>
        <v>CHORUS</v>
      </c>
      <c r="Z178" s="210"/>
      <c r="AA178" s="210"/>
      <c r="AB178" s="210"/>
      <c r="AC178" s="210"/>
      <c r="AD178" s="210"/>
      <c r="AE178" s="210"/>
      <c r="AF178" s="210"/>
      <c r="AG178" s="210"/>
      <c r="AH178" s="210"/>
      <c r="AI178" s="210"/>
      <c r="AJ178" s="210"/>
      <c r="AK178" s="210"/>
      <c r="AL178" s="210"/>
      <c r="AM178" s="214"/>
      <c r="AN178" s="210"/>
      <c r="AO178" s="210" t="str">
        <f t="shared" si="10"/>
        <v>#N/A</v>
      </c>
      <c r="AP178" s="210" t="str">
        <f t="shared" si="11"/>
        <v>#N/A</v>
      </c>
      <c r="AQ178" s="210" t="str">
        <f t="shared" si="12"/>
        <v>#N/A</v>
      </c>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c r="BU178" s="210"/>
      <c r="BV178" s="210"/>
      <c r="BW178" s="210"/>
      <c r="BX178" s="210"/>
      <c r="BY178" s="210"/>
      <c r="BZ178" s="210"/>
      <c r="CA178" s="210"/>
      <c r="CB178" s="210"/>
      <c r="CC178" s="210"/>
      <c r="CD178" s="210"/>
      <c r="CE178" s="210"/>
      <c r="CF178" s="210"/>
      <c r="CG178" s="210"/>
      <c r="CH178" s="210"/>
      <c r="CI178" s="210"/>
      <c r="CJ178" s="210"/>
      <c r="CK178" s="210"/>
    </row>
    <row r="179">
      <c r="A179" s="222" t="s">
        <v>218</v>
      </c>
      <c r="B179" s="190" t="s">
        <v>219</v>
      </c>
      <c r="C179" s="223" t="s">
        <v>68</v>
      </c>
      <c r="D179" s="223" t="s">
        <v>861</v>
      </c>
      <c r="E179" s="190" t="s">
        <v>22</v>
      </c>
      <c r="F179" s="13" t="s">
        <v>927</v>
      </c>
      <c r="G179" s="190"/>
      <c r="H179" s="219">
        <f>IFERROR(
  MINIFS(ATTENDANCE_LOG!$F:$F,
         ATTENDANCE_LOG!$A:$A, C179,
         ATTENDANCE_LOG!$B:$B, E179),
"")</f>
        <v>45887.375</v>
      </c>
      <c r="I179" s="219">
        <f t="shared" si="2"/>
        <v>45645.41667</v>
      </c>
      <c r="J179" s="190">
        <f>IFERROR(VLOOKUP(F179, LEVEL_HELPER!$A:$B, 2, 0), "")</f>
        <v>1</v>
      </c>
      <c r="K179" s="190" t="str">
        <f>IFERROR(VLOOKUP(G179, LEVEL_HELPER!$A:$B, 2, 0), "")</f>
        <v/>
      </c>
      <c r="L179" s="220" t="s">
        <v>943</v>
      </c>
      <c r="M179" s="220" t="s">
        <v>925</v>
      </c>
      <c r="N179" s="190">
        <f t="array" ref="N179">IFERROR(
  INDEX($J$2:$J$543,
    MATCH(A179&amp;TEXT(I179,"yyyy-mm-dd"),
          $A$2:$A$543&amp;TEXT($H$2:$H$543,"yyyy-mm-dd"),
          0)),
"")</f>
        <v>1</v>
      </c>
      <c r="O179" s="210">
        <f t="shared" si="3"/>
        <v>3.5</v>
      </c>
      <c r="P179" s="210">
        <f t="shared" ref="P179:Q179" si="189">IF(N179="",0,IF(N179&lt;=2,1,IF(N179&lt;=4,2,IF(N179&lt;=5.5,3,4))))</f>
        <v>1</v>
      </c>
      <c r="Q179" s="210">
        <f t="shared" si="189"/>
        <v>2</v>
      </c>
      <c r="R179" s="210" t="str">
        <f t="shared" si="5"/>
        <v>Lv1 → Lv2</v>
      </c>
      <c r="S179" s="210">
        <f t="shared" si="6"/>
        <v>0</v>
      </c>
      <c r="T179" s="210"/>
      <c r="U179" s="210"/>
      <c r="V179" s="211" t="s">
        <v>549</v>
      </c>
      <c r="W179" s="210" t="str">
        <f t="shared" si="7"/>
        <v>DEV</v>
      </c>
      <c r="X179" s="210" t="str">
        <f t="shared" si="8"/>
        <v>DEV, TA</v>
      </c>
      <c r="Y179" s="210" t="str">
        <f t="shared" si="9"/>
        <v>CHORUS</v>
      </c>
      <c r="Z179" s="210"/>
      <c r="AA179" s="210"/>
      <c r="AB179" s="210"/>
      <c r="AC179" s="210"/>
      <c r="AD179" s="210"/>
      <c r="AE179" s="210"/>
      <c r="AF179" s="210"/>
      <c r="AG179" s="210"/>
      <c r="AH179" s="210"/>
      <c r="AI179" s="210"/>
      <c r="AJ179" s="210"/>
      <c r="AK179" s="210"/>
      <c r="AL179" s="210"/>
      <c r="AM179" s="214"/>
      <c r="AN179" s="210"/>
      <c r="AO179" s="210" t="str">
        <f t="shared" si="10"/>
        <v>#N/A</v>
      </c>
      <c r="AP179" s="210" t="str">
        <f t="shared" si="11"/>
        <v>#N/A</v>
      </c>
      <c r="AQ179" s="210" t="str">
        <f t="shared" si="12"/>
        <v>#N/A</v>
      </c>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c r="BU179" s="210"/>
      <c r="BV179" s="210"/>
      <c r="BW179" s="210"/>
      <c r="BX179" s="210"/>
      <c r="BY179" s="210"/>
      <c r="BZ179" s="210"/>
      <c r="CA179" s="210"/>
      <c r="CB179" s="210"/>
      <c r="CC179" s="210"/>
      <c r="CD179" s="210"/>
      <c r="CE179" s="210"/>
      <c r="CF179" s="210"/>
      <c r="CG179" s="210"/>
      <c r="CH179" s="210"/>
      <c r="CI179" s="210"/>
      <c r="CJ179" s="210"/>
      <c r="CK179" s="210"/>
    </row>
    <row r="180">
      <c r="A180" s="222" t="s">
        <v>323</v>
      </c>
      <c r="B180" s="190" t="s">
        <v>324</v>
      </c>
      <c r="C180" s="223" t="s">
        <v>68</v>
      </c>
      <c r="D180" s="223" t="s">
        <v>861</v>
      </c>
      <c r="E180" s="190" t="s">
        <v>22</v>
      </c>
      <c r="F180" s="13" t="s">
        <v>927</v>
      </c>
      <c r="G180" s="190"/>
      <c r="H180" s="219">
        <f>IFERROR(
  MINIFS(ATTENDANCE_LOG!$F:$F,
         ATTENDANCE_LOG!$A:$A, C180,
         ATTENDANCE_LOG!$B:$B, E180),
"")</f>
        <v>45887.375</v>
      </c>
      <c r="I180" s="219">
        <f t="shared" si="2"/>
        <v>45663.41667</v>
      </c>
      <c r="J180" s="190">
        <f>IFERROR(VLOOKUP(F180, LEVEL_HELPER!$A:$B, 2, 0), "")</f>
        <v>1</v>
      </c>
      <c r="K180" s="190" t="str">
        <f>IFERROR(VLOOKUP(G180, LEVEL_HELPER!$A:$B, 2, 0), "")</f>
        <v/>
      </c>
      <c r="L180" s="220" t="s">
        <v>943</v>
      </c>
      <c r="M180" s="220" t="s">
        <v>925</v>
      </c>
      <c r="N180" s="190">
        <f t="array" ref="N180">IFERROR(
  INDEX($J$2:$J$543,
    MATCH(A180&amp;TEXT(I180,"yyyy-mm-dd"),
          $A$2:$A$543&amp;TEXT($H$2:$H$543,"yyyy-mm-dd"),
          0)),
"")</f>
        <v>1</v>
      </c>
      <c r="O180" s="210">
        <f t="shared" si="3"/>
        <v>1</v>
      </c>
      <c r="P180" s="210">
        <f t="shared" ref="P180:Q180" si="190">IF(N180="",0,IF(N180&lt;=2,1,IF(N180&lt;=4,2,IF(N180&lt;=5.5,3,4))))</f>
        <v>1</v>
      </c>
      <c r="Q180" s="210">
        <f t="shared" si="190"/>
        <v>1</v>
      </c>
      <c r="R180" s="210" t="str">
        <f t="shared" si="5"/>
        <v>No Progress</v>
      </c>
      <c r="S180" s="210">
        <f t="shared" si="6"/>
        <v>1</v>
      </c>
      <c r="T180" s="210"/>
      <c r="U180" s="210"/>
      <c r="V180" s="211" t="s">
        <v>200</v>
      </c>
      <c r="W180" s="210" t="str">
        <f t="shared" si="7"/>
        <v>DEV</v>
      </c>
      <c r="X180" s="210" t="str">
        <f t="shared" si="8"/>
        <v>DEV, TA</v>
      </c>
      <c r="Y180" s="210" t="str">
        <f t="shared" si="9"/>
        <v>CHORUS</v>
      </c>
      <c r="Z180" s="210"/>
      <c r="AA180" s="210"/>
      <c r="AB180" s="210"/>
      <c r="AC180" s="210"/>
      <c r="AD180" s="210"/>
      <c r="AE180" s="210"/>
      <c r="AF180" s="210"/>
      <c r="AG180" s="210"/>
      <c r="AH180" s="210"/>
      <c r="AI180" s="210"/>
      <c r="AJ180" s="210"/>
      <c r="AK180" s="210"/>
      <c r="AL180" s="210"/>
      <c r="AM180" s="214"/>
      <c r="AN180" s="210"/>
      <c r="AO180" s="210" t="str">
        <f t="shared" si="10"/>
        <v>#N/A</v>
      </c>
      <c r="AP180" s="210" t="str">
        <f t="shared" si="11"/>
        <v>#N/A</v>
      </c>
      <c r="AQ180" s="210" t="str">
        <f t="shared" si="12"/>
        <v>#N/A</v>
      </c>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c r="BU180" s="210"/>
      <c r="BV180" s="210"/>
      <c r="BW180" s="210"/>
      <c r="BX180" s="210"/>
      <c r="BY180" s="210"/>
      <c r="BZ180" s="210"/>
      <c r="CA180" s="210"/>
      <c r="CB180" s="210"/>
      <c r="CC180" s="210"/>
      <c r="CD180" s="210"/>
      <c r="CE180" s="210"/>
      <c r="CF180" s="210"/>
      <c r="CG180" s="210"/>
      <c r="CH180" s="210"/>
      <c r="CI180" s="210"/>
      <c r="CJ180" s="210"/>
      <c r="CK180" s="210"/>
    </row>
    <row r="181">
      <c r="A181" s="222" t="s">
        <v>639</v>
      </c>
      <c r="B181" s="190" t="s">
        <v>640</v>
      </c>
      <c r="C181" s="223" t="s">
        <v>68</v>
      </c>
      <c r="D181" s="223" t="s">
        <v>861</v>
      </c>
      <c r="E181" s="190" t="s">
        <v>22</v>
      </c>
      <c r="F181" s="13" t="s">
        <v>917</v>
      </c>
      <c r="G181" s="190"/>
      <c r="H181" s="219">
        <f>IFERROR(
  MINIFS(ATTENDANCE_LOG!$F:$F,
         ATTENDANCE_LOG!$A:$A, C181,
         ATTENDANCE_LOG!$B:$B, E181),
"")</f>
        <v>45887.375</v>
      </c>
      <c r="I181" s="219">
        <f t="shared" si="2"/>
        <v>45663.41667</v>
      </c>
      <c r="J181" s="190">
        <f>IFERROR(VLOOKUP(F181, LEVEL_HELPER!$A:$B, 2, 0), "")</f>
        <v>2.5</v>
      </c>
      <c r="K181" s="190" t="str">
        <f>IFERROR(VLOOKUP(G181, LEVEL_HELPER!$A:$B, 2, 0), "")</f>
        <v/>
      </c>
      <c r="L181" s="220" t="s">
        <v>943</v>
      </c>
      <c r="M181" s="220" t="s">
        <v>925</v>
      </c>
      <c r="N181" s="190">
        <f t="array" ref="N181">IFERROR(
  INDEX($J$2:$J$543,
    MATCH(A181&amp;TEXT(I181,"yyyy-mm-dd"),
          $A$2:$A$543&amp;TEXT($H$2:$H$543,"yyyy-mm-dd"),
          0)),
"")</f>
        <v>1</v>
      </c>
      <c r="O181" s="210">
        <f t="shared" si="3"/>
        <v>2.5</v>
      </c>
      <c r="P181" s="210">
        <f t="shared" ref="P181:Q181" si="191">IF(N181="",0,IF(N181&lt;=2,1,IF(N181&lt;=4,2,IF(N181&lt;=5.5,3,4))))</f>
        <v>1</v>
      </c>
      <c r="Q181" s="210">
        <f t="shared" si="191"/>
        <v>2</v>
      </c>
      <c r="R181" s="210" t="str">
        <f t="shared" si="5"/>
        <v>Lv1 → Lv2</v>
      </c>
      <c r="S181" s="210">
        <f t="shared" si="6"/>
        <v>1</v>
      </c>
      <c r="T181" s="210"/>
      <c r="U181" s="210"/>
      <c r="V181" s="211" t="s">
        <v>214</v>
      </c>
      <c r="W181" s="210" t="str">
        <f t="shared" si="7"/>
        <v>DEV</v>
      </c>
      <c r="X181" s="210" t="str">
        <f t="shared" si="8"/>
        <v>DEV, TA</v>
      </c>
      <c r="Y181" s="210" t="str">
        <f t="shared" si="9"/>
        <v>CHORUS</v>
      </c>
      <c r="Z181" s="210"/>
      <c r="AA181" s="210"/>
      <c r="AB181" s="210"/>
      <c r="AC181" s="210"/>
      <c r="AD181" s="210"/>
      <c r="AE181" s="210"/>
      <c r="AF181" s="210"/>
      <c r="AG181" s="210"/>
      <c r="AH181" s="210"/>
      <c r="AI181" s="210"/>
      <c r="AJ181" s="210"/>
      <c r="AK181" s="210"/>
      <c r="AL181" s="210"/>
      <c r="AM181" s="214"/>
      <c r="AN181" s="210"/>
      <c r="AO181" s="210" t="str">
        <f t="shared" si="10"/>
        <v>#N/A</v>
      </c>
      <c r="AP181" s="210" t="str">
        <f t="shared" si="11"/>
        <v>#N/A</v>
      </c>
      <c r="AQ181" s="210" t="str">
        <f t="shared" si="12"/>
        <v>#N/A</v>
      </c>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c r="BU181" s="210"/>
      <c r="BV181" s="210"/>
      <c r="BW181" s="210"/>
      <c r="BX181" s="210"/>
      <c r="BY181" s="210"/>
      <c r="BZ181" s="210"/>
      <c r="CA181" s="210"/>
      <c r="CB181" s="210"/>
      <c r="CC181" s="210"/>
      <c r="CD181" s="210"/>
      <c r="CE181" s="210"/>
      <c r="CF181" s="210"/>
      <c r="CG181" s="210"/>
      <c r="CH181" s="210"/>
      <c r="CI181" s="210"/>
      <c r="CJ181" s="210"/>
      <c r="CK181" s="210"/>
    </row>
    <row r="182">
      <c r="A182" s="222" t="s">
        <v>643</v>
      </c>
      <c r="B182" s="190" t="s">
        <v>644</v>
      </c>
      <c r="C182" s="223" t="s">
        <v>68</v>
      </c>
      <c r="D182" s="223" t="s">
        <v>861</v>
      </c>
      <c r="E182" s="190" t="s">
        <v>22</v>
      </c>
      <c r="F182" s="13" t="s">
        <v>918</v>
      </c>
      <c r="G182" s="190"/>
      <c r="H182" s="219">
        <f>IFERROR(
  MINIFS(ATTENDANCE_LOG!$F:$F,
         ATTENDANCE_LOG!$A:$A, C182,
         ATTENDANCE_LOG!$B:$B, E182),
"")</f>
        <v>45887.375</v>
      </c>
      <c r="I182" s="219">
        <f t="shared" si="2"/>
        <v>45645.41667</v>
      </c>
      <c r="J182" s="190">
        <f>IFERROR(VLOOKUP(F182, LEVEL_HELPER!$A:$B, 2, 0), "")</f>
        <v>3</v>
      </c>
      <c r="K182" s="190" t="str">
        <f>IFERROR(VLOOKUP(G182, LEVEL_HELPER!$A:$B, 2, 0), "")</f>
        <v/>
      </c>
      <c r="L182" s="220" t="s">
        <v>943</v>
      </c>
      <c r="M182" s="220" t="s">
        <v>925</v>
      </c>
      <c r="N182" s="190">
        <f t="array" ref="N182">IFERROR(
  INDEX($J$2:$J$543,
    MATCH(A182&amp;TEXT(I182,"yyyy-mm-dd"),
          $A$2:$A$543&amp;TEXT($H$2:$H$543,"yyyy-mm-dd"),
          0)),
"")</f>
        <v>1</v>
      </c>
      <c r="O182" s="210">
        <f t="shared" si="3"/>
        <v>3</v>
      </c>
      <c r="P182" s="210">
        <f t="shared" ref="P182:Q182" si="192">IF(N182="",0,IF(N182&lt;=2,1,IF(N182&lt;=4,2,IF(N182&lt;=5.5,3,4))))</f>
        <v>1</v>
      </c>
      <c r="Q182" s="210">
        <f t="shared" si="192"/>
        <v>2</v>
      </c>
      <c r="R182" s="210" t="str">
        <f t="shared" si="5"/>
        <v>Lv1 → Lv2</v>
      </c>
      <c r="S182" s="210">
        <f t="shared" si="6"/>
        <v>0</v>
      </c>
      <c r="T182" s="210"/>
      <c r="U182" s="210"/>
      <c r="V182" s="211" t="s">
        <v>436</v>
      </c>
      <c r="W182" s="210" t="str">
        <f t="shared" si="7"/>
        <v>DEV</v>
      </c>
      <c r="X182" s="210" t="str">
        <f t="shared" si="8"/>
        <v>DEV, TA</v>
      </c>
      <c r="Y182" s="210" t="str">
        <f t="shared" si="9"/>
        <v>CHORUS</v>
      </c>
      <c r="Z182" s="210"/>
      <c r="AA182" s="210"/>
      <c r="AB182" s="210"/>
      <c r="AC182" s="210"/>
      <c r="AD182" s="210"/>
      <c r="AE182" s="210"/>
      <c r="AF182" s="210"/>
      <c r="AG182" s="210"/>
      <c r="AH182" s="210"/>
      <c r="AI182" s="210"/>
      <c r="AJ182" s="210"/>
      <c r="AK182" s="210"/>
      <c r="AL182" s="210"/>
      <c r="AM182" s="214"/>
      <c r="AN182" s="210"/>
      <c r="AO182" s="210" t="str">
        <f t="shared" si="10"/>
        <v>#N/A</v>
      </c>
      <c r="AP182" s="210" t="str">
        <f t="shared" si="11"/>
        <v>#N/A</v>
      </c>
      <c r="AQ182" s="210" t="str">
        <f t="shared" si="12"/>
        <v>#N/A</v>
      </c>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c r="BU182" s="210"/>
      <c r="BV182" s="210"/>
      <c r="BW182" s="210"/>
      <c r="BX182" s="210"/>
      <c r="BY182" s="210"/>
      <c r="BZ182" s="210"/>
      <c r="CA182" s="210"/>
      <c r="CB182" s="210"/>
      <c r="CC182" s="210"/>
      <c r="CD182" s="210"/>
      <c r="CE182" s="210"/>
      <c r="CF182" s="210"/>
      <c r="CG182" s="210"/>
      <c r="CH182" s="210"/>
      <c r="CI182" s="210"/>
      <c r="CJ182" s="210"/>
      <c r="CK182" s="210"/>
    </row>
    <row r="183">
      <c r="A183" s="222" t="s">
        <v>715</v>
      </c>
      <c r="B183" s="190" t="s">
        <v>716</v>
      </c>
      <c r="C183" s="223" t="s">
        <v>68</v>
      </c>
      <c r="D183" s="223" t="s">
        <v>861</v>
      </c>
      <c r="E183" s="190" t="s">
        <v>22</v>
      </c>
      <c r="F183" s="13" t="s">
        <v>917</v>
      </c>
      <c r="G183" s="190"/>
      <c r="H183" s="219">
        <f>IFERROR(
  MINIFS(ATTENDANCE_LOG!$F:$F,
         ATTENDANCE_LOG!$A:$A, C183,
         ATTENDANCE_LOG!$B:$B, E183),
"")</f>
        <v>45887.375</v>
      </c>
      <c r="I183" s="219">
        <f t="shared" si="2"/>
        <v>45663.41667</v>
      </c>
      <c r="J183" s="190">
        <f>IFERROR(VLOOKUP(F183, LEVEL_HELPER!$A:$B, 2, 0), "")</f>
        <v>2.5</v>
      </c>
      <c r="K183" s="190" t="str">
        <f>IFERROR(VLOOKUP(G183, LEVEL_HELPER!$A:$B, 2, 0), "")</f>
        <v/>
      </c>
      <c r="L183" s="220" t="s">
        <v>943</v>
      </c>
      <c r="M183" s="220" t="s">
        <v>925</v>
      </c>
      <c r="N183" s="190">
        <f t="array" ref="N183">IFERROR(
  INDEX($J$2:$J$543,
    MATCH(A183&amp;TEXT(I183,"yyyy-mm-dd"),
          $A$2:$A$543&amp;TEXT($H$2:$H$543,"yyyy-mm-dd"),
          0)),
"")</f>
        <v>2.5</v>
      </c>
      <c r="O183" s="210">
        <f t="shared" si="3"/>
        <v>2.5</v>
      </c>
      <c r="P183" s="210">
        <f t="shared" ref="P183:Q183" si="193">IF(N183="",0,IF(N183&lt;=2,1,IF(N183&lt;=4,2,IF(N183&lt;=5.5,3,4))))</f>
        <v>2</v>
      </c>
      <c r="Q183" s="210">
        <f t="shared" si="193"/>
        <v>2</v>
      </c>
      <c r="R183" s="210" t="str">
        <f t="shared" si="5"/>
        <v>No Progress</v>
      </c>
      <c r="S183" s="210">
        <f t="shared" si="6"/>
        <v>1</v>
      </c>
      <c r="T183" s="210"/>
      <c r="U183" s="210"/>
      <c r="V183" s="211" t="s">
        <v>476</v>
      </c>
      <c r="W183" s="210" t="str">
        <f t="shared" si="7"/>
        <v>DEV</v>
      </c>
      <c r="X183" s="210" t="str">
        <f t="shared" si="8"/>
        <v>DEV, TA</v>
      </c>
      <c r="Y183" s="210" t="str">
        <f t="shared" si="9"/>
        <v>CHORUS</v>
      </c>
      <c r="Z183" s="210"/>
      <c r="AA183" s="210"/>
      <c r="AB183" s="210"/>
      <c r="AC183" s="210"/>
      <c r="AD183" s="210"/>
      <c r="AE183" s="210"/>
      <c r="AF183" s="210"/>
      <c r="AG183" s="210"/>
      <c r="AH183" s="210"/>
      <c r="AI183" s="210"/>
      <c r="AJ183" s="210"/>
      <c r="AK183" s="210"/>
      <c r="AL183" s="210"/>
      <c r="AM183" s="214"/>
      <c r="AN183" s="210"/>
      <c r="AO183" s="210" t="str">
        <f t="shared" si="10"/>
        <v>#N/A</v>
      </c>
      <c r="AP183" s="210" t="str">
        <f t="shared" si="11"/>
        <v>#N/A</v>
      </c>
      <c r="AQ183" s="210" t="str">
        <f t="shared" si="12"/>
        <v>#N/A</v>
      </c>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c r="BU183" s="210"/>
      <c r="BV183" s="210"/>
      <c r="BW183" s="210"/>
      <c r="BX183" s="210"/>
      <c r="BY183" s="210"/>
      <c r="BZ183" s="210"/>
      <c r="CA183" s="210"/>
      <c r="CB183" s="210"/>
      <c r="CC183" s="210"/>
      <c r="CD183" s="210"/>
      <c r="CE183" s="210"/>
      <c r="CF183" s="210"/>
      <c r="CG183" s="210"/>
      <c r="CH183" s="210"/>
      <c r="CI183" s="210"/>
      <c r="CJ183" s="210"/>
      <c r="CK183" s="210"/>
    </row>
    <row r="184">
      <c r="A184" s="216" t="s">
        <v>257</v>
      </c>
      <c r="B184" s="217" t="s">
        <v>258</v>
      </c>
      <c r="C184" s="218" t="s">
        <v>69</v>
      </c>
      <c r="D184" s="218" t="s">
        <v>862</v>
      </c>
      <c r="E184" s="217" t="s">
        <v>21</v>
      </c>
      <c r="F184" s="13" t="s">
        <v>917</v>
      </c>
      <c r="G184" s="13" t="s">
        <v>932</v>
      </c>
      <c r="H184" s="219">
        <f>IFERROR(
  MINIFS(ATTENDANCE_LOG!$F:$F,
         ATTENDANCE_LOG!$A:$A, C184,
         ATTENDANCE_LOG!$B:$B, E184),
"")</f>
        <v>45663.41667</v>
      </c>
      <c r="I184" s="219">
        <f t="shared" si="2"/>
        <v>45663.41667</v>
      </c>
      <c r="J184" s="190">
        <f>IFERROR(VLOOKUP(F184, LEVEL_HELPER!$A:$B, 2, 0), "")</f>
        <v>2.5</v>
      </c>
      <c r="K184" s="190">
        <f>IFERROR(VLOOKUP(G184, LEVEL_HELPER!$A:$B, 2, 0), "")</f>
        <v>4.5</v>
      </c>
      <c r="L184" s="220" t="s">
        <v>943</v>
      </c>
      <c r="M184" s="220" t="s">
        <v>925</v>
      </c>
      <c r="N184" s="190">
        <f t="array" ref="N184">IFERROR(
  INDEX($J$2:$J$543,
    MATCH(A184&amp;TEXT(I184,"yyyy-mm-dd"),
          $A$2:$A$543&amp;TEXT($H$2:$H$543,"yyyy-mm-dd"),
          0)),
"")</f>
        <v>2.5</v>
      </c>
      <c r="O184" s="210">
        <f t="shared" si="3"/>
        <v>4.5</v>
      </c>
      <c r="P184" s="210">
        <f t="shared" ref="P184:Q184" si="194">IF(N184="",0,IF(N184&lt;=2,1,IF(N184&lt;=4,2,IF(N184&lt;=5.5,3,4))))</f>
        <v>2</v>
      </c>
      <c r="Q184" s="210">
        <f t="shared" si="194"/>
        <v>3</v>
      </c>
      <c r="R184" s="210" t="str">
        <f t="shared" si="5"/>
        <v>Lv2 → Lv3</v>
      </c>
      <c r="S184" s="210">
        <f t="shared" si="6"/>
        <v>1</v>
      </c>
      <c r="T184" s="210"/>
      <c r="U184" s="210"/>
      <c r="V184" s="211" t="s">
        <v>488</v>
      </c>
      <c r="W184" s="210" t="str">
        <f t="shared" si="7"/>
        <v>QC</v>
      </c>
      <c r="X184" s="210" t="str">
        <f t="shared" si="8"/>
        <v>QC</v>
      </c>
      <c r="Y184" s="210" t="str">
        <f t="shared" si="9"/>
        <v>CHORUS</v>
      </c>
      <c r="Z184" s="210"/>
      <c r="AA184" s="210"/>
      <c r="AB184" s="210"/>
      <c r="AC184" s="210"/>
      <c r="AD184" s="210"/>
      <c r="AE184" s="210"/>
      <c r="AF184" s="210"/>
      <c r="AG184" s="210"/>
      <c r="AH184" s="210"/>
      <c r="AI184" s="210"/>
      <c r="AJ184" s="210"/>
      <c r="AK184" s="210"/>
      <c r="AL184" s="210"/>
      <c r="AM184" s="214"/>
      <c r="AN184" s="210"/>
      <c r="AO184" s="210" t="str">
        <f t="shared" si="10"/>
        <v>#N/A</v>
      </c>
      <c r="AP184" s="210" t="str">
        <f t="shared" si="11"/>
        <v>#N/A</v>
      </c>
      <c r="AQ184" s="210" t="str">
        <f t="shared" si="12"/>
        <v>#N/A</v>
      </c>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c r="BU184" s="210"/>
      <c r="BV184" s="210"/>
      <c r="BW184" s="210"/>
      <c r="BX184" s="210"/>
      <c r="BY184" s="210"/>
      <c r="BZ184" s="210"/>
      <c r="CA184" s="210"/>
      <c r="CB184" s="210"/>
      <c r="CC184" s="210"/>
      <c r="CD184" s="210"/>
      <c r="CE184" s="210"/>
      <c r="CF184" s="210"/>
      <c r="CG184" s="210"/>
      <c r="CH184" s="210"/>
      <c r="CI184" s="210"/>
      <c r="CJ184" s="210"/>
      <c r="CK184" s="210"/>
    </row>
    <row r="185">
      <c r="A185" s="222" t="s">
        <v>311</v>
      </c>
      <c r="B185" s="190" t="s">
        <v>312</v>
      </c>
      <c r="C185" s="223" t="s">
        <v>69</v>
      </c>
      <c r="D185" s="223" t="s">
        <v>862</v>
      </c>
      <c r="E185" s="190" t="s">
        <v>21</v>
      </c>
      <c r="F185" s="13" t="s">
        <v>927</v>
      </c>
      <c r="G185" s="13" t="s">
        <v>927</v>
      </c>
      <c r="H185" s="219">
        <f>IFERROR(
  MINIFS(ATTENDANCE_LOG!$F:$F,
         ATTENDANCE_LOG!$A:$A, C185,
         ATTENDANCE_LOG!$B:$B, E185),
"")</f>
        <v>45663.41667</v>
      </c>
      <c r="I185" s="219">
        <f t="shared" si="2"/>
        <v>45663.41667</v>
      </c>
      <c r="J185" s="190">
        <f>IFERROR(VLOOKUP(F185, LEVEL_HELPER!$A:$B, 2, 0), "")</f>
        <v>1</v>
      </c>
      <c r="K185" s="190">
        <f>IFERROR(VLOOKUP(G185, LEVEL_HELPER!$A:$B, 2, 0), "")</f>
        <v>1</v>
      </c>
      <c r="L185" s="220" t="s">
        <v>943</v>
      </c>
      <c r="M185" s="220" t="s">
        <v>925</v>
      </c>
      <c r="N185" s="190">
        <f t="array" ref="N185">IFERROR(
  INDEX($J$2:$J$543,
    MATCH(A185&amp;TEXT(I185,"yyyy-mm-dd"),
          $A$2:$A$543&amp;TEXT($H$2:$H$543,"yyyy-mm-dd"),
          0)),
"")</f>
        <v>1</v>
      </c>
      <c r="O185" s="210">
        <f t="shared" si="3"/>
        <v>1</v>
      </c>
      <c r="P185" s="210">
        <f t="shared" ref="P185:Q185" si="195">IF(N185="",0,IF(N185&lt;=2,1,IF(N185&lt;=4,2,IF(N185&lt;=5.5,3,4))))</f>
        <v>1</v>
      </c>
      <c r="Q185" s="210">
        <f t="shared" si="195"/>
        <v>1</v>
      </c>
      <c r="R185" s="210" t="str">
        <f t="shared" si="5"/>
        <v>No Progress</v>
      </c>
      <c r="S185" s="210">
        <f t="shared" si="6"/>
        <v>1</v>
      </c>
      <c r="T185" s="210"/>
      <c r="U185" s="210"/>
      <c r="V185" s="211" t="s">
        <v>661</v>
      </c>
      <c r="W185" s="210" t="str">
        <f t="shared" si="7"/>
        <v>SM</v>
      </c>
      <c r="X185" s="210" t="str">
        <f t="shared" si="8"/>
        <v>PPO, SM, IM </v>
      </c>
      <c r="Y185" s="210" t="str">
        <f t="shared" si="9"/>
        <v>CHORUS</v>
      </c>
      <c r="Z185" s="210"/>
      <c r="AA185" s="210"/>
      <c r="AB185" s="210"/>
      <c r="AC185" s="210"/>
      <c r="AD185" s="210"/>
      <c r="AE185" s="210"/>
      <c r="AF185" s="210"/>
      <c r="AG185" s="210"/>
      <c r="AH185" s="210"/>
      <c r="AI185" s="210"/>
      <c r="AJ185" s="210"/>
      <c r="AK185" s="210"/>
      <c r="AL185" s="210"/>
      <c r="AM185" s="214"/>
      <c r="AN185" s="210"/>
      <c r="AO185" s="210" t="str">
        <f t="shared" si="10"/>
        <v>#N/A</v>
      </c>
      <c r="AP185" s="210" t="str">
        <f t="shared" si="11"/>
        <v>#N/A</v>
      </c>
      <c r="AQ185" s="210" t="str">
        <f t="shared" si="12"/>
        <v>#N/A</v>
      </c>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c r="BU185" s="210"/>
      <c r="BV185" s="210"/>
      <c r="BW185" s="210"/>
      <c r="BX185" s="210"/>
      <c r="BY185" s="210"/>
      <c r="BZ185" s="210"/>
      <c r="CA185" s="210"/>
      <c r="CB185" s="210"/>
      <c r="CC185" s="210"/>
      <c r="CD185" s="210"/>
      <c r="CE185" s="210"/>
      <c r="CF185" s="210"/>
      <c r="CG185" s="210"/>
      <c r="CH185" s="210"/>
      <c r="CI185" s="210"/>
      <c r="CJ185" s="210"/>
      <c r="CK185" s="210"/>
    </row>
    <row r="186">
      <c r="A186" s="222" t="s">
        <v>323</v>
      </c>
      <c r="B186" s="190" t="s">
        <v>324</v>
      </c>
      <c r="C186" s="223" t="s">
        <v>69</v>
      </c>
      <c r="D186" s="223" t="s">
        <v>862</v>
      </c>
      <c r="E186" s="190" t="s">
        <v>21</v>
      </c>
      <c r="F186" s="13" t="s">
        <v>927</v>
      </c>
      <c r="G186" s="13" t="s">
        <v>927</v>
      </c>
      <c r="H186" s="219">
        <f>IFERROR(
  MINIFS(ATTENDANCE_LOG!$F:$F,
         ATTENDANCE_LOG!$A:$A, C186,
         ATTENDANCE_LOG!$B:$B, E186),
"")</f>
        <v>45663.41667</v>
      </c>
      <c r="I186" s="219">
        <f t="shared" si="2"/>
        <v>45663.41667</v>
      </c>
      <c r="J186" s="190">
        <f>IFERROR(VLOOKUP(F186, LEVEL_HELPER!$A:$B, 2, 0), "")</f>
        <v>1</v>
      </c>
      <c r="K186" s="190">
        <f>IFERROR(VLOOKUP(G186, LEVEL_HELPER!$A:$B, 2, 0), "")</f>
        <v>1</v>
      </c>
      <c r="L186" s="220" t="s">
        <v>943</v>
      </c>
      <c r="M186" s="220" t="s">
        <v>925</v>
      </c>
      <c r="N186" s="190">
        <f t="array" ref="N186">IFERROR(
  INDEX($J$2:$J$543,
    MATCH(A186&amp;TEXT(I186,"yyyy-mm-dd"),
          $A$2:$A$543&amp;TEXT($H$2:$H$543,"yyyy-mm-dd"),
          0)),
"")</f>
        <v>1</v>
      </c>
      <c r="O186" s="210">
        <f t="shared" si="3"/>
        <v>1</v>
      </c>
      <c r="P186" s="210">
        <f t="shared" ref="P186:Q186" si="196">IF(N186="",0,IF(N186&lt;=2,1,IF(N186&lt;=4,2,IF(N186&lt;=5.5,3,4))))</f>
        <v>1</v>
      </c>
      <c r="Q186" s="210">
        <f t="shared" si="196"/>
        <v>1</v>
      </c>
      <c r="R186" s="210" t="str">
        <f t="shared" si="5"/>
        <v>No Progress</v>
      </c>
      <c r="S186" s="210">
        <f t="shared" si="6"/>
        <v>0</v>
      </c>
      <c r="T186" s="210"/>
      <c r="U186" s="210"/>
      <c r="V186" s="211" t="s">
        <v>157</v>
      </c>
      <c r="W186" s="210" t="str">
        <f t="shared" si="7"/>
        <v>QC</v>
      </c>
      <c r="X186" s="210" t="str">
        <f t="shared" si="8"/>
        <v>QC</v>
      </c>
      <c r="Y186" s="210" t="str">
        <f t="shared" si="9"/>
        <v>CHORUS</v>
      </c>
      <c r="Z186" s="210"/>
      <c r="AA186" s="210"/>
      <c r="AB186" s="210"/>
      <c r="AC186" s="210"/>
      <c r="AD186" s="210"/>
      <c r="AE186" s="210"/>
      <c r="AF186" s="210"/>
      <c r="AG186" s="210"/>
      <c r="AH186" s="210"/>
      <c r="AI186" s="210"/>
      <c r="AJ186" s="210"/>
      <c r="AK186" s="210"/>
      <c r="AL186" s="210"/>
      <c r="AM186" s="214"/>
      <c r="AN186" s="210"/>
      <c r="AO186" s="210" t="str">
        <f t="shared" si="10"/>
        <v>#N/A</v>
      </c>
      <c r="AP186" s="210" t="str">
        <f t="shared" si="11"/>
        <v>#N/A</v>
      </c>
      <c r="AQ186" s="210" t="str">
        <f t="shared" si="12"/>
        <v>#N/A</v>
      </c>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c r="BU186" s="210"/>
      <c r="BV186" s="210"/>
      <c r="BW186" s="210"/>
      <c r="BX186" s="210"/>
      <c r="BY186" s="210"/>
      <c r="BZ186" s="210"/>
      <c r="CA186" s="210"/>
      <c r="CB186" s="210"/>
      <c r="CC186" s="210"/>
      <c r="CD186" s="210"/>
      <c r="CE186" s="210"/>
      <c r="CF186" s="210"/>
      <c r="CG186" s="210"/>
      <c r="CH186" s="210"/>
      <c r="CI186" s="210"/>
      <c r="CJ186" s="210"/>
      <c r="CK186" s="210"/>
    </row>
    <row r="187">
      <c r="A187" s="222" t="s">
        <v>403</v>
      </c>
      <c r="B187" s="190" t="s">
        <v>404</v>
      </c>
      <c r="C187" s="223" t="s">
        <v>69</v>
      </c>
      <c r="D187" s="223" t="s">
        <v>862</v>
      </c>
      <c r="E187" s="190" t="s">
        <v>21</v>
      </c>
      <c r="F187" s="13" t="s">
        <v>917</v>
      </c>
      <c r="G187" s="13" t="s">
        <v>932</v>
      </c>
      <c r="H187" s="219">
        <f>IFERROR(
  MINIFS(ATTENDANCE_LOG!$F:$F,
         ATTENDANCE_LOG!$A:$A, C187,
         ATTENDANCE_LOG!$B:$B, E187),
"")</f>
        <v>45663.41667</v>
      </c>
      <c r="I187" s="219">
        <f t="shared" si="2"/>
        <v>45663.41667</v>
      </c>
      <c r="J187" s="190">
        <f>IFERROR(VLOOKUP(F187, LEVEL_HELPER!$A:$B, 2, 0), "")</f>
        <v>2.5</v>
      </c>
      <c r="K187" s="190">
        <f>IFERROR(VLOOKUP(G187, LEVEL_HELPER!$A:$B, 2, 0), "")</f>
        <v>4.5</v>
      </c>
      <c r="L187" s="220" t="s">
        <v>943</v>
      </c>
      <c r="M187" s="220" t="s">
        <v>925</v>
      </c>
      <c r="N187" s="190">
        <f t="array" ref="N187">IFERROR(
  INDEX($J$2:$J$543,
    MATCH(A187&amp;TEXT(I187,"yyyy-mm-dd"),
          $A$2:$A$543&amp;TEXT($H$2:$H$543,"yyyy-mm-dd"),
          0)),
"")</f>
        <v>2.5</v>
      </c>
      <c r="O187" s="210">
        <f t="shared" si="3"/>
        <v>4.5</v>
      </c>
      <c r="P187" s="210">
        <f t="shared" ref="P187:Q187" si="197">IF(N187="",0,IF(N187&lt;=2,1,IF(N187&lt;=4,2,IF(N187&lt;=5.5,3,4))))</f>
        <v>2</v>
      </c>
      <c r="Q187" s="210">
        <f t="shared" si="197"/>
        <v>3</v>
      </c>
      <c r="R187" s="210" t="str">
        <f t="shared" si="5"/>
        <v>Lv2 → Lv3</v>
      </c>
      <c r="S187" s="210">
        <f t="shared" si="6"/>
        <v>1</v>
      </c>
      <c r="T187" s="210"/>
      <c r="U187" s="210"/>
      <c r="V187" s="211" t="s">
        <v>194</v>
      </c>
      <c r="W187" s="210" t="str">
        <f t="shared" si="7"/>
        <v>DEV</v>
      </c>
      <c r="X187" s="210" t="str">
        <f t="shared" si="8"/>
        <v>DEV, TA</v>
      </c>
      <c r="Y187" s="210" t="str">
        <f t="shared" si="9"/>
        <v>CHORUS</v>
      </c>
      <c r="Z187" s="210"/>
      <c r="AA187" s="210"/>
      <c r="AB187" s="210"/>
      <c r="AC187" s="210"/>
      <c r="AD187" s="210"/>
      <c r="AE187" s="210"/>
      <c r="AF187" s="210"/>
      <c r="AG187" s="210"/>
      <c r="AH187" s="210"/>
      <c r="AI187" s="210"/>
      <c r="AJ187" s="210"/>
      <c r="AK187" s="210"/>
      <c r="AL187" s="210"/>
      <c r="AM187" s="214"/>
      <c r="AN187" s="210"/>
      <c r="AO187" s="210" t="str">
        <f t="shared" si="10"/>
        <v>#N/A</v>
      </c>
      <c r="AP187" s="210" t="str">
        <f t="shared" si="11"/>
        <v>#N/A</v>
      </c>
      <c r="AQ187" s="210" t="str">
        <f t="shared" si="12"/>
        <v>#N/A</v>
      </c>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c r="BU187" s="210"/>
      <c r="BV187" s="210"/>
      <c r="BW187" s="210"/>
      <c r="BX187" s="210"/>
      <c r="BY187" s="210"/>
      <c r="BZ187" s="210"/>
      <c r="CA187" s="210"/>
      <c r="CB187" s="210"/>
      <c r="CC187" s="210"/>
      <c r="CD187" s="210"/>
      <c r="CE187" s="210"/>
      <c r="CF187" s="210"/>
      <c r="CG187" s="210"/>
      <c r="CH187" s="210"/>
      <c r="CI187" s="210"/>
      <c r="CJ187" s="210"/>
      <c r="CK187" s="210"/>
    </row>
    <row r="188">
      <c r="A188" s="222" t="s">
        <v>639</v>
      </c>
      <c r="B188" s="190" t="s">
        <v>640</v>
      </c>
      <c r="C188" s="223" t="s">
        <v>69</v>
      </c>
      <c r="D188" s="223" t="s">
        <v>862</v>
      </c>
      <c r="E188" s="190" t="s">
        <v>21</v>
      </c>
      <c r="F188" s="13" t="s">
        <v>927</v>
      </c>
      <c r="G188" s="13" t="s">
        <v>917</v>
      </c>
      <c r="H188" s="219">
        <f>IFERROR(
  MINIFS(ATTENDANCE_LOG!$F:$F,
         ATTENDANCE_LOG!$A:$A, C188,
         ATTENDANCE_LOG!$B:$B, E188),
"")</f>
        <v>45663.41667</v>
      </c>
      <c r="I188" s="219">
        <f t="shared" si="2"/>
        <v>45663.41667</v>
      </c>
      <c r="J188" s="190">
        <f>IFERROR(VLOOKUP(F188, LEVEL_HELPER!$A:$B, 2, 0), "")</f>
        <v>1</v>
      </c>
      <c r="K188" s="190">
        <f>IFERROR(VLOOKUP(G188, LEVEL_HELPER!$A:$B, 2, 0), "")</f>
        <v>2.5</v>
      </c>
      <c r="L188" s="220" t="s">
        <v>943</v>
      </c>
      <c r="M188" s="220" t="s">
        <v>925</v>
      </c>
      <c r="N188" s="190">
        <f t="array" ref="N188">IFERROR(
  INDEX($J$2:$J$543,
    MATCH(A188&amp;TEXT(I188,"yyyy-mm-dd"),
          $A$2:$A$543&amp;TEXT($H$2:$H$543,"yyyy-mm-dd"),
          0)),
"")</f>
        <v>1</v>
      </c>
      <c r="O188" s="210">
        <f t="shared" si="3"/>
        <v>2.5</v>
      </c>
      <c r="P188" s="210">
        <f t="shared" ref="P188:Q188" si="198">IF(N188="",0,IF(N188&lt;=2,1,IF(N188&lt;=4,2,IF(N188&lt;=5.5,3,4))))</f>
        <v>1</v>
      </c>
      <c r="Q188" s="210">
        <f t="shared" si="198"/>
        <v>2</v>
      </c>
      <c r="R188" s="210" t="str">
        <f t="shared" si="5"/>
        <v>Lv1 → Lv2</v>
      </c>
      <c r="S188" s="210">
        <f t="shared" si="6"/>
        <v>0</v>
      </c>
      <c r="T188" s="210"/>
      <c r="U188" s="210"/>
      <c r="V188" s="211" t="s">
        <v>457</v>
      </c>
      <c r="W188" s="210" t="str">
        <f t="shared" si="7"/>
        <v>QC</v>
      </c>
      <c r="X188" s="210" t="str">
        <f t="shared" si="8"/>
        <v>QC</v>
      </c>
      <c r="Y188" s="210" t="str">
        <f t="shared" si="9"/>
        <v>CHORUS</v>
      </c>
      <c r="Z188" s="210"/>
      <c r="AA188" s="210"/>
      <c r="AB188" s="210"/>
      <c r="AC188" s="210"/>
      <c r="AD188" s="210"/>
      <c r="AE188" s="210"/>
      <c r="AF188" s="210"/>
      <c r="AG188" s="210"/>
      <c r="AH188" s="210"/>
      <c r="AI188" s="210"/>
      <c r="AJ188" s="210"/>
      <c r="AK188" s="210"/>
      <c r="AL188" s="210"/>
      <c r="AM188" s="214"/>
      <c r="AN188" s="210"/>
      <c r="AO188" s="210" t="str">
        <f t="shared" si="10"/>
        <v>#N/A</v>
      </c>
      <c r="AP188" s="210" t="str">
        <f t="shared" si="11"/>
        <v>#N/A</v>
      </c>
      <c r="AQ188" s="210" t="str">
        <f t="shared" si="12"/>
        <v>#N/A</v>
      </c>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c r="BU188" s="210"/>
      <c r="BV188" s="210"/>
      <c r="BW188" s="210"/>
      <c r="BX188" s="210"/>
      <c r="BY188" s="210"/>
      <c r="BZ188" s="210"/>
      <c r="CA188" s="210"/>
      <c r="CB188" s="210"/>
      <c r="CC188" s="210"/>
      <c r="CD188" s="210"/>
      <c r="CE188" s="210"/>
      <c r="CF188" s="210"/>
      <c r="CG188" s="210"/>
      <c r="CH188" s="210"/>
      <c r="CI188" s="210"/>
      <c r="CJ188" s="210"/>
      <c r="CK188" s="210"/>
    </row>
    <row r="189">
      <c r="A189" s="222" t="s">
        <v>715</v>
      </c>
      <c r="B189" s="190" t="s">
        <v>716</v>
      </c>
      <c r="C189" s="223" t="s">
        <v>69</v>
      </c>
      <c r="D189" s="223" t="s">
        <v>862</v>
      </c>
      <c r="E189" s="190" t="s">
        <v>21</v>
      </c>
      <c r="F189" s="13" t="s">
        <v>917</v>
      </c>
      <c r="G189" s="13" t="s">
        <v>917</v>
      </c>
      <c r="H189" s="219">
        <f>IFERROR(
  MINIFS(ATTENDANCE_LOG!$F:$F,
         ATTENDANCE_LOG!$A:$A, C189,
         ATTENDANCE_LOG!$B:$B, E189),
"")</f>
        <v>45663.41667</v>
      </c>
      <c r="I189" s="219">
        <f t="shared" si="2"/>
        <v>45663.41667</v>
      </c>
      <c r="J189" s="190">
        <f>IFERROR(VLOOKUP(F189, LEVEL_HELPER!$A:$B, 2, 0), "")</f>
        <v>2.5</v>
      </c>
      <c r="K189" s="190">
        <f>IFERROR(VLOOKUP(G189, LEVEL_HELPER!$A:$B, 2, 0), "")</f>
        <v>2.5</v>
      </c>
      <c r="L189" s="220" t="s">
        <v>943</v>
      </c>
      <c r="M189" s="220" t="s">
        <v>925</v>
      </c>
      <c r="N189" s="190">
        <f t="array" ref="N189">IFERROR(
  INDEX($J$2:$J$543,
    MATCH(A189&amp;TEXT(I189,"yyyy-mm-dd"),
          $A$2:$A$543&amp;TEXT($H$2:$H$543,"yyyy-mm-dd"),
          0)),
"")</f>
        <v>2.5</v>
      </c>
      <c r="O189" s="210">
        <f t="shared" si="3"/>
        <v>2.5</v>
      </c>
      <c r="P189" s="210">
        <f t="shared" ref="P189:Q189" si="199">IF(N189="",0,IF(N189&lt;=2,1,IF(N189&lt;=4,2,IF(N189&lt;=5.5,3,4))))</f>
        <v>2</v>
      </c>
      <c r="Q189" s="210">
        <f t="shared" si="199"/>
        <v>2</v>
      </c>
      <c r="R189" s="210" t="str">
        <f t="shared" si="5"/>
        <v>No Progress</v>
      </c>
      <c r="S189" s="210">
        <f t="shared" si="6"/>
        <v>0</v>
      </c>
      <c r="T189" s="210"/>
      <c r="U189" s="210"/>
      <c r="V189" s="211" t="s">
        <v>541</v>
      </c>
      <c r="W189" s="210" t="str">
        <f t="shared" si="7"/>
        <v>SM</v>
      </c>
      <c r="X189" s="210" t="str">
        <f t="shared" si="8"/>
        <v>PPO, SM, IM </v>
      </c>
      <c r="Y189" s="210" t="str">
        <f t="shared" si="9"/>
        <v>CHORUS</v>
      </c>
      <c r="Z189" s="210"/>
      <c r="AA189" s="210"/>
      <c r="AB189" s="210"/>
      <c r="AC189" s="210"/>
      <c r="AD189" s="210"/>
      <c r="AE189" s="210"/>
      <c r="AF189" s="210"/>
      <c r="AG189" s="210"/>
      <c r="AH189" s="210"/>
      <c r="AI189" s="210"/>
      <c r="AJ189" s="210"/>
      <c r="AK189" s="210"/>
      <c r="AL189" s="210"/>
      <c r="AM189" s="214"/>
      <c r="AN189" s="210"/>
      <c r="AO189" s="210" t="str">
        <f t="shared" si="10"/>
        <v>#N/A</v>
      </c>
      <c r="AP189" s="210" t="str">
        <f t="shared" si="11"/>
        <v>#N/A</v>
      </c>
      <c r="AQ189" s="210" t="str">
        <f t="shared" si="12"/>
        <v>#N/A</v>
      </c>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c r="BU189" s="210"/>
      <c r="BV189" s="210"/>
      <c r="BW189" s="210"/>
      <c r="BX189" s="210"/>
      <c r="BY189" s="210"/>
      <c r="BZ189" s="210"/>
      <c r="CA189" s="210"/>
      <c r="CB189" s="210"/>
      <c r="CC189" s="210"/>
      <c r="CD189" s="210"/>
      <c r="CE189" s="210"/>
      <c r="CF189" s="210"/>
      <c r="CG189" s="210"/>
      <c r="CH189" s="210"/>
      <c r="CI189" s="210"/>
      <c r="CJ189" s="210"/>
      <c r="CK189" s="210"/>
    </row>
    <row r="190">
      <c r="A190" s="216" t="s">
        <v>434</v>
      </c>
      <c r="B190" s="217" t="s">
        <v>435</v>
      </c>
      <c r="C190" s="218" t="s">
        <v>70</v>
      </c>
      <c r="D190" s="218" t="s">
        <v>863</v>
      </c>
      <c r="E190" s="217" t="s">
        <v>21</v>
      </c>
      <c r="F190" s="13" t="s">
        <v>927</v>
      </c>
      <c r="G190" s="13" t="s">
        <v>935</v>
      </c>
      <c r="H190" s="219">
        <f>IFERROR(
  MINIFS(ATTENDANCE_LOG!$F:$F,
         ATTENDANCE_LOG!$A:$A, C190,
         ATTENDANCE_LOG!$B:$B, E190),
"")</f>
        <v>45638.41667</v>
      </c>
      <c r="I190" s="219">
        <f t="shared" si="2"/>
        <v>45638.41667</v>
      </c>
      <c r="J190" s="190">
        <f>IFERROR(VLOOKUP(F190, LEVEL_HELPER!$A:$B, 2, 0), "")</f>
        <v>1</v>
      </c>
      <c r="K190" s="190">
        <f>IFERROR(VLOOKUP(G190, LEVEL_HELPER!$A:$B, 2, 0), "")</f>
        <v>3.5</v>
      </c>
      <c r="L190" s="220" t="s">
        <v>943</v>
      </c>
      <c r="M190" s="220" t="s">
        <v>926</v>
      </c>
      <c r="N190" s="190">
        <f t="array" ref="N190">IFERROR(
  INDEX($J$2:$J$543,
    MATCH(A190&amp;TEXT(I190,"yyyy-mm-dd"),
          $A$2:$A$543&amp;TEXT($H$2:$H$543,"yyyy-mm-dd"),
          0)),
"")</f>
        <v>1</v>
      </c>
      <c r="O190" s="210">
        <f t="shared" si="3"/>
        <v>3.5</v>
      </c>
      <c r="P190" s="210">
        <f t="shared" ref="P190:Q190" si="200">IF(N190="",0,IF(N190&lt;=2,1,IF(N190&lt;=4,2,IF(N190&lt;=5.5,3,4))))</f>
        <v>1</v>
      </c>
      <c r="Q190" s="210">
        <f t="shared" si="200"/>
        <v>2</v>
      </c>
      <c r="R190" s="210" t="str">
        <f t="shared" si="5"/>
        <v>Lv1 → Lv2</v>
      </c>
      <c r="S190" s="210">
        <f t="shared" si="6"/>
        <v>1</v>
      </c>
      <c r="T190" s="210"/>
      <c r="U190" s="210"/>
      <c r="V190" s="211" t="s">
        <v>703</v>
      </c>
      <c r="W190" s="210" t="str">
        <f t="shared" si="7"/>
        <v>DEV</v>
      </c>
      <c r="X190" s="210" t="str">
        <f t="shared" si="8"/>
        <v>DEV, TA</v>
      </c>
      <c r="Y190" s="210" t="str">
        <f t="shared" si="9"/>
        <v>CHORUS</v>
      </c>
      <c r="Z190" s="210"/>
      <c r="AA190" s="210"/>
      <c r="AB190" s="210"/>
      <c r="AC190" s="210"/>
      <c r="AD190" s="210"/>
      <c r="AE190" s="210"/>
      <c r="AF190" s="210"/>
      <c r="AG190" s="210"/>
      <c r="AH190" s="210"/>
      <c r="AI190" s="210"/>
      <c r="AJ190" s="210"/>
      <c r="AK190" s="210"/>
      <c r="AL190" s="210"/>
      <c r="AM190" s="214"/>
      <c r="AN190" s="210"/>
      <c r="AO190" s="210" t="str">
        <f t="shared" si="10"/>
        <v>#N/A</v>
      </c>
      <c r="AP190" s="210" t="str">
        <f t="shared" si="11"/>
        <v>#N/A</v>
      </c>
      <c r="AQ190" s="210" t="str">
        <f t="shared" si="12"/>
        <v>#N/A</v>
      </c>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c r="BU190" s="210"/>
      <c r="BV190" s="210"/>
      <c r="BW190" s="210"/>
      <c r="BX190" s="210"/>
      <c r="BY190" s="210"/>
      <c r="BZ190" s="210"/>
      <c r="CA190" s="210"/>
      <c r="CB190" s="210"/>
      <c r="CC190" s="210"/>
      <c r="CD190" s="210"/>
      <c r="CE190" s="210"/>
      <c r="CF190" s="210"/>
      <c r="CG190" s="210"/>
      <c r="CH190" s="210"/>
      <c r="CI190" s="210"/>
      <c r="CJ190" s="210"/>
      <c r="CK190" s="210"/>
    </row>
    <row r="191">
      <c r="A191" s="222" t="s">
        <v>167</v>
      </c>
      <c r="B191" s="190" t="s">
        <v>168</v>
      </c>
      <c r="C191" s="223" t="s">
        <v>70</v>
      </c>
      <c r="D191" s="223" t="s">
        <v>863</v>
      </c>
      <c r="E191" s="190" t="s">
        <v>21</v>
      </c>
      <c r="F191" s="13" t="s">
        <v>927</v>
      </c>
      <c r="G191" s="13" t="s">
        <v>929</v>
      </c>
      <c r="H191" s="219">
        <f>IFERROR(
  MINIFS(ATTENDANCE_LOG!$F:$F,
         ATTENDANCE_LOG!$A:$A, C191,
         ATTENDANCE_LOG!$B:$B, E191),
"")</f>
        <v>45638.41667</v>
      </c>
      <c r="I191" s="219">
        <f t="shared" si="2"/>
        <v>45638.41667</v>
      </c>
      <c r="J191" s="190">
        <f>IFERROR(VLOOKUP(F191, LEVEL_HELPER!$A:$B, 2, 0), "")</f>
        <v>1</v>
      </c>
      <c r="K191" s="190">
        <f>IFERROR(VLOOKUP(G191, LEVEL_HELPER!$A:$B, 2, 0), "")</f>
        <v>1.5</v>
      </c>
      <c r="L191" s="220" t="s">
        <v>919</v>
      </c>
      <c r="M191" s="220" t="s">
        <v>923</v>
      </c>
      <c r="N191" s="190">
        <f t="array" ref="N191">IFERROR(
  INDEX($J$2:$J$543,
    MATCH(A191&amp;TEXT(I191,"yyyy-mm-dd"),
          $A$2:$A$543&amp;TEXT($H$2:$H$543,"yyyy-mm-dd"),
          0)),
"")</f>
        <v>1</v>
      </c>
      <c r="O191" s="210">
        <f t="shared" si="3"/>
        <v>1.5</v>
      </c>
      <c r="P191" s="210">
        <f t="shared" ref="P191:Q191" si="201">IF(N191="",0,IF(N191&lt;=2,1,IF(N191&lt;=4,2,IF(N191&lt;=5.5,3,4))))</f>
        <v>1</v>
      </c>
      <c r="Q191" s="210">
        <f t="shared" si="201"/>
        <v>1</v>
      </c>
      <c r="R191" s="210" t="str">
        <f t="shared" si="5"/>
        <v>Progress within level</v>
      </c>
      <c r="S191" s="210">
        <f t="shared" si="6"/>
        <v>0</v>
      </c>
      <c r="T191" s="210"/>
      <c r="U191" s="210"/>
      <c r="V191" s="211" t="s">
        <v>707</v>
      </c>
      <c r="W191" s="210" t="str">
        <f t="shared" si="7"/>
        <v>SM</v>
      </c>
      <c r="X191" s="210" t="str">
        <f t="shared" si="8"/>
        <v>PPO, SM, IM </v>
      </c>
      <c r="Y191" s="210" t="str">
        <f t="shared" si="9"/>
        <v>CHORUS</v>
      </c>
      <c r="Z191" s="210"/>
      <c r="AA191" s="210"/>
      <c r="AB191" s="210"/>
      <c r="AC191" s="210"/>
      <c r="AD191" s="210"/>
      <c r="AE191" s="210"/>
      <c r="AF191" s="210"/>
      <c r="AG191" s="210"/>
      <c r="AH191" s="210"/>
      <c r="AI191" s="210"/>
      <c r="AJ191" s="210"/>
      <c r="AK191" s="210"/>
      <c r="AL191" s="210"/>
      <c r="AM191" s="214"/>
      <c r="AN191" s="210"/>
      <c r="AO191" s="210" t="str">
        <f t="shared" si="10"/>
        <v>#N/A</v>
      </c>
      <c r="AP191" s="210" t="str">
        <f t="shared" si="11"/>
        <v>#N/A</v>
      </c>
      <c r="AQ191" s="210" t="str">
        <f t="shared" si="12"/>
        <v>#N/A</v>
      </c>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c r="BU191" s="210"/>
      <c r="BV191" s="210"/>
      <c r="BW191" s="210"/>
      <c r="BX191" s="210"/>
      <c r="BY191" s="210"/>
      <c r="BZ191" s="210"/>
      <c r="CA191" s="210"/>
      <c r="CB191" s="210"/>
      <c r="CC191" s="210"/>
      <c r="CD191" s="210"/>
      <c r="CE191" s="210"/>
      <c r="CF191" s="210"/>
      <c r="CG191" s="210"/>
      <c r="CH191" s="210"/>
      <c r="CI191" s="210"/>
      <c r="CJ191" s="210"/>
      <c r="CK191" s="210"/>
    </row>
    <row r="192">
      <c r="A192" s="222" t="s">
        <v>184</v>
      </c>
      <c r="B192" s="190" t="s">
        <v>185</v>
      </c>
      <c r="C192" s="223" t="s">
        <v>70</v>
      </c>
      <c r="D192" s="223" t="s">
        <v>863</v>
      </c>
      <c r="E192" s="190" t="s">
        <v>21</v>
      </c>
      <c r="F192" s="13" t="s">
        <v>927</v>
      </c>
      <c r="G192" s="13" t="s">
        <v>935</v>
      </c>
      <c r="H192" s="219">
        <f>IFERROR(
  MINIFS(ATTENDANCE_LOG!$F:$F,
         ATTENDANCE_LOG!$A:$A, C192,
         ATTENDANCE_LOG!$B:$B, E192),
"")</f>
        <v>45638.41667</v>
      </c>
      <c r="I192" s="219">
        <f t="shared" si="2"/>
        <v>45638.41667</v>
      </c>
      <c r="J192" s="190">
        <f>IFERROR(VLOOKUP(F192, LEVEL_HELPER!$A:$B, 2, 0), "")</f>
        <v>1</v>
      </c>
      <c r="K192" s="190">
        <f>IFERROR(VLOOKUP(G192, LEVEL_HELPER!$A:$B, 2, 0), "")</f>
        <v>3.5</v>
      </c>
      <c r="L192" s="220" t="s">
        <v>943</v>
      </c>
      <c r="M192" s="220" t="s">
        <v>926</v>
      </c>
      <c r="N192" s="190">
        <f t="array" ref="N192">IFERROR(
  INDEX($J$2:$J$543,
    MATCH(A192&amp;TEXT(I192,"yyyy-mm-dd"),
          $A$2:$A$543&amp;TEXT($H$2:$H$543,"yyyy-mm-dd"),
          0)),
"")</f>
        <v>1</v>
      </c>
      <c r="O192" s="210">
        <f t="shared" si="3"/>
        <v>3.5</v>
      </c>
      <c r="P192" s="210">
        <f t="shared" ref="P192:Q192" si="202">IF(N192="",0,IF(N192&lt;=2,1,IF(N192&lt;=4,2,IF(N192&lt;=5.5,3,4))))</f>
        <v>1</v>
      </c>
      <c r="Q192" s="210">
        <f t="shared" si="202"/>
        <v>2</v>
      </c>
      <c r="R192" s="210" t="str">
        <f t="shared" si="5"/>
        <v>Lv1 → Lv2</v>
      </c>
      <c r="S192" s="210">
        <f t="shared" si="6"/>
        <v>0</v>
      </c>
      <c r="T192" s="210"/>
      <c r="U192" s="210"/>
      <c r="V192" s="211" t="s">
        <v>512</v>
      </c>
      <c r="W192" s="210" t="str">
        <f t="shared" si="7"/>
        <v>DEV</v>
      </c>
      <c r="X192" s="210" t="str">
        <f t="shared" si="8"/>
        <v>DEV, TA</v>
      </c>
      <c r="Y192" s="210" t="str">
        <f t="shared" si="9"/>
        <v>MOC</v>
      </c>
      <c r="Z192" s="210"/>
      <c r="AA192" s="210"/>
      <c r="AB192" s="210"/>
      <c r="AC192" s="210"/>
      <c r="AD192" s="210"/>
      <c r="AE192" s="210"/>
      <c r="AF192" s="210"/>
      <c r="AG192" s="210"/>
      <c r="AH192" s="210"/>
      <c r="AI192" s="210"/>
      <c r="AJ192" s="210"/>
      <c r="AK192" s="210"/>
      <c r="AL192" s="210"/>
      <c r="AM192" s="214"/>
      <c r="AN192" s="210"/>
      <c r="AO192" s="210" t="str">
        <f t="shared" si="10"/>
        <v>#N/A</v>
      </c>
      <c r="AP192" s="210" t="str">
        <f t="shared" si="11"/>
        <v>#N/A</v>
      </c>
      <c r="AQ192" s="210" t="str">
        <f t="shared" si="12"/>
        <v>#N/A</v>
      </c>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c r="BU192" s="210"/>
      <c r="BV192" s="210"/>
      <c r="BW192" s="210"/>
      <c r="BX192" s="210"/>
      <c r="BY192" s="210"/>
      <c r="BZ192" s="210"/>
      <c r="CA192" s="210"/>
      <c r="CB192" s="210"/>
      <c r="CC192" s="210"/>
      <c r="CD192" s="210"/>
      <c r="CE192" s="210"/>
      <c r="CF192" s="210"/>
      <c r="CG192" s="210"/>
      <c r="CH192" s="210"/>
      <c r="CI192" s="210"/>
      <c r="CJ192" s="210"/>
      <c r="CK192" s="210"/>
    </row>
    <row r="193">
      <c r="A193" s="222" t="s">
        <v>188</v>
      </c>
      <c r="B193" s="190" t="s">
        <v>189</v>
      </c>
      <c r="C193" s="223" t="s">
        <v>70</v>
      </c>
      <c r="D193" s="223" t="s">
        <v>863</v>
      </c>
      <c r="E193" s="190" t="s">
        <v>21</v>
      </c>
      <c r="F193" s="13" t="s">
        <v>927</v>
      </c>
      <c r="G193" s="13" t="s">
        <v>935</v>
      </c>
      <c r="H193" s="219">
        <f>IFERROR(
  MINIFS(ATTENDANCE_LOG!$F:$F,
         ATTENDANCE_LOG!$A:$A, C193,
         ATTENDANCE_LOG!$B:$B, E193),
"")</f>
        <v>45638.41667</v>
      </c>
      <c r="I193" s="219">
        <f t="shared" si="2"/>
        <v>45638.41667</v>
      </c>
      <c r="J193" s="190">
        <f>IFERROR(VLOOKUP(F193, LEVEL_HELPER!$A:$B, 2, 0), "")</f>
        <v>1</v>
      </c>
      <c r="K193" s="190">
        <f>IFERROR(VLOOKUP(G193, LEVEL_HELPER!$A:$B, 2, 0), "")</f>
        <v>3.5</v>
      </c>
      <c r="L193" s="220" t="s">
        <v>919</v>
      </c>
      <c r="M193" s="220" t="s">
        <v>923</v>
      </c>
      <c r="N193" s="190">
        <f t="array" ref="N193">IFERROR(
  INDEX($J$2:$J$543,
    MATCH(A193&amp;TEXT(I193,"yyyy-mm-dd"),
          $A$2:$A$543&amp;TEXT($H$2:$H$543,"yyyy-mm-dd"),
          0)),
"")</f>
        <v>1</v>
      </c>
      <c r="O193" s="210">
        <f t="shared" si="3"/>
        <v>3.5</v>
      </c>
      <c r="P193" s="210">
        <f t="shared" ref="P193:Q193" si="203">IF(N193="",0,IF(N193&lt;=2,1,IF(N193&lt;=4,2,IF(N193&lt;=5.5,3,4))))</f>
        <v>1</v>
      </c>
      <c r="Q193" s="210">
        <f t="shared" si="203"/>
        <v>2</v>
      </c>
      <c r="R193" s="210" t="str">
        <f t="shared" si="5"/>
        <v>Lv1 → Lv2</v>
      </c>
      <c r="S193" s="210">
        <f t="shared" si="6"/>
        <v>0</v>
      </c>
      <c r="T193" s="210"/>
      <c r="U193" s="210"/>
      <c r="V193" s="211" t="s">
        <v>524</v>
      </c>
      <c r="W193" s="210" t="str">
        <f t="shared" si="7"/>
        <v>DEV</v>
      </c>
      <c r="X193" s="210" t="str">
        <f t="shared" si="8"/>
        <v>DEV, TA</v>
      </c>
      <c r="Y193" s="210" t="str">
        <f t="shared" si="9"/>
        <v>MOC</v>
      </c>
      <c r="Z193" s="210"/>
      <c r="AA193" s="210"/>
      <c r="AB193" s="210"/>
      <c r="AC193" s="210"/>
      <c r="AD193" s="210"/>
      <c r="AE193" s="210"/>
      <c r="AF193" s="210"/>
      <c r="AG193" s="210"/>
      <c r="AH193" s="210"/>
      <c r="AI193" s="210"/>
      <c r="AJ193" s="210"/>
      <c r="AK193" s="210"/>
      <c r="AL193" s="210"/>
      <c r="AM193" s="214"/>
      <c r="AN193" s="210"/>
      <c r="AO193" s="210" t="str">
        <f t="shared" si="10"/>
        <v>#N/A</v>
      </c>
      <c r="AP193" s="210" t="str">
        <f t="shared" si="11"/>
        <v>#N/A</v>
      </c>
      <c r="AQ193" s="210" t="str">
        <f t="shared" si="12"/>
        <v>#N/A</v>
      </c>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c r="BU193" s="210"/>
      <c r="BV193" s="210"/>
      <c r="BW193" s="210"/>
      <c r="BX193" s="210"/>
      <c r="BY193" s="210"/>
      <c r="BZ193" s="210"/>
      <c r="CA193" s="210"/>
      <c r="CB193" s="210"/>
      <c r="CC193" s="210"/>
      <c r="CD193" s="210"/>
      <c r="CE193" s="210"/>
      <c r="CF193" s="210"/>
      <c r="CG193" s="210"/>
      <c r="CH193" s="210"/>
      <c r="CI193" s="210"/>
      <c r="CJ193" s="210"/>
      <c r="CK193" s="210"/>
    </row>
    <row r="194">
      <c r="A194" s="222" t="s">
        <v>192</v>
      </c>
      <c r="B194" s="190" t="s">
        <v>193</v>
      </c>
      <c r="C194" s="223" t="s">
        <v>70</v>
      </c>
      <c r="D194" s="223" t="s">
        <v>863</v>
      </c>
      <c r="E194" s="190" t="s">
        <v>21</v>
      </c>
      <c r="F194" s="13" t="s">
        <v>927</v>
      </c>
      <c r="G194" s="13" t="s">
        <v>918</v>
      </c>
      <c r="H194" s="219">
        <f>IFERROR(
  MINIFS(ATTENDANCE_LOG!$F:$F,
         ATTENDANCE_LOG!$A:$A, C194,
         ATTENDANCE_LOG!$B:$B, E194),
"")</f>
        <v>45638.41667</v>
      </c>
      <c r="I194" s="219">
        <f t="shared" si="2"/>
        <v>45638.41667</v>
      </c>
      <c r="J194" s="190">
        <f>IFERROR(VLOOKUP(F194, LEVEL_HELPER!$A:$B, 2, 0), "")</f>
        <v>1</v>
      </c>
      <c r="K194" s="190">
        <f>IFERROR(VLOOKUP(G194, LEVEL_HELPER!$A:$B, 2, 0), "")</f>
        <v>3</v>
      </c>
      <c r="L194" s="220" t="s">
        <v>943</v>
      </c>
      <c r="M194" s="220" t="s">
        <v>923</v>
      </c>
      <c r="N194" s="190">
        <f t="array" ref="N194">IFERROR(
  INDEX($J$2:$J$543,
    MATCH(A194&amp;TEXT(I194,"yyyy-mm-dd"),
          $A$2:$A$543&amp;TEXT($H$2:$H$543,"yyyy-mm-dd"),
          0)),
"")</f>
        <v>1</v>
      </c>
      <c r="O194" s="210">
        <f t="shared" si="3"/>
        <v>3</v>
      </c>
      <c r="P194" s="210">
        <f t="shared" ref="P194:Q194" si="204">IF(N194="",0,IF(N194&lt;=2,1,IF(N194&lt;=4,2,IF(N194&lt;=5.5,3,4))))</f>
        <v>1</v>
      </c>
      <c r="Q194" s="210">
        <f t="shared" si="204"/>
        <v>2</v>
      </c>
      <c r="R194" s="210" t="str">
        <f t="shared" si="5"/>
        <v>Lv1 → Lv2</v>
      </c>
      <c r="S194" s="210">
        <f t="shared" si="6"/>
        <v>1</v>
      </c>
      <c r="T194" s="210"/>
      <c r="U194" s="210"/>
      <c r="V194" s="211" t="s">
        <v>530</v>
      </c>
      <c r="W194" s="210" t="str">
        <f t="shared" si="7"/>
        <v>DEV</v>
      </c>
      <c r="X194" s="210" t="str">
        <f t="shared" si="8"/>
        <v>DEV, TA</v>
      </c>
      <c r="Y194" s="210" t="str">
        <f t="shared" si="9"/>
        <v>MOC</v>
      </c>
      <c r="Z194" s="210"/>
      <c r="AA194" s="210"/>
      <c r="AB194" s="210"/>
      <c r="AC194" s="210"/>
      <c r="AD194" s="210"/>
      <c r="AE194" s="210"/>
      <c r="AF194" s="210"/>
      <c r="AG194" s="210"/>
      <c r="AH194" s="210"/>
      <c r="AI194" s="210"/>
      <c r="AJ194" s="210"/>
      <c r="AK194" s="210"/>
      <c r="AL194" s="210"/>
      <c r="AM194" s="214"/>
      <c r="AN194" s="210"/>
      <c r="AO194" s="210" t="str">
        <f t="shared" si="10"/>
        <v>#N/A</v>
      </c>
      <c r="AP194" s="210" t="str">
        <f t="shared" si="11"/>
        <v>#N/A</v>
      </c>
      <c r="AQ194" s="210" t="str">
        <f t="shared" si="12"/>
        <v>#N/A</v>
      </c>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c r="BU194" s="210"/>
      <c r="BV194" s="210"/>
      <c r="BW194" s="210"/>
      <c r="BX194" s="210"/>
      <c r="BY194" s="210"/>
      <c r="BZ194" s="210"/>
      <c r="CA194" s="210"/>
      <c r="CB194" s="210"/>
      <c r="CC194" s="210"/>
      <c r="CD194" s="210"/>
      <c r="CE194" s="210"/>
      <c r="CF194" s="210"/>
      <c r="CG194" s="210"/>
      <c r="CH194" s="210"/>
      <c r="CI194" s="210"/>
      <c r="CJ194" s="210"/>
      <c r="CK194" s="210"/>
    </row>
    <row r="195">
      <c r="A195" s="222" t="s">
        <v>202</v>
      </c>
      <c r="B195" s="190" t="s">
        <v>203</v>
      </c>
      <c r="C195" s="223" t="s">
        <v>70</v>
      </c>
      <c r="D195" s="223" t="s">
        <v>863</v>
      </c>
      <c r="E195" s="190" t="s">
        <v>21</v>
      </c>
      <c r="F195" s="13" t="s">
        <v>932</v>
      </c>
      <c r="G195" s="13" t="s">
        <v>932</v>
      </c>
      <c r="H195" s="219">
        <f>IFERROR(
  MINIFS(ATTENDANCE_LOG!$F:$F,
         ATTENDANCE_LOG!$A:$A, C195,
         ATTENDANCE_LOG!$B:$B, E195),
"")</f>
        <v>45638.41667</v>
      </c>
      <c r="I195" s="219">
        <f t="shared" si="2"/>
        <v>45638.41667</v>
      </c>
      <c r="J195" s="190">
        <f>IFERROR(VLOOKUP(F195, LEVEL_HELPER!$A:$B, 2, 0), "")</f>
        <v>4.5</v>
      </c>
      <c r="K195" s="190">
        <f>IFERROR(VLOOKUP(G195, LEVEL_HELPER!$A:$B, 2, 0), "")</f>
        <v>4.5</v>
      </c>
      <c r="L195" s="220" t="s">
        <v>943</v>
      </c>
      <c r="M195" s="220" t="s">
        <v>926</v>
      </c>
      <c r="N195" s="190">
        <f t="array" ref="N195">IFERROR(
  INDEX($J$2:$J$543,
    MATCH(A195&amp;TEXT(I195,"yyyy-mm-dd"),
          $A$2:$A$543&amp;TEXT($H$2:$H$543,"yyyy-mm-dd"),
          0)),
"")</f>
        <v>4.5</v>
      </c>
      <c r="O195" s="210">
        <f t="shared" si="3"/>
        <v>4.5</v>
      </c>
      <c r="P195" s="210">
        <f t="shared" ref="P195:Q195" si="205">IF(N195="",0,IF(N195&lt;=2,1,IF(N195&lt;=4,2,IF(N195&lt;=5.5,3,4))))</f>
        <v>3</v>
      </c>
      <c r="Q195" s="210">
        <f t="shared" si="205"/>
        <v>3</v>
      </c>
      <c r="R195" s="210" t="str">
        <f t="shared" si="5"/>
        <v>No Progress</v>
      </c>
      <c r="S195" s="210">
        <f t="shared" si="6"/>
        <v>1</v>
      </c>
      <c r="T195" s="210"/>
      <c r="U195" s="210"/>
      <c r="V195" s="211" t="s">
        <v>621</v>
      </c>
      <c r="W195" s="210" t="str">
        <f t="shared" si="7"/>
        <v>DEV</v>
      </c>
      <c r="X195" s="210" t="str">
        <f t="shared" si="8"/>
        <v>DEV, TA</v>
      </c>
      <c r="Y195" s="210" t="str">
        <f t="shared" si="9"/>
        <v>MOC</v>
      </c>
      <c r="Z195" s="210"/>
      <c r="AA195" s="210"/>
      <c r="AB195" s="210"/>
      <c r="AC195" s="210"/>
      <c r="AD195" s="210"/>
      <c r="AE195" s="210"/>
      <c r="AF195" s="210"/>
      <c r="AG195" s="210"/>
      <c r="AH195" s="210"/>
      <c r="AI195" s="210"/>
      <c r="AJ195" s="210"/>
      <c r="AK195" s="210"/>
      <c r="AL195" s="210"/>
      <c r="AM195" s="214"/>
      <c r="AN195" s="210"/>
      <c r="AO195" s="210" t="str">
        <f t="shared" si="10"/>
        <v>#N/A</v>
      </c>
      <c r="AP195" s="210" t="str">
        <f t="shared" si="11"/>
        <v>#N/A</v>
      </c>
      <c r="AQ195" s="210" t="str">
        <f t="shared" si="12"/>
        <v>#N/A</v>
      </c>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c r="BU195" s="210"/>
      <c r="BV195" s="210"/>
      <c r="BW195" s="210"/>
      <c r="BX195" s="210"/>
      <c r="BY195" s="210"/>
      <c r="BZ195" s="210"/>
      <c r="CA195" s="210"/>
      <c r="CB195" s="210"/>
      <c r="CC195" s="210"/>
      <c r="CD195" s="210"/>
      <c r="CE195" s="210"/>
      <c r="CF195" s="210"/>
      <c r="CG195" s="210"/>
      <c r="CH195" s="210"/>
      <c r="CI195" s="210"/>
      <c r="CJ195" s="210"/>
      <c r="CK195" s="210"/>
    </row>
    <row r="196">
      <c r="A196" s="222" t="s">
        <v>607</v>
      </c>
      <c r="B196" s="190" t="s">
        <v>608</v>
      </c>
      <c r="C196" s="223" t="s">
        <v>70</v>
      </c>
      <c r="D196" s="223" t="s">
        <v>863</v>
      </c>
      <c r="E196" s="190" t="s">
        <v>21</v>
      </c>
      <c r="F196" s="13" t="s">
        <v>927</v>
      </c>
      <c r="G196" s="13" t="s">
        <v>935</v>
      </c>
      <c r="H196" s="219">
        <f>IFERROR(
  MINIFS(ATTENDANCE_LOG!$F:$F,
         ATTENDANCE_LOG!$A:$A, C196,
         ATTENDANCE_LOG!$B:$B, E196),
"")</f>
        <v>45638.41667</v>
      </c>
      <c r="I196" s="219">
        <f t="shared" si="2"/>
        <v>45638.41667</v>
      </c>
      <c r="J196" s="190">
        <f>IFERROR(VLOOKUP(F196, LEVEL_HELPER!$A:$B, 2, 0), "")</f>
        <v>1</v>
      </c>
      <c r="K196" s="190">
        <f>IFERROR(VLOOKUP(G196, LEVEL_HELPER!$A:$B, 2, 0), "")</f>
        <v>3.5</v>
      </c>
      <c r="L196" s="220" t="s">
        <v>943</v>
      </c>
      <c r="M196" s="229" t="s">
        <v>922</v>
      </c>
      <c r="N196" s="190">
        <f t="array" ref="N196">IFERROR(
  INDEX($J$2:$J$543,
    MATCH(A196&amp;TEXT(I196,"yyyy-mm-dd"),
          $A$2:$A$543&amp;TEXT($H$2:$H$543,"yyyy-mm-dd"),
          0)),
"")</f>
        <v>1</v>
      </c>
      <c r="O196" s="210">
        <f t="shared" si="3"/>
        <v>3.5</v>
      </c>
      <c r="P196" s="210">
        <f t="shared" ref="P196:Q196" si="206">IF(N196="",0,IF(N196&lt;=2,1,IF(N196&lt;=4,2,IF(N196&lt;=5.5,3,4))))</f>
        <v>1</v>
      </c>
      <c r="Q196" s="210">
        <f t="shared" si="206"/>
        <v>2</v>
      </c>
      <c r="R196" s="210" t="str">
        <f t="shared" si="5"/>
        <v>Lv1 → Lv2</v>
      </c>
      <c r="S196" s="210">
        <f t="shared" si="6"/>
        <v>1</v>
      </c>
      <c r="T196" s="210"/>
      <c r="U196" s="210"/>
      <c r="V196" s="211" t="s">
        <v>526</v>
      </c>
      <c r="W196" s="210" t="str">
        <f t="shared" si="7"/>
        <v>DEV</v>
      </c>
      <c r="X196" s="210" t="str">
        <f t="shared" si="8"/>
        <v>DEV, TA</v>
      </c>
      <c r="Y196" s="210" t="str">
        <f t="shared" si="9"/>
        <v>MOC</v>
      </c>
      <c r="Z196" s="210"/>
      <c r="AA196" s="210"/>
      <c r="AB196" s="210"/>
      <c r="AC196" s="210"/>
      <c r="AD196" s="210"/>
      <c r="AE196" s="210"/>
      <c r="AF196" s="210"/>
      <c r="AG196" s="210"/>
      <c r="AH196" s="210"/>
      <c r="AI196" s="210"/>
      <c r="AJ196" s="210"/>
      <c r="AK196" s="210"/>
      <c r="AL196" s="210"/>
      <c r="AM196" s="214"/>
      <c r="AN196" s="210"/>
      <c r="AO196" s="210" t="str">
        <f t="shared" si="10"/>
        <v>#N/A</v>
      </c>
      <c r="AP196" s="210" t="str">
        <f t="shared" si="11"/>
        <v>#N/A</v>
      </c>
      <c r="AQ196" s="210" t="str">
        <f t="shared" si="12"/>
        <v>#N/A</v>
      </c>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c r="BU196" s="210"/>
      <c r="BV196" s="210"/>
      <c r="BW196" s="210"/>
      <c r="BX196" s="210"/>
      <c r="BY196" s="210"/>
      <c r="BZ196" s="210"/>
      <c r="CA196" s="210"/>
      <c r="CB196" s="210"/>
      <c r="CC196" s="210"/>
      <c r="CD196" s="210"/>
      <c r="CE196" s="210"/>
      <c r="CF196" s="210"/>
      <c r="CG196" s="210"/>
      <c r="CH196" s="210"/>
      <c r="CI196" s="210"/>
      <c r="CJ196" s="210"/>
      <c r="CK196" s="210"/>
    </row>
    <row r="197">
      <c r="A197" s="222" t="s">
        <v>697</v>
      </c>
      <c r="B197" s="190" t="s">
        <v>698</v>
      </c>
      <c r="C197" s="223" t="s">
        <v>70</v>
      </c>
      <c r="D197" s="223" t="s">
        <v>863</v>
      </c>
      <c r="E197" s="190" t="s">
        <v>21</v>
      </c>
      <c r="F197" s="13" t="s">
        <v>927</v>
      </c>
      <c r="G197" s="13" t="s">
        <v>918</v>
      </c>
      <c r="H197" s="219">
        <f>IFERROR(
  MINIFS(ATTENDANCE_LOG!$F:$F,
         ATTENDANCE_LOG!$A:$A, C197,
         ATTENDANCE_LOG!$B:$B, E197),
"")</f>
        <v>45638.41667</v>
      </c>
      <c r="I197" s="219">
        <f t="shared" si="2"/>
        <v>45638.41667</v>
      </c>
      <c r="J197" s="190">
        <f>IFERROR(VLOOKUP(F197, LEVEL_HELPER!$A:$B, 2, 0), "")</f>
        <v>1</v>
      </c>
      <c r="K197" s="190">
        <f>IFERROR(VLOOKUP(G197, LEVEL_HELPER!$A:$B, 2, 0), "")</f>
        <v>3</v>
      </c>
      <c r="L197" s="220" t="s">
        <v>943</v>
      </c>
      <c r="M197" s="220" t="s">
        <v>926</v>
      </c>
      <c r="N197" s="190">
        <f t="array" ref="N197">IFERROR(
  INDEX($J$2:$J$543,
    MATCH(A197&amp;TEXT(I197,"yyyy-mm-dd"),
          $A$2:$A$543&amp;TEXT($H$2:$H$543,"yyyy-mm-dd"),
          0)),
"")</f>
        <v>1</v>
      </c>
      <c r="O197" s="210">
        <f t="shared" si="3"/>
        <v>3</v>
      </c>
      <c r="P197" s="210">
        <f t="shared" ref="P197:Q197" si="207">IF(N197="",0,IF(N197&lt;=2,1,IF(N197&lt;=4,2,IF(N197&lt;=5.5,3,4))))</f>
        <v>1</v>
      </c>
      <c r="Q197" s="210">
        <f t="shared" si="207"/>
        <v>2</v>
      </c>
      <c r="R197" s="210" t="str">
        <f t="shared" si="5"/>
        <v>Lv1 → Lv2</v>
      </c>
      <c r="S197" s="210">
        <f t="shared" si="6"/>
        <v>0</v>
      </c>
      <c r="T197" s="210"/>
      <c r="U197" s="210"/>
      <c r="V197" s="211" t="s">
        <v>271</v>
      </c>
      <c r="W197" s="210" t="str">
        <f t="shared" si="7"/>
        <v>DEV</v>
      </c>
      <c r="X197" s="210" t="str">
        <f t="shared" si="8"/>
        <v>DEV, TA</v>
      </c>
      <c r="Y197" s="210" t="str">
        <f t="shared" si="9"/>
        <v>TBU</v>
      </c>
      <c r="Z197" s="210"/>
      <c r="AA197" s="210"/>
      <c r="AB197" s="210"/>
      <c r="AC197" s="210"/>
      <c r="AD197" s="210"/>
      <c r="AE197" s="210"/>
      <c r="AF197" s="210"/>
      <c r="AG197" s="210"/>
      <c r="AH197" s="210"/>
      <c r="AI197" s="210"/>
      <c r="AJ197" s="210"/>
      <c r="AK197" s="210"/>
      <c r="AL197" s="210"/>
      <c r="AM197" s="214"/>
      <c r="AN197" s="210"/>
      <c r="AO197" s="210" t="str">
        <f t="shared" si="10"/>
        <v>#N/A</v>
      </c>
      <c r="AP197" s="210" t="str">
        <f t="shared" si="11"/>
        <v>#N/A</v>
      </c>
      <c r="AQ197" s="210" t="str">
        <f t="shared" si="12"/>
        <v>#N/A</v>
      </c>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c r="BU197" s="210"/>
      <c r="BV197" s="210"/>
      <c r="BW197" s="210"/>
      <c r="BX197" s="210"/>
      <c r="BY197" s="210"/>
      <c r="BZ197" s="210"/>
      <c r="CA197" s="210"/>
      <c r="CB197" s="210"/>
      <c r="CC197" s="210"/>
      <c r="CD197" s="210"/>
      <c r="CE197" s="210"/>
      <c r="CF197" s="210"/>
      <c r="CG197" s="210"/>
      <c r="CH197" s="210"/>
      <c r="CI197" s="210"/>
      <c r="CJ197" s="210"/>
      <c r="CK197" s="210"/>
    </row>
    <row r="198">
      <c r="A198" s="216" t="s">
        <v>434</v>
      </c>
      <c r="B198" s="217" t="s">
        <v>435</v>
      </c>
      <c r="C198" s="218" t="s">
        <v>70</v>
      </c>
      <c r="D198" s="218" t="s">
        <v>863</v>
      </c>
      <c r="E198" s="217" t="s">
        <v>22</v>
      </c>
      <c r="F198" s="13" t="s">
        <v>935</v>
      </c>
      <c r="G198" s="190"/>
      <c r="H198" s="219">
        <f>IFERROR(
  MINIFS(ATTENDANCE_LOG!$F:$F,
         ATTENDANCE_LOG!$A:$A, C198,
         ATTENDANCE_LOG!$B:$B, E198),
"")</f>
        <v>45841.58333</v>
      </c>
      <c r="I198" s="219">
        <f t="shared" si="2"/>
        <v>45638.41667</v>
      </c>
      <c r="J198" s="190">
        <f>IFERROR(VLOOKUP(F198, LEVEL_HELPER!$A:$B, 2, 0), "")</f>
        <v>3.5</v>
      </c>
      <c r="K198" s="190" t="str">
        <f>IFERROR(VLOOKUP(G198, LEVEL_HELPER!$A:$B, 2, 0), "")</f>
        <v/>
      </c>
      <c r="L198" s="220" t="s">
        <v>943</v>
      </c>
      <c r="M198" s="220" t="s">
        <v>926</v>
      </c>
      <c r="N198" s="190">
        <f t="array" ref="N198">IFERROR(
  INDEX($J$2:$J$543,
    MATCH(A198&amp;TEXT(I198,"yyyy-mm-dd"),
          $A$2:$A$543&amp;TEXT($H$2:$H$543,"yyyy-mm-dd"),
          0)),
"")</f>
        <v>1</v>
      </c>
      <c r="O198" s="210">
        <f t="shared" si="3"/>
        <v>3.5</v>
      </c>
      <c r="P198" s="210">
        <f t="shared" ref="P198:Q198" si="208">IF(N198="",0,IF(N198&lt;=2,1,IF(N198&lt;=4,2,IF(N198&lt;=5.5,3,4))))</f>
        <v>1</v>
      </c>
      <c r="Q198" s="210">
        <f t="shared" si="208"/>
        <v>2</v>
      </c>
      <c r="R198" s="210" t="str">
        <f t="shared" si="5"/>
        <v>Lv1 → Lv2</v>
      </c>
      <c r="S198" s="210">
        <f t="shared" si="6"/>
        <v>0</v>
      </c>
      <c r="T198" s="210"/>
      <c r="U198" s="210"/>
      <c r="V198" s="211" t="s">
        <v>279</v>
      </c>
      <c r="W198" s="210" t="str">
        <f t="shared" si="7"/>
        <v>DEV</v>
      </c>
      <c r="X198" s="210" t="str">
        <f t="shared" si="8"/>
        <v>DEV, TA</v>
      </c>
      <c r="Y198" s="210" t="str">
        <f t="shared" si="9"/>
        <v>MOC</v>
      </c>
      <c r="Z198" s="210"/>
      <c r="AA198" s="210"/>
      <c r="AB198" s="210"/>
      <c r="AC198" s="210"/>
      <c r="AD198" s="210"/>
      <c r="AE198" s="210"/>
      <c r="AF198" s="210"/>
      <c r="AG198" s="210"/>
      <c r="AH198" s="210"/>
      <c r="AI198" s="210"/>
      <c r="AJ198" s="210"/>
      <c r="AK198" s="210"/>
      <c r="AL198" s="210"/>
      <c r="AM198" s="214"/>
      <c r="AN198" s="210"/>
      <c r="AO198" s="210" t="str">
        <f t="shared" si="10"/>
        <v>#N/A</v>
      </c>
      <c r="AP198" s="210" t="str">
        <f t="shared" si="11"/>
        <v>#N/A</v>
      </c>
      <c r="AQ198" s="210" t="str">
        <f t="shared" si="12"/>
        <v>#N/A</v>
      </c>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c r="BU198" s="210"/>
      <c r="BV198" s="210"/>
      <c r="BW198" s="210"/>
      <c r="BX198" s="210"/>
      <c r="BY198" s="210"/>
      <c r="BZ198" s="210"/>
      <c r="CA198" s="210"/>
      <c r="CB198" s="210"/>
      <c r="CC198" s="210"/>
      <c r="CD198" s="210"/>
      <c r="CE198" s="210"/>
      <c r="CF198" s="210"/>
      <c r="CG198" s="210"/>
      <c r="CH198" s="210"/>
      <c r="CI198" s="210"/>
      <c r="CJ198" s="210"/>
      <c r="CK198" s="210"/>
    </row>
    <row r="199">
      <c r="A199" s="222" t="s">
        <v>167</v>
      </c>
      <c r="B199" s="190" t="s">
        <v>168</v>
      </c>
      <c r="C199" s="223" t="s">
        <v>70</v>
      </c>
      <c r="D199" s="223" t="s">
        <v>863</v>
      </c>
      <c r="E199" s="190" t="s">
        <v>22</v>
      </c>
      <c r="F199" s="13" t="s">
        <v>929</v>
      </c>
      <c r="G199" s="13" t="s">
        <v>929</v>
      </c>
      <c r="H199" s="219">
        <f>IFERROR(
  MINIFS(ATTENDANCE_LOG!$F:$F,
         ATTENDANCE_LOG!$A:$A, C199,
         ATTENDANCE_LOG!$B:$B, E199),
"")</f>
        <v>45841.58333</v>
      </c>
      <c r="I199" s="219">
        <f t="shared" si="2"/>
        <v>45638.41667</v>
      </c>
      <c r="J199" s="190">
        <f>IFERROR(VLOOKUP(F199, LEVEL_HELPER!$A:$B, 2, 0), "")</f>
        <v>1.5</v>
      </c>
      <c r="K199" s="190">
        <f>IFERROR(VLOOKUP(G199, LEVEL_HELPER!$A:$B, 2, 0), "")</f>
        <v>1.5</v>
      </c>
      <c r="L199" s="220" t="s">
        <v>919</v>
      </c>
      <c r="M199" s="220" t="s">
        <v>923</v>
      </c>
      <c r="N199" s="190">
        <f t="array" ref="N199">IFERROR(
  INDEX($J$2:$J$543,
    MATCH(A199&amp;TEXT(I199,"yyyy-mm-dd"),
          $A$2:$A$543&amp;TEXT($H$2:$H$543,"yyyy-mm-dd"),
          0)),
"")</f>
        <v>1</v>
      </c>
      <c r="O199" s="210">
        <f t="shared" si="3"/>
        <v>1.5</v>
      </c>
      <c r="P199" s="210">
        <f t="shared" ref="P199:Q199" si="209">IF(N199="",0,IF(N199&lt;=2,1,IF(N199&lt;=4,2,IF(N199&lt;=5.5,3,4))))</f>
        <v>1</v>
      </c>
      <c r="Q199" s="210">
        <f t="shared" si="209"/>
        <v>1</v>
      </c>
      <c r="R199" s="210" t="str">
        <f t="shared" si="5"/>
        <v>Progress within level</v>
      </c>
      <c r="S199" s="210">
        <f t="shared" si="6"/>
        <v>0</v>
      </c>
      <c r="T199" s="210"/>
      <c r="U199" s="210"/>
      <c r="V199" s="211" t="s">
        <v>300</v>
      </c>
      <c r="W199" s="210" t="str">
        <f t="shared" si="7"/>
        <v>DEV</v>
      </c>
      <c r="X199" s="210" t="str">
        <f t="shared" si="8"/>
        <v>DEV, TA</v>
      </c>
      <c r="Y199" s="210" t="str">
        <f t="shared" si="9"/>
        <v>MOC</v>
      </c>
      <c r="Z199" s="210"/>
      <c r="AA199" s="210"/>
      <c r="AB199" s="210"/>
      <c r="AC199" s="210"/>
      <c r="AD199" s="210"/>
      <c r="AE199" s="210"/>
      <c r="AF199" s="210"/>
      <c r="AG199" s="210"/>
      <c r="AH199" s="210"/>
      <c r="AI199" s="210"/>
      <c r="AJ199" s="210"/>
      <c r="AK199" s="210"/>
      <c r="AL199" s="210"/>
      <c r="AM199" s="214"/>
      <c r="AN199" s="210"/>
      <c r="AO199" s="210" t="str">
        <f t="shared" si="10"/>
        <v>#N/A</v>
      </c>
      <c r="AP199" s="210" t="str">
        <f t="shared" si="11"/>
        <v>#N/A</v>
      </c>
      <c r="AQ199" s="210" t="str">
        <f t="shared" si="12"/>
        <v>#N/A</v>
      </c>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c r="BU199" s="210"/>
      <c r="BV199" s="210"/>
      <c r="BW199" s="210"/>
      <c r="BX199" s="210"/>
      <c r="BY199" s="210"/>
      <c r="BZ199" s="210"/>
      <c r="CA199" s="210"/>
      <c r="CB199" s="210"/>
      <c r="CC199" s="210"/>
      <c r="CD199" s="210"/>
      <c r="CE199" s="210"/>
      <c r="CF199" s="210"/>
      <c r="CG199" s="210"/>
      <c r="CH199" s="210"/>
      <c r="CI199" s="210"/>
      <c r="CJ199" s="210"/>
      <c r="CK199" s="210"/>
    </row>
    <row r="200">
      <c r="A200" s="222" t="s">
        <v>184</v>
      </c>
      <c r="B200" s="190" t="s">
        <v>185</v>
      </c>
      <c r="C200" s="223" t="s">
        <v>70</v>
      </c>
      <c r="D200" s="223" t="s">
        <v>863</v>
      </c>
      <c r="E200" s="190" t="s">
        <v>22</v>
      </c>
      <c r="F200" s="13" t="s">
        <v>935</v>
      </c>
      <c r="G200" s="190"/>
      <c r="H200" s="219">
        <f>IFERROR(
  MINIFS(ATTENDANCE_LOG!$F:$F,
         ATTENDANCE_LOG!$A:$A, C200,
         ATTENDANCE_LOG!$B:$B, E200),
"")</f>
        <v>45841.58333</v>
      </c>
      <c r="I200" s="219">
        <f t="shared" si="2"/>
        <v>45638.41667</v>
      </c>
      <c r="J200" s="190">
        <f>IFERROR(VLOOKUP(F200, LEVEL_HELPER!$A:$B, 2, 0), "")</f>
        <v>3.5</v>
      </c>
      <c r="K200" s="190" t="str">
        <f>IFERROR(VLOOKUP(G200, LEVEL_HELPER!$A:$B, 2, 0), "")</f>
        <v/>
      </c>
      <c r="L200" s="220" t="s">
        <v>943</v>
      </c>
      <c r="M200" s="220" t="s">
        <v>926</v>
      </c>
      <c r="N200" s="190">
        <f t="array" ref="N200">IFERROR(
  INDEX($J$2:$J$543,
    MATCH(A200&amp;TEXT(I200,"yyyy-mm-dd"),
          $A$2:$A$543&amp;TEXT($H$2:$H$543,"yyyy-mm-dd"),
          0)),
"")</f>
        <v>1</v>
      </c>
      <c r="O200" s="210">
        <f t="shared" si="3"/>
        <v>3.5</v>
      </c>
      <c r="P200" s="210">
        <f t="shared" ref="P200:Q200" si="210">IF(N200="",0,IF(N200&lt;=2,1,IF(N200&lt;=4,2,IF(N200&lt;=5.5,3,4))))</f>
        <v>1</v>
      </c>
      <c r="Q200" s="210">
        <f t="shared" si="210"/>
        <v>2</v>
      </c>
      <c r="R200" s="210" t="str">
        <f t="shared" si="5"/>
        <v>Lv1 → Lv2</v>
      </c>
      <c r="S200" s="210">
        <f t="shared" si="6"/>
        <v>0</v>
      </c>
      <c r="T200" s="210"/>
      <c r="U200" s="210"/>
      <c r="V200" s="211" t="s">
        <v>350</v>
      </c>
      <c r="W200" s="210" t="str">
        <f t="shared" si="7"/>
        <v>DEV</v>
      </c>
      <c r="X200" s="210" t="str">
        <f t="shared" si="8"/>
        <v>DEV, TA</v>
      </c>
      <c r="Y200" s="210" t="str">
        <f t="shared" si="9"/>
        <v>MOC</v>
      </c>
      <c r="Z200" s="210"/>
      <c r="AA200" s="210"/>
      <c r="AB200" s="210"/>
      <c r="AC200" s="210"/>
      <c r="AD200" s="210"/>
      <c r="AE200" s="210"/>
      <c r="AF200" s="210"/>
      <c r="AG200" s="210"/>
      <c r="AH200" s="210"/>
      <c r="AI200" s="210"/>
      <c r="AJ200" s="210"/>
      <c r="AK200" s="210"/>
      <c r="AL200" s="210"/>
      <c r="AM200" s="214"/>
      <c r="AN200" s="210"/>
      <c r="AO200" s="210" t="str">
        <f t="shared" si="10"/>
        <v>#N/A</v>
      </c>
      <c r="AP200" s="210" t="str">
        <f t="shared" si="11"/>
        <v>#N/A</v>
      </c>
      <c r="AQ200" s="210" t="str">
        <f t="shared" si="12"/>
        <v>#N/A</v>
      </c>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c r="BU200" s="210"/>
      <c r="BV200" s="210"/>
      <c r="BW200" s="210"/>
      <c r="BX200" s="210"/>
      <c r="BY200" s="210"/>
      <c r="BZ200" s="210"/>
      <c r="CA200" s="210"/>
      <c r="CB200" s="210"/>
      <c r="CC200" s="210"/>
      <c r="CD200" s="210"/>
      <c r="CE200" s="210"/>
      <c r="CF200" s="210"/>
      <c r="CG200" s="210"/>
      <c r="CH200" s="210"/>
      <c r="CI200" s="210"/>
      <c r="CJ200" s="210"/>
      <c r="CK200" s="210"/>
    </row>
    <row r="201">
      <c r="A201" s="222" t="s">
        <v>188</v>
      </c>
      <c r="B201" s="190" t="s">
        <v>189</v>
      </c>
      <c r="C201" s="223" t="s">
        <v>70</v>
      </c>
      <c r="D201" s="223" t="s">
        <v>863</v>
      </c>
      <c r="E201" s="190" t="s">
        <v>22</v>
      </c>
      <c r="F201" s="13" t="s">
        <v>935</v>
      </c>
      <c r="G201" s="190"/>
      <c r="H201" s="219">
        <f>IFERROR(
  MINIFS(ATTENDANCE_LOG!$F:$F,
         ATTENDANCE_LOG!$A:$A, C201,
         ATTENDANCE_LOG!$B:$B, E201),
"")</f>
        <v>45841.58333</v>
      </c>
      <c r="I201" s="219">
        <f t="shared" si="2"/>
        <v>45638.41667</v>
      </c>
      <c r="J201" s="190">
        <f>IFERROR(VLOOKUP(F201, LEVEL_HELPER!$A:$B, 2, 0), "")</f>
        <v>3.5</v>
      </c>
      <c r="K201" s="190" t="str">
        <f>IFERROR(VLOOKUP(G201, LEVEL_HELPER!$A:$B, 2, 0), "")</f>
        <v/>
      </c>
      <c r="L201" s="220" t="s">
        <v>919</v>
      </c>
      <c r="M201" s="220" t="s">
        <v>923</v>
      </c>
      <c r="N201" s="190">
        <f t="array" ref="N201">IFERROR(
  INDEX($J$2:$J$543,
    MATCH(A201&amp;TEXT(I201,"yyyy-mm-dd"),
          $A$2:$A$543&amp;TEXT($H$2:$H$543,"yyyy-mm-dd"),
          0)),
"")</f>
        <v>1</v>
      </c>
      <c r="O201" s="210">
        <f t="shared" si="3"/>
        <v>3.5</v>
      </c>
      <c r="P201" s="210">
        <f t="shared" ref="P201:Q201" si="211">IF(N201="",0,IF(N201&lt;=2,1,IF(N201&lt;=4,2,IF(N201&lt;=5.5,3,4))))</f>
        <v>1</v>
      </c>
      <c r="Q201" s="210">
        <f t="shared" si="211"/>
        <v>2</v>
      </c>
      <c r="R201" s="210" t="str">
        <f t="shared" si="5"/>
        <v>Lv1 → Lv2</v>
      </c>
      <c r="S201" s="210">
        <f t="shared" si="6"/>
        <v>0</v>
      </c>
      <c r="T201" s="210"/>
      <c r="U201" s="210"/>
      <c r="V201" s="211" t="s">
        <v>208</v>
      </c>
      <c r="W201" s="210" t="str">
        <f t="shared" si="7"/>
        <v>DEV</v>
      </c>
      <c r="X201" s="210" t="str">
        <f t="shared" si="8"/>
        <v>DEV, TA</v>
      </c>
      <c r="Y201" s="210" t="str">
        <f t="shared" si="9"/>
        <v>MOC</v>
      </c>
      <c r="Z201" s="210"/>
      <c r="AA201" s="210"/>
      <c r="AB201" s="210"/>
      <c r="AC201" s="210"/>
      <c r="AD201" s="210"/>
      <c r="AE201" s="210"/>
      <c r="AF201" s="210"/>
      <c r="AG201" s="210"/>
      <c r="AH201" s="210"/>
      <c r="AI201" s="210"/>
      <c r="AJ201" s="210"/>
      <c r="AK201" s="210"/>
      <c r="AL201" s="210"/>
      <c r="AM201" s="214"/>
      <c r="AN201" s="210"/>
      <c r="AO201" s="210" t="str">
        <f t="shared" si="10"/>
        <v>#N/A</v>
      </c>
      <c r="AP201" s="210" t="str">
        <f t="shared" si="11"/>
        <v>#N/A</v>
      </c>
      <c r="AQ201" s="210" t="str">
        <f t="shared" si="12"/>
        <v>#N/A</v>
      </c>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c r="BU201" s="210"/>
      <c r="BV201" s="210"/>
      <c r="BW201" s="210"/>
      <c r="BX201" s="210"/>
      <c r="BY201" s="210"/>
      <c r="BZ201" s="210"/>
      <c r="CA201" s="210"/>
      <c r="CB201" s="210"/>
      <c r="CC201" s="210"/>
      <c r="CD201" s="210"/>
      <c r="CE201" s="210"/>
      <c r="CF201" s="210"/>
      <c r="CG201" s="210"/>
      <c r="CH201" s="210"/>
      <c r="CI201" s="210"/>
      <c r="CJ201" s="210"/>
      <c r="CK201" s="210"/>
    </row>
    <row r="202">
      <c r="A202" s="222" t="s">
        <v>697</v>
      </c>
      <c r="B202" s="190" t="s">
        <v>698</v>
      </c>
      <c r="C202" s="223" t="s">
        <v>70</v>
      </c>
      <c r="D202" s="223" t="s">
        <v>863</v>
      </c>
      <c r="E202" s="190" t="s">
        <v>22</v>
      </c>
      <c r="F202" s="13" t="s">
        <v>935</v>
      </c>
      <c r="G202" s="190"/>
      <c r="H202" s="219">
        <f>IFERROR(
  MINIFS(ATTENDANCE_LOG!$F:$F,
         ATTENDANCE_LOG!$A:$A, C202,
         ATTENDANCE_LOG!$B:$B, E202),
"")</f>
        <v>45841.58333</v>
      </c>
      <c r="I202" s="219">
        <f t="shared" si="2"/>
        <v>45638.41667</v>
      </c>
      <c r="J202" s="190">
        <f>IFERROR(VLOOKUP(F202, LEVEL_HELPER!$A:$B, 2, 0), "")</f>
        <v>3.5</v>
      </c>
      <c r="K202" s="190" t="str">
        <f>IFERROR(VLOOKUP(G202, LEVEL_HELPER!$A:$B, 2, 0), "")</f>
        <v/>
      </c>
      <c r="L202" s="220" t="s">
        <v>943</v>
      </c>
      <c r="M202" s="220" t="s">
        <v>926</v>
      </c>
      <c r="N202" s="190">
        <f t="array" ref="N202">IFERROR(
  INDEX($J$2:$J$543,
    MATCH(A202&amp;TEXT(I202,"yyyy-mm-dd"),
          $A$2:$A$543&amp;TEXT($H$2:$H$543,"yyyy-mm-dd"),
          0)),
"")</f>
        <v>1</v>
      </c>
      <c r="O202" s="210">
        <f t="shared" si="3"/>
        <v>3</v>
      </c>
      <c r="P202" s="210">
        <f t="shared" ref="P202:Q202" si="212">IF(N202="",0,IF(N202&lt;=2,1,IF(N202&lt;=4,2,IF(N202&lt;=5.5,3,4))))</f>
        <v>1</v>
      </c>
      <c r="Q202" s="210">
        <f t="shared" si="212"/>
        <v>2</v>
      </c>
      <c r="R202" s="210" t="str">
        <f t="shared" si="5"/>
        <v>Lv1 → Lv2</v>
      </c>
      <c r="S202" s="210">
        <f t="shared" si="6"/>
        <v>0</v>
      </c>
      <c r="T202" s="210"/>
      <c r="U202" s="210"/>
      <c r="V202" s="211" t="s">
        <v>243</v>
      </c>
      <c r="W202" s="210" t="str">
        <f t="shared" si="7"/>
        <v>DEV</v>
      </c>
      <c r="X202" s="210" t="str">
        <f t="shared" si="8"/>
        <v>DEV, TA</v>
      </c>
      <c r="Y202" s="210" t="str">
        <f t="shared" si="9"/>
        <v>MOC</v>
      </c>
      <c r="Z202" s="210"/>
      <c r="AA202" s="210"/>
      <c r="AB202" s="210"/>
      <c r="AC202" s="210"/>
      <c r="AD202" s="210"/>
      <c r="AE202" s="210"/>
      <c r="AF202" s="210"/>
      <c r="AG202" s="210"/>
      <c r="AH202" s="210"/>
      <c r="AI202" s="210"/>
      <c r="AJ202" s="210"/>
      <c r="AK202" s="210"/>
      <c r="AL202" s="210"/>
      <c r="AM202" s="214"/>
      <c r="AN202" s="210"/>
      <c r="AO202" s="210" t="str">
        <f t="shared" si="10"/>
        <v>#N/A</v>
      </c>
      <c r="AP202" s="210" t="str">
        <f t="shared" si="11"/>
        <v>#N/A</v>
      </c>
      <c r="AQ202" s="210" t="str">
        <f t="shared" si="12"/>
        <v>#N/A</v>
      </c>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c r="BU202" s="210"/>
      <c r="BV202" s="210"/>
      <c r="BW202" s="210"/>
      <c r="BX202" s="210"/>
      <c r="BY202" s="210"/>
      <c r="BZ202" s="210"/>
      <c r="CA202" s="210"/>
      <c r="CB202" s="210"/>
      <c r="CC202" s="210"/>
      <c r="CD202" s="210"/>
      <c r="CE202" s="210"/>
      <c r="CF202" s="210"/>
      <c r="CG202" s="210"/>
      <c r="CH202" s="210"/>
      <c r="CI202" s="210"/>
      <c r="CJ202" s="210"/>
      <c r="CK202" s="210"/>
    </row>
    <row r="203">
      <c r="A203" s="216" t="s">
        <v>631</v>
      </c>
      <c r="B203" s="217" t="s">
        <v>632</v>
      </c>
      <c r="C203" s="218" t="s">
        <v>71</v>
      </c>
      <c r="D203" s="218" t="s">
        <v>864</v>
      </c>
      <c r="E203" s="217" t="s">
        <v>24</v>
      </c>
      <c r="F203" s="13" t="s">
        <v>932</v>
      </c>
      <c r="G203" s="13" t="s">
        <v>950</v>
      </c>
      <c r="H203" s="219">
        <f>IFERROR(
  MINIFS(ATTENDANCE_LOG!$F:$F,
         ATTENDANCE_LOG!$A:$A, C203,
         ATTENDANCE_LOG!$B:$B, E203),
"")</f>
        <v>45713.58333</v>
      </c>
      <c r="I203" s="219">
        <f t="shared" si="2"/>
        <v>45713.58333</v>
      </c>
      <c r="J203" s="190">
        <f>IFERROR(VLOOKUP(F203, LEVEL_HELPER!$A:$B, 2, 0), "")</f>
        <v>4.5</v>
      </c>
      <c r="K203" s="190">
        <f>IFERROR(VLOOKUP(G203, LEVEL_HELPER!$A:$B, 2, 0), "")</f>
        <v>6</v>
      </c>
      <c r="L203" s="220" t="s">
        <v>951</v>
      </c>
      <c r="M203" s="220" t="s">
        <v>923</v>
      </c>
      <c r="N203" s="190">
        <f t="array" ref="N203">IFERROR(
  INDEX($J$2:$J$543,
    MATCH(A203&amp;TEXT(I203,"yyyy-mm-dd"),
          $A$2:$A$543&amp;TEXT($H$2:$H$543,"yyyy-mm-dd"),
          0)),
"")</f>
        <v>4.5</v>
      </c>
      <c r="O203" s="210">
        <f t="shared" si="3"/>
        <v>6</v>
      </c>
      <c r="P203" s="210">
        <f t="shared" ref="P203:Q203" si="213">IF(N203="",0,IF(N203&lt;=2,1,IF(N203&lt;=4,2,IF(N203&lt;=5.5,3,4))))</f>
        <v>3</v>
      </c>
      <c r="Q203" s="210">
        <f t="shared" si="213"/>
        <v>4</v>
      </c>
      <c r="R203" s="210" t="str">
        <f t="shared" si="5"/>
        <v>Lv3 → Lv4</v>
      </c>
      <c r="S203" s="210">
        <f t="shared" si="6"/>
        <v>1</v>
      </c>
      <c r="T203" s="210"/>
      <c r="U203" s="210"/>
      <c r="V203" s="211" t="s">
        <v>305</v>
      </c>
      <c r="W203" s="210" t="str">
        <f t="shared" si="7"/>
        <v>DEV</v>
      </c>
      <c r="X203" s="210" t="str">
        <f t="shared" si="8"/>
        <v>DEV, TA</v>
      </c>
      <c r="Y203" s="210" t="str">
        <f t="shared" si="9"/>
        <v>MOC</v>
      </c>
      <c r="Z203" s="210"/>
      <c r="AA203" s="210"/>
      <c r="AB203" s="210"/>
      <c r="AC203" s="210"/>
      <c r="AD203" s="210"/>
      <c r="AE203" s="210"/>
      <c r="AF203" s="210"/>
      <c r="AG203" s="210"/>
      <c r="AH203" s="210"/>
      <c r="AI203" s="210"/>
      <c r="AJ203" s="210"/>
      <c r="AK203" s="210"/>
      <c r="AL203" s="210"/>
      <c r="AM203" s="214"/>
      <c r="AN203" s="210"/>
      <c r="AO203" s="210" t="str">
        <f t="shared" si="10"/>
        <v>#N/A</v>
      </c>
      <c r="AP203" s="210" t="str">
        <f t="shared" si="11"/>
        <v>#N/A</v>
      </c>
      <c r="AQ203" s="210" t="str">
        <f t="shared" si="12"/>
        <v>#N/A</v>
      </c>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c r="BU203" s="210"/>
      <c r="BV203" s="210"/>
      <c r="BW203" s="210"/>
      <c r="BX203" s="210"/>
      <c r="BY203" s="210"/>
      <c r="BZ203" s="210"/>
      <c r="CA203" s="210"/>
      <c r="CB203" s="210"/>
      <c r="CC203" s="210"/>
      <c r="CD203" s="210"/>
      <c r="CE203" s="210"/>
      <c r="CF203" s="210"/>
      <c r="CG203" s="210"/>
      <c r="CH203" s="210"/>
      <c r="CI203" s="210"/>
      <c r="CJ203" s="210"/>
      <c r="CK203" s="210"/>
    </row>
    <row r="204">
      <c r="A204" s="222" t="s">
        <v>288</v>
      </c>
      <c r="B204" s="190" t="s">
        <v>289</v>
      </c>
      <c r="C204" s="223" t="s">
        <v>71</v>
      </c>
      <c r="D204" s="223" t="s">
        <v>864</v>
      </c>
      <c r="E204" s="190" t="s">
        <v>24</v>
      </c>
      <c r="F204" s="13" t="s">
        <v>932</v>
      </c>
      <c r="G204" s="13" t="s">
        <v>950</v>
      </c>
      <c r="H204" s="219">
        <f>IFERROR(
  MINIFS(ATTENDANCE_LOG!$F:$F,
         ATTENDANCE_LOG!$A:$A, C204,
         ATTENDANCE_LOG!$B:$B, E204),
"")</f>
        <v>45713.58333</v>
      </c>
      <c r="I204" s="219">
        <f t="shared" si="2"/>
        <v>45713.58333</v>
      </c>
      <c r="J204" s="190">
        <f>IFERROR(VLOOKUP(F204, LEVEL_HELPER!$A:$B, 2, 0), "")</f>
        <v>4.5</v>
      </c>
      <c r="K204" s="190">
        <f>IFERROR(VLOOKUP(G204, LEVEL_HELPER!$A:$B, 2, 0), "")</f>
        <v>6</v>
      </c>
      <c r="L204" s="220" t="s">
        <v>951</v>
      </c>
      <c r="M204" s="220" t="s">
        <v>923</v>
      </c>
      <c r="N204" s="190">
        <f t="array" ref="N204">IFERROR(
  INDEX($J$2:$J$543,
    MATCH(A204&amp;TEXT(I204,"yyyy-mm-dd"),
          $A$2:$A$543&amp;TEXT($H$2:$H$543,"yyyy-mm-dd"),
          0)),
"")</f>
        <v>4.5</v>
      </c>
      <c r="O204" s="210">
        <f t="shared" si="3"/>
        <v>6</v>
      </c>
      <c r="P204" s="210">
        <f t="shared" ref="P204:Q204" si="214">IF(N204="",0,IF(N204&lt;=2,1,IF(N204&lt;=4,2,IF(N204&lt;=5.5,3,4))))</f>
        <v>3</v>
      </c>
      <c r="Q204" s="210">
        <f t="shared" si="214"/>
        <v>4</v>
      </c>
      <c r="R204" s="210" t="str">
        <f t="shared" si="5"/>
        <v>Lv3 → Lv4</v>
      </c>
      <c r="S204" s="210">
        <f t="shared" si="6"/>
        <v>1</v>
      </c>
      <c r="T204" s="210"/>
      <c r="U204" s="210"/>
      <c r="V204" s="211" t="s">
        <v>442</v>
      </c>
      <c r="W204" s="210" t="str">
        <f t="shared" si="7"/>
        <v>DEV</v>
      </c>
      <c r="X204" s="210" t="str">
        <f t="shared" si="8"/>
        <v>DEV, TA</v>
      </c>
      <c r="Y204" s="210" t="str">
        <f t="shared" si="9"/>
        <v>MOC</v>
      </c>
      <c r="Z204" s="210"/>
      <c r="AA204" s="210"/>
      <c r="AB204" s="210"/>
      <c r="AC204" s="210"/>
      <c r="AD204" s="210"/>
      <c r="AE204" s="210"/>
      <c r="AF204" s="210"/>
      <c r="AG204" s="210"/>
      <c r="AH204" s="210"/>
      <c r="AI204" s="210"/>
      <c r="AJ204" s="210"/>
      <c r="AK204" s="210"/>
      <c r="AL204" s="210"/>
      <c r="AM204" s="214"/>
      <c r="AN204" s="210"/>
      <c r="AO204" s="210" t="str">
        <f t="shared" si="10"/>
        <v>#N/A</v>
      </c>
      <c r="AP204" s="210" t="str">
        <f t="shared" si="11"/>
        <v>#N/A</v>
      </c>
      <c r="AQ204" s="210" t="str">
        <f t="shared" si="12"/>
        <v>#N/A</v>
      </c>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c r="BU204" s="210"/>
      <c r="BV204" s="210"/>
      <c r="BW204" s="210"/>
      <c r="BX204" s="210"/>
      <c r="BY204" s="210"/>
      <c r="BZ204" s="210"/>
      <c r="CA204" s="210"/>
      <c r="CB204" s="210"/>
      <c r="CC204" s="210"/>
      <c r="CD204" s="210"/>
      <c r="CE204" s="210"/>
      <c r="CF204" s="210"/>
      <c r="CG204" s="210"/>
      <c r="CH204" s="210"/>
      <c r="CI204" s="210"/>
      <c r="CJ204" s="210"/>
      <c r="CK204" s="210"/>
    </row>
    <row r="205">
      <c r="A205" s="222" t="s">
        <v>348</v>
      </c>
      <c r="B205" s="190" t="s">
        <v>349</v>
      </c>
      <c r="C205" s="223" t="s">
        <v>71</v>
      </c>
      <c r="D205" s="223" t="s">
        <v>864</v>
      </c>
      <c r="E205" s="190" t="s">
        <v>24</v>
      </c>
      <c r="F205" s="13" t="s">
        <v>932</v>
      </c>
      <c r="G205" s="190"/>
      <c r="H205" s="219">
        <f>IFERROR(
  MINIFS(ATTENDANCE_LOG!$F:$F,
         ATTENDANCE_LOG!$A:$A, C205,
         ATTENDANCE_LOG!$B:$B, E205),
"")</f>
        <v>45713.58333</v>
      </c>
      <c r="I205" s="219">
        <f t="shared" si="2"/>
        <v>45639.45833</v>
      </c>
      <c r="J205" s="190">
        <f>IFERROR(VLOOKUP(F205, LEVEL_HELPER!$A:$B, 2, 0), "")</f>
        <v>4.5</v>
      </c>
      <c r="K205" s="190" t="str">
        <f>IFERROR(VLOOKUP(G205, LEVEL_HELPER!$A:$B, 2, 0), "")</f>
        <v/>
      </c>
      <c r="L205" s="220" t="s">
        <v>952</v>
      </c>
      <c r="M205" s="220" t="s">
        <v>921</v>
      </c>
      <c r="N205" s="190">
        <f t="array" ref="N205">IFERROR(
  INDEX($J$2:$J$543,
    MATCH(A205&amp;TEXT(I205,"yyyy-mm-dd"),
          $A$2:$A$543&amp;TEXT($H$2:$H$543,"yyyy-mm-dd"),
          0)),
"")</f>
        <v>2.5</v>
      </c>
      <c r="O205" s="210">
        <f t="shared" si="3"/>
        <v>4.5</v>
      </c>
      <c r="P205" s="210">
        <f t="shared" ref="P205:Q205" si="215">IF(N205="",0,IF(N205&lt;=2,1,IF(N205&lt;=4,2,IF(N205&lt;=5.5,3,4))))</f>
        <v>2</v>
      </c>
      <c r="Q205" s="210">
        <f t="shared" si="215"/>
        <v>3</v>
      </c>
      <c r="R205" s="210" t="str">
        <f t="shared" si="5"/>
        <v>Lv2 → Lv3</v>
      </c>
      <c r="S205" s="210">
        <f t="shared" si="6"/>
        <v>0</v>
      </c>
      <c r="T205" s="210"/>
      <c r="U205" s="210"/>
      <c r="V205" s="211" t="s">
        <v>633</v>
      </c>
      <c r="W205" s="210" t="str">
        <f t="shared" si="7"/>
        <v>DEV</v>
      </c>
      <c r="X205" s="210" t="str">
        <f t="shared" si="8"/>
        <v>DEV, TA</v>
      </c>
      <c r="Y205" s="210" t="str">
        <f t="shared" si="9"/>
        <v>MOC</v>
      </c>
      <c r="Z205" s="210"/>
      <c r="AA205" s="210"/>
      <c r="AB205" s="210"/>
      <c r="AC205" s="210"/>
      <c r="AD205" s="210"/>
      <c r="AE205" s="210"/>
      <c r="AF205" s="210"/>
      <c r="AG205" s="210"/>
      <c r="AH205" s="210"/>
      <c r="AI205" s="210"/>
      <c r="AJ205" s="210"/>
      <c r="AK205" s="210"/>
      <c r="AL205" s="210"/>
      <c r="AM205" s="214"/>
      <c r="AN205" s="210"/>
      <c r="AO205" s="210" t="str">
        <f t="shared" si="10"/>
        <v>#N/A</v>
      </c>
      <c r="AP205" s="210" t="str">
        <f t="shared" si="11"/>
        <v>#N/A</v>
      </c>
      <c r="AQ205" s="210" t="str">
        <f t="shared" si="12"/>
        <v>#N/A</v>
      </c>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c r="BU205" s="210"/>
      <c r="BV205" s="210"/>
      <c r="BW205" s="210"/>
      <c r="BX205" s="210"/>
      <c r="BY205" s="210"/>
      <c r="BZ205" s="210"/>
      <c r="CA205" s="210"/>
      <c r="CB205" s="210"/>
      <c r="CC205" s="210"/>
      <c r="CD205" s="210"/>
      <c r="CE205" s="210"/>
      <c r="CF205" s="210"/>
      <c r="CG205" s="210"/>
      <c r="CH205" s="210"/>
      <c r="CI205" s="210"/>
      <c r="CJ205" s="210"/>
      <c r="CK205" s="210"/>
    </row>
    <row r="206">
      <c r="A206" s="222" t="s">
        <v>570</v>
      </c>
      <c r="B206" s="190" t="s">
        <v>571</v>
      </c>
      <c r="C206" s="223" t="s">
        <v>71</v>
      </c>
      <c r="D206" s="223" t="s">
        <v>864</v>
      </c>
      <c r="E206" s="190" t="s">
        <v>24</v>
      </c>
      <c r="F206" s="13" t="s">
        <v>932</v>
      </c>
      <c r="G206" s="13" t="s">
        <v>950</v>
      </c>
      <c r="H206" s="219">
        <f>IFERROR(
  MINIFS(ATTENDANCE_LOG!$F:$F,
         ATTENDANCE_LOG!$A:$A, C206,
         ATTENDANCE_LOG!$B:$B, E206),
"")</f>
        <v>45713.58333</v>
      </c>
      <c r="I206" s="219">
        <f t="shared" si="2"/>
        <v>45713.58333</v>
      </c>
      <c r="J206" s="190">
        <f>IFERROR(VLOOKUP(F206, LEVEL_HELPER!$A:$B, 2, 0), "")</f>
        <v>4.5</v>
      </c>
      <c r="K206" s="190">
        <f>IFERROR(VLOOKUP(G206, LEVEL_HELPER!$A:$B, 2, 0), "")</f>
        <v>6</v>
      </c>
      <c r="L206" s="220" t="s">
        <v>951</v>
      </c>
      <c r="M206" s="229" t="s">
        <v>922</v>
      </c>
      <c r="N206" s="190">
        <f t="array" ref="N206">IFERROR(
  INDEX($J$2:$J$543,
    MATCH(A206&amp;TEXT(I206,"yyyy-mm-dd"),
          $A$2:$A$543&amp;TEXT($H$2:$H$543,"yyyy-mm-dd"),
          0)),
"")</f>
        <v>4.5</v>
      </c>
      <c r="O206" s="210">
        <f t="shared" si="3"/>
        <v>6</v>
      </c>
      <c r="P206" s="210">
        <f t="shared" ref="P206:Q206" si="216">IF(N206="",0,IF(N206&lt;=2,1,IF(N206&lt;=4,2,IF(N206&lt;=5.5,3,4))))</f>
        <v>3</v>
      </c>
      <c r="Q206" s="210">
        <f t="shared" si="216"/>
        <v>4</v>
      </c>
      <c r="R206" s="210" t="str">
        <f t="shared" si="5"/>
        <v>Lv3 → Lv4</v>
      </c>
      <c r="S206" s="210">
        <f t="shared" si="6"/>
        <v>1</v>
      </c>
      <c r="T206" s="210"/>
      <c r="U206" s="210"/>
      <c r="V206" s="211" t="s">
        <v>641</v>
      </c>
      <c r="W206" s="210" t="str">
        <f t="shared" si="7"/>
        <v>DEV</v>
      </c>
      <c r="X206" s="210" t="str">
        <f t="shared" si="8"/>
        <v>DEV, TA</v>
      </c>
      <c r="Y206" s="210" t="str">
        <f t="shared" si="9"/>
        <v>MOC</v>
      </c>
      <c r="Z206" s="210"/>
      <c r="AA206" s="210"/>
      <c r="AB206" s="210"/>
      <c r="AC206" s="210"/>
      <c r="AD206" s="210"/>
      <c r="AE206" s="210"/>
      <c r="AF206" s="210"/>
      <c r="AG206" s="210"/>
      <c r="AH206" s="210"/>
      <c r="AI206" s="210"/>
      <c r="AJ206" s="210"/>
      <c r="AK206" s="210"/>
      <c r="AL206" s="210"/>
      <c r="AM206" s="214"/>
      <c r="AN206" s="210"/>
      <c r="AO206" s="210" t="str">
        <f t="shared" si="10"/>
        <v>#N/A</v>
      </c>
      <c r="AP206" s="210" t="str">
        <f t="shared" si="11"/>
        <v>#N/A</v>
      </c>
      <c r="AQ206" s="210" t="str">
        <f t="shared" si="12"/>
        <v>#N/A</v>
      </c>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c r="BU206" s="210"/>
      <c r="BV206" s="210"/>
      <c r="BW206" s="210"/>
      <c r="BX206" s="210"/>
      <c r="BY206" s="210"/>
      <c r="BZ206" s="210"/>
      <c r="CA206" s="210"/>
      <c r="CB206" s="210"/>
      <c r="CC206" s="210"/>
      <c r="CD206" s="210"/>
      <c r="CE206" s="210"/>
      <c r="CF206" s="210"/>
      <c r="CG206" s="210"/>
      <c r="CH206" s="210"/>
      <c r="CI206" s="210"/>
      <c r="CJ206" s="210"/>
      <c r="CK206" s="210"/>
    </row>
    <row r="207">
      <c r="A207" s="222" t="s">
        <v>619</v>
      </c>
      <c r="B207" s="190" t="s">
        <v>620</v>
      </c>
      <c r="C207" s="223" t="s">
        <v>71</v>
      </c>
      <c r="D207" s="223" t="s">
        <v>864</v>
      </c>
      <c r="E207" s="190" t="s">
        <v>24</v>
      </c>
      <c r="F207" s="13" t="s">
        <v>932</v>
      </c>
      <c r="G207" s="13" t="s">
        <v>950</v>
      </c>
      <c r="H207" s="219">
        <f>IFERROR(
  MINIFS(ATTENDANCE_LOG!$F:$F,
         ATTENDANCE_LOG!$A:$A, C207,
         ATTENDANCE_LOG!$B:$B, E207),
"")</f>
        <v>45713.58333</v>
      </c>
      <c r="I207" s="219">
        <f t="shared" si="2"/>
        <v>45713.58333</v>
      </c>
      <c r="J207" s="190">
        <f>IFERROR(VLOOKUP(F207, LEVEL_HELPER!$A:$B, 2, 0), "")</f>
        <v>4.5</v>
      </c>
      <c r="K207" s="190">
        <f>IFERROR(VLOOKUP(G207, LEVEL_HELPER!$A:$B, 2, 0), "")</f>
        <v>6</v>
      </c>
      <c r="L207" s="220" t="s">
        <v>951</v>
      </c>
      <c r="M207" s="220" t="s">
        <v>923</v>
      </c>
      <c r="N207" s="190">
        <f t="array" ref="N207">IFERROR(
  INDEX($J$2:$J$543,
    MATCH(A207&amp;TEXT(I207,"yyyy-mm-dd"),
          $A$2:$A$543&amp;TEXT($H$2:$H$543,"yyyy-mm-dd"),
          0)),
"")</f>
        <v>4.5</v>
      </c>
      <c r="O207" s="210">
        <f t="shared" si="3"/>
        <v>6</v>
      </c>
      <c r="P207" s="210">
        <f t="shared" ref="P207:Q207" si="217">IF(N207="",0,IF(N207&lt;=2,1,IF(N207&lt;=4,2,IF(N207&lt;=5.5,3,4))))</f>
        <v>3</v>
      </c>
      <c r="Q207" s="210">
        <f t="shared" si="217"/>
        <v>4</v>
      </c>
      <c r="R207" s="210" t="str">
        <f t="shared" si="5"/>
        <v>Lv3 → Lv4</v>
      </c>
      <c r="S207" s="210">
        <f t="shared" si="6"/>
        <v>1</v>
      </c>
      <c r="T207" s="210"/>
      <c r="U207" s="210"/>
      <c r="V207" s="211" t="s">
        <v>671</v>
      </c>
      <c r="W207" s="210" t="str">
        <f t="shared" si="7"/>
        <v>DEV</v>
      </c>
      <c r="X207" s="210" t="str">
        <f t="shared" si="8"/>
        <v>DEV, TA</v>
      </c>
      <c r="Y207" s="210" t="str">
        <f t="shared" si="9"/>
        <v>MOC</v>
      </c>
      <c r="Z207" s="210"/>
      <c r="AA207" s="210"/>
      <c r="AB207" s="210"/>
      <c r="AC207" s="210"/>
      <c r="AD207" s="210"/>
      <c r="AE207" s="210"/>
      <c r="AF207" s="210"/>
      <c r="AG207" s="210"/>
      <c r="AH207" s="210"/>
      <c r="AI207" s="210"/>
      <c r="AJ207" s="210"/>
      <c r="AK207" s="210"/>
      <c r="AL207" s="210"/>
      <c r="AM207" s="214"/>
      <c r="AN207" s="210"/>
      <c r="AO207" s="210" t="str">
        <f t="shared" si="10"/>
        <v>#N/A</v>
      </c>
      <c r="AP207" s="210" t="str">
        <f t="shared" si="11"/>
        <v>#N/A</v>
      </c>
      <c r="AQ207" s="210" t="str">
        <f t="shared" si="12"/>
        <v>#N/A</v>
      </c>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c r="BU207" s="210"/>
      <c r="BV207" s="210"/>
      <c r="BW207" s="210"/>
      <c r="BX207" s="210"/>
      <c r="BY207" s="210"/>
      <c r="BZ207" s="210"/>
      <c r="CA207" s="210"/>
      <c r="CB207" s="210"/>
      <c r="CC207" s="210"/>
      <c r="CD207" s="210"/>
      <c r="CE207" s="210"/>
      <c r="CF207" s="210"/>
      <c r="CG207" s="210"/>
      <c r="CH207" s="210"/>
      <c r="CI207" s="210"/>
      <c r="CJ207" s="210"/>
      <c r="CK207" s="210"/>
    </row>
    <row r="208">
      <c r="A208" s="222" t="s">
        <v>635</v>
      </c>
      <c r="B208" s="190" t="s">
        <v>636</v>
      </c>
      <c r="C208" s="223" t="s">
        <v>71</v>
      </c>
      <c r="D208" s="223" t="s">
        <v>864</v>
      </c>
      <c r="E208" s="190" t="s">
        <v>24</v>
      </c>
      <c r="F208" s="13" t="s">
        <v>932</v>
      </c>
      <c r="G208" s="13" t="s">
        <v>950</v>
      </c>
      <c r="H208" s="219">
        <f>IFERROR(
  MINIFS(ATTENDANCE_LOG!$F:$F,
         ATTENDANCE_LOG!$A:$A, C208,
         ATTENDANCE_LOG!$B:$B, E208),
"")</f>
        <v>45713.58333</v>
      </c>
      <c r="I208" s="219">
        <f t="shared" si="2"/>
        <v>45713.58333</v>
      </c>
      <c r="J208" s="190">
        <f>IFERROR(VLOOKUP(F208, LEVEL_HELPER!$A:$B, 2, 0), "")</f>
        <v>4.5</v>
      </c>
      <c r="K208" s="190">
        <f>IFERROR(VLOOKUP(G208, LEVEL_HELPER!$A:$B, 2, 0), "")</f>
        <v>6</v>
      </c>
      <c r="L208" s="220" t="s">
        <v>919</v>
      </c>
      <c r="M208" s="220" t="s">
        <v>923</v>
      </c>
      <c r="N208" s="190">
        <f t="array" ref="N208">IFERROR(
  INDEX($J$2:$J$543,
    MATCH(A208&amp;TEXT(I208,"yyyy-mm-dd"),
          $A$2:$A$543&amp;TEXT($H$2:$H$543,"yyyy-mm-dd"),
          0)),
"")</f>
        <v>4.5</v>
      </c>
      <c r="O208" s="210">
        <f t="shared" si="3"/>
        <v>6</v>
      </c>
      <c r="P208" s="210">
        <f t="shared" ref="P208:Q208" si="218">IF(N208="",0,IF(N208&lt;=2,1,IF(N208&lt;=4,2,IF(N208&lt;=5.5,3,4))))</f>
        <v>3</v>
      </c>
      <c r="Q208" s="210">
        <f t="shared" si="218"/>
        <v>4</v>
      </c>
      <c r="R208" s="210" t="str">
        <f t="shared" si="5"/>
        <v>Lv3 → Lv4</v>
      </c>
      <c r="S208" s="210">
        <f t="shared" si="6"/>
        <v>1</v>
      </c>
      <c r="T208" s="210"/>
      <c r="U208" s="210"/>
      <c r="V208" s="211" t="s">
        <v>241</v>
      </c>
      <c r="W208" s="210" t="str">
        <f t="shared" si="7"/>
        <v>QC</v>
      </c>
      <c r="X208" s="210" t="str">
        <f t="shared" si="8"/>
        <v>QC</v>
      </c>
      <c r="Y208" s="210" t="str">
        <f t="shared" si="9"/>
        <v>MOC</v>
      </c>
      <c r="Z208" s="210"/>
      <c r="AA208" s="210"/>
      <c r="AB208" s="210"/>
      <c r="AC208" s="210"/>
      <c r="AD208" s="210"/>
      <c r="AE208" s="210"/>
      <c r="AF208" s="210"/>
      <c r="AG208" s="210"/>
      <c r="AH208" s="210"/>
      <c r="AI208" s="210"/>
      <c r="AJ208" s="210"/>
      <c r="AK208" s="210"/>
      <c r="AL208" s="210"/>
      <c r="AM208" s="214"/>
      <c r="AN208" s="210"/>
      <c r="AO208" s="210" t="str">
        <f t="shared" si="10"/>
        <v>#N/A</v>
      </c>
      <c r="AP208" s="210" t="str">
        <f t="shared" si="11"/>
        <v>#N/A</v>
      </c>
      <c r="AQ208" s="210" t="str">
        <f t="shared" si="12"/>
        <v>#N/A</v>
      </c>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c r="BU208" s="210"/>
      <c r="BV208" s="210"/>
      <c r="BW208" s="210"/>
      <c r="BX208" s="210"/>
      <c r="BY208" s="210"/>
      <c r="BZ208" s="210"/>
      <c r="CA208" s="210"/>
      <c r="CB208" s="210"/>
      <c r="CC208" s="210"/>
      <c r="CD208" s="210"/>
      <c r="CE208" s="210"/>
      <c r="CF208" s="210"/>
      <c r="CG208" s="210"/>
      <c r="CH208" s="210"/>
      <c r="CI208" s="210"/>
      <c r="CJ208" s="210"/>
      <c r="CK208" s="210"/>
    </row>
    <row r="209">
      <c r="A209" s="222" t="s">
        <v>667</v>
      </c>
      <c r="B209" s="190" t="s">
        <v>668</v>
      </c>
      <c r="C209" s="223" t="s">
        <v>71</v>
      </c>
      <c r="D209" s="223" t="s">
        <v>864</v>
      </c>
      <c r="E209" s="190" t="s">
        <v>24</v>
      </c>
      <c r="F209" s="13" t="s">
        <v>932</v>
      </c>
      <c r="G209" s="13" t="s">
        <v>950</v>
      </c>
      <c r="H209" s="219">
        <f>IFERROR(
  MINIFS(ATTENDANCE_LOG!$F:$F,
         ATTENDANCE_LOG!$A:$A, C209,
         ATTENDANCE_LOG!$B:$B, E209),
"")</f>
        <v>45713.58333</v>
      </c>
      <c r="I209" s="219">
        <f t="shared" si="2"/>
        <v>45713.58333</v>
      </c>
      <c r="J209" s="190">
        <f>IFERROR(VLOOKUP(F209, LEVEL_HELPER!$A:$B, 2, 0), "")</f>
        <v>4.5</v>
      </c>
      <c r="K209" s="190">
        <f>IFERROR(VLOOKUP(G209, LEVEL_HELPER!$A:$B, 2, 0), "")</f>
        <v>6</v>
      </c>
      <c r="L209" s="220" t="s">
        <v>945</v>
      </c>
      <c r="M209" s="229" t="s">
        <v>922</v>
      </c>
      <c r="N209" s="190">
        <f t="array" ref="N209">IFERROR(
  INDEX($J$2:$J$543,
    MATCH(A209&amp;TEXT(I209,"yyyy-mm-dd"),
          $A$2:$A$543&amp;TEXT($H$2:$H$543,"yyyy-mm-dd"),
          0)),
"")</f>
        <v>4.5</v>
      </c>
      <c r="O209" s="210">
        <f t="shared" si="3"/>
        <v>6</v>
      </c>
      <c r="P209" s="210">
        <f t="shared" ref="P209:Q209" si="219">IF(N209="",0,IF(N209&lt;=2,1,IF(N209&lt;=4,2,IF(N209&lt;=5.5,3,4))))</f>
        <v>3</v>
      </c>
      <c r="Q209" s="210">
        <f t="shared" si="219"/>
        <v>4</v>
      </c>
      <c r="R209" s="210" t="str">
        <f t="shared" si="5"/>
        <v>Lv3 → Lv4</v>
      </c>
      <c r="S209" s="210">
        <f t="shared" si="6"/>
        <v>1</v>
      </c>
      <c r="T209" s="210"/>
      <c r="U209" s="210"/>
      <c r="V209" s="211" t="s">
        <v>463</v>
      </c>
      <c r="W209" s="210" t="str">
        <f t="shared" si="7"/>
        <v>QC</v>
      </c>
      <c r="X209" s="210" t="str">
        <f t="shared" si="8"/>
        <v>QC</v>
      </c>
      <c r="Y209" s="210" t="str">
        <f t="shared" si="9"/>
        <v>MOC</v>
      </c>
      <c r="Z209" s="210"/>
      <c r="AA209" s="210"/>
      <c r="AB209" s="210"/>
      <c r="AC209" s="210"/>
      <c r="AD209" s="210"/>
      <c r="AE209" s="210"/>
      <c r="AF209" s="210"/>
      <c r="AG209" s="210"/>
      <c r="AH209" s="210"/>
      <c r="AI209" s="210"/>
      <c r="AJ209" s="210"/>
      <c r="AK209" s="210"/>
      <c r="AL209" s="210"/>
      <c r="AM209" s="214"/>
      <c r="AN209" s="210"/>
      <c r="AO209" s="210" t="str">
        <f t="shared" si="10"/>
        <v>#N/A</v>
      </c>
      <c r="AP209" s="210" t="str">
        <f t="shared" si="11"/>
        <v>#N/A</v>
      </c>
      <c r="AQ209" s="210" t="str">
        <f t="shared" si="12"/>
        <v>#N/A</v>
      </c>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c r="BU209" s="210"/>
      <c r="BV209" s="210"/>
      <c r="BW209" s="210"/>
      <c r="BX209" s="210"/>
      <c r="BY209" s="210"/>
      <c r="BZ209" s="210"/>
      <c r="CA209" s="210"/>
      <c r="CB209" s="210"/>
      <c r="CC209" s="210"/>
      <c r="CD209" s="210"/>
      <c r="CE209" s="210"/>
      <c r="CF209" s="210"/>
      <c r="CG209" s="210"/>
      <c r="CH209" s="210"/>
      <c r="CI209" s="210"/>
      <c r="CJ209" s="210"/>
      <c r="CK209" s="210"/>
    </row>
    <row r="210">
      <c r="A210" s="216" t="s">
        <v>683</v>
      </c>
      <c r="B210" s="217" t="s">
        <v>684</v>
      </c>
      <c r="C210" s="218" t="s">
        <v>72</v>
      </c>
      <c r="D210" s="218" t="s">
        <v>865</v>
      </c>
      <c r="E210" s="217" t="s">
        <v>21</v>
      </c>
      <c r="F210" s="13" t="s">
        <v>927</v>
      </c>
      <c r="G210" s="13" t="s">
        <v>918</v>
      </c>
      <c r="H210" s="219">
        <f>IFERROR(
  MINIFS(ATTENDANCE_LOG!$F:$F,
         ATTENDANCE_LOG!$A:$A, C210,
         ATTENDANCE_LOG!$B:$B, E210),
"")</f>
        <v>45670.54167</v>
      </c>
      <c r="I210" s="219">
        <f t="shared" si="2"/>
        <v>45670.54167</v>
      </c>
      <c r="J210" s="190">
        <f>IFERROR(VLOOKUP(F210, LEVEL_HELPER!$A:$B, 2, 0), "")</f>
        <v>1</v>
      </c>
      <c r="K210" s="190">
        <f>IFERROR(VLOOKUP(G210, LEVEL_HELPER!$A:$B, 2, 0), "")</f>
        <v>3</v>
      </c>
      <c r="L210" s="220" t="s">
        <v>943</v>
      </c>
      <c r="M210" s="220" t="s">
        <v>920</v>
      </c>
      <c r="N210" s="190">
        <f t="array" ref="N210">IFERROR(
  INDEX($J$2:$J$543,
    MATCH(A210&amp;TEXT(I210,"yyyy-mm-dd"),
          $A$2:$A$543&amp;TEXT($H$2:$H$543,"yyyy-mm-dd"),
          0)),
"")</f>
        <v>1</v>
      </c>
      <c r="O210" s="210">
        <f t="shared" si="3"/>
        <v>3.5</v>
      </c>
      <c r="P210" s="210">
        <f t="shared" ref="P210:Q210" si="220">IF(N210="",0,IF(N210&lt;=2,1,IF(N210&lt;=4,2,IF(N210&lt;=5.5,3,4))))</f>
        <v>1</v>
      </c>
      <c r="Q210" s="210">
        <f t="shared" si="220"/>
        <v>2</v>
      </c>
      <c r="R210" s="210" t="str">
        <f t="shared" si="5"/>
        <v>Lv1 → Lv2</v>
      </c>
      <c r="S210" s="210">
        <f t="shared" si="6"/>
        <v>1</v>
      </c>
      <c r="T210" s="210"/>
      <c r="U210" s="210"/>
      <c r="V210" s="211" t="s">
        <v>649</v>
      </c>
      <c r="W210" s="210" t="str">
        <f t="shared" si="7"/>
        <v>GSD</v>
      </c>
      <c r="X210" s="210" t="str">
        <f t="shared" si="8"/>
        <v>GSD</v>
      </c>
      <c r="Y210" s="210" t="str">
        <f t="shared" si="9"/>
        <v>MOC</v>
      </c>
      <c r="Z210" s="210"/>
      <c r="AA210" s="210"/>
      <c r="AB210" s="210"/>
      <c r="AC210" s="210"/>
      <c r="AD210" s="210"/>
      <c r="AE210" s="210"/>
      <c r="AF210" s="210"/>
      <c r="AG210" s="210"/>
      <c r="AH210" s="210"/>
      <c r="AI210" s="210"/>
      <c r="AJ210" s="210"/>
      <c r="AK210" s="210"/>
      <c r="AL210" s="210"/>
      <c r="AM210" s="214"/>
      <c r="AN210" s="210"/>
      <c r="AO210" s="210" t="str">
        <f t="shared" si="10"/>
        <v>#N/A</v>
      </c>
      <c r="AP210" s="210" t="str">
        <f t="shared" si="11"/>
        <v>#N/A</v>
      </c>
      <c r="AQ210" s="210" t="str">
        <f t="shared" si="12"/>
        <v>#N/A</v>
      </c>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c r="BU210" s="210"/>
      <c r="BV210" s="210"/>
      <c r="BW210" s="210"/>
      <c r="BX210" s="210"/>
      <c r="BY210" s="210"/>
      <c r="BZ210" s="210"/>
      <c r="CA210" s="210"/>
      <c r="CB210" s="210"/>
      <c r="CC210" s="210"/>
      <c r="CD210" s="210"/>
      <c r="CE210" s="210"/>
      <c r="CF210" s="210"/>
      <c r="CG210" s="210"/>
      <c r="CH210" s="210"/>
      <c r="CI210" s="210"/>
      <c r="CJ210" s="210"/>
      <c r="CK210" s="210"/>
    </row>
    <row r="211">
      <c r="A211" s="222" t="s">
        <v>265</v>
      </c>
      <c r="B211" s="190" t="s">
        <v>266</v>
      </c>
      <c r="C211" s="223" t="s">
        <v>72</v>
      </c>
      <c r="D211" s="223" t="s">
        <v>865</v>
      </c>
      <c r="E211" s="190" t="s">
        <v>21</v>
      </c>
      <c r="F211" s="13" t="s">
        <v>927</v>
      </c>
      <c r="G211" s="13" t="s">
        <v>918</v>
      </c>
      <c r="H211" s="219">
        <f>IFERROR(
  MINIFS(ATTENDANCE_LOG!$F:$F,
         ATTENDANCE_LOG!$A:$A, C211,
         ATTENDANCE_LOG!$B:$B, E211),
"")</f>
        <v>45670.54167</v>
      </c>
      <c r="I211" s="219">
        <f t="shared" si="2"/>
        <v>45670.54167</v>
      </c>
      <c r="J211" s="190">
        <f>IFERROR(VLOOKUP(F211, LEVEL_HELPER!$A:$B, 2, 0), "")</f>
        <v>1</v>
      </c>
      <c r="K211" s="190">
        <f>IFERROR(VLOOKUP(G211, LEVEL_HELPER!$A:$B, 2, 0), "")</f>
        <v>3</v>
      </c>
      <c r="L211" s="220" t="s">
        <v>943</v>
      </c>
      <c r="M211" s="220" t="s">
        <v>920</v>
      </c>
      <c r="N211" s="190">
        <f t="array" ref="N211">IFERROR(
  INDEX($J$2:$J$543,
    MATCH(A211&amp;TEXT(I211,"yyyy-mm-dd"),
          $A$2:$A$543&amp;TEXT($H$2:$H$543,"yyyy-mm-dd"),
          0)),
"")</f>
        <v>1</v>
      </c>
      <c r="O211" s="210">
        <f t="shared" si="3"/>
        <v>3.5</v>
      </c>
      <c r="P211" s="210">
        <f t="shared" ref="P211:Q211" si="221">IF(N211="",0,IF(N211&lt;=2,1,IF(N211&lt;=4,2,IF(N211&lt;=5.5,3,4))))</f>
        <v>1</v>
      </c>
      <c r="Q211" s="210">
        <f t="shared" si="221"/>
        <v>2</v>
      </c>
      <c r="R211" s="210" t="str">
        <f t="shared" si="5"/>
        <v>Lv1 → Lv2</v>
      </c>
      <c r="S211" s="210">
        <f t="shared" si="6"/>
        <v>1</v>
      </c>
      <c r="T211" s="210"/>
      <c r="U211" s="210"/>
      <c r="V211" s="211" t="s">
        <v>253</v>
      </c>
      <c r="W211" s="210" t="str">
        <f t="shared" si="7"/>
        <v>GSD</v>
      </c>
      <c r="X211" s="210" t="str">
        <f t="shared" si="8"/>
        <v>GSD</v>
      </c>
      <c r="Y211" s="210" t="str">
        <f t="shared" si="9"/>
        <v>MOC</v>
      </c>
      <c r="Z211" s="210"/>
      <c r="AA211" s="210"/>
      <c r="AB211" s="210"/>
      <c r="AC211" s="210"/>
      <c r="AD211" s="210"/>
      <c r="AE211" s="210"/>
      <c r="AF211" s="210"/>
      <c r="AG211" s="210"/>
      <c r="AH211" s="210"/>
      <c r="AI211" s="210"/>
      <c r="AJ211" s="210"/>
      <c r="AK211" s="210"/>
      <c r="AL211" s="210"/>
      <c r="AM211" s="214"/>
      <c r="AN211" s="210"/>
      <c r="AO211" s="210" t="str">
        <f t="shared" si="10"/>
        <v>#N/A</v>
      </c>
      <c r="AP211" s="210" t="str">
        <f t="shared" si="11"/>
        <v>#N/A</v>
      </c>
      <c r="AQ211" s="210" t="str">
        <f t="shared" si="12"/>
        <v>#N/A</v>
      </c>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c r="BU211" s="210"/>
      <c r="BV211" s="210"/>
      <c r="BW211" s="210"/>
      <c r="BX211" s="210"/>
      <c r="BY211" s="210"/>
      <c r="BZ211" s="210"/>
      <c r="CA211" s="210"/>
      <c r="CB211" s="210"/>
      <c r="CC211" s="210"/>
      <c r="CD211" s="210"/>
      <c r="CE211" s="210"/>
      <c r="CF211" s="210"/>
      <c r="CG211" s="210"/>
      <c r="CH211" s="210"/>
      <c r="CI211" s="210"/>
      <c r="CJ211" s="210"/>
      <c r="CK211" s="210"/>
    </row>
    <row r="212">
      <c r="A212" s="222" t="s">
        <v>108</v>
      </c>
      <c r="B212" s="190" t="s">
        <v>283</v>
      </c>
      <c r="C212" s="223" t="s">
        <v>72</v>
      </c>
      <c r="D212" s="223" t="s">
        <v>865</v>
      </c>
      <c r="E212" s="190" t="s">
        <v>21</v>
      </c>
      <c r="F212" s="13" t="s">
        <v>927</v>
      </c>
      <c r="G212" s="13" t="s">
        <v>918</v>
      </c>
      <c r="H212" s="219">
        <f>IFERROR(
  MINIFS(ATTENDANCE_LOG!$F:$F,
         ATTENDANCE_LOG!$A:$A, C212,
         ATTENDANCE_LOG!$B:$B, E212),
"")</f>
        <v>45670.54167</v>
      </c>
      <c r="I212" s="219">
        <f t="shared" si="2"/>
        <v>45670.54167</v>
      </c>
      <c r="J212" s="190">
        <f>IFERROR(VLOOKUP(F212, LEVEL_HELPER!$A:$B, 2, 0), "")</f>
        <v>1</v>
      </c>
      <c r="K212" s="190">
        <f>IFERROR(VLOOKUP(G212, LEVEL_HELPER!$A:$B, 2, 0), "")</f>
        <v>3</v>
      </c>
      <c r="L212" s="220" t="s">
        <v>943</v>
      </c>
      <c r="M212" s="220" t="s">
        <v>920</v>
      </c>
      <c r="N212" s="190">
        <f t="array" ref="N212">IFERROR(
  INDEX($J$2:$J$543,
    MATCH(A212&amp;TEXT(I212,"yyyy-mm-dd"),
          $A$2:$A$543&amp;TEXT($H$2:$H$543,"yyyy-mm-dd"),
          0)),
"")</f>
        <v>1</v>
      </c>
      <c r="O212" s="210">
        <f t="shared" si="3"/>
        <v>3.5</v>
      </c>
      <c r="P212" s="210">
        <f t="shared" ref="P212:Q212" si="222">IF(N212="",0,IF(N212&lt;=2,1,IF(N212&lt;=4,2,IF(N212&lt;=5.5,3,4))))</f>
        <v>1</v>
      </c>
      <c r="Q212" s="210">
        <f t="shared" si="222"/>
        <v>2</v>
      </c>
      <c r="R212" s="210" t="str">
        <f t="shared" si="5"/>
        <v>Lv1 → Lv2</v>
      </c>
      <c r="S212" s="210">
        <f t="shared" si="6"/>
        <v>1</v>
      </c>
      <c r="T212" s="210"/>
      <c r="U212" s="210"/>
      <c r="V212" s="211" t="s">
        <v>447</v>
      </c>
      <c r="W212" s="210" t="str">
        <f t="shared" si="7"/>
        <v>GSD</v>
      </c>
      <c r="X212" s="210" t="str">
        <f t="shared" si="8"/>
        <v>GSD</v>
      </c>
      <c r="Y212" s="210" t="str">
        <f t="shared" si="9"/>
        <v>MOC</v>
      </c>
      <c r="Z212" s="210"/>
      <c r="AA212" s="210"/>
      <c r="AB212" s="210"/>
      <c r="AC212" s="210"/>
      <c r="AD212" s="210"/>
      <c r="AE212" s="210"/>
      <c r="AF212" s="210"/>
      <c r="AG212" s="210"/>
      <c r="AH212" s="210"/>
      <c r="AI212" s="210"/>
      <c r="AJ212" s="210"/>
      <c r="AK212" s="210"/>
      <c r="AL212" s="210"/>
      <c r="AM212" s="214"/>
      <c r="AN212" s="210"/>
      <c r="AO212" s="210" t="str">
        <f t="shared" si="10"/>
        <v>#N/A</v>
      </c>
      <c r="AP212" s="210" t="str">
        <f t="shared" si="11"/>
        <v>#N/A</v>
      </c>
      <c r="AQ212" s="210" t="str">
        <f t="shared" si="12"/>
        <v>#N/A</v>
      </c>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c r="BU212" s="210"/>
      <c r="BV212" s="210"/>
      <c r="BW212" s="210"/>
      <c r="BX212" s="210"/>
      <c r="BY212" s="210"/>
      <c r="BZ212" s="210"/>
      <c r="CA212" s="210"/>
      <c r="CB212" s="210"/>
      <c r="CC212" s="210"/>
      <c r="CD212" s="210"/>
      <c r="CE212" s="210"/>
      <c r="CF212" s="210"/>
      <c r="CG212" s="210"/>
      <c r="CH212" s="210"/>
      <c r="CI212" s="210"/>
      <c r="CJ212" s="210"/>
      <c r="CK212" s="210"/>
    </row>
    <row r="213">
      <c r="A213" s="222" t="s">
        <v>315</v>
      </c>
      <c r="B213" s="190" t="s">
        <v>316</v>
      </c>
      <c r="C213" s="223" t="s">
        <v>72</v>
      </c>
      <c r="D213" s="223" t="s">
        <v>865</v>
      </c>
      <c r="E213" s="190" t="s">
        <v>21</v>
      </c>
      <c r="F213" s="13" t="s">
        <v>927</v>
      </c>
      <c r="G213" s="13" t="s">
        <v>929</v>
      </c>
      <c r="H213" s="219">
        <f>IFERROR(
  MINIFS(ATTENDANCE_LOG!$F:$F,
         ATTENDANCE_LOG!$A:$A, C213,
         ATTENDANCE_LOG!$B:$B, E213),
"")</f>
        <v>45670.54167</v>
      </c>
      <c r="I213" s="219">
        <f t="shared" si="2"/>
        <v>45670.54167</v>
      </c>
      <c r="J213" s="190">
        <f>IFERROR(VLOOKUP(F213, LEVEL_HELPER!$A:$B, 2, 0), "")</f>
        <v>1</v>
      </c>
      <c r="K213" s="190">
        <f>IFERROR(VLOOKUP(G213, LEVEL_HELPER!$A:$B, 2, 0), "")</f>
        <v>1.5</v>
      </c>
      <c r="L213" s="220" t="s">
        <v>943</v>
      </c>
      <c r="M213" s="220" t="s">
        <v>926</v>
      </c>
      <c r="N213" s="190">
        <f t="array" ref="N213">IFERROR(
  INDEX($J$2:$J$543,
    MATCH(A213&amp;TEXT(I213,"yyyy-mm-dd"),
          $A$2:$A$543&amp;TEXT($H$2:$H$543,"yyyy-mm-dd"),
          0)),
"")</f>
        <v>1</v>
      </c>
      <c r="O213" s="210">
        <f t="shared" si="3"/>
        <v>1.5</v>
      </c>
      <c r="P213" s="210">
        <f t="shared" ref="P213:Q213" si="223">IF(N213="",0,IF(N213&lt;=2,1,IF(N213&lt;=4,2,IF(N213&lt;=5.5,3,4))))</f>
        <v>1</v>
      </c>
      <c r="Q213" s="210">
        <f t="shared" si="223"/>
        <v>1</v>
      </c>
      <c r="R213" s="210" t="str">
        <f t="shared" si="5"/>
        <v>Progress within level</v>
      </c>
      <c r="S213" s="210">
        <f t="shared" si="6"/>
        <v>1</v>
      </c>
      <c r="T213" s="210"/>
      <c r="U213" s="210"/>
      <c r="V213" s="211" t="s">
        <v>486</v>
      </c>
      <c r="W213" s="210" t="str">
        <f t="shared" si="7"/>
        <v>GSD</v>
      </c>
      <c r="X213" s="210" t="str">
        <f t="shared" si="8"/>
        <v>GSD</v>
      </c>
      <c r="Y213" s="210" t="str">
        <f t="shared" si="9"/>
        <v>MOC</v>
      </c>
      <c r="Z213" s="210"/>
      <c r="AA213" s="210"/>
      <c r="AB213" s="210"/>
      <c r="AC213" s="210"/>
      <c r="AD213" s="210"/>
      <c r="AE213" s="210"/>
      <c r="AF213" s="210"/>
      <c r="AG213" s="210"/>
      <c r="AH213" s="210"/>
      <c r="AI213" s="210"/>
      <c r="AJ213" s="210"/>
      <c r="AK213" s="210"/>
      <c r="AL213" s="210"/>
      <c r="AM213" s="214"/>
      <c r="AN213" s="210"/>
      <c r="AO213" s="210" t="str">
        <f t="shared" si="10"/>
        <v>#N/A</v>
      </c>
      <c r="AP213" s="210" t="str">
        <f t="shared" si="11"/>
        <v>#N/A</v>
      </c>
      <c r="AQ213" s="210" t="str">
        <f t="shared" si="12"/>
        <v>#N/A</v>
      </c>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c r="BU213" s="210"/>
      <c r="BV213" s="210"/>
      <c r="BW213" s="210"/>
      <c r="BX213" s="210"/>
      <c r="BY213" s="210"/>
      <c r="BZ213" s="210"/>
      <c r="CA213" s="210"/>
      <c r="CB213" s="210"/>
      <c r="CC213" s="210"/>
      <c r="CD213" s="210"/>
      <c r="CE213" s="210"/>
      <c r="CF213" s="210"/>
      <c r="CG213" s="210"/>
      <c r="CH213" s="210"/>
      <c r="CI213" s="210"/>
      <c r="CJ213" s="210"/>
      <c r="CK213" s="210"/>
    </row>
    <row r="214">
      <c r="A214" s="222" t="s">
        <v>334</v>
      </c>
      <c r="B214" s="190" t="s">
        <v>335</v>
      </c>
      <c r="C214" s="223" t="s">
        <v>72</v>
      </c>
      <c r="D214" s="223" t="s">
        <v>865</v>
      </c>
      <c r="E214" s="190" t="s">
        <v>21</v>
      </c>
      <c r="F214" s="13" t="s">
        <v>917</v>
      </c>
      <c r="G214" s="13" t="s">
        <v>932</v>
      </c>
      <c r="H214" s="219">
        <f>IFERROR(
  MINIFS(ATTENDANCE_LOG!$F:$F,
         ATTENDANCE_LOG!$A:$A, C214,
         ATTENDANCE_LOG!$B:$B, E214),
"")</f>
        <v>45670.54167</v>
      </c>
      <c r="I214" s="219">
        <f t="shared" si="2"/>
        <v>45670.54167</v>
      </c>
      <c r="J214" s="190">
        <f>IFERROR(VLOOKUP(F214, LEVEL_HELPER!$A:$B, 2, 0), "")</f>
        <v>2.5</v>
      </c>
      <c r="K214" s="190">
        <f>IFERROR(VLOOKUP(G214, LEVEL_HELPER!$A:$B, 2, 0), "")</f>
        <v>4.5</v>
      </c>
      <c r="L214" s="220" t="s">
        <v>943</v>
      </c>
      <c r="M214" s="220" t="s">
        <v>926</v>
      </c>
      <c r="N214" s="190">
        <f t="array" ref="N214">IFERROR(
  INDEX($J$2:$J$543,
    MATCH(A214&amp;TEXT(I214,"yyyy-mm-dd"),
          $A$2:$A$543&amp;TEXT($H$2:$H$543,"yyyy-mm-dd"),
          0)),
"")</f>
        <v>2.5</v>
      </c>
      <c r="O214" s="210">
        <f t="shared" si="3"/>
        <v>4.5</v>
      </c>
      <c r="P214" s="210">
        <f t="shared" ref="P214:Q214" si="224">IF(N214="",0,IF(N214&lt;=2,1,IF(N214&lt;=4,2,IF(N214&lt;=5.5,3,4))))</f>
        <v>2</v>
      </c>
      <c r="Q214" s="210">
        <f t="shared" si="224"/>
        <v>3</v>
      </c>
      <c r="R214" s="210" t="str">
        <f t="shared" si="5"/>
        <v>Lv2 → Lv3</v>
      </c>
      <c r="S214" s="210">
        <f t="shared" si="6"/>
        <v>1</v>
      </c>
      <c r="T214" s="210"/>
      <c r="U214" s="210"/>
      <c r="V214" s="211" t="s">
        <v>508</v>
      </c>
      <c r="W214" s="210" t="str">
        <f t="shared" si="7"/>
        <v>GSD</v>
      </c>
      <c r="X214" s="210" t="str">
        <f t="shared" si="8"/>
        <v>GSD</v>
      </c>
      <c r="Y214" s="210" t="str">
        <f t="shared" si="9"/>
        <v>MOC</v>
      </c>
      <c r="Z214" s="210"/>
      <c r="AA214" s="210"/>
      <c r="AB214" s="210"/>
      <c r="AC214" s="210"/>
      <c r="AD214" s="210"/>
      <c r="AE214" s="210"/>
      <c r="AF214" s="210"/>
      <c r="AG214" s="210"/>
      <c r="AH214" s="210"/>
      <c r="AI214" s="210"/>
      <c r="AJ214" s="210"/>
      <c r="AK214" s="210"/>
      <c r="AL214" s="210"/>
      <c r="AM214" s="214"/>
      <c r="AN214" s="210"/>
      <c r="AO214" s="210" t="str">
        <f t="shared" si="10"/>
        <v>#N/A</v>
      </c>
      <c r="AP214" s="210" t="str">
        <f t="shared" si="11"/>
        <v>#N/A</v>
      </c>
      <c r="AQ214" s="210" t="str">
        <f t="shared" si="12"/>
        <v>#N/A</v>
      </c>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c r="BU214" s="210"/>
      <c r="BV214" s="210"/>
      <c r="BW214" s="210"/>
      <c r="BX214" s="210"/>
      <c r="BY214" s="210"/>
      <c r="BZ214" s="210"/>
      <c r="CA214" s="210"/>
      <c r="CB214" s="210"/>
      <c r="CC214" s="210"/>
      <c r="CD214" s="210"/>
      <c r="CE214" s="210"/>
      <c r="CF214" s="210"/>
      <c r="CG214" s="210"/>
      <c r="CH214" s="210"/>
      <c r="CI214" s="210"/>
      <c r="CJ214" s="210"/>
      <c r="CK214" s="210"/>
    </row>
    <row r="215">
      <c r="A215" s="222" t="s">
        <v>401</v>
      </c>
      <c r="B215" s="190" t="s">
        <v>402</v>
      </c>
      <c r="C215" s="223" t="s">
        <v>72</v>
      </c>
      <c r="D215" s="223" t="s">
        <v>865</v>
      </c>
      <c r="E215" s="190" t="s">
        <v>21</v>
      </c>
      <c r="F215" s="13" t="s">
        <v>927</v>
      </c>
      <c r="G215" s="13" t="s">
        <v>935</v>
      </c>
      <c r="H215" s="219">
        <f>IFERROR(
  MINIFS(ATTENDANCE_LOG!$F:$F,
         ATTENDANCE_LOG!$A:$A, C215,
         ATTENDANCE_LOG!$B:$B, E215),
"")</f>
        <v>45670.54167</v>
      </c>
      <c r="I215" s="219">
        <f t="shared" si="2"/>
        <v>45670.54167</v>
      </c>
      <c r="J215" s="190">
        <f>IFERROR(VLOOKUP(F215, LEVEL_HELPER!$A:$B, 2, 0), "")</f>
        <v>1</v>
      </c>
      <c r="K215" s="190">
        <f>IFERROR(VLOOKUP(G215, LEVEL_HELPER!$A:$B, 2, 0), "")</f>
        <v>3.5</v>
      </c>
      <c r="L215" s="220" t="s">
        <v>943</v>
      </c>
      <c r="M215" s="220" t="s">
        <v>920</v>
      </c>
      <c r="N215" s="190">
        <f t="array" ref="N215">IFERROR(
  INDEX($J$2:$J$543,
    MATCH(A215&amp;TEXT(I215,"yyyy-mm-dd"),
          $A$2:$A$543&amp;TEXT($H$2:$H$543,"yyyy-mm-dd"),
          0)),
"")</f>
        <v>1</v>
      </c>
      <c r="O215" s="210">
        <f t="shared" si="3"/>
        <v>4</v>
      </c>
      <c r="P215" s="210">
        <f t="shared" ref="P215:Q215" si="225">IF(N215="",0,IF(N215&lt;=2,1,IF(N215&lt;=4,2,IF(N215&lt;=5.5,3,4))))</f>
        <v>1</v>
      </c>
      <c r="Q215" s="210">
        <f t="shared" si="225"/>
        <v>2</v>
      </c>
      <c r="R215" s="210" t="str">
        <f t="shared" si="5"/>
        <v>Lv1 → Lv2</v>
      </c>
      <c r="S215" s="210">
        <f t="shared" si="6"/>
        <v>1</v>
      </c>
      <c r="T215" s="210"/>
      <c r="U215" s="210"/>
      <c r="V215" s="211" t="s">
        <v>597</v>
      </c>
      <c r="W215" s="210" t="str">
        <f t="shared" si="7"/>
        <v>GSD</v>
      </c>
      <c r="X215" s="210" t="str">
        <f t="shared" si="8"/>
        <v>GSD</v>
      </c>
      <c r="Y215" s="210" t="str">
        <f t="shared" si="9"/>
        <v>MOC</v>
      </c>
      <c r="Z215" s="210"/>
      <c r="AA215" s="210"/>
      <c r="AB215" s="210"/>
      <c r="AC215" s="210"/>
      <c r="AD215" s="210"/>
      <c r="AE215" s="210"/>
      <c r="AF215" s="210"/>
      <c r="AG215" s="210"/>
      <c r="AH215" s="210"/>
      <c r="AI215" s="210"/>
      <c r="AJ215" s="210"/>
      <c r="AK215" s="210"/>
      <c r="AL215" s="210"/>
      <c r="AM215" s="214"/>
      <c r="AN215" s="210"/>
      <c r="AO215" s="210" t="str">
        <f t="shared" si="10"/>
        <v>#N/A</v>
      </c>
      <c r="AP215" s="210" t="str">
        <f t="shared" si="11"/>
        <v>#N/A</v>
      </c>
      <c r="AQ215" s="210" t="str">
        <f t="shared" si="12"/>
        <v>#N/A</v>
      </c>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c r="BU215" s="210"/>
      <c r="BV215" s="210"/>
      <c r="BW215" s="210"/>
      <c r="BX215" s="210"/>
      <c r="BY215" s="210"/>
      <c r="BZ215" s="210"/>
      <c r="CA215" s="210"/>
      <c r="CB215" s="210"/>
      <c r="CC215" s="210"/>
      <c r="CD215" s="210"/>
      <c r="CE215" s="210"/>
      <c r="CF215" s="210"/>
      <c r="CG215" s="210"/>
      <c r="CH215" s="210"/>
      <c r="CI215" s="210"/>
      <c r="CJ215" s="210"/>
      <c r="CK215" s="210"/>
    </row>
    <row r="216">
      <c r="A216" s="222" t="s">
        <v>572</v>
      </c>
      <c r="B216" s="190" t="s">
        <v>573</v>
      </c>
      <c r="C216" s="223" t="s">
        <v>72</v>
      </c>
      <c r="D216" s="223" t="s">
        <v>865</v>
      </c>
      <c r="E216" s="190" t="s">
        <v>21</v>
      </c>
      <c r="F216" s="13" t="s">
        <v>927</v>
      </c>
      <c r="G216" s="13" t="s">
        <v>918</v>
      </c>
      <c r="H216" s="219">
        <f>IFERROR(
  MINIFS(ATTENDANCE_LOG!$F:$F,
         ATTENDANCE_LOG!$A:$A, C216,
         ATTENDANCE_LOG!$B:$B, E216),
"")</f>
        <v>45670.54167</v>
      </c>
      <c r="I216" s="219">
        <f t="shared" si="2"/>
        <v>45670.54167</v>
      </c>
      <c r="J216" s="190">
        <f>IFERROR(VLOOKUP(F216, LEVEL_HELPER!$A:$B, 2, 0), "")</f>
        <v>1</v>
      </c>
      <c r="K216" s="190">
        <f>IFERROR(VLOOKUP(G216, LEVEL_HELPER!$A:$B, 2, 0), "")</f>
        <v>3</v>
      </c>
      <c r="L216" s="220" t="s">
        <v>943</v>
      </c>
      <c r="M216" s="220" t="s">
        <v>926</v>
      </c>
      <c r="N216" s="190">
        <f t="array" ref="N216">IFERROR(
  INDEX($J$2:$J$543,
    MATCH(A216&amp;TEXT(I216,"yyyy-mm-dd"),
          $A$2:$A$543&amp;TEXT($H$2:$H$543,"yyyy-mm-dd"),
          0)),
"")</f>
        <v>1</v>
      </c>
      <c r="O216" s="210">
        <f t="shared" si="3"/>
        <v>3</v>
      </c>
      <c r="P216" s="210">
        <f t="shared" ref="P216:Q216" si="226">IF(N216="",0,IF(N216&lt;=2,1,IF(N216&lt;=4,2,IF(N216&lt;=5.5,3,4))))</f>
        <v>1</v>
      </c>
      <c r="Q216" s="210">
        <f t="shared" si="226"/>
        <v>2</v>
      </c>
      <c r="R216" s="210" t="str">
        <f t="shared" si="5"/>
        <v>Lv1 → Lv2</v>
      </c>
      <c r="S216" s="210">
        <f t="shared" si="6"/>
        <v>1</v>
      </c>
      <c r="T216" s="210"/>
      <c r="U216" s="210"/>
      <c r="V216" s="211" t="s">
        <v>623</v>
      </c>
      <c r="W216" s="210" t="str">
        <f t="shared" si="7"/>
        <v>GSD</v>
      </c>
      <c r="X216" s="210" t="str">
        <f t="shared" si="8"/>
        <v>GSD</v>
      </c>
      <c r="Y216" s="210" t="str">
        <f t="shared" si="9"/>
        <v>MOC</v>
      </c>
      <c r="Z216" s="210"/>
      <c r="AA216" s="210"/>
      <c r="AB216" s="210"/>
      <c r="AC216" s="210"/>
      <c r="AD216" s="210"/>
      <c r="AE216" s="210"/>
      <c r="AF216" s="210"/>
      <c r="AG216" s="210"/>
      <c r="AH216" s="210"/>
      <c r="AI216" s="210"/>
      <c r="AJ216" s="210"/>
      <c r="AK216" s="210"/>
      <c r="AL216" s="210"/>
      <c r="AM216" s="214"/>
      <c r="AN216" s="210"/>
      <c r="AO216" s="210" t="str">
        <f t="shared" si="10"/>
        <v>#N/A</v>
      </c>
      <c r="AP216" s="210" t="str">
        <f t="shared" si="11"/>
        <v>#N/A</v>
      </c>
      <c r="AQ216" s="210" t="str">
        <f t="shared" si="12"/>
        <v>#N/A</v>
      </c>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c r="BU216" s="210"/>
      <c r="BV216" s="210"/>
      <c r="BW216" s="210"/>
      <c r="BX216" s="210"/>
      <c r="BY216" s="210"/>
      <c r="BZ216" s="210"/>
      <c r="CA216" s="210"/>
      <c r="CB216" s="210"/>
      <c r="CC216" s="210"/>
      <c r="CD216" s="210"/>
      <c r="CE216" s="210"/>
      <c r="CF216" s="210"/>
      <c r="CG216" s="210"/>
      <c r="CH216" s="210"/>
      <c r="CI216" s="210"/>
      <c r="CJ216" s="210"/>
      <c r="CK216" s="210"/>
    </row>
    <row r="217">
      <c r="A217" s="222" t="s">
        <v>576</v>
      </c>
      <c r="B217" s="190" t="s">
        <v>577</v>
      </c>
      <c r="C217" s="223" t="s">
        <v>72</v>
      </c>
      <c r="D217" s="223" t="s">
        <v>865</v>
      </c>
      <c r="E217" s="190" t="s">
        <v>21</v>
      </c>
      <c r="F217" s="13" t="s">
        <v>917</v>
      </c>
      <c r="G217" s="13" t="s">
        <v>935</v>
      </c>
      <c r="H217" s="219">
        <f>IFERROR(
  MINIFS(ATTENDANCE_LOG!$F:$F,
         ATTENDANCE_LOG!$A:$A, C217,
         ATTENDANCE_LOG!$B:$B, E217),
"")</f>
        <v>45670.54167</v>
      </c>
      <c r="I217" s="219">
        <f t="shared" si="2"/>
        <v>45670.54167</v>
      </c>
      <c r="J217" s="190">
        <f>IFERROR(VLOOKUP(F217, LEVEL_HELPER!$A:$B, 2, 0), "")</f>
        <v>2.5</v>
      </c>
      <c r="K217" s="190">
        <f>IFERROR(VLOOKUP(G217, LEVEL_HELPER!$A:$B, 2, 0), "")</f>
        <v>3.5</v>
      </c>
      <c r="L217" s="220" t="s">
        <v>943</v>
      </c>
      <c r="M217" s="220" t="s">
        <v>920</v>
      </c>
      <c r="N217" s="190">
        <f t="array" ref="N217">IFERROR(
  INDEX($J$2:$J$543,
    MATCH(A217&amp;TEXT(I217,"yyyy-mm-dd"),
          $A$2:$A$543&amp;TEXT($H$2:$H$543,"yyyy-mm-dd"),
          0)),
"")</f>
        <v>2.5</v>
      </c>
      <c r="O217" s="210">
        <f t="shared" si="3"/>
        <v>3.5</v>
      </c>
      <c r="P217" s="210">
        <f t="shared" ref="P217:Q217" si="227">IF(N217="",0,IF(N217&lt;=2,1,IF(N217&lt;=4,2,IF(N217&lt;=5.5,3,4))))</f>
        <v>2</v>
      </c>
      <c r="Q217" s="210">
        <f t="shared" si="227"/>
        <v>2</v>
      </c>
      <c r="R217" s="210" t="str">
        <f t="shared" si="5"/>
        <v>Progress within level</v>
      </c>
      <c r="S217" s="210">
        <f t="shared" si="6"/>
        <v>1</v>
      </c>
      <c r="T217" s="210"/>
      <c r="U217" s="210"/>
      <c r="V217" s="211" t="s">
        <v>472</v>
      </c>
      <c r="W217" s="210" t="str">
        <f t="shared" si="7"/>
        <v>QC</v>
      </c>
      <c r="X217" s="210" t="str">
        <f t="shared" si="8"/>
        <v>QC</v>
      </c>
      <c r="Y217" s="210" t="str">
        <f t="shared" si="9"/>
        <v>LBU</v>
      </c>
      <c r="Z217" s="210"/>
      <c r="AA217" s="210"/>
      <c r="AB217" s="210"/>
      <c r="AC217" s="210"/>
      <c r="AD217" s="210"/>
      <c r="AE217" s="210"/>
      <c r="AF217" s="210"/>
      <c r="AG217" s="210"/>
      <c r="AH217" s="210"/>
      <c r="AI217" s="210"/>
      <c r="AJ217" s="210"/>
      <c r="AK217" s="210"/>
      <c r="AL217" s="210"/>
      <c r="AM217" s="214"/>
      <c r="AN217" s="210"/>
      <c r="AO217" s="210" t="str">
        <f t="shared" si="10"/>
        <v>#N/A</v>
      </c>
      <c r="AP217" s="210" t="str">
        <f t="shared" si="11"/>
        <v>#N/A</v>
      </c>
      <c r="AQ217" s="210" t="str">
        <f t="shared" si="12"/>
        <v>#N/A</v>
      </c>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c r="BU217" s="210"/>
      <c r="BV217" s="210"/>
      <c r="BW217" s="210"/>
      <c r="BX217" s="210"/>
      <c r="BY217" s="210"/>
      <c r="BZ217" s="210"/>
      <c r="CA217" s="210"/>
      <c r="CB217" s="210"/>
      <c r="CC217" s="210"/>
      <c r="CD217" s="210"/>
      <c r="CE217" s="210"/>
      <c r="CF217" s="210"/>
      <c r="CG217" s="210"/>
      <c r="CH217" s="210"/>
      <c r="CI217" s="210"/>
      <c r="CJ217" s="210"/>
      <c r="CK217" s="210"/>
    </row>
    <row r="218">
      <c r="A218" s="216" t="s">
        <v>683</v>
      </c>
      <c r="B218" s="217" t="s">
        <v>684</v>
      </c>
      <c r="C218" s="218" t="s">
        <v>72</v>
      </c>
      <c r="D218" s="218" t="s">
        <v>865</v>
      </c>
      <c r="E218" s="217" t="s">
        <v>22</v>
      </c>
      <c r="F218" s="13" t="s">
        <v>918</v>
      </c>
      <c r="G218" s="13" t="s">
        <v>935</v>
      </c>
      <c r="H218" s="219">
        <f>IFERROR(
  MINIFS(ATTENDANCE_LOG!$F:$F,
         ATTENDANCE_LOG!$A:$A, C218,
         ATTENDANCE_LOG!$B:$B, E218),
"")</f>
        <v>45866.54167</v>
      </c>
      <c r="I218" s="219">
        <f t="shared" si="2"/>
        <v>45670.54167</v>
      </c>
      <c r="J218" s="190">
        <f>IFERROR(VLOOKUP(F218, LEVEL_HELPER!$A:$B, 2, 0), "")</f>
        <v>3</v>
      </c>
      <c r="K218" s="190">
        <f>IFERROR(VLOOKUP(G218, LEVEL_HELPER!$A:$B, 2, 0), "")</f>
        <v>3.5</v>
      </c>
      <c r="L218" s="220" t="s">
        <v>943</v>
      </c>
      <c r="M218" s="220" t="s">
        <v>920</v>
      </c>
      <c r="N218" s="190">
        <f t="array" ref="N218">IFERROR(
  INDEX($J$2:$J$543,
    MATCH(A218&amp;TEXT(I218,"yyyy-mm-dd"),
          $A$2:$A$543&amp;TEXT($H$2:$H$543,"yyyy-mm-dd"),
          0)),
"")</f>
        <v>1</v>
      </c>
      <c r="O218" s="210">
        <f t="shared" si="3"/>
        <v>3.5</v>
      </c>
      <c r="P218" s="210">
        <f t="shared" ref="P218:Q218" si="228">IF(N218="",0,IF(N218&lt;=2,1,IF(N218&lt;=4,2,IF(N218&lt;=5.5,3,4))))</f>
        <v>1</v>
      </c>
      <c r="Q218" s="210">
        <f t="shared" si="228"/>
        <v>2</v>
      </c>
      <c r="R218" s="210" t="str">
        <f t="shared" si="5"/>
        <v>Lv1 → Lv2</v>
      </c>
      <c r="S218" s="210">
        <f t="shared" si="6"/>
        <v>0</v>
      </c>
      <c r="T218" s="210"/>
      <c r="U218" s="210"/>
      <c r="V218" s="211" t="s">
        <v>397</v>
      </c>
      <c r="W218" s="210" t="str">
        <f t="shared" si="7"/>
        <v>BC</v>
      </c>
      <c r="X218" s="210" t="str">
        <f t="shared" si="8"/>
        <v>BA, BC</v>
      </c>
      <c r="Y218" s="210" t="str">
        <f t="shared" si="9"/>
        <v>MOC</v>
      </c>
      <c r="Z218" s="210"/>
      <c r="AA218" s="210"/>
      <c r="AB218" s="210"/>
      <c r="AC218" s="210"/>
      <c r="AD218" s="210"/>
      <c r="AE218" s="210"/>
      <c r="AF218" s="210"/>
      <c r="AG218" s="210"/>
      <c r="AH218" s="210"/>
      <c r="AI218" s="210"/>
      <c r="AJ218" s="210"/>
      <c r="AK218" s="210"/>
      <c r="AL218" s="210"/>
      <c r="AM218" s="214"/>
      <c r="AN218" s="210"/>
      <c r="AO218" s="210" t="str">
        <f t="shared" si="10"/>
        <v>#N/A</v>
      </c>
      <c r="AP218" s="210" t="str">
        <f t="shared" si="11"/>
        <v>#N/A</v>
      </c>
      <c r="AQ218" s="210" t="str">
        <f t="shared" si="12"/>
        <v>#N/A</v>
      </c>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c r="BU218" s="210"/>
      <c r="BV218" s="210"/>
      <c r="BW218" s="210"/>
      <c r="BX218" s="210"/>
      <c r="BY218" s="210"/>
      <c r="BZ218" s="210"/>
      <c r="CA218" s="210"/>
      <c r="CB218" s="210"/>
      <c r="CC218" s="210"/>
      <c r="CD218" s="210"/>
      <c r="CE218" s="210"/>
      <c r="CF218" s="210"/>
      <c r="CG218" s="210"/>
      <c r="CH218" s="210"/>
      <c r="CI218" s="210"/>
      <c r="CJ218" s="210"/>
      <c r="CK218" s="210"/>
    </row>
    <row r="219">
      <c r="A219" s="222" t="s">
        <v>265</v>
      </c>
      <c r="B219" s="190" t="s">
        <v>266</v>
      </c>
      <c r="C219" s="223" t="s">
        <v>72</v>
      </c>
      <c r="D219" s="223" t="s">
        <v>865</v>
      </c>
      <c r="E219" s="190" t="s">
        <v>22</v>
      </c>
      <c r="F219" s="13" t="s">
        <v>918</v>
      </c>
      <c r="G219" s="13" t="s">
        <v>935</v>
      </c>
      <c r="H219" s="219">
        <f>IFERROR(
  MINIFS(ATTENDANCE_LOG!$F:$F,
         ATTENDANCE_LOG!$A:$A, C219,
         ATTENDANCE_LOG!$B:$B, E219),
"")</f>
        <v>45866.54167</v>
      </c>
      <c r="I219" s="219">
        <f t="shared" si="2"/>
        <v>45670.54167</v>
      </c>
      <c r="J219" s="190">
        <f>IFERROR(VLOOKUP(F219, LEVEL_HELPER!$A:$B, 2, 0), "")</f>
        <v>3</v>
      </c>
      <c r="K219" s="190">
        <f>IFERROR(VLOOKUP(G219, LEVEL_HELPER!$A:$B, 2, 0), "")</f>
        <v>3.5</v>
      </c>
      <c r="L219" s="220" t="s">
        <v>943</v>
      </c>
      <c r="M219" s="220" t="s">
        <v>920</v>
      </c>
      <c r="N219" s="190">
        <f t="array" ref="N219">IFERROR(
  INDEX($J$2:$J$543,
    MATCH(A219&amp;TEXT(I219,"yyyy-mm-dd"),
          $A$2:$A$543&amp;TEXT($H$2:$H$543,"yyyy-mm-dd"),
          0)),
"")</f>
        <v>1</v>
      </c>
      <c r="O219" s="210">
        <f t="shared" si="3"/>
        <v>3.5</v>
      </c>
      <c r="P219" s="210">
        <f t="shared" ref="P219:Q219" si="229">IF(N219="",0,IF(N219&lt;=2,1,IF(N219&lt;=4,2,IF(N219&lt;=5.5,3,4))))</f>
        <v>1</v>
      </c>
      <c r="Q219" s="210">
        <f t="shared" si="229"/>
        <v>2</v>
      </c>
      <c r="R219" s="210" t="str">
        <f t="shared" si="5"/>
        <v>Lv1 → Lv2</v>
      </c>
      <c r="S219" s="210">
        <f t="shared" si="6"/>
        <v>0</v>
      </c>
      <c r="T219" s="210"/>
      <c r="U219" s="210"/>
      <c r="V219" s="211" t="s">
        <v>136</v>
      </c>
      <c r="W219" s="210" t="str">
        <f t="shared" si="7"/>
        <v>DEV</v>
      </c>
      <c r="X219" s="210" t="str">
        <f t="shared" si="8"/>
        <v>DEV, TA</v>
      </c>
      <c r="Y219" s="210" t="str">
        <f t="shared" si="9"/>
        <v>MOC</v>
      </c>
      <c r="Z219" s="210"/>
      <c r="AA219" s="210"/>
      <c r="AB219" s="210"/>
      <c r="AC219" s="210"/>
      <c r="AD219" s="210"/>
      <c r="AE219" s="210"/>
      <c r="AF219" s="210"/>
      <c r="AG219" s="210"/>
      <c r="AH219" s="210"/>
      <c r="AI219" s="210"/>
      <c r="AJ219" s="210"/>
      <c r="AK219" s="210"/>
      <c r="AL219" s="210"/>
      <c r="AM219" s="214"/>
      <c r="AN219" s="210"/>
      <c r="AO219" s="210" t="str">
        <f t="shared" si="10"/>
        <v>#N/A</v>
      </c>
      <c r="AP219" s="210" t="str">
        <f t="shared" si="11"/>
        <v>#N/A</v>
      </c>
      <c r="AQ219" s="210" t="str">
        <f t="shared" si="12"/>
        <v>#N/A</v>
      </c>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c r="BU219" s="210"/>
      <c r="BV219" s="210"/>
      <c r="BW219" s="210"/>
      <c r="BX219" s="210"/>
      <c r="BY219" s="210"/>
      <c r="BZ219" s="210"/>
      <c r="CA219" s="210"/>
      <c r="CB219" s="210"/>
      <c r="CC219" s="210"/>
      <c r="CD219" s="210"/>
      <c r="CE219" s="210"/>
      <c r="CF219" s="210"/>
      <c r="CG219" s="210"/>
      <c r="CH219" s="210"/>
      <c r="CI219" s="210"/>
      <c r="CJ219" s="210"/>
      <c r="CK219" s="210"/>
    </row>
    <row r="220">
      <c r="A220" s="222" t="s">
        <v>108</v>
      </c>
      <c r="B220" s="190" t="s">
        <v>283</v>
      </c>
      <c r="C220" s="223" t="s">
        <v>72</v>
      </c>
      <c r="D220" s="223" t="s">
        <v>865</v>
      </c>
      <c r="E220" s="190" t="s">
        <v>22</v>
      </c>
      <c r="F220" s="13" t="s">
        <v>918</v>
      </c>
      <c r="G220" s="13" t="s">
        <v>935</v>
      </c>
      <c r="H220" s="219">
        <f>IFERROR(
  MINIFS(ATTENDANCE_LOG!$F:$F,
         ATTENDANCE_LOG!$A:$A, C220,
         ATTENDANCE_LOG!$B:$B, E220),
"")</f>
        <v>45866.54167</v>
      </c>
      <c r="I220" s="219">
        <f t="shared" si="2"/>
        <v>45670.54167</v>
      </c>
      <c r="J220" s="190">
        <f>IFERROR(VLOOKUP(F220, LEVEL_HELPER!$A:$B, 2, 0), "")</f>
        <v>3</v>
      </c>
      <c r="K220" s="190">
        <f>IFERROR(VLOOKUP(G220, LEVEL_HELPER!$A:$B, 2, 0), "")</f>
        <v>3.5</v>
      </c>
      <c r="L220" s="220" t="s">
        <v>943</v>
      </c>
      <c r="M220" s="220" t="s">
        <v>920</v>
      </c>
      <c r="N220" s="190">
        <f t="array" ref="N220">IFERROR(
  INDEX($J$2:$J$543,
    MATCH(A220&amp;TEXT(I220,"yyyy-mm-dd"),
          $A$2:$A$543&amp;TEXT($H$2:$H$543,"yyyy-mm-dd"),
          0)),
"")</f>
        <v>1</v>
      </c>
      <c r="O220" s="210">
        <f t="shared" si="3"/>
        <v>3.5</v>
      </c>
      <c r="P220" s="210">
        <f t="shared" ref="P220:Q220" si="230">IF(N220="",0,IF(N220&lt;=2,1,IF(N220&lt;=4,2,IF(N220&lt;=5.5,3,4))))</f>
        <v>1</v>
      </c>
      <c r="Q220" s="210">
        <f t="shared" si="230"/>
        <v>2</v>
      </c>
      <c r="R220" s="210" t="str">
        <f t="shared" si="5"/>
        <v>Lv1 → Lv2</v>
      </c>
      <c r="S220" s="210">
        <f t="shared" si="6"/>
        <v>0</v>
      </c>
      <c r="T220" s="210"/>
      <c r="U220" s="210"/>
      <c r="V220" s="211" t="s">
        <v>165</v>
      </c>
      <c r="W220" s="210" t="str">
        <f t="shared" si="7"/>
        <v>DEV</v>
      </c>
      <c r="X220" s="210" t="str">
        <f t="shared" si="8"/>
        <v>DEV, TA</v>
      </c>
      <c r="Y220" s="210" t="str">
        <f t="shared" si="9"/>
        <v>MOC</v>
      </c>
      <c r="Z220" s="210"/>
      <c r="AA220" s="210"/>
      <c r="AB220" s="210"/>
      <c r="AC220" s="210"/>
      <c r="AD220" s="210"/>
      <c r="AE220" s="210"/>
      <c r="AF220" s="210"/>
      <c r="AG220" s="210"/>
      <c r="AH220" s="210"/>
      <c r="AI220" s="210"/>
      <c r="AJ220" s="210"/>
      <c r="AK220" s="210"/>
      <c r="AL220" s="210"/>
      <c r="AM220" s="214"/>
      <c r="AN220" s="210"/>
      <c r="AO220" s="210" t="str">
        <f t="shared" si="10"/>
        <v>#N/A</v>
      </c>
      <c r="AP220" s="210" t="str">
        <f t="shared" si="11"/>
        <v>#N/A</v>
      </c>
      <c r="AQ220" s="210" t="str">
        <f t="shared" si="12"/>
        <v>#N/A</v>
      </c>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c r="BU220" s="210"/>
      <c r="BV220" s="210"/>
      <c r="BW220" s="210"/>
      <c r="BX220" s="210"/>
      <c r="BY220" s="210"/>
      <c r="BZ220" s="210"/>
      <c r="CA220" s="210"/>
      <c r="CB220" s="210"/>
      <c r="CC220" s="210"/>
      <c r="CD220" s="210"/>
      <c r="CE220" s="210"/>
      <c r="CF220" s="210"/>
      <c r="CG220" s="210"/>
      <c r="CH220" s="210"/>
      <c r="CI220" s="210"/>
      <c r="CJ220" s="210"/>
      <c r="CK220" s="210"/>
    </row>
    <row r="221">
      <c r="A221" s="222" t="s">
        <v>315</v>
      </c>
      <c r="B221" s="190" t="s">
        <v>316</v>
      </c>
      <c r="C221" s="223" t="s">
        <v>72</v>
      </c>
      <c r="D221" s="223" t="s">
        <v>865</v>
      </c>
      <c r="E221" s="190" t="s">
        <v>22</v>
      </c>
      <c r="F221" s="13" t="s">
        <v>929</v>
      </c>
      <c r="G221" s="13" t="s">
        <v>929</v>
      </c>
      <c r="H221" s="219">
        <f>IFERROR(
  MINIFS(ATTENDANCE_LOG!$F:$F,
         ATTENDANCE_LOG!$A:$A, C221,
         ATTENDANCE_LOG!$B:$B, E221),
"")</f>
        <v>45866.54167</v>
      </c>
      <c r="I221" s="219">
        <f t="shared" si="2"/>
        <v>45670.54167</v>
      </c>
      <c r="J221" s="190">
        <f>IFERROR(VLOOKUP(F221, LEVEL_HELPER!$A:$B, 2, 0), "")</f>
        <v>1.5</v>
      </c>
      <c r="K221" s="190">
        <f>IFERROR(VLOOKUP(G221, LEVEL_HELPER!$A:$B, 2, 0), "")</f>
        <v>1.5</v>
      </c>
      <c r="L221" s="220" t="s">
        <v>943</v>
      </c>
      <c r="M221" s="220" t="s">
        <v>926</v>
      </c>
      <c r="N221" s="190">
        <f t="array" ref="N221">IFERROR(
  INDEX($J$2:$J$543,
    MATCH(A221&amp;TEXT(I221,"yyyy-mm-dd"),
          $A$2:$A$543&amp;TEXT($H$2:$H$543,"yyyy-mm-dd"),
          0)),
"")</f>
        <v>1</v>
      </c>
      <c r="O221" s="210">
        <f t="shared" si="3"/>
        <v>1.5</v>
      </c>
      <c r="P221" s="210">
        <f t="shared" ref="P221:Q221" si="231">IF(N221="",0,IF(N221&lt;=2,1,IF(N221&lt;=4,2,IF(N221&lt;=5.5,3,4))))</f>
        <v>1</v>
      </c>
      <c r="Q221" s="210">
        <f t="shared" si="231"/>
        <v>1</v>
      </c>
      <c r="R221" s="210" t="str">
        <f t="shared" si="5"/>
        <v>Progress within level</v>
      </c>
      <c r="S221" s="210">
        <f t="shared" si="6"/>
        <v>0</v>
      </c>
      <c r="T221" s="210"/>
      <c r="U221" s="210"/>
      <c r="V221" s="211" t="s">
        <v>275</v>
      </c>
      <c r="W221" s="210" t="str">
        <f t="shared" si="7"/>
        <v>DEV</v>
      </c>
      <c r="X221" s="210" t="str">
        <f t="shared" si="8"/>
        <v>DEV, TA</v>
      </c>
      <c r="Y221" s="210" t="str">
        <f t="shared" si="9"/>
        <v>MOC</v>
      </c>
      <c r="Z221" s="210"/>
      <c r="AA221" s="210"/>
      <c r="AB221" s="210"/>
      <c r="AC221" s="210"/>
      <c r="AD221" s="210"/>
      <c r="AE221" s="210"/>
      <c r="AF221" s="210"/>
      <c r="AG221" s="210"/>
      <c r="AH221" s="210"/>
      <c r="AI221" s="210"/>
      <c r="AJ221" s="210"/>
      <c r="AK221" s="210"/>
      <c r="AL221" s="210"/>
      <c r="AM221" s="214"/>
      <c r="AN221" s="210"/>
      <c r="AO221" s="210" t="str">
        <f t="shared" si="10"/>
        <v>#N/A</v>
      </c>
      <c r="AP221" s="210" t="str">
        <f t="shared" si="11"/>
        <v>#N/A</v>
      </c>
      <c r="AQ221" s="210" t="str">
        <f t="shared" si="12"/>
        <v>#N/A</v>
      </c>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c r="BU221" s="210"/>
      <c r="BV221" s="210"/>
      <c r="BW221" s="210"/>
      <c r="BX221" s="210"/>
      <c r="BY221" s="210"/>
      <c r="BZ221" s="210"/>
      <c r="CA221" s="210"/>
      <c r="CB221" s="210"/>
      <c r="CC221" s="210"/>
      <c r="CD221" s="210"/>
      <c r="CE221" s="210"/>
      <c r="CF221" s="210"/>
      <c r="CG221" s="210"/>
      <c r="CH221" s="210"/>
      <c r="CI221" s="210"/>
      <c r="CJ221" s="210"/>
      <c r="CK221" s="210"/>
    </row>
    <row r="222">
      <c r="A222" s="222" t="s">
        <v>334</v>
      </c>
      <c r="B222" s="190" t="s">
        <v>335</v>
      </c>
      <c r="C222" s="223" t="s">
        <v>72</v>
      </c>
      <c r="D222" s="223" t="s">
        <v>865</v>
      </c>
      <c r="E222" s="190" t="s">
        <v>22</v>
      </c>
      <c r="F222" s="13" t="s">
        <v>932</v>
      </c>
      <c r="G222" s="190"/>
      <c r="H222" s="219">
        <f>IFERROR(
  MINIFS(ATTENDANCE_LOG!$F:$F,
         ATTENDANCE_LOG!$A:$A, C222,
         ATTENDANCE_LOG!$B:$B, E222),
"")</f>
        <v>45866.54167</v>
      </c>
      <c r="I222" s="219">
        <f t="shared" si="2"/>
        <v>45670.54167</v>
      </c>
      <c r="J222" s="190">
        <f>IFERROR(VLOOKUP(F222, LEVEL_HELPER!$A:$B, 2, 0), "")</f>
        <v>4.5</v>
      </c>
      <c r="K222" s="190" t="str">
        <f>IFERROR(VLOOKUP(G222, LEVEL_HELPER!$A:$B, 2, 0), "")</f>
        <v/>
      </c>
      <c r="L222" s="220" t="s">
        <v>943</v>
      </c>
      <c r="M222" s="220" t="s">
        <v>926</v>
      </c>
      <c r="N222" s="190">
        <f t="array" ref="N222">IFERROR(
  INDEX($J$2:$J$543,
    MATCH(A222&amp;TEXT(I222,"yyyy-mm-dd"),
          $A$2:$A$543&amp;TEXT($H$2:$H$543,"yyyy-mm-dd"),
          0)),
"")</f>
        <v>2.5</v>
      </c>
      <c r="O222" s="210">
        <f t="shared" si="3"/>
        <v>4.5</v>
      </c>
      <c r="P222" s="210">
        <f t="shared" ref="P222:Q222" si="232">IF(N222="",0,IF(N222&lt;=2,1,IF(N222&lt;=4,2,IF(N222&lt;=5.5,3,4))))</f>
        <v>2</v>
      </c>
      <c r="Q222" s="210">
        <f t="shared" si="232"/>
        <v>3</v>
      </c>
      <c r="R222" s="210" t="str">
        <f t="shared" si="5"/>
        <v>Lv2 → Lv3</v>
      </c>
      <c r="S222" s="210">
        <f t="shared" si="6"/>
        <v>0</v>
      </c>
      <c r="T222" s="210"/>
      <c r="U222" s="210"/>
      <c r="V222" s="211" t="s">
        <v>681</v>
      </c>
      <c r="W222" s="210" t="str">
        <f t="shared" si="7"/>
        <v>DEV</v>
      </c>
      <c r="X222" s="210" t="str">
        <f t="shared" si="8"/>
        <v>DEV, TA</v>
      </c>
      <c r="Y222" s="210" t="str">
        <f t="shared" si="9"/>
        <v>MOC</v>
      </c>
      <c r="Z222" s="210"/>
      <c r="AA222" s="210"/>
      <c r="AB222" s="210"/>
      <c r="AC222" s="210"/>
      <c r="AD222" s="210"/>
      <c r="AE222" s="210"/>
      <c r="AF222" s="210"/>
      <c r="AG222" s="210"/>
      <c r="AH222" s="210"/>
      <c r="AI222" s="210"/>
      <c r="AJ222" s="210"/>
      <c r="AK222" s="210"/>
      <c r="AL222" s="210"/>
      <c r="AM222" s="214"/>
      <c r="AN222" s="210"/>
      <c r="AO222" s="210" t="str">
        <f t="shared" si="10"/>
        <v>#N/A</v>
      </c>
      <c r="AP222" s="210" t="str">
        <f t="shared" si="11"/>
        <v>#N/A</v>
      </c>
      <c r="AQ222" s="210" t="str">
        <f t="shared" si="12"/>
        <v>#N/A</v>
      </c>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c r="BU222" s="210"/>
      <c r="BV222" s="210"/>
      <c r="BW222" s="210"/>
      <c r="BX222" s="210"/>
      <c r="BY222" s="210"/>
      <c r="BZ222" s="210"/>
      <c r="CA222" s="210"/>
      <c r="CB222" s="210"/>
      <c r="CC222" s="210"/>
      <c r="CD222" s="210"/>
      <c r="CE222" s="210"/>
      <c r="CF222" s="210"/>
      <c r="CG222" s="210"/>
      <c r="CH222" s="210"/>
      <c r="CI222" s="210"/>
      <c r="CJ222" s="210"/>
      <c r="CK222" s="210"/>
    </row>
    <row r="223">
      <c r="A223" s="222" t="s">
        <v>401</v>
      </c>
      <c r="B223" s="190" t="s">
        <v>402</v>
      </c>
      <c r="C223" s="223" t="s">
        <v>72</v>
      </c>
      <c r="D223" s="223" t="s">
        <v>865</v>
      </c>
      <c r="E223" s="190" t="s">
        <v>22</v>
      </c>
      <c r="F223" s="13" t="s">
        <v>935</v>
      </c>
      <c r="G223" s="13" t="s">
        <v>953</v>
      </c>
      <c r="H223" s="219">
        <f>IFERROR(
  MINIFS(ATTENDANCE_LOG!$F:$F,
         ATTENDANCE_LOG!$A:$A, C223,
         ATTENDANCE_LOG!$B:$B, E223),
"")</f>
        <v>45866.54167</v>
      </c>
      <c r="I223" s="219">
        <f t="shared" si="2"/>
        <v>45670.54167</v>
      </c>
      <c r="J223" s="190">
        <f>IFERROR(VLOOKUP(F223, LEVEL_HELPER!$A:$B, 2, 0), "")</f>
        <v>3.5</v>
      </c>
      <c r="K223" s="190">
        <f>IFERROR(VLOOKUP(G223, LEVEL_HELPER!$A:$B, 2, 0), "")</f>
        <v>4</v>
      </c>
      <c r="L223" s="220" t="s">
        <v>943</v>
      </c>
      <c r="M223" s="220" t="s">
        <v>920</v>
      </c>
      <c r="N223" s="190">
        <f t="array" ref="N223">IFERROR(
  INDEX($J$2:$J$543,
    MATCH(A223&amp;TEXT(I223,"yyyy-mm-dd"),
          $A$2:$A$543&amp;TEXT($H$2:$H$543,"yyyy-mm-dd"),
          0)),
"")</f>
        <v>1</v>
      </c>
      <c r="O223" s="210">
        <f t="shared" si="3"/>
        <v>4</v>
      </c>
      <c r="P223" s="210">
        <f t="shared" ref="P223:Q223" si="233">IF(N223="",0,IF(N223&lt;=2,1,IF(N223&lt;=4,2,IF(N223&lt;=5.5,3,4))))</f>
        <v>1</v>
      </c>
      <c r="Q223" s="210">
        <f t="shared" si="233"/>
        <v>2</v>
      </c>
      <c r="R223" s="210" t="str">
        <f t="shared" si="5"/>
        <v>Lv1 → Lv2</v>
      </c>
      <c r="S223" s="210">
        <f t="shared" si="6"/>
        <v>0</v>
      </c>
      <c r="T223" s="210"/>
      <c r="U223" s="210"/>
      <c r="V223" s="211" t="s">
        <v>719</v>
      </c>
      <c r="W223" s="210" t="str">
        <f t="shared" si="7"/>
        <v>BC</v>
      </c>
      <c r="X223" s="210" t="str">
        <f t="shared" si="8"/>
        <v>BA, BC</v>
      </c>
      <c r="Y223" s="210" t="str">
        <f t="shared" si="9"/>
        <v>MOC</v>
      </c>
      <c r="Z223" s="210"/>
      <c r="AA223" s="210"/>
      <c r="AB223" s="210"/>
      <c r="AC223" s="210"/>
      <c r="AD223" s="210"/>
      <c r="AE223" s="210"/>
      <c r="AF223" s="210"/>
      <c r="AG223" s="210"/>
      <c r="AH223" s="210"/>
      <c r="AI223" s="210"/>
      <c r="AJ223" s="210"/>
      <c r="AK223" s="210"/>
      <c r="AL223" s="210"/>
      <c r="AM223" s="214"/>
      <c r="AN223" s="210"/>
      <c r="AO223" s="210" t="str">
        <f t="shared" si="10"/>
        <v>#N/A</v>
      </c>
      <c r="AP223" s="210" t="str">
        <f t="shared" si="11"/>
        <v>#N/A</v>
      </c>
      <c r="AQ223" s="210" t="str">
        <f t="shared" si="12"/>
        <v>#N/A</v>
      </c>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c r="BU223" s="210"/>
      <c r="BV223" s="210"/>
      <c r="BW223" s="210"/>
      <c r="BX223" s="210"/>
      <c r="BY223" s="210"/>
      <c r="BZ223" s="210"/>
      <c r="CA223" s="210"/>
      <c r="CB223" s="210"/>
      <c r="CC223" s="210"/>
      <c r="CD223" s="210"/>
      <c r="CE223" s="210"/>
      <c r="CF223" s="210"/>
      <c r="CG223" s="210"/>
      <c r="CH223" s="210"/>
      <c r="CI223" s="210"/>
      <c r="CJ223" s="210"/>
      <c r="CK223" s="210"/>
    </row>
    <row r="224">
      <c r="A224" s="222" t="s">
        <v>572</v>
      </c>
      <c r="B224" s="190" t="s">
        <v>573</v>
      </c>
      <c r="C224" s="223" t="s">
        <v>72</v>
      </c>
      <c r="D224" s="223" t="s">
        <v>865</v>
      </c>
      <c r="E224" s="190" t="s">
        <v>22</v>
      </c>
      <c r="F224" s="13" t="s">
        <v>918</v>
      </c>
      <c r="G224" s="13" t="s">
        <v>918</v>
      </c>
      <c r="H224" s="219">
        <f>IFERROR(
  MINIFS(ATTENDANCE_LOG!$F:$F,
         ATTENDANCE_LOG!$A:$A, C224,
         ATTENDANCE_LOG!$B:$B, E224),
"")</f>
        <v>45866.54167</v>
      </c>
      <c r="I224" s="219">
        <f t="shared" si="2"/>
        <v>45670.54167</v>
      </c>
      <c r="J224" s="190">
        <f>IFERROR(VLOOKUP(F224, LEVEL_HELPER!$A:$B, 2, 0), "")</f>
        <v>3</v>
      </c>
      <c r="K224" s="190">
        <f>IFERROR(VLOOKUP(G224, LEVEL_HELPER!$A:$B, 2, 0), "")</f>
        <v>3</v>
      </c>
      <c r="L224" s="220" t="s">
        <v>943</v>
      </c>
      <c r="M224" s="220" t="s">
        <v>926</v>
      </c>
      <c r="N224" s="190">
        <f t="array" ref="N224">IFERROR(
  INDEX($J$2:$J$543,
    MATCH(A224&amp;TEXT(I224,"yyyy-mm-dd"),
          $A$2:$A$543&amp;TEXT($H$2:$H$543,"yyyy-mm-dd"),
          0)),
"")</f>
        <v>1</v>
      </c>
      <c r="O224" s="210">
        <f t="shared" si="3"/>
        <v>3</v>
      </c>
      <c r="P224" s="210">
        <f t="shared" ref="P224:Q224" si="234">IF(N224="",0,IF(N224&lt;=2,1,IF(N224&lt;=4,2,IF(N224&lt;=5.5,3,4))))</f>
        <v>1</v>
      </c>
      <c r="Q224" s="210">
        <f t="shared" si="234"/>
        <v>2</v>
      </c>
      <c r="R224" s="210" t="str">
        <f t="shared" si="5"/>
        <v>Lv1 → Lv2</v>
      </c>
      <c r="S224" s="210">
        <f t="shared" si="6"/>
        <v>0</v>
      </c>
      <c r="T224" s="210"/>
      <c r="U224" s="210"/>
      <c r="V224" s="211" t="s">
        <v>407</v>
      </c>
      <c r="W224" s="210" t="str">
        <f t="shared" si="7"/>
        <v>DEV</v>
      </c>
      <c r="X224" s="210" t="str">
        <f t="shared" si="8"/>
        <v>DEV, TA</v>
      </c>
      <c r="Y224" s="210" t="str">
        <f t="shared" si="9"/>
        <v>MOC</v>
      </c>
      <c r="Z224" s="210"/>
      <c r="AA224" s="210"/>
      <c r="AB224" s="210"/>
      <c r="AC224" s="210"/>
      <c r="AD224" s="210"/>
      <c r="AE224" s="210"/>
      <c r="AF224" s="210"/>
      <c r="AG224" s="210"/>
      <c r="AH224" s="210"/>
      <c r="AI224" s="210"/>
      <c r="AJ224" s="210"/>
      <c r="AK224" s="210"/>
      <c r="AL224" s="210"/>
      <c r="AM224" s="214"/>
      <c r="AN224" s="210"/>
      <c r="AO224" s="210" t="str">
        <f t="shared" si="10"/>
        <v>#N/A</v>
      </c>
      <c r="AP224" s="210" t="str">
        <f t="shared" si="11"/>
        <v>#N/A</v>
      </c>
      <c r="AQ224" s="210" t="str">
        <f t="shared" si="12"/>
        <v>#N/A</v>
      </c>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c r="BU224" s="210"/>
      <c r="BV224" s="210"/>
      <c r="BW224" s="210"/>
      <c r="BX224" s="210"/>
      <c r="BY224" s="210"/>
      <c r="BZ224" s="210"/>
      <c r="CA224" s="210"/>
      <c r="CB224" s="210"/>
      <c r="CC224" s="210"/>
      <c r="CD224" s="210"/>
      <c r="CE224" s="210"/>
      <c r="CF224" s="210"/>
      <c r="CG224" s="210"/>
      <c r="CH224" s="210"/>
      <c r="CI224" s="210"/>
      <c r="CJ224" s="210"/>
      <c r="CK224" s="210"/>
    </row>
    <row r="225">
      <c r="A225" s="222" t="s">
        <v>576</v>
      </c>
      <c r="B225" s="190" t="s">
        <v>577</v>
      </c>
      <c r="C225" s="223" t="s">
        <v>72</v>
      </c>
      <c r="D225" s="223" t="s">
        <v>865</v>
      </c>
      <c r="E225" s="190" t="s">
        <v>22</v>
      </c>
      <c r="F225" s="13" t="s">
        <v>935</v>
      </c>
      <c r="G225" s="13" t="s">
        <v>935</v>
      </c>
      <c r="H225" s="219">
        <f>IFERROR(
  MINIFS(ATTENDANCE_LOG!$F:$F,
         ATTENDANCE_LOG!$A:$A, C225,
         ATTENDANCE_LOG!$B:$B, E225),
"")</f>
        <v>45866.54167</v>
      </c>
      <c r="I225" s="219">
        <f t="shared" si="2"/>
        <v>45670.54167</v>
      </c>
      <c r="J225" s="190">
        <f>IFERROR(VLOOKUP(F225, LEVEL_HELPER!$A:$B, 2, 0), "")</f>
        <v>3.5</v>
      </c>
      <c r="K225" s="190">
        <f>IFERROR(VLOOKUP(G225, LEVEL_HELPER!$A:$B, 2, 0), "")</f>
        <v>3.5</v>
      </c>
      <c r="L225" s="220" t="s">
        <v>943</v>
      </c>
      <c r="M225" s="220" t="s">
        <v>920</v>
      </c>
      <c r="N225" s="190">
        <f t="array" ref="N225">IFERROR(
  INDEX($J$2:$J$543,
    MATCH(A225&amp;TEXT(I225,"yyyy-mm-dd"),
          $A$2:$A$543&amp;TEXT($H$2:$H$543,"yyyy-mm-dd"),
          0)),
"")</f>
        <v>2.5</v>
      </c>
      <c r="O225" s="210">
        <f t="shared" si="3"/>
        <v>3.5</v>
      </c>
      <c r="P225" s="210">
        <f t="shared" ref="P225:Q225" si="235">IF(N225="",0,IF(N225&lt;=2,1,IF(N225&lt;=4,2,IF(N225&lt;=5.5,3,4))))</f>
        <v>2</v>
      </c>
      <c r="Q225" s="210">
        <f t="shared" si="235"/>
        <v>2</v>
      </c>
      <c r="R225" s="210" t="str">
        <f t="shared" si="5"/>
        <v>Progress within level</v>
      </c>
      <c r="S225" s="210">
        <f t="shared" si="6"/>
        <v>0</v>
      </c>
      <c r="T225" s="210"/>
      <c r="U225" s="210"/>
      <c r="V225" s="211" t="s">
        <v>153</v>
      </c>
      <c r="W225" s="210" t="str">
        <f t="shared" si="7"/>
        <v>DEV</v>
      </c>
      <c r="X225" s="210" t="str">
        <f t="shared" si="8"/>
        <v>DEV, TA</v>
      </c>
      <c r="Y225" s="210" t="str">
        <f t="shared" si="9"/>
        <v>MOC</v>
      </c>
      <c r="Z225" s="210"/>
      <c r="AA225" s="210"/>
      <c r="AB225" s="210"/>
      <c r="AC225" s="210"/>
      <c r="AD225" s="210"/>
      <c r="AE225" s="210"/>
      <c r="AF225" s="210"/>
      <c r="AG225" s="210"/>
      <c r="AH225" s="210"/>
      <c r="AI225" s="210"/>
      <c r="AJ225" s="210"/>
      <c r="AK225" s="210"/>
      <c r="AL225" s="210"/>
      <c r="AM225" s="214"/>
      <c r="AN225" s="210"/>
      <c r="AO225" s="210" t="str">
        <f t="shared" si="10"/>
        <v>#N/A</v>
      </c>
      <c r="AP225" s="210" t="str">
        <f t="shared" si="11"/>
        <v>#N/A</v>
      </c>
      <c r="AQ225" s="210" t="str">
        <f t="shared" si="12"/>
        <v>#N/A</v>
      </c>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c r="BU225" s="210"/>
      <c r="BV225" s="210"/>
      <c r="BW225" s="210"/>
      <c r="BX225" s="210"/>
      <c r="BY225" s="210"/>
      <c r="BZ225" s="210"/>
      <c r="CA225" s="210"/>
      <c r="CB225" s="210"/>
      <c r="CC225" s="210"/>
      <c r="CD225" s="210"/>
      <c r="CE225" s="210"/>
      <c r="CF225" s="210"/>
      <c r="CG225" s="210"/>
      <c r="CH225" s="210"/>
      <c r="CI225" s="210"/>
      <c r="CJ225" s="210"/>
      <c r="CK225" s="210"/>
    </row>
    <row r="226">
      <c r="A226" s="216" t="s">
        <v>683</v>
      </c>
      <c r="B226" s="217" t="s">
        <v>684</v>
      </c>
      <c r="C226" s="218" t="s">
        <v>72</v>
      </c>
      <c r="D226" s="218" t="s">
        <v>865</v>
      </c>
      <c r="E226" s="217" t="s">
        <v>23</v>
      </c>
      <c r="F226" s="190"/>
      <c r="G226" s="190"/>
      <c r="H226" s="219">
        <f>IFERROR(
  MINIFS(ATTENDANCE_LOG!$F:$F,
         ATTENDANCE_LOG!$A:$A, C226,
         ATTENDANCE_LOG!$B:$B, E226),
"")</f>
        <v>46084.58333</v>
      </c>
      <c r="I226" s="219">
        <f t="shared" si="2"/>
        <v>45670.54167</v>
      </c>
      <c r="J226" s="190" t="str">
        <f>IFERROR(VLOOKUP(F226, LEVEL_HELPER!$A:$B, 2, 0), "")</f>
        <v/>
      </c>
      <c r="K226" s="190" t="str">
        <f>IFERROR(VLOOKUP(G226, LEVEL_HELPER!$A:$B, 2, 0), "")</f>
        <v/>
      </c>
      <c r="L226" s="220" t="s">
        <v>943</v>
      </c>
      <c r="M226" s="220" t="s">
        <v>920</v>
      </c>
      <c r="N226" s="190">
        <f t="array" ref="N226">IFERROR(
  INDEX($J$2:$J$543,
    MATCH(A226&amp;TEXT(I226,"yyyy-mm-dd"),
          $A$2:$A$543&amp;TEXT($H$2:$H$543,"yyyy-mm-dd"),
          0)),
"")</f>
        <v>1</v>
      </c>
      <c r="O226" s="210">
        <f t="shared" si="3"/>
        <v>3.5</v>
      </c>
      <c r="P226" s="210">
        <f t="shared" ref="P226:Q226" si="236">IF(N226="",0,IF(N226&lt;=2,1,IF(N226&lt;=4,2,IF(N226&lt;=5.5,3,4))))</f>
        <v>1</v>
      </c>
      <c r="Q226" s="210">
        <f t="shared" si="236"/>
        <v>2</v>
      </c>
      <c r="R226" s="210" t="str">
        <f t="shared" si="5"/>
        <v>Lv1 → Lv2</v>
      </c>
      <c r="S226" s="210">
        <f t="shared" si="6"/>
        <v>0</v>
      </c>
      <c r="T226" s="210"/>
      <c r="U226" s="210"/>
      <c r="V226" s="211" t="s">
        <v>277</v>
      </c>
      <c r="W226" s="210" t="str">
        <f t="shared" si="7"/>
        <v>DEV</v>
      </c>
      <c r="X226" s="210" t="str">
        <f t="shared" si="8"/>
        <v>DEV, TA</v>
      </c>
      <c r="Y226" s="210" t="str">
        <f t="shared" si="9"/>
        <v>MOC</v>
      </c>
      <c r="Z226" s="210"/>
      <c r="AA226" s="210"/>
      <c r="AB226" s="210"/>
      <c r="AC226" s="210"/>
      <c r="AD226" s="210"/>
      <c r="AE226" s="210"/>
      <c r="AF226" s="210"/>
      <c r="AG226" s="210"/>
      <c r="AH226" s="210"/>
      <c r="AI226" s="210"/>
      <c r="AJ226" s="210"/>
      <c r="AK226" s="210"/>
      <c r="AL226" s="210"/>
      <c r="AM226" s="214"/>
      <c r="AN226" s="210"/>
      <c r="AO226" s="210" t="str">
        <f t="shared" si="10"/>
        <v>#N/A</v>
      </c>
      <c r="AP226" s="210" t="str">
        <f t="shared" si="11"/>
        <v>#N/A</v>
      </c>
      <c r="AQ226" s="210" t="str">
        <f t="shared" si="12"/>
        <v>#N/A</v>
      </c>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c r="BU226" s="210"/>
      <c r="BV226" s="210"/>
      <c r="BW226" s="210"/>
      <c r="BX226" s="210"/>
      <c r="BY226" s="210"/>
      <c r="BZ226" s="210"/>
      <c r="CA226" s="210"/>
      <c r="CB226" s="210"/>
      <c r="CC226" s="210"/>
      <c r="CD226" s="210"/>
      <c r="CE226" s="210"/>
      <c r="CF226" s="210"/>
      <c r="CG226" s="210"/>
      <c r="CH226" s="210"/>
      <c r="CI226" s="210"/>
      <c r="CJ226" s="210"/>
      <c r="CK226" s="210"/>
    </row>
    <row r="227">
      <c r="A227" s="222" t="s">
        <v>265</v>
      </c>
      <c r="B227" s="190" t="s">
        <v>266</v>
      </c>
      <c r="C227" s="223" t="s">
        <v>72</v>
      </c>
      <c r="D227" s="223" t="s">
        <v>865</v>
      </c>
      <c r="E227" s="190" t="s">
        <v>23</v>
      </c>
      <c r="F227" s="190"/>
      <c r="G227" s="190"/>
      <c r="H227" s="219">
        <f>IFERROR(
  MINIFS(ATTENDANCE_LOG!$F:$F,
         ATTENDANCE_LOG!$A:$A, C227,
         ATTENDANCE_LOG!$B:$B, E227),
"")</f>
        <v>46084.58333</v>
      </c>
      <c r="I227" s="219">
        <f t="shared" si="2"/>
        <v>45670.54167</v>
      </c>
      <c r="J227" s="190" t="str">
        <f>IFERROR(VLOOKUP(F227, LEVEL_HELPER!$A:$B, 2, 0), "")</f>
        <v/>
      </c>
      <c r="K227" s="190" t="str">
        <f>IFERROR(VLOOKUP(G227, LEVEL_HELPER!$A:$B, 2, 0), "")</f>
        <v/>
      </c>
      <c r="L227" s="220" t="s">
        <v>943</v>
      </c>
      <c r="M227" s="220" t="s">
        <v>920</v>
      </c>
      <c r="N227" s="190">
        <f t="array" ref="N227">IFERROR(
  INDEX($J$2:$J$543,
    MATCH(A227&amp;TEXT(I227,"yyyy-mm-dd"),
          $A$2:$A$543&amp;TEXT($H$2:$H$543,"yyyy-mm-dd"),
          0)),
"")</f>
        <v>1</v>
      </c>
      <c r="O227" s="210">
        <f t="shared" si="3"/>
        <v>3.5</v>
      </c>
      <c r="P227" s="210">
        <f t="shared" ref="P227:Q227" si="237">IF(N227="",0,IF(N227&lt;=2,1,IF(N227&lt;=4,2,IF(N227&lt;=5.5,3,4))))</f>
        <v>1</v>
      </c>
      <c r="Q227" s="210">
        <f t="shared" si="237"/>
        <v>2</v>
      </c>
      <c r="R227" s="210" t="str">
        <f t="shared" si="5"/>
        <v>Lv1 → Lv2</v>
      </c>
      <c r="S227" s="210">
        <f t="shared" si="6"/>
        <v>0</v>
      </c>
      <c r="T227" s="210"/>
      <c r="U227" s="210"/>
      <c r="V227" s="211" t="s">
        <v>355</v>
      </c>
      <c r="W227" s="210" t="str">
        <f t="shared" si="7"/>
        <v>DEV</v>
      </c>
      <c r="X227" s="210" t="str">
        <f t="shared" si="8"/>
        <v>DEV, TA</v>
      </c>
      <c r="Y227" s="210" t="str">
        <f t="shared" si="9"/>
        <v>MOC</v>
      </c>
      <c r="Z227" s="210"/>
      <c r="AA227" s="210"/>
      <c r="AB227" s="210"/>
      <c r="AC227" s="210"/>
      <c r="AD227" s="210"/>
      <c r="AE227" s="210"/>
      <c r="AF227" s="210"/>
      <c r="AG227" s="210"/>
      <c r="AH227" s="210"/>
      <c r="AI227" s="210"/>
      <c r="AJ227" s="210"/>
      <c r="AK227" s="210"/>
      <c r="AL227" s="210"/>
      <c r="AM227" s="214"/>
      <c r="AN227" s="210"/>
      <c r="AO227" s="210" t="str">
        <f t="shared" si="10"/>
        <v>#N/A</v>
      </c>
      <c r="AP227" s="210" t="str">
        <f t="shared" si="11"/>
        <v>#N/A</v>
      </c>
      <c r="AQ227" s="210" t="str">
        <f t="shared" si="12"/>
        <v>#N/A</v>
      </c>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c r="BU227" s="210"/>
      <c r="BV227" s="210"/>
      <c r="BW227" s="210"/>
      <c r="BX227" s="210"/>
      <c r="BY227" s="210"/>
      <c r="BZ227" s="210"/>
      <c r="CA227" s="210"/>
      <c r="CB227" s="210"/>
      <c r="CC227" s="210"/>
      <c r="CD227" s="210"/>
      <c r="CE227" s="210"/>
      <c r="CF227" s="210"/>
      <c r="CG227" s="210"/>
      <c r="CH227" s="210"/>
      <c r="CI227" s="210"/>
      <c r="CJ227" s="210"/>
      <c r="CK227" s="210"/>
    </row>
    <row r="228">
      <c r="A228" s="222" t="s">
        <v>108</v>
      </c>
      <c r="B228" s="190" t="s">
        <v>283</v>
      </c>
      <c r="C228" s="223" t="s">
        <v>72</v>
      </c>
      <c r="D228" s="223" t="s">
        <v>865</v>
      </c>
      <c r="E228" s="190" t="s">
        <v>23</v>
      </c>
      <c r="F228" s="190"/>
      <c r="G228" s="190"/>
      <c r="H228" s="219">
        <f>IFERROR(
  MINIFS(ATTENDANCE_LOG!$F:$F,
         ATTENDANCE_LOG!$A:$A, C228,
         ATTENDANCE_LOG!$B:$B, E228),
"")</f>
        <v>46084.58333</v>
      </c>
      <c r="I228" s="219">
        <f t="shared" si="2"/>
        <v>45670.54167</v>
      </c>
      <c r="J228" s="190" t="str">
        <f>IFERROR(VLOOKUP(F228, LEVEL_HELPER!$A:$B, 2, 0), "")</f>
        <v/>
      </c>
      <c r="K228" s="190" t="str">
        <f>IFERROR(VLOOKUP(G228, LEVEL_HELPER!$A:$B, 2, 0), "")</f>
        <v/>
      </c>
      <c r="L228" s="220" t="s">
        <v>943</v>
      </c>
      <c r="M228" s="220" t="s">
        <v>920</v>
      </c>
      <c r="N228" s="190">
        <f t="array" ref="N228">IFERROR(
  INDEX($J$2:$J$543,
    MATCH(A228&amp;TEXT(I228,"yyyy-mm-dd"),
          $A$2:$A$543&amp;TEXT($H$2:$H$543,"yyyy-mm-dd"),
          0)),
"")</f>
        <v>1</v>
      </c>
      <c r="O228" s="210">
        <f t="shared" si="3"/>
        <v>3.5</v>
      </c>
      <c r="P228" s="210">
        <f t="shared" ref="P228:Q228" si="238">IF(N228="",0,IF(N228&lt;=2,1,IF(N228&lt;=4,2,IF(N228&lt;=5.5,3,4))))</f>
        <v>1</v>
      </c>
      <c r="Q228" s="210">
        <f t="shared" si="238"/>
        <v>2</v>
      </c>
      <c r="R228" s="210" t="str">
        <f t="shared" si="5"/>
        <v>Lv1 → Lv2</v>
      </c>
      <c r="S228" s="210">
        <f t="shared" si="6"/>
        <v>0</v>
      </c>
      <c r="T228" s="210"/>
      <c r="U228" s="210"/>
      <c r="V228" s="211" t="s">
        <v>429</v>
      </c>
      <c r="W228" s="210" t="str">
        <f t="shared" si="7"/>
        <v>TA</v>
      </c>
      <c r="X228" s="210" t="str">
        <f t="shared" si="8"/>
        <v>DEV, TA</v>
      </c>
      <c r="Y228" s="210" t="str">
        <f t="shared" si="9"/>
        <v>MOC</v>
      </c>
      <c r="Z228" s="210"/>
      <c r="AA228" s="210"/>
      <c r="AB228" s="210"/>
      <c r="AC228" s="210"/>
      <c r="AD228" s="210"/>
      <c r="AE228" s="210"/>
      <c r="AF228" s="210"/>
      <c r="AG228" s="210"/>
      <c r="AH228" s="210"/>
      <c r="AI228" s="210"/>
      <c r="AJ228" s="210"/>
      <c r="AK228" s="210"/>
      <c r="AL228" s="210"/>
      <c r="AM228" s="214"/>
      <c r="AN228" s="210"/>
      <c r="AO228" s="210" t="str">
        <f t="shared" si="10"/>
        <v>#N/A</v>
      </c>
      <c r="AP228" s="210" t="str">
        <f t="shared" si="11"/>
        <v>#N/A</v>
      </c>
      <c r="AQ228" s="210" t="str">
        <f t="shared" si="12"/>
        <v>#N/A</v>
      </c>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c r="BU228" s="210"/>
      <c r="BV228" s="210"/>
      <c r="BW228" s="210"/>
      <c r="BX228" s="210"/>
      <c r="BY228" s="210"/>
      <c r="BZ228" s="210"/>
      <c r="CA228" s="210"/>
      <c r="CB228" s="210"/>
      <c r="CC228" s="210"/>
      <c r="CD228" s="210"/>
      <c r="CE228" s="210"/>
      <c r="CF228" s="210"/>
      <c r="CG228" s="210"/>
      <c r="CH228" s="210"/>
      <c r="CI228" s="210"/>
      <c r="CJ228" s="210"/>
      <c r="CK228" s="210"/>
    </row>
    <row r="229">
      <c r="A229" s="222" t="s">
        <v>296</v>
      </c>
      <c r="B229" s="190" t="s">
        <v>297</v>
      </c>
      <c r="C229" s="223" t="s">
        <v>72</v>
      </c>
      <c r="D229" s="223" t="s">
        <v>865</v>
      </c>
      <c r="E229" s="190" t="s">
        <v>23</v>
      </c>
      <c r="F229" s="190"/>
      <c r="G229" s="190"/>
      <c r="H229" s="219">
        <f>IFERROR(
  MINIFS(ATTENDANCE_LOG!$F:$F,
         ATTENDANCE_LOG!$A:$A, C229,
         ATTENDANCE_LOG!$B:$B, E229),
"")</f>
        <v>46084.58333</v>
      </c>
      <c r="I229" s="219">
        <f t="shared" si="2"/>
        <v>45700.41667</v>
      </c>
      <c r="J229" s="190" t="str">
        <f>IFERROR(VLOOKUP(F229, LEVEL_HELPER!$A:$B, 2, 0), "")</f>
        <v/>
      </c>
      <c r="K229" s="190" t="str">
        <f>IFERROR(VLOOKUP(G229, LEVEL_HELPER!$A:$B, 2, 0), "")</f>
        <v/>
      </c>
      <c r="L229" s="220" t="s">
        <v>919</v>
      </c>
      <c r="M229" s="220" t="s">
        <v>920</v>
      </c>
      <c r="N229" s="190">
        <f t="array" ref="N229">IFERROR(
  INDEX($J$2:$J$543,
    MATCH(A229&amp;TEXT(I229,"yyyy-mm-dd"),
          $A$2:$A$543&amp;TEXT($H$2:$H$543,"yyyy-mm-dd"),
          0)),
"")</f>
        <v>1</v>
      </c>
      <c r="O229" s="210">
        <f t="shared" si="3"/>
        <v>3.5</v>
      </c>
      <c r="P229" s="210">
        <f t="shared" ref="P229:Q229" si="239">IF(N229="",0,IF(N229&lt;=2,1,IF(N229&lt;=4,2,IF(N229&lt;=5.5,3,4))))</f>
        <v>1</v>
      </c>
      <c r="Q229" s="210">
        <f t="shared" si="239"/>
        <v>2</v>
      </c>
      <c r="R229" s="210" t="str">
        <f t="shared" si="5"/>
        <v>Lv1 → Lv2</v>
      </c>
      <c r="S229" s="210">
        <f t="shared" si="6"/>
        <v>0</v>
      </c>
      <c r="T229" s="210"/>
      <c r="U229" s="210"/>
      <c r="V229" s="211" t="s">
        <v>538</v>
      </c>
      <c r="W229" s="210" t="str">
        <f t="shared" si="7"/>
        <v>DEV</v>
      </c>
      <c r="X229" s="210" t="str">
        <f t="shared" si="8"/>
        <v>DEV, TA</v>
      </c>
      <c r="Y229" s="210" t="str">
        <f t="shared" si="9"/>
        <v>MOC</v>
      </c>
      <c r="Z229" s="210"/>
      <c r="AA229" s="210"/>
      <c r="AB229" s="210"/>
      <c r="AC229" s="210"/>
      <c r="AD229" s="210"/>
      <c r="AE229" s="210"/>
      <c r="AF229" s="210"/>
      <c r="AG229" s="210"/>
      <c r="AH229" s="210"/>
      <c r="AI229" s="210"/>
      <c r="AJ229" s="210"/>
      <c r="AK229" s="210"/>
      <c r="AL229" s="210"/>
      <c r="AM229" s="214"/>
      <c r="AN229" s="210"/>
      <c r="AO229" s="210" t="str">
        <f t="shared" si="10"/>
        <v>#N/A</v>
      </c>
      <c r="AP229" s="210" t="str">
        <f t="shared" si="11"/>
        <v>#N/A</v>
      </c>
      <c r="AQ229" s="210" t="str">
        <f t="shared" si="12"/>
        <v>#N/A</v>
      </c>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c r="BU229" s="210"/>
      <c r="BV229" s="210"/>
      <c r="BW229" s="210"/>
      <c r="BX229" s="210"/>
      <c r="BY229" s="210"/>
      <c r="BZ229" s="210"/>
      <c r="CA229" s="210"/>
      <c r="CB229" s="210"/>
      <c r="CC229" s="210"/>
      <c r="CD229" s="210"/>
      <c r="CE229" s="210"/>
      <c r="CF229" s="210"/>
      <c r="CG229" s="210"/>
      <c r="CH229" s="210"/>
      <c r="CI229" s="210"/>
      <c r="CJ229" s="210"/>
      <c r="CK229" s="210"/>
    </row>
    <row r="230">
      <c r="A230" s="222" t="s">
        <v>315</v>
      </c>
      <c r="B230" s="190" t="s">
        <v>316</v>
      </c>
      <c r="C230" s="223" t="s">
        <v>72</v>
      </c>
      <c r="D230" s="223" t="s">
        <v>865</v>
      </c>
      <c r="E230" s="190" t="s">
        <v>23</v>
      </c>
      <c r="F230" s="190"/>
      <c r="G230" s="190"/>
      <c r="H230" s="219">
        <f>IFERROR(
  MINIFS(ATTENDANCE_LOG!$F:$F,
         ATTENDANCE_LOG!$A:$A, C230,
         ATTENDANCE_LOG!$B:$B, E230),
"")</f>
        <v>46084.58333</v>
      </c>
      <c r="I230" s="219">
        <f t="shared" si="2"/>
        <v>45670.54167</v>
      </c>
      <c r="J230" s="190" t="str">
        <f>IFERROR(VLOOKUP(F230, LEVEL_HELPER!$A:$B, 2, 0), "")</f>
        <v/>
      </c>
      <c r="K230" s="190" t="str">
        <f>IFERROR(VLOOKUP(G230, LEVEL_HELPER!$A:$B, 2, 0), "")</f>
        <v/>
      </c>
      <c r="L230" s="220" t="s">
        <v>943</v>
      </c>
      <c r="M230" s="220" t="s">
        <v>926</v>
      </c>
      <c r="N230" s="190">
        <f t="array" ref="N230">IFERROR(
  INDEX($J$2:$J$543,
    MATCH(A230&amp;TEXT(I230,"yyyy-mm-dd"),
          $A$2:$A$543&amp;TEXT($H$2:$H$543,"yyyy-mm-dd"),
          0)),
"")</f>
        <v>1</v>
      </c>
      <c r="O230" s="210">
        <f t="shared" si="3"/>
        <v>1.5</v>
      </c>
      <c r="P230" s="210">
        <f t="shared" ref="P230:Q230" si="240">IF(N230="",0,IF(N230&lt;=2,1,IF(N230&lt;=4,2,IF(N230&lt;=5.5,3,4))))</f>
        <v>1</v>
      </c>
      <c r="Q230" s="210">
        <f t="shared" si="240"/>
        <v>1</v>
      </c>
      <c r="R230" s="210" t="str">
        <f t="shared" si="5"/>
        <v>Progress within level</v>
      </c>
      <c r="S230" s="210">
        <f t="shared" si="6"/>
        <v>0</v>
      </c>
      <c r="T230" s="210"/>
      <c r="U230" s="210"/>
      <c r="V230" s="211" t="s">
        <v>629</v>
      </c>
      <c r="W230" s="210" t="str">
        <f t="shared" si="7"/>
        <v>DEV</v>
      </c>
      <c r="X230" s="210" t="str">
        <f t="shared" si="8"/>
        <v>DEV, TA</v>
      </c>
      <c r="Y230" s="210" t="str">
        <f t="shared" si="9"/>
        <v>MOC</v>
      </c>
      <c r="Z230" s="210"/>
      <c r="AA230" s="210"/>
      <c r="AB230" s="210"/>
      <c r="AC230" s="210"/>
      <c r="AD230" s="210"/>
      <c r="AE230" s="210"/>
      <c r="AF230" s="210"/>
      <c r="AG230" s="210"/>
      <c r="AH230" s="210"/>
      <c r="AI230" s="210"/>
      <c r="AJ230" s="210"/>
      <c r="AK230" s="210"/>
      <c r="AL230" s="210"/>
      <c r="AM230" s="214"/>
      <c r="AN230" s="210"/>
      <c r="AO230" s="210" t="str">
        <f t="shared" si="10"/>
        <v>#N/A</v>
      </c>
      <c r="AP230" s="210" t="str">
        <f t="shared" si="11"/>
        <v>#N/A</v>
      </c>
      <c r="AQ230" s="210" t="str">
        <f t="shared" si="12"/>
        <v>#N/A</v>
      </c>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c r="BU230" s="210"/>
      <c r="BV230" s="210"/>
      <c r="BW230" s="210"/>
      <c r="BX230" s="210"/>
      <c r="BY230" s="210"/>
      <c r="BZ230" s="210"/>
      <c r="CA230" s="210"/>
      <c r="CB230" s="210"/>
      <c r="CC230" s="210"/>
      <c r="CD230" s="210"/>
      <c r="CE230" s="210"/>
      <c r="CF230" s="210"/>
      <c r="CG230" s="210"/>
      <c r="CH230" s="210"/>
      <c r="CI230" s="210"/>
      <c r="CJ230" s="210"/>
      <c r="CK230" s="210"/>
    </row>
    <row r="231">
      <c r="A231" s="222" t="s">
        <v>319</v>
      </c>
      <c r="B231" s="190" t="s">
        <v>320</v>
      </c>
      <c r="C231" s="223" t="s">
        <v>72</v>
      </c>
      <c r="D231" s="223" t="s">
        <v>865</v>
      </c>
      <c r="E231" s="190" t="s">
        <v>23</v>
      </c>
      <c r="F231" s="190"/>
      <c r="G231" s="190"/>
      <c r="H231" s="219">
        <f>IFERROR(
  MINIFS(ATTENDANCE_LOG!$F:$F,
         ATTENDANCE_LOG!$A:$A, C231,
         ATTENDANCE_LOG!$B:$B, E231),
"")</f>
        <v>46084.58333</v>
      </c>
      <c r="I231" s="219">
        <f t="shared" si="2"/>
        <v>45700.41667</v>
      </c>
      <c r="J231" s="190" t="str">
        <f>IFERROR(VLOOKUP(F231, LEVEL_HELPER!$A:$B, 2, 0), "")</f>
        <v/>
      </c>
      <c r="K231" s="190" t="str">
        <f>IFERROR(VLOOKUP(G231, LEVEL_HELPER!$A:$B, 2, 0), "")</f>
        <v/>
      </c>
      <c r="L231" s="220" t="s">
        <v>919</v>
      </c>
      <c r="M231" s="220" t="s">
        <v>920</v>
      </c>
      <c r="N231" s="190">
        <f t="array" ref="N231">IFERROR(
  INDEX($J$2:$J$543,
    MATCH(A231&amp;TEXT(I231,"yyyy-mm-dd"),
          $A$2:$A$543&amp;TEXT($H$2:$H$543,"yyyy-mm-dd"),
          0)),
"")</f>
        <v>1</v>
      </c>
      <c r="O231" s="210">
        <f t="shared" si="3"/>
        <v>2</v>
      </c>
      <c r="P231" s="210">
        <f t="shared" ref="P231:Q231" si="241">IF(N231="",0,IF(N231&lt;=2,1,IF(N231&lt;=4,2,IF(N231&lt;=5.5,3,4))))</f>
        <v>1</v>
      </c>
      <c r="Q231" s="210">
        <f t="shared" si="241"/>
        <v>1</v>
      </c>
      <c r="R231" s="210" t="str">
        <f t="shared" si="5"/>
        <v>Progress within level</v>
      </c>
      <c r="S231" s="210">
        <f t="shared" si="6"/>
        <v>0</v>
      </c>
      <c r="T231" s="210"/>
      <c r="U231" s="210"/>
      <c r="V231" s="211" t="s">
        <v>679</v>
      </c>
      <c r="W231" s="210" t="str">
        <f t="shared" si="7"/>
        <v>DEV</v>
      </c>
      <c r="X231" s="210" t="str">
        <f t="shared" si="8"/>
        <v>DEV, TA</v>
      </c>
      <c r="Y231" s="210" t="str">
        <f t="shared" si="9"/>
        <v>MOC</v>
      </c>
      <c r="Z231" s="210"/>
      <c r="AA231" s="210"/>
      <c r="AB231" s="210"/>
      <c r="AC231" s="210"/>
      <c r="AD231" s="210"/>
      <c r="AE231" s="210"/>
      <c r="AF231" s="210"/>
      <c r="AG231" s="210"/>
      <c r="AH231" s="210"/>
      <c r="AI231" s="210"/>
      <c r="AJ231" s="210"/>
      <c r="AK231" s="210"/>
      <c r="AL231" s="210"/>
      <c r="AM231" s="214"/>
      <c r="AN231" s="210"/>
      <c r="AO231" s="210" t="str">
        <f t="shared" si="10"/>
        <v>#N/A</v>
      </c>
      <c r="AP231" s="210" t="str">
        <f t="shared" si="11"/>
        <v>#N/A</v>
      </c>
      <c r="AQ231" s="210" t="str">
        <f t="shared" si="12"/>
        <v>#N/A</v>
      </c>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c r="BU231" s="210"/>
      <c r="BV231" s="210"/>
      <c r="BW231" s="210"/>
      <c r="BX231" s="210"/>
      <c r="BY231" s="210"/>
      <c r="BZ231" s="210"/>
      <c r="CA231" s="210"/>
      <c r="CB231" s="210"/>
      <c r="CC231" s="210"/>
      <c r="CD231" s="210"/>
      <c r="CE231" s="210"/>
      <c r="CF231" s="210"/>
      <c r="CG231" s="210"/>
      <c r="CH231" s="210"/>
      <c r="CI231" s="210"/>
      <c r="CJ231" s="210"/>
      <c r="CK231" s="210"/>
    </row>
    <row r="232">
      <c r="A232" s="222" t="s">
        <v>401</v>
      </c>
      <c r="B232" s="190" t="s">
        <v>402</v>
      </c>
      <c r="C232" s="223" t="s">
        <v>72</v>
      </c>
      <c r="D232" s="223" t="s">
        <v>865</v>
      </c>
      <c r="E232" s="190" t="s">
        <v>23</v>
      </c>
      <c r="F232" s="190"/>
      <c r="G232" s="190"/>
      <c r="H232" s="219">
        <f>IFERROR(
  MINIFS(ATTENDANCE_LOG!$F:$F,
         ATTENDANCE_LOG!$A:$A, C232,
         ATTENDANCE_LOG!$B:$B, E232),
"")</f>
        <v>46084.58333</v>
      </c>
      <c r="I232" s="219">
        <f t="shared" si="2"/>
        <v>45670.54167</v>
      </c>
      <c r="J232" s="190" t="str">
        <f>IFERROR(VLOOKUP(F232, LEVEL_HELPER!$A:$B, 2, 0), "")</f>
        <v/>
      </c>
      <c r="K232" s="190" t="str">
        <f>IFERROR(VLOOKUP(G232, LEVEL_HELPER!$A:$B, 2, 0), "")</f>
        <v/>
      </c>
      <c r="L232" s="220" t="s">
        <v>943</v>
      </c>
      <c r="M232" s="220" t="s">
        <v>920</v>
      </c>
      <c r="N232" s="190">
        <f t="array" ref="N232">IFERROR(
  INDEX($J$2:$J$543,
    MATCH(A232&amp;TEXT(I232,"yyyy-mm-dd"),
          $A$2:$A$543&amp;TEXT($H$2:$H$543,"yyyy-mm-dd"),
          0)),
"")</f>
        <v>1</v>
      </c>
      <c r="O232" s="210">
        <f t="shared" si="3"/>
        <v>4</v>
      </c>
      <c r="P232" s="210">
        <f t="shared" ref="P232:Q232" si="242">IF(N232="",0,IF(N232&lt;=2,1,IF(N232&lt;=4,2,IF(N232&lt;=5.5,3,4))))</f>
        <v>1</v>
      </c>
      <c r="Q232" s="210">
        <f t="shared" si="242"/>
        <v>2</v>
      </c>
      <c r="R232" s="210" t="str">
        <f t="shared" si="5"/>
        <v>Lv1 → Lv2</v>
      </c>
      <c r="S232" s="210">
        <f t="shared" si="6"/>
        <v>0</v>
      </c>
      <c r="T232" s="210"/>
      <c r="U232" s="210"/>
      <c r="V232" s="211" t="s">
        <v>691</v>
      </c>
      <c r="W232" s="210" t="str">
        <f t="shared" si="7"/>
        <v>DEV</v>
      </c>
      <c r="X232" s="210" t="str">
        <f t="shared" si="8"/>
        <v>DEV, TA</v>
      </c>
      <c r="Y232" s="210" t="str">
        <f t="shared" si="9"/>
        <v>MOC</v>
      </c>
      <c r="Z232" s="210"/>
      <c r="AA232" s="210"/>
      <c r="AB232" s="210"/>
      <c r="AC232" s="210"/>
      <c r="AD232" s="210"/>
      <c r="AE232" s="210"/>
      <c r="AF232" s="210"/>
      <c r="AG232" s="210"/>
      <c r="AH232" s="210"/>
      <c r="AI232" s="210"/>
      <c r="AJ232" s="210"/>
      <c r="AK232" s="210"/>
      <c r="AL232" s="210"/>
      <c r="AM232" s="214"/>
      <c r="AN232" s="210"/>
      <c r="AO232" s="210" t="str">
        <f t="shared" si="10"/>
        <v>#N/A</v>
      </c>
      <c r="AP232" s="210" t="str">
        <f t="shared" si="11"/>
        <v>#N/A</v>
      </c>
      <c r="AQ232" s="210" t="str">
        <f t="shared" si="12"/>
        <v>#N/A</v>
      </c>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c r="BU232" s="210"/>
      <c r="BV232" s="210"/>
      <c r="BW232" s="210"/>
      <c r="BX232" s="210"/>
      <c r="BY232" s="210"/>
      <c r="BZ232" s="210"/>
      <c r="CA232" s="210"/>
      <c r="CB232" s="210"/>
      <c r="CC232" s="210"/>
      <c r="CD232" s="210"/>
      <c r="CE232" s="210"/>
      <c r="CF232" s="210"/>
      <c r="CG232" s="210"/>
      <c r="CH232" s="210"/>
      <c r="CI232" s="210"/>
      <c r="CJ232" s="210"/>
      <c r="CK232" s="210"/>
    </row>
    <row r="233">
      <c r="A233" s="222" t="s">
        <v>474</v>
      </c>
      <c r="B233" s="190" t="s">
        <v>475</v>
      </c>
      <c r="C233" s="223" t="s">
        <v>72</v>
      </c>
      <c r="D233" s="223" t="s">
        <v>865</v>
      </c>
      <c r="E233" s="190" t="s">
        <v>23</v>
      </c>
      <c r="F233" s="190"/>
      <c r="G233" s="190"/>
      <c r="H233" s="219">
        <f>IFERROR(
  MINIFS(ATTENDANCE_LOG!$F:$F,
         ATTENDANCE_LOG!$A:$A, C233,
         ATTENDANCE_LOG!$B:$B, E233),
"")</f>
        <v>46084.58333</v>
      </c>
      <c r="I233" s="219">
        <f t="shared" si="2"/>
        <v>45700.41667</v>
      </c>
      <c r="J233" s="190" t="str">
        <f>IFERROR(VLOOKUP(F233, LEVEL_HELPER!$A:$B, 2, 0), "")</f>
        <v/>
      </c>
      <c r="K233" s="190" t="str">
        <f>IFERROR(VLOOKUP(G233, LEVEL_HELPER!$A:$B, 2, 0), "")</f>
        <v/>
      </c>
      <c r="L233" s="220" t="s">
        <v>919</v>
      </c>
      <c r="M233" s="220" t="s">
        <v>920</v>
      </c>
      <c r="N233" s="190">
        <f t="array" ref="N233">IFERROR(
  INDEX($J$2:$J$543,
    MATCH(A233&amp;TEXT(I233,"yyyy-mm-dd"),
          $A$2:$A$543&amp;TEXT($H$2:$H$543,"yyyy-mm-dd"),
          0)),
"")</f>
        <v>1</v>
      </c>
      <c r="O233" s="210">
        <f t="shared" si="3"/>
        <v>3.5</v>
      </c>
      <c r="P233" s="210">
        <f t="shared" ref="P233:Q233" si="243">IF(N233="",0,IF(N233&lt;=2,1,IF(N233&lt;=4,2,IF(N233&lt;=5.5,3,4))))</f>
        <v>1</v>
      </c>
      <c r="Q233" s="210">
        <f t="shared" si="243"/>
        <v>2</v>
      </c>
      <c r="R233" s="210" t="str">
        <f t="shared" si="5"/>
        <v>Lv1 → Lv2</v>
      </c>
      <c r="S233" s="210">
        <f t="shared" si="6"/>
        <v>0</v>
      </c>
      <c r="T233" s="210"/>
      <c r="U233" s="210"/>
      <c r="V233" s="211" t="s">
        <v>389</v>
      </c>
      <c r="W233" s="210" t="str">
        <f t="shared" si="7"/>
        <v>BA</v>
      </c>
      <c r="X233" s="210" t="str">
        <f t="shared" si="8"/>
        <v>BA, BC</v>
      </c>
      <c r="Y233" s="210" t="str">
        <f t="shared" si="9"/>
        <v>TBU</v>
      </c>
      <c r="Z233" s="210"/>
      <c r="AA233" s="210"/>
      <c r="AB233" s="210"/>
      <c r="AC233" s="210"/>
      <c r="AD233" s="210"/>
      <c r="AE233" s="210"/>
      <c r="AF233" s="210"/>
      <c r="AG233" s="210"/>
      <c r="AH233" s="210"/>
      <c r="AI233" s="210"/>
      <c r="AJ233" s="210"/>
      <c r="AK233" s="210"/>
      <c r="AL233" s="210"/>
      <c r="AM233" s="214"/>
      <c r="AN233" s="210"/>
      <c r="AO233" s="210" t="str">
        <f t="shared" si="10"/>
        <v>#N/A</v>
      </c>
      <c r="AP233" s="210" t="str">
        <f t="shared" si="11"/>
        <v>#N/A</v>
      </c>
      <c r="AQ233" s="210" t="str">
        <f t="shared" si="12"/>
        <v>#N/A</v>
      </c>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c r="BU233" s="210"/>
      <c r="BV233" s="210"/>
      <c r="BW233" s="210"/>
      <c r="BX233" s="210"/>
      <c r="BY233" s="210"/>
      <c r="BZ233" s="210"/>
      <c r="CA233" s="210"/>
      <c r="CB233" s="210"/>
      <c r="CC233" s="210"/>
      <c r="CD233" s="210"/>
      <c r="CE233" s="210"/>
      <c r="CF233" s="210"/>
      <c r="CG233" s="210"/>
      <c r="CH233" s="210"/>
      <c r="CI233" s="210"/>
      <c r="CJ233" s="210"/>
      <c r="CK233" s="210"/>
    </row>
    <row r="234">
      <c r="A234" s="216" t="s">
        <v>309</v>
      </c>
      <c r="B234" s="217" t="s">
        <v>310</v>
      </c>
      <c r="C234" s="218" t="s">
        <v>73</v>
      </c>
      <c r="D234" s="218" t="s">
        <v>866</v>
      </c>
      <c r="E234" s="217" t="s">
        <v>21</v>
      </c>
      <c r="F234" s="13" t="s">
        <v>927</v>
      </c>
      <c r="G234" s="13" t="s">
        <v>929</v>
      </c>
      <c r="H234" s="219">
        <f>IFERROR(
  MINIFS(ATTENDANCE_LOG!$F:$F,
         ATTENDANCE_LOG!$A:$A, C234,
         ATTENDANCE_LOG!$B:$B, E234),
"")</f>
        <v>45765.375</v>
      </c>
      <c r="I234" s="219">
        <f t="shared" si="2"/>
        <v>45765.375</v>
      </c>
      <c r="J234" s="190">
        <f>IFERROR(VLOOKUP(F234, LEVEL_HELPER!$A:$B, 2, 0), "")</f>
        <v>1</v>
      </c>
      <c r="K234" s="190">
        <f>IFERROR(VLOOKUP(G234, LEVEL_HELPER!$A:$B, 2, 0), "")</f>
        <v>1.5</v>
      </c>
      <c r="L234" s="220" t="s">
        <v>943</v>
      </c>
      <c r="M234" s="220" t="s">
        <v>924</v>
      </c>
      <c r="N234" s="190">
        <f t="array" ref="N234">IFERROR(
  INDEX($J$2:$J$543,
    MATCH(A234&amp;TEXT(I234,"yyyy-mm-dd"),
          $A$2:$A$543&amp;TEXT($H$2:$H$543,"yyyy-mm-dd"),
          0)),
"")</f>
        <v>1</v>
      </c>
      <c r="O234" s="210">
        <f t="shared" si="3"/>
        <v>5</v>
      </c>
      <c r="P234" s="210">
        <f t="shared" ref="P234:Q234" si="244">IF(N234="",0,IF(N234&lt;=2,1,IF(N234&lt;=4,2,IF(N234&lt;=5.5,3,4))))</f>
        <v>1</v>
      </c>
      <c r="Q234" s="210">
        <f t="shared" si="244"/>
        <v>3</v>
      </c>
      <c r="R234" s="210" t="str">
        <f t="shared" si="5"/>
        <v>Lv1 → Lv3 (multi)</v>
      </c>
      <c r="S234" s="210">
        <f t="shared" si="6"/>
        <v>1</v>
      </c>
      <c r="T234" s="210"/>
      <c r="U234" s="210"/>
      <c r="V234" s="211" t="s">
        <v>637</v>
      </c>
      <c r="W234" s="210" t="str">
        <f t="shared" si="7"/>
        <v>DEV</v>
      </c>
      <c r="X234" s="210" t="str">
        <f t="shared" si="8"/>
        <v>DEV, TA</v>
      </c>
      <c r="Y234" s="210" t="str">
        <f t="shared" si="9"/>
        <v>TBU</v>
      </c>
      <c r="Z234" s="210"/>
      <c r="AA234" s="210"/>
      <c r="AB234" s="210"/>
      <c r="AC234" s="210"/>
      <c r="AD234" s="210"/>
      <c r="AE234" s="210"/>
      <c r="AF234" s="210"/>
      <c r="AG234" s="210"/>
      <c r="AH234" s="210"/>
      <c r="AI234" s="210"/>
      <c r="AJ234" s="210"/>
      <c r="AK234" s="210"/>
      <c r="AL234" s="210"/>
      <c r="AM234" s="214"/>
      <c r="AN234" s="210"/>
      <c r="AO234" s="210" t="str">
        <f t="shared" si="10"/>
        <v>#N/A</v>
      </c>
      <c r="AP234" s="210" t="str">
        <f t="shared" si="11"/>
        <v>#N/A</v>
      </c>
      <c r="AQ234" s="210" t="str">
        <f t="shared" si="12"/>
        <v>#N/A</v>
      </c>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c r="BU234" s="210"/>
      <c r="BV234" s="210"/>
      <c r="BW234" s="210"/>
      <c r="BX234" s="210"/>
      <c r="BY234" s="210"/>
      <c r="BZ234" s="210"/>
      <c r="CA234" s="210"/>
      <c r="CB234" s="210"/>
      <c r="CC234" s="210"/>
      <c r="CD234" s="210"/>
      <c r="CE234" s="210"/>
      <c r="CF234" s="210"/>
      <c r="CG234" s="210"/>
      <c r="CH234" s="210"/>
      <c r="CI234" s="210"/>
      <c r="CJ234" s="210"/>
      <c r="CK234" s="210"/>
    </row>
    <row r="235">
      <c r="A235" s="222" t="s">
        <v>332</v>
      </c>
      <c r="B235" s="190" t="s">
        <v>333</v>
      </c>
      <c r="C235" s="223" t="s">
        <v>73</v>
      </c>
      <c r="D235" s="223" t="s">
        <v>866</v>
      </c>
      <c r="E235" s="190" t="s">
        <v>21</v>
      </c>
      <c r="F235" s="13" t="s">
        <v>927</v>
      </c>
      <c r="G235" s="13" t="s">
        <v>918</v>
      </c>
      <c r="H235" s="219">
        <f>IFERROR(
  MINIFS(ATTENDANCE_LOG!$F:$F,
         ATTENDANCE_LOG!$A:$A, C235,
         ATTENDANCE_LOG!$B:$B, E235),
"")</f>
        <v>45765.375</v>
      </c>
      <c r="I235" s="219">
        <f t="shared" si="2"/>
        <v>45765.375</v>
      </c>
      <c r="J235" s="190">
        <f>IFERROR(VLOOKUP(F235, LEVEL_HELPER!$A:$B, 2, 0), "")</f>
        <v>1</v>
      </c>
      <c r="K235" s="190">
        <f>IFERROR(VLOOKUP(G235, LEVEL_HELPER!$A:$B, 2, 0), "")</f>
        <v>3</v>
      </c>
      <c r="L235" s="220" t="s">
        <v>943</v>
      </c>
      <c r="M235" s="220" t="s">
        <v>924</v>
      </c>
      <c r="N235" s="190">
        <f t="array" ref="N235">IFERROR(
  INDEX($J$2:$J$543,
    MATCH(A235&amp;TEXT(I235,"yyyy-mm-dd"),
          $A$2:$A$543&amp;TEXT($H$2:$H$543,"yyyy-mm-dd"),
          0)),
"")</f>
        <v>1</v>
      </c>
      <c r="O235" s="210">
        <f t="shared" si="3"/>
        <v>5</v>
      </c>
      <c r="P235" s="210">
        <f t="shared" ref="P235:Q235" si="245">IF(N235="",0,IF(N235&lt;=2,1,IF(N235&lt;=4,2,IF(N235&lt;=5.5,3,4))))</f>
        <v>1</v>
      </c>
      <c r="Q235" s="210">
        <f t="shared" si="245"/>
        <v>3</v>
      </c>
      <c r="R235" s="210" t="str">
        <f t="shared" si="5"/>
        <v>Lv1 → Lv3 (multi)</v>
      </c>
      <c r="S235" s="210">
        <f t="shared" si="6"/>
        <v>1</v>
      </c>
      <c r="T235" s="210"/>
      <c r="U235" s="210"/>
      <c r="V235" s="211" t="s">
        <v>663</v>
      </c>
      <c r="W235" s="210" t="str">
        <f t="shared" si="7"/>
        <v>DEV</v>
      </c>
      <c r="X235" s="210" t="str">
        <f t="shared" si="8"/>
        <v>DEV, TA</v>
      </c>
      <c r="Y235" s="210" t="str">
        <f t="shared" si="9"/>
        <v>TBU</v>
      </c>
      <c r="Z235" s="210"/>
      <c r="AA235" s="210"/>
      <c r="AB235" s="210"/>
      <c r="AC235" s="210"/>
      <c r="AD235" s="210"/>
      <c r="AE235" s="210"/>
      <c r="AF235" s="210"/>
      <c r="AG235" s="210"/>
      <c r="AH235" s="210"/>
      <c r="AI235" s="210"/>
      <c r="AJ235" s="210"/>
      <c r="AK235" s="210"/>
      <c r="AL235" s="210"/>
      <c r="AM235" s="214"/>
      <c r="AN235" s="210"/>
      <c r="AO235" s="210" t="str">
        <f t="shared" si="10"/>
        <v>#N/A</v>
      </c>
      <c r="AP235" s="210" t="str">
        <f t="shared" si="11"/>
        <v>#N/A</v>
      </c>
      <c r="AQ235" s="210" t="str">
        <f t="shared" si="12"/>
        <v>#N/A</v>
      </c>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c r="BU235" s="210"/>
      <c r="BV235" s="210"/>
      <c r="BW235" s="210"/>
      <c r="BX235" s="210"/>
      <c r="BY235" s="210"/>
      <c r="BZ235" s="210"/>
      <c r="CA235" s="210"/>
      <c r="CB235" s="210"/>
      <c r="CC235" s="210"/>
      <c r="CD235" s="210"/>
      <c r="CE235" s="210"/>
      <c r="CF235" s="210"/>
      <c r="CG235" s="210"/>
      <c r="CH235" s="210"/>
      <c r="CI235" s="210"/>
      <c r="CJ235" s="210"/>
      <c r="CK235" s="210"/>
    </row>
    <row r="236">
      <c r="A236" s="222" t="s">
        <v>419</v>
      </c>
      <c r="B236" s="190" t="s">
        <v>420</v>
      </c>
      <c r="C236" s="223" t="s">
        <v>73</v>
      </c>
      <c r="D236" s="223" t="s">
        <v>866</v>
      </c>
      <c r="E236" s="190" t="s">
        <v>21</v>
      </c>
      <c r="F236" s="13" t="s">
        <v>927</v>
      </c>
      <c r="G236" s="13" t="s">
        <v>927</v>
      </c>
      <c r="H236" s="219">
        <f>IFERROR(
  MINIFS(ATTENDANCE_LOG!$F:$F,
         ATTENDANCE_LOG!$A:$A, C236,
         ATTENDANCE_LOG!$B:$B, E236),
"")</f>
        <v>45765.375</v>
      </c>
      <c r="I236" s="219">
        <f t="shared" si="2"/>
        <v>45765.375</v>
      </c>
      <c r="J236" s="190">
        <f>IFERROR(VLOOKUP(F236, LEVEL_HELPER!$A:$B, 2, 0), "")</f>
        <v>1</v>
      </c>
      <c r="K236" s="190">
        <f>IFERROR(VLOOKUP(G236, LEVEL_HELPER!$A:$B, 2, 0), "")</f>
        <v>1</v>
      </c>
      <c r="L236" s="220" t="s">
        <v>943</v>
      </c>
      <c r="M236" s="220" t="s">
        <v>923</v>
      </c>
      <c r="N236" s="190">
        <f t="array" ref="N236">IFERROR(
  INDEX($J$2:$J$543,
    MATCH(A236&amp;TEXT(I236,"yyyy-mm-dd"),
          $A$2:$A$543&amp;TEXT($H$2:$H$543,"yyyy-mm-dd"),
          0)),
"")</f>
        <v>1</v>
      </c>
      <c r="O236" s="210">
        <f t="shared" si="3"/>
        <v>3</v>
      </c>
      <c r="P236" s="210">
        <f t="shared" ref="P236:Q236" si="246">IF(N236="",0,IF(N236&lt;=2,1,IF(N236&lt;=4,2,IF(N236&lt;=5.5,3,4))))</f>
        <v>1</v>
      </c>
      <c r="Q236" s="210">
        <f t="shared" si="246"/>
        <v>2</v>
      </c>
      <c r="R236" s="210" t="str">
        <f t="shared" si="5"/>
        <v>Lv1 → Lv2</v>
      </c>
      <c r="S236" s="210">
        <f t="shared" si="6"/>
        <v>1</v>
      </c>
      <c r="T236" s="210"/>
      <c r="U236" s="210"/>
      <c r="V236" s="211" t="s">
        <v>669</v>
      </c>
      <c r="W236" s="210" t="str">
        <f t="shared" si="7"/>
        <v>Management</v>
      </c>
      <c r="X236" s="210" t="str">
        <f t="shared" si="8"/>
        <v>HR, GA, Mgt</v>
      </c>
      <c r="Y236" s="210" t="str">
        <f t="shared" si="9"/>
        <v>ONC</v>
      </c>
      <c r="Z236" s="210"/>
      <c r="AA236" s="210"/>
      <c r="AB236" s="210"/>
      <c r="AC236" s="210"/>
      <c r="AD236" s="210"/>
      <c r="AE236" s="210"/>
      <c r="AF236" s="210"/>
      <c r="AG236" s="210"/>
      <c r="AH236" s="210"/>
      <c r="AI236" s="210"/>
      <c r="AJ236" s="210"/>
      <c r="AK236" s="210"/>
      <c r="AL236" s="210"/>
      <c r="AM236" s="214"/>
      <c r="AN236" s="210"/>
      <c r="AO236" s="210" t="str">
        <f t="shared" si="10"/>
        <v>#N/A</v>
      </c>
      <c r="AP236" s="210" t="str">
        <f t="shared" si="11"/>
        <v>#N/A</v>
      </c>
      <c r="AQ236" s="210" t="str">
        <f t="shared" si="12"/>
        <v>#N/A</v>
      </c>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c r="BU236" s="210"/>
      <c r="BV236" s="210"/>
      <c r="BW236" s="210"/>
      <c r="BX236" s="210"/>
      <c r="BY236" s="210"/>
      <c r="BZ236" s="210"/>
      <c r="CA236" s="210"/>
      <c r="CB236" s="210"/>
      <c r="CC236" s="210"/>
      <c r="CD236" s="210"/>
      <c r="CE236" s="210"/>
      <c r="CF236" s="210"/>
      <c r="CG236" s="210"/>
      <c r="CH236" s="210"/>
      <c r="CI236" s="210"/>
      <c r="CJ236" s="210"/>
      <c r="CK236" s="210"/>
    </row>
    <row r="237">
      <c r="A237" s="222" t="s">
        <v>562</v>
      </c>
      <c r="B237" s="190" t="s">
        <v>563</v>
      </c>
      <c r="C237" s="223" t="s">
        <v>73</v>
      </c>
      <c r="D237" s="223" t="s">
        <v>866</v>
      </c>
      <c r="E237" s="190" t="s">
        <v>21</v>
      </c>
      <c r="F237" s="13" t="s">
        <v>927</v>
      </c>
      <c r="G237" s="13" t="s">
        <v>918</v>
      </c>
      <c r="H237" s="219">
        <f>IFERROR(
  MINIFS(ATTENDANCE_LOG!$F:$F,
         ATTENDANCE_LOG!$A:$A, C237,
         ATTENDANCE_LOG!$B:$B, E237),
"")</f>
        <v>45765.375</v>
      </c>
      <c r="I237" s="219">
        <f t="shared" si="2"/>
        <v>45765.375</v>
      </c>
      <c r="J237" s="190">
        <f>IFERROR(VLOOKUP(F237, LEVEL_HELPER!$A:$B, 2, 0), "")</f>
        <v>1</v>
      </c>
      <c r="K237" s="190">
        <f>IFERROR(VLOOKUP(G237, LEVEL_HELPER!$A:$B, 2, 0), "")</f>
        <v>3</v>
      </c>
      <c r="L237" s="220" t="s">
        <v>943</v>
      </c>
      <c r="M237" s="220" t="s">
        <v>924</v>
      </c>
      <c r="N237" s="190">
        <f t="array" ref="N237">IFERROR(
  INDEX($J$2:$J$543,
    MATCH(A237&amp;TEXT(I237,"yyyy-mm-dd"),
          $A$2:$A$543&amp;TEXT($H$2:$H$543,"yyyy-mm-dd"),
          0)),
"")</f>
        <v>1</v>
      </c>
      <c r="O237" s="210">
        <f t="shared" si="3"/>
        <v>3.5</v>
      </c>
      <c r="P237" s="210">
        <f t="shared" ref="P237:Q237" si="247">IF(N237="",0,IF(N237&lt;=2,1,IF(N237&lt;=4,2,IF(N237&lt;=5.5,3,4))))</f>
        <v>1</v>
      </c>
      <c r="Q237" s="210">
        <f t="shared" si="247"/>
        <v>2</v>
      </c>
      <c r="R237" s="210" t="str">
        <f t="shared" si="5"/>
        <v>Lv1 → Lv2</v>
      </c>
      <c r="S237" s="210">
        <f t="shared" si="6"/>
        <v>1</v>
      </c>
      <c r="T237" s="210"/>
      <c r="U237" s="210"/>
      <c r="V237" s="211" t="s">
        <v>574</v>
      </c>
      <c r="W237" s="210" t="str">
        <f t="shared" si="7"/>
        <v>GSD</v>
      </c>
      <c r="X237" s="210" t="str">
        <f t="shared" si="8"/>
        <v>GSD</v>
      </c>
      <c r="Y237" s="210" t="str">
        <f t="shared" si="9"/>
        <v>TBU</v>
      </c>
      <c r="Z237" s="210"/>
      <c r="AA237" s="210"/>
      <c r="AB237" s="210"/>
      <c r="AC237" s="210"/>
      <c r="AD237" s="210"/>
      <c r="AE237" s="210"/>
      <c r="AF237" s="210"/>
      <c r="AG237" s="210"/>
      <c r="AH237" s="210"/>
      <c r="AI237" s="210"/>
      <c r="AJ237" s="210"/>
      <c r="AK237" s="210"/>
      <c r="AL237" s="210"/>
      <c r="AM237" s="214"/>
      <c r="AN237" s="210"/>
      <c r="AO237" s="210" t="str">
        <f t="shared" si="10"/>
        <v>#N/A</v>
      </c>
      <c r="AP237" s="210" t="str">
        <f t="shared" si="11"/>
        <v>#N/A</v>
      </c>
      <c r="AQ237" s="210" t="str">
        <f t="shared" si="12"/>
        <v>#N/A</v>
      </c>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c r="BU237" s="210"/>
      <c r="BV237" s="210"/>
      <c r="BW237" s="210"/>
      <c r="BX237" s="210"/>
      <c r="BY237" s="210"/>
      <c r="BZ237" s="210"/>
      <c r="CA237" s="210"/>
      <c r="CB237" s="210"/>
      <c r="CC237" s="210"/>
      <c r="CD237" s="210"/>
      <c r="CE237" s="210"/>
      <c r="CF237" s="210"/>
      <c r="CG237" s="210"/>
      <c r="CH237" s="210"/>
      <c r="CI237" s="210"/>
      <c r="CJ237" s="210"/>
      <c r="CK237" s="210"/>
    </row>
    <row r="238">
      <c r="A238" s="222" t="s">
        <v>693</v>
      </c>
      <c r="B238" s="190" t="s">
        <v>694</v>
      </c>
      <c r="C238" s="223" t="s">
        <v>73</v>
      </c>
      <c r="D238" s="223" t="s">
        <v>866</v>
      </c>
      <c r="E238" s="190" t="s">
        <v>21</v>
      </c>
      <c r="F238" s="13" t="s">
        <v>927</v>
      </c>
      <c r="G238" s="13" t="s">
        <v>918</v>
      </c>
      <c r="H238" s="219">
        <f>IFERROR(
  MINIFS(ATTENDANCE_LOG!$F:$F,
         ATTENDANCE_LOG!$A:$A, C238,
         ATTENDANCE_LOG!$B:$B, E238),
"")</f>
        <v>45765.375</v>
      </c>
      <c r="I238" s="219">
        <f t="shared" si="2"/>
        <v>45765.375</v>
      </c>
      <c r="J238" s="190">
        <f>IFERROR(VLOOKUP(F238, LEVEL_HELPER!$A:$B, 2, 0), "")</f>
        <v>1</v>
      </c>
      <c r="K238" s="190">
        <f>IFERROR(VLOOKUP(G238, LEVEL_HELPER!$A:$B, 2, 0), "")</f>
        <v>3</v>
      </c>
      <c r="L238" s="220" t="s">
        <v>943</v>
      </c>
      <c r="M238" s="220" t="s">
        <v>924</v>
      </c>
      <c r="N238" s="190">
        <f t="array" ref="N238">IFERROR(
  INDEX($J$2:$J$543,
    MATCH(A238&amp;TEXT(I238,"yyyy-mm-dd"),
          $A$2:$A$543&amp;TEXT($H$2:$H$543,"yyyy-mm-dd"),
          0)),
"")</f>
        <v>1</v>
      </c>
      <c r="O238" s="210">
        <f t="shared" si="3"/>
        <v>3.5</v>
      </c>
      <c r="P238" s="210">
        <f t="shared" ref="P238:Q238" si="248">IF(N238="",0,IF(N238&lt;=2,1,IF(N238&lt;=4,2,IF(N238&lt;=5.5,3,4))))</f>
        <v>1</v>
      </c>
      <c r="Q238" s="210">
        <f t="shared" si="248"/>
        <v>2</v>
      </c>
      <c r="R238" s="210" t="str">
        <f t="shared" si="5"/>
        <v>Lv1 → Lv2</v>
      </c>
      <c r="S238" s="210">
        <f t="shared" si="6"/>
        <v>1</v>
      </c>
      <c r="T238" s="210"/>
      <c r="U238" s="210"/>
      <c r="V238" s="211" t="s">
        <v>545</v>
      </c>
      <c r="W238" s="210" t="str">
        <f t="shared" si="7"/>
        <v>GSD</v>
      </c>
      <c r="X238" s="210" t="str">
        <f t="shared" si="8"/>
        <v>GSD</v>
      </c>
      <c r="Y238" s="210" t="str">
        <f t="shared" si="9"/>
        <v>POC</v>
      </c>
      <c r="Z238" s="210"/>
      <c r="AA238" s="210"/>
      <c r="AB238" s="210"/>
      <c r="AC238" s="210"/>
      <c r="AD238" s="210"/>
      <c r="AE238" s="210"/>
      <c r="AF238" s="210"/>
      <c r="AG238" s="210"/>
      <c r="AH238" s="210"/>
      <c r="AI238" s="210"/>
      <c r="AJ238" s="210"/>
      <c r="AK238" s="210"/>
      <c r="AL238" s="210"/>
      <c r="AM238" s="214"/>
      <c r="AN238" s="210"/>
      <c r="AO238" s="210" t="str">
        <f t="shared" si="10"/>
        <v>#N/A</v>
      </c>
      <c r="AP238" s="210" t="str">
        <f t="shared" si="11"/>
        <v>#N/A</v>
      </c>
      <c r="AQ238" s="210" t="str">
        <f t="shared" si="12"/>
        <v>#N/A</v>
      </c>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c r="BU238" s="210"/>
      <c r="BV238" s="210"/>
      <c r="BW238" s="210"/>
      <c r="BX238" s="210"/>
      <c r="BY238" s="210"/>
      <c r="BZ238" s="210"/>
      <c r="CA238" s="210"/>
      <c r="CB238" s="210"/>
      <c r="CC238" s="210"/>
      <c r="CD238" s="210"/>
      <c r="CE238" s="210"/>
      <c r="CF238" s="210"/>
      <c r="CG238" s="210"/>
      <c r="CH238" s="210"/>
      <c r="CI238" s="210"/>
      <c r="CJ238" s="210"/>
      <c r="CK238" s="210"/>
    </row>
    <row r="239">
      <c r="A239" s="216" t="s">
        <v>224</v>
      </c>
      <c r="B239" s="217" t="s">
        <v>225</v>
      </c>
      <c r="C239" s="218" t="s">
        <v>74</v>
      </c>
      <c r="D239" s="218" t="s">
        <v>867</v>
      </c>
      <c r="E239" s="217" t="s">
        <v>25</v>
      </c>
      <c r="F239" s="13" t="s">
        <v>927</v>
      </c>
      <c r="G239" s="13" t="s">
        <v>927</v>
      </c>
      <c r="H239" s="219">
        <f>IFERROR(
  MINIFS(ATTENDANCE_LOG!$F:$F,
         ATTENDANCE_LOG!$A:$A, C239,
         ATTENDANCE_LOG!$B:$B, E239),
"")</f>
        <v>45818.375</v>
      </c>
      <c r="I239" s="219">
        <f t="shared" si="2"/>
        <v>45813.375</v>
      </c>
      <c r="J239" s="190">
        <f>IFERROR(VLOOKUP(F239, LEVEL_HELPER!$A:$B, 2, 0), "")</f>
        <v>1</v>
      </c>
      <c r="K239" s="190">
        <f>IFERROR(VLOOKUP(G239, LEVEL_HELPER!$A:$B, 2, 0), "")</f>
        <v>1</v>
      </c>
      <c r="L239" s="220" t="s">
        <v>943</v>
      </c>
      <c r="M239" s="220" t="s">
        <v>923</v>
      </c>
      <c r="N239" s="190">
        <f t="array" ref="N239">IFERROR(
  INDEX($J$2:$J$543,
    MATCH(A239&amp;TEXT(I239,"yyyy-mm-dd"),
          $A$2:$A$543&amp;TEXT($H$2:$H$543,"yyyy-mm-dd"),
          0)),
"")</f>
        <v>1</v>
      </c>
      <c r="O239" s="210">
        <f t="shared" si="3"/>
        <v>3</v>
      </c>
      <c r="P239" s="210">
        <f t="shared" ref="P239:Q239" si="249">IF(N239="",0,IF(N239&lt;=2,1,IF(N239&lt;=4,2,IF(N239&lt;=5.5,3,4))))</f>
        <v>1</v>
      </c>
      <c r="Q239" s="210">
        <f t="shared" si="249"/>
        <v>2</v>
      </c>
      <c r="R239" s="210" t="str">
        <f t="shared" si="5"/>
        <v>Lv1 → Lv2</v>
      </c>
      <c r="S239" s="210">
        <f t="shared" si="6"/>
        <v>1</v>
      </c>
      <c r="T239" s="210"/>
      <c r="U239" s="210"/>
      <c r="V239" s="211" t="s">
        <v>558</v>
      </c>
      <c r="W239" s="210" t="str">
        <f t="shared" si="7"/>
        <v>GSD</v>
      </c>
      <c r="X239" s="210" t="str">
        <f t="shared" si="8"/>
        <v>GSD</v>
      </c>
      <c r="Y239" s="210" t="str">
        <f t="shared" si="9"/>
        <v>POC</v>
      </c>
      <c r="Z239" s="210"/>
      <c r="AA239" s="210"/>
      <c r="AB239" s="210"/>
      <c r="AC239" s="210"/>
      <c r="AD239" s="210"/>
      <c r="AE239" s="210"/>
      <c r="AF239" s="210"/>
      <c r="AG239" s="210"/>
      <c r="AH239" s="210"/>
      <c r="AI239" s="210"/>
      <c r="AJ239" s="210"/>
      <c r="AK239" s="210"/>
      <c r="AL239" s="210"/>
      <c r="AM239" s="214"/>
      <c r="AN239" s="210"/>
      <c r="AO239" s="210" t="str">
        <f t="shared" si="10"/>
        <v>#N/A</v>
      </c>
      <c r="AP239" s="210" t="str">
        <f t="shared" si="11"/>
        <v>#N/A</v>
      </c>
      <c r="AQ239" s="210" t="str">
        <f t="shared" si="12"/>
        <v>#N/A</v>
      </c>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c r="BU239" s="210"/>
      <c r="BV239" s="210"/>
      <c r="BW239" s="210"/>
      <c r="BX239" s="210"/>
      <c r="BY239" s="210"/>
      <c r="BZ239" s="210"/>
      <c r="CA239" s="210"/>
      <c r="CB239" s="210"/>
      <c r="CC239" s="210"/>
      <c r="CD239" s="210"/>
      <c r="CE239" s="210"/>
      <c r="CF239" s="210"/>
      <c r="CG239" s="210"/>
      <c r="CH239" s="210"/>
      <c r="CI239" s="210"/>
      <c r="CJ239" s="210"/>
      <c r="CK239" s="210"/>
    </row>
    <row r="240">
      <c r="A240" s="222" t="s">
        <v>186</v>
      </c>
      <c r="B240" s="190" t="s">
        <v>187</v>
      </c>
      <c r="C240" s="223" t="s">
        <v>74</v>
      </c>
      <c r="D240" s="223" t="s">
        <v>867</v>
      </c>
      <c r="E240" s="190" t="s">
        <v>25</v>
      </c>
      <c r="F240" s="13" t="s">
        <v>927</v>
      </c>
      <c r="G240" s="13" t="s">
        <v>927</v>
      </c>
      <c r="H240" s="219">
        <f>IFERROR(
  MINIFS(ATTENDANCE_LOG!$F:$F,
         ATTENDANCE_LOG!$A:$A, C240,
         ATTENDANCE_LOG!$B:$B, E240),
"")</f>
        <v>45818.375</v>
      </c>
      <c r="I240" s="219">
        <f t="shared" si="2"/>
        <v>45813.375</v>
      </c>
      <c r="J240" s="190">
        <f>IFERROR(VLOOKUP(F240, LEVEL_HELPER!$A:$B, 2, 0), "")</f>
        <v>1</v>
      </c>
      <c r="K240" s="190">
        <f>IFERROR(VLOOKUP(G240, LEVEL_HELPER!$A:$B, 2, 0), "")</f>
        <v>1</v>
      </c>
      <c r="L240" s="220" t="s">
        <v>943</v>
      </c>
      <c r="M240" s="220" t="s">
        <v>924</v>
      </c>
      <c r="N240" s="190">
        <f t="array" ref="N240">IFERROR(
  INDEX($J$2:$J$543,
    MATCH(A240&amp;TEXT(I240,"yyyy-mm-dd"),
          $A$2:$A$543&amp;TEXT($H$2:$H$543,"yyyy-mm-dd"),
          0)),
"")</f>
        <v>1</v>
      </c>
      <c r="O240" s="210">
        <f t="shared" si="3"/>
        <v>3.5</v>
      </c>
      <c r="P240" s="210">
        <f t="shared" ref="P240:Q240" si="250">IF(N240="",0,IF(N240&lt;=2,1,IF(N240&lt;=4,2,IF(N240&lt;=5.5,3,4))))</f>
        <v>1</v>
      </c>
      <c r="Q240" s="210">
        <f t="shared" si="250"/>
        <v>2</v>
      </c>
      <c r="R240" s="210" t="str">
        <f t="shared" si="5"/>
        <v>Lv1 → Lv2</v>
      </c>
      <c r="S240" s="210">
        <f t="shared" si="6"/>
        <v>1</v>
      </c>
      <c r="T240" s="210"/>
      <c r="U240" s="210"/>
      <c r="V240" s="211" t="s">
        <v>161</v>
      </c>
      <c r="W240" s="210" t="str">
        <f t="shared" si="7"/>
        <v>DEV</v>
      </c>
      <c r="X240" s="210" t="str">
        <f t="shared" si="8"/>
        <v>DEV, TA</v>
      </c>
      <c r="Y240" s="210" t="str">
        <f t="shared" si="9"/>
        <v>MOC</v>
      </c>
      <c r="Z240" s="210"/>
      <c r="AA240" s="210"/>
      <c r="AB240" s="210"/>
      <c r="AC240" s="210"/>
      <c r="AD240" s="210"/>
      <c r="AE240" s="210"/>
      <c r="AF240" s="210"/>
      <c r="AG240" s="210"/>
      <c r="AH240" s="210"/>
      <c r="AI240" s="210"/>
      <c r="AJ240" s="210"/>
      <c r="AK240" s="210"/>
      <c r="AL240" s="210"/>
      <c r="AM240" s="214"/>
      <c r="AN240" s="210"/>
      <c r="AO240" s="210" t="str">
        <f t="shared" si="10"/>
        <v>#N/A</v>
      </c>
      <c r="AP240" s="210" t="str">
        <f t="shared" si="11"/>
        <v>#N/A</v>
      </c>
      <c r="AQ240" s="210" t="str">
        <f t="shared" si="12"/>
        <v>#N/A</v>
      </c>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c r="BU240" s="210"/>
      <c r="BV240" s="210"/>
      <c r="BW240" s="210"/>
      <c r="BX240" s="210"/>
      <c r="BY240" s="210"/>
      <c r="BZ240" s="210"/>
      <c r="CA240" s="210"/>
      <c r="CB240" s="210"/>
      <c r="CC240" s="210"/>
      <c r="CD240" s="210"/>
      <c r="CE240" s="210"/>
      <c r="CF240" s="210"/>
      <c r="CG240" s="210"/>
      <c r="CH240" s="210"/>
      <c r="CI240" s="210"/>
      <c r="CJ240" s="210"/>
      <c r="CK240" s="210"/>
    </row>
    <row r="241">
      <c r="A241" s="222" t="s">
        <v>382</v>
      </c>
      <c r="B241" s="190" t="s">
        <v>380</v>
      </c>
      <c r="C241" s="223" t="s">
        <v>74</v>
      </c>
      <c r="D241" s="223" t="s">
        <v>867</v>
      </c>
      <c r="E241" s="190" t="s">
        <v>25</v>
      </c>
      <c r="F241" s="13" t="s">
        <v>927</v>
      </c>
      <c r="G241" s="13" t="s">
        <v>927</v>
      </c>
      <c r="H241" s="219">
        <f>IFERROR(
  MINIFS(ATTENDANCE_LOG!$F:$F,
         ATTENDANCE_LOG!$A:$A, C241,
         ATTENDANCE_LOG!$B:$B, E241),
"")</f>
        <v>45818.375</v>
      </c>
      <c r="I241" s="219">
        <f t="shared" si="2"/>
        <v>45813.375</v>
      </c>
      <c r="J241" s="190">
        <f>IFERROR(VLOOKUP(F241, LEVEL_HELPER!$A:$B, 2, 0), "")</f>
        <v>1</v>
      </c>
      <c r="K241" s="190">
        <f>IFERROR(VLOOKUP(G241, LEVEL_HELPER!$A:$B, 2, 0), "")</f>
        <v>1</v>
      </c>
      <c r="L241" s="220" t="s">
        <v>943</v>
      </c>
      <c r="M241" s="220" t="s">
        <v>924</v>
      </c>
      <c r="N241" s="190">
        <f t="array" ref="N241">IFERROR(
  INDEX($J$2:$J$543,
    MATCH(A241&amp;TEXT(I241,"yyyy-mm-dd"),
          $A$2:$A$543&amp;TEXT($H$2:$H$543,"yyyy-mm-dd"),
          0)),
"")</f>
        <v>1</v>
      </c>
      <c r="O241" s="210">
        <f t="shared" si="3"/>
        <v>3</v>
      </c>
      <c r="P241" s="210">
        <f t="shared" ref="P241:Q241" si="251">IF(N241="",0,IF(N241&lt;=2,1,IF(N241&lt;=4,2,IF(N241&lt;=5.5,3,4))))</f>
        <v>1</v>
      </c>
      <c r="Q241" s="210">
        <f t="shared" si="251"/>
        <v>2</v>
      </c>
      <c r="R241" s="210" t="str">
        <f t="shared" si="5"/>
        <v>Lv1 → Lv2</v>
      </c>
      <c r="S241" s="210">
        <f t="shared" si="6"/>
        <v>1</v>
      </c>
      <c r="T241" s="210"/>
      <c r="U241" s="210"/>
      <c r="V241" s="211" t="s">
        <v>290</v>
      </c>
      <c r="W241" s="210" t="str">
        <f t="shared" si="7"/>
        <v>GSD</v>
      </c>
      <c r="X241" s="210" t="str">
        <f t="shared" si="8"/>
        <v>GSD</v>
      </c>
      <c r="Y241" s="210" t="str">
        <f t="shared" si="9"/>
        <v>POC</v>
      </c>
      <c r="Z241" s="210"/>
      <c r="AA241" s="210"/>
      <c r="AB241" s="210"/>
      <c r="AC241" s="210"/>
      <c r="AD241" s="210"/>
      <c r="AE241" s="210"/>
      <c r="AF241" s="210"/>
      <c r="AG241" s="210"/>
      <c r="AH241" s="210"/>
      <c r="AI241" s="210"/>
      <c r="AJ241" s="210"/>
      <c r="AK241" s="210"/>
      <c r="AL241" s="210"/>
      <c r="AM241" s="214"/>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c r="BU241" s="210"/>
      <c r="BV241" s="210"/>
      <c r="BW241" s="210"/>
      <c r="BX241" s="210"/>
      <c r="BY241" s="210"/>
      <c r="BZ241" s="210"/>
      <c r="CA241" s="210"/>
      <c r="CB241" s="210"/>
      <c r="CC241" s="210"/>
      <c r="CD241" s="210"/>
      <c r="CE241" s="210"/>
      <c r="CF241" s="210"/>
      <c r="CG241" s="210"/>
      <c r="CH241" s="210"/>
      <c r="CI241" s="210"/>
      <c r="CJ241" s="210"/>
      <c r="CK241" s="210"/>
    </row>
    <row r="242">
      <c r="A242" s="222" t="s">
        <v>425</v>
      </c>
      <c r="B242" s="190" t="s">
        <v>426</v>
      </c>
      <c r="C242" s="223" t="s">
        <v>74</v>
      </c>
      <c r="D242" s="223" t="s">
        <v>867</v>
      </c>
      <c r="E242" s="190" t="s">
        <v>25</v>
      </c>
      <c r="F242" s="13" t="s">
        <v>927</v>
      </c>
      <c r="G242" s="13" t="s">
        <v>927</v>
      </c>
      <c r="H242" s="219">
        <f>IFERROR(
  MINIFS(ATTENDANCE_LOG!$F:$F,
         ATTENDANCE_LOG!$A:$A, C242,
         ATTENDANCE_LOG!$B:$B, E242),
"")</f>
        <v>45818.375</v>
      </c>
      <c r="I242" s="219">
        <f t="shared" si="2"/>
        <v>45813.375</v>
      </c>
      <c r="J242" s="190">
        <f>IFERROR(VLOOKUP(F242, LEVEL_HELPER!$A:$B, 2, 0), "")</f>
        <v>1</v>
      </c>
      <c r="K242" s="190">
        <f>IFERROR(VLOOKUP(G242, LEVEL_HELPER!$A:$B, 2, 0), "")</f>
        <v>1</v>
      </c>
      <c r="L242" s="220" t="s">
        <v>943</v>
      </c>
      <c r="M242" s="220" t="s">
        <v>923</v>
      </c>
      <c r="N242" s="190">
        <f t="array" ref="N242">IFERROR(
  INDEX($J$2:$J$543,
    MATCH(A242&amp;TEXT(I242,"yyyy-mm-dd"),
          $A$2:$A$543&amp;TEXT($H$2:$H$543,"yyyy-mm-dd"),
          0)),
"")</f>
        <v>1</v>
      </c>
      <c r="O242" s="210">
        <f t="shared" si="3"/>
        <v>3.5</v>
      </c>
      <c r="P242" s="210">
        <f t="shared" ref="P242:Q242" si="252">IF(N242="",0,IF(N242&lt;=2,1,IF(N242&lt;=4,2,IF(N242&lt;=5.5,3,4))))</f>
        <v>1</v>
      </c>
      <c r="Q242" s="210">
        <f t="shared" si="252"/>
        <v>2</v>
      </c>
      <c r="R242" s="210" t="str">
        <f t="shared" si="5"/>
        <v>Lv1 → Lv2</v>
      </c>
      <c r="S242" s="210">
        <f t="shared" si="6"/>
        <v>1</v>
      </c>
      <c r="T242" s="210"/>
      <c r="U242" s="210"/>
      <c r="V242" s="211" t="s">
        <v>391</v>
      </c>
      <c r="W242" s="210" t="str">
        <f t="shared" si="7"/>
        <v>GSD</v>
      </c>
      <c r="X242" s="210" t="str">
        <f t="shared" si="8"/>
        <v>GSD</v>
      </c>
      <c r="Y242" s="210" t="str">
        <f t="shared" si="9"/>
        <v>CHORUS</v>
      </c>
      <c r="Z242" s="210"/>
      <c r="AA242" s="210"/>
      <c r="AB242" s="210"/>
      <c r="AC242" s="210"/>
      <c r="AD242" s="210"/>
      <c r="AE242" s="210"/>
      <c r="AF242" s="210"/>
      <c r="AG242" s="210"/>
      <c r="AH242" s="210"/>
      <c r="AI242" s="210"/>
      <c r="AJ242" s="210"/>
      <c r="AK242" s="210"/>
      <c r="AL242" s="210"/>
      <c r="AM242" s="214"/>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c r="BU242" s="210"/>
      <c r="BV242" s="210"/>
      <c r="BW242" s="210"/>
      <c r="BX242" s="210"/>
      <c r="BY242" s="210"/>
      <c r="BZ242" s="210"/>
      <c r="CA242" s="210"/>
      <c r="CB242" s="210"/>
      <c r="CC242" s="210"/>
      <c r="CD242" s="210"/>
      <c r="CE242" s="210"/>
      <c r="CF242" s="210"/>
      <c r="CG242" s="210"/>
      <c r="CH242" s="210"/>
      <c r="CI242" s="210"/>
      <c r="CJ242" s="210"/>
      <c r="CK242" s="210"/>
    </row>
    <row r="243">
      <c r="A243" s="222" t="s">
        <v>431</v>
      </c>
      <c r="B243" s="190" t="s">
        <v>432</v>
      </c>
      <c r="C243" s="223" t="s">
        <v>74</v>
      </c>
      <c r="D243" s="223" t="s">
        <v>867</v>
      </c>
      <c r="E243" s="190" t="s">
        <v>25</v>
      </c>
      <c r="F243" s="13" t="s">
        <v>927</v>
      </c>
      <c r="G243" s="13" t="s">
        <v>927</v>
      </c>
      <c r="H243" s="219">
        <f>IFERROR(
  MINIFS(ATTENDANCE_LOG!$F:$F,
         ATTENDANCE_LOG!$A:$A, C243,
         ATTENDANCE_LOG!$B:$B, E243),
"")</f>
        <v>45818.375</v>
      </c>
      <c r="I243" s="219">
        <f t="shared" si="2"/>
        <v>45813.375</v>
      </c>
      <c r="J243" s="190">
        <f>IFERROR(VLOOKUP(F243, LEVEL_HELPER!$A:$B, 2, 0), "")</f>
        <v>1</v>
      </c>
      <c r="K243" s="190">
        <f>IFERROR(VLOOKUP(G243, LEVEL_HELPER!$A:$B, 2, 0), "")</f>
        <v>1</v>
      </c>
      <c r="L243" s="220" t="s">
        <v>943</v>
      </c>
      <c r="M243" s="220" t="s">
        <v>924</v>
      </c>
      <c r="N243" s="190">
        <f t="array" ref="N243">IFERROR(
  INDEX($J$2:$J$543,
    MATCH(A243&amp;TEXT(I243,"yyyy-mm-dd"),
          $A$2:$A$543&amp;TEXT($H$2:$H$543,"yyyy-mm-dd"),
          0)),
"")</f>
        <v>1</v>
      </c>
      <c r="O243" s="210">
        <f t="shared" si="3"/>
        <v>5</v>
      </c>
      <c r="P243" s="210">
        <f t="shared" ref="P243:Q243" si="253">IF(N243="",0,IF(N243&lt;=2,1,IF(N243&lt;=4,2,IF(N243&lt;=5.5,3,4))))</f>
        <v>1</v>
      </c>
      <c r="Q243" s="210">
        <f t="shared" si="253"/>
        <v>3</v>
      </c>
      <c r="R243" s="210" t="str">
        <f t="shared" si="5"/>
        <v>Lv1 → Lv3 (multi)</v>
      </c>
      <c r="S243" s="210">
        <f t="shared" si="6"/>
        <v>1</v>
      </c>
      <c r="T243" s="210"/>
      <c r="U243" s="210"/>
      <c r="V243" s="211" t="s">
        <v>468</v>
      </c>
      <c r="W243" s="210" t="str">
        <f t="shared" si="7"/>
        <v>GSD</v>
      </c>
      <c r="X243" s="210" t="str">
        <f t="shared" si="8"/>
        <v>GSD</v>
      </c>
      <c r="Y243" s="210" t="str">
        <f t="shared" si="9"/>
        <v>POC</v>
      </c>
      <c r="Z243" s="210"/>
      <c r="AA243" s="210"/>
      <c r="AB243" s="210"/>
      <c r="AC243" s="210"/>
      <c r="AD243" s="210"/>
      <c r="AE243" s="210"/>
      <c r="AF243" s="210"/>
      <c r="AG243" s="210"/>
      <c r="AH243" s="210"/>
      <c r="AI243" s="210"/>
      <c r="AJ243" s="210"/>
      <c r="AK243" s="210"/>
      <c r="AL243" s="210"/>
      <c r="AM243" s="214"/>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c r="BU243" s="210"/>
      <c r="BV243" s="210"/>
      <c r="BW243" s="210"/>
      <c r="BX243" s="210"/>
      <c r="BY243" s="210"/>
      <c r="BZ243" s="210"/>
      <c r="CA243" s="210"/>
      <c r="CB243" s="210"/>
      <c r="CC243" s="210"/>
      <c r="CD243" s="210"/>
      <c r="CE243" s="210"/>
      <c r="CF243" s="210"/>
      <c r="CG243" s="210"/>
      <c r="CH243" s="210"/>
      <c r="CI243" s="210"/>
      <c r="CJ243" s="210"/>
      <c r="CK243" s="210"/>
    </row>
    <row r="244">
      <c r="A244" s="222" t="s">
        <v>453</v>
      </c>
      <c r="B244" s="190" t="s">
        <v>454</v>
      </c>
      <c r="C244" s="223" t="s">
        <v>74</v>
      </c>
      <c r="D244" s="223" t="s">
        <v>867</v>
      </c>
      <c r="E244" s="190" t="s">
        <v>25</v>
      </c>
      <c r="F244" s="13" t="s">
        <v>927</v>
      </c>
      <c r="G244" s="13" t="s">
        <v>927</v>
      </c>
      <c r="H244" s="219">
        <f>IFERROR(
  MINIFS(ATTENDANCE_LOG!$F:$F,
         ATTENDANCE_LOG!$A:$A, C244,
         ATTENDANCE_LOG!$B:$B, E244),
"")</f>
        <v>45818.375</v>
      </c>
      <c r="I244" s="219">
        <f t="shared" si="2"/>
        <v>45813.375</v>
      </c>
      <c r="J244" s="190">
        <f>IFERROR(VLOOKUP(F244, LEVEL_HELPER!$A:$B, 2, 0), "")</f>
        <v>1</v>
      </c>
      <c r="K244" s="190">
        <f>IFERROR(VLOOKUP(G244, LEVEL_HELPER!$A:$B, 2, 0), "")</f>
        <v>1</v>
      </c>
      <c r="L244" s="220" t="s">
        <v>943</v>
      </c>
      <c r="M244" s="220" t="s">
        <v>924</v>
      </c>
      <c r="N244" s="190">
        <f t="array" ref="N244">IFERROR(
  INDEX($J$2:$J$543,
    MATCH(A244&amp;TEXT(I244,"yyyy-mm-dd"),
          $A$2:$A$543&amp;TEXT($H$2:$H$543,"yyyy-mm-dd"),
          0)),
"")</f>
        <v>1</v>
      </c>
      <c r="O244" s="210">
        <f t="shared" si="3"/>
        <v>3</v>
      </c>
      <c r="P244" s="210">
        <f t="shared" ref="P244:Q244" si="254">IF(N244="",0,IF(N244&lt;=2,1,IF(N244&lt;=4,2,IF(N244&lt;=5.5,3,4))))</f>
        <v>1</v>
      </c>
      <c r="Q244" s="210">
        <f t="shared" si="254"/>
        <v>2</v>
      </c>
      <c r="R244" s="210" t="str">
        <f t="shared" si="5"/>
        <v>Lv1 → Lv2</v>
      </c>
      <c r="S244" s="210">
        <f t="shared" si="6"/>
        <v>1</v>
      </c>
      <c r="T244" s="210"/>
      <c r="U244" s="210"/>
      <c r="V244" s="211" t="s">
        <v>516</v>
      </c>
      <c r="W244" s="210" t="str">
        <f t="shared" si="7"/>
        <v>GSD</v>
      </c>
      <c r="X244" s="210" t="str">
        <f t="shared" si="8"/>
        <v>GSD</v>
      </c>
      <c r="Y244" s="210" t="str">
        <f t="shared" si="9"/>
        <v>POC</v>
      </c>
      <c r="Z244" s="210"/>
      <c r="AA244" s="210"/>
      <c r="AB244" s="210"/>
      <c r="AC244" s="210"/>
      <c r="AD244" s="210"/>
      <c r="AE244" s="210"/>
      <c r="AF244" s="210"/>
      <c r="AG244" s="210"/>
      <c r="AH244" s="210"/>
      <c r="AI244" s="210"/>
      <c r="AJ244" s="210"/>
      <c r="AK244" s="210"/>
      <c r="AL244" s="210"/>
      <c r="AM244" s="214"/>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c r="BU244" s="210"/>
      <c r="BV244" s="210"/>
      <c r="BW244" s="210"/>
      <c r="BX244" s="210"/>
      <c r="BY244" s="210"/>
      <c r="BZ244" s="210"/>
      <c r="CA244" s="210"/>
      <c r="CB244" s="210"/>
      <c r="CC244" s="210"/>
      <c r="CD244" s="210"/>
      <c r="CE244" s="210"/>
      <c r="CF244" s="210"/>
      <c r="CG244" s="210"/>
      <c r="CH244" s="210"/>
      <c r="CI244" s="210"/>
      <c r="CJ244" s="210"/>
      <c r="CK244" s="210"/>
    </row>
    <row r="245">
      <c r="A245" s="216" t="s">
        <v>224</v>
      </c>
      <c r="B245" s="217" t="s">
        <v>225</v>
      </c>
      <c r="C245" s="218" t="s">
        <v>74</v>
      </c>
      <c r="D245" s="218" t="s">
        <v>867</v>
      </c>
      <c r="E245" s="217" t="s">
        <v>21</v>
      </c>
      <c r="F245" s="13" t="s">
        <v>927</v>
      </c>
      <c r="G245" s="13" t="s">
        <v>918</v>
      </c>
      <c r="H245" s="219">
        <f>IFERROR(
  MINIFS(ATTENDANCE_LOG!$F:$F,
         ATTENDANCE_LOG!$A:$A, C245,
         ATTENDANCE_LOG!$B:$B, E245),
"")</f>
        <v>45813.375</v>
      </c>
      <c r="I245" s="219">
        <f t="shared" si="2"/>
        <v>45813.375</v>
      </c>
      <c r="J245" s="190">
        <f>IFERROR(VLOOKUP(F245, LEVEL_HELPER!$A:$B, 2, 0), "")</f>
        <v>1</v>
      </c>
      <c r="K245" s="190">
        <f>IFERROR(VLOOKUP(G245, LEVEL_HELPER!$A:$B, 2, 0), "")</f>
        <v>3</v>
      </c>
      <c r="L245" s="220" t="s">
        <v>943</v>
      </c>
      <c r="M245" s="220" t="s">
        <v>923</v>
      </c>
      <c r="N245" s="190">
        <f t="array" ref="N245">IFERROR(
  INDEX($J$2:$J$543,
    MATCH(A245&amp;TEXT(I245,"yyyy-mm-dd"),
          $A$2:$A$543&amp;TEXT($H$2:$H$543,"yyyy-mm-dd"),
          0)),
"")</f>
        <v>1</v>
      </c>
      <c r="O245" s="210">
        <f t="shared" si="3"/>
        <v>3</v>
      </c>
      <c r="P245" s="210">
        <f t="shared" ref="P245:Q245" si="255">IF(N245="",0,IF(N245&lt;=2,1,IF(N245&lt;=4,2,IF(N245&lt;=5.5,3,4))))</f>
        <v>1</v>
      </c>
      <c r="Q245" s="210">
        <f t="shared" si="255"/>
        <v>2</v>
      </c>
      <c r="R245" s="210" t="str">
        <f t="shared" si="5"/>
        <v>Lv1 → Lv2</v>
      </c>
      <c r="S245" s="210">
        <f t="shared" si="6"/>
        <v>0</v>
      </c>
      <c r="T245" s="210"/>
      <c r="U245" s="210"/>
      <c r="V245" s="211" t="s">
        <v>363</v>
      </c>
      <c r="W245" s="210" t="str">
        <f t="shared" si="7"/>
        <v>GSD</v>
      </c>
      <c r="X245" s="210" t="str">
        <f t="shared" si="8"/>
        <v>GSD</v>
      </c>
      <c r="Y245" s="210" t="str">
        <f t="shared" si="9"/>
        <v>POC</v>
      </c>
      <c r="Z245" s="210"/>
      <c r="AA245" s="210"/>
      <c r="AB245" s="210"/>
      <c r="AC245" s="210"/>
      <c r="AD245" s="210"/>
      <c r="AE245" s="210"/>
      <c r="AF245" s="210"/>
      <c r="AG245" s="210"/>
      <c r="AH245" s="210"/>
      <c r="AI245" s="210"/>
      <c r="AJ245" s="210"/>
      <c r="AK245" s="210"/>
      <c r="AL245" s="210"/>
      <c r="AM245" s="214"/>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c r="BU245" s="210"/>
      <c r="BV245" s="210"/>
      <c r="BW245" s="210"/>
      <c r="BX245" s="210"/>
      <c r="BY245" s="210"/>
      <c r="BZ245" s="210"/>
      <c r="CA245" s="210"/>
      <c r="CB245" s="210"/>
      <c r="CC245" s="210"/>
      <c r="CD245" s="210"/>
      <c r="CE245" s="210"/>
      <c r="CF245" s="210"/>
      <c r="CG245" s="210"/>
      <c r="CH245" s="210"/>
      <c r="CI245" s="210"/>
      <c r="CJ245" s="210"/>
      <c r="CK245" s="210"/>
    </row>
    <row r="246">
      <c r="A246" s="222" t="s">
        <v>186</v>
      </c>
      <c r="B246" s="190" t="s">
        <v>187</v>
      </c>
      <c r="C246" s="223" t="s">
        <v>74</v>
      </c>
      <c r="D246" s="223" t="s">
        <v>867</v>
      </c>
      <c r="E246" s="190" t="s">
        <v>21</v>
      </c>
      <c r="F246" s="13" t="s">
        <v>927</v>
      </c>
      <c r="G246" s="13" t="s">
        <v>935</v>
      </c>
      <c r="H246" s="219">
        <f>IFERROR(
  MINIFS(ATTENDANCE_LOG!$F:$F,
         ATTENDANCE_LOG!$A:$A, C246,
         ATTENDANCE_LOG!$B:$B, E246),
"")</f>
        <v>45813.375</v>
      </c>
      <c r="I246" s="219">
        <f t="shared" si="2"/>
        <v>45813.375</v>
      </c>
      <c r="J246" s="190">
        <f>IFERROR(VLOOKUP(F246, LEVEL_HELPER!$A:$B, 2, 0), "")</f>
        <v>1</v>
      </c>
      <c r="K246" s="190">
        <f>IFERROR(VLOOKUP(G246, LEVEL_HELPER!$A:$B, 2, 0), "")</f>
        <v>3.5</v>
      </c>
      <c r="L246" s="220" t="s">
        <v>943</v>
      </c>
      <c r="M246" s="220" t="s">
        <v>924</v>
      </c>
      <c r="N246" s="190">
        <f t="array" ref="N246">IFERROR(
  INDEX($J$2:$J$543,
    MATCH(A246&amp;TEXT(I246,"yyyy-mm-dd"),
          $A$2:$A$543&amp;TEXT($H$2:$H$543,"yyyy-mm-dd"),
          0)),
"")</f>
        <v>1</v>
      </c>
      <c r="O246" s="210">
        <f t="shared" si="3"/>
        <v>3.5</v>
      </c>
      <c r="P246" s="210">
        <f t="shared" ref="P246:Q246" si="256">IF(N246="",0,IF(N246&lt;=2,1,IF(N246&lt;=4,2,IF(N246&lt;=5.5,3,4))))</f>
        <v>1</v>
      </c>
      <c r="Q246" s="210">
        <f t="shared" si="256"/>
        <v>2</v>
      </c>
      <c r="R246" s="210" t="str">
        <f t="shared" si="5"/>
        <v>Lv1 → Lv2</v>
      </c>
      <c r="S246" s="210">
        <f t="shared" si="6"/>
        <v>0</v>
      </c>
      <c r="T246" s="210"/>
      <c r="U246" s="210"/>
      <c r="V246" s="211" t="s">
        <v>251</v>
      </c>
      <c r="W246" s="210" t="str">
        <f t="shared" si="7"/>
        <v>GSD</v>
      </c>
      <c r="X246" s="210" t="str">
        <f t="shared" si="8"/>
        <v>GSD</v>
      </c>
      <c r="Y246" s="210" t="str">
        <f t="shared" si="9"/>
        <v>POC</v>
      </c>
      <c r="Z246" s="210"/>
      <c r="AA246" s="210"/>
      <c r="AB246" s="210"/>
      <c r="AC246" s="210"/>
      <c r="AD246" s="210"/>
      <c r="AE246" s="210"/>
      <c r="AF246" s="210"/>
      <c r="AG246" s="210"/>
      <c r="AH246" s="210"/>
      <c r="AI246" s="210"/>
      <c r="AJ246" s="210"/>
      <c r="AK246" s="210"/>
      <c r="AL246" s="210"/>
      <c r="AM246" s="214"/>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c r="BU246" s="210"/>
      <c r="BV246" s="210"/>
      <c r="BW246" s="210"/>
      <c r="BX246" s="210"/>
      <c r="BY246" s="210"/>
      <c r="BZ246" s="210"/>
      <c r="CA246" s="210"/>
      <c r="CB246" s="210"/>
      <c r="CC246" s="210"/>
      <c r="CD246" s="210"/>
      <c r="CE246" s="210"/>
      <c r="CF246" s="210"/>
      <c r="CG246" s="210"/>
      <c r="CH246" s="210"/>
      <c r="CI246" s="210"/>
      <c r="CJ246" s="210"/>
      <c r="CK246" s="210"/>
    </row>
    <row r="247">
      <c r="A247" s="222" t="s">
        <v>382</v>
      </c>
      <c r="B247" s="190" t="s">
        <v>380</v>
      </c>
      <c r="C247" s="223" t="s">
        <v>74</v>
      </c>
      <c r="D247" s="223" t="s">
        <v>867</v>
      </c>
      <c r="E247" s="190" t="s">
        <v>21</v>
      </c>
      <c r="F247" s="13" t="s">
        <v>927</v>
      </c>
      <c r="G247" s="13" t="s">
        <v>918</v>
      </c>
      <c r="H247" s="219">
        <f>IFERROR(
  MINIFS(ATTENDANCE_LOG!$F:$F,
         ATTENDANCE_LOG!$A:$A, C247,
         ATTENDANCE_LOG!$B:$B, E247),
"")</f>
        <v>45813.375</v>
      </c>
      <c r="I247" s="219">
        <f t="shared" si="2"/>
        <v>45813.375</v>
      </c>
      <c r="J247" s="190">
        <f>IFERROR(VLOOKUP(F247, LEVEL_HELPER!$A:$B, 2, 0), "")</f>
        <v>1</v>
      </c>
      <c r="K247" s="190">
        <f>IFERROR(VLOOKUP(G247, LEVEL_HELPER!$A:$B, 2, 0), "")</f>
        <v>3</v>
      </c>
      <c r="L247" s="220" t="s">
        <v>943</v>
      </c>
      <c r="M247" s="220" t="s">
        <v>924</v>
      </c>
      <c r="N247" s="190">
        <f t="array" ref="N247">IFERROR(
  INDEX($J$2:$J$543,
    MATCH(A247&amp;TEXT(I247,"yyyy-mm-dd"),
          $A$2:$A$543&amp;TEXT($H$2:$H$543,"yyyy-mm-dd"),
          0)),
"")</f>
        <v>1</v>
      </c>
      <c r="O247" s="210">
        <f t="shared" si="3"/>
        <v>3</v>
      </c>
      <c r="P247" s="210">
        <f t="shared" ref="P247:Q247" si="257">IF(N247="",0,IF(N247&lt;=2,1,IF(N247&lt;=4,2,IF(N247&lt;=5.5,3,4))))</f>
        <v>1</v>
      </c>
      <c r="Q247" s="210">
        <f t="shared" si="257"/>
        <v>2</v>
      </c>
      <c r="R247" s="210" t="str">
        <f t="shared" si="5"/>
        <v>Lv1 → Lv2</v>
      </c>
      <c r="S247" s="210">
        <f t="shared" si="6"/>
        <v>0</v>
      </c>
      <c r="T247" s="210"/>
      <c r="U247" s="210"/>
      <c r="V247" s="211" t="s">
        <v>338</v>
      </c>
      <c r="W247" s="210" t="str">
        <f t="shared" si="7"/>
        <v>GSD</v>
      </c>
      <c r="X247" s="210" t="str">
        <f t="shared" si="8"/>
        <v>GSD</v>
      </c>
      <c r="Y247" s="210" t="str">
        <f t="shared" si="9"/>
        <v>TBU</v>
      </c>
      <c r="Z247" s="210"/>
      <c r="AA247" s="210"/>
      <c r="AB247" s="210"/>
      <c r="AC247" s="210"/>
      <c r="AD247" s="210"/>
      <c r="AE247" s="210"/>
      <c r="AF247" s="210"/>
      <c r="AG247" s="210"/>
      <c r="AH247" s="210"/>
      <c r="AI247" s="210"/>
      <c r="AJ247" s="210"/>
      <c r="AK247" s="210"/>
      <c r="AL247" s="210"/>
      <c r="AM247" s="214"/>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c r="BU247" s="210"/>
      <c r="BV247" s="210"/>
      <c r="BW247" s="210"/>
      <c r="BX247" s="210"/>
      <c r="BY247" s="210"/>
      <c r="BZ247" s="210"/>
      <c r="CA247" s="210"/>
      <c r="CB247" s="210"/>
      <c r="CC247" s="210"/>
      <c r="CD247" s="210"/>
      <c r="CE247" s="210"/>
      <c r="CF247" s="210"/>
      <c r="CG247" s="210"/>
      <c r="CH247" s="210"/>
      <c r="CI247" s="210"/>
      <c r="CJ247" s="210"/>
      <c r="CK247" s="210"/>
    </row>
    <row r="248">
      <c r="A248" s="222" t="s">
        <v>425</v>
      </c>
      <c r="B248" s="190" t="s">
        <v>426</v>
      </c>
      <c r="C248" s="223" t="s">
        <v>74</v>
      </c>
      <c r="D248" s="223" t="s">
        <v>867</v>
      </c>
      <c r="E248" s="190" t="s">
        <v>21</v>
      </c>
      <c r="F248" s="13" t="s">
        <v>927</v>
      </c>
      <c r="G248" s="13" t="s">
        <v>935</v>
      </c>
      <c r="H248" s="219">
        <f>IFERROR(
  MINIFS(ATTENDANCE_LOG!$F:$F,
         ATTENDANCE_LOG!$A:$A, C248,
         ATTENDANCE_LOG!$B:$B, E248),
"")</f>
        <v>45813.375</v>
      </c>
      <c r="I248" s="219">
        <f t="shared" si="2"/>
        <v>45813.375</v>
      </c>
      <c r="J248" s="190">
        <f>IFERROR(VLOOKUP(F248, LEVEL_HELPER!$A:$B, 2, 0), "")</f>
        <v>1</v>
      </c>
      <c r="K248" s="190">
        <f>IFERROR(VLOOKUP(G248, LEVEL_HELPER!$A:$B, 2, 0), "")</f>
        <v>3.5</v>
      </c>
      <c r="L248" s="220" t="s">
        <v>943</v>
      </c>
      <c r="M248" s="220" t="s">
        <v>923</v>
      </c>
      <c r="N248" s="190">
        <f t="array" ref="N248">IFERROR(
  INDEX($J$2:$J$543,
    MATCH(A248&amp;TEXT(I248,"yyyy-mm-dd"),
          $A$2:$A$543&amp;TEXT($H$2:$H$543,"yyyy-mm-dd"),
          0)),
"")</f>
        <v>1</v>
      </c>
      <c r="O248" s="210">
        <f t="shared" si="3"/>
        <v>3.5</v>
      </c>
      <c r="P248" s="210">
        <f t="shared" ref="P248:Q248" si="258">IF(N248="",0,IF(N248&lt;=2,1,IF(N248&lt;=4,2,IF(N248&lt;=5.5,3,4))))</f>
        <v>1</v>
      </c>
      <c r="Q248" s="210">
        <f t="shared" si="258"/>
        <v>2</v>
      </c>
      <c r="R248" s="210" t="str">
        <f t="shared" si="5"/>
        <v>Lv1 → Lv2</v>
      </c>
      <c r="S248" s="210">
        <f t="shared" si="6"/>
        <v>0</v>
      </c>
      <c r="T248" s="210"/>
      <c r="U248" s="210"/>
      <c r="V248" s="211" t="s">
        <v>379</v>
      </c>
      <c r="W248" s="210" t="str">
        <f t="shared" si="7"/>
        <v>GSD</v>
      </c>
      <c r="X248" s="210" t="str">
        <f t="shared" si="8"/>
        <v>GSD</v>
      </c>
      <c r="Y248" s="210" t="str">
        <f t="shared" si="9"/>
        <v>TBU</v>
      </c>
      <c r="Z248" s="210"/>
      <c r="AA248" s="210"/>
      <c r="AB248" s="210"/>
      <c r="AC248" s="210"/>
      <c r="AD248" s="210"/>
      <c r="AE248" s="210"/>
      <c r="AF248" s="210"/>
      <c r="AG248" s="210"/>
      <c r="AH248" s="210"/>
      <c r="AI248" s="210"/>
      <c r="AJ248" s="210"/>
      <c r="AK248" s="210"/>
      <c r="AL248" s="210"/>
      <c r="AM248" s="214"/>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c r="BU248" s="210"/>
      <c r="BV248" s="210"/>
      <c r="BW248" s="210"/>
      <c r="BX248" s="210"/>
      <c r="BY248" s="210"/>
      <c r="BZ248" s="210"/>
      <c r="CA248" s="210"/>
      <c r="CB248" s="210"/>
      <c r="CC248" s="210"/>
      <c r="CD248" s="210"/>
      <c r="CE248" s="210"/>
      <c r="CF248" s="210"/>
      <c r="CG248" s="210"/>
      <c r="CH248" s="210"/>
      <c r="CI248" s="210"/>
      <c r="CJ248" s="210"/>
      <c r="CK248" s="210"/>
    </row>
    <row r="249">
      <c r="A249" s="222" t="s">
        <v>431</v>
      </c>
      <c r="B249" s="190" t="s">
        <v>432</v>
      </c>
      <c r="C249" s="223" t="s">
        <v>74</v>
      </c>
      <c r="D249" s="223" t="s">
        <v>867</v>
      </c>
      <c r="E249" s="190" t="s">
        <v>21</v>
      </c>
      <c r="F249" s="13" t="s">
        <v>927</v>
      </c>
      <c r="G249" s="13" t="s">
        <v>941</v>
      </c>
      <c r="H249" s="219">
        <f>IFERROR(
  MINIFS(ATTENDANCE_LOG!$F:$F,
         ATTENDANCE_LOG!$A:$A, C249,
         ATTENDANCE_LOG!$B:$B, E249),
"")</f>
        <v>45813.375</v>
      </c>
      <c r="I249" s="219">
        <f t="shared" si="2"/>
        <v>45813.375</v>
      </c>
      <c r="J249" s="190">
        <f>IFERROR(VLOOKUP(F249, LEVEL_HELPER!$A:$B, 2, 0), "")</f>
        <v>1</v>
      </c>
      <c r="K249" s="190">
        <f>IFERROR(VLOOKUP(G249, LEVEL_HELPER!$A:$B, 2, 0), "")</f>
        <v>5</v>
      </c>
      <c r="L249" s="220" t="s">
        <v>943</v>
      </c>
      <c r="M249" s="220" t="s">
        <v>924</v>
      </c>
      <c r="N249" s="190">
        <f t="array" ref="N249">IFERROR(
  INDEX($J$2:$J$543,
    MATCH(A249&amp;TEXT(I249,"yyyy-mm-dd"),
          $A$2:$A$543&amp;TEXT($H$2:$H$543,"yyyy-mm-dd"),
          0)),
"")</f>
        <v>1</v>
      </c>
      <c r="O249" s="210">
        <f t="shared" si="3"/>
        <v>5</v>
      </c>
      <c r="P249" s="210">
        <f t="shared" ref="P249:Q249" si="259">IF(N249="",0,IF(N249&lt;=2,1,IF(N249&lt;=4,2,IF(N249&lt;=5.5,3,4))))</f>
        <v>1</v>
      </c>
      <c r="Q249" s="210">
        <f t="shared" si="259"/>
        <v>3</v>
      </c>
      <c r="R249" s="210" t="str">
        <f t="shared" si="5"/>
        <v>Lv1 → Lv3 (multi)</v>
      </c>
      <c r="S249" s="210">
        <f t="shared" si="6"/>
        <v>0</v>
      </c>
      <c r="T249" s="210"/>
      <c r="U249" s="210"/>
      <c r="V249" s="211" t="s">
        <v>449</v>
      </c>
      <c r="W249" s="210" t="str">
        <f t="shared" si="7"/>
        <v>GSD</v>
      </c>
      <c r="X249" s="210" t="str">
        <f t="shared" si="8"/>
        <v>GSD</v>
      </c>
      <c r="Y249" s="210" t="str">
        <f t="shared" si="9"/>
        <v>POC</v>
      </c>
      <c r="Z249" s="210"/>
      <c r="AA249" s="210"/>
      <c r="AB249" s="210"/>
      <c r="AC249" s="210"/>
      <c r="AD249" s="210"/>
      <c r="AE249" s="210"/>
      <c r="AF249" s="210"/>
      <c r="AG249" s="210"/>
      <c r="AH249" s="210"/>
      <c r="AI249" s="210"/>
      <c r="AJ249" s="210"/>
      <c r="AK249" s="210"/>
      <c r="AL249" s="210"/>
      <c r="AM249" s="214"/>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c r="BU249" s="210"/>
      <c r="BV249" s="210"/>
      <c r="BW249" s="210"/>
      <c r="BX249" s="210"/>
      <c r="BY249" s="210"/>
      <c r="BZ249" s="210"/>
      <c r="CA249" s="210"/>
      <c r="CB249" s="210"/>
      <c r="CC249" s="210"/>
      <c r="CD249" s="210"/>
      <c r="CE249" s="210"/>
      <c r="CF249" s="210"/>
      <c r="CG249" s="210"/>
      <c r="CH249" s="210"/>
      <c r="CI249" s="210"/>
      <c r="CJ249" s="210"/>
      <c r="CK249" s="210"/>
    </row>
    <row r="250">
      <c r="A250" s="222" t="s">
        <v>453</v>
      </c>
      <c r="B250" s="190" t="s">
        <v>454</v>
      </c>
      <c r="C250" s="223" t="s">
        <v>74</v>
      </c>
      <c r="D250" s="223" t="s">
        <v>867</v>
      </c>
      <c r="E250" s="190" t="s">
        <v>21</v>
      </c>
      <c r="F250" s="13" t="s">
        <v>927</v>
      </c>
      <c r="G250" s="13" t="s">
        <v>918</v>
      </c>
      <c r="H250" s="219">
        <f>IFERROR(
  MINIFS(ATTENDANCE_LOG!$F:$F,
         ATTENDANCE_LOG!$A:$A, C250,
         ATTENDANCE_LOG!$B:$B, E250),
"")</f>
        <v>45813.375</v>
      </c>
      <c r="I250" s="219">
        <f t="shared" si="2"/>
        <v>45813.375</v>
      </c>
      <c r="J250" s="190">
        <f>IFERROR(VLOOKUP(F250, LEVEL_HELPER!$A:$B, 2, 0), "")</f>
        <v>1</v>
      </c>
      <c r="K250" s="190">
        <f>IFERROR(VLOOKUP(G250, LEVEL_HELPER!$A:$B, 2, 0), "")</f>
        <v>3</v>
      </c>
      <c r="L250" s="220" t="s">
        <v>943</v>
      </c>
      <c r="M250" s="220" t="s">
        <v>924</v>
      </c>
      <c r="N250" s="190">
        <f t="array" ref="N250">IFERROR(
  INDEX($J$2:$J$543,
    MATCH(A250&amp;TEXT(I250,"yyyy-mm-dd"),
          $A$2:$A$543&amp;TEXT($H$2:$H$543,"yyyy-mm-dd"),
          0)),
"")</f>
        <v>1</v>
      </c>
      <c r="O250" s="210">
        <f t="shared" si="3"/>
        <v>3</v>
      </c>
      <c r="P250" s="210">
        <f t="shared" ref="P250:Q250" si="260">IF(N250="",0,IF(N250&lt;=2,1,IF(N250&lt;=4,2,IF(N250&lt;=5.5,3,4))))</f>
        <v>1</v>
      </c>
      <c r="Q250" s="210">
        <f t="shared" si="260"/>
        <v>2</v>
      </c>
      <c r="R250" s="210" t="str">
        <f t="shared" si="5"/>
        <v>Lv1 → Lv2</v>
      </c>
      <c r="S250" s="210">
        <f t="shared" si="6"/>
        <v>0</v>
      </c>
      <c r="T250" s="210"/>
      <c r="U250" s="210"/>
      <c r="V250" s="211" t="s">
        <v>455</v>
      </c>
      <c r="W250" s="210" t="str">
        <f t="shared" si="7"/>
        <v>GSD</v>
      </c>
      <c r="X250" s="210" t="str">
        <f t="shared" si="8"/>
        <v>GSD</v>
      </c>
      <c r="Y250" s="210" t="str">
        <f t="shared" si="9"/>
        <v>POC</v>
      </c>
      <c r="Z250" s="210"/>
      <c r="AA250" s="210"/>
      <c r="AB250" s="210"/>
      <c r="AC250" s="210"/>
      <c r="AD250" s="210"/>
      <c r="AE250" s="210"/>
      <c r="AF250" s="210"/>
      <c r="AG250" s="210"/>
      <c r="AH250" s="210"/>
      <c r="AI250" s="210"/>
      <c r="AJ250" s="210"/>
      <c r="AK250" s="210"/>
      <c r="AL250" s="210"/>
      <c r="AM250" s="214"/>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c r="BU250" s="210"/>
      <c r="BV250" s="210"/>
      <c r="BW250" s="210"/>
      <c r="BX250" s="210"/>
      <c r="BY250" s="210"/>
      <c r="BZ250" s="210"/>
      <c r="CA250" s="210"/>
      <c r="CB250" s="210"/>
      <c r="CC250" s="210"/>
      <c r="CD250" s="210"/>
      <c r="CE250" s="210"/>
      <c r="CF250" s="210"/>
      <c r="CG250" s="210"/>
      <c r="CH250" s="210"/>
      <c r="CI250" s="210"/>
      <c r="CJ250" s="210"/>
      <c r="CK250" s="210"/>
    </row>
    <row r="251">
      <c r="A251" s="222" t="s">
        <v>492</v>
      </c>
      <c r="B251" s="190" t="s">
        <v>493</v>
      </c>
      <c r="C251" s="223" t="s">
        <v>74</v>
      </c>
      <c r="D251" s="223" t="s">
        <v>867</v>
      </c>
      <c r="E251" s="190" t="s">
        <v>21</v>
      </c>
      <c r="F251" s="190"/>
      <c r="G251" s="190"/>
      <c r="H251" s="219">
        <f>IFERROR(
  MINIFS(ATTENDANCE_LOG!$F:$F,
         ATTENDANCE_LOG!$A:$A, C251,
         ATTENDANCE_LOG!$B:$B, E251),
"")</f>
        <v>45813.375</v>
      </c>
      <c r="I251" s="219">
        <f t="shared" si="2"/>
        <v>45813.375</v>
      </c>
      <c r="J251" s="190" t="str">
        <f>IFERROR(VLOOKUP(F251, LEVEL_HELPER!$A:$B, 2, 0), "")</f>
        <v/>
      </c>
      <c r="K251" s="190" t="str">
        <f>IFERROR(VLOOKUP(G251, LEVEL_HELPER!$A:$B, 2, 0), "")</f>
        <v/>
      </c>
      <c r="L251" s="220" t="s">
        <v>943</v>
      </c>
      <c r="M251" s="220" t="s">
        <v>923</v>
      </c>
      <c r="N251" s="190" t="str">
        <f t="array" ref="N251">IFERROR(
  INDEX($J$2:$J$543,
    MATCH(A251&amp;TEXT(I251,"yyyy-mm-dd"),
          $A$2:$A$543&amp;TEXT($H$2:$H$543,"yyyy-mm-dd"),
          0)),
"")</f>
        <v/>
      </c>
      <c r="O251" s="210">
        <f t="shared" si="3"/>
        <v>0</v>
      </c>
      <c r="P251" s="210">
        <f t="shared" ref="P251:Q251" si="261">IF(N251="",0,IF(N251&lt;=2,1,IF(N251&lt;=4,2,IF(N251&lt;=5.5,3,4))))</f>
        <v>0</v>
      </c>
      <c r="Q251" s="210">
        <f t="shared" si="261"/>
        <v>1</v>
      </c>
      <c r="R251" s="210" t="str">
        <f t="shared" si="5"/>
        <v>Not tested yet</v>
      </c>
      <c r="S251" s="210">
        <f t="shared" si="6"/>
        <v>1</v>
      </c>
      <c r="T251" s="210"/>
      <c r="U251" s="210"/>
      <c r="V251" s="211" t="s">
        <v>490</v>
      </c>
      <c r="W251" s="210" t="str">
        <f t="shared" si="7"/>
        <v>GSD</v>
      </c>
      <c r="X251" s="210" t="str">
        <f t="shared" si="8"/>
        <v>GSD</v>
      </c>
      <c r="Y251" s="210" t="str">
        <f t="shared" si="9"/>
        <v>TBU</v>
      </c>
      <c r="Z251" s="210"/>
      <c r="AA251" s="210"/>
      <c r="AB251" s="210"/>
      <c r="AC251" s="210"/>
      <c r="AD251" s="210"/>
      <c r="AE251" s="210"/>
      <c r="AF251" s="210"/>
      <c r="AG251" s="210"/>
      <c r="AH251" s="210"/>
      <c r="AI251" s="210"/>
      <c r="AJ251" s="210"/>
      <c r="AK251" s="210"/>
      <c r="AL251" s="210"/>
      <c r="AM251" s="214"/>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c r="BU251" s="210"/>
      <c r="BV251" s="210"/>
      <c r="BW251" s="210"/>
      <c r="BX251" s="210"/>
      <c r="BY251" s="210"/>
      <c r="BZ251" s="210"/>
      <c r="CA251" s="210"/>
      <c r="CB251" s="210"/>
      <c r="CC251" s="210"/>
      <c r="CD251" s="210"/>
      <c r="CE251" s="210"/>
      <c r="CF251" s="210"/>
      <c r="CG251" s="210"/>
      <c r="CH251" s="210"/>
      <c r="CI251" s="210"/>
      <c r="CJ251" s="210"/>
      <c r="CK251" s="210"/>
    </row>
    <row r="252">
      <c r="A252" s="222" t="s">
        <v>591</v>
      </c>
      <c r="B252" s="190" t="s">
        <v>592</v>
      </c>
      <c r="C252" s="223" t="s">
        <v>74</v>
      </c>
      <c r="D252" s="223" t="s">
        <v>867</v>
      </c>
      <c r="E252" s="190" t="s">
        <v>21</v>
      </c>
      <c r="F252" s="190"/>
      <c r="G252" s="190"/>
      <c r="H252" s="219">
        <f>IFERROR(
  MINIFS(ATTENDANCE_LOG!$F:$F,
         ATTENDANCE_LOG!$A:$A, C252,
         ATTENDANCE_LOG!$B:$B, E252),
"")</f>
        <v>45813.375</v>
      </c>
      <c r="I252" s="219">
        <f t="shared" si="2"/>
        <v>45813.375</v>
      </c>
      <c r="J252" s="190" t="str">
        <f>IFERROR(VLOOKUP(F252, LEVEL_HELPER!$A:$B, 2, 0), "")</f>
        <v/>
      </c>
      <c r="K252" s="190" t="str">
        <f>IFERROR(VLOOKUP(G252, LEVEL_HELPER!$A:$B, 2, 0), "")</f>
        <v/>
      </c>
      <c r="L252" s="220" t="s">
        <v>943</v>
      </c>
      <c r="M252" s="229" t="s">
        <v>923</v>
      </c>
      <c r="N252" s="190" t="str">
        <f t="array" ref="N252">IFERROR(
  INDEX($J$2:$J$543,
    MATCH(A252&amp;TEXT(I252,"yyyy-mm-dd"),
          $A$2:$A$543&amp;TEXT($H$2:$H$543,"yyyy-mm-dd"),
          0)),
"")</f>
        <v/>
      </c>
      <c r="O252" s="210">
        <f t="shared" si="3"/>
        <v>0</v>
      </c>
      <c r="P252" s="210">
        <f t="shared" ref="P252:Q252" si="262">IF(N252="",0,IF(N252&lt;=2,1,IF(N252&lt;=4,2,IF(N252&lt;=5.5,3,4))))</f>
        <v>0</v>
      </c>
      <c r="Q252" s="210">
        <f t="shared" si="262"/>
        <v>1</v>
      </c>
      <c r="R252" s="210" t="str">
        <f t="shared" si="5"/>
        <v>Not tested yet</v>
      </c>
      <c r="S252" s="210">
        <f t="shared" si="6"/>
        <v>1</v>
      </c>
      <c r="T252" s="210"/>
      <c r="U252" s="210"/>
      <c r="V252" s="211" t="s">
        <v>500</v>
      </c>
      <c r="W252" s="210" t="str">
        <f t="shared" si="7"/>
        <v>BA</v>
      </c>
      <c r="X252" s="210" t="str">
        <f t="shared" si="8"/>
        <v>BA, BC</v>
      </c>
      <c r="Y252" s="210" t="str">
        <f t="shared" si="9"/>
        <v>POC</v>
      </c>
      <c r="Z252" s="210"/>
      <c r="AA252" s="210"/>
      <c r="AB252" s="210"/>
      <c r="AC252" s="210"/>
      <c r="AD252" s="210"/>
      <c r="AE252" s="210"/>
      <c r="AF252" s="210"/>
      <c r="AG252" s="210"/>
      <c r="AH252" s="210"/>
      <c r="AI252" s="210"/>
      <c r="AJ252" s="210"/>
      <c r="AK252" s="210"/>
      <c r="AL252" s="210"/>
      <c r="AM252" s="214"/>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c r="BU252" s="210"/>
      <c r="BV252" s="210"/>
      <c r="BW252" s="210"/>
      <c r="BX252" s="210"/>
      <c r="BY252" s="210"/>
      <c r="BZ252" s="210"/>
      <c r="CA252" s="210"/>
      <c r="CB252" s="210"/>
      <c r="CC252" s="210"/>
      <c r="CD252" s="210"/>
      <c r="CE252" s="210"/>
      <c r="CF252" s="210"/>
      <c r="CG252" s="210"/>
      <c r="CH252" s="210"/>
      <c r="CI252" s="210"/>
      <c r="CJ252" s="210"/>
      <c r="CK252" s="210"/>
    </row>
    <row r="253">
      <c r="A253" s="216" t="s">
        <v>224</v>
      </c>
      <c r="B253" s="217" t="s">
        <v>225</v>
      </c>
      <c r="C253" s="218" t="s">
        <v>74</v>
      </c>
      <c r="D253" s="218" t="s">
        <v>867</v>
      </c>
      <c r="E253" s="217" t="s">
        <v>22</v>
      </c>
      <c r="F253" s="190"/>
      <c r="G253" s="190"/>
      <c r="H253" s="219">
        <f>IFERROR(
  MINIFS(ATTENDANCE_LOG!$F:$F,
         ATTENDANCE_LOG!$A:$A, C253,
         ATTENDANCE_LOG!$B:$B, E253),
"")</f>
        <v>46106.41667</v>
      </c>
      <c r="I253" s="219">
        <f t="shared" si="2"/>
        <v>45813.375</v>
      </c>
      <c r="J253" s="190" t="str">
        <f>IFERROR(VLOOKUP(F253, LEVEL_HELPER!$A:$B, 2, 0), "")</f>
        <v/>
      </c>
      <c r="K253" s="190" t="str">
        <f>IFERROR(VLOOKUP(G253, LEVEL_HELPER!$A:$B, 2, 0), "")</f>
        <v/>
      </c>
      <c r="L253" s="220" t="s">
        <v>943</v>
      </c>
      <c r="M253" s="220" t="s">
        <v>923</v>
      </c>
      <c r="N253" s="190">
        <f t="array" ref="N253">IFERROR(
  INDEX($J$2:$J$543,
    MATCH(A253&amp;TEXT(I253,"yyyy-mm-dd"),
          $A$2:$A$543&amp;TEXT($H$2:$H$543,"yyyy-mm-dd"),
          0)),
"")</f>
        <v>1</v>
      </c>
      <c r="O253" s="210">
        <f t="shared" si="3"/>
        <v>3</v>
      </c>
      <c r="P253" s="210">
        <f t="shared" ref="P253:Q253" si="263">IF(N253="",0,IF(N253&lt;=2,1,IF(N253&lt;=4,2,IF(N253&lt;=5.5,3,4))))</f>
        <v>1</v>
      </c>
      <c r="Q253" s="210">
        <f t="shared" si="263"/>
        <v>2</v>
      </c>
      <c r="R253" s="210" t="str">
        <f t="shared" si="5"/>
        <v>Lv1 → Lv2</v>
      </c>
      <c r="S253" s="210">
        <f t="shared" si="6"/>
        <v>0</v>
      </c>
      <c r="T253" s="210"/>
      <c r="U253" s="210"/>
      <c r="V253" s="211" t="s">
        <v>551</v>
      </c>
      <c r="W253" s="210" t="str">
        <f t="shared" si="7"/>
        <v>GSD</v>
      </c>
      <c r="X253" s="210" t="str">
        <f t="shared" si="8"/>
        <v>GSD</v>
      </c>
      <c r="Y253" s="210" t="str">
        <f t="shared" si="9"/>
        <v>TBU</v>
      </c>
      <c r="Z253" s="210"/>
      <c r="AA253" s="210"/>
      <c r="AB253" s="210"/>
      <c r="AC253" s="210"/>
      <c r="AD253" s="210"/>
      <c r="AE253" s="210"/>
      <c r="AF253" s="210"/>
      <c r="AG253" s="210"/>
      <c r="AH253" s="210"/>
      <c r="AI253" s="210"/>
      <c r="AJ253" s="210"/>
      <c r="AK253" s="210"/>
      <c r="AL253" s="210"/>
      <c r="AM253" s="214"/>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c r="BU253" s="210"/>
      <c r="BV253" s="210"/>
      <c r="BW253" s="210"/>
      <c r="BX253" s="210"/>
      <c r="BY253" s="210"/>
      <c r="BZ253" s="210"/>
      <c r="CA253" s="210"/>
      <c r="CB253" s="210"/>
      <c r="CC253" s="210"/>
      <c r="CD253" s="210"/>
      <c r="CE253" s="210"/>
      <c r="CF253" s="210"/>
      <c r="CG253" s="210"/>
      <c r="CH253" s="210"/>
      <c r="CI253" s="210"/>
      <c r="CJ253" s="210"/>
      <c r="CK253" s="210"/>
    </row>
    <row r="254">
      <c r="A254" s="222" t="s">
        <v>186</v>
      </c>
      <c r="B254" s="190" t="s">
        <v>187</v>
      </c>
      <c r="C254" s="223" t="s">
        <v>74</v>
      </c>
      <c r="D254" s="223" t="s">
        <v>867</v>
      </c>
      <c r="E254" s="190" t="s">
        <v>22</v>
      </c>
      <c r="F254" s="190"/>
      <c r="G254" s="190"/>
      <c r="H254" s="219">
        <f>IFERROR(
  MINIFS(ATTENDANCE_LOG!$F:$F,
         ATTENDANCE_LOG!$A:$A, C254,
         ATTENDANCE_LOG!$B:$B, E254),
"")</f>
        <v>46106.41667</v>
      </c>
      <c r="I254" s="219">
        <f t="shared" si="2"/>
        <v>45813.375</v>
      </c>
      <c r="J254" s="190" t="str">
        <f>IFERROR(VLOOKUP(F254, LEVEL_HELPER!$A:$B, 2, 0), "")</f>
        <v/>
      </c>
      <c r="K254" s="190" t="str">
        <f>IFERROR(VLOOKUP(G254, LEVEL_HELPER!$A:$B, 2, 0), "")</f>
        <v/>
      </c>
      <c r="L254" s="220" t="s">
        <v>943</v>
      </c>
      <c r="M254" s="220" t="s">
        <v>924</v>
      </c>
      <c r="N254" s="190">
        <f t="array" ref="N254">IFERROR(
  INDEX($J$2:$J$543,
    MATCH(A254&amp;TEXT(I254,"yyyy-mm-dd"),
          $A$2:$A$543&amp;TEXT($H$2:$H$543,"yyyy-mm-dd"),
          0)),
"")</f>
        <v>1</v>
      </c>
      <c r="O254" s="210">
        <f t="shared" si="3"/>
        <v>3.5</v>
      </c>
      <c r="P254" s="210">
        <f t="shared" ref="P254:Q254" si="264">IF(N254="",0,IF(N254&lt;=2,1,IF(N254&lt;=4,2,IF(N254&lt;=5.5,3,4))))</f>
        <v>1</v>
      </c>
      <c r="Q254" s="210">
        <f t="shared" si="264"/>
        <v>2</v>
      </c>
      <c r="R254" s="210" t="str">
        <f t="shared" si="5"/>
        <v>Lv1 → Lv2</v>
      </c>
      <c r="S254" s="210">
        <f t="shared" si="6"/>
        <v>0</v>
      </c>
      <c r="T254" s="210"/>
      <c r="U254" s="210"/>
      <c r="V254" s="211" t="s">
        <v>609</v>
      </c>
      <c r="W254" s="210" t="str">
        <f t="shared" si="7"/>
        <v>GSD</v>
      </c>
      <c r="X254" s="210" t="str">
        <f t="shared" si="8"/>
        <v>GSD</v>
      </c>
      <c r="Y254" s="210" t="str">
        <f t="shared" si="9"/>
        <v>POC</v>
      </c>
      <c r="Z254" s="210"/>
      <c r="AA254" s="210"/>
      <c r="AB254" s="210"/>
      <c r="AC254" s="210"/>
      <c r="AD254" s="210"/>
      <c r="AE254" s="210"/>
      <c r="AF254" s="210"/>
      <c r="AG254" s="210"/>
      <c r="AH254" s="210"/>
      <c r="AI254" s="210"/>
      <c r="AJ254" s="210"/>
      <c r="AK254" s="210"/>
      <c r="AL254" s="210"/>
      <c r="AM254" s="214"/>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c r="BU254" s="210"/>
      <c r="BV254" s="210"/>
      <c r="BW254" s="210"/>
      <c r="BX254" s="210"/>
      <c r="BY254" s="210"/>
      <c r="BZ254" s="210"/>
      <c r="CA254" s="210"/>
      <c r="CB254" s="210"/>
      <c r="CC254" s="210"/>
      <c r="CD254" s="210"/>
      <c r="CE254" s="210"/>
      <c r="CF254" s="210"/>
      <c r="CG254" s="210"/>
      <c r="CH254" s="210"/>
      <c r="CI254" s="210"/>
      <c r="CJ254" s="210"/>
      <c r="CK254" s="210"/>
    </row>
    <row r="255">
      <c r="A255" s="222" t="s">
        <v>382</v>
      </c>
      <c r="B255" s="190" t="s">
        <v>380</v>
      </c>
      <c r="C255" s="223" t="s">
        <v>74</v>
      </c>
      <c r="D255" s="223" t="s">
        <v>867</v>
      </c>
      <c r="E255" s="190" t="s">
        <v>22</v>
      </c>
      <c r="F255" s="190"/>
      <c r="G255" s="190"/>
      <c r="H255" s="219">
        <f>IFERROR(
  MINIFS(ATTENDANCE_LOG!$F:$F,
         ATTENDANCE_LOG!$A:$A, C255,
         ATTENDANCE_LOG!$B:$B, E255),
"")</f>
        <v>46106.41667</v>
      </c>
      <c r="I255" s="219">
        <f t="shared" si="2"/>
        <v>45813.375</v>
      </c>
      <c r="J255" s="190" t="str">
        <f>IFERROR(VLOOKUP(F255, LEVEL_HELPER!$A:$B, 2, 0), "")</f>
        <v/>
      </c>
      <c r="K255" s="190" t="str">
        <f>IFERROR(VLOOKUP(G255, LEVEL_HELPER!$A:$B, 2, 0), "")</f>
        <v/>
      </c>
      <c r="L255" s="220" t="s">
        <v>943</v>
      </c>
      <c r="M255" s="220" t="s">
        <v>924</v>
      </c>
      <c r="N255" s="190">
        <f t="array" ref="N255">IFERROR(
  INDEX($J$2:$J$543,
    MATCH(A255&amp;TEXT(I255,"yyyy-mm-dd"),
          $A$2:$A$543&amp;TEXT($H$2:$H$543,"yyyy-mm-dd"),
          0)),
"")</f>
        <v>1</v>
      </c>
      <c r="O255" s="210">
        <f t="shared" si="3"/>
        <v>3</v>
      </c>
      <c r="P255" s="210">
        <f t="shared" ref="P255:Q255" si="265">IF(N255="",0,IF(N255&lt;=2,1,IF(N255&lt;=4,2,IF(N255&lt;=5.5,3,4))))</f>
        <v>1</v>
      </c>
      <c r="Q255" s="210">
        <f t="shared" si="265"/>
        <v>2</v>
      </c>
      <c r="R255" s="210" t="str">
        <f t="shared" si="5"/>
        <v>Lv1 → Lv2</v>
      </c>
      <c r="S255" s="210">
        <f t="shared" si="6"/>
        <v>0</v>
      </c>
      <c r="T255" s="210"/>
      <c r="U255" s="210"/>
      <c r="V255" s="211" t="s">
        <v>206</v>
      </c>
      <c r="W255" s="210" t="str">
        <f t="shared" si="7"/>
        <v>GSD</v>
      </c>
      <c r="X255" s="210" t="str">
        <f t="shared" si="8"/>
        <v>GSD</v>
      </c>
      <c r="Y255" s="210" t="str">
        <f t="shared" si="9"/>
        <v>POC</v>
      </c>
      <c r="Z255" s="210"/>
      <c r="AA255" s="210"/>
      <c r="AB255" s="210"/>
      <c r="AC255" s="210"/>
      <c r="AD255" s="210"/>
      <c r="AE255" s="210"/>
      <c r="AF255" s="210"/>
      <c r="AG255" s="210"/>
      <c r="AH255" s="210"/>
      <c r="AI255" s="210"/>
      <c r="AJ255" s="210"/>
      <c r="AK255" s="210"/>
      <c r="AL255" s="210"/>
      <c r="AM255" s="214"/>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c r="BU255" s="210"/>
      <c r="BV255" s="210"/>
      <c r="BW255" s="210"/>
      <c r="BX255" s="210"/>
      <c r="BY255" s="210"/>
      <c r="BZ255" s="210"/>
      <c r="CA255" s="210"/>
      <c r="CB255" s="210"/>
      <c r="CC255" s="210"/>
      <c r="CD255" s="210"/>
      <c r="CE255" s="210"/>
      <c r="CF255" s="210"/>
      <c r="CG255" s="210"/>
      <c r="CH255" s="210"/>
      <c r="CI255" s="210"/>
      <c r="CJ255" s="210"/>
      <c r="CK255" s="210"/>
    </row>
    <row r="256">
      <c r="A256" s="222" t="s">
        <v>425</v>
      </c>
      <c r="B256" s="190" t="s">
        <v>426</v>
      </c>
      <c r="C256" s="223" t="s">
        <v>74</v>
      </c>
      <c r="D256" s="223" t="s">
        <v>867</v>
      </c>
      <c r="E256" s="190" t="s">
        <v>22</v>
      </c>
      <c r="F256" s="190"/>
      <c r="G256" s="190"/>
      <c r="H256" s="219">
        <f>IFERROR(
  MINIFS(ATTENDANCE_LOG!$F:$F,
         ATTENDANCE_LOG!$A:$A, C256,
         ATTENDANCE_LOG!$B:$B, E256),
"")</f>
        <v>46106.41667</v>
      </c>
      <c r="I256" s="219">
        <f t="shared" si="2"/>
        <v>45813.375</v>
      </c>
      <c r="J256" s="190" t="str">
        <f>IFERROR(VLOOKUP(F256, LEVEL_HELPER!$A:$B, 2, 0), "")</f>
        <v/>
      </c>
      <c r="K256" s="190" t="str">
        <f>IFERROR(VLOOKUP(G256, LEVEL_HELPER!$A:$B, 2, 0), "")</f>
        <v/>
      </c>
      <c r="L256" s="220" t="s">
        <v>943</v>
      </c>
      <c r="M256" s="220" t="s">
        <v>923</v>
      </c>
      <c r="N256" s="190">
        <f t="array" ref="N256">IFERROR(
  INDEX($J$2:$J$543,
    MATCH(A256&amp;TEXT(I256,"yyyy-mm-dd"),
          $A$2:$A$543&amp;TEXT($H$2:$H$543,"yyyy-mm-dd"),
          0)),
"")</f>
        <v>1</v>
      </c>
      <c r="O256" s="210">
        <f t="shared" si="3"/>
        <v>3.5</v>
      </c>
      <c r="P256" s="210">
        <f t="shared" ref="P256:Q256" si="266">IF(N256="",0,IF(N256&lt;=2,1,IF(N256&lt;=4,2,IF(N256&lt;=5.5,3,4))))</f>
        <v>1</v>
      </c>
      <c r="Q256" s="210">
        <f t="shared" si="266"/>
        <v>2</v>
      </c>
      <c r="R256" s="210" t="str">
        <f t="shared" si="5"/>
        <v>Lv1 → Lv2</v>
      </c>
      <c r="S256" s="210">
        <f t="shared" si="6"/>
        <v>0</v>
      </c>
      <c r="T256" s="210"/>
      <c r="U256" s="210"/>
      <c r="V256" s="211" t="s">
        <v>372</v>
      </c>
      <c r="W256" s="210" t="str">
        <f t="shared" si="7"/>
        <v>GSD</v>
      </c>
      <c r="X256" s="210" t="str">
        <f t="shared" si="8"/>
        <v>GSD</v>
      </c>
      <c r="Y256" s="210" t="str">
        <f t="shared" si="9"/>
        <v>POC</v>
      </c>
      <c r="Z256" s="210"/>
      <c r="AA256" s="210"/>
      <c r="AB256" s="210"/>
      <c r="AC256" s="210"/>
      <c r="AD256" s="210"/>
      <c r="AE256" s="210"/>
      <c r="AF256" s="210"/>
      <c r="AG256" s="210"/>
      <c r="AH256" s="210"/>
      <c r="AI256" s="210"/>
      <c r="AJ256" s="210"/>
      <c r="AK256" s="210"/>
      <c r="AL256" s="210"/>
      <c r="AM256" s="214"/>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c r="BU256" s="210"/>
      <c r="BV256" s="210"/>
      <c r="BW256" s="210"/>
      <c r="BX256" s="210"/>
      <c r="BY256" s="210"/>
      <c r="BZ256" s="210"/>
      <c r="CA256" s="210"/>
      <c r="CB256" s="210"/>
      <c r="CC256" s="210"/>
      <c r="CD256" s="210"/>
      <c r="CE256" s="210"/>
      <c r="CF256" s="210"/>
      <c r="CG256" s="210"/>
      <c r="CH256" s="210"/>
      <c r="CI256" s="210"/>
      <c r="CJ256" s="210"/>
      <c r="CK256" s="210"/>
    </row>
    <row r="257">
      <c r="A257" s="222" t="s">
        <v>431</v>
      </c>
      <c r="B257" s="190" t="s">
        <v>432</v>
      </c>
      <c r="C257" s="223" t="s">
        <v>74</v>
      </c>
      <c r="D257" s="223" t="s">
        <v>867</v>
      </c>
      <c r="E257" s="190" t="s">
        <v>22</v>
      </c>
      <c r="F257" s="190"/>
      <c r="G257" s="190"/>
      <c r="H257" s="219">
        <f>IFERROR(
  MINIFS(ATTENDANCE_LOG!$F:$F,
         ATTENDANCE_LOG!$A:$A, C257,
         ATTENDANCE_LOG!$B:$B, E257),
"")</f>
        <v>46106.41667</v>
      </c>
      <c r="I257" s="219">
        <f t="shared" si="2"/>
        <v>45813.375</v>
      </c>
      <c r="J257" s="190" t="str">
        <f>IFERROR(VLOOKUP(F257, LEVEL_HELPER!$A:$B, 2, 0), "")</f>
        <v/>
      </c>
      <c r="K257" s="190" t="str">
        <f>IFERROR(VLOOKUP(G257, LEVEL_HELPER!$A:$B, 2, 0), "")</f>
        <v/>
      </c>
      <c r="L257" s="220" t="s">
        <v>943</v>
      </c>
      <c r="M257" s="220" t="s">
        <v>924</v>
      </c>
      <c r="N257" s="190">
        <f t="array" ref="N257">IFERROR(
  INDEX($J$2:$J$543,
    MATCH(A257&amp;TEXT(I257,"yyyy-mm-dd"),
          $A$2:$A$543&amp;TEXT($H$2:$H$543,"yyyy-mm-dd"),
          0)),
"")</f>
        <v>1</v>
      </c>
      <c r="O257" s="210">
        <f t="shared" si="3"/>
        <v>5</v>
      </c>
      <c r="P257" s="210">
        <f t="shared" ref="P257:Q257" si="267">IF(N257="",0,IF(N257&lt;=2,1,IF(N257&lt;=4,2,IF(N257&lt;=5.5,3,4))))</f>
        <v>1</v>
      </c>
      <c r="Q257" s="210">
        <f t="shared" si="267"/>
        <v>3</v>
      </c>
      <c r="R257" s="210" t="str">
        <f t="shared" si="5"/>
        <v>Lv1 → Lv3 (multi)</v>
      </c>
      <c r="S257" s="210">
        <f t="shared" si="6"/>
        <v>0</v>
      </c>
      <c r="T257" s="210"/>
      <c r="U257" s="210"/>
      <c r="V257" s="211" t="s">
        <v>459</v>
      </c>
      <c r="W257" s="210" t="str">
        <f t="shared" si="7"/>
        <v>GSD</v>
      </c>
      <c r="X257" s="210" t="str">
        <f t="shared" si="8"/>
        <v>GSD</v>
      </c>
      <c r="Y257" s="210" t="str">
        <f t="shared" si="9"/>
        <v>POC</v>
      </c>
      <c r="Z257" s="210"/>
      <c r="AA257" s="210"/>
      <c r="AB257" s="210"/>
      <c r="AC257" s="210"/>
      <c r="AD257" s="210"/>
      <c r="AE257" s="210"/>
      <c r="AF257" s="210"/>
      <c r="AG257" s="210"/>
      <c r="AH257" s="210"/>
      <c r="AI257" s="210"/>
      <c r="AJ257" s="210"/>
      <c r="AK257" s="210"/>
      <c r="AL257" s="210"/>
      <c r="AM257" s="214"/>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c r="BU257" s="210"/>
      <c r="BV257" s="210"/>
      <c r="BW257" s="210"/>
      <c r="BX257" s="210"/>
      <c r="BY257" s="210"/>
      <c r="BZ257" s="210"/>
      <c r="CA257" s="210"/>
      <c r="CB257" s="210"/>
      <c r="CC257" s="210"/>
      <c r="CD257" s="210"/>
      <c r="CE257" s="210"/>
      <c r="CF257" s="210"/>
      <c r="CG257" s="210"/>
      <c r="CH257" s="210"/>
      <c r="CI257" s="210"/>
      <c r="CJ257" s="210"/>
      <c r="CK257" s="210"/>
    </row>
    <row r="258">
      <c r="A258" s="222" t="s">
        <v>453</v>
      </c>
      <c r="B258" s="190" t="s">
        <v>454</v>
      </c>
      <c r="C258" s="223" t="s">
        <v>74</v>
      </c>
      <c r="D258" s="223" t="s">
        <v>867</v>
      </c>
      <c r="E258" s="190" t="s">
        <v>22</v>
      </c>
      <c r="F258" s="190"/>
      <c r="G258" s="190"/>
      <c r="H258" s="219">
        <f>IFERROR(
  MINIFS(ATTENDANCE_LOG!$F:$F,
         ATTENDANCE_LOG!$A:$A, C258,
         ATTENDANCE_LOG!$B:$B, E258),
"")</f>
        <v>46106.41667</v>
      </c>
      <c r="I258" s="219">
        <f t="shared" si="2"/>
        <v>45813.375</v>
      </c>
      <c r="J258" s="190" t="str">
        <f>IFERROR(VLOOKUP(F258, LEVEL_HELPER!$A:$B, 2, 0), "")</f>
        <v/>
      </c>
      <c r="K258" s="190" t="str">
        <f>IFERROR(VLOOKUP(G258, LEVEL_HELPER!$A:$B, 2, 0), "")</f>
        <v/>
      </c>
      <c r="L258" s="220" t="s">
        <v>943</v>
      </c>
      <c r="M258" s="220" t="s">
        <v>924</v>
      </c>
      <c r="N258" s="190">
        <f t="array" ref="N258">IFERROR(
  INDEX($J$2:$J$543,
    MATCH(A258&amp;TEXT(I258,"yyyy-mm-dd"),
          $A$2:$A$543&amp;TEXT($H$2:$H$543,"yyyy-mm-dd"),
          0)),
"")</f>
        <v>1</v>
      </c>
      <c r="O258" s="210">
        <f t="shared" si="3"/>
        <v>3</v>
      </c>
      <c r="P258" s="210">
        <f t="shared" ref="P258:Q258" si="268">IF(N258="",0,IF(N258&lt;=2,1,IF(N258&lt;=4,2,IF(N258&lt;=5.5,3,4))))</f>
        <v>1</v>
      </c>
      <c r="Q258" s="210">
        <f t="shared" si="268"/>
        <v>2</v>
      </c>
      <c r="R258" s="210" t="str">
        <f t="shared" si="5"/>
        <v>Lv1 → Lv2</v>
      </c>
      <c r="S258" s="210">
        <f t="shared" si="6"/>
        <v>0</v>
      </c>
      <c r="T258" s="210"/>
      <c r="U258" s="210"/>
      <c r="V258" s="211" t="s">
        <v>536</v>
      </c>
      <c r="W258" s="210" t="str">
        <f t="shared" si="7"/>
        <v>GSD</v>
      </c>
      <c r="X258" s="210" t="str">
        <f t="shared" si="8"/>
        <v>GSD</v>
      </c>
      <c r="Y258" s="210" t="str">
        <f t="shared" si="9"/>
        <v>POC</v>
      </c>
      <c r="Z258" s="210"/>
      <c r="AA258" s="210"/>
      <c r="AB258" s="210"/>
      <c r="AC258" s="210"/>
      <c r="AD258" s="210"/>
      <c r="AE258" s="210"/>
      <c r="AF258" s="210"/>
      <c r="AG258" s="210"/>
      <c r="AH258" s="210"/>
      <c r="AI258" s="210"/>
      <c r="AJ258" s="210"/>
      <c r="AK258" s="210"/>
      <c r="AL258" s="210"/>
      <c r="AM258" s="214"/>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c r="BU258" s="210"/>
      <c r="BV258" s="210"/>
      <c r="BW258" s="210"/>
      <c r="BX258" s="210"/>
      <c r="BY258" s="210"/>
      <c r="BZ258" s="210"/>
      <c r="CA258" s="210"/>
      <c r="CB258" s="210"/>
      <c r="CC258" s="210"/>
      <c r="CD258" s="210"/>
      <c r="CE258" s="210"/>
      <c r="CF258" s="210"/>
      <c r="CG258" s="210"/>
      <c r="CH258" s="210"/>
      <c r="CI258" s="210"/>
      <c r="CJ258" s="210"/>
      <c r="CK258" s="210"/>
    </row>
    <row r="259">
      <c r="A259" s="222" t="s">
        <v>492</v>
      </c>
      <c r="B259" s="190" t="s">
        <v>493</v>
      </c>
      <c r="C259" s="223" t="s">
        <v>74</v>
      </c>
      <c r="D259" s="223" t="s">
        <v>867</v>
      </c>
      <c r="E259" s="190" t="s">
        <v>22</v>
      </c>
      <c r="F259" s="190"/>
      <c r="G259" s="190"/>
      <c r="H259" s="219">
        <f>IFERROR(
  MINIFS(ATTENDANCE_LOG!$F:$F,
         ATTENDANCE_LOG!$A:$A, C259,
         ATTENDANCE_LOG!$B:$B, E259),
"")</f>
        <v>46106.41667</v>
      </c>
      <c r="I259" s="219">
        <f t="shared" si="2"/>
        <v>45813.375</v>
      </c>
      <c r="J259" s="190" t="str">
        <f>IFERROR(VLOOKUP(F259, LEVEL_HELPER!$A:$B, 2, 0), "")</f>
        <v/>
      </c>
      <c r="K259" s="190" t="str">
        <f>IFERROR(VLOOKUP(G259, LEVEL_HELPER!$A:$B, 2, 0), "")</f>
        <v/>
      </c>
      <c r="L259" s="220" t="s">
        <v>943</v>
      </c>
      <c r="M259" s="220" t="s">
        <v>923</v>
      </c>
      <c r="N259" s="190" t="str">
        <f t="array" ref="N259">IFERROR(
  INDEX($J$2:$J$543,
    MATCH(A259&amp;TEXT(I259,"yyyy-mm-dd"),
          $A$2:$A$543&amp;TEXT($H$2:$H$543,"yyyy-mm-dd"),
          0)),
"")</f>
        <v/>
      </c>
      <c r="O259" s="210">
        <f t="shared" si="3"/>
        <v>0</v>
      </c>
      <c r="P259" s="210">
        <f t="shared" ref="P259:Q259" si="269">IF(N259="",0,IF(N259&lt;=2,1,IF(N259&lt;=4,2,IF(N259&lt;=5.5,3,4))))</f>
        <v>0</v>
      </c>
      <c r="Q259" s="210">
        <f t="shared" si="269"/>
        <v>1</v>
      </c>
      <c r="R259" s="210" t="str">
        <f t="shared" si="5"/>
        <v>Not tested yet</v>
      </c>
      <c r="S259" s="210">
        <f t="shared" si="6"/>
        <v>0</v>
      </c>
      <c r="T259" s="210"/>
      <c r="U259" s="210"/>
      <c r="V259" s="211" t="s">
        <v>405</v>
      </c>
      <c r="W259" s="210" t="str">
        <f t="shared" si="7"/>
        <v>GSD</v>
      </c>
      <c r="X259" s="210" t="str">
        <f t="shared" si="8"/>
        <v>GSD</v>
      </c>
      <c r="Y259" s="210" t="str">
        <f t="shared" si="9"/>
        <v>TBU</v>
      </c>
      <c r="Z259" s="210"/>
      <c r="AA259" s="210"/>
      <c r="AB259" s="210"/>
      <c r="AC259" s="210"/>
      <c r="AD259" s="210"/>
      <c r="AE259" s="210"/>
      <c r="AF259" s="210"/>
      <c r="AG259" s="210"/>
      <c r="AH259" s="210"/>
      <c r="AI259" s="210"/>
      <c r="AJ259" s="210"/>
      <c r="AK259" s="210"/>
      <c r="AL259" s="210"/>
      <c r="AM259" s="214"/>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c r="BU259" s="210"/>
      <c r="BV259" s="210"/>
      <c r="BW259" s="210"/>
      <c r="BX259" s="210"/>
      <c r="BY259" s="210"/>
      <c r="BZ259" s="210"/>
      <c r="CA259" s="210"/>
      <c r="CB259" s="210"/>
      <c r="CC259" s="210"/>
      <c r="CD259" s="210"/>
      <c r="CE259" s="210"/>
      <c r="CF259" s="210"/>
      <c r="CG259" s="210"/>
      <c r="CH259" s="210"/>
      <c r="CI259" s="210"/>
      <c r="CJ259" s="210"/>
      <c r="CK259" s="210"/>
    </row>
    <row r="260">
      <c r="A260" s="222" t="s">
        <v>591</v>
      </c>
      <c r="B260" s="190" t="s">
        <v>592</v>
      </c>
      <c r="C260" s="223" t="s">
        <v>74</v>
      </c>
      <c r="D260" s="223" t="s">
        <v>867</v>
      </c>
      <c r="E260" s="190" t="s">
        <v>22</v>
      </c>
      <c r="F260" s="190"/>
      <c r="G260" s="190"/>
      <c r="H260" s="219">
        <f>IFERROR(
  MINIFS(ATTENDANCE_LOG!$F:$F,
         ATTENDANCE_LOG!$A:$A, C260,
         ATTENDANCE_LOG!$B:$B, E260),
"")</f>
        <v>46106.41667</v>
      </c>
      <c r="I260" s="219">
        <f t="shared" si="2"/>
        <v>45813.375</v>
      </c>
      <c r="J260" s="190" t="str">
        <f>IFERROR(VLOOKUP(F260, LEVEL_HELPER!$A:$B, 2, 0), "")</f>
        <v/>
      </c>
      <c r="K260" s="190" t="str">
        <f>IFERROR(VLOOKUP(G260, LEVEL_HELPER!$A:$B, 2, 0), "")</f>
        <v/>
      </c>
      <c r="L260" s="220" t="s">
        <v>943</v>
      </c>
      <c r="M260" s="229" t="s">
        <v>923</v>
      </c>
      <c r="N260" s="190" t="str">
        <f t="array" ref="N260">IFERROR(
  INDEX($J$2:$J$543,
    MATCH(A260&amp;TEXT(I260,"yyyy-mm-dd"),
          $A$2:$A$543&amp;TEXT($H$2:$H$543,"yyyy-mm-dd"),
          0)),
"")</f>
        <v/>
      </c>
      <c r="O260" s="210">
        <f t="shared" si="3"/>
        <v>0</v>
      </c>
      <c r="P260" s="210">
        <f t="shared" ref="P260:Q260" si="270">IF(N260="",0,IF(N260&lt;=2,1,IF(N260&lt;=4,2,IF(N260&lt;=5.5,3,4))))</f>
        <v>0</v>
      </c>
      <c r="Q260" s="210">
        <f t="shared" si="270"/>
        <v>1</v>
      </c>
      <c r="R260" s="210" t="str">
        <f t="shared" si="5"/>
        <v>Not tested yet</v>
      </c>
      <c r="S260" s="210">
        <f t="shared" si="6"/>
        <v>0</v>
      </c>
      <c r="T260" s="210"/>
      <c r="U260" s="210"/>
      <c r="V260" s="211" t="s">
        <v>269</v>
      </c>
      <c r="W260" s="210" t="str">
        <f t="shared" si="7"/>
        <v>DEV</v>
      </c>
      <c r="X260" s="210" t="str">
        <f t="shared" si="8"/>
        <v>DEV, TA</v>
      </c>
      <c r="Y260" s="210" t="str">
        <f t="shared" si="9"/>
        <v>MOC</v>
      </c>
      <c r="Z260" s="210"/>
      <c r="AA260" s="210"/>
      <c r="AB260" s="210"/>
      <c r="AC260" s="210"/>
      <c r="AD260" s="210"/>
      <c r="AE260" s="210"/>
      <c r="AF260" s="210"/>
      <c r="AG260" s="210"/>
      <c r="AH260" s="210"/>
      <c r="AI260" s="210"/>
      <c r="AJ260" s="210"/>
      <c r="AK260" s="210"/>
      <c r="AL260" s="210"/>
      <c r="AM260" s="214"/>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c r="BU260" s="210"/>
      <c r="BV260" s="210"/>
      <c r="BW260" s="210"/>
      <c r="BX260" s="210"/>
      <c r="BY260" s="210"/>
      <c r="BZ260" s="210"/>
      <c r="CA260" s="210"/>
      <c r="CB260" s="210"/>
      <c r="CC260" s="210"/>
      <c r="CD260" s="210"/>
      <c r="CE260" s="210"/>
      <c r="CF260" s="210"/>
      <c r="CG260" s="210"/>
      <c r="CH260" s="210"/>
      <c r="CI260" s="210"/>
      <c r="CJ260" s="210"/>
      <c r="CK260" s="210"/>
    </row>
    <row r="261">
      <c r="A261" s="222" t="s">
        <v>593</v>
      </c>
      <c r="B261" s="217" t="s">
        <v>594</v>
      </c>
      <c r="C261" s="218" t="s">
        <v>75</v>
      </c>
      <c r="D261" s="218" t="s">
        <v>868</v>
      </c>
      <c r="E261" s="217" t="s">
        <v>21</v>
      </c>
      <c r="F261" s="13" t="s">
        <v>927</v>
      </c>
      <c r="G261" s="13" t="s">
        <v>929</v>
      </c>
      <c r="H261" s="219">
        <f>IFERROR(
  MINIFS(ATTENDANCE_LOG!$F:$F,
         ATTENDANCE_LOG!$A:$A, C261,
         ATTENDANCE_LOG!$B:$B, E261),
"")</f>
        <v>45761.41667</v>
      </c>
      <c r="I261" s="219">
        <f t="shared" si="2"/>
        <v>45761.41667</v>
      </c>
      <c r="J261" s="190">
        <f>IFERROR(VLOOKUP(F261, LEVEL_HELPER!$A:$B, 2, 0), "")</f>
        <v>1</v>
      </c>
      <c r="K261" s="190">
        <f>IFERROR(VLOOKUP(G261, LEVEL_HELPER!$A:$B, 2, 0), "")</f>
        <v>1.5</v>
      </c>
      <c r="L261" s="220" t="s">
        <v>943</v>
      </c>
      <c r="M261" s="220" t="s">
        <v>924</v>
      </c>
      <c r="N261" s="190">
        <f t="array" ref="N261">IFERROR(
  INDEX($J$2:$J$543,
    MATCH(A261&amp;TEXT(I261,"yyyy-mm-dd"),
          $A$2:$A$543&amp;TEXT($H$2:$H$543,"yyyy-mm-dd"),
          0)),
"")</f>
        <v>1</v>
      </c>
      <c r="O261" s="210">
        <f t="shared" si="3"/>
        <v>1.5</v>
      </c>
      <c r="P261" s="210">
        <f t="shared" ref="P261:Q261" si="271">IF(N261="",0,IF(N261&lt;=2,1,IF(N261&lt;=4,2,IF(N261&lt;=5.5,3,4))))</f>
        <v>1</v>
      </c>
      <c r="Q261" s="210">
        <f t="shared" si="271"/>
        <v>1</v>
      </c>
      <c r="R261" s="210" t="str">
        <f t="shared" si="5"/>
        <v>Progress within level</v>
      </c>
      <c r="S261" s="210">
        <f t="shared" si="6"/>
        <v>1</v>
      </c>
      <c r="T261" s="210"/>
      <c r="U261" s="210"/>
      <c r="V261" s="211" t="s">
        <v>361</v>
      </c>
      <c r="W261" s="210" t="str">
        <f t="shared" si="7"/>
        <v>GSD</v>
      </c>
      <c r="X261" s="210" t="str">
        <f t="shared" si="8"/>
        <v>GSD</v>
      </c>
      <c r="Y261" s="210" t="str">
        <f t="shared" si="9"/>
        <v>POC</v>
      </c>
      <c r="Z261" s="210"/>
      <c r="AA261" s="210"/>
      <c r="AB261" s="210"/>
      <c r="AC261" s="210"/>
      <c r="AD261" s="210"/>
      <c r="AE261" s="210"/>
      <c r="AF261" s="210"/>
      <c r="AG261" s="210"/>
      <c r="AH261" s="210"/>
      <c r="AI261" s="210"/>
      <c r="AJ261" s="210"/>
      <c r="AK261" s="210"/>
      <c r="AL261" s="210"/>
      <c r="AM261" s="214"/>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c r="BU261" s="210"/>
      <c r="BV261" s="210"/>
      <c r="BW261" s="210"/>
      <c r="BX261" s="210"/>
      <c r="BY261" s="210"/>
      <c r="BZ261" s="210"/>
      <c r="CA261" s="210"/>
      <c r="CB261" s="210"/>
      <c r="CC261" s="210"/>
      <c r="CD261" s="210"/>
      <c r="CE261" s="210"/>
      <c r="CF261" s="210"/>
      <c r="CG261" s="210"/>
      <c r="CH261" s="210"/>
      <c r="CI261" s="210"/>
      <c r="CJ261" s="210"/>
      <c r="CK261" s="210"/>
    </row>
    <row r="262">
      <c r="A262" s="222" t="s">
        <v>173</v>
      </c>
      <c r="B262" s="190" t="s">
        <v>174</v>
      </c>
      <c r="C262" s="223" t="s">
        <v>75</v>
      </c>
      <c r="D262" s="223" t="s">
        <v>868</v>
      </c>
      <c r="E262" s="190" t="s">
        <v>21</v>
      </c>
      <c r="F262" s="13" t="s">
        <v>927</v>
      </c>
      <c r="G262" s="13" t="s">
        <v>918</v>
      </c>
      <c r="H262" s="219">
        <f>IFERROR(
  MINIFS(ATTENDANCE_LOG!$F:$F,
         ATTENDANCE_LOG!$A:$A, C262,
         ATTENDANCE_LOG!$B:$B, E262),
"")</f>
        <v>45761.41667</v>
      </c>
      <c r="I262" s="219">
        <f t="shared" si="2"/>
        <v>45761.41667</v>
      </c>
      <c r="J262" s="190">
        <f>IFERROR(VLOOKUP(F262, LEVEL_HELPER!$A:$B, 2, 0), "")</f>
        <v>1</v>
      </c>
      <c r="K262" s="190">
        <f>IFERROR(VLOOKUP(G262, LEVEL_HELPER!$A:$B, 2, 0), "")</f>
        <v>3</v>
      </c>
      <c r="L262" s="220" t="s">
        <v>943</v>
      </c>
      <c r="M262" s="220" t="s">
        <v>924</v>
      </c>
      <c r="N262" s="190">
        <f t="array" ref="N262">IFERROR(
  INDEX($J$2:$J$543,
    MATCH(A262&amp;TEXT(I262,"yyyy-mm-dd"),
          $A$2:$A$543&amp;TEXT($H$2:$H$543,"yyyy-mm-dd"),
          0)),
"")</f>
        <v>1</v>
      </c>
      <c r="O262" s="210">
        <f t="shared" si="3"/>
        <v>3</v>
      </c>
      <c r="P262" s="210">
        <f t="shared" ref="P262:Q262" si="272">IF(N262="",0,IF(N262&lt;=2,1,IF(N262&lt;=4,2,IF(N262&lt;=5.5,3,4))))</f>
        <v>1</v>
      </c>
      <c r="Q262" s="210">
        <f t="shared" si="272"/>
        <v>2</v>
      </c>
      <c r="R262" s="210" t="str">
        <f t="shared" si="5"/>
        <v>Lv1 → Lv2</v>
      </c>
      <c r="S262" s="210">
        <f t="shared" si="6"/>
        <v>1</v>
      </c>
      <c r="T262" s="210"/>
      <c r="U262" s="210"/>
      <c r="V262" s="211" t="s">
        <v>385</v>
      </c>
      <c r="W262" s="210" t="str">
        <f t="shared" si="7"/>
        <v>GSD</v>
      </c>
      <c r="X262" s="210" t="str">
        <f t="shared" si="8"/>
        <v>GSD</v>
      </c>
      <c r="Y262" s="210" t="str">
        <f t="shared" si="9"/>
        <v>LBU</v>
      </c>
      <c r="Z262" s="210"/>
      <c r="AA262" s="210"/>
      <c r="AB262" s="210"/>
      <c r="AC262" s="210"/>
      <c r="AD262" s="210"/>
      <c r="AE262" s="210"/>
      <c r="AF262" s="210"/>
      <c r="AG262" s="210"/>
      <c r="AH262" s="210"/>
      <c r="AI262" s="210"/>
      <c r="AJ262" s="210"/>
      <c r="AK262" s="210"/>
      <c r="AL262" s="210"/>
      <c r="AM262" s="214"/>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c r="BU262" s="210"/>
      <c r="BV262" s="210"/>
      <c r="BW262" s="210"/>
      <c r="BX262" s="210"/>
      <c r="BY262" s="210"/>
      <c r="BZ262" s="210"/>
      <c r="CA262" s="210"/>
      <c r="CB262" s="210"/>
      <c r="CC262" s="210"/>
      <c r="CD262" s="210"/>
      <c r="CE262" s="210"/>
      <c r="CF262" s="210"/>
      <c r="CG262" s="210"/>
      <c r="CH262" s="210"/>
      <c r="CI262" s="210"/>
      <c r="CJ262" s="210"/>
      <c r="CK262" s="210"/>
    </row>
    <row r="263">
      <c r="A263" s="222" t="s">
        <v>281</v>
      </c>
      <c r="B263" s="190" t="s">
        <v>282</v>
      </c>
      <c r="C263" s="223" t="s">
        <v>75</v>
      </c>
      <c r="D263" s="223" t="s">
        <v>868</v>
      </c>
      <c r="E263" s="190" t="s">
        <v>21</v>
      </c>
      <c r="F263" s="13" t="s">
        <v>927</v>
      </c>
      <c r="G263" s="13" t="s">
        <v>918</v>
      </c>
      <c r="H263" s="219">
        <f>IFERROR(
  MINIFS(ATTENDANCE_LOG!$F:$F,
         ATTENDANCE_LOG!$A:$A, C263,
         ATTENDANCE_LOG!$B:$B, E263),
"")</f>
        <v>45761.41667</v>
      </c>
      <c r="I263" s="219">
        <f t="shared" si="2"/>
        <v>45761.41667</v>
      </c>
      <c r="J263" s="190">
        <f>IFERROR(VLOOKUP(F263, LEVEL_HELPER!$A:$B, 2, 0), "")</f>
        <v>1</v>
      </c>
      <c r="K263" s="190">
        <f>IFERROR(VLOOKUP(G263, LEVEL_HELPER!$A:$B, 2, 0), "")</f>
        <v>3</v>
      </c>
      <c r="L263" s="220" t="s">
        <v>943</v>
      </c>
      <c r="M263" s="220" t="s">
        <v>924</v>
      </c>
      <c r="N263" s="190">
        <f t="array" ref="N263">IFERROR(
  INDEX($J$2:$J$543,
    MATCH(A263&amp;TEXT(I263,"yyyy-mm-dd"),
          $A$2:$A$543&amp;TEXT($H$2:$H$543,"yyyy-mm-dd"),
          0)),
"")</f>
        <v>1</v>
      </c>
      <c r="O263" s="210">
        <f t="shared" si="3"/>
        <v>3</v>
      </c>
      <c r="P263" s="210">
        <f t="shared" ref="P263:Q263" si="273">IF(N263="",0,IF(N263&lt;=2,1,IF(N263&lt;=4,2,IF(N263&lt;=5.5,3,4))))</f>
        <v>1</v>
      </c>
      <c r="Q263" s="210">
        <f t="shared" si="273"/>
        <v>2</v>
      </c>
      <c r="R263" s="210" t="str">
        <f t="shared" si="5"/>
        <v>Lv1 → Lv2</v>
      </c>
      <c r="S263" s="210">
        <f t="shared" si="6"/>
        <v>1</v>
      </c>
      <c r="T263" s="210"/>
      <c r="U263" s="210"/>
      <c r="V263" s="211" t="s">
        <v>470</v>
      </c>
      <c r="W263" s="210" t="str">
        <f t="shared" si="7"/>
        <v>GSD</v>
      </c>
      <c r="X263" s="210" t="str">
        <f t="shared" si="8"/>
        <v>GSD</v>
      </c>
      <c r="Y263" s="210" t="str">
        <f t="shared" si="9"/>
        <v>TBU</v>
      </c>
      <c r="Z263" s="210"/>
      <c r="AA263" s="210"/>
      <c r="AB263" s="210"/>
      <c r="AC263" s="210"/>
      <c r="AD263" s="210"/>
      <c r="AE263" s="210"/>
      <c r="AF263" s="210"/>
      <c r="AG263" s="210"/>
      <c r="AH263" s="210"/>
      <c r="AI263" s="210"/>
      <c r="AJ263" s="210"/>
      <c r="AK263" s="210"/>
      <c r="AL263" s="210"/>
      <c r="AM263" s="214"/>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c r="BU263" s="210"/>
      <c r="BV263" s="210"/>
      <c r="BW263" s="210"/>
      <c r="BX263" s="210"/>
      <c r="BY263" s="210"/>
      <c r="BZ263" s="210"/>
      <c r="CA263" s="210"/>
      <c r="CB263" s="210"/>
      <c r="CC263" s="210"/>
      <c r="CD263" s="210"/>
      <c r="CE263" s="210"/>
      <c r="CF263" s="210"/>
      <c r="CG263" s="210"/>
      <c r="CH263" s="210"/>
      <c r="CI263" s="210"/>
      <c r="CJ263" s="210"/>
      <c r="CK263" s="210"/>
    </row>
    <row r="264">
      <c r="A264" s="222" t="s">
        <v>336</v>
      </c>
      <c r="B264" s="190" t="s">
        <v>337</v>
      </c>
      <c r="C264" s="223" t="s">
        <v>75</v>
      </c>
      <c r="D264" s="223" t="s">
        <v>868</v>
      </c>
      <c r="E264" s="190" t="s">
        <v>21</v>
      </c>
      <c r="F264" s="13" t="s">
        <v>927</v>
      </c>
      <c r="G264" s="13" t="s">
        <v>935</v>
      </c>
      <c r="H264" s="219">
        <f>IFERROR(
  MINIFS(ATTENDANCE_LOG!$F:$F,
         ATTENDANCE_LOG!$A:$A, C264,
         ATTENDANCE_LOG!$B:$B, E264),
"")</f>
        <v>45761.41667</v>
      </c>
      <c r="I264" s="219">
        <f t="shared" si="2"/>
        <v>45761.41667</v>
      </c>
      <c r="J264" s="190">
        <f>IFERROR(VLOOKUP(F264, LEVEL_HELPER!$A:$B, 2, 0), "")</f>
        <v>1</v>
      </c>
      <c r="K264" s="190">
        <f>IFERROR(VLOOKUP(G264, LEVEL_HELPER!$A:$B, 2, 0), "")</f>
        <v>3.5</v>
      </c>
      <c r="L264" s="220" t="s">
        <v>919</v>
      </c>
      <c r="M264" s="220" t="s">
        <v>924</v>
      </c>
      <c r="N264" s="190">
        <f t="array" ref="N264">IFERROR(
  INDEX($J$2:$J$543,
    MATCH(A264&amp;TEXT(I264,"yyyy-mm-dd"),
          $A$2:$A$543&amp;TEXT($H$2:$H$543,"yyyy-mm-dd"),
          0)),
"")</f>
        <v>1</v>
      </c>
      <c r="O264" s="210">
        <f t="shared" si="3"/>
        <v>3.5</v>
      </c>
      <c r="P264" s="210">
        <f t="shared" ref="P264:Q264" si="274">IF(N264="",0,IF(N264&lt;=2,1,IF(N264&lt;=4,2,IF(N264&lt;=5.5,3,4))))</f>
        <v>1</v>
      </c>
      <c r="Q264" s="210">
        <f t="shared" si="274"/>
        <v>2</v>
      </c>
      <c r="R264" s="210" t="str">
        <f t="shared" si="5"/>
        <v>Lv1 → Lv2</v>
      </c>
      <c r="S264" s="210">
        <f t="shared" si="6"/>
        <v>1</v>
      </c>
      <c r="T264" s="210"/>
      <c r="U264" s="210"/>
      <c r="V264" s="211" t="s">
        <v>532</v>
      </c>
      <c r="W264" s="210" t="str">
        <f t="shared" si="7"/>
        <v>GSD</v>
      </c>
      <c r="X264" s="210" t="str">
        <f t="shared" si="8"/>
        <v>GSD</v>
      </c>
      <c r="Y264" s="210" t="str">
        <f t="shared" si="9"/>
        <v>TBU</v>
      </c>
      <c r="Z264" s="210"/>
      <c r="AA264" s="210"/>
      <c r="AB264" s="210"/>
      <c r="AC264" s="210"/>
      <c r="AD264" s="210"/>
      <c r="AE264" s="210"/>
      <c r="AF264" s="210"/>
      <c r="AG264" s="210"/>
      <c r="AH264" s="210"/>
      <c r="AI264" s="210"/>
      <c r="AJ264" s="210"/>
      <c r="AK264" s="210"/>
      <c r="AL264" s="210"/>
      <c r="AM264" s="214"/>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c r="BU264" s="210"/>
      <c r="BV264" s="210"/>
      <c r="BW264" s="210"/>
      <c r="BX264" s="210"/>
      <c r="BY264" s="210"/>
      <c r="BZ264" s="210"/>
      <c r="CA264" s="210"/>
      <c r="CB264" s="210"/>
      <c r="CC264" s="210"/>
      <c r="CD264" s="210"/>
      <c r="CE264" s="210"/>
      <c r="CF264" s="210"/>
      <c r="CG264" s="210"/>
      <c r="CH264" s="210"/>
      <c r="CI264" s="210"/>
      <c r="CJ264" s="210"/>
      <c r="CK264" s="210"/>
    </row>
    <row r="265">
      <c r="A265" s="222" t="s">
        <v>417</v>
      </c>
      <c r="B265" s="190" t="s">
        <v>418</v>
      </c>
      <c r="C265" s="223" t="s">
        <v>75</v>
      </c>
      <c r="D265" s="223" t="s">
        <v>868</v>
      </c>
      <c r="E265" s="190" t="s">
        <v>21</v>
      </c>
      <c r="F265" s="13" t="s">
        <v>927</v>
      </c>
      <c r="G265" s="13" t="s">
        <v>929</v>
      </c>
      <c r="H265" s="219">
        <f>IFERROR(
  MINIFS(ATTENDANCE_LOG!$F:$F,
         ATTENDANCE_LOG!$A:$A, C265,
         ATTENDANCE_LOG!$B:$B, E265),
"")</f>
        <v>45761.41667</v>
      </c>
      <c r="I265" s="219">
        <f t="shared" si="2"/>
        <v>45761.41667</v>
      </c>
      <c r="J265" s="190">
        <f>IFERROR(VLOOKUP(F265, LEVEL_HELPER!$A:$B, 2, 0), "")</f>
        <v>1</v>
      </c>
      <c r="K265" s="190">
        <f>IFERROR(VLOOKUP(G265, LEVEL_HELPER!$A:$B, 2, 0), "")</f>
        <v>1.5</v>
      </c>
      <c r="L265" s="220" t="s">
        <v>919</v>
      </c>
      <c r="M265" s="220" t="s">
        <v>924</v>
      </c>
      <c r="N265" s="190">
        <f t="array" ref="N265">IFERROR(
  INDEX($J$2:$J$543,
    MATCH(A265&amp;TEXT(I265,"yyyy-mm-dd"),
          $A$2:$A$543&amp;TEXT($H$2:$H$543,"yyyy-mm-dd"),
          0)),
"")</f>
        <v>1</v>
      </c>
      <c r="O265" s="210">
        <f t="shared" si="3"/>
        <v>1.5</v>
      </c>
      <c r="P265" s="210">
        <f t="shared" ref="P265:Q265" si="275">IF(N265="",0,IF(N265&lt;=2,1,IF(N265&lt;=4,2,IF(N265&lt;=5.5,3,4))))</f>
        <v>1</v>
      </c>
      <c r="Q265" s="210">
        <f t="shared" si="275"/>
        <v>1</v>
      </c>
      <c r="R265" s="210" t="str">
        <f t="shared" si="5"/>
        <v>Progress within level</v>
      </c>
      <c r="S265" s="210">
        <f t="shared" si="6"/>
        <v>1</v>
      </c>
      <c r="T265" s="210"/>
      <c r="U265" s="210"/>
      <c r="V265" s="211" t="s">
        <v>502</v>
      </c>
      <c r="W265" s="210" t="str">
        <f t="shared" si="7"/>
        <v>GSD</v>
      </c>
      <c r="X265" s="210" t="str">
        <f t="shared" si="8"/>
        <v>GSD</v>
      </c>
      <c r="Y265" s="210" t="str">
        <f t="shared" si="9"/>
        <v>LBU</v>
      </c>
      <c r="Z265" s="210"/>
      <c r="AA265" s="210"/>
      <c r="AB265" s="210"/>
      <c r="AC265" s="210"/>
      <c r="AD265" s="210"/>
      <c r="AE265" s="210"/>
      <c r="AF265" s="210"/>
      <c r="AG265" s="210"/>
      <c r="AH265" s="210"/>
      <c r="AI265" s="210"/>
      <c r="AJ265" s="210"/>
      <c r="AK265" s="210"/>
      <c r="AL265" s="210"/>
      <c r="AM265" s="214"/>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c r="BU265" s="210"/>
      <c r="BV265" s="210"/>
      <c r="BW265" s="210"/>
      <c r="BX265" s="210"/>
      <c r="BY265" s="210"/>
      <c r="BZ265" s="210"/>
      <c r="CA265" s="210"/>
      <c r="CB265" s="210"/>
      <c r="CC265" s="210"/>
      <c r="CD265" s="210"/>
      <c r="CE265" s="210"/>
      <c r="CF265" s="210"/>
      <c r="CG265" s="210"/>
      <c r="CH265" s="210"/>
      <c r="CI265" s="210"/>
      <c r="CJ265" s="210"/>
      <c r="CK265" s="210"/>
    </row>
    <row r="266">
      <c r="A266" s="222" t="s">
        <v>587</v>
      </c>
      <c r="B266" s="190" t="s">
        <v>588</v>
      </c>
      <c r="C266" s="223" t="s">
        <v>75</v>
      </c>
      <c r="D266" s="223" t="s">
        <v>868</v>
      </c>
      <c r="E266" s="190" t="s">
        <v>21</v>
      </c>
      <c r="F266" s="13" t="s">
        <v>927</v>
      </c>
      <c r="G266" s="13" t="s">
        <v>918</v>
      </c>
      <c r="H266" s="219">
        <f>IFERROR(
  MINIFS(ATTENDANCE_LOG!$F:$F,
         ATTENDANCE_LOG!$A:$A, C266,
         ATTENDANCE_LOG!$B:$B, E266),
"")</f>
        <v>45761.41667</v>
      </c>
      <c r="I266" s="219">
        <f t="shared" si="2"/>
        <v>45761.41667</v>
      </c>
      <c r="J266" s="190">
        <f>IFERROR(VLOOKUP(F266, LEVEL_HELPER!$A:$B, 2, 0), "")</f>
        <v>1</v>
      </c>
      <c r="K266" s="190">
        <f>IFERROR(VLOOKUP(G266, LEVEL_HELPER!$A:$B, 2, 0), "")</f>
        <v>3</v>
      </c>
      <c r="L266" s="220" t="s">
        <v>943</v>
      </c>
      <c r="M266" s="220" t="s">
        <v>923</v>
      </c>
      <c r="N266" s="190">
        <f t="array" ref="N266">IFERROR(
  INDEX($J$2:$J$543,
    MATCH(A266&amp;TEXT(I266,"yyyy-mm-dd"),
          $A$2:$A$543&amp;TEXT($H$2:$H$543,"yyyy-mm-dd"),
          0)),
"")</f>
        <v>1</v>
      </c>
      <c r="O266" s="210">
        <f t="shared" si="3"/>
        <v>3</v>
      </c>
      <c r="P266" s="210">
        <f t="shared" ref="P266:Q266" si="276">IF(N266="",0,IF(N266&lt;=2,1,IF(N266&lt;=4,2,IF(N266&lt;=5.5,3,4))))</f>
        <v>1</v>
      </c>
      <c r="Q266" s="210">
        <f t="shared" si="276"/>
        <v>2</v>
      </c>
      <c r="R266" s="210" t="str">
        <f t="shared" si="5"/>
        <v>Lv1 → Lv2</v>
      </c>
      <c r="S266" s="210">
        <f t="shared" si="6"/>
        <v>1</v>
      </c>
      <c r="T266" s="210"/>
      <c r="U266" s="210"/>
      <c r="V266" s="211" t="s">
        <v>427</v>
      </c>
      <c r="W266" s="210" t="str">
        <f t="shared" si="7"/>
        <v>GSD</v>
      </c>
      <c r="X266" s="210" t="str">
        <f t="shared" si="8"/>
        <v>GSD</v>
      </c>
      <c r="Y266" s="210" t="str">
        <f t="shared" si="9"/>
        <v>LBU</v>
      </c>
      <c r="Z266" s="210"/>
      <c r="AA266" s="210"/>
      <c r="AB266" s="210"/>
      <c r="AC266" s="210"/>
      <c r="AD266" s="210"/>
      <c r="AE266" s="210"/>
      <c r="AF266" s="210"/>
      <c r="AG266" s="210"/>
      <c r="AH266" s="210"/>
      <c r="AI266" s="210"/>
      <c r="AJ266" s="210"/>
      <c r="AK266" s="210"/>
      <c r="AL266" s="210"/>
      <c r="AM266" s="214"/>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c r="BU266" s="210"/>
      <c r="BV266" s="210"/>
      <c r="BW266" s="210"/>
      <c r="BX266" s="210"/>
      <c r="BY266" s="210"/>
      <c r="BZ266" s="210"/>
      <c r="CA266" s="210"/>
      <c r="CB266" s="210"/>
      <c r="CC266" s="210"/>
      <c r="CD266" s="210"/>
      <c r="CE266" s="210"/>
      <c r="CF266" s="210"/>
      <c r="CG266" s="210"/>
      <c r="CH266" s="210"/>
      <c r="CI266" s="210"/>
      <c r="CJ266" s="210"/>
      <c r="CK266" s="210"/>
    </row>
    <row r="267">
      <c r="A267" s="222" t="s">
        <v>593</v>
      </c>
      <c r="B267" s="217" t="s">
        <v>594</v>
      </c>
      <c r="C267" s="218" t="s">
        <v>75</v>
      </c>
      <c r="D267" s="218" t="s">
        <v>868</v>
      </c>
      <c r="E267" s="217" t="s">
        <v>22</v>
      </c>
      <c r="F267" s="13" t="s">
        <v>929</v>
      </c>
      <c r="G267" s="190"/>
      <c r="H267" s="219">
        <f>IFERROR(
  MINIFS(ATTENDANCE_LOG!$F:$F,
         ATTENDANCE_LOG!$A:$A, C267,
         ATTENDANCE_LOG!$B:$B, E267),
"")</f>
        <v>45922.41667</v>
      </c>
      <c r="I267" s="219">
        <f t="shared" si="2"/>
        <v>45761.41667</v>
      </c>
      <c r="J267" s="190">
        <f>IFERROR(VLOOKUP(F267, LEVEL_HELPER!$A:$B, 2, 0), "")</f>
        <v>1.5</v>
      </c>
      <c r="K267" s="190" t="str">
        <f>IFERROR(VLOOKUP(G267, LEVEL_HELPER!$A:$B, 2, 0), "")</f>
        <v/>
      </c>
      <c r="L267" s="220" t="s">
        <v>943</v>
      </c>
      <c r="M267" s="220" t="s">
        <v>924</v>
      </c>
      <c r="N267" s="190">
        <f t="array" ref="N267">IFERROR(
  INDEX($J$2:$J$543,
    MATCH(A267&amp;TEXT(I267,"yyyy-mm-dd"),
          $A$2:$A$543&amp;TEXT($H$2:$H$543,"yyyy-mm-dd"),
          0)),
"")</f>
        <v>1</v>
      </c>
      <c r="O267" s="210">
        <f t="shared" si="3"/>
        <v>1.5</v>
      </c>
      <c r="P267" s="210">
        <f t="shared" ref="P267:Q267" si="277">IF(N267="",0,IF(N267&lt;=2,1,IF(N267&lt;=4,2,IF(N267&lt;=5.5,3,4))))</f>
        <v>1</v>
      </c>
      <c r="Q267" s="210">
        <f t="shared" si="277"/>
        <v>1</v>
      </c>
      <c r="R267" s="210" t="str">
        <f t="shared" si="5"/>
        <v>Progress within level</v>
      </c>
      <c r="S267" s="210">
        <f t="shared" si="6"/>
        <v>0</v>
      </c>
      <c r="T267" s="210"/>
      <c r="U267" s="210"/>
      <c r="V267" s="211" t="s">
        <v>655</v>
      </c>
      <c r="W267" s="210" t="str">
        <f t="shared" si="7"/>
        <v>GSD</v>
      </c>
      <c r="X267" s="210" t="str">
        <f t="shared" si="8"/>
        <v>GSD</v>
      </c>
      <c r="Y267" s="210" t="str">
        <f t="shared" si="9"/>
        <v>LBU</v>
      </c>
      <c r="Z267" s="210"/>
      <c r="AA267" s="210"/>
      <c r="AB267" s="210"/>
      <c r="AC267" s="210"/>
      <c r="AD267" s="210"/>
      <c r="AE267" s="210"/>
      <c r="AF267" s="210"/>
      <c r="AG267" s="210"/>
      <c r="AH267" s="210"/>
      <c r="AI267" s="210"/>
      <c r="AJ267" s="210"/>
      <c r="AK267" s="210"/>
      <c r="AL267" s="210"/>
      <c r="AM267" s="214"/>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c r="BU267" s="210"/>
      <c r="BV267" s="210"/>
      <c r="BW267" s="210"/>
      <c r="BX267" s="210"/>
      <c r="BY267" s="210"/>
      <c r="BZ267" s="210"/>
      <c r="CA267" s="210"/>
      <c r="CB267" s="210"/>
      <c r="CC267" s="210"/>
      <c r="CD267" s="210"/>
      <c r="CE267" s="210"/>
      <c r="CF267" s="210"/>
      <c r="CG267" s="210"/>
      <c r="CH267" s="210"/>
      <c r="CI267" s="210"/>
      <c r="CJ267" s="210"/>
      <c r="CK267" s="210"/>
    </row>
    <row r="268">
      <c r="A268" s="222" t="s">
        <v>173</v>
      </c>
      <c r="B268" s="190" t="s">
        <v>174</v>
      </c>
      <c r="C268" s="223" t="s">
        <v>75</v>
      </c>
      <c r="D268" s="223" t="s">
        <v>868</v>
      </c>
      <c r="E268" s="190" t="s">
        <v>22</v>
      </c>
      <c r="F268" s="13" t="s">
        <v>918</v>
      </c>
      <c r="G268" s="190"/>
      <c r="H268" s="219">
        <f>IFERROR(
  MINIFS(ATTENDANCE_LOG!$F:$F,
         ATTENDANCE_LOG!$A:$A, C268,
         ATTENDANCE_LOG!$B:$B, E268),
"")</f>
        <v>45922.41667</v>
      </c>
      <c r="I268" s="219">
        <f t="shared" si="2"/>
        <v>45761.41667</v>
      </c>
      <c r="J268" s="190">
        <f>IFERROR(VLOOKUP(F268, LEVEL_HELPER!$A:$B, 2, 0), "")</f>
        <v>3</v>
      </c>
      <c r="K268" s="190" t="str">
        <f>IFERROR(VLOOKUP(G268, LEVEL_HELPER!$A:$B, 2, 0), "")</f>
        <v/>
      </c>
      <c r="L268" s="220" t="s">
        <v>943</v>
      </c>
      <c r="M268" s="220" t="s">
        <v>924</v>
      </c>
      <c r="N268" s="190">
        <f t="array" ref="N268">IFERROR(
  INDEX($J$2:$J$543,
    MATCH(A268&amp;TEXT(I268,"yyyy-mm-dd"),
          $A$2:$A$543&amp;TEXT($H$2:$H$543,"yyyy-mm-dd"),
          0)),
"")</f>
        <v>1</v>
      </c>
      <c r="O268" s="210">
        <f t="shared" si="3"/>
        <v>3</v>
      </c>
      <c r="P268" s="210">
        <f t="shared" ref="P268:Q268" si="278">IF(N268="",0,IF(N268&lt;=2,1,IF(N268&lt;=4,2,IF(N268&lt;=5.5,3,4))))</f>
        <v>1</v>
      </c>
      <c r="Q268" s="210">
        <f t="shared" si="278"/>
        <v>2</v>
      </c>
      <c r="R268" s="210" t="str">
        <f t="shared" si="5"/>
        <v>Lv1 → Lv2</v>
      </c>
      <c r="S268" s="210">
        <f t="shared" si="6"/>
        <v>0</v>
      </c>
      <c r="T268" s="210"/>
      <c r="U268" s="210"/>
      <c r="V268" s="211" t="s">
        <v>705</v>
      </c>
      <c r="W268" s="210" t="str">
        <f t="shared" si="7"/>
        <v>BC</v>
      </c>
      <c r="X268" s="210" t="str">
        <f t="shared" si="8"/>
        <v>BA, BC</v>
      </c>
      <c r="Y268" s="210" t="str">
        <f t="shared" si="9"/>
        <v>LBU</v>
      </c>
      <c r="Z268" s="210"/>
      <c r="AA268" s="210"/>
      <c r="AB268" s="210"/>
      <c r="AC268" s="210"/>
      <c r="AD268" s="210"/>
      <c r="AE268" s="210"/>
      <c r="AF268" s="210"/>
      <c r="AG268" s="210"/>
      <c r="AH268" s="210"/>
      <c r="AI268" s="210"/>
      <c r="AJ268" s="210"/>
      <c r="AK268" s="210"/>
      <c r="AL268" s="210"/>
      <c r="AM268" s="214"/>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c r="BU268" s="210"/>
      <c r="BV268" s="210"/>
      <c r="BW268" s="210"/>
      <c r="BX268" s="210"/>
      <c r="BY268" s="210"/>
      <c r="BZ268" s="210"/>
      <c r="CA268" s="210"/>
      <c r="CB268" s="210"/>
      <c r="CC268" s="210"/>
      <c r="CD268" s="210"/>
      <c r="CE268" s="210"/>
      <c r="CF268" s="210"/>
      <c r="CG268" s="210"/>
      <c r="CH268" s="210"/>
      <c r="CI268" s="210"/>
      <c r="CJ268" s="210"/>
      <c r="CK268" s="210"/>
    </row>
    <row r="269">
      <c r="A269" s="222" t="s">
        <v>281</v>
      </c>
      <c r="B269" s="190" t="s">
        <v>282</v>
      </c>
      <c r="C269" s="223" t="s">
        <v>75</v>
      </c>
      <c r="D269" s="223" t="s">
        <v>868</v>
      </c>
      <c r="E269" s="190" t="s">
        <v>22</v>
      </c>
      <c r="F269" s="13" t="s">
        <v>918</v>
      </c>
      <c r="G269" s="190"/>
      <c r="H269" s="219">
        <f>IFERROR(
  MINIFS(ATTENDANCE_LOG!$F:$F,
         ATTENDANCE_LOG!$A:$A, C269,
         ATTENDANCE_LOG!$B:$B, E269),
"")</f>
        <v>45922.41667</v>
      </c>
      <c r="I269" s="219">
        <f t="shared" si="2"/>
        <v>45761.41667</v>
      </c>
      <c r="J269" s="190">
        <f>IFERROR(VLOOKUP(F269, LEVEL_HELPER!$A:$B, 2, 0), "")</f>
        <v>3</v>
      </c>
      <c r="K269" s="190" t="str">
        <f>IFERROR(VLOOKUP(G269, LEVEL_HELPER!$A:$B, 2, 0), "")</f>
        <v/>
      </c>
      <c r="L269" s="220" t="s">
        <v>943</v>
      </c>
      <c r="M269" s="220" t="s">
        <v>924</v>
      </c>
      <c r="N269" s="190">
        <f t="array" ref="N269">IFERROR(
  INDEX($J$2:$J$543,
    MATCH(A269&amp;TEXT(I269,"yyyy-mm-dd"),
          $A$2:$A$543&amp;TEXT($H$2:$H$543,"yyyy-mm-dd"),
          0)),
"")</f>
        <v>1</v>
      </c>
      <c r="O269" s="210">
        <f t="shared" si="3"/>
        <v>3</v>
      </c>
      <c r="P269" s="210">
        <f t="shared" ref="P269:Q269" si="279">IF(N269="",0,IF(N269&lt;=2,1,IF(N269&lt;=4,2,IF(N269&lt;=5.5,3,4))))</f>
        <v>1</v>
      </c>
      <c r="Q269" s="210">
        <f t="shared" si="279"/>
        <v>2</v>
      </c>
      <c r="R269" s="210" t="str">
        <f t="shared" si="5"/>
        <v>Lv1 → Lv2</v>
      </c>
      <c r="S269" s="210">
        <f t="shared" si="6"/>
        <v>0</v>
      </c>
      <c r="T269" s="210"/>
      <c r="U269" s="210"/>
      <c r="V269" s="211" t="s">
        <v>581</v>
      </c>
      <c r="W269" s="210" t="str">
        <f t="shared" si="7"/>
        <v>DEV</v>
      </c>
      <c r="X269" s="210" t="str">
        <f t="shared" si="8"/>
        <v>DEV, TA</v>
      </c>
      <c r="Y269" s="210" t="str">
        <f t="shared" si="9"/>
        <v>ONC</v>
      </c>
      <c r="Z269" s="210"/>
      <c r="AA269" s="210"/>
      <c r="AB269" s="210"/>
      <c r="AC269" s="210"/>
      <c r="AD269" s="210"/>
      <c r="AE269" s="210"/>
      <c r="AF269" s="210"/>
      <c r="AG269" s="210"/>
      <c r="AH269" s="210"/>
      <c r="AI269" s="210"/>
      <c r="AJ269" s="210"/>
      <c r="AK269" s="210"/>
      <c r="AL269" s="210"/>
      <c r="AM269" s="214"/>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c r="BU269" s="210"/>
      <c r="BV269" s="210"/>
      <c r="BW269" s="210"/>
      <c r="BX269" s="210"/>
      <c r="BY269" s="210"/>
      <c r="BZ269" s="210"/>
      <c r="CA269" s="210"/>
      <c r="CB269" s="210"/>
      <c r="CC269" s="210"/>
      <c r="CD269" s="210"/>
      <c r="CE269" s="210"/>
      <c r="CF269" s="210"/>
      <c r="CG269" s="210"/>
      <c r="CH269" s="210"/>
      <c r="CI269" s="210"/>
      <c r="CJ269" s="210"/>
      <c r="CK269" s="210"/>
    </row>
    <row r="270">
      <c r="A270" s="222" t="s">
        <v>336</v>
      </c>
      <c r="B270" s="190" t="s">
        <v>337</v>
      </c>
      <c r="C270" s="223" t="s">
        <v>75</v>
      </c>
      <c r="D270" s="223" t="s">
        <v>868</v>
      </c>
      <c r="E270" s="190" t="s">
        <v>22</v>
      </c>
      <c r="F270" s="13" t="s">
        <v>935</v>
      </c>
      <c r="G270" s="190"/>
      <c r="H270" s="219">
        <f>IFERROR(
  MINIFS(ATTENDANCE_LOG!$F:$F,
         ATTENDANCE_LOG!$A:$A, C270,
         ATTENDANCE_LOG!$B:$B, E270),
"")</f>
        <v>45922.41667</v>
      </c>
      <c r="I270" s="219">
        <f t="shared" si="2"/>
        <v>45761.41667</v>
      </c>
      <c r="J270" s="190">
        <f>IFERROR(VLOOKUP(F270, LEVEL_HELPER!$A:$B, 2, 0), "")</f>
        <v>3.5</v>
      </c>
      <c r="K270" s="190" t="str">
        <f>IFERROR(VLOOKUP(G270, LEVEL_HELPER!$A:$B, 2, 0), "")</f>
        <v/>
      </c>
      <c r="L270" s="220" t="s">
        <v>919</v>
      </c>
      <c r="M270" s="220" t="s">
        <v>924</v>
      </c>
      <c r="N270" s="190">
        <f t="array" ref="N270">IFERROR(
  INDEX($J$2:$J$543,
    MATCH(A270&amp;TEXT(I270,"yyyy-mm-dd"),
          $A$2:$A$543&amp;TEXT($H$2:$H$543,"yyyy-mm-dd"),
          0)),
"")</f>
        <v>1</v>
      </c>
      <c r="O270" s="210">
        <f t="shared" si="3"/>
        <v>3.5</v>
      </c>
      <c r="P270" s="210">
        <f t="shared" ref="P270:Q270" si="280">IF(N270="",0,IF(N270&lt;=2,1,IF(N270&lt;=4,2,IF(N270&lt;=5.5,3,4))))</f>
        <v>1</v>
      </c>
      <c r="Q270" s="210">
        <f t="shared" si="280"/>
        <v>2</v>
      </c>
      <c r="R270" s="210" t="str">
        <f t="shared" si="5"/>
        <v>Lv1 → Lv2</v>
      </c>
      <c r="S270" s="210">
        <f t="shared" si="6"/>
        <v>0</v>
      </c>
      <c r="T270" s="210"/>
      <c r="U270" s="210"/>
      <c r="V270" s="211" t="s">
        <v>344</v>
      </c>
      <c r="W270" s="210" t="str">
        <f t="shared" si="7"/>
        <v>DEV</v>
      </c>
      <c r="X270" s="210" t="str">
        <f t="shared" si="8"/>
        <v>DEV, TA</v>
      </c>
      <c r="Y270" s="210" t="str">
        <f t="shared" si="9"/>
        <v>ONC</v>
      </c>
      <c r="Z270" s="210"/>
      <c r="AA270" s="210"/>
      <c r="AB270" s="210"/>
      <c r="AC270" s="210"/>
      <c r="AD270" s="210"/>
      <c r="AE270" s="210"/>
      <c r="AF270" s="210"/>
      <c r="AG270" s="210"/>
      <c r="AH270" s="210"/>
      <c r="AI270" s="210"/>
      <c r="AJ270" s="210"/>
      <c r="AK270" s="210"/>
      <c r="AL270" s="210"/>
      <c r="AM270" s="214"/>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c r="BU270" s="210"/>
      <c r="BV270" s="210"/>
      <c r="BW270" s="210"/>
      <c r="BX270" s="210"/>
      <c r="BY270" s="210"/>
      <c r="BZ270" s="210"/>
      <c r="CA270" s="210"/>
      <c r="CB270" s="210"/>
      <c r="CC270" s="210"/>
      <c r="CD270" s="210"/>
      <c r="CE270" s="210"/>
      <c r="CF270" s="210"/>
      <c r="CG270" s="210"/>
      <c r="CH270" s="210"/>
      <c r="CI270" s="210"/>
      <c r="CJ270" s="210"/>
      <c r="CK270" s="210"/>
    </row>
    <row r="271">
      <c r="A271" s="222" t="s">
        <v>417</v>
      </c>
      <c r="B271" s="190" t="s">
        <v>418</v>
      </c>
      <c r="C271" s="223" t="s">
        <v>75</v>
      </c>
      <c r="D271" s="223" t="s">
        <v>868</v>
      </c>
      <c r="E271" s="190" t="s">
        <v>22</v>
      </c>
      <c r="F271" s="13" t="s">
        <v>929</v>
      </c>
      <c r="G271" s="190"/>
      <c r="H271" s="219">
        <f>IFERROR(
  MINIFS(ATTENDANCE_LOG!$F:$F,
         ATTENDANCE_LOG!$A:$A, C271,
         ATTENDANCE_LOG!$B:$B, E271),
"")</f>
        <v>45922.41667</v>
      </c>
      <c r="I271" s="219">
        <f t="shared" si="2"/>
        <v>45761.41667</v>
      </c>
      <c r="J271" s="190">
        <f>IFERROR(VLOOKUP(F271, LEVEL_HELPER!$A:$B, 2, 0), "")</f>
        <v>1.5</v>
      </c>
      <c r="K271" s="190" t="str">
        <f>IFERROR(VLOOKUP(G271, LEVEL_HELPER!$A:$B, 2, 0), "")</f>
        <v/>
      </c>
      <c r="L271" s="220" t="s">
        <v>919</v>
      </c>
      <c r="M271" s="220" t="s">
        <v>924</v>
      </c>
      <c r="N271" s="190">
        <f t="array" ref="N271">IFERROR(
  INDEX($J$2:$J$543,
    MATCH(A271&amp;TEXT(I271,"yyyy-mm-dd"),
          $A$2:$A$543&amp;TEXT($H$2:$H$543,"yyyy-mm-dd"),
          0)),
"")</f>
        <v>1</v>
      </c>
      <c r="O271" s="210">
        <f t="shared" si="3"/>
        <v>1.5</v>
      </c>
      <c r="P271" s="210">
        <f t="shared" ref="P271:Q271" si="281">IF(N271="",0,IF(N271&lt;=2,1,IF(N271&lt;=4,2,IF(N271&lt;=5.5,3,4))))</f>
        <v>1</v>
      </c>
      <c r="Q271" s="210">
        <f t="shared" si="281"/>
        <v>1</v>
      </c>
      <c r="R271" s="210" t="str">
        <f t="shared" si="5"/>
        <v>Progress within level</v>
      </c>
      <c r="S271" s="210">
        <f t="shared" si="6"/>
        <v>0</v>
      </c>
      <c r="T271" s="210"/>
      <c r="U271" s="210"/>
      <c r="V271" s="211" t="s">
        <v>368</v>
      </c>
      <c r="W271" s="210" t="str">
        <f t="shared" si="7"/>
        <v>DEV</v>
      </c>
      <c r="X271" s="210" t="str">
        <f t="shared" si="8"/>
        <v>DEV, TA</v>
      </c>
      <c r="Y271" s="210" t="str">
        <f t="shared" si="9"/>
        <v>ONC</v>
      </c>
      <c r="Z271" s="210"/>
      <c r="AA271" s="210"/>
      <c r="AB271" s="210"/>
      <c r="AC271" s="210"/>
      <c r="AD271" s="210"/>
      <c r="AE271" s="210"/>
      <c r="AF271" s="210"/>
      <c r="AG271" s="210"/>
      <c r="AH271" s="210"/>
      <c r="AI271" s="210"/>
      <c r="AJ271" s="210"/>
      <c r="AK271" s="210"/>
      <c r="AL271" s="210"/>
      <c r="AM271" s="214"/>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c r="BU271" s="210"/>
      <c r="BV271" s="210"/>
      <c r="BW271" s="210"/>
      <c r="BX271" s="210"/>
      <c r="BY271" s="210"/>
      <c r="BZ271" s="210"/>
      <c r="CA271" s="210"/>
      <c r="CB271" s="210"/>
      <c r="CC271" s="210"/>
      <c r="CD271" s="210"/>
      <c r="CE271" s="210"/>
      <c r="CF271" s="210"/>
      <c r="CG271" s="210"/>
      <c r="CH271" s="210"/>
      <c r="CI271" s="210"/>
      <c r="CJ271" s="210"/>
      <c r="CK271" s="210"/>
    </row>
    <row r="272">
      <c r="A272" s="222" t="s">
        <v>587</v>
      </c>
      <c r="B272" s="190" t="s">
        <v>588</v>
      </c>
      <c r="C272" s="223" t="s">
        <v>75</v>
      </c>
      <c r="D272" s="223" t="s">
        <v>868</v>
      </c>
      <c r="E272" s="190" t="s">
        <v>22</v>
      </c>
      <c r="F272" s="13" t="s">
        <v>918</v>
      </c>
      <c r="G272" s="190"/>
      <c r="H272" s="219">
        <f>IFERROR(
  MINIFS(ATTENDANCE_LOG!$F:$F,
         ATTENDANCE_LOG!$A:$A, C272,
         ATTENDANCE_LOG!$B:$B, E272),
"")</f>
        <v>45922.41667</v>
      </c>
      <c r="I272" s="219">
        <f t="shared" si="2"/>
        <v>45761.41667</v>
      </c>
      <c r="J272" s="190">
        <f>IFERROR(VLOOKUP(F272, LEVEL_HELPER!$A:$B, 2, 0), "")</f>
        <v>3</v>
      </c>
      <c r="K272" s="190" t="str">
        <f>IFERROR(VLOOKUP(G272, LEVEL_HELPER!$A:$B, 2, 0), "")</f>
        <v/>
      </c>
      <c r="L272" s="220" t="s">
        <v>943</v>
      </c>
      <c r="M272" s="220" t="s">
        <v>923</v>
      </c>
      <c r="N272" s="190">
        <f t="array" ref="N272">IFERROR(
  INDEX($J$2:$J$543,
    MATCH(A272&amp;TEXT(I272,"yyyy-mm-dd"),
          $A$2:$A$543&amp;TEXT($H$2:$H$543,"yyyy-mm-dd"),
          0)),
"")</f>
        <v>1</v>
      </c>
      <c r="O272" s="210">
        <f t="shared" si="3"/>
        <v>3</v>
      </c>
      <c r="P272" s="210">
        <f t="shared" ref="P272:Q272" si="282">IF(N272="",0,IF(N272&lt;=2,1,IF(N272&lt;=4,2,IF(N272&lt;=5.5,3,4))))</f>
        <v>1</v>
      </c>
      <c r="Q272" s="210">
        <f t="shared" si="282"/>
        <v>2</v>
      </c>
      <c r="R272" s="210" t="str">
        <f t="shared" si="5"/>
        <v>Lv1 → Lv2</v>
      </c>
      <c r="S272" s="210">
        <f t="shared" si="6"/>
        <v>0</v>
      </c>
      <c r="T272" s="210"/>
      <c r="U272" s="210"/>
      <c r="V272" s="211" t="s">
        <v>543</v>
      </c>
      <c r="W272" s="210" t="str">
        <f t="shared" si="7"/>
        <v>DEV</v>
      </c>
      <c r="X272" s="210" t="str">
        <f t="shared" si="8"/>
        <v>DEV, TA</v>
      </c>
      <c r="Y272" s="210" t="str">
        <f t="shared" si="9"/>
        <v>ONC</v>
      </c>
      <c r="Z272" s="210"/>
      <c r="AA272" s="210"/>
      <c r="AB272" s="210"/>
      <c r="AC272" s="210"/>
      <c r="AD272" s="210"/>
      <c r="AE272" s="210"/>
      <c r="AF272" s="210"/>
      <c r="AG272" s="210"/>
      <c r="AH272" s="210"/>
      <c r="AI272" s="210"/>
      <c r="AJ272" s="210"/>
      <c r="AK272" s="210"/>
      <c r="AL272" s="210"/>
      <c r="AM272" s="214"/>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c r="BU272" s="210"/>
      <c r="BV272" s="210"/>
      <c r="BW272" s="210"/>
      <c r="BX272" s="210"/>
      <c r="BY272" s="210"/>
      <c r="BZ272" s="210"/>
      <c r="CA272" s="210"/>
      <c r="CB272" s="210"/>
      <c r="CC272" s="210"/>
      <c r="CD272" s="210"/>
      <c r="CE272" s="210"/>
      <c r="CF272" s="210"/>
      <c r="CG272" s="210"/>
      <c r="CH272" s="210"/>
      <c r="CI272" s="210"/>
      <c r="CJ272" s="210"/>
      <c r="CK272" s="210"/>
    </row>
    <row r="273">
      <c r="A273" s="216" t="s">
        <v>651</v>
      </c>
      <c r="B273" s="217" t="s">
        <v>652</v>
      </c>
      <c r="C273" s="218" t="s">
        <v>76</v>
      </c>
      <c r="D273" s="218" t="s">
        <v>869</v>
      </c>
      <c r="E273" s="217" t="s">
        <v>21</v>
      </c>
      <c r="F273" s="13" t="s">
        <v>927</v>
      </c>
      <c r="G273" s="13" t="s">
        <v>918</v>
      </c>
      <c r="H273" s="219">
        <f>IFERROR(
  MINIFS(ATTENDANCE_LOG!$F:$F,
         ATTENDANCE_LOG!$A:$A, C273,
         ATTENDANCE_LOG!$B:$B, E273),
"")</f>
        <v>45763.54167</v>
      </c>
      <c r="I273" s="219">
        <f t="shared" si="2"/>
        <v>45763.54167</v>
      </c>
      <c r="J273" s="190">
        <f>IFERROR(VLOOKUP(F273, LEVEL_HELPER!$A:$B, 2, 0), "")</f>
        <v>1</v>
      </c>
      <c r="K273" s="190">
        <f>IFERROR(VLOOKUP(G273, LEVEL_HELPER!$A:$B, 2, 0), "")</f>
        <v>3</v>
      </c>
      <c r="L273" s="220" t="s">
        <v>919</v>
      </c>
      <c r="M273" s="220" t="s">
        <v>923</v>
      </c>
      <c r="N273" s="190">
        <f t="array" ref="N273">IFERROR(
  INDEX($J$2:$J$543,
    MATCH(A273&amp;TEXT(I273,"yyyy-mm-dd"),
          $A$2:$A$543&amp;TEXT($H$2:$H$543,"yyyy-mm-dd"),
          0)),
"")</f>
        <v>1</v>
      </c>
      <c r="O273" s="210">
        <f t="shared" si="3"/>
        <v>3</v>
      </c>
      <c r="P273" s="210">
        <f t="shared" ref="P273:Q273" si="283">IF(N273="",0,IF(N273&lt;=2,1,IF(N273&lt;=4,2,IF(N273&lt;=5.5,3,4))))</f>
        <v>1</v>
      </c>
      <c r="Q273" s="210">
        <f t="shared" si="283"/>
        <v>2</v>
      </c>
      <c r="R273" s="210" t="str">
        <f t="shared" si="5"/>
        <v>Lv1 → Lv2</v>
      </c>
      <c r="S273" s="210">
        <f t="shared" si="6"/>
        <v>1</v>
      </c>
      <c r="T273" s="210"/>
      <c r="U273" s="210"/>
      <c r="V273" s="211" t="s">
        <v>579</v>
      </c>
      <c r="W273" s="210" t="str">
        <f t="shared" si="7"/>
        <v>DEV</v>
      </c>
      <c r="X273" s="210" t="str">
        <f t="shared" si="8"/>
        <v>DEV, TA</v>
      </c>
      <c r="Y273" s="210" t="str">
        <f t="shared" si="9"/>
        <v>ONC</v>
      </c>
      <c r="Z273" s="210"/>
      <c r="AA273" s="210"/>
      <c r="AB273" s="210"/>
      <c r="AC273" s="210"/>
      <c r="AD273" s="210"/>
      <c r="AE273" s="210"/>
      <c r="AF273" s="210"/>
      <c r="AG273" s="210"/>
      <c r="AH273" s="210"/>
      <c r="AI273" s="210"/>
      <c r="AJ273" s="210"/>
      <c r="AK273" s="210"/>
      <c r="AL273" s="210"/>
      <c r="AM273" s="214"/>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c r="BU273" s="210"/>
      <c r="BV273" s="210"/>
      <c r="BW273" s="210"/>
      <c r="BX273" s="210"/>
      <c r="BY273" s="210"/>
      <c r="BZ273" s="210"/>
      <c r="CA273" s="210"/>
      <c r="CB273" s="210"/>
      <c r="CC273" s="210"/>
      <c r="CD273" s="210"/>
      <c r="CE273" s="210"/>
      <c r="CF273" s="210"/>
      <c r="CG273" s="210"/>
      <c r="CH273" s="210"/>
      <c r="CI273" s="210"/>
      <c r="CJ273" s="210"/>
      <c r="CK273" s="210"/>
    </row>
    <row r="274">
      <c r="A274" s="222" t="s">
        <v>210</v>
      </c>
      <c r="B274" s="190" t="s">
        <v>211</v>
      </c>
      <c r="C274" s="223" t="s">
        <v>76</v>
      </c>
      <c r="D274" s="223" t="s">
        <v>869</v>
      </c>
      <c r="E274" s="190" t="s">
        <v>21</v>
      </c>
      <c r="F274" s="13" t="s">
        <v>917</v>
      </c>
      <c r="G274" s="13" t="s">
        <v>918</v>
      </c>
      <c r="H274" s="219">
        <f>IFERROR(
  MINIFS(ATTENDANCE_LOG!$F:$F,
         ATTENDANCE_LOG!$A:$A, C274,
         ATTENDANCE_LOG!$B:$B, E274),
"")</f>
        <v>45763.54167</v>
      </c>
      <c r="I274" s="219">
        <f t="shared" si="2"/>
        <v>45763.54167</v>
      </c>
      <c r="J274" s="190">
        <f>IFERROR(VLOOKUP(F274, LEVEL_HELPER!$A:$B, 2, 0), "")</f>
        <v>2.5</v>
      </c>
      <c r="K274" s="190">
        <f>IFERROR(VLOOKUP(G274, LEVEL_HELPER!$A:$B, 2, 0), "")</f>
        <v>3</v>
      </c>
      <c r="L274" s="220" t="s">
        <v>943</v>
      </c>
      <c r="M274" s="220" t="s">
        <v>923</v>
      </c>
      <c r="N274" s="190">
        <f t="array" ref="N274">IFERROR(
  INDEX($J$2:$J$543,
    MATCH(A274&amp;TEXT(I274,"yyyy-mm-dd"),
          $A$2:$A$543&amp;TEXT($H$2:$H$543,"yyyy-mm-dd"),
          0)),
"")</f>
        <v>2.5</v>
      </c>
      <c r="O274" s="210">
        <f t="shared" si="3"/>
        <v>3</v>
      </c>
      <c r="P274" s="210">
        <f t="shared" ref="P274:Q274" si="284">IF(N274="",0,IF(N274&lt;=2,1,IF(N274&lt;=4,2,IF(N274&lt;=5.5,3,4))))</f>
        <v>2</v>
      </c>
      <c r="Q274" s="210">
        <f t="shared" si="284"/>
        <v>2</v>
      </c>
      <c r="R274" s="210" t="str">
        <f t="shared" si="5"/>
        <v>Progress within level</v>
      </c>
      <c r="S274" s="210">
        <f t="shared" si="6"/>
        <v>1</v>
      </c>
      <c r="T274" s="210"/>
      <c r="U274" s="210"/>
      <c r="V274" s="211" t="s">
        <v>613</v>
      </c>
      <c r="W274" s="210" t="str">
        <f t="shared" si="7"/>
        <v>DEV</v>
      </c>
      <c r="X274" s="210" t="str">
        <f t="shared" si="8"/>
        <v>DEV, TA</v>
      </c>
      <c r="Y274" s="210" t="str">
        <f t="shared" si="9"/>
        <v>ONC</v>
      </c>
      <c r="Z274" s="210"/>
      <c r="AA274" s="210"/>
      <c r="AB274" s="210"/>
      <c r="AC274" s="210"/>
      <c r="AD274" s="210"/>
      <c r="AE274" s="210"/>
      <c r="AF274" s="210"/>
      <c r="AG274" s="210"/>
      <c r="AH274" s="210"/>
      <c r="AI274" s="210"/>
      <c r="AJ274" s="210"/>
      <c r="AK274" s="210"/>
      <c r="AL274" s="210"/>
      <c r="AM274" s="214"/>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c r="BU274" s="210"/>
      <c r="BV274" s="210"/>
      <c r="BW274" s="210"/>
      <c r="BX274" s="210"/>
      <c r="BY274" s="210"/>
      <c r="BZ274" s="210"/>
      <c r="CA274" s="210"/>
      <c r="CB274" s="210"/>
      <c r="CC274" s="210"/>
      <c r="CD274" s="210"/>
      <c r="CE274" s="210"/>
      <c r="CF274" s="210"/>
      <c r="CG274" s="210"/>
      <c r="CH274" s="210"/>
      <c r="CI274" s="210"/>
      <c r="CJ274" s="210"/>
      <c r="CK274" s="210"/>
    </row>
    <row r="275">
      <c r="A275" s="222" t="s">
        <v>440</v>
      </c>
      <c r="B275" s="190" t="s">
        <v>441</v>
      </c>
      <c r="C275" s="223" t="s">
        <v>76</v>
      </c>
      <c r="D275" s="223" t="s">
        <v>869</v>
      </c>
      <c r="E275" s="190" t="s">
        <v>21</v>
      </c>
      <c r="F275" s="13" t="s">
        <v>927</v>
      </c>
      <c r="G275" s="13" t="s">
        <v>927</v>
      </c>
      <c r="H275" s="219">
        <f>IFERROR(
  MINIFS(ATTENDANCE_LOG!$F:$F,
         ATTENDANCE_LOG!$A:$A, C275,
         ATTENDANCE_LOG!$B:$B, E275),
"")</f>
        <v>45763.54167</v>
      </c>
      <c r="I275" s="219">
        <f t="shared" si="2"/>
        <v>45763.54167</v>
      </c>
      <c r="J275" s="190">
        <f>IFERROR(VLOOKUP(F275, LEVEL_HELPER!$A:$B, 2, 0), "")</f>
        <v>1</v>
      </c>
      <c r="K275" s="190">
        <f>IFERROR(VLOOKUP(G275, LEVEL_HELPER!$A:$B, 2, 0), "")</f>
        <v>1</v>
      </c>
      <c r="L275" s="220" t="s">
        <v>943</v>
      </c>
      <c r="M275" s="220" t="s">
        <v>923</v>
      </c>
      <c r="N275" s="190">
        <f t="array" ref="N275">IFERROR(
  INDEX($J$2:$J$543,
    MATCH(A275&amp;TEXT(I275,"yyyy-mm-dd"),
          $A$2:$A$543&amp;TEXT($H$2:$H$543,"yyyy-mm-dd"),
          0)),
"")</f>
        <v>1</v>
      </c>
      <c r="O275" s="210">
        <f t="shared" si="3"/>
        <v>1.5</v>
      </c>
      <c r="P275" s="210">
        <f t="shared" ref="P275:Q275" si="285">IF(N275="",0,IF(N275&lt;=2,1,IF(N275&lt;=4,2,IF(N275&lt;=5.5,3,4))))</f>
        <v>1</v>
      </c>
      <c r="Q275" s="210">
        <f t="shared" si="285"/>
        <v>1</v>
      </c>
      <c r="R275" s="210" t="str">
        <f t="shared" si="5"/>
        <v>Progress within level</v>
      </c>
      <c r="S275" s="210">
        <f t="shared" si="6"/>
        <v>1</v>
      </c>
      <c r="T275" s="210"/>
      <c r="U275" s="210"/>
      <c r="V275" s="211" t="s">
        <v>954</v>
      </c>
      <c r="W275" s="210" t="str">
        <f t="shared" si="7"/>
        <v>DEV</v>
      </c>
      <c r="X275" s="210" t="str">
        <f t="shared" si="8"/>
        <v>DEV, TA</v>
      </c>
      <c r="Y275" s="210" t="str">
        <f t="shared" si="9"/>
        <v>ONC</v>
      </c>
      <c r="Z275" s="210"/>
      <c r="AA275" s="210"/>
      <c r="AB275" s="210"/>
      <c r="AC275" s="210"/>
      <c r="AD275" s="210"/>
      <c r="AE275" s="210"/>
      <c r="AF275" s="210"/>
      <c r="AG275" s="210"/>
      <c r="AH275" s="210"/>
      <c r="AI275" s="210"/>
      <c r="AJ275" s="210"/>
      <c r="AK275" s="210"/>
      <c r="AL275" s="210"/>
      <c r="AM275" s="214"/>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c r="BU275" s="210"/>
      <c r="BV275" s="210"/>
      <c r="BW275" s="210"/>
      <c r="BX275" s="210"/>
      <c r="BY275" s="210"/>
      <c r="BZ275" s="210"/>
      <c r="CA275" s="210"/>
      <c r="CB275" s="210"/>
      <c r="CC275" s="210"/>
      <c r="CD275" s="210"/>
      <c r="CE275" s="210"/>
      <c r="CF275" s="210"/>
      <c r="CG275" s="210"/>
      <c r="CH275" s="210"/>
      <c r="CI275" s="210"/>
      <c r="CJ275" s="210"/>
      <c r="CK275" s="210"/>
    </row>
    <row r="276">
      <c r="A276" s="222" t="s">
        <v>520</v>
      </c>
      <c r="B276" s="190" t="s">
        <v>521</v>
      </c>
      <c r="C276" s="223" t="s">
        <v>76</v>
      </c>
      <c r="D276" s="223" t="s">
        <v>869</v>
      </c>
      <c r="E276" s="190" t="s">
        <v>21</v>
      </c>
      <c r="F276" s="13" t="s">
        <v>927</v>
      </c>
      <c r="G276" s="13" t="s">
        <v>927</v>
      </c>
      <c r="H276" s="219">
        <f>IFERROR(
  MINIFS(ATTENDANCE_LOG!$F:$F,
         ATTENDANCE_LOG!$A:$A, C276,
         ATTENDANCE_LOG!$B:$B, E276),
"")</f>
        <v>45763.54167</v>
      </c>
      <c r="I276" s="219">
        <f t="shared" si="2"/>
        <v>45763.54167</v>
      </c>
      <c r="J276" s="190">
        <f>IFERROR(VLOOKUP(F276, LEVEL_HELPER!$A:$B, 2, 0), "")</f>
        <v>1</v>
      </c>
      <c r="K276" s="190">
        <f>IFERROR(VLOOKUP(G276, LEVEL_HELPER!$A:$B, 2, 0), "")</f>
        <v>1</v>
      </c>
      <c r="L276" s="220" t="s">
        <v>943</v>
      </c>
      <c r="M276" s="220" t="s">
        <v>923</v>
      </c>
      <c r="N276" s="190">
        <f t="array" ref="N276">IFERROR(
  INDEX($J$2:$J$543,
    MATCH(A276&amp;TEXT(I276,"yyyy-mm-dd"),
          $A$2:$A$543&amp;TEXT($H$2:$H$543,"yyyy-mm-dd"),
          0)),
"")</f>
        <v>1</v>
      </c>
      <c r="O276" s="210">
        <f t="shared" si="3"/>
        <v>1</v>
      </c>
      <c r="P276" s="210">
        <f t="shared" ref="P276:Q276" si="286">IF(N276="",0,IF(N276&lt;=2,1,IF(N276&lt;=4,2,IF(N276&lt;=5.5,3,4))))</f>
        <v>1</v>
      </c>
      <c r="Q276" s="210">
        <f t="shared" si="286"/>
        <v>1</v>
      </c>
      <c r="R276" s="210" t="str">
        <f t="shared" si="5"/>
        <v>No Progress</v>
      </c>
      <c r="S276" s="210">
        <f t="shared" si="6"/>
        <v>1</v>
      </c>
      <c r="T276" s="210"/>
      <c r="U276" s="210"/>
      <c r="V276" s="211" t="s">
        <v>725</v>
      </c>
      <c r="W276" s="210" t="str">
        <f t="shared" si="7"/>
        <v>DEV</v>
      </c>
      <c r="X276" s="210" t="str">
        <f t="shared" si="8"/>
        <v>DEV, TA</v>
      </c>
      <c r="Y276" s="210" t="str">
        <f t="shared" si="9"/>
        <v>ONC</v>
      </c>
      <c r="Z276" s="210"/>
      <c r="AA276" s="210"/>
      <c r="AB276" s="210"/>
      <c r="AC276" s="210"/>
      <c r="AD276" s="210"/>
      <c r="AE276" s="210"/>
      <c r="AF276" s="210"/>
      <c r="AG276" s="210"/>
      <c r="AH276" s="210"/>
      <c r="AI276" s="210"/>
      <c r="AJ276" s="210"/>
      <c r="AK276" s="210"/>
      <c r="AL276" s="210"/>
      <c r="AM276" s="214"/>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c r="BU276" s="210"/>
      <c r="BV276" s="210"/>
      <c r="BW276" s="210"/>
      <c r="BX276" s="210"/>
      <c r="BY276" s="210"/>
      <c r="BZ276" s="210"/>
      <c r="CA276" s="210"/>
      <c r="CB276" s="210"/>
      <c r="CC276" s="210"/>
      <c r="CD276" s="210"/>
      <c r="CE276" s="210"/>
      <c r="CF276" s="210"/>
      <c r="CG276" s="210"/>
      <c r="CH276" s="210"/>
      <c r="CI276" s="210"/>
      <c r="CJ276" s="210"/>
      <c r="CK276" s="210"/>
    </row>
    <row r="277">
      <c r="A277" s="222" t="s">
        <v>595</v>
      </c>
      <c r="B277" s="190" t="s">
        <v>596</v>
      </c>
      <c r="C277" s="223" t="s">
        <v>76</v>
      </c>
      <c r="D277" s="223" t="s">
        <v>869</v>
      </c>
      <c r="E277" s="190" t="s">
        <v>21</v>
      </c>
      <c r="F277" s="13" t="s">
        <v>927</v>
      </c>
      <c r="G277" s="13" t="s">
        <v>927</v>
      </c>
      <c r="H277" s="219">
        <f>IFERROR(
  MINIFS(ATTENDANCE_LOG!$F:$F,
         ATTENDANCE_LOG!$A:$A, C277,
         ATTENDANCE_LOG!$B:$B, E277),
"")</f>
        <v>45763.54167</v>
      </c>
      <c r="I277" s="219">
        <f t="shared" si="2"/>
        <v>45763.54167</v>
      </c>
      <c r="J277" s="190">
        <f>IFERROR(VLOOKUP(F277, LEVEL_HELPER!$A:$B, 2, 0), "")</f>
        <v>1</v>
      </c>
      <c r="K277" s="190">
        <f>IFERROR(VLOOKUP(G277, LEVEL_HELPER!$A:$B, 2, 0), "")</f>
        <v>1</v>
      </c>
      <c r="L277" s="220" t="s">
        <v>943</v>
      </c>
      <c r="M277" s="220" t="s">
        <v>923</v>
      </c>
      <c r="N277" s="190">
        <f t="array" ref="N277">IFERROR(
  INDEX($J$2:$J$543,
    MATCH(A277&amp;TEXT(I277,"yyyy-mm-dd"),
          $A$2:$A$543&amp;TEXT($H$2:$H$543,"yyyy-mm-dd"),
          0)),
"")</f>
        <v>1</v>
      </c>
      <c r="O277" s="210">
        <f t="shared" si="3"/>
        <v>1</v>
      </c>
      <c r="P277" s="210">
        <f t="shared" ref="P277:Q277" si="287">IF(N277="",0,IF(N277&lt;=2,1,IF(N277&lt;=4,2,IF(N277&lt;=5.5,3,4))))</f>
        <v>1</v>
      </c>
      <c r="Q277" s="210">
        <f t="shared" si="287"/>
        <v>1</v>
      </c>
      <c r="R277" s="210" t="str">
        <f t="shared" si="5"/>
        <v>No Progress</v>
      </c>
      <c r="S277" s="210">
        <f t="shared" si="6"/>
        <v>1</v>
      </c>
      <c r="T277" s="210"/>
      <c r="U277" s="210"/>
      <c r="V277" s="211" t="s">
        <v>727</v>
      </c>
      <c r="W277" s="210" t="str">
        <f t="shared" si="7"/>
        <v>DEV</v>
      </c>
      <c r="X277" s="210" t="str">
        <f t="shared" si="8"/>
        <v>DEV, TA</v>
      </c>
      <c r="Y277" s="210" t="str">
        <f t="shared" si="9"/>
        <v>ONC</v>
      </c>
      <c r="Z277" s="210"/>
      <c r="AA277" s="210"/>
      <c r="AB277" s="210"/>
      <c r="AC277" s="210"/>
      <c r="AD277" s="210"/>
      <c r="AE277" s="210"/>
      <c r="AF277" s="210"/>
      <c r="AG277" s="210"/>
      <c r="AH277" s="210"/>
      <c r="AI277" s="210"/>
      <c r="AJ277" s="210"/>
      <c r="AK277" s="210"/>
      <c r="AL277" s="210"/>
      <c r="AM277" s="214"/>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c r="BU277" s="210"/>
      <c r="BV277" s="210"/>
      <c r="BW277" s="210"/>
      <c r="BX277" s="210"/>
      <c r="BY277" s="210"/>
      <c r="BZ277" s="210"/>
      <c r="CA277" s="210"/>
      <c r="CB277" s="210"/>
      <c r="CC277" s="210"/>
      <c r="CD277" s="210"/>
      <c r="CE277" s="210"/>
      <c r="CF277" s="210"/>
      <c r="CG277" s="210"/>
      <c r="CH277" s="210"/>
      <c r="CI277" s="210"/>
      <c r="CJ277" s="210"/>
      <c r="CK277" s="210"/>
    </row>
    <row r="278">
      <c r="A278" s="222" t="s">
        <v>615</v>
      </c>
      <c r="B278" s="190" t="s">
        <v>616</v>
      </c>
      <c r="C278" s="223" t="s">
        <v>76</v>
      </c>
      <c r="D278" s="223" t="s">
        <v>869</v>
      </c>
      <c r="E278" s="190" t="s">
        <v>21</v>
      </c>
      <c r="F278" s="13" t="s">
        <v>927</v>
      </c>
      <c r="G278" s="13" t="s">
        <v>935</v>
      </c>
      <c r="H278" s="219">
        <f>IFERROR(
  MINIFS(ATTENDANCE_LOG!$F:$F,
         ATTENDANCE_LOG!$A:$A, C278,
         ATTENDANCE_LOG!$B:$B, E278),
"")</f>
        <v>45763.54167</v>
      </c>
      <c r="I278" s="219">
        <f t="shared" si="2"/>
        <v>45763.54167</v>
      </c>
      <c r="J278" s="190">
        <f>IFERROR(VLOOKUP(F278, LEVEL_HELPER!$A:$B, 2, 0), "")</f>
        <v>1</v>
      </c>
      <c r="K278" s="190">
        <f>IFERROR(VLOOKUP(G278, LEVEL_HELPER!$A:$B, 2, 0), "")</f>
        <v>3.5</v>
      </c>
      <c r="L278" s="220" t="s">
        <v>919</v>
      </c>
      <c r="M278" s="220" t="s">
        <v>923</v>
      </c>
      <c r="N278" s="190">
        <f t="array" ref="N278">IFERROR(
  INDEX($J$2:$J$543,
    MATCH(A278&amp;TEXT(I278,"yyyy-mm-dd"),
          $A$2:$A$543&amp;TEXT($H$2:$H$543,"yyyy-mm-dd"),
          0)),
"")</f>
        <v>1</v>
      </c>
      <c r="O278" s="210">
        <f t="shared" si="3"/>
        <v>3.5</v>
      </c>
      <c r="P278" s="210">
        <f t="shared" ref="P278:Q278" si="288">IF(N278="",0,IF(N278&lt;=2,1,IF(N278&lt;=4,2,IF(N278&lt;=5.5,3,4))))</f>
        <v>1</v>
      </c>
      <c r="Q278" s="210">
        <f t="shared" si="288"/>
        <v>2</v>
      </c>
      <c r="R278" s="210" t="str">
        <f t="shared" si="5"/>
        <v>Lv1 → Lv2</v>
      </c>
      <c r="S278" s="210">
        <f t="shared" si="6"/>
        <v>1</v>
      </c>
      <c r="T278" s="210"/>
      <c r="U278" s="210"/>
      <c r="V278" s="211" t="s">
        <v>729</v>
      </c>
      <c r="W278" s="210" t="str">
        <f t="shared" si="7"/>
        <v>DEV</v>
      </c>
      <c r="X278" s="210" t="str">
        <f t="shared" si="8"/>
        <v>DEV, TA</v>
      </c>
      <c r="Y278" s="210" t="str">
        <f t="shared" si="9"/>
        <v>ONC</v>
      </c>
      <c r="Z278" s="210"/>
      <c r="AA278" s="210"/>
      <c r="AB278" s="210"/>
      <c r="AC278" s="210"/>
      <c r="AD278" s="210"/>
      <c r="AE278" s="210"/>
      <c r="AF278" s="210"/>
      <c r="AG278" s="210"/>
      <c r="AH278" s="210"/>
      <c r="AI278" s="210"/>
      <c r="AJ278" s="210"/>
      <c r="AK278" s="210"/>
      <c r="AL278" s="210"/>
      <c r="AM278" s="214"/>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c r="BU278" s="210"/>
      <c r="BV278" s="210"/>
      <c r="BW278" s="210"/>
      <c r="BX278" s="210"/>
      <c r="BY278" s="210"/>
      <c r="BZ278" s="210"/>
      <c r="CA278" s="210"/>
      <c r="CB278" s="210"/>
      <c r="CC278" s="210"/>
      <c r="CD278" s="210"/>
      <c r="CE278" s="210"/>
      <c r="CF278" s="210"/>
      <c r="CG278" s="210"/>
      <c r="CH278" s="210"/>
      <c r="CI278" s="210"/>
      <c r="CJ278" s="210"/>
      <c r="CK278" s="210"/>
    </row>
    <row r="279">
      <c r="A279" s="222" t="s">
        <v>685</v>
      </c>
      <c r="B279" s="190" t="s">
        <v>686</v>
      </c>
      <c r="C279" s="223" t="s">
        <v>76</v>
      </c>
      <c r="D279" s="223" t="s">
        <v>869</v>
      </c>
      <c r="E279" s="190" t="s">
        <v>21</v>
      </c>
      <c r="F279" s="13" t="s">
        <v>927</v>
      </c>
      <c r="G279" s="13" t="s">
        <v>927</v>
      </c>
      <c r="H279" s="219">
        <f>IFERROR(
  MINIFS(ATTENDANCE_LOG!$F:$F,
         ATTENDANCE_LOG!$A:$A, C279,
         ATTENDANCE_LOG!$B:$B, E279),
"")</f>
        <v>45763.54167</v>
      </c>
      <c r="I279" s="219">
        <f t="shared" si="2"/>
        <v>45763.54167</v>
      </c>
      <c r="J279" s="190">
        <f>IFERROR(VLOOKUP(F279, LEVEL_HELPER!$A:$B, 2, 0), "")</f>
        <v>1</v>
      </c>
      <c r="K279" s="190">
        <f>IFERROR(VLOOKUP(G279, LEVEL_HELPER!$A:$B, 2, 0), "")</f>
        <v>1</v>
      </c>
      <c r="L279" s="220" t="s">
        <v>943</v>
      </c>
      <c r="M279" s="220" t="s">
        <v>923</v>
      </c>
      <c r="N279" s="190">
        <f t="array" ref="N279">IFERROR(
  INDEX($J$2:$J$543,
    MATCH(A279&amp;TEXT(I279,"yyyy-mm-dd"),
          $A$2:$A$543&amp;TEXT($H$2:$H$543,"yyyy-mm-dd"),
          0)),
"")</f>
        <v>1</v>
      </c>
      <c r="O279" s="210">
        <f t="shared" si="3"/>
        <v>1.5</v>
      </c>
      <c r="P279" s="210">
        <f t="shared" ref="P279:Q279" si="289">IF(N279="",0,IF(N279&lt;=2,1,IF(N279&lt;=4,2,IF(N279&lt;=5.5,3,4))))</f>
        <v>1</v>
      </c>
      <c r="Q279" s="210">
        <f t="shared" si="289"/>
        <v>1</v>
      </c>
      <c r="R279" s="210" t="str">
        <f t="shared" si="5"/>
        <v>Progress within level</v>
      </c>
      <c r="S279" s="210">
        <f t="shared" si="6"/>
        <v>1</v>
      </c>
      <c r="T279" s="210"/>
      <c r="U279" s="210"/>
      <c r="V279" s="211" t="s">
        <v>731</v>
      </c>
      <c r="W279" s="210" t="str">
        <f t="shared" si="7"/>
        <v>DEV</v>
      </c>
      <c r="X279" s="210" t="str">
        <f t="shared" si="8"/>
        <v>DEV, TA</v>
      </c>
      <c r="Y279" s="210" t="str">
        <f t="shared" si="9"/>
        <v>ONC</v>
      </c>
      <c r="Z279" s="210"/>
      <c r="AA279" s="210"/>
      <c r="AB279" s="210"/>
      <c r="AC279" s="210"/>
      <c r="AD279" s="210"/>
      <c r="AE279" s="210"/>
      <c r="AF279" s="210"/>
      <c r="AG279" s="210"/>
      <c r="AH279" s="210"/>
      <c r="AI279" s="210"/>
      <c r="AJ279" s="210"/>
      <c r="AK279" s="210"/>
      <c r="AL279" s="210"/>
      <c r="AM279" s="214"/>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c r="BU279" s="210"/>
      <c r="BV279" s="210"/>
      <c r="BW279" s="210"/>
      <c r="BX279" s="210"/>
      <c r="BY279" s="210"/>
      <c r="BZ279" s="210"/>
      <c r="CA279" s="210"/>
      <c r="CB279" s="210"/>
      <c r="CC279" s="210"/>
      <c r="CD279" s="210"/>
      <c r="CE279" s="210"/>
      <c r="CF279" s="210"/>
      <c r="CG279" s="210"/>
      <c r="CH279" s="210"/>
      <c r="CI279" s="210"/>
      <c r="CJ279" s="210"/>
      <c r="CK279" s="210"/>
    </row>
    <row r="280">
      <c r="A280" s="222" t="s">
        <v>709</v>
      </c>
      <c r="B280" s="190" t="s">
        <v>710</v>
      </c>
      <c r="C280" s="223" t="s">
        <v>76</v>
      </c>
      <c r="D280" s="223" t="s">
        <v>869</v>
      </c>
      <c r="E280" s="190" t="s">
        <v>21</v>
      </c>
      <c r="F280" s="13" t="s">
        <v>927</v>
      </c>
      <c r="G280" s="13" t="s">
        <v>927</v>
      </c>
      <c r="H280" s="219">
        <f>IFERROR(
  MINIFS(ATTENDANCE_LOG!$F:$F,
         ATTENDANCE_LOG!$A:$A, C280,
         ATTENDANCE_LOG!$B:$B, E280),
"")</f>
        <v>45763.54167</v>
      </c>
      <c r="I280" s="219">
        <f t="shared" si="2"/>
        <v>45763.54167</v>
      </c>
      <c r="J280" s="190">
        <f>IFERROR(VLOOKUP(F280, LEVEL_HELPER!$A:$B, 2, 0), "")</f>
        <v>1</v>
      </c>
      <c r="K280" s="190">
        <f>IFERROR(VLOOKUP(G280, LEVEL_HELPER!$A:$B, 2, 0), "")</f>
        <v>1</v>
      </c>
      <c r="L280" s="220" t="s">
        <v>943</v>
      </c>
      <c r="M280" s="220" t="s">
        <v>923</v>
      </c>
      <c r="N280" s="190">
        <f t="array" ref="N280">IFERROR(
  INDEX($J$2:$J$543,
    MATCH(A280&amp;TEXT(I280,"yyyy-mm-dd"),
          $A$2:$A$543&amp;TEXT($H$2:$H$543,"yyyy-mm-dd"),
          0)),
"")</f>
        <v>1</v>
      </c>
      <c r="O280" s="210">
        <f t="shared" si="3"/>
        <v>3.5</v>
      </c>
      <c r="P280" s="210">
        <f t="shared" ref="P280:Q280" si="290">IF(N280="",0,IF(N280&lt;=2,1,IF(N280&lt;=4,2,IF(N280&lt;=5.5,3,4))))</f>
        <v>1</v>
      </c>
      <c r="Q280" s="210">
        <f t="shared" si="290"/>
        <v>2</v>
      </c>
      <c r="R280" s="210" t="str">
        <f t="shared" si="5"/>
        <v>Lv1 → Lv2</v>
      </c>
      <c r="S280" s="210">
        <f t="shared" si="6"/>
        <v>1</v>
      </c>
      <c r="T280" s="210"/>
      <c r="U280" s="210"/>
      <c r="V280" s="211" t="s">
        <v>733</v>
      </c>
      <c r="W280" s="210" t="str">
        <f t="shared" si="7"/>
        <v>DEV</v>
      </c>
      <c r="X280" s="210" t="str">
        <f t="shared" si="8"/>
        <v>DEV, TA</v>
      </c>
      <c r="Y280" s="210" t="str">
        <f t="shared" si="9"/>
        <v>ONC</v>
      </c>
      <c r="Z280" s="210"/>
      <c r="AA280" s="210"/>
      <c r="AB280" s="210"/>
      <c r="AC280" s="210"/>
      <c r="AD280" s="210"/>
      <c r="AE280" s="210"/>
      <c r="AF280" s="210"/>
      <c r="AG280" s="210"/>
      <c r="AH280" s="210"/>
      <c r="AI280" s="210"/>
      <c r="AJ280" s="210"/>
      <c r="AK280" s="210"/>
      <c r="AL280" s="210"/>
      <c r="AM280" s="214"/>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c r="BU280" s="210"/>
      <c r="BV280" s="210"/>
      <c r="BW280" s="210"/>
      <c r="BX280" s="210"/>
      <c r="BY280" s="210"/>
      <c r="BZ280" s="210"/>
      <c r="CA280" s="210"/>
      <c r="CB280" s="210"/>
      <c r="CC280" s="210"/>
      <c r="CD280" s="210"/>
      <c r="CE280" s="210"/>
      <c r="CF280" s="210"/>
      <c r="CG280" s="210"/>
      <c r="CH280" s="210"/>
      <c r="CI280" s="210"/>
      <c r="CJ280" s="210"/>
      <c r="CK280" s="210"/>
    </row>
    <row r="281">
      <c r="A281" s="222" t="s">
        <v>210</v>
      </c>
      <c r="B281" s="190" t="s">
        <v>211</v>
      </c>
      <c r="C281" s="223" t="s">
        <v>76</v>
      </c>
      <c r="D281" s="223" t="s">
        <v>869</v>
      </c>
      <c r="E281" s="190" t="s">
        <v>22</v>
      </c>
      <c r="F281" s="13" t="s">
        <v>917</v>
      </c>
      <c r="G281" s="13" t="s">
        <v>918</v>
      </c>
      <c r="H281" s="219">
        <f>IFERROR(
  MINIFS(ATTENDANCE_LOG!$F:$F,
         ATTENDANCE_LOG!$A:$A, C281,
         ATTENDANCE_LOG!$B:$B, E281),
"")</f>
        <v>45895.58333</v>
      </c>
      <c r="I281" s="219">
        <f t="shared" si="2"/>
        <v>45763.54167</v>
      </c>
      <c r="J281" s="190">
        <f>IFERROR(VLOOKUP(F281, LEVEL_HELPER!$A:$B, 2, 0), "")</f>
        <v>2.5</v>
      </c>
      <c r="K281" s="190">
        <f>IFERROR(VLOOKUP(G281, LEVEL_HELPER!$A:$B, 2, 0), "")</f>
        <v>3</v>
      </c>
      <c r="L281" s="220" t="s">
        <v>943</v>
      </c>
      <c r="M281" s="220" t="s">
        <v>923</v>
      </c>
      <c r="N281" s="190">
        <f t="array" ref="N281">IFERROR(
  INDEX($J$2:$J$543,
    MATCH(A281&amp;TEXT(I281,"yyyy-mm-dd"),
          $A$2:$A$543&amp;TEXT($H$2:$H$543,"yyyy-mm-dd"),
          0)),
"")</f>
        <v>2.5</v>
      </c>
      <c r="O281" s="210">
        <f t="shared" si="3"/>
        <v>3</v>
      </c>
      <c r="P281" s="210">
        <f t="shared" ref="P281:Q281" si="291">IF(N281="",0,IF(N281&lt;=2,1,IF(N281&lt;=4,2,IF(N281&lt;=5.5,3,4))))</f>
        <v>2</v>
      </c>
      <c r="Q281" s="210">
        <f t="shared" si="291"/>
        <v>2</v>
      </c>
      <c r="R281" s="210" t="str">
        <f t="shared" si="5"/>
        <v>Progress within level</v>
      </c>
      <c r="S281" s="210">
        <f t="shared" si="6"/>
        <v>0</v>
      </c>
      <c r="T281" s="210"/>
      <c r="U281" s="210"/>
      <c r="V281" s="211" t="s">
        <v>735</v>
      </c>
      <c r="W281" s="210" t="str">
        <f t="shared" si="7"/>
        <v>DEV</v>
      </c>
      <c r="X281" s="210" t="str">
        <f t="shared" si="8"/>
        <v>DEV, TA</v>
      </c>
      <c r="Y281" s="210" t="str">
        <f t="shared" si="9"/>
        <v>ONC</v>
      </c>
      <c r="Z281" s="210"/>
      <c r="AA281" s="210"/>
      <c r="AB281" s="210"/>
      <c r="AC281" s="210"/>
      <c r="AD281" s="210"/>
      <c r="AE281" s="210"/>
      <c r="AF281" s="210"/>
      <c r="AG281" s="210"/>
      <c r="AH281" s="210"/>
      <c r="AI281" s="210"/>
      <c r="AJ281" s="210"/>
      <c r="AK281" s="210"/>
      <c r="AL281" s="210"/>
      <c r="AM281" s="214"/>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c r="BU281" s="210"/>
      <c r="BV281" s="210"/>
      <c r="BW281" s="210"/>
      <c r="BX281" s="210"/>
      <c r="BY281" s="210"/>
      <c r="BZ281" s="210"/>
      <c r="CA281" s="210"/>
      <c r="CB281" s="210"/>
      <c r="CC281" s="210"/>
      <c r="CD281" s="210"/>
      <c r="CE281" s="210"/>
      <c r="CF281" s="210"/>
      <c r="CG281" s="210"/>
      <c r="CH281" s="210"/>
      <c r="CI281" s="210"/>
      <c r="CJ281" s="210"/>
      <c r="CK281" s="210"/>
    </row>
    <row r="282">
      <c r="A282" s="216" t="s">
        <v>651</v>
      </c>
      <c r="B282" s="217" t="s">
        <v>652</v>
      </c>
      <c r="C282" s="218" t="s">
        <v>76</v>
      </c>
      <c r="D282" s="218" t="s">
        <v>869</v>
      </c>
      <c r="E282" s="217" t="s">
        <v>22</v>
      </c>
      <c r="F282" s="13" t="s">
        <v>918</v>
      </c>
      <c r="G282" s="190"/>
      <c r="H282" s="219">
        <f>IFERROR(
  MINIFS(ATTENDANCE_LOG!$F:$F,
         ATTENDANCE_LOG!$A:$A, C282,
         ATTENDANCE_LOG!$B:$B, E282),
"")</f>
        <v>45895.58333</v>
      </c>
      <c r="I282" s="219">
        <f t="shared" si="2"/>
        <v>45763.54167</v>
      </c>
      <c r="J282" s="190">
        <f>IFERROR(VLOOKUP(F282, LEVEL_HELPER!$A:$B, 2, 0), "")</f>
        <v>3</v>
      </c>
      <c r="K282" s="190" t="str">
        <f>IFERROR(VLOOKUP(G282, LEVEL_HELPER!$A:$B, 2, 0), "")</f>
        <v/>
      </c>
      <c r="L282" s="220" t="s">
        <v>919</v>
      </c>
      <c r="M282" s="220" t="s">
        <v>923</v>
      </c>
      <c r="N282" s="190">
        <f t="array" ref="N282">IFERROR(
  INDEX($J$2:$J$543,
    MATCH(A282&amp;TEXT(I282,"yyyy-mm-dd"),
          $A$2:$A$543&amp;TEXT($H$2:$H$543,"yyyy-mm-dd"),
          0)),
"")</f>
        <v>1</v>
      </c>
      <c r="O282" s="210">
        <f t="shared" si="3"/>
        <v>3</v>
      </c>
      <c r="P282" s="210">
        <f t="shared" ref="P282:Q282" si="292">IF(N282="",0,IF(N282&lt;=2,1,IF(N282&lt;=4,2,IF(N282&lt;=5.5,3,4))))</f>
        <v>1</v>
      </c>
      <c r="Q282" s="210">
        <f t="shared" si="292"/>
        <v>2</v>
      </c>
      <c r="R282" s="210" t="str">
        <f t="shared" si="5"/>
        <v>Lv1 → Lv2</v>
      </c>
      <c r="S282" s="210">
        <f t="shared" si="6"/>
        <v>0</v>
      </c>
      <c r="T282" s="210"/>
      <c r="U282" s="210"/>
      <c r="V282" s="211" t="s">
        <v>737</v>
      </c>
      <c r="W282" s="210" t="str">
        <f t="shared" si="7"/>
        <v>DEV</v>
      </c>
      <c r="X282" s="210" t="str">
        <f t="shared" si="8"/>
        <v>DEV, TA</v>
      </c>
      <c r="Y282" s="210" t="str">
        <f t="shared" si="9"/>
        <v>ONC</v>
      </c>
      <c r="Z282" s="210"/>
      <c r="AA282" s="210"/>
      <c r="AB282" s="210"/>
      <c r="AC282" s="210"/>
      <c r="AD282" s="210"/>
      <c r="AE282" s="210"/>
      <c r="AF282" s="210"/>
      <c r="AG282" s="210"/>
      <c r="AH282" s="210"/>
      <c r="AI282" s="210"/>
      <c r="AJ282" s="210"/>
      <c r="AK282" s="210"/>
      <c r="AL282" s="210"/>
      <c r="AM282" s="214"/>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c r="BU282" s="210"/>
      <c r="BV282" s="210"/>
      <c r="BW282" s="210"/>
      <c r="BX282" s="210"/>
      <c r="BY282" s="210"/>
      <c r="BZ282" s="210"/>
      <c r="CA282" s="210"/>
      <c r="CB282" s="210"/>
      <c r="CC282" s="210"/>
      <c r="CD282" s="210"/>
      <c r="CE282" s="210"/>
      <c r="CF282" s="210"/>
      <c r="CG282" s="210"/>
      <c r="CH282" s="210"/>
      <c r="CI282" s="210"/>
      <c r="CJ282" s="210"/>
      <c r="CK282" s="210"/>
    </row>
    <row r="283">
      <c r="A283" s="222" t="s">
        <v>228</v>
      </c>
      <c r="B283" s="190" t="s">
        <v>229</v>
      </c>
      <c r="C283" s="223" t="s">
        <v>76</v>
      </c>
      <c r="D283" s="223" t="s">
        <v>869</v>
      </c>
      <c r="E283" s="190" t="s">
        <v>22</v>
      </c>
      <c r="F283" s="13" t="s">
        <v>918</v>
      </c>
      <c r="G283" s="190"/>
      <c r="H283" s="219">
        <f>IFERROR(
  MINIFS(ATTENDANCE_LOG!$F:$F,
         ATTENDANCE_LOG!$A:$A, C283,
         ATTENDANCE_LOG!$B:$B, E283),
"")</f>
        <v>45895.58333</v>
      </c>
      <c r="I283" s="219">
        <f t="shared" si="2"/>
        <v>45639.41667</v>
      </c>
      <c r="J283" s="190">
        <f>IFERROR(VLOOKUP(F283, LEVEL_HELPER!$A:$B, 2, 0), "")</f>
        <v>3</v>
      </c>
      <c r="K283" s="190" t="str">
        <f>IFERROR(VLOOKUP(G283, LEVEL_HELPER!$A:$B, 2, 0), "")</f>
        <v/>
      </c>
      <c r="L283" s="220" t="s">
        <v>943</v>
      </c>
      <c r="M283" s="220" t="s">
        <v>923</v>
      </c>
      <c r="N283" s="190">
        <f t="array" ref="N283">IFERROR(
  INDEX($J$2:$J$543,
    MATCH(A283&amp;TEXT(I283,"yyyy-mm-dd"),
          $A$2:$A$543&amp;TEXT($H$2:$H$543,"yyyy-mm-dd"),
          0)),
"")</f>
        <v>1</v>
      </c>
      <c r="O283" s="210">
        <f t="shared" si="3"/>
        <v>3</v>
      </c>
      <c r="P283" s="210">
        <f t="shared" ref="P283:Q283" si="293">IF(N283="",0,IF(N283&lt;=2,1,IF(N283&lt;=4,2,IF(N283&lt;=5.5,3,4))))</f>
        <v>1</v>
      </c>
      <c r="Q283" s="210">
        <f t="shared" si="293"/>
        <v>2</v>
      </c>
      <c r="R283" s="210" t="str">
        <f t="shared" si="5"/>
        <v>Lv1 → Lv2</v>
      </c>
      <c r="S283" s="210">
        <f t="shared" si="6"/>
        <v>0</v>
      </c>
      <c r="T283" s="210"/>
      <c r="U283" s="210"/>
      <c r="V283" s="211" t="s">
        <v>739</v>
      </c>
      <c r="W283" s="210" t="str">
        <f t="shared" si="7"/>
        <v>DEV</v>
      </c>
      <c r="X283" s="210" t="str">
        <f t="shared" si="8"/>
        <v>DEV, TA</v>
      </c>
      <c r="Y283" s="210" t="str">
        <f t="shared" si="9"/>
        <v>ONC</v>
      </c>
      <c r="Z283" s="210"/>
      <c r="AA283" s="210"/>
      <c r="AB283" s="210"/>
      <c r="AC283" s="210"/>
      <c r="AD283" s="210"/>
      <c r="AE283" s="210"/>
      <c r="AF283" s="210"/>
      <c r="AG283" s="210"/>
      <c r="AH283" s="210"/>
      <c r="AI283" s="210"/>
      <c r="AJ283" s="210"/>
      <c r="AK283" s="210"/>
      <c r="AL283" s="210"/>
      <c r="AM283" s="214"/>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c r="BU283" s="210"/>
      <c r="BV283" s="210"/>
      <c r="BW283" s="210"/>
      <c r="BX283" s="210"/>
      <c r="BY283" s="210"/>
      <c r="BZ283" s="210"/>
      <c r="CA283" s="210"/>
      <c r="CB283" s="210"/>
      <c r="CC283" s="210"/>
      <c r="CD283" s="210"/>
      <c r="CE283" s="210"/>
      <c r="CF283" s="210"/>
      <c r="CG283" s="210"/>
      <c r="CH283" s="210"/>
      <c r="CI283" s="210"/>
      <c r="CJ283" s="210"/>
      <c r="CK283" s="210"/>
    </row>
    <row r="284">
      <c r="A284" s="222" t="s">
        <v>399</v>
      </c>
      <c r="B284" s="190" t="s">
        <v>400</v>
      </c>
      <c r="C284" s="223" t="s">
        <v>76</v>
      </c>
      <c r="D284" s="223" t="s">
        <v>869</v>
      </c>
      <c r="E284" s="190" t="s">
        <v>22</v>
      </c>
      <c r="F284" s="13" t="s">
        <v>935</v>
      </c>
      <c r="G284" s="190"/>
      <c r="H284" s="219">
        <f>IFERROR(
  MINIFS(ATTENDANCE_LOG!$F:$F,
         ATTENDANCE_LOG!$A:$A, C284,
         ATTENDANCE_LOG!$B:$B, E284),
"")</f>
        <v>45895.58333</v>
      </c>
      <c r="I284" s="219">
        <f t="shared" si="2"/>
        <v>45715.45833</v>
      </c>
      <c r="J284" s="190">
        <f>IFERROR(VLOOKUP(F284, LEVEL_HELPER!$A:$B, 2, 0), "")</f>
        <v>3.5</v>
      </c>
      <c r="K284" s="190" t="str">
        <f>IFERROR(VLOOKUP(G284, LEVEL_HELPER!$A:$B, 2, 0), "")</f>
        <v/>
      </c>
      <c r="L284" s="220" t="s">
        <v>945</v>
      </c>
      <c r="M284" s="220" t="s">
        <v>923</v>
      </c>
      <c r="N284" s="190">
        <f t="array" ref="N284">IFERROR(
  INDEX($J$2:$J$543,
    MATCH(A284&amp;TEXT(I284,"yyyy-mm-dd"),
          $A$2:$A$543&amp;TEXT($H$2:$H$543,"yyyy-mm-dd"),
          0)),
"")</f>
        <v>2.5</v>
      </c>
      <c r="O284" s="210">
        <f t="shared" si="3"/>
        <v>3.5</v>
      </c>
      <c r="P284" s="210">
        <f t="shared" ref="P284:Q284" si="294">IF(N284="",0,IF(N284&lt;=2,1,IF(N284&lt;=4,2,IF(N284&lt;=5.5,3,4))))</f>
        <v>2</v>
      </c>
      <c r="Q284" s="210">
        <f t="shared" si="294"/>
        <v>2</v>
      </c>
      <c r="R284" s="210" t="str">
        <f t="shared" si="5"/>
        <v>Progress within level</v>
      </c>
      <c r="S284" s="210">
        <f t="shared" si="6"/>
        <v>0</v>
      </c>
      <c r="T284" s="210"/>
      <c r="U284" s="210"/>
      <c r="V284" s="211" t="s">
        <v>741</v>
      </c>
      <c r="W284" s="210" t="str">
        <f t="shared" si="7"/>
        <v>DEV</v>
      </c>
      <c r="X284" s="210" t="str">
        <f t="shared" si="8"/>
        <v>DEV, TA</v>
      </c>
      <c r="Y284" s="210" t="str">
        <f t="shared" si="9"/>
        <v>ONC</v>
      </c>
      <c r="Z284" s="210"/>
      <c r="AA284" s="210"/>
      <c r="AB284" s="210"/>
      <c r="AC284" s="210"/>
      <c r="AD284" s="210"/>
      <c r="AE284" s="210"/>
      <c r="AF284" s="210"/>
      <c r="AG284" s="210"/>
      <c r="AH284" s="210"/>
      <c r="AI284" s="210"/>
      <c r="AJ284" s="210"/>
      <c r="AK284" s="210"/>
      <c r="AL284" s="210"/>
      <c r="AM284" s="214"/>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c r="BU284" s="210"/>
      <c r="BV284" s="210"/>
      <c r="BW284" s="210"/>
      <c r="BX284" s="210"/>
      <c r="BY284" s="210"/>
      <c r="BZ284" s="210"/>
      <c r="CA284" s="210"/>
      <c r="CB284" s="210"/>
      <c r="CC284" s="210"/>
      <c r="CD284" s="210"/>
      <c r="CE284" s="210"/>
      <c r="CF284" s="210"/>
      <c r="CG284" s="210"/>
      <c r="CH284" s="210"/>
      <c r="CI284" s="210"/>
      <c r="CJ284" s="210"/>
      <c r="CK284" s="210"/>
    </row>
    <row r="285" ht="14.25" customHeight="1">
      <c r="A285" s="222" t="s">
        <v>534</v>
      </c>
      <c r="B285" s="190" t="s">
        <v>535</v>
      </c>
      <c r="C285" s="223" t="s">
        <v>76</v>
      </c>
      <c r="D285" s="223" t="s">
        <v>869</v>
      </c>
      <c r="E285" s="190" t="s">
        <v>22</v>
      </c>
      <c r="F285" s="13" t="s">
        <v>918</v>
      </c>
      <c r="G285" s="190"/>
      <c r="H285" s="219">
        <f>IFERROR(
  MINIFS(ATTENDANCE_LOG!$F:$F,
         ATTENDANCE_LOG!$A:$A, C285,
         ATTENDANCE_LOG!$B:$B, E285),
"")</f>
        <v>45895.58333</v>
      </c>
      <c r="I285" s="219">
        <f t="shared" si="2"/>
        <v>45715.45833</v>
      </c>
      <c r="J285" s="190">
        <f>IFERROR(VLOOKUP(F285, LEVEL_HELPER!$A:$B, 2, 0), "")</f>
        <v>3</v>
      </c>
      <c r="K285" s="190" t="str">
        <f>IFERROR(VLOOKUP(G285, LEVEL_HELPER!$A:$B, 2, 0), "")</f>
        <v/>
      </c>
      <c r="L285" s="220" t="s">
        <v>919</v>
      </c>
      <c r="M285" s="220" t="s">
        <v>923</v>
      </c>
      <c r="N285" s="190">
        <f t="array" ref="N285">IFERROR(
  INDEX($J$2:$J$543,
    MATCH(A285&amp;TEXT(I285,"yyyy-mm-dd"),
          $A$2:$A$543&amp;TEXT($H$2:$H$543,"yyyy-mm-dd"),
          0)),
"")</f>
        <v>1</v>
      </c>
      <c r="O285" s="210">
        <f t="shared" si="3"/>
        <v>3</v>
      </c>
      <c r="P285" s="210">
        <f t="shared" ref="P285:Q285" si="295">IF(N285="",0,IF(N285&lt;=2,1,IF(N285&lt;=4,2,IF(N285&lt;=5.5,3,4))))</f>
        <v>1</v>
      </c>
      <c r="Q285" s="210">
        <f t="shared" si="295"/>
        <v>2</v>
      </c>
      <c r="R285" s="210" t="str">
        <f t="shared" si="5"/>
        <v>Lv1 → Lv2</v>
      </c>
      <c r="S285" s="210">
        <f t="shared" si="6"/>
        <v>0</v>
      </c>
      <c r="T285" s="210"/>
      <c r="U285" s="210"/>
      <c r="V285" s="211" t="s">
        <v>743</v>
      </c>
      <c r="W285" s="210" t="str">
        <f t="shared" si="7"/>
        <v>DEV</v>
      </c>
      <c r="X285" s="210" t="str">
        <f t="shared" si="8"/>
        <v>DEV, TA</v>
      </c>
      <c r="Y285" s="210" t="str">
        <f t="shared" si="9"/>
        <v>ONC</v>
      </c>
      <c r="Z285" s="210"/>
      <c r="AA285" s="210"/>
      <c r="AB285" s="210"/>
      <c r="AC285" s="210"/>
      <c r="AD285" s="210"/>
      <c r="AE285" s="210"/>
      <c r="AF285" s="210"/>
      <c r="AG285" s="210"/>
      <c r="AH285" s="210"/>
      <c r="AI285" s="210"/>
      <c r="AJ285" s="210"/>
      <c r="AK285" s="210"/>
      <c r="AL285" s="210"/>
      <c r="AM285" s="214"/>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c r="BU285" s="210"/>
      <c r="BV285" s="210"/>
      <c r="BW285" s="210"/>
      <c r="BX285" s="210"/>
      <c r="BY285" s="210"/>
      <c r="BZ285" s="210"/>
      <c r="CA285" s="210"/>
      <c r="CB285" s="210"/>
      <c r="CC285" s="210"/>
      <c r="CD285" s="210"/>
      <c r="CE285" s="210"/>
      <c r="CF285" s="210"/>
      <c r="CG285" s="210"/>
      <c r="CH285" s="210"/>
      <c r="CI285" s="210"/>
      <c r="CJ285" s="210"/>
      <c r="CK285" s="210"/>
    </row>
    <row r="286">
      <c r="A286" s="222" t="s">
        <v>595</v>
      </c>
      <c r="B286" s="190" t="s">
        <v>596</v>
      </c>
      <c r="C286" s="223" t="s">
        <v>76</v>
      </c>
      <c r="D286" s="223" t="s">
        <v>869</v>
      </c>
      <c r="E286" s="190" t="s">
        <v>22</v>
      </c>
      <c r="F286" s="13" t="s">
        <v>927</v>
      </c>
      <c r="G286" s="190"/>
      <c r="H286" s="219">
        <f>IFERROR(
  MINIFS(ATTENDANCE_LOG!$F:$F,
         ATTENDANCE_LOG!$A:$A, C286,
         ATTENDANCE_LOG!$B:$B, E286),
"")</f>
        <v>45895.58333</v>
      </c>
      <c r="I286" s="219">
        <f t="shared" si="2"/>
        <v>45763.54167</v>
      </c>
      <c r="J286" s="190">
        <f>IFERROR(VLOOKUP(F286, LEVEL_HELPER!$A:$B, 2, 0), "")</f>
        <v>1</v>
      </c>
      <c r="K286" s="190" t="str">
        <f>IFERROR(VLOOKUP(G286, LEVEL_HELPER!$A:$B, 2, 0), "")</f>
        <v/>
      </c>
      <c r="L286" s="220" t="s">
        <v>943</v>
      </c>
      <c r="M286" s="220" t="s">
        <v>923</v>
      </c>
      <c r="N286" s="190">
        <f t="array" ref="N286">IFERROR(
  INDEX($J$2:$J$543,
    MATCH(A286&amp;TEXT(I286,"yyyy-mm-dd"),
          $A$2:$A$543&amp;TEXT($H$2:$H$543,"yyyy-mm-dd"),
          0)),
"")</f>
        <v>1</v>
      </c>
      <c r="O286" s="210">
        <f t="shared" si="3"/>
        <v>1</v>
      </c>
      <c r="P286" s="210">
        <f t="shared" ref="P286:Q286" si="296">IF(N286="",0,IF(N286&lt;=2,1,IF(N286&lt;=4,2,IF(N286&lt;=5.5,3,4))))</f>
        <v>1</v>
      </c>
      <c r="Q286" s="210">
        <f t="shared" si="296"/>
        <v>1</v>
      </c>
      <c r="R286" s="210" t="str">
        <f t="shared" si="5"/>
        <v>No Progress</v>
      </c>
      <c r="S286" s="210">
        <f t="shared" si="6"/>
        <v>0</v>
      </c>
      <c r="T286" s="210"/>
      <c r="U286" s="210"/>
      <c r="V286" s="211" t="s">
        <v>745</v>
      </c>
      <c r="W286" s="210" t="str">
        <f t="shared" si="7"/>
        <v>IM</v>
      </c>
      <c r="X286" s="210" t="str">
        <f t="shared" si="8"/>
        <v>PPO, SM, IM </v>
      </c>
      <c r="Y286" s="210" t="str">
        <f t="shared" si="9"/>
        <v>CHORUS</v>
      </c>
      <c r="Z286" s="210"/>
      <c r="AA286" s="210"/>
      <c r="AB286" s="210"/>
      <c r="AC286" s="210"/>
      <c r="AD286" s="210"/>
      <c r="AE286" s="210"/>
      <c r="AF286" s="210"/>
      <c r="AG286" s="210"/>
      <c r="AH286" s="210"/>
      <c r="AI286" s="210"/>
      <c r="AJ286" s="210"/>
      <c r="AK286" s="210"/>
      <c r="AL286" s="210"/>
      <c r="AM286" s="214"/>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c r="BU286" s="210"/>
      <c r="BV286" s="210"/>
      <c r="BW286" s="210"/>
      <c r="BX286" s="210"/>
      <c r="BY286" s="210"/>
      <c r="BZ286" s="210"/>
      <c r="CA286" s="210"/>
      <c r="CB286" s="210"/>
      <c r="CC286" s="210"/>
      <c r="CD286" s="210"/>
      <c r="CE286" s="210"/>
      <c r="CF286" s="210"/>
      <c r="CG286" s="210"/>
      <c r="CH286" s="210"/>
      <c r="CI286" s="210"/>
      <c r="CJ286" s="210"/>
      <c r="CK286" s="210"/>
    </row>
    <row r="287">
      <c r="A287" s="222" t="s">
        <v>615</v>
      </c>
      <c r="B287" s="190" t="s">
        <v>616</v>
      </c>
      <c r="C287" s="223" t="s">
        <v>76</v>
      </c>
      <c r="D287" s="223" t="s">
        <v>869</v>
      </c>
      <c r="E287" s="190" t="s">
        <v>22</v>
      </c>
      <c r="F287" s="13" t="s">
        <v>935</v>
      </c>
      <c r="G287" s="190"/>
      <c r="H287" s="219">
        <f>IFERROR(
  MINIFS(ATTENDANCE_LOG!$F:$F,
         ATTENDANCE_LOG!$A:$A, C287,
         ATTENDANCE_LOG!$B:$B, E287),
"")</f>
        <v>45895.58333</v>
      </c>
      <c r="I287" s="219">
        <f t="shared" si="2"/>
        <v>45763.54167</v>
      </c>
      <c r="J287" s="190">
        <f>IFERROR(VLOOKUP(F287, LEVEL_HELPER!$A:$B, 2, 0), "")</f>
        <v>3.5</v>
      </c>
      <c r="K287" s="190" t="str">
        <f>IFERROR(VLOOKUP(G287, LEVEL_HELPER!$A:$B, 2, 0), "")</f>
        <v/>
      </c>
      <c r="L287" s="220" t="s">
        <v>919</v>
      </c>
      <c r="M287" s="220" t="s">
        <v>923</v>
      </c>
      <c r="N287" s="190">
        <f t="array" ref="N287">IFERROR(
  INDEX($J$2:$J$543,
    MATCH(A287&amp;TEXT(I287,"yyyy-mm-dd"),
          $A$2:$A$543&amp;TEXT($H$2:$H$543,"yyyy-mm-dd"),
          0)),
"")</f>
        <v>1</v>
      </c>
      <c r="O287" s="210">
        <f t="shared" si="3"/>
        <v>3.5</v>
      </c>
      <c r="P287" s="210">
        <f t="shared" ref="P287:Q287" si="297">IF(N287="",0,IF(N287&lt;=2,1,IF(N287&lt;=4,2,IF(N287&lt;=5.5,3,4))))</f>
        <v>1</v>
      </c>
      <c r="Q287" s="210">
        <f t="shared" si="297"/>
        <v>2</v>
      </c>
      <c r="R287" s="210" t="str">
        <f t="shared" si="5"/>
        <v>Lv1 → Lv2</v>
      </c>
      <c r="S287" s="210">
        <f t="shared" si="6"/>
        <v>0</v>
      </c>
      <c r="T287" s="210"/>
      <c r="U287" s="210"/>
      <c r="V287" s="211" t="s">
        <v>747</v>
      </c>
      <c r="W287" s="210" t="str">
        <f t="shared" si="7"/>
        <v>DEV</v>
      </c>
      <c r="X287" s="210" t="str">
        <f t="shared" si="8"/>
        <v>DEV, TA</v>
      </c>
      <c r="Y287" s="210" t="str">
        <f t="shared" si="9"/>
        <v>LBU</v>
      </c>
      <c r="Z287" s="210"/>
      <c r="AA287" s="210"/>
      <c r="AB287" s="210"/>
      <c r="AC287" s="210"/>
      <c r="AD287" s="210"/>
      <c r="AE287" s="210"/>
      <c r="AF287" s="210"/>
      <c r="AG287" s="210"/>
      <c r="AH287" s="210"/>
      <c r="AI287" s="210"/>
      <c r="AJ287" s="210"/>
      <c r="AK287" s="210"/>
      <c r="AL287" s="210"/>
      <c r="AM287" s="214"/>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c r="BU287" s="210"/>
      <c r="BV287" s="210"/>
      <c r="BW287" s="210"/>
      <c r="BX287" s="210"/>
      <c r="BY287" s="210"/>
      <c r="BZ287" s="210"/>
      <c r="CA287" s="210"/>
      <c r="CB287" s="210"/>
      <c r="CC287" s="210"/>
      <c r="CD287" s="210"/>
      <c r="CE287" s="210"/>
      <c r="CF287" s="210"/>
      <c r="CG287" s="210"/>
      <c r="CH287" s="210"/>
      <c r="CI287" s="210"/>
      <c r="CJ287" s="210"/>
      <c r="CK287" s="210"/>
    </row>
    <row r="288">
      <c r="A288" s="216" t="s">
        <v>421</v>
      </c>
      <c r="B288" s="217" t="s">
        <v>422</v>
      </c>
      <c r="C288" s="218" t="s">
        <v>77</v>
      </c>
      <c r="D288" s="218" t="s">
        <v>870</v>
      </c>
      <c r="E288" s="217" t="s">
        <v>21</v>
      </c>
      <c r="F288" s="13" t="s">
        <v>927</v>
      </c>
      <c r="G288" s="13" t="s">
        <v>918</v>
      </c>
      <c r="H288" s="219">
        <f>IFERROR(
  MINIFS(ATTENDANCE_LOG!$F:$F,
         ATTENDANCE_LOG!$A:$A, C288,
         ATTENDANCE_LOG!$B:$B, E288),
"")</f>
        <v>45715.58333</v>
      </c>
      <c r="I288" s="219">
        <f t="shared" si="2"/>
        <v>45715.58333</v>
      </c>
      <c r="J288" s="190">
        <f>IFERROR(VLOOKUP(F288, LEVEL_HELPER!$A:$B, 2, 0), "")</f>
        <v>1</v>
      </c>
      <c r="K288" s="190">
        <f>IFERROR(VLOOKUP(G288, LEVEL_HELPER!$A:$B, 2, 0), "")</f>
        <v>3</v>
      </c>
      <c r="L288" s="220" t="s">
        <v>931</v>
      </c>
      <c r="M288" s="220" t="s">
        <v>923</v>
      </c>
      <c r="N288" s="190">
        <f t="array" ref="N288">IFERROR(
  INDEX($J$2:$J$543,
    MATCH(A288&amp;TEXT(I288,"yyyy-mm-dd"),
          $A$2:$A$543&amp;TEXT($H$2:$H$543,"yyyy-mm-dd"),
          0)),
"")</f>
        <v>1</v>
      </c>
      <c r="O288" s="210">
        <f t="shared" si="3"/>
        <v>3.5</v>
      </c>
      <c r="P288" s="210">
        <f t="shared" ref="P288:Q288" si="298">IF(N288="",0,IF(N288&lt;=2,1,IF(N288&lt;=4,2,IF(N288&lt;=5.5,3,4))))</f>
        <v>1</v>
      </c>
      <c r="Q288" s="210">
        <f t="shared" si="298"/>
        <v>2</v>
      </c>
      <c r="R288" s="210" t="str">
        <f t="shared" si="5"/>
        <v>Lv1 → Lv2</v>
      </c>
      <c r="S288" s="210">
        <f t="shared" si="6"/>
        <v>1</v>
      </c>
      <c r="T288" s="210"/>
      <c r="U288" s="210"/>
      <c r="V288" s="211" t="s">
        <v>749</v>
      </c>
      <c r="W288" s="210" t="str">
        <f t="shared" si="7"/>
        <v>BA</v>
      </c>
      <c r="X288" s="210" t="str">
        <f t="shared" si="8"/>
        <v>BA, BC</v>
      </c>
      <c r="Y288" s="210" t="str">
        <f t="shared" si="9"/>
        <v>LBU</v>
      </c>
      <c r="Z288" s="210"/>
      <c r="AA288" s="210"/>
      <c r="AB288" s="210"/>
      <c r="AC288" s="210"/>
      <c r="AD288" s="210"/>
      <c r="AE288" s="210"/>
      <c r="AF288" s="210"/>
      <c r="AG288" s="210"/>
      <c r="AH288" s="210"/>
      <c r="AI288" s="210"/>
      <c r="AJ288" s="210"/>
      <c r="AK288" s="210"/>
      <c r="AL288" s="210"/>
      <c r="AM288" s="214"/>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c r="BU288" s="210"/>
      <c r="BV288" s="210"/>
      <c r="BW288" s="210"/>
      <c r="BX288" s="210"/>
      <c r="BY288" s="210"/>
      <c r="BZ288" s="210"/>
      <c r="CA288" s="210"/>
      <c r="CB288" s="210"/>
      <c r="CC288" s="210"/>
      <c r="CD288" s="210"/>
      <c r="CE288" s="210"/>
      <c r="CF288" s="210"/>
      <c r="CG288" s="210"/>
      <c r="CH288" s="210"/>
      <c r="CI288" s="210"/>
      <c r="CJ288" s="210"/>
      <c r="CK288" s="210"/>
    </row>
    <row r="289">
      <c r="A289" s="222" t="s">
        <v>147</v>
      </c>
      <c r="B289" s="190" t="s">
        <v>148</v>
      </c>
      <c r="C289" s="223" t="s">
        <v>77</v>
      </c>
      <c r="D289" s="223" t="s">
        <v>870</v>
      </c>
      <c r="E289" s="190" t="s">
        <v>21</v>
      </c>
      <c r="F289" s="13" t="s">
        <v>927</v>
      </c>
      <c r="G289" s="13" t="s">
        <v>918</v>
      </c>
      <c r="H289" s="219">
        <f>IFERROR(
  MINIFS(ATTENDANCE_LOG!$F:$F,
         ATTENDANCE_LOG!$A:$A, C289,
         ATTENDANCE_LOG!$B:$B, E289),
"")</f>
        <v>45715.58333</v>
      </c>
      <c r="I289" s="219">
        <f t="shared" si="2"/>
        <v>45715.58333</v>
      </c>
      <c r="J289" s="190">
        <f>IFERROR(VLOOKUP(F289, LEVEL_HELPER!$A:$B, 2, 0), "")</f>
        <v>1</v>
      </c>
      <c r="K289" s="190">
        <f>IFERROR(VLOOKUP(G289, LEVEL_HELPER!$A:$B, 2, 0), "")</f>
        <v>3</v>
      </c>
      <c r="L289" s="220" t="s">
        <v>931</v>
      </c>
      <c r="M289" s="220" t="s">
        <v>923</v>
      </c>
      <c r="N289" s="190">
        <f t="array" ref="N289">IFERROR(
  INDEX($J$2:$J$543,
    MATCH(A289&amp;TEXT(I289,"yyyy-mm-dd"),
          $A$2:$A$543&amp;TEXT($H$2:$H$543,"yyyy-mm-dd"),
          0)),
"")</f>
        <v>1</v>
      </c>
      <c r="O289" s="210">
        <f t="shared" si="3"/>
        <v>3.5</v>
      </c>
      <c r="P289" s="210">
        <f t="shared" ref="P289:Q289" si="299">IF(N289="",0,IF(N289&lt;=2,1,IF(N289&lt;=4,2,IF(N289&lt;=5.5,3,4))))</f>
        <v>1</v>
      </c>
      <c r="Q289" s="210">
        <f t="shared" si="299"/>
        <v>2</v>
      </c>
      <c r="R289" s="210" t="str">
        <f t="shared" si="5"/>
        <v>Lv1 → Lv2</v>
      </c>
      <c r="S289" s="210">
        <f t="shared" si="6"/>
        <v>1</v>
      </c>
      <c r="T289" s="210"/>
      <c r="U289" s="210"/>
      <c r="V289" s="211" t="s">
        <v>751</v>
      </c>
      <c r="W289" s="210" t="str">
        <f t="shared" si="7"/>
        <v>GSD</v>
      </c>
      <c r="X289" s="210" t="str">
        <f t="shared" si="8"/>
        <v>GSD</v>
      </c>
      <c r="Y289" s="210" t="str">
        <f t="shared" si="9"/>
        <v>POC</v>
      </c>
      <c r="Z289" s="210"/>
      <c r="AA289" s="210"/>
      <c r="AB289" s="210"/>
      <c r="AC289" s="210"/>
      <c r="AD289" s="210"/>
      <c r="AE289" s="210"/>
      <c r="AF289" s="210"/>
      <c r="AG289" s="210"/>
      <c r="AH289" s="210"/>
      <c r="AI289" s="210"/>
      <c r="AJ289" s="210"/>
      <c r="AK289" s="210"/>
      <c r="AL289" s="210"/>
      <c r="AM289" s="214"/>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c r="BU289" s="210"/>
      <c r="BV289" s="210"/>
      <c r="BW289" s="210"/>
      <c r="BX289" s="210"/>
      <c r="BY289" s="210"/>
      <c r="BZ289" s="210"/>
      <c r="CA289" s="210"/>
      <c r="CB289" s="210"/>
      <c r="CC289" s="210"/>
      <c r="CD289" s="210"/>
      <c r="CE289" s="210"/>
      <c r="CF289" s="210"/>
      <c r="CG289" s="210"/>
      <c r="CH289" s="210"/>
      <c r="CI289" s="210"/>
      <c r="CJ289" s="210"/>
      <c r="CK289" s="210"/>
    </row>
    <row r="290">
      <c r="A290" s="222" t="s">
        <v>247</v>
      </c>
      <c r="B290" s="190" t="s">
        <v>248</v>
      </c>
      <c r="C290" s="223" t="s">
        <v>77</v>
      </c>
      <c r="D290" s="223" t="s">
        <v>870</v>
      </c>
      <c r="E290" s="190" t="s">
        <v>21</v>
      </c>
      <c r="F290" s="13" t="s">
        <v>927</v>
      </c>
      <c r="G290" s="13" t="s">
        <v>929</v>
      </c>
      <c r="H290" s="219">
        <f>IFERROR(
  MINIFS(ATTENDANCE_LOG!$F:$F,
         ATTENDANCE_LOG!$A:$A, C290,
         ATTENDANCE_LOG!$B:$B, E290),
"")</f>
        <v>45715.58333</v>
      </c>
      <c r="I290" s="219">
        <f t="shared" si="2"/>
        <v>45715.58333</v>
      </c>
      <c r="J290" s="190">
        <f>IFERROR(VLOOKUP(F290, LEVEL_HELPER!$A:$B, 2, 0), "")</f>
        <v>1</v>
      </c>
      <c r="K290" s="190">
        <f>IFERROR(VLOOKUP(G290, LEVEL_HELPER!$A:$B, 2, 0), "")</f>
        <v>1.5</v>
      </c>
      <c r="L290" s="220" t="s">
        <v>931</v>
      </c>
      <c r="M290" s="220" t="s">
        <v>923</v>
      </c>
      <c r="N290" s="190">
        <f t="array" ref="N290">IFERROR(
  INDEX($J$2:$J$543,
    MATCH(A290&amp;TEXT(I290,"yyyy-mm-dd"),
          $A$2:$A$543&amp;TEXT($H$2:$H$543,"yyyy-mm-dd"),
          0)),
"")</f>
        <v>1</v>
      </c>
      <c r="O290" s="210">
        <f t="shared" si="3"/>
        <v>1.5</v>
      </c>
      <c r="P290" s="210">
        <f t="shared" ref="P290:Q290" si="300">IF(N290="",0,IF(N290&lt;=2,1,IF(N290&lt;=4,2,IF(N290&lt;=5.5,3,4))))</f>
        <v>1</v>
      </c>
      <c r="Q290" s="210">
        <f t="shared" si="300"/>
        <v>1</v>
      </c>
      <c r="R290" s="210" t="str">
        <f t="shared" si="5"/>
        <v>Progress within level</v>
      </c>
      <c r="S290" s="210">
        <f t="shared" si="6"/>
        <v>0</v>
      </c>
      <c r="T290" s="210"/>
      <c r="U290" s="210"/>
      <c r="V290" s="211" t="s">
        <v>753</v>
      </c>
      <c r="W290" s="210" t="str">
        <f t="shared" si="7"/>
        <v>Designer</v>
      </c>
      <c r="X290" s="210" t="str">
        <f t="shared" si="8"/>
        <v>UI/UX, Des</v>
      </c>
      <c r="Y290" s="210" t="str">
        <f t="shared" si="9"/>
        <v>LBU</v>
      </c>
      <c r="Z290" s="210"/>
      <c r="AA290" s="210"/>
      <c r="AB290" s="210"/>
      <c r="AC290" s="210"/>
      <c r="AD290" s="210"/>
      <c r="AE290" s="210"/>
      <c r="AF290" s="210"/>
      <c r="AG290" s="210"/>
      <c r="AH290" s="210"/>
      <c r="AI290" s="210"/>
      <c r="AJ290" s="210"/>
      <c r="AK290" s="210"/>
      <c r="AL290" s="210"/>
      <c r="AM290" s="214"/>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c r="BU290" s="210"/>
      <c r="BV290" s="210"/>
      <c r="BW290" s="210"/>
      <c r="BX290" s="210"/>
      <c r="BY290" s="210"/>
      <c r="BZ290" s="210"/>
      <c r="CA290" s="210"/>
      <c r="CB290" s="210"/>
      <c r="CC290" s="210"/>
      <c r="CD290" s="210"/>
      <c r="CE290" s="210"/>
      <c r="CF290" s="210"/>
      <c r="CG290" s="210"/>
      <c r="CH290" s="210"/>
      <c r="CI290" s="210"/>
      <c r="CJ290" s="210"/>
      <c r="CK290" s="210"/>
    </row>
    <row r="291">
      <c r="A291" s="222" t="s">
        <v>255</v>
      </c>
      <c r="B291" s="190" t="s">
        <v>256</v>
      </c>
      <c r="C291" s="223" t="s">
        <v>77</v>
      </c>
      <c r="D291" s="223" t="s">
        <v>870</v>
      </c>
      <c r="E291" s="190" t="s">
        <v>21</v>
      </c>
      <c r="F291" s="13" t="s">
        <v>927</v>
      </c>
      <c r="G291" s="13" t="s">
        <v>918</v>
      </c>
      <c r="H291" s="219">
        <f>IFERROR(
  MINIFS(ATTENDANCE_LOG!$F:$F,
         ATTENDANCE_LOG!$A:$A, C291,
         ATTENDANCE_LOG!$B:$B, E291),
"")</f>
        <v>45715.58333</v>
      </c>
      <c r="I291" s="219">
        <f t="shared" si="2"/>
        <v>45715.58333</v>
      </c>
      <c r="J291" s="190">
        <f>IFERROR(VLOOKUP(F291, LEVEL_HELPER!$A:$B, 2, 0), "")</f>
        <v>1</v>
      </c>
      <c r="K291" s="190">
        <f>IFERROR(VLOOKUP(G291, LEVEL_HELPER!$A:$B, 2, 0), "")</f>
        <v>3</v>
      </c>
      <c r="L291" s="220" t="s">
        <v>931</v>
      </c>
      <c r="M291" s="220" t="s">
        <v>923</v>
      </c>
      <c r="N291" s="190">
        <f t="array" ref="N291">IFERROR(
  INDEX($J$2:$J$543,
    MATCH(A291&amp;TEXT(I291,"yyyy-mm-dd"),
          $A$2:$A$543&amp;TEXT($H$2:$H$543,"yyyy-mm-dd"),
          0)),
"")</f>
        <v>1</v>
      </c>
      <c r="O291" s="210">
        <f t="shared" si="3"/>
        <v>3.5</v>
      </c>
      <c r="P291" s="210">
        <f t="shared" ref="P291:Q291" si="301">IF(N291="",0,IF(N291&lt;=2,1,IF(N291&lt;=4,2,IF(N291&lt;=5.5,3,4))))</f>
        <v>1</v>
      </c>
      <c r="Q291" s="210">
        <f t="shared" si="301"/>
        <v>2</v>
      </c>
      <c r="R291" s="210" t="str">
        <f t="shared" si="5"/>
        <v>Lv1 → Lv2</v>
      </c>
      <c r="S291" s="210">
        <f t="shared" si="6"/>
        <v>1</v>
      </c>
      <c r="T291" s="210"/>
      <c r="U291" s="210"/>
      <c r="V291" s="211" t="s">
        <v>755</v>
      </c>
      <c r="W291" s="210" t="str">
        <f t="shared" si="7"/>
        <v>Designer</v>
      </c>
      <c r="X291" s="210" t="str">
        <f t="shared" si="8"/>
        <v>UI/UX, Des</v>
      </c>
      <c r="Y291" s="210" t="str">
        <f t="shared" si="9"/>
        <v>LBU</v>
      </c>
      <c r="Z291" s="210"/>
      <c r="AA291" s="210"/>
      <c r="AB291" s="210"/>
      <c r="AC291" s="210"/>
      <c r="AD291" s="210"/>
      <c r="AE291" s="210"/>
      <c r="AF291" s="210"/>
      <c r="AG291" s="210"/>
      <c r="AH291" s="210"/>
      <c r="AI291" s="210"/>
      <c r="AJ291" s="210"/>
      <c r="AK291" s="210"/>
      <c r="AL291" s="210"/>
      <c r="AM291" s="214"/>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c r="BU291" s="210"/>
      <c r="BV291" s="210"/>
      <c r="BW291" s="210"/>
      <c r="BX291" s="210"/>
      <c r="BY291" s="210"/>
      <c r="BZ291" s="210"/>
      <c r="CA291" s="210"/>
      <c r="CB291" s="210"/>
      <c r="CC291" s="210"/>
      <c r="CD291" s="210"/>
      <c r="CE291" s="210"/>
      <c r="CF291" s="210"/>
      <c r="CG291" s="210"/>
      <c r="CH291" s="210"/>
      <c r="CI291" s="210"/>
      <c r="CJ291" s="210"/>
      <c r="CK291" s="210"/>
    </row>
    <row r="292">
      <c r="A292" s="232" t="s">
        <v>273</v>
      </c>
      <c r="B292" s="233" t="s">
        <v>274</v>
      </c>
      <c r="C292" s="234" t="s">
        <v>77</v>
      </c>
      <c r="D292" s="234" t="s">
        <v>870</v>
      </c>
      <c r="E292" s="233" t="s">
        <v>21</v>
      </c>
      <c r="F292" s="235" t="s">
        <v>25</v>
      </c>
      <c r="G292" s="235" t="s">
        <v>25</v>
      </c>
      <c r="H292" s="236">
        <f>IFERROR(
  MINIFS(ATTENDANCE_LOG!$F:$F,
         ATTENDANCE_LOG!$A:$A, C292,
         ATTENDANCE_LOG!$B:$B, E292),
"")</f>
        <v>45715.58333</v>
      </c>
      <c r="I292" s="236">
        <f t="shared" si="2"/>
        <v>45715.58333</v>
      </c>
      <c r="J292" s="233">
        <f>IFERROR(VLOOKUP(F292, LEVEL_HELPER!$A:$B, 2, 0), "")</f>
        <v>0.5</v>
      </c>
      <c r="K292" s="233">
        <f>IFERROR(VLOOKUP(G292, LEVEL_HELPER!$A:$B, 2, 0), "")</f>
        <v>0.5</v>
      </c>
      <c r="L292" s="237" t="s">
        <v>931</v>
      </c>
      <c r="M292" s="237" t="s">
        <v>923</v>
      </c>
      <c r="N292" s="233">
        <f t="array" ref="N292">IFERROR(
  INDEX($J$2:$J$543,
    MATCH(A292&amp;TEXT(I292,"yyyy-mm-dd"),
          $A$2:$A$543&amp;TEXT($H$2:$H$543,"yyyy-mm-dd"),
          0)),
"")</f>
        <v>0.5</v>
      </c>
      <c r="O292" s="238">
        <f t="shared" si="3"/>
        <v>1</v>
      </c>
      <c r="P292" s="238">
        <f t="shared" ref="P292:Q292" si="302">IF(N292="",0,IF(N292&lt;=2,1,IF(N292&lt;=4,2,IF(N292&lt;=5.5,3,4))))</f>
        <v>1</v>
      </c>
      <c r="Q292" s="238">
        <f t="shared" si="302"/>
        <v>1</v>
      </c>
      <c r="R292" s="238" t="str">
        <f t="shared" si="5"/>
        <v>Progress within level</v>
      </c>
      <c r="S292" s="238">
        <f t="shared" si="6"/>
        <v>1</v>
      </c>
      <c r="T292" s="238"/>
      <c r="U292" s="238"/>
      <c r="V292" s="239" t="s">
        <v>478</v>
      </c>
      <c r="W292" s="238" t="str">
        <f t="shared" si="7"/>
        <v>UI/UX</v>
      </c>
      <c r="X292" s="238" t="str">
        <f t="shared" si="8"/>
        <v>UI/UX, Des</v>
      </c>
      <c r="Y292" s="238" t="str">
        <f t="shared" si="9"/>
        <v>CHORUS</v>
      </c>
      <c r="Z292" s="238"/>
      <c r="AA292" s="238"/>
      <c r="AB292" s="238"/>
      <c r="AC292" s="238"/>
      <c r="AD292" s="238"/>
      <c r="AE292" s="238"/>
      <c r="AF292" s="238"/>
      <c r="AG292" s="238"/>
      <c r="AH292" s="238"/>
      <c r="AI292" s="238"/>
      <c r="AJ292" s="238"/>
      <c r="AK292" s="238"/>
      <c r="AL292" s="238"/>
      <c r="AM292" s="240"/>
      <c r="AN292" s="238"/>
      <c r="AO292" s="238"/>
      <c r="AP292" s="238"/>
      <c r="AQ292" s="238"/>
      <c r="AR292" s="238"/>
      <c r="AS292" s="238"/>
      <c r="AT292" s="238"/>
      <c r="AU292" s="238"/>
      <c r="AV292" s="238"/>
      <c r="AW292" s="238"/>
      <c r="AX292" s="238"/>
      <c r="AY292" s="238"/>
      <c r="AZ292" s="238"/>
      <c r="BA292" s="238"/>
      <c r="BB292" s="238"/>
      <c r="BC292" s="238"/>
      <c r="BD292" s="238"/>
      <c r="BE292" s="238"/>
      <c r="BF292" s="238"/>
      <c r="BG292" s="238"/>
      <c r="BH292" s="238"/>
      <c r="BI292" s="238"/>
      <c r="BJ292" s="238"/>
      <c r="BK292" s="238"/>
      <c r="BL292" s="238"/>
      <c r="BM292" s="238"/>
      <c r="BN292" s="238"/>
      <c r="BO292" s="238"/>
      <c r="BP292" s="238"/>
      <c r="BQ292" s="238"/>
      <c r="BR292" s="238"/>
      <c r="BS292" s="238"/>
      <c r="BT292" s="238"/>
      <c r="BU292" s="238"/>
      <c r="BV292" s="238"/>
      <c r="BW292" s="238"/>
      <c r="BX292" s="238"/>
      <c r="BY292" s="238"/>
      <c r="BZ292" s="238"/>
      <c r="CA292" s="238"/>
      <c r="CB292" s="238"/>
      <c r="CC292" s="238"/>
      <c r="CD292" s="238"/>
      <c r="CE292" s="238"/>
      <c r="CF292" s="238"/>
      <c r="CG292" s="238"/>
      <c r="CH292" s="238"/>
      <c r="CI292" s="238"/>
      <c r="CJ292" s="238"/>
      <c r="CK292" s="238"/>
    </row>
    <row r="293">
      <c r="A293" s="232" t="s">
        <v>302</v>
      </c>
      <c r="B293" s="233" t="s">
        <v>303</v>
      </c>
      <c r="C293" s="234" t="s">
        <v>77</v>
      </c>
      <c r="D293" s="234" t="s">
        <v>870</v>
      </c>
      <c r="E293" s="233" t="s">
        <v>21</v>
      </c>
      <c r="F293" s="235" t="s">
        <v>25</v>
      </c>
      <c r="G293" s="235" t="s">
        <v>25</v>
      </c>
      <c r="H293" s="236">
        <f>IFERROR(
  MINIFS(ATTENDANCE_LOG!$F:$F,
         ATTENDANCE_LOG!$A:$A, C293,
         ATTENDANCE_LOG!$B:$B, E293),
"")</f>
        <v>45715.58333</v>
      </c>
      <c r="I293" s="236">
        <f t="shared" si="2"/>
        <v>45715.58333</v>
      </c>
      <c r="J293" s="233">
        <f>IFERROR(VLOOKUP(F293, LEVEL_HELPER!$A:$B, 2, 0), "")</f>
        <v>0.5</v>
      </c>
      <c r="K293" s="233">
        <f>IFERROR(VLOOKUP(G293, LEVEL_HELPER!$A:$B, 2, 0), "")</f>
        <v>0.5</v>
      </c>
      <c r="L293" s="237" t="s">
        <v>947</v>
      </c>
      <c r="M293" s="237" t="s">
        <v>923</v>
      </c>
      <c r="N293" s="233">
        <f t="array" ref="N293">IFERROR(
  INDEX($J$2:$J$543,
    MATCH(A293&amp;TEXT(I293,"yyyy-mm-dd"),
          $A$2:$A$543&amp;TEXT($H$2:$H$543,"yyyy-mm-dd"),
          0)),
"")</f>
        <v>0.5</v>
      </c>
      <c r="O293" s="238">
        <f t="shared" si="3"/>
        <v>0.5</v>
      </c>
      <c r="P293" s="238">
        <f t="shared" ref="P293:Q293" si="303">IF(N293="",0,IF(N293&lt;=2,1,IF(N293&lt;=4,2,IF(N293&lt;=5.5,3,4))))</f>
        <v>1</v>
      </c>
      <c r="Q293" s="238">
        <f t="shared" si="303"/>
        <v>1</v>
      </c>
      <c r="R293" s="238" t="str">
        <f t="shared" si="5"/>
        <v>No Progress</v>
      </c>
      <c r="S293" s="238">
        <f t="shared" si="6"/>
        <v>1</v>
      </c>
      <c r="T293" s="238"/>
      <c r="U293" s="238"/>
      <c r="V293" s="239" t="s">
        <v>151</v>
      </c>
      <c r="W293" s="238" t="str">
        <f t="shared" si="7"/>
        <v>DEV</v>
      </c>
      <c r="X293" s="238" t="str">
        <f t="shared" si="8"/>
        <v>DEV, TA</v>
      </c>
      <c r="Y293" s="238" t="str">
        <f t="shared" si="9"/>
        <v>MOC</v>
      </c>
      <c r="Z293" s="238"/>
      <c r="AA293" s="238"/>
      <c r="AB293" s="238"/>
      <c r="AC293" s="238"/>
      <c r="AD293" s="238"/>
      <c r="AE293" s="238"/>
      <c r="AF293" s="238"/>
      <c r="AG293" s="238"/>
      <c r="AH293" s="238"/>
      <c r="AI293" s="238"/>
      <c r="AJ293" s="238"/>
      <c r="AK293" s="238"/>
      <c r="AL293" s="238"/>
      <c r="AM293" s="240"/>
      <c r="AN293" s="238"/>
      <c r="AO293" s="238"/>
      <c r="AP293" s="238"/>
      <c r="AQ293" s="238"/>
      <c r="AR293" s="238"/>
      <c r="AS293" s="238"/>
      <c r="AT293" s="238"/>
      <c r="AU293" s="238"/>
      <c r="AV293" s="238"/>
      <c r="AW293" s="238"/>
      <c r="AX293" s="238"/>
      <c r="AY293" s="238"/>
      <c r="AZ293" s="238"/>
      <c r="BA293" s="238"/>
      <c r="BB293" s="238"/>
      <c r="BC293" s="238"/>
      <c r="BD293" s="238"/>
      <c r="BE293" s="238"/>
      <c r="BF293" s="238"/>
      <c r="BG293" s="238"/>
      <c r="BH293" s="238"/>
      <c r="BI293" s="238"/>
      <c r="BJ293" s="238"/>
      <c r="BK293" s="238"/>
      <c r="BL293" s="238"/>
      <c r="BM293" s="238"/>
      <c r="BN293" s="238"/>
      <c r="BO293" s="238"/>
      <c r="BP293" s="238"/>
      <c r="BQ293" s="238"/>
      <c r="BR293" s="238"/>
      <c r="BS293" s="238"/>
      <c r="BT293" s="238"/>
      <c r="BU293" s="238"/>
      <c r="BV293" s="238"/>
      <c r="BW293" s="238"/>
      <c r="BX293" s="238"/>
      <c r="BY293" s="238"/>
      <c r="BZ293" s="238"/>
      <c r="CA293" s="238"/>
      <c r="CB293" s="238"/>
      <c r="CC293" s="238"/>
      <c r="CD293" s="238"/>
      <c r="CE293" s="238"/>
      <c r="CF293" s="238"/>
      <c r="CG293" s="238"/>
      <c r="CH293" s="238"/>
      <c r="CI293" s="238"/>
      <c r="CJ293" s="238"/>
      <c r="CK293" s="238"/>
    </row>
    <row r="294">
      <c r="A294" s="222" t="s">
        <v>494</v>
      </c>
      <c r="B294" s="190" t="s">
        <v>495</v>
      </c>
      <c r="C294" s="223" t="s">
        <v>77</v>
      </c>
      <c r="D294" s="223" t="s">
        <v>870</v>
      </c>
      <c r="E294" s="190" t="s">
        <v>21</v>
      </c>
      <c r="F294" s="13" t="s">
        <v>927</v>
      </c>
      <c r="G294" s="13" t="s">
        <v>918</v>
      </c>
      <c r="H294" s="219">
        <f>IFERROR(
  MINIFS(ATTENDANCE_LOG!$F:$F,
         ATTENDANCE_LOG!$A:$A, C294,
         ATTENDANCE_LOG!$B:$B, E294),
"")</f>
        <v>45715.58333</v>
      </c>
      <c r="I294" s="219">
        <f t="shared" si="2"/>
        <v>45715.58333</v>
      </c>
      <c r="J294" s="190">
        <f>IFERROR(VLOOKUP(F294, LEVEL_HELPER!$A:$B, 2, 0), "")</f>
        <v>1</v>
      </c>
      <c r="K294" s="190">
        <f>IFERROR(VLOOKUP(G294, LEVEL_HELPER!$A:$B, 2, 0), "")</f>
        <v>3</v>
      </c>
      <c r="L294" s="220" t="s">
        <v>931</v>
      </c>
      <c r="M294" s="220" t="s">
        <v>923</v>
      </c>
      <c r="N294" s="190">
        <f t="array" ref="N294">IFERROR(
  INDEX($J$2:$J$543,
    MATCH(A294&amp;TEXT(I294,"yyyy-mm-dd"),
          $A$2:$A$543&amp;TEXT($H$2:$H$543,"yyyy-mm-dd"),
          0)),
"")</f>
        <v>1</v>
      </c>
      <c r="O294" s="210">
        <f t="shared" si="3"/>
        <v>3.5</v>
      </c>
      <c r="P294" s="210">
        <f t="shared" ref="P294:Q294" si="304">IF(N294="",0,IF(N294&lt;=2,1,IF(N294&lt;=4,2,IF(N294&lt;=5.5,3,4))))</f>
        <v>1</v>
      </c>
      <c r="Q294" s="210">
        <f t="shared" si="304"/>
        <v>2</v>
      </c>
      <c r="R294" s="210" t="str">
        <f t="shared" si="5"/>
        <v>Lv1 → Lv2</v>
      </c>
      <c r="S294" s="210">
        <f t="shared" si="6"/>
        <v>1</v>
      </c>
      <c r="T294" s="210"/>
      <c r="U294" s="210"/>
      <c r="V294" s="211" t="s">
        <v>163</v>
      </c>
      <c r="W294" s="210" t="str">
        <f t="shared" si="7"/>
        <v>Designer</v>
      </c>
      <c r="X294" s="210" t="str">
        <f t="shared" si="8"/>
        <v>UI/UX, Des</v>
      </c>
      <c r="Y294" s="210" t="str">
        <f t="shared" si="9"/>
        <v>LBU</v>
      </c>
      <c r="Z294" s="210"/>
      <c r="AA294" s="210"/>
      <c r="AB294" s="210"/>
      <c r="AC294" s="210"/>
      <c r="AD294" s="210"/>
      <c r="AE294" s="210"/>
      <c r="AF294" s="210"/>
      <c r="AG294" s="210"/>
      <c r="AH294" s="210"/>
      <c r="AI294" s="210"/>
      <c r="AJ294" s="210"/>
      <c r="AK294" s="210"/>
      <c r="AL294" s="210"/>
      <c r="AM294" s="214"/>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c r="BU294" s="210"/>
      <c r="BV294" s="210"/>
      <c r="BW294" s="210"/>
      <c r="BX294" s="210"/>
      <c r="BY294" s="210"/>
      <c r="BZ294" s="210"/>
      <c r="CA294" s="210"/>
      <c r="CB294" s="210"/>
      <c r="CC294" s="210"/>
      <c r="CD294" s="210"/>
      <c r="CE294" s="210"/>
      <c r="CF294" s="210"/>
      <c r="CG294" s="210"/>
      <c r="CH294" s="210"/>
      <c r="CI294" s="210"/>
      <c r="CJ294" s="210"/>
      <c r="CK294" s="210"/>
    </row>
    <row r="295">
      <c r="A295" s="222" t="s">
        <v>498</v>
      </c>
      <c r="B295" s="190" t="s">
        <v>499</v>
      </c>
      <c r="C295" s="223" t="s">
        <v>77</v>
      </c>
      <c r="D295" s="223" t="s">
        <v>870</v>
      </c>
      <c r="E295" s="190" t="s">
        <v>21</v>
      </c>
      <c r="F295" s="13" t="s">
        <v>927</v>
      </c>
      <c r="G295" s="13" t="s">
        <v>929</v>
      </c>
      <c r="H295" s="219">
        <f>IFERROR(
  MINIFS(ATTENDANCE_LOG!$F:$F,
         ATTENDANCE_LOG!$A:$A, C295,
         ATTENDANCE_LOG!$B:$B, E295),
"")</f>
        <v>45715.58333</v>
      </c>
      <c r="I295" s="219">
        <f t="shared" si="2"/>
        <v>45715.58333</v>
      </c>
      <c r="J295" s="190">
        <f>IFERROR(VLOOKUP(F295, LEVEL_HELPER!$A:$B, 2, 0), "")</f>
        <v>1</v>
      </c>
      <c r="K295" s="190">
        <f>IFERROR(VLOOKUP(G295, LEVEL_HELPER!$A:$B, 2, 0), "")</f>
        <v>1.5</v>
      </c>
      <c r="L295" s="220" t="s">
        <v>931</v>
      </c>
      <c r="M295" s="220" t="s">
        <v>923</v>
      </c>
      <c r="N295" s="190">
        <f t="array" ref="N295">IFERROR(
  INDEX($J$2:$J$543,
    MATCH(A295&amp;TEXT(I295,"yyyy-mm-dd"),
          $A$2:$A$543&amp;TEXT($H$2:$H$543,"yyyy-mm-dd"),
          0)),
"")</f>
        <v>1</v>
      </c>
      <c r="O295" s="210">
        <f t="shared" si="3"/>
        <v>3</v>
      </c>
      <c r="P295" s="210">
        <f t="shared" ref="P295:Q295" si="305">IF(N295="",0,IF(N295&lt;=2,1,IF(N295&lt;=4,2,IF(N295&lt;=5.5,3,4))))</f>
        <v>1</v>
      </c>
      <c r="Q295" s="210">
        <f t="shared" si="305"/>
        <v>2</v>
      </c>
      <c r="R295" s="210" t="str">
        <f t="shared" si="5"/>
        <v>Lv1 → Lv2</v>
      </c>
      <c r="S295" s="210">
        <f t="shared" si="6"/>
        <v>1</v>
      </c>
      <c r="T295" s="210"/>
      <c r="U295" s="210"/>
      <c r="V295" s="211" t="s">
        <v>180</v>
      </c>
      <c r="W295" s="210" t="str">
        <f t="shared" si="7"/>
        <v>DEV</v>
      </c>
      <c r="X295" s="210" t="str">
        <f t="shared" si="8"/>
        <v>DEV, TA</v>
      </c>
      <c r="Y295" s="210" t="str">
        <f t="shared" si="9"/>
        <v>CHORUS</v>
      </c>
      <c r="Z295" s="210"/>
      <c r="AA295" s="210"/>
      <c r="AB295" s="210"/>
      <c r="AC295" s="210"/>
      <c r="AD295" s="210"/>
      <c r="AE295" s="210"/>
      <c r="AF295" s="210"/>
      <c r="AG295" s="210"/>
      <c r="AH295" s="210"/>
      <c r="AI295" s="210"/>
      <c r="AJ295" s="210"/>
      <c r="AK295" s="210"/>
      <c r="AL295" s="210"/>
      <c r="AM295" s="214"/>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c r="BU295" s="210"/>
      <c r="BV295" s="210"/>
      <c r="BW295" s="210"/>
      <c r="BX295" s="210"/>
      <c r="BY295" s="210"/>
      <c r="BZ295" s="210"/>
      <c r="CA295" s="210"/>
      <c r="CB295" s="210"/>
      <c r="CC295" s="210"/>
      <c r="CD295" s="210"/>
      <c r="CE295" s="210"/>
      <c r="CF295" s="210"/>
      <c r="CG295" s="210"/>
      <c r="CH295" s="210"/>
      <c r="CI295" s="210"/>
      <c r="CJ295" s="210"/>
      <c r="CK295" s="210"/>
    </row>
    <row r="296">
      <c r="A296" s="222" t="s">
        <v>566</v>
      </c>
      <c r="B296" s="190" t="s">
        <v>567</v>
      </c>
      <c r="C296" s="223" t="s">
        <v>77</v>
      </c>
      <c r="D296" s="223" t="s">
        <v>870</v>
      </c>
      <c r="E296" s="190" t="s">
        <v>21</v>
      </c>
      <c r="F296" s="13" t="s">
        <v>927</v>
      </c>
      <c r="G296" s="13" t="s">
        <v>929</v>
      </c>
      <c r="H296" s="219">
        <f>IFERROR(
  MINIFS(ATTENDANCE_LOG!$F:$F,
         ATTENDANCE_LOG!$A:$A, C296,
         ATTENDANCE_LOG!$B:$B, E296),
"")</f>
        <v>45715.58333</v>
      </c>
      <c r="I296" s="219">
        <f t="shared" si="2"/>
        <v>45715.58333</v>
      </c>
      <c r="J296" s="190">
        <f>IFERROR(VLOOKUP(F296, LEVEL_HELPER!$A:$B, 2, 0), "")</f>
        <v>1</v>
      </c>
      <c r="K296" s="190">
        <f>IFERROR(VLOOKUP(G296, LEVEL_HELPER!$A:$B, 2, 0), "")</f>
        <v>1.5</v>
      </c>
      <c r="L296" s="220" t="s">
        <v>947</v>
      </c>
      <c r="M296" s="220" t="s">
        <v>923</v>
      </c>
      <c r="N296" s="190">
        <f t="array" ref="N296">IFERROR(
  INDEX($J$2:$J$543,
    MATCH(A296&amp;TEXT(I296,"yyyy-mm-dd"),
          $A$2:$A$543&amp;TEXT($H$2:$H$543,"yyyy-mm-dd"),
          0)),
"")</f>
        <v>1</v>
      </c>
      <c r="O296" s="210">
        <f t="shared" si="3"/>
        <v>1.5</v>
      </c>
      <c r="P296" s="210">
        <f t="shared" ref="P296:Q296" si="306">IF(N296="",0,IF(N296&lt;=2,1,IF(N296&lt;=4,2,IF(N296&lt;=5.5,3,4))))</f>
        <v>1</v>
      </c>
      <c r="Q296" s="210">
        <f t="shared" si="306"/>
        <v>1</v>
      </c>
      <c r="R296" s="210" t="str">
        <f t="shared" si="5"/>
        <v>Progress within level</v>
      </c>
      <c r="S296" s="210">
        <f t="shared" si="6"/>
        <v>1</v>
      </c>
      <c r="T296" s="210"/>
      <c r="U296" s="210"/>
      <c r="V296" s="211" t="s">
        <v>284</v>
      </c>
      <c r="W296" s="210" t="str">
        <f t="shared" si="7"/>
        <v>DEV</v>
      </c>
      <c r="X296" s="210" t="str">
        <f t="shared" si="8"/>
        <v>DEV, TA</v>
      </c>
      <c r="Y296" s="210" t="str">
        <f t="shared" si="9"/>
        <v>CHORUS</v>
      </c>
      <c r="Z296" s="210"/>
      <c r="AA296" s="210"/>
      <c r="AB296" s="210"/>
      <c r="AC296" s="210"/>
      <c r="AD296" s="210"/>
      <c r="AE296" s="210"/>
      <c r="AF296" s="210"/>
      <c r="AG296" s="210"/>
      <c r="AH296" s="210"/>
      <c r="AI296" s="210"/>
      <c r="AJ296" s="210"/>
      <c r="AK296" s="210"/>
      <c r="AL296" s="210"/>
      <c r="AM296" s="214"/>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c r="BU296" s="210"/>
      <c r="BV296" s="210"/>
      <c r="BW296" s="210"/>
      <c r="BX296" s="210"/>
      <c r="BY296" s="210"/>
      <c r="BZ296" s="210"/>
      <c r="CA296" s="210"/>
      <c r="CB296" s="210"/>
      <c r="CC296" s="210"/>
      <c r="CD296" s="210"/>
      <c r="CE296" s="210"/>
      <c r="CF296" s="210"/>
      <c r="CG296" s="210"/>
      <c r="CH296" s="210"/>
      <c r="CI296" s="210"/>
      <c r="CJ296" s="210"/>
      <c r="CK296" s="210"/>
    </row>
    <row r="297">
      <c r="A297" s="216" t="s">
        <v>421</v>
      </c>
      <c r="B297" s="217" t="s">
        <v>422</v>
      </c>
      <c r="C297" s="218" t="s">
        <v>77</v>
      </c>
      <c r="D297" s="218" t="s">
        <v>870</v>
      </c>
      <c r="E297" s="217" t="s">
        <v>22</v>
      </c>
      <c r="F297" s="13" t="s">
        <v>918</v>
      </c>
      <c r="G297" s="13" t="s">
        <v>935</v>
      </c>
      <c r="H297" s="219">
        <f>IFERROR(
  MINIFS(ATTENDANCE_LOG!$F:$F,
         ATTENDANCE_LOG!$A:$A, C297,
         ATTENDANCE_LOG!$B:$B, E297),
"")</f>
        <v>45890.54167</v>
      </c>
      <c r="I297" s="219">
        <f t="shared" si="2"/>
        <v>45715.58333</v>
      </c>
      <c r="J297" s="190">
        <f>IFERROR(VLOOKUP(F297, LEVEL_HELPER!$A:$B, 2, 0), "")</f>
        <v>3</v>
      </c>
      <c r="K297" s="190">
        <f>IFERROR(VLOOKUP(G297, LEVEL_HELPER!$A:$B, 2, 0), "")</f>
        <v>3.5</v>
      </c>
      <c r="L297" s="220" t="s">
        <v>931</v>
      </c>
      <c r="M297" s="220" t="s">
        <v>923</v>
      </c>
      <c r="N297" s="190">
        <f t="array" ref="N297">IFERROR(
  INDEX($J$2:$J$543,
    MATCH(A297&amp;TEXT(I297,"yyyy-mm-dd"),
          $A$2:$A$543&amp;TEXT($H$2:$H$543,"yyyy-mm-dd"),
          0)),
"")</f>
        <v>1</v>
      </c>
      <c r="O297" s="210">
        <f t="shared" si="3"/>
        <v>3.5</v>
      </c>
      <c r="P297" s="210">
        <f t="shared" ref="P297:Q297" si="307">IF(N297="",0,IF(N297&lt;=2,1,IF(N297&lt;=4,2,IF(N297&lt;=5.5,3,4))))</f>
        <v>1</v>
      </c>
      <c r="Q297" s="210">
        <f t="shared" si="307"/>
        <v>2</v>
      </c>
      <c r="R297" s="210" t="str">
        <f t="shared" si="5"/>
        <v>Lv1 → Lv2</v>
      </c>
      <c r="S297" s="210">
        <f t="shared" si="6"/>
        <v>0</v>
      </c>
      <c r="T297" s="210"/>
      <c r="U297" s="210"/>
      <c r="V297" s="211" t="s">
        <v>359</v>
      </c>
      <c r="W297" s="210" t="str">
        <f t="shared" si="7"/>
        <v>DEV</v>
      </c>
      <c r="X297" s="210" t="str">
        <f t="shared" si="8"/>
        <v>DEV, TA</v>
      </c>
      <c r="Y297" s="210" t="str">
        <f t="shared" si="9"/>
        <v>CHORUS</v>
      </c>
      <c r="Z297" s="210"/>
      <c r="AA297" s="210"/>
      <c r="AB297" s="210"/>
      <c r="AC297" s="210"/>
      <c r="AD297" s="210"/>
      <c r="AE297" s="210"/>
      <c r="AF297" s="210"/>
      <c r="AG297" s="210"/>
      <c r="AH297" s="210"/>
      <c r="AI297" s="210"/>
      <c r="AJ297" s="210"/>
      <c r="AK297" s="210"/>
      <c r="AL297" s="210"/>
      <c r="AM297" s="214"/>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c r="BU297" s="210"/>
      <c r="BV297" s="210"/>
      <c r="BW297" s="210"/>
      <c r="BX297" s="210"/>
      <c r="BY297" s="210"/>
      <c r="BZ297" s="210"/>
      <c r="CA297" s="210"/>
      <c r="CB297" s="210"/>
      <c r="CC297" s="210"/>
      <c r="CD297" s="210"/>
      <c r="CE297" s="210"/>
      <c r="CF297" s="210"/>
      <c r="CG297" s="210"/>
      <c r="CH297" s="210"/>
      <c r="CI297" s="210"/>
      <c r="CJ297" s="210"/>
      <c r="CK297" s="210"/>
    </row>
    <row r="298">
      <c r="A298" s="222" t="s">
        <v>147</v>
      </c>
      <c r="B298" s="190" t="s">
        <v>148</v>
      </c>
      <c r="C298" s="223" t="s">
        <v>77</v>
      </c>
      <c r="D298" s="223" t="s">
        <v>870</v>
      </c>
      <c r="E298" s="190" t="s">
        <v>22</v>
      </c>
      <c r="F298" s="13" t="s">
        <v>918</v>
      </c>
      <c r="G298" s="13" t="s">
        <v>935</v>
      </c>
      <c r="H298" s="219">
        <f>IFERROR(
  MINIFS(ATTENDANCE_LOG!$F:$F,
         ATTENDANCE_LOG!$A:$A, C298,
         ATTENDANCE_LOG!$B:$B, E298),
"")</f>
        <v>45890.54167</v>
      </c>
      <c r="I298" s="219">
        <f t="shared" si="2"/>
        <v>45715.58333</v>
      </c>
      <c r="J298" s="190">
        <f>IFERROR(VLOOKUP(F298, LEVEL_HELPER!$A:$B, 2, 0), "")</f>
        <v>3</v>
      </c>
      <c r="K298" s="190">
        <f>IFERROR(VLOOKUP(G298, LEVEL_HELPER!$A:$B, 2, 0), "")</f>
        <v>3.5</v>
      </c>
      <c r="L298" s="220" t="s">
        <v>931</v>
      </c>
      <c r="M298" s="220" t="s">
        <v>923</v>
      </c>
      <c r="N298" s="190">
        <f t="array" ref="N298">IFERROR(
  INDEX($J$2:$J$543,
    MATCH(A298&amp;TEXT(I298,"yyyy-mm-dd"),
          $A$2:$A$543&amp;TEXT($H$2:$H$543,"yyyy-mm-dd"),
          0)),
"")</f>
        <v>1</v>
      </c>
      <c r="O298" s="210">
        <f t="shared" si="3"/>
        <v>3.5</v>
      </c>
      <c r="P298" s="210">
        <f t="shared" ref="P298:Q298" si="308">IF(N298="",0,IF(N298&lt;=2,1,IF(N298&lt;=4,2,IF(N298&lt;=5.5,3,4))))</f>
        <v>1</v>
      </c>
      <c r="Q298" s="210">
        <f t="shared" si="308"/>
        <v>2</v>
      </c>
      <c r="R298" s="210" t="str">
        <f t="shared" si="5"/>
        <v>Lv1 → Lv2</v>
      </c>
      <c r="S298" s="210">
        <f t="shared" si="6"/>
        <v>0</v>
      </c>
      <c r="T298" s="210"/>
      <c r="U298" s="210"/>
      <c r="V298" s="211" t="s">
        <v>365</v>
      </c>
      <c r="W298" s="210" t="str">
        <f t="shared" si="7"/>
        <v>DEV</v>
      </c>
      <c r="X298" s="210" t="str">
        <f t="shared" si="8"/>
        <v>DEV, TA</v>
      </c>
      <c r="Y298" s="210" t="str">
        <f t="shared" si="9"/>
        <v>CHORUS</v>
      </c>
      <c r="Z298" s="210"/>
      <c r="AA298" s="210"/>
      <c r="AB298" s="210"/>
      <c r="AC298" s="210"/>
      <c r="AD298" s="210"/>
      <c r="AE298" s="210"/>
      <c r="AF298" s="210"/>
      <c r="AG298" s="210"/>
      <c r="AH298" s="210"/>
      <c r="AI298" s="210"/>
      <c r="AJ298" s="210"/>
      <c r="AK298" s="210"/>
      <c r="AL298" s="210"/>
      <c r="AM298" s="214"/>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c r="BU298" s="210"/>
      <c r="BV298" s="210"/>
      <c r="BW298" s="210"/>
      <c r="BX298" s="210"/>
      <c r="BY298" s="210"/>
      <c r="BZ298" s="210"/>
      <c r="CA298" s="210"/>
      <c r="CB298" s="210"/>
      <c r="CC298" s="210"/>
      <c r="CD298" s="210"/>
      <c r="CE298" s="210"/>
      <c r="CF298" s="210"/>
      <c r="CG298" s="210"/>
      <c r="CH298" s="210"/>
      <c r="CI298" s="210"/>
      <c r="CJ298" s="210"/>
      <c r="CK298" s="210"/>
    </row>
    <row r="299">
      <c r="A299" s="222" t="s">
        <v>159</v>
      </c>
      <c r="B299" s="190" t="s">
        <v>160</v>
      </c>
      <c r="C299" s="223" t="s">
        <v>77</v>
      </c>
      <c r="D299" s="223" t="s">
        <v>870</v>
      </c>
      <c r="E299" s="190" t="s">
        <v>22</v>
      </c>
      <c r="F299" s="13" t="s">
        <v>918</v>
      </c>
      <c r="G299" s="13" t="s">
        <v>918</v>
      </c>
      <c r="H299" s="219">
        <f>IFERROR(
  MINIFS(ATTENDANCE_LOG!$F:$F,
         ATTENDANCE_LOG!$A:$A, C299,
         ATTENDANCE_LOG!$B:$B, E299),
"")</f>
        <v>45890.54167</v>
      </c>
      <c r="I299" s="219">
        <f t="shared" si="2"/>
        <v>45663.58333</v>
      </c>
      <c r="J299" s="190">
        <f>IFERROR(VLOOKUP(F299, LEVEL_HELPER!$A:$B, 2, 0), "")</f>
        <v>3</v>
      </c>
      <c r="K299" s="190">
        <f>IFERROR(VLOOKUP(G299, LEVEL_HELPER!$A:$B, 2, 0), "")</f>
        <v>3</v>
      </c>
      <c r="L299" s="220" t="s">
        <v>931</v>
      </c>
      <c r="M299" s="220" t="s">
        <v>923</v>
      </c>
      <c r="N299" s="190">
        <f t="array" ref="N299">IFERROR(
  INDEX($J$2:$J$543,
    MATCH(A299&amp;TEXT(I299,"yyyy-mm-dd"),
          $A$2:$A$543&amp;TEXT($H$2:$H$543,"yyyy-mm-dd"),
          0)),
"")</f>
        <v>1</v>
      </c>
      <c r="O299" s="210">
        <f t="shared" si="3"/>
        <v>3</v>
      </c>
      <c r="P299" s="210">
        <f t="shared" ref="P299:Q299" si="309">IF(N299="",0,IF(N299&lt;=2,1,IF(N299&lt;=4,2,IF(N299&lt;=5.5,3,4))))</f>
        <v>1</v>
      </c>
      <c r="Q299" s="210">
        <f t="shared" si="309"/>
        <v>2</v>
      </c>
      <c r="R299" s="210" t="str">
        <f t="shared" si="5"/>
        <v>Lv1 → Lv2</v>
      </c>
      <c r="S299" s="210">
        <f t="shared" si="6"/>
        <v>0</v>
      </c>
      <c r="T299" s="210"/>
      <c r="U299" s="210"/>
      <c r="V299" s="211" t="s">
        <v>393</v>
      </c>
      <c r="W299" s="210" t="str">
        <f t="shared" si="7"/>
        <v>DEV</v>
      </c>
      <c r="X299" s="210" t="str">
        <f t="shared" si="8"/>
        <v>DEV, TA</v>
      </c>
      <c r="Y299" s="210" t="str">
        <f t="shared" si="9"/>
        <v>CHORUS</v>
      </c>
      <c r="Z299" s="210"/>
      <c r="AA299" s="210"/>
      <c r="AB299" s="210"/>
      <c r="AC299" s="210"/>
      <c r="AD299" s="210"/>
      <c r="AE299" s="210"/>
      <c r="AF299" s="210"/>
      <c r="AG299" s="210"/>
      <c r="AH299" s="210"/>
      <c r="AI299" s="210"/>
      <c r="AJ299" s="210"/>
      <c r="AK299" s="210"/>
      <c r="AL299" s="210"/>
      <c r="AM299" s="214"/>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c r="BU299" s="210"/>
      <c r="BV299" s="210"/>
      <c r="BW299" s="210"/>
      <c r="BX299" s="210"/>
      <c r="BY299" s="210"/>
      <c r="BZ299" s="210"/>
      <c r="CA299" s="210"/>
      <c r="CB299" s="210"/>
      <c r="CC299" s="210"/>
      <c r="CD299" s="210"/>
      <c r="CE299" s="210"/>
      <c r="CF299" s="210"/>
      <c r="CG299" s="210"/>
      <c r="CH299" s="210"/>
      <c r="CI299" s="210"/>
      <c r="CJ299" s="210"/>
      <c r="CK299" s="210"/>
    </row>
    <row r="300">
      <c r="A300" s="222" t="s">
        <v>255</v>
      </c>
      <c r="B300" s="190" t="s">
        <v>256</v>
      </c>
      <c r="C300" s="223" t="s">
        <v>77</v>
      </c>
      <c r="D300" s="223" t="s">
        <v>870</v>
      </c>
      <c r="E300" s="190" t="s">
        <v>22</v>
      </c>
      <c r="F300" s="13" t="s">
        <v>918</v>
      </c>
      <c r="G300" s="13" t="s">
        <v>935</v>
      </c>
      <c r="H300" s="219">
        <f>IFERROR(
  MINIFS(ATTENDANCE_LOG!$F:$F,
         ATTENDANCE_LOG!$A:$A, C300,
         ATTENDANCE_LOG!$B:$B, E300),
"")</f>
        <v>45890.54167</v>
      </c>
      <c r="I300" s="219">
        <f t="shared" si="2"/>
        <v>45715.58333</v>
      </c>
      <c r="J300" s="190">
        <f>IFERROR(VLOOKUP(F300, LEVEL_HELPER!$A:$B, 2, 0), "")</f>
        <v>3</v>
      </c>
      <c r="K300" s="190">
        <f>IFERROR(VLOOKUP(G300, LEVEL_HELPER!$A:$B, 2, 0), "")</f>
        <v>3.5</v>
      </c>
      <c r="L300" s="220" t="s">
        <v>931</v>
      </c>
      <c r="M300" s="220" t="s">
        <v>923</v>
      </c>
      <c r="N300" s="190">
        <f t="array" ref="N300">IFERROR(
  INDEX($J$2:$J$543,
    MATCH(A300&amp;TEXT(I300,"yyyy-mm-dd"),
          $A$2:$A$543&amp;TEXT($H$2:$H$543,"yyyy-mm-dd"),
          0)),
"")</f>
        <v>1</v>
      </c>
      <c r="O300" s="210">
        <f t="shared" si="3"/>
        <v>3.5</v>
      </c>
      <c r="P300" s="210">
        <f t="shared" ref="P300:Q300" si="310">IF(N300="",0,IF(N300&lt;=2,1,IF(N300&lt;=4,2,IF(N300&lt;=5.5,3,4))))</f>
        <v>1</v>
      </c>
      <c r="Q300" s="210">
        <f t="shared" si="310"/>
        <v>2</v>
      </c>
      <c r="R300" s="210" t="str">
        <f t="shared" si="5"/>
        <v>Lv1 → Lv2</v>
      </c>
      <c r="S300" s="210">
        <f t="shared" si="6"/>
        <v>0</v>
      </c>
      <c r="T300" s="210"/>
      <c r="U300" s="210"/>
      <c r="V300" s="211" t="s">
        <v>409</v>
      </c>
      <c r="W300" s="210" t="str">
        <f t="shared" si="7"/>
        <v>QC</v>
      </c>
      <c r="X300" s="210" t="str">
        <f t="shared" si="8"/>
        <v>QC</v>
      </c>
      <c r="Y300" s="210" t="str">
        <f t="shared" si="9"/>
        <v>CHORUS</v>
      </c>
      <c r="Z300" s="210"/>
      <c r="AA300" s="210"/>
      <c r="AB300" s="210"/>
      <c r="AC300" s="210"/>
      <c r="AD300" s="210"/>
      <c r="AE300" s="210"/>
      <c r="AF300" s="210"/>
      <c r="AG300" s="210"/>
      <c r="AH300" s="210"/>
      <c r="AI300" s="210"/>
      <c r="AJ300" s="210"/>
      <c r="AK300" s="210"/>
      <c r="AL300" s="210"/>
      <c r="AM300" s="214"/>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c r="BU300" s="210"/>
      <c r="BV300" s="210"/>
      <c r="BW300" s="210"/>
      <c r="BX300" s="210"/>
      <c r="BY300" s="210"/>
      <c r="BZ300" s="210"/>
      <c r="CA300" s="210"/>
      <c r="CB300" s="210"/>
      <c r="CC300" s="210"/>
      <c r="CD300" s="210"/>
      <c r="CE300" s="210"/>
      <c r="CF300" s="210"/>
      <c r="CG300" s="210"/>
      <c r="CH300" s="210"/>
      <c r="CI300" s="210"/>
      <c r="CJ300" s="210"/>
      <c r="CK300" s="210"/>
    </row>
    <row r="301">
      <c r="A301" s="222" t="s">
        <v>433</v>
      </c>
      <c r="B301" s="190" t="s">
        <v>432</v>
      </c>
      <c r="C301" s="223" t="s">
        <v>77</v>
      </c>
      <c r="D301" s="223" t="s">
        <v>870</v>
      </c>
      <c r="E301" s="190" t="s">
        <v>22</v>
      </c>
      <c r="F301" s="13" t="s">
        <v>918</v>
      </c>
      <c r="G301" s="13" t="s">
        <v>935</v>
      </c>
      <c r="H301" s="219">
        <f>IFERROR(
  MINIFS(ATTENDANCE_LOG!$F:$F,
         ATTENDANCE_LOG!$A:$A, C301,
         ATTENDANCE_LOG!$B:$B, E301),
"")</f>
        <v>45890.54167</v>
      </c>
      <c r="I301" s="219">
        <f t="shared" si="2"/>
        <v>45663.58333</v>
      </c>
      <c r="J301" s="190">
        <f>IFERROR(VLOOKUP(F301, LEVEL_HELPER!$A:$B, 2, 0), "")</f>
        <v>3</v>
      </c>
      <c r="K301" s="190">
        <f>IFERROR(VLOOKUP(G301, LEVEL_HELPER!$A:$B, 2, 0), "")</f>
        <v>3.5</v>
      </c>
      <c r="L301" s="220" t="s">
        <v>931</v>
      </c>
      <c r="M301" s="220" t="s">
        <v>923</v>
      </c>
      <c r="N301" s="190">
        <f t="array" ref="N301">IFERROR(
  INDEX($J$2:$J$543,
    MATCH(A301&amp;TEXT(I301,"yyyy-mm-dd"),
          $A$2:$A$543&amp;TEXT($H$2:$H$543,"yyyy-mm-dd"),
          0)),
"")</f>
        <v>2.5</v>
      </c>
      <c r="O301" s="210">
        <f t="shared" si="3"/>
        <v>3.5</v>
      </c>
      <c r="P301" s="210">
        <f t="shared" ref="P301:Q301" si="311">IF(N301="",0,IF(N301&lt;=2,1,IF(N301&lt;=4,2,IF(N301&lt;=5.5,3,4))))</f>
        <v>2</v>
      </c>
      <c r="Q301" s="210">
        <f t="shared" si="311"/>
        <v>2</v>
      </c>
      <c r="R301" s="210" t="str">
        <f t="shared" si="5"/>
        <v>Progress within level</v>
      </c>
      <c r="S301" s="210">
        <f t="shared" si="6"/>
        <v>0</v>
      </c>
      <c r="T301" s="210"/>
      <c r="U301" s="210"/>
      <c r="V301" s="211" t="s">
        <v>585</v>
      </c>
      <c r="W301" s="210" t="str">
        <f t="shared" si="7"/>
        <v>DEV</v>
      </c>
      <c r="X301" s="210" t="str">
        <f t="shared" si="8"/>
        <v>DEV, TA</v>
      </c>
      <c r="Y301" s="210" t="str">
        <f t="shared" si="9"/>
        <v>CHORUS</v>
      </c>
      <c r="Z301" s="210"/>
      <c r="AA301" s="210"/>
      <c r="AB301" s="210"/>
      <c r="AC301" s="210"/>
      <c r="AD301" s="210"/>
      <c r="AE301" s="210"/>
      <c r="AF301" s="210"/>
      <c r="AG301" s="210"/>
      <c r="AH301" s="210"/>
      <c r="AI301" s="210"/>
      <c r="AJ301" s="210"/>
      <c r="AK301" s="210"/>
      <c r="AL301" s="210"/>
      <c r="AM301" s="214"/>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c r="BU301" s="210"/>
      <c r="BV301" s="210"/>
      <c r="BW301" s="210"/>
      <c r="BX301" s="210"/>
      <c r="BY301" s="210"/>
      <c r="BZ301" s="210"/>
      <c r="CA301" s="210"/>
      <c r="CB301" s="210"/>
      <c r="CC301" s="210"/>
      <c r="CD301" s="210"/>
      <c r="CE301" s="210"/>
      <c r="CF301" s="210"/>
      <c r="CG301" s="210"/>
      <c r="CH301" s="210"/>
      <c r="CI301" s="210"/>
      <c r="CJ301" s="210"/>
      <c r="CK301" s="210"/>
    </row>
    <row r="302">
      <c r="A302" s="222" t="s">
        <v>494</v>
      </c>
      <c r="B302" s="190" t="s">
        <v>495</v>
      </c>
      <c r="C302" s="223" t="s">
        <v>77</v>
      </c>
      <c r="D302" s="223" t="s">
        <v>870</v>
      </c>
      <c r="E302" s="190" t="s">
        <v>22</v>
      </c>
      <c r="F302" s="13" t="s">
        <v>918</v>
      </c>
      <c r="G302" s="13" t="s">
        <v>935</v>
      </c>
      <c r="H302" s="219">
        <f>IFERROR(
  MINIFS(ATTENDANCE_LOG!$F:$F,
         ATTENDANCE_LOG!$A:$A, C302,
         ATTENDANCE_LOG!$B:$B, E302),
"")</f>
        <v>45890.54167</v>
      </c>
      <c r="I302" s="219">
        <f t="shared" si="2"/>
        <v>45715.58333</v>
      </c>
      <c r="J302" s="190">
        <f>IFERROR(VLOOKUP(F302, LEVEL_HELPER!$A:$B, 2, 0), "")</f>
        <v>3</v>
      </c>
      <c r="K302" s="190">
        <f>IFERROR(VLOOKUP(G302, LEVEL_HELPER!$A:$B, 2, 0), "")</f>
        <v>3.5</v>
      </c>
      <c r="L302" s="220" t="s">
        <v>931</v>
      </c>
      <c r="M302" s="220" t="s">
        <v>923</v>
      </c>
      <c r="N302" s="190">
        <f t="array" ref="N302">IFERROR(
  INDEX($J$2:$J$543,
    MATCH(A302&amp;TEXT(I302,"yyyy-mm-dd"),
          $A$2:$A$543&amp;TEXT($H$2:$H$543,"yyyy-mm-dd"),
          0)),
"")</f>
        <v>1</v>
      </c>
      <c r="O302" s="210">
        <f t="shared" si="3"/>
        <v>3.5</v>
      </c>
      <c r="P302" s="210">
        <f t="shared" ref="P302:Q302" si="312">IF(N302="",0,IF(N302&lt;=2,1,IF(N302&lt;=4,2,IF(N302&lt;=5.5,3,4))))</f>
        <v>1</v>
      </c>
      <c r="Q302" s="210">
        <f t="shared" si="312"/>
        <v>2</v>
      </c>
      <c r="R302" s="210" t="str">
        <f t="shared" si="5"/>
        <v>Lv1 → Lv2</v>
      </c>
      <c r="S302" s="210">
        <f t="shared" si="6"/>
        <v>0</v>
      </c>
      <c r="T302" s="210"/>
      <c r="U302" s="210"/>
      <c r="V302" s="211" t="s">
        <v>138</v>
      </c>
      <c r="W302" s="210" t="str">
        <f t="shared" si="7"/>
        <v>QC</v>
      </c>
      <c r="X302" s="210" t="str">
        <f t="shared" si="8"/>
        <v>QC</v>
      </c>
      <c r="Y302" s="210" t="str">
        <f t="shared" si="9"/>
        <v>ONC</v>
      </c>
      <c r="Z302" s="210"/>
      <c r="AA302" s="210"/>
      <c r="AB302" s="210"/>
      <c r="AC302" s="210"/>
      <c r="AD302" s="210"/>
      <c r="AE302" s="210"/>
      <c r="AF302" s="210"/>
      <c r="AG302" s="210"/>
      <c r="AH302" s="210"/>
      <c r="AI302" s="210"/>
      <c r="AJ302" s="210"/>
      <c r="AK302" s="210"/>
      <c r="AL302" s="210"/>
      <c r="AM302" s="214"/>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c r="BU302" s="210"/>
      <c r="BV302" s="210"/>
      <c r="BW302" s="210"/>
      <c r="BX302" s="210"/>
      <c r="BY302" s="210"/>
      <c r="BZ302" s="210"/>
      <c r="CA302" s="210"/>
      <c r="CB302" s="210"/>
      <c r="CC302" s="210"/>
      <c r="CD302" s="210"/>
      <c r="CE302" s="210"/>
      <c r="CF302" s="210"/>
      <c r="CG302" s="210"/>
      <c r="CH302" s="210"/>
      <c r="CI302" s="210"/>
      <c r="CJ302" s="210"/>
      <c r="CK302" s="210"/>
    </row>
    <row r="303">
      <c r="A303" s="222" t="s">
        <v>498</v>
      </c>
      <c r="B303" s="190" t="s">
        <v>499</v>
      </c>
      <c r="C303" s="223" t="s">
        <v>77</v>
      </c>
      <c r="D303" s="223" t="s">
        <v>870</v>
      </c>
      <c r="E303" s="190" t="s">
        <v>22</v>
      </c>
      <c r="F303" s="13" t="s">
        <v>929</v>
      </c>
      <c r="G303" s="13" t="s">
        <v>918</v>
      </c>
      <c r="H303" s="219">
        <f>IFERROR(
  MINIFS(ATTENDANCE_LOG!$F:$F,
         ATTENDANCE_LOG!$A:$A, C303,
         ATTENDANCE_LOG!$B:$B, E303),
"")</f>
        <v>45890.54167</v>
      </c>
      <c r="I303" s="219">
        <f t="shared" si="2"/>
        <v>45715.58333</v>
      </c>
      <c r="J303" s="190">
        <f>IFERROR(VLOOKUP(F303, LEVEL_HELPER!$A:$B, 2, 0), "")</f>
        <v>1.5</v>
      </c>
      <c r="K303" s="190">
        <f>IFERROR(VLOOKUP(G303, LEVEL_HELPER!$A:$B, 2, 0), "")</f>
        <v>3</v>
      </c>
      <c r="L303" s="220" t="s">
        <v>931</v>
      </c>
      <c r="M303" s="220" t="s">
        <v>923</v>
      </c>
      <c r="N303" s="190">
        <f t="array" ref="N303">IFERROR(
  INDEX($J$2:$J$543,
    MATCH(A303&amp;TEXT(I303,"yyyy-mm-dd"),
          $A$2:$A$543&amp;TEXT($H$2:$H$543,"yyyy-mm-dd"),
          0)),
"")</f>
        <v>1</v>
      </c>
      <c r="O303" s="210">
        <f t="shared" si="3"/>
        <v>3</v>
      </c>
      <c r="P303" s="210">
        <f t="shared" ref="P303:Q303" si="313">IF(N303="",0,IF(N303&lt;=2,1,IF(N303&lt;=4,2,IF(N303&lt;=5.5,3,4))))</f>
        <v>1</v>
      </c>
      <c r="Q303" s="210">
        <f t="shared" si="313"/>
        <v>2</v>
      </c>
      <c r="R303" s="210" t="str">
        <f t="shared" si="5"/>
        <v>Lv1 → Lv2</v>
      </c>
      <c r="S303" s="210">
        <f t="shared" si="6"/>
        <v>0</v>
      </c>
      <c r="T303" s="210"/>
      <c r="U303" s="210"/>
      <c r="V303" s="211" t="s">
        <v>286</v>
      </c>
      <c r="W303" s="210" t="str">
        <f t="shared" si="7"/>
        <v>QC</v>
      </c>
      <c r="X303" s="210" t="str">
        <f t="shared" si="8"/>
        <v>QC</v>
      </c>
      <c r="Y303" s="210" t="str">
        <f t="shared" si="9"/>
        <v>ONC</v>
      </c>
      <c r="Z303" s="210"/>
      <c r="AA303" s="210"/>
      <c r="AB303" s="210"/>
      <c r="AC303" s="210"/>
      <c r="AD303" s="210"/>
      <c r="AE303" s="210"/>
      <c r="AF303" s="210"/>
      <c r="AG303" s="210"/>
      <c r="AH303" s="210"/>
      <c r="AI303" s="210"/>
      <c r="AJ303" s="210"/>
      <c r="AK303" s="210"/>
      <c r="AL303" s="210"/>
      <c r="AM303" s="214"/>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c r="BU303" s="210"/>
      <c r="BV303" s="210"/>
      <c r="BW303" s="210"/>
      <c r="BX303" s="210"/>
      <c r="BY303" s="210"/>
      <c r="BZ303" s="210"/>
      <c r="CA303" s="210"/>
      <c r="CB303" s="210"/>
      <c r="CC303" s="210"/>
      <c r="CD303" s="210"/>
      <c r="CE303" s="210"/>
      <c r="CF303" s="210"/>
      <c r="CG303" s="210"/>
      <c r="CH303" s="210"/>
      <c r="CI303" s="210"/>
      <c r="CJ303" s="210"/>
      <c r="CK303" s="210"/>
    </row>
    <row r="304">
      <c r="A304" s="216" t="s">
        <v>421</v>
      </c>
      <c r="B304" s="217" t="s">
        <v>422</v>
      </c>
      <c r="C304" s="218" t="s">
        <v>77</v>
      </c>
      <c r="D304" s="218" t="s">
        <v>870</v>
      </c>
      <c r="E304" s="217" t="s">
        <v>23</v>
      </c>
      <c r="F304" s="190"/>
      <c r="G304" s="190"/>
      <c r="H304" s="219">
        <f>IFERROR(
  MINIFS(ATTENDANCE_LOG!$F:$F,
         ATTENDANCE_LOG!$A:$A, C304,
         ATTENDANCE_LOG!$B:$B, E304),
"")</f>
        <v>46107.58333</v>
      </c>
      <c r="I304" s="219">
        <f t="shared" si="2"/>
        <v>45715.58333</v>
      </c>
      <c r="J304" s="190" t="str">
        <f>IFERROR(VLOOKUP(F304, LEVEL_HELPER!$A:$B, 2, 0), "")</f>
        <v/>
      </c>
      <c r="K304" s="190" t="str">
        <f>IFERROR(VLOOKUP(G304, LEVEL_HELPER!$A:$B, 2, 0), "")</f>
        <v/>
      </c>
      <c r="L304" s="220" t="s">
        <v>931</v>
      </c>
      <c r="M304" s="220" t="s">
        <v>923</v>
      </c>
      <c r="N304" s="190">
        <f t="array" ref="N304">IFERROR(
  INDEX($J$2:$J$543,
    MATCH(A304&amp;TEXT(I304,"yyyy-mm-dd"),
          $A$2:$A$543&amp;TEXT($H$2:$H$543,"yyyy-mm-dd"),
          0)),
"")</f>
        <v>1</v>
      </c>
      <c r="O304" s="210">
        <f t="shared" si="3"/>
        <v>3.5</v>
      </c>
      <c r="P304" s="210">
        <f t="shared" ref="P304:Q304" si="314">IF(N304="",0,IF(N304&lt;=2,1,IF(N304&lt;=4,2,IF(N304&lt;=5.5,3,4))))</f>
        <v>1</v>
      </c>
      <c r="Q304" s="210">
        <f t="shared" si="314"/>
        <v>2</v>
      </c>
      <c r="R304" s="210" t="str">
        <f t="shared" si="5"/>
        <v>Lv1 → Lv2</v>
      </c>
      <c r="S304" s="210">
        <f t="shared" si="6"/>
        <v>0</v>
      </c>
      <c r="T304" s="210"/>
      <c r="U304" s="210"/>
      <c r="V304" s="211" t="s">
        <v>653</v>
      </c>
      <c r="W304" s="210" t="str">
        <f t="shared" si="7"/>
        <v>QC</v>
      </c>
      <c r="X304" s="210" t="str">
        <f t="shared" si="8"/>
        <v>QC</v>
      </c>
      <c r="Y304" s="210" t="str">
        <f t="shared" si="9"/>
        <v>ONC</v>
      </c>
      <c r="Z304" s="210"/>
      <c r="AA304" s="210"/>
      <c r="AB304" s="210"/>
      <c r="AC304" s="210"/>
      <c r="AD304" s="210"/>
      <c r="AE304" s="210"/>
      <c r="AF304" s="210"/>
      <c r="AG304" s="210"/>
      <c r="AH304" s="210"/>
      <c r="AI304" s="210"/>
      <c r="AJ304" s="210"/>
      <c r="AK304" s="210"/>
      <c r="AL304" s="210"/>
      <c r="AM304" s="214"/>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c r="BU304" s="210"/>
      <c r="BV304" s="210"/>
      <c r="BW304" s="210"/>
      <c r="BX304" s="210"/>
      <c r="BY304" s="210"/>
      <c r="BZ304" s="210"/>
      <c r="CA304" s="210"/>
      <c r="CB304" s="210"/>
      <c r="CC304" s="210"/>
      <c r="CD304" s="210"/>
      <c r="CE304" s="210"/>
      <c r="CF304" s="210"/>
      <c r="CG304" s="210"/>
      <c r="CH304" s="210"/>
      <c r="CI304" s="210"/>
      <c r="CJ304" s="210"/>
      <c r="CK304" s="210"/>
    </row>
    <row r="305">
      <c r="A305" s="222" t="s">
        <v>566</v>
      </c>
      <c r="B305" s="190" t="s">
        <v>567</v>
      </c>
      <c r="C305" s="223" t="s">
        <v>77</v>
      </c>
      <c r="D305" s="223" t="s">
        <v>870</v>
      </c>
      <c r="E305" s="190" t="s">
        <v>22</v>
      </c>
      <c r="F305" s="190"/>
      <c r="G305" s="190"/>
      <c r="H305" s="219">
        <f>IFERROR(
  MINIFS(ATTENDANCE_LOG!$F:$F,
         ATTENDANCE_LOG!$A:$A, C305,
         ATTENDANCE_LOG!$B:$B, E305),
"")</f>
        <v>45890.54167</v>
      </c>
      <c r="I305" s="219">
        <f t="shared" si="2"/>
        <v>45715.58333</v>
      </c>
      <c r="J305" s="190" t="str">
        <f>IFERROR(VLOOKUP(F305, LEVEL_HELPER!$A:$B, 2, 0), "")</f>
        <v/>
      </c>
      <c r="K305" s="190" t="str">
        <f>IFERROR(VLOOKUP(G305, LEVEL_HELPER!$A:$B, 2, 0), "")</f>
        <v/>
      </c>
      <c r="L305" s="220" t="s">
        <v>947</v>
      </c>
      <c r="M305" s="220" t="s">
        <v>923</v>
      </c>
      <c r="N305" s="190">
        <f t="array" ref="N305">IFERROR(
  INDEX($J$2:$J$543,
    MATCH(A305&amp;TEXT(I305,"yyyy-mm-dd"),
          $A$2:$A$543&amp;TEXT($H$2:$H$543,"yyyy-mm-dd"),
          0)),
"")</f>
        <v>1</v>
      </c>
      <c r="O305" s="210">
        <f t="shared" si="3"/>
        <v>1.5</v>
      </c>
      <c r="P305" s="210">
        <f t="shared" ref="P305:Q305" si="315">IF(N305="",0,IF(N305&lt;=2,1,IF(N305&lt;=4,2,IF(N305&lt;=5.5,3,4))))</f>
        <v>1</v>
      </c>
      <c r="Q305" s="210">
        <f t="shared" si="315"/>
        <v>1</v>
      </c>
      <c r="R305" s="210" t="str">
        <f t="shared" si="5"/>
        <v>Progress within level</v>
      </c>
      <c r="S305" s="210">
        <f t="shared" si="6"/>
        <v>0</v>
      </c>
      <c r="T305" s="210"/>
      <c r="U305" s="210"/>
      <c r="V305" s="211" t="s">
        <v>673</v>
      </c>
      <c r="W305" s="210" t="str">
        <f t="shared" si="7"/>
        <v>DEV</v>
      </c>
      <c r="X305" s="210" t="str">
        <f t="shared" si="8"/>
        <v>DEV, TA</v>
      </c>
      <c r="Y305" s="210" t="str">
        <f t="shared" si="9"/>
        <v>ONC</v>
      </c>
      <c r="Z305" s="210"/>
      <c r="AA305" s="210"/>
      <c r="AB305" s="210"/>
      <c r="AC305" s="210"/>
      <c r="AD305" s="210"/>
      <c r="AE305" s="210"/>
      <c r="AF305" s="210"/>
      <c r="AG305" s="210"/>
      <c r="AH305" s="210"/>
      <c r="AI305" s="210"/>
      <c r="AJ305" s="210"/>
      <c r="AK305" s="210"/>
      <c r="AL305" s="210"/>
      <c r="AM305" s="214"/>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c r="BU305" s="210"/>
      <c r="BV305" s="210"/>
      <c r="BW305" s="210"/>
      <c r="BX305" s="210"/>
      <c r="BY305" s="210"/>
      <c r="BZ305" s="210"/>
      <c r="CA305" s="210"/>
      <c r="CB305" s="210"/>
      <c r="CC305" s="210"/>
      <c r="CD305" s="210"/>
      <c r="CE305" s="210"/>
      <c r="CF305" s="210"/>
      <c r="CG305" s="210"/>
      <c r="CH305" s="210"/>
      <c r="CI305" s="210"/>
      <c r="CJ305" s="210"/>
      <c r="CK305" s="210"/>
    </row>
    <row r="306">
      <c r="A306" s="222" t="s">
        <v>147</v>
      </c>
      <c r="B306" s="190" t="s">
        <v>148</v>
      </c>
      <c r="C306" s="223" t="s">
        <v>77</v>
      </c>
      <c r="D306" s="223" t="s">
        <v>870</v>
      </c>
      <c r="E306" s="190" t="s">
        <v>23</v>
      </c>
      <c r="F306" s="190"/>
      <c r="G306" s="190"/>
      <c r="H306" s="219">
        <f>IFERROR(
  MINIFS(ATTENDANCE_LOG!$F:$F,
         ATTENDANCE_LOG!$A:$A, C306,
         ATTENDANCE_LOG!$B:$B, E306),
"")</f>
        <v>46107.58333</v>
      </c>
      <c r="I306" s="219">
        <f t="shared" si="2"/>
        <v>45715.58333</v>
      </c>
      <c r="J306" s="190" t="str">
        <f>IFERROR(VLOOKUP(F306, LEVEL_HELPER!$A:$B, 2, 0), "")</f>
        <v/>
      </c>
      <c r="K306" s="190" t="str">
        <f>IFERROR(VLOOKUP(G306, LEVEL_HELPER!$A:$B, 2, 0), "")</f>
        <v/>
      </c>
      <c r="L306" s="220" t="s">
        <v>931</v>
      </c>
      <c r="M306" s="220" t="s">
        <v>923</v>
      </c>
      <c r="N306" s="190">
        <f t="array" ref="N306">IFERROR(
  INDEX($J$2:$J$543,
    MATCH(A306&amp;TEXT(I306,"yyyy-mm-dd"),
          $A$2:$A$543&amp;TEXT($H$2:$H$543,"yyyy-mm-dd"),
          0)),
"")</f>
        <v>1</v>
      </c>
      <c r="O306" s="210">
        <f t="shared" si="3"/>
        <v>3.5</v>
      </c>
      <c r="P306" s="210">
        <f t="shared" ref="P306:Q306" si="316">IF(N306="",0,IF(N306&lt;=2,1,IF(N306&lt;=4,2,IF(N306&lt;=5.5,3,4))))</f>
        <v>1</v>
      </c>
      <c r="Q306" s="210">
        <f t="shared" si="316"/>
        <v>2</v>
      </c>
      <c r="R306" s="210" t="str">
        <f t="shared" si="5"/>
        <v>Lv1 → Lv2</v>
      </c>
      <c r="S306" s="210">
        <f t="shared" si="6"/>
        <v>0</v>
      </c>
      <c r="T306" s="210"/>
      <c r="U306" s="210"/>
      <c r="V306" s="211"/>
      <c r="W306" s="210"/>
      <c r="X306" s="210"/>
      <c r="Y306" s="210"/>
      <c r="Z306" s="210"/>
      <c r="AA306" s="210"/>
      <c r="AB306" s="210"/>
      <c r="AC306" s="210"/>
      <c r="AD306" s="210"/>
      <c r="AE306" s="210"/>
      <c r="AF306" s="210"/>
      <c r="AG306" s="210"/>
      <c r="AH306" s="210"/>
      <c r="AI306" s="210"/>
      <c r="AJ306" s="210"/>
      <c r="AK306" s="210"/>
      <c r="AL306" s="210"/>
      <c r="AM306" s="214"/>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c r="BU306" s="210"/>
      <c r="BV306" s="210"/>
      <c r="BW306" s="210"/>
      <c r="BX306" s="210"/>
      <c r="BY306" s="210"/>
      <c r="BZ306" s="210"/>
      <c r="CA306" s="210"/>
      <c r="CB306" s="210"/>
      <c r="CC306" s="210"/>
      <c r="CD306" s="210"/>
      <c r="CE306" s="210"/>
      <c r="CF306" s="210"/>
      <c r="CG306" s="210"/>
      <c r="CH306" s="210"/>
      <c r="CI306" s="210"/>
      <c r="CJ306" s="210"/>
      <c r="CK306" s="210"/>
    </row>
    <row r="307">
      <c r="A307" s="222" t="s">
        <v>159</v>
      </c>
      <c r="B307" s="190" t="s">
        <v>160</v>
      </c>
      <c r="C307" s="223" t="s">
        <v>77</v>
      </c>
      <c r="D307" s="223" t="s">
        <v>870</v>
      </c>
      <c r="E307" s="190" t="s">
        <v>23</v>
      </c>
      <c r="F307" s="190"/>
      <c r="G307" s="190"/>
      <c r="H307" s="219">
        <f>IFERROR(
  MINIFS(ATTENDANCE_LOG!$F:$F,
         ATTENDANCE_LOG!$A:$A, C307,
         ATTENDANCE_LOG!$B:$B, E307),
"")</f>
        <v>46107.58333</v>
      </c>
      <c r="I307" s="219">
        <f t="shared" si="2"/>
        <v>45663.58333</v>
      </c>
      <c r="J307" s="190" t="str">
        <f>IFERROR(VLOOKUP(F307, LEVEL_HELPER!$A:$B, 2, 0), "")</f>
        <v/>
      </c>
      <c r="K307" s="190" t="str">
        <f>IFERROR(VLOOKUP(G307, LEVEL_HELPER!$A:$B, 2, 0), "")</f>
        <v/>
      </c>
      <c r="L307" s="220" t="s">
        <v>931</v>
      </c>
      <c r="M307" s="220" t="s">
        <v>923</v>
      </c>
      <c r="N307" s="190">
        <f t="array" ref="N307">IFERROR(
  INDEX($J$2:$J$543,
    MATCH(A307&amp;TEXT(I307,"yyyy-mm-dd"),
          $A$2:$A$543&amp;TEXT($H$2:$H$543,"yyyy-mm-dd"),
          0)),
"")</f>
        <v>1</v>
      </c>
      <c r="O307" s="210">
        <f t="shared" si="3"/>
        <v>3</v>
      </c>
      <c r="P307" s="210">
        <f t="shared" ref="P307:Q307" si="317">IF(N307="",0,IF(N307&lt;=2,1,IF(N307&lt;=4,2,IF(N307&lt;=5.5,3,4))))</f>
        <v>1</v>
      </c>
      <c r="Q307" s="210">
        <f t="shared" si="317"/>
        <v>2</v>
      </c>
      <c r="R307" s="210" t="str">
        <f t="shared" si="5"/>
        <v>Lv1 → Lv2</v>
      </c>
      <c r="S307" s="210">
        <f t="shared" si="6"/>
        <v>0</v>
      </c>
      <c r="T307" s="210"/>
      <c r="U307" s="210"/>
      <c r="V307" s="210"/>
      <c r="W307" s="210"/>
      <c r="X307" s="210"/>
      <c r="Y307" s="210"/>
      <c r="Z307" s="210"/>
      <c r="AA307" s="210"/>
      <c r="AB307" s="210"/>
      <c r="AC307" s="210"/>
      <c r="AD307" s="210"/>
      <c r="AE307" s="210"/>
      <c r="AF307" s="210"/>
      <c r="AG307" s="210"/>
      <c r="AH307" s="210"/>
      <c r="AI307" s="210"/>
      <c r="AJ307" s="210"/>
      <c r="AK307" s="210"/>
      <c r="AL307" s="210"/>
      <c r="AM307" s="214"/>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c r="BU307" s="210"/>
      <c r="BV307" s="210"/>
      <c r="BW307" s="210"/>
      <c r="BX307" s="210"/>
      <c r="BY307" s="210"/>
      <c r="BZ307" s="210"/>
      <c r="CA307" s="210"/>
      <c r="CB307" s="210"/>
      <c r="CC307" s="210"/>
      <c r="CD307" s="210"/>
      <c r="CE307" s="210"/>
      <c r="CF307" s="210"/>
      <c r="CG307" s="210"/>
      <c r="CH307" s="210"/>
      <c r="CI307" s="210"/>
      <c r="CJ307" s="210"/>
      <c r="CK307" s="210"/>
    </row>
    <row r="308">
      <c r="A308" s="222" t="s">
        <v>255</v>
      </c>
      <c r="B308" s="190" t="s">
        <v>256</v>
      </c>
      <c r="C308" s="223" t="s">
        <v>77</v>
      </c>
      <c r="D308" s="223" t="s">
        <v>870</v>
      </c>
      <c r="E308" s="190" t="s">
        <v>23</v>
      </c>
      <c r="F308" s="190"/>
      <c r="G308" s="190"/>
      <c r="H308" s="219">
        <f>IFERROR(
  MINIFS(ATTENDANCE_LOG!$F:$F,
         ATTENDANCE_LOG!$A:$A, C308,
         ATTENDANCE_LOG!$B:$B, E308),
"")</f>
        <v>46107.58333</v>
      </c>
      <c r="I308" s="219">
        <f t="shared" si="2"/>
        <v>45715.58333</v>
      </c>
      <c r="J308" s="190" t="str">
        <f>IFERROR(VLOOKUP(F308, LEVEL_HELPER!$A:$B, 2, 0), "")</f>
        <v/>
      </c>
      <c r="K308" s="190" t="str">
        <f>IFERROR(VLOOKUP(G308, LEVEL_HELPER!$A:$B, 2, 0), "")</f>
        <v/>
      </c>
      <c r="L308" s="220" t="s">
        <v>931</v>
      </c>
      <c r="M308" s="220" t="s">
        <v>923</v>
      </c>
      <c r="N308" s="190">
        <f t="array" ref="N308">IFERROR(
  INDEX($J$2:$J$543,
    MATCH(A308&amp;TEXT(I308,"yyyy-mm-dd"),
          $A$2:$A$543&amp;TEXT($H$2:$H$543,"yyyy-mm-dd"),
          0)),
"")</f>
        <v>1</v>
      </c>
      <c r="O308" s="210">
        <f t="shared" si="3"/>
        <v>3.5</v>
      </c>
      <c r="P308" s="210">
        <f t="shared" ref="P308:Q308" si="318">IF(N308="",0,IF(N308&lt;=2,1,IF(N308&lt;=4,2,IF(N308&lt;=5.5,3,4))))</f>
        <v>1</v>
      </c>
      <c r="Q308" s="210">
        <f t="shared" si="318"/>
        <v>2</v>
      </c>
      <c r="R308" s="210" t="str">
        <f t="shared" si="5"/>
        <v>Lv1 → Lv2</v>
      </c>
      <c r="S308" s="210">
        <f t="shared" si="6"/>
        <v>0</v>
      </c>
      <c r="T308" s="210"/>
      <c r="U308" s="210"/>
      <c r="V308" s="210"/>
      <c r="W308" s="210"/>
      <c r="X308" s="210"/>
      <c r="Y308" s="210"/>
      <c r="Z308" s="210"/>
      <c r="AA308" s="210"/>
      <c r="AB308" s="210"/>
      <c r="AC308" s="210"/>
      <c r="AD308" s="210"/>
      <c r="AE308" s="210"/>
      <c r="AF308" s="210"/>
      <c r="AG308" s="210"/>
      <c r="AH308" s="210"/>
      <c r="AI308" s="210"/>
      <c r="AJ308" s="210"/>
      <c r="AK308" s="210"/>
      <c r="AL308" s="210"/>
      <c r="AM308" s="214"/>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c r="BU308" s="210"/>
      <c r="BV308" s="210"/>
      <c r="BW308" s="210"/>
      <c r="BX308" s="210"/>
      <c r="BY308" s="210"/>
      <c r="BZ308" s="210"/>
      <c r="CA308" s="210"/>
      <c r="CB308" s="210"/>
      <c r="CC308" s="210"/>
      <c r="CD308" s="210"/>
      <c r="CE308" s="210"/>
      <c r="CF308" s="210"/>
      <c r="CG308" s="210"/>
      <c r="CH308" s="210"/>
      <c r="CI308" s="210"/>
      <c r="CJ308" s="210"/>
      <c r="CK308" s="210"/>
    </row>
    <row r="309">
      <c r="A309" s="222" t="s">
        <v>433</v>
      </c>
      <c r="B309" s="190" t="s">
        <v>432</v>
      </c>
      <c r="C309" s="223" t="s">
        <v>77</v>
      </c>
      <c r="D309" s="223" t="s">
        <v>870</v>
      </c>
      <c r="E309" s="190" t="s">
        <v>23</v>
      </c>
      <c r="F309" s="190"/>
      <c r="G309" s="190"/>
      <c r="H309" s="219">
        <f>IFERROR(
  MINIFS(ATTENDANCE_LOG!$F:$F,
         ATTENDANCE_LOG!$A:$A, C309,
         ATTENDANCE_LOG!$B:$B, E309),
"")</f>
        <v>46107.58333</v>
      </c>
      <c r="I309" s="219">
        <f t="shared" si="2"/>
        <v>45663.58333</v>
      </c>
      <c r="J309" s="190" t="str">
        <f>IFERROR(VLOOKUP(F309, LEVEL_HELPER!$A:$B, 2, 0), "")</f>
        <v/>
      </c>
      <c r="K309" s="190" t="str">
        <f>IFERROR(VLOOKUP(G309, LEVEL_HELPER!$A:$B, 2, 0), "")</f>
        <v/>
      </c>
      <c r="L309" s="220" t="s">
        <v>931</v>
      </c>
      <c r="M309" s="220" t="s">
        <v>923</v>
      </c>
      <c r="N309" s="190">
        <f t="array" ref="N309">IFERROR(
  INDEX($J$2:$J$543,
    MATCH(A309&amp;TEXT(I309,"yyyy-mm-dd"),
          $A$2:$A$543&amp;TEXT($H$2:$H$543,"yyyy-mm-dd"),
          0)),
"")</f>
        <v>2.5</v>
      </c>
      <c r="O309" s="210">
        <f t="shared" si="3"/>
        <v>3.5</v>
      </c>
      <c r="P309" s="210">
        <f t="shared" ref="P309:Q309" si="319">IF(N309="",0,IF(N309&lt;=2,1,IF(N309&lt;=4,2,IF(N309&lt;=5.5,3,4))))</f>
        <v>2</v>
      </c>
      <c r="Q309" s="210">
        <f t="shared" si="319"/>
        <v>2</v>
      </c>
      <c r="R309" s="210" t="str">
        <f t="shared" si="5"/>
        <v>Progress within level</v>
      </c>
      <c r="S309" s="210">
        <f t="shared" si="6"/>
        <v>0</v>
      </c>
      <c r="T309" s="210"/>
      <c r="U309" s="210"/>
      <c r="V309" s="210"/>
      <c r="W309" s="210"/>
      <c r="X309" s="210"/>
      <c r="Y309" s="210"/>
      <c r="Z309" s="210"/>
      <c r="AA309" s="210"/>
      <c r="AB309" s="210"/>
      <c r="AC309" s="210"/>
      <c r="AD309" s="210"/>
      <c r="AE309" s="210"/>
      <c r="AF309" s="210"/>
      <c r="AG309" s="210"/>
      <c r="AH309" s="210"/>
      <c r="AI309" s="210"/>
      <c r="AJ309" s="210"/>
      <c r="AK309" s="210"/>
      <c r="AL309" s="210"/>
      <c r="AM309" s="214"/>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c r="BU309" s="210"/>
      <c r="BV309" s="210"/>
      <c r="BW309" s="210"/>
      <c r="BX309" s="210"/>
      <c r="BY309" s="210"/>
      <c r="BZ309" s="210"/>
      <c r="CA309" s="210"/>
      <c r="CB309" s="210"/>
      <c r="CC309" s="210"/>
      <c r="CD309" s="210"/>
      <c r="CE309" s="210"/>
      <c r="CF309" s="210"/>
      <c r="CG309" s="210"/>
      <c r="CH309" s="210"/>
      <c r="CI309" s="210"/>
      <c r="CJ309" s="210"/>
      <c r="CK309" s="210"/>
    </row>
    <row r="310">
      <c r="A310" s="222" t="s">
        <v>494</v>
      </c>
      <c r="B310" s="190" t="s">
        <v>495</v>
      </c>
      <c r="C310" s="223" t="s">
        <v>77</v>
      </c>
      <c r="D310" s="223" t="s">
        <v>870</v>
      </c>
      <c r="E310" s="190" t="s">
        <v>23</v>
      </c>
      <c r="F310" s="190"/>
      <c r="G310" s="190"/>
      <c r="H310" s="219">
        <f>IFERROR(
  MINIFS(ATTENDANCE_LOG!$F:$F,
         ATTENDANCE_LOG!$A:$A, C310,
         ATTENDANCE_LOG!$B:$B, E310),
"")</f>
        <v>46107.58333</v>
      </c>
      <c r="I310" s="219">
        <f t="shared" si="2"/>
        <v>45715.58333</v>
      </c>
      <c r="J310" s="190" t="str">
        <f>IFERROR(VLOOKUP(F310, LEVEL_HELPER!$A:$B, 2, 0), "")</f>
        <v/>
      </c>
      <c r="K310" s="190" t="str">
        <f>IFERROR(VLOOKUP(G310, LEVEL_HELPER!$A:$B, 2, 0), "")</f>
        <v/>
      </c>
      <c r="L310" s="220" t="s">
        <v>931</v>
      </c>
      <c r="M310" s="220" t="s">
        <v>923</v>
      </c>
      <c r="N310" s="190">
        <f t="array" ref="N310">IFERROR(
  INDEX($J$2:$J$543,
    MATCH(A310&amp;TEXT(I310,"yyyy-mm-dd"),
          $A$2:$A$543&amp;TEXT($H$2:$H$543,"yyyy-mm-dd"),
          0)),
"")</f>
        <v>1</v>
      </c>
      <c r="O310" s="210">
        <f t="shared" si="3"/>
        <v>3.5</v>
      </c>
      <c r="P310" s="210">
        <f t="shared" ref="P310:Q310" si="320">IF(N310="",0,IF(N310&lt;=2,1,IF(N310&lt;=4,2,IF(N310&lt;=5.5,3,4))))</f>
        <v>1</v>
      </c>
      <c r="Q310" s="210">
        <f t="shared" si="320"/>
        <v>2</v>
      </c>
      <c r="R310" s="210" t="str">
        <f t="shared" si="5"/>
        <v>Lv1 → Lv2</v>
      </c>
      <c r="S310" s="210">
        <f t="shared" si="6"/>
        <v>0</v>
      </c>
      <c r="T310" s="210"/>
      <c r="U310" s="210"/>
      <c r="V310" s="210"/>
      <c r="W310" s="210"/>
      <c r="X310" s="210"/>
      <c r="Y310" s="210"/>
      <c r="Z310" s="210"/>
      <c r="AA310" s="210"/>
      <c r="AB310" s="210"/>
      <c r="AC310" s="210"/>
      <c r="AD310" s="210"/>
      <c r="AE310" s="210"/>
      <c r="AF310" s="210"/>
      <c r="AG310" s="210"/>
      <c r="AH310" s="210"/>
      <c r="AI310" s="210"/>
      <c r="AJ310" s="210"/>
      <c r="AK310" s="210"/>
      <c r="AL310" s="210"/>
      <c r="AM310" s="214"/>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c r="BU310" s="210"/>
      <c r="BV310" s="210"/>
      <c r="BW310" s="210"/>
      <c r="BX310" s="210"/>
      <c r="BY310" s="210"/>
      <c r="BZ310" s="210"/>
      <c r="CA310" s="210"/>
      <c r="CB310" s="210"/>
      <c r="CC310" s="210"/>
      <c r="CD310" s="210"/>
      <c r="CE310" s="210"/>
      <c r="CF310" s="210"/>
      <c r="CG310" s="210"/>
      <c r="CH310" s="210"/>
      <c r="CI310" s="210"/>
      <c r="CJ310" s="210"/>
      <c r="CK310" s="210"/>
    </row>
    <row r="311">
      <c r="A311" s="222" t="s">
        <v>498</v>
      </c>
      <c r="B311" s="190" t="s">
        <v>499</v>
      </c>
      <c r="C311" s="223" t="s">
        <v>77</v>
      </c>
      <c r="D311" s="223" t="s">
        <v>870</v>
      </c>
      <c r="E311" s="190" t="s">
        <v>23</v>
      </c>
      <c r="F311" s="190"/>
      <c r="G311" s="190"/>
      <c r="H311" s="219">
        <f>IFERROR(
  MINIFS(ATTENDANCE_LOG!$F:$F,
         ATTENDANCE_LOG!$A:$A, C311,
         ATTENDANCE_LOG!$B:$B, E311),
"")</f>
        <v>46107.58333</v>
      </c>
      <c r="I311" s="219">
        <f t="shared" si="2"/>
        <v>45715.58333</v>
      </c>
      <c r="J311" s="190" t="str">
        <f>IFERROR(VLOOKUP(F311, LEVEL_HELPER!$A:$B, 2, 0), "")</f>
        <v/>
      </c>
      <c r="K311" s="190" t="str">
        <f>IFERROR(VLOOKUP(G311, LEVEL_HELPER!$A:$B, 2, 0), "")</f>
        <v/>
      </c>
      <c r="L311" s="220" t="s">
        <v>931</v>
      </c>
      <c r="M311" s="220" t="s">
        <v>923</v>
      </c>
      <c r="N311" s="190">
        <f t="array" ref="N311">IFERROR(
  INDEX($J$2:$J$543,
    MATCH(A311&amp;TEXT(I311,"yyyy-mm-dd"),
          $A$2:$A$543&amp;TEXT($H$2:$H$543,"yyyy-mm-dd"),
          0)),
"")</f>
        <v>1</v>
      </c>
      <c r="O311" s="210">
        <f t="shared" si="3"/>
        <v>3</v>
      </c>
      <c r="P311" s="210">
        <f t="shared" ref="P311:Q311" si="321">IF(N311="",0,IF(N311&lt;=2,1,IF(N311&lt;=4,2,IF(N311&lt;=5.5,3,4))))</f>
        <v>1</v>
      </c>
      <c r="Q311" s="210">
        <f t="shared" si="321"/>
        <v>2</v>
      </c>
      <c r="R311" s="210" t="str">
        <f t="shared" si="5"/>
        <v>Lv1 → Lv2</v>
      </c>
      <c r="S311" s="210">
        <f t="shared" si="6"/>
        <v>0</v>
      </c>
      <c r="T311" s="210"/>
      <c r="U311" s="210"/>
      <c r="V311" s="210"/>
      <c r="W311" s="210"/>
      <c r="X311" s="210"/>
      <c r="Y311" s="210"/>
      <c r="Z311" s="210"/>
      <c r="AA311" s="210"/>
      <c r="AB311" s="210"/>
      <c r="AC311" s="210"/>
      <c r="AD311" s="210"/>
      <c r="AE311" s="210"/>
      <c r="AF311" s="210"/>
      <c r="AG311" s="210"/>
      <c r="AH311" s="210"/>
      <c r="AI311" s="210"/>
      <c r="AJ311" s="210"/>
      <c r="AK311" s="210"/>
      <c r="AL311" s="210"/>
      <c r="AM311" s="214"/>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c r="BU311" s="210"/>
      <c r="BV311" s="210"/>
      <c r="BW311" s="210"/>
      <c r="BX311" s="210"/>
      <c r="BY311" s="210"/>
      <c r="BZ311" s="210"/>
      <c r="CA311" s="210"/>
      <c r="CB311" s="210"/>
      <c r="CC311" s="210"/>
      <c r="CD311" s="210"/>
      <c r="CE311" s="210"/>
      <c r="CF311" s="210"/>
      <c r="CG311" s="210"/>
      <c r="CH311" s="210"/>
      <c r="CI311" s="210"/>
      <c r="CJ311" s="210"/>
      <c r="CK311" s="210"/>
    </row>
    <row r="312">
      <c r="A312" s="222" t="s">
        <v>566</v>
      </c>
      <c r="B312" s="190" t="s">
        <v>567</v>
      </c>
      <c r="C312" s="223" t="s">
        <v>77</v>
      </c>
      <c r="D312" s="223" t="s">
        <v>870</v>
      </c>
      <c r="E312" s="190" t="s">
        <v>23</v>
      </c>
      <c r="F312" s="190"/>
      <c r="G312" s="190"/>
      <c r="H312" s="219">
        <f>IFERROR(
  MINIFS(ATTENDANCE_LOG!$F:$F,
         ATTENDANCE_LOG!$A:$A, C312,
         ATTENDANCE_LOG!$B:$B, E312),
"")</f>
        <v>46107.58333</v>
      </c>
      <c r="I312" s="219">
        <f t="shared" si="2"/>
        <v>45715.58333</v>
      </c>
      <c r="J312" s="190" t="str">
        <f>IFERROR(VLOOKUP(F312, LEVEL_HELPER!$A:$B, 2, 0), "")</f>
        <v/>
      </c>
      <c r="K312" s="190" t="str">
        <f>IFERROR(VLOOKUP(G312, LEVEL_HELPER!$A:$B, 2, 0), "")</f>
        <v/>
      </c>
      <c r="L312" s="220" t="s">
        <v>947</v>
      </c>
      <c r="M312" s="220" t="s">
        <v>923</v>
      </c>
      <c r="N312" s="190">
        <f t="array" ref="N312">IFERROR(
  INDEX($J$2:$J$543,
    MATCH(A312&amp;TEXT(I312,"yyyy-mm-dd"),
          $A$2:$A$543&amp;TEXT($H$2:$H$543,"yyyy-mm-dd"),
          0)),
"")</f>
        <v>1</v>
      </c>
      <c r="O312" s="210">
        <f t="shared" si="3"/>
        <v>1.5</v>
      </c>
      <c r="P312" s="210">
        <f t="shared" ref="P312:Q312" si="322">IF(N312="",0,IF(N312&lt;=2,1,IF(N312&lt;=4,2,IF(N312&lt;=5.5,3,4))))</f>
        <v>1</v>
      </c>
      <c r="Q312" s="210">
        <f t="shared" si="322"/>
        <v>1</v>
      </c>
      <c r="R312" s="210" t="str">
        <f t="shared" si="5"/>
        <v>Progress within level</v>
      </c>
      <c r="S312" s="210">
        <f t="shared" si="6"/>
        <v>0</v>
      </c>
      <c r="T312" s="210"/>
      <c r="U312" s="210"/>
      <c r="V312" s="210"/>
      <c r="W312" s="210"/>
      <c r="X312" s="210"/>
      <c r="Y312" s="210"/>
      <c r="Z312" s="210"/>
      <c r="AA312" s="210"/>
      <c r="AB312" s="210"/>
      <c r="AC312" s="210"/>
      <c r="AD312" s="210"/>
      <c r="AE312" s="210"/>
      <c r="AF312" s="210"/>
      <c r="AG312" s="210"/>
      <c r="AH312" s="210"/>
      <c r="AI312" s="210"/>
      <c r="AJ312" s="210"/>
      <c r="AK312" s="210"/>
      <c r="AL312" s="210"/>
      <c r="AM312" s="214"/>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c r="BU312" s="210"/>
      <c r="BV312" s="210"/>
      <c r="BW312" s="210"/>
      <c r="BX312" s="210"/>
      <c r="BY312" s="210"/>
      <c r="BZ312" s="210"/>
      <c r="CA312" s="210"/>
      <c r="CB312" s="210"/>
      <c r="CC312" s="210"/>
      <c r="CD312" s="210"/>
      <c r="CE312" s="210"/>
      <c r="CF312" s="210"/>
      <c r="CG312" s="210"/>
      <c r="CH312" s="210"/>
      <c r="CI312" s="210"/>
      <c r="CJ312" s="210"/>
      <c r="CK312" s="210"/>
    </row>
    <row r="313">
      <c r="A313" s="222" t="s">
        <v>261</v>
      </c>
      <c r="B313" s="217" t="s">
        <v>262</v>
      </c>
      <c r="C313" s="218" t="s">
        <v>78</v>
      </c>
      <c r="D313" s="218" t="s">
        <v>871</v>
      </c>
      <c r="E313" s="217" t="s">
        <v>21</v>
      </c>
      <c r="F313" s="13" t="s">
        <v>932</v>
      </c>
      <c r="G313" s="190"/>
      <c r="H313" s="219">
        <f>IFERROR(
  MINIFS(ATTENDANCE_LOG!$F:$F,
         ATTENDANCE_LOG!$A:$A, C313,
         ATTENDANCE_LOG!$B:$B, E313),
"")</f>
        <v>45638.45833</v>
      </c>
      <c r="I313" s="219">
        <f t="shared" si="2"/>
        <v>45638.45833</v>
      </c>
      <c r="J313" s="190">
        <f>IFERROR(VLOOKUP(F313, LEVEL_HELPER!$A:$B, 2, 0), "")</f>
        <v>4.5</v>
      </c>
      <c r="K313" s="190" t="str">
        <f>IFERROR(VLOOKUP(G313, LEVEL_HELPER!$A:$B, 2, 0), "")</f>
        <v/>
      </c>
      <c r="L313" s="220" t="s">
        <v>955</v>
      </c>
      <c r="M313" s="229" t="s">
        <v>922</v>
      </c>
      <c r="N313" s="190">
        <f t="array" ref="N313">IFERROR(
  INDEX($J$2:$J$543,
    MATCH(A313&amp;TEXT(I313,"yyyy-mm-dd"),
          $A$2:$A$543&amp;TEXT($H$2:$H$543,"yyyy-mm-dd"),
          0)),
"")</f>
        <v>4.5</v>
      </c>
      <c r="O313" s="210">
        <f t="shared" si="3"/>
        <v>0</v>
      </c>
      <c r="P313" s="210">
        <f t="shared" ref="P313:Q313" si="323">IF(N313="",0,IF(N313&lt;=2,1,IF(N313&lt;=4,2,IF(N313&lt;=5.5,3,4))))</f>
        <v>3</v>
      </c>
      <c r="Q313" s="210">
        <f t="shared" si="323"/>
        <v>1</v>
      </c>
      <c r="R313" s="210" t="str">
        <f t="shared" si="5"/>
        <v>Not tested yet</v>
      </c>
      <c r="S313" s="210">
        <f t="shared" si="6"/>
        <v>1</v>
      </c>
      <c r="T313" s="210"/>
      <c r="U313" s="210"/>
      <c r="V313" s="210"/>
      <c r="W313" s="210"/>
      <c r="X313" s="210"/>
      <c r="Y313" s="210"/>
      <c r="Z313" s="210"/>
      <c r="AA313" s="210"/>
      <c r="AB313" s="210"/>
      <c r="AC313" s="210"/>
      <c r="AD313" s="210"/>
      <c r="AE313" s="210"/>
      <c r="AF313" s="210"/>
      <c r="AG313" s="210"/>
      <c r="AH313" s="210"/>
      <c r="AI313" s="210"/>
      <c r="AJ313" s="210"/>
      <c r="AK313" s="210"/>
      <c r="AL313" s="210"/>
      <c r="AM313" s="214"/>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c r="BU313" s="210"/>
      <c r="BV313" s="210"/>
      <c r="BW313" s="210"/>
      <c r="BX313" s="210"/>
      <c r="BY313" s="210"/>
      <c r="BZ313" s="210"/>
      <c r="CA313" s="210"/>
      <c r="CB313" s="210"/>
      <c r="CC313" s="210"/>
      <c r="CD313" s="210"/>
      <c r="CE313" s="210"/>
      <c r="CF313" s="210"/>
      <c r="CG313" s="210"/>
      <c r="CH313" s="210"/>
      <c r="CI313" s="210"/>
      <c r="CJ313" s="210"/>
      <c r="CK313" s="210"/>
    </row>
    <row r="314">
      <c r="A314" s="222" t="s">
        <v>182</v>
      </c>
      <c r="B314" s="190" t="s">
        <v>183</v>
      </c>
      <c r="C314" s="223" t="s">
        <v>78</v>
      </c>
      <c r="D314" s="223" t="s">
        <v>871</v>
      </c>
      <c r="E314" s="190" t="s">
        <v>21</v>
      </c>
      <c r="F314" s="13" t="s">
        <v>927</v>
      </c>
      <c r="G314" s="13" t="s">
        <v>927</v>
      </c>
      <c r="H314" s="219">
        <f>IFERROR(
  MINIFS(ATTENDANCE_LOG!$F:$F,
         ATTENDANCE_LOG!$A:$A, C314,
         ATTENDANCE_LOG!$B:$B, E314),
"")</f>
        <v>45638.45833</v>
      </c>
      <c r="I314" s="219">
        <f t="shared" si="2"/>
        <v>45638.45833</v>
      </c>
      <c r="J314" s="190">
        <f>IFERROR(VLOOKUP(F314, LEVEL_HELPER!$A:$B, 2, 0), "")</f>
        <v>1</v>
      </c>
      <c r="K314" s="190">
        <f>IFERROR(VLOOKUP(G314, LEVEL_HELPER!$A:$B, 2, 0), "")</f>
        <v>1</v>
      </c>
      <c r="L314" s="220" t="s">
        <v>919</v>
      </c>
      <c r="M314" s="229" t="s">
        <v>922</v>
      </c>
      <c r="N314" s="190">
        <f t="array" ref="N314">IFERROR(
  INDEX($J$2:$J$543,
    MATCH(A314&amp;TEXT(I314,"yyyy-mm-dd"),
          $A$2:$A$543&amp;TEXT($H$2:$H$543,"yyyy-mm-dd"),
          0)),
"")</f>
        <v>1</v>
      </c>
      <c r="O314" s="210">
        <f t="shared" si="3"/>
        <v>1</v>
      </c>
      <c r="P314" s="210">
        <f t="shared" ref="P314:Q314" si="324">IF(N314="",0,IF(N314&lt;=2,1,IF(N314&lt;=4,2,IF(N314&lt;=5.5,3,4))))</f>
        <v>1</v>
      </c>
      <c r="Q314" s="210">
        <f t="shared" si="324"/>
        <v>1</v>
      </c>
      <c r="R314" s="210" t="str">
        <f t="shared" si="5"/>
        <v>No Progress</v>
      </c>
      <c r="S314" s="210">
        <f t="shared" si="6"/>
        <v>1</v>
      </c>
      <c r="T314" s="210"/>
      <c r="U314" s="210"/>
      <c r="V314" s="210"/>
      <c r="W314" s="210"/>
      <c r="X314" s="210"/>
      <c r="Y314" s="210"/>
      <c r="Z314" s="210"/>
      <c r="AA314" s="210"/>
      <c r="AB314" s="210"/>
      <c r="AC314" s="210"/>
      <c r="AD314" s="210"/>
      <c r="AE314" s="210"/>
      <c r="AF314" s="210"/>
      <c r="AG314" s="210"/>
      <c r="AH314" s="210"/>
      <c r="AI314" s="210"/>
      <c r="AJ314" s="210"/>
      <c r="AK314" s="210"/>
      <c r="AL314" s="210"/>
      <c r="AM314" s="214"/>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c r="BU314" s="210"/>
      <c r="BV314" s="210"/>
      <c r="BW314" s="210"/>
      <c r="BX314" s="210"/>
      <c r="BY314" s="210"/>
      <c r="BZ314" s="210"/>
      <c r="CA314" s="210"/>
      <c r="CB314" s="210"/>
      <c r="CC314" s="210"/>
      <c r="CD314" s="210"/>
      <c r="CE314" s="210"/>
      <c r="CF314" s="210"/>
      <c r="CG314" s="210"/>
      <c r="CH314" s="210"/>
      <c r="CI314" s="210"/>
      <c r="CJ314" s="210"/>
      <c r="CK314" s="210"/>
    </row>
    <row r="315">
      <c r="A315" s="222" t="s">
        <v>259</v>
      </c>
      <c r="B315" s="190" t="s">
        <v>260</v>
      </c>
      <c r="C315" s="223" t="s">
        <v>78</v>
      </c>
      <c r="D315" s="223" t="s">
        <v>871</v>
      </c>
      <c r="E315" s="190" t="s">
        <v>21</v>
      </c>
      <c r="F315" s="13" t="s">
        <v>927</v>
      </c>
      <c r="G315" s="13" t="s">
        <v>927</v>
      </c>
      <c r="H315" s="219">
        <f>IFERROR(
  MINIFS(ATTENDANCE_LOG!$F:$F,
         ATTENDANCE_LOG!$A:$A, C315,
         ATTENDANCE_LOG!$B:$B, E315),
"")</f>
        <v>45638.45833</v>
      </c>
      <c r="I315" s="219">
        <f t="shared" si="2"/>
        <v>45638.45833</v>
      </c>
      <c r="J315" s="190">
        <f>IFERROR(VLOOKUP(F315, LEVEL_HELPER!$A:$B, 2, 0), "")</f>
        <v>1</v>
      </c>
      <c r="K315" s="190">
        <f>IFERROR(VLOOKUP(G315, LEVEL_HELPER!$A:$B, 2, 0), "")</f>
        <v>1</v>
      </c>
      <c r="L315" s="220" t="s">
        <v>945</v>
      </c>
      <c r="M315" s="229" t="s">
        <v>922</v>
      </c>
      <c r="N315" s="190">
        <f t="array" ref="N315">IFERROR(
  INDEX($J$2:$J$543,
    MATCH(A315&amp;TEXT(I315,"yyyy-mm-dd"),
          $A$2:$A$543&amp;TEXT($H$2:$H$543,"yyyy-mm-dd"),
          0)),
"")</f>
        <v>1</v>
      </c>
      <c r="O315" s="210">
        <f t="shared" si="3"/>
        <v>1</v>
      </c>
      <c r="P315" s="210">
        <f t="shared" ref="P315:Q315" si="325">IF(N315="",0,IF(N315&lt;=2,1,IF(N315&lt;=4,2,IF(N315&lt;=5.5,3,4))))</f>
        <v>1</v>
      </c>
      <c r="Q315" s="210">
        <f t="shared" si="325"/>
        <v>1</v>
      </c>
      <c r="R315" s="210" t="str">
        <f t="shared" si="5"/>
        <v>No Progress</v>
      </c>
      <c r="S315" s="210">
        <f t="shared" si="6"/>
        <v>1</v>
      </c>
      <c r="T315" s="210"/>
      <c r="U315" s="210"/>
      <c r="V315" s="210"/>
      <c r="W315" s="210"/>
      <c r="X315" s="210"/>
      <c r="Y315" s="210"/>
      <c r="Z315" s="210"/>
      <c r="AA315" s="210"/>
      <c r="AB315" s="210"/>
      <c r="AC315" s="210"/>
      <c r="AD315" s="210"/>
      <c r="AE315" s="210"/>
      <c r="AF315" s="210"/>
      <c r="AG315" s="210"/>
      <c r="AH315" s="210"/>
      <c r="AI315" s="210"/>
      <c r="AJ315" s="210"/>
      <c r="AK315" s="210"/>
      <c r="AL315" s="210"/>
      <c r="AM315" s="214"/>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c r="BU315" s="210"/>
      <c r="BV315" s="210"/>
      <c r="BW315" s="210"/>
      <c r="BX315" s="210"/>
      <c r="BY315" s="210"/>
      <c r="BZ315" s="210"/>
      <c r="CA315" s="210"/>
      <c r="CB315" s="210"/>
      <c r="CC315" s="210"/>
      <c r="CD315" s="210"/>
      <c r="CE315" s="210"/>
      <c r="CF315" s="210"/>
      <c r="CG315" s="210"/>
      <c r="CH315" s="210"/>
      <c r="CI315" s="210"/>
      <c r="CJ315" s="210"/>
      <c r="CK315" s="210"/>
    </row>
    <row r="316">
      <c r="A316" s="222" t="s">
        <v>423</v>
      </c>
      <c r="B316" s="190" t="s">
        <v>424</v>
      </c>
      <c r="C316" s="223" t="s">
        <v>78</v>
      </c>
      <c r="D316" s="223" t="s">
        <v>871</v>
      </c>
      <c r="E316" s="190" t="s">
        <v>21</v>
      </c>
      <c r="F316" s="13" t="s">
        <v>927</v>
      </c>
      <c r="G316" s="13" t="s">
        <v>918</v>
      </c>
      <c r="H316" s="219">
        <f>IFERROR(
  MINIFS(ATTENDANCE_LOG!$F:$F,
         ATTENDANCE_LOG!$A:$A, C316,
         ATTENDANCE_LOG!$B:$B, E316),
"")</f>
        <v>45638.45833</v>
      </c>
      <c r="I316" s="219">
        <f t="shared" si="2"/>
        <v>45638.45833</v>
      </c>
      <c r="J316" s="190">
        <f>IFERROR(VLOOKUP(F316, LEVEL_HELPER!$A:$B, 2, 0), "")</f>
        <v>1</v>
      </c>
      <c r="K316" s="190">
        <f>IFERROR(VLOOKUP(G316, LEVEL_HELPER!$A:$B, 2, 0), "")</f>
        <v>3</v>
      </c>
      <c r="L316" s="220" t="s">
        <v>943</v>
      </c>
      <c r="M316" s="229" t="s">
        <v>922</v>
      </c>
      <c r="N316" s="190">
        <f t="array" ref="N316">IFERROR(
  INDEX($J$2:$J$543,
    MATCH(A316&amp;TEXT(I316,"yyyy-mm-dd"),
          $A$2:$A$543&amp;TEXT($H$2:$H$543,"yyyy-mm-dd"),
          0)),
"")</f>
        <v>1</v>
      </c>
      <c r="O316" s="210">
        <f t="shared" si="3"/>
        <v>3</v>
      </c>
      <c r="P316" s="210">
        <f t="shared" ref="P316:Q316" si="326">IF(N316="",0,IF(N316&lt;=2,1,IF(N316&lt;=4,2,IF(N316&lt;=5.5,3,4))))</f>
        <v>1</v>
      </c>
      <c r="Q316" s="210">
        <f t="shared" si="326"/>
        <v>2</v>
      </c>
      <c r="R316" s="210" t="str">
        <f t="shared" si="5"/>
        <v>Lv1 → Lv2</v>
      </c>
      <c r="S316" s="210">
        <f t="shared" si="6"/>
        <v>1</v>
      </c>
      <c r="T316" s="210"/>
      <c r="U316" s="210"/>
      <c r="V316" s="210"/>
      <c r="W316" s="210"/>
      <c r="X316" s="210"/>
      <c r="Y316" s="210"/>
      <c r="Z316" s="210"/>
      <c r="AA316" s="210"/>
      <c r="AB316" s="210"/>
      <c r="AC316" s="210"/>
      <c r="AD316" s="210"/>
      <c r="AE316" s="210"/>
      <c r="AF316" s="210"/>
      <c r="AG316" s="210"/>
      <c r="AH316" s="210"/>
      <c r="AI316" s="210"/>
      <c r="AJ316" s="210"/>
      <c r="AK316" s="210"/>
      <c r="AL316" s="210"/>
      <c r="AM316" s="214"/>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c r="BU316" s="210"/>
      <c r="BV316" s="210"/>
      <c r="BW316" s="210"/>
      <c r="BX316" s="210"/>
      <c r="BY316" s="210"/>
      <c r="BZ316" s="210"/>
      <c r="CA316" s="210"/>
      <c r="CB316" s="210"/>
      <c r="CC316" s="210"/>
      <c r="CD316" s="210"/>
      <c r="CE316" s="210"/>
      <c r="CF316" s="210"/>
      <c r="CG316" s="210"/>
      <c r="CH316" s="210"/>
      <c r="CI316" s="210"/>
      <c r="CJ316" s="210"/>
      <c r="CK316" s="210"/>
    </row>
    <row r="317">
      <c r="A317" s="222" t="s">
        <v>711</v>
      </c>
      <c r="B317" s="190" t="s">
        <v>712</v>
      </c>
      <c r="C317" s="223" t="s">
        <v>78</v>
      </c>
      <c r="D317" s="223" t="s">
        <v>871</v>
      </c>
      <c r="E317" s="190" t="s">
        <v>21</v>
      </c>
      <c r="F317" s="13" t="s">
        <v>917</v>
      </c>
      <c r="G317" s="13" t="s">
        <v>932</v>
      </c>
      <c r="H317" s="219">
        <f>IFERROR(
  MINIFS(ATTENDANCE_LOG!$F:$F,
         ATTENDANCE_LOG!$A:$A, C317,
         ATTENDANCE_LOG!$B:$B, E317),
"")</f>
        <v>45638.45833</v>
      </c>
      <c r="I317" s="219">
        <f t="shared" si="2"/>
        <v>45638.45833</v>
      </c>
      <c r="J317" s="190">
        <f>IFERROR(VLOOKUP(F317, LEVEL_HELPER!$A:$B, 2, 0), "")</f>
        <v>2.5</v>
      </c>
      <c r="K317" s="190">
        <f>IFERROR(VLOOKUP(G317, LEVEL_HELPER!$A:$B, 2, 0), "")</f>
        <v>4.5</v>
      </c>
      <c r="L317" s="220" t="s">
        <v>956</v>
      </c>
      <c r="M317" s="229" t="s">
        <v>922</v>
      </c>
      <c r="N317" s="190">
        <f t="array" ref="N317">IFERROR(
  INDEX($J$2:$J$543,
    MATCH(A317&amp;TEXT(I317,"yyyy-mm-dd"),
          $A$2:$A$543&amp;TEXT($H$2:$H$543,"yyyy-mm-dd"),
          0)),
"")</f>
        <v>2.5</v>
      </c>
      <c r="O317" s="210">
        <f t="shared" si="3"/>
        <v>4.5</v>
      </c>
      <c r="P317" s="210">
        <f t="shared" ref="P317:Q317" si="327">IF(N317="",0,IF(N317&lt;=2,1,IF(N317&lt;=4,2,IF(N317&lt;=5.5,3,4))))</f>
        <v>2</v>
      </c>
      <c r="Q317" s="210">
        <f t="shared" si="327"/>
        <v>3</v>
      </c>
      <c r="R317" s="210" t="str">
        <f t="shared" si="5"/>
        <v>Lv2 → Lv3</v>
      </c>
      <c r="S317" s="210">
        <f t="shared" si="6"/>
        <v>1</v>
      </c>
      <c r="T317" s="210"/>
      <c r="U317" s="210"/>
      <c r="V317" s="210"/>
      <c r="W317" s="210"/>
      <c r="X317" s="210"/>
      <c r="Y317" s="210"/>
      <c r="Z317" s="210"/>
      <c r="AA317" s="210"/>
      <c r="AB317" s="210"/>
      <c r="AC317" s="210"/>
      <c r="AD317" s="210"/>
      <c r="AE317" s="210"/>
      <c r="AF317" s="210"/>
      <c r="AG317" s="210"/>
      <c r="AH317" s="210"/>
      <c r="AI317" s="210"/>
      <c r="AJ317" s="210"/>
      <c r="AK317" s="210"/>
      <c r="AL317" s="210"/>
      <c r="AM317" s="214"/>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c r="BU317" s="210"/>
      <c r="BV317" s="210"/>
      <c r="BW317" s="210"/>
      <c r="BX317" s="210"/>
      <c r="BY317" s="210"/>
      <c r="BZ317" s="210"/>
      <c r="CA317" s="210"/>
      <c r="CB317" s="210"/>
      <c r="CC317" s="210"/>
      <c r="CD317" s="210"/>
      <c r="CE317" s="210"/>
      <c r="CF317" s="210"/>
      <c r="CG317" s="210"/>
      <c r="CH317" s="210"/>
      <c r="CI317" s="210"/>
      <c r="CJ317" s="210"/>
      <c r="CK317" s="210"/>
    </row>
    <row r="318">
      <c r="A318" s="222" t="s">
        <v>713</v>
      </c>
      <c r="B318" s="190" t="s">
        <v>714</v>
      </c>
      <c r="C318" s="223" t="s">
        <v>78</v>
      </c>
      <c r="D318" s="223" t="s">
        <v>871</v>
      </c>
      <c r="E318" s="190" t="s">
        <v>21</v>
      </c>
      <c r="F318" s="13" t="s">
        <v>927</v>
      </c>
      <c r="G318" s="190"/>
      <c r="H318" s="219">
        <f>IFERROR(
  MINIFS(ATTENDANCE_LOG!$F:$F,
         ATTENDANCE_LOG!$A:$A, C318,
         ATTENDANCE_LOG!$B:$B, E318),
"")</f>
        <v>45638.45833</v>
      </c>
      <c r="I318" s="219">
        <f t="shared" si="2"/>
        <v>45638.45833</v>
      </c>
      <c r="J318" s="190">
        <f>IFERROR(VLOOKUP(F318, LEVEL_HELPER!$A:$B, 2, 0), "")</f>
        <v>1</v>
      </c>
      <c r="K318" s="190" t="str">
        <f>IFERROR(VLOOKUP(G318, LEVEL_HELPER!$A:$B, 2, 0), "")</f>
        <v/>
      </c>
      <c r="L318" s="220" t="s">
        <v>943</v>
      </c>
      <c r="M318" s="229" t="s">
        <v>922</v>
      </c>
      <c r="N318" s="190">
        <f t="array" ref="N318">IFERROR(
  INDEX($J$2:$J$543,
    MATCH(A318&amp;TEXT(I318,"yyyy-mm-dd"),
          $A$2:$A$543&amp;TEXT($H$2:$H$543,"yyyy-mm-dd"),
          0)),
"")</f>
        <v>1</v>
      </c>
      <c r="O318" s="210">
        <f t="shared" si="3"/>
        <v>0</v>
      </c>
      <c r="P318" s="210">
        <f t="shared" ref="P318:Q318" si="328">IF(N318="",0,IF(N318&lt;=2,1,IF(N318&lt;=4,2,IF(N318&lt;=5.5,3,4))))</f>
        <v>1</v>
      </c>
      <c r="Q318" s="210">
        <f t="shared" si="328"/>
        <v>1</v>
      </c>
      <c r="R318" s="210" t="str">
        <f t="shared" si="5"/>
        <v>Not tested yet</v>
      </c>
      <c r="S318" s="210">
        <f t="shared" si="6"/>
        <v>1</v>
      </c>
      <c r="T318" s="210"/>
      <c r="U318" s="210"/>
      <c r="V318" s="210"/>
      <c r="W318" s="210"/>
      <c r="X318" s="210"/>
      <c r="Y318" s="210"/>
      <c r="Z318" s="210"/>
      <c r="AA318" s="210"/>
      <c r="AB318" s="210"/>
      <c r="AC318" s="210"/>
      <c r="AD318" s="210"/>
      <c r="AE318" s="210"/>
      <c r="AF318" s="210"/>
      <c r="AG318" s="210"/>
      <c r="AH318" s="210"/>
      <c r="AI318" s="210"/>
      <c r="AJ318" s="210"/>
      <c r="AK318" s="210"/>
      <c r="AL318" s="210"/>
      <c r="AM318" s="214"/>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c r="BU318" s="210"/>
      <c r="BV318" s="210"/>
      <c r="BW318" s="210"/>
      <c r="BX318" s="210"/>
      <c r="BY318" s="210"/>
      <c r="BZ318" s="210"/>
      <c r="CA318" s="210"/>
      <c r="CB318" s="210"/>
      <c r="CC318" s="210"/>
      <c r="CD318" s="210"/>
      <c r="CE318" s="210"/>
      <c r="CF318" s="210"/>
      <c r="CG318" s="210"/>
      <c r="CH318" s="210"/>
      <c r="CI318" s="210"/>
      <c r="CJ318" s="210"/>
      <c r="CK318" s="210"/>
    </row>
    <row r="319">
      <c r="A319" s="222" t="s">
        <v>182</v>
      </c>
      <c r="B319" s="190" t="s">
        <v>183</v>
      </c>
      <c r="C319" s="223" t="s">
        <v>78</v>
      </c>
      <c r="D319" s="223" t="s">
        <v>871</v>
      </c>
      <c r="E319" s="190" t="s">
        <v>22</v>
      </c>
      <c r="F319" s="13" t="s">
        <v>927</v>
      </c>
      <c r="G319" s="13" t="s">
        <v>927</v>
      </c>
      <c r="H319" s="219">
        <f>IFERROR(
  MINIFS(ATTENDANCE_LOG!$F:$F,
         ATTENDANCE_LOG!$A:$A, C319,
         ATTENDANCE_LOG!$B:$B, E319),
"")</f>
        <v>0</v>
      </c>
      <c r="I319" s="219">
        <f t="shared" si="2"/>
        <v>45638.45833</v>
      </c>
      <c r="J319" s="190">
        <f>IFERROR(VLOOKUP(F319, LEVEL_HELPER!$A:$B, 2, 0), "")</f>
        <v>1</v>
      </c>
      <c r="K319" s="190">
        <f>IFERROR(VLOOKUP(G319, LEVEL_HELPER!$A:$B, 2, 0), "")</f>
        <v>1</v>
      </c>
      <c r="L319" s="220" t="s">
        <v>919</v>
      </c>
      <c r="M319" s="229" t="s">
        <v>922</v>
      </c>
      <c r="N319" s="190">
        <f t="array" ref="N319">IFERROR(
  INDEX($J$2:$J$543,
    MATCH(A319&amp;TEXT(I319,"yyyy-mm-dd"),
          $A$2:$A$543&amp;TEXT($H$2:$H$543,"yyyy-mm-dd"),
          0)),
"")</f>
        <v>1</v>
      </c>
      <c r="O319" s="210">
        <f t="shared" si="3"/>
        <v>1</v>
      </c>
      <c r="P319" s="210">
        <f t="shared" ref="P319:Q319" si="329">IF(N319="",0,IF(N319&lt;=2,1,IF(N319&lt;=4,2,IF(N319&lt;=5.5,3,4))))</f>
        <v>1</v>
      </c>
      <c r="Q319" s="210">
        <f t="shared" si="329"/>
        <v>1</v>
      </c>
      <c r="R319" s="210" t="str">
        <f t="shared" si="5"/>
        <v>No Progress</v>
      </c>
      <c r="S319" s="210">
        <f t="shared" si="6"/>
        <v>0</v>
      </c>
      <c r="T319" s="210"/>
      <c r="U319" s="210"/>
      <c r="V319" s="210"/>
      <c r="W319" s="210"/>
      <c r="X319" s="210"/>
      <c r="Y319" s="210"/>
      <c r="Z319" s="210"/>
      <c r="AA319" s="210"/>
      <c r="AB319" s="210"/>
      <c r="AC319" s="210"/>
      <c r="AD319" s="210"/>
      <c r="AE319" s="210"/>
      <c r="AF319" s="210"/>
      <c r="AG319" s="210"/>
      <c r="AH319" s="210"/>
      <c r="AI319" s="210"/>
      <c r="AJ319" s="210"/>
      <c r="AK319" s="210"/>
      <c r="AL319" s="210"/>
      <c r="AM319" s="214"/>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c r="BU319" s="210"/>
      <c r="BV319" s="210"/>
      <c r="BW319" s="210"/>
      <c r="BX319" s="210"/>
      <c r="BY319" s="210"/>
      <c r="BZ319" s="210"/>
      <c r="CA319" s="210"/>
      <c r="CB319" s="210"/>
      <c r="CC319" s="210"/>
      <c r="CD319" s="210"/>
      <c r="CE319" s="210"/>
      <c r="CF319" s="210"/>
      <c r="CG319" s="210"/>
      <c r="CH319" s="210"/>
      <c r="CI319" s="210"/>
      <c r="CJ319" s="210"/>
      <c r="CK319" s="210"/>
    </row>
    <row r="320">
      <c r="A320" s="222" t="s">
        <v>549</v>
      </c>
      <c r="B320" s="217" t="s">
        <v>550</v>
      </c>
      <c r="C320" s="218" t="s">
        <v>79</v>
      </c>
      <c r="D320" s="218" t="s">
        <v>872</v>
      </c>
      <c r="E320" s="217" t="s">
        <v>21</v>
      </c>
      <c r="F320" s="13" t="s">
        <v>917</v>
      </c>
      <c r="G320" s="13" t="s">
        <v>918</v>
      </c>
      <c r="H320" s="219">
        <f>IFERROR(
  MINIFS(ATTENDANCE_LOG!$F:$F,
         ATTENDANCE_LOG!$A:$A, C320,
         ATTENDANCE_LOG!$B:$B, E320),
"")</f>
        <v>45645.45833</v>
      </c>
      <c r="I320" s="219">
        <f t="shared" si="2"/>
        <v>45645.45833</v>
      </c>
      <c r="J320" s="190">
        <f>IFERROR(VLOOKUP(F320, LEVEL_HELPER!$A:$B, 2, 0), "")</f>
        <v>2.5</v>
      </c>
      <c r="K320" s="190">
        <f>IFERROR(VLOOKUP(G320, LEVEL_HELPER!$A:$B, 2, 0), "")</f>
        <v>3</v>
      </c>
      <c r="L320" s="220" t="s">
        <v>943</v>
      </c>
      <c r="M320" s="229" t="s">
        <v>922</v>
      </c>
      <c r="N320" s="190">
        <f t="array" ref="N320">IFERROR(
  INDEX($J$2:$J$543,
    MATCH(A320&amp;TEXT(I320,"yyyy-mm-dd"),
          $A$2:$A$543&amp;TEXT($H$2:$H$543,"yyyy-mm-dd"),
          0)),
"")</f>
        <v>2.5</v>
      </c>
      <c r="O320" s="210">
        <f t="shared" si="3"/>
        <v>3</v>
      </c>
      <c r="P320" s="210">
        <f t="shared" ref="P320:Q320" si="330">IF(N320="",0,IF(N320&lt;=2,1,IF(N320&lt;=4,2,IF(N320&lt;=5.5,3,4))))</f>
        <v>2</v>
      </c>
      <c r="Q320" s="210">
        <f t="shared" si="330"/>
        <v>2</v>
      </c>
      <c r="R320" s="210" t="str">
        <f t="shared" si="5"/>
        <v>Progress within level</v>
      </c>
      <c r="S320" s="210">
        <f t="shared" si="6"/>
        <v>1</v>
      </c>
      <c r="T320" s="210"/>
      <c r="U320" s="210"/>
      <c r="V320" s="210"/>
      <c r="W320" s="210"/>
      <c r="X320" s="210"/>
      <c r="Y320" s="210"/>
      <c r="Z320" s="210"/>
      <c r="AA320" s="210"/>
      <c r="AB320" s="210"/>
      <c r="AC320" s="210"/>
      <c r="AD320" s="210"/>
      <c r="AE320" s="210"/>
      <c r="AF320" s="210"/>
      <c r="AG320" s="210"/>
      <c r="AH320" s="210"/>
      <c r="AI320" s="210"/>
      <c r="AJ320" s="210"/>
      <c r="AK320" s="210"/>
      <c r="AL320" s="210"/>
      <c r="AM320" s="214"/>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c r="BU320" s="210"/>
      <c r="BV320" s="210"/>
      <c r="BW320" s="210"/>
      <c r="BX320" s="210"/>
      <c r="BY320" s="210"/>
      <c r="BZ320" s="210"/>
      <c r="CA320" s="210"/>
      <c r="CB320" s="210"/>
      <c r="CC320" s="210"/>
      <c r="CD320" s="210"/>
      <c r="CE320" s="210"/>
      <c r="CF320" s="210"/>
      <c r="CG320" s="210"/>
      <c r="CH320" s="210"/>
      <c r="CI320" s="210"/>
      <c r="CJ320" s="210"/>
      <c r="CK320" s="210"/>
    </row>
    <row r="321">
      <c r="A321" s="222" t="s">
        <v>200</v>
      </c>
      <c r="B321" s="190" t="s">
        <v>201</v>
      </c>
      <c r="C321" s="223" t="s">
        <v>79</v>
      </c>
      <c r="D321" s="223" t="s">
        <v>872</v>
      </c>
      <c r="E321" s="190" t="s">
        <v>21</v>
      </c>
      <c r="F321" s="13" t="s">
        <v>917</v>
      </c>
      <c r="G321" s="13" t="s">
        <v>932</v>
      </c>
      <c r="H321" s="219">
        <f>IFERROR(
  MINIFS(ATTENDANCE_LOG!$F:$F,
         ATTENDANCE_LOG!$A:$A, C321,
         ATTENDANCE_LOG!$B:$B, E321),
"")</f>
        <v>45645.45833</v>
      </c>
      <c r="I321" s="219">
        <f t="shared" si="2"/>
        <v>45645.45833</v>
      </c>
      <c r="J321" s="190">
        <f>IFERROR(VLOOKUP(F321, LEVEL_HELPER!$A:$B, 2, 0), "")</f>
        <v>2.5</v>
      </c>
      <c r="K321" s="190">
        <f>IFERROR(VLOOKUP(G321, LEVEL_HELPER!$A:$B, 2, 0), "")</f>
        <v>4.5</v>
      </c>
      <c r="L321" s="220" t="s">
        <v>943</v>
      </c>
      <c r="M321" s="229" t="s">
        <v>922</v>
      </c>
      <c r="N321" s="190">
        <f t="array" ref="N321">IFERROR(
  INDEX($J$2:$J$543,
    MATCH(A321&amp;TEXT(I321,"yyyy-mm-dd"),
          $A$2:$A$543&amp;TEXT($H$2:$H$543,"yyyy-mm-dd"),
          0)),
"")</f>
        <v>2.5</v>
      </c>
      <c r="O321" s="210">
        <f t="shared" si="3"/>
        <v>4.5</v>
      </c>
      <c r="P321" s="210">
        <f t="shared" ref="P321:Q321" si="331">IF(N321="",0,IF(N321&lt;=2,1,IF(N321&lt;=4,2,IF(N321&lt;=5.5,3,4))))</f>
        <v>2</v>
      </c>
      <c r="Q321" s="210">
        <f t="shared" si="331"/>
        <v>3</v>
      </c>
      <c r="R321" s="210" t="str">
        <f t="shared" si="5"/>
        <v>Lv2 → Lv3</v>
      </c>
      <c r="S321" s="210">
        <f t="shared" si="6"/>
        <v>1</v>
      </c>
      <c r="T321" s="210"/>
      <c r="U321" s="210"/>
      <c r="V321" s="210"/>
      <c r="W321" s="210"/>
      <c r="X321" s="210"/>
      <c r="Y321" s="210"/>
      <c r="Z321" s="210"/>
      <c r="AA321" s="210"/>
      <c r="AB321" s="210"/>
      <c r="AC321" s="210"/>
      <c r="AD321" s="210"/>
      <c r="AE321" s="210"/>
      <c r="AF321" s="210"/>
      <c r="AG321" s="210"/>
      <c r="AH321" s="210"/>
      <c r="AI321" s="210"/>
      <c r="AJ321" s="210"/>
      <c r="AK321" s="210"/>
      <c r="AL321" s="210"/>
      <c r="AM321" s="214"/>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c r="BU321" s="210"/>
      <c r="BV321" s="210"/>
      <c r="BW321" s="210"/>
      <c r="BX321" s="210"/>
      <c r="BY321" s="210"/>
      <c r="BZ321" s="210"/>
      <c r="CA321" s="210"/>
      <c r="CB321" s="210"/>
      <c r="CC321" s="210"/>
      <c r="CD321" s="210"/>
      <c r="CE321" s="210"/>
      <c r="CF321" s="210"/>
      <c r="CG321" s="210"/>
      <c r="CH321" s="210"/>
      <c r="CI321" s="210"/>
      <c r="CJ321" s="210"/>
      <c r="CK321" s="210"/>
    </row>
    <row r="322">
      <c r="A322" s="222" t="s">
        <v>214</v>
      </c>
      <c r="B322" s="190" t="s">
        <v>215</v>
      </c>
      <c r="C322" s="223" t="s">
        <v>79</v>
      </c>
      <c r="D322" s="223" t="s">
        <v>872</v>
      </c>
      <c r="E322" s="190" t="s">
        <v>21</v>
      </c>
      <c r="F322" s="13" t="s">
        <v>927</v>
      </c>
      <c r="G322" s="13" t="s">
        <v>929</v>
      </c>
      <c r="H322" s="219">
        <f>IFERROR(
  MINIFS(ATTENDANCE_LOG!$F:$F,
         ATTENDANCE_LOG!$A:$A, C322,
         ATTENDANCE_LOG!$B:$B, E322),
"")</f>
        <v>45645.45833</v>
      </c>
      <c r="I322" s="219">
        <f t="shared" si="2"/>
        <v>45645.45833</v>
      </c>
      <c r="J322" s="190">
        <f>IFERROR(VLOOKUP(F322, LEVEL_HELPER!$A:$B, 2, 0), "")</f>
        <v>1</v>
      </c>
      <c r="K322" s="190">
        <f>IFERROR(VLOOKUP(G322, LEVEL_HELPER!$A:$B, 2, 0), "")</f>
        <v>1.5</v>
      </c>
      <c r="L322" s="220" t="s">
        <v>943</v>
      </c>
      <c r="M322" s="229" t="s">
        <v>922</v>
      </c>
      <c r="N322" s="190">
        <f t="array" ref="N322">IFERROR(
  INDEX($J$2:$J$543,
    MATCH(A322&amp;TEXT(I322,"yyyy-mm-dd"),
          $A$2:$A$543&amp;TEXT($H$2:$H$543,"yyyy-mm-dd"),
          0)),
"")</f>
        <v>1</v>
      </c>
      <c r="O322" s="210">
        <f t="shared" si="3"/>
        <v>1.5</v>
      </c>
      <c r="P322" s="210">
        <f t="shared" ref="P322:Q322" si="332">IF(N322="",0,IF(N322&lt;=2,1,IF(N322&lt;=4,2,IF(N322&lt;=5.5,3,4))))</f>
        <v>1</v>
      </c>
      <c r="Q322" s="210">
        <f t="shared" si="332"/>
        <v>1</v>
      </c>
      <c r="R322" s="210" t="str">
        <f t="shared" si="5"/>
        <v>Progress within level</v>
      </c>
      <c r="S322" s="210">
        <f t="shared" si="6"/>
        <v>1</v>
      </c>
      <c r="T322" s="210"/>
      <c r="U322" s="210"/>
      <c r="V322" s="210"/>
      <c r="W322" s="210"/>
      <c r="X322" s="210"/>
      <c r="Y322" s="210"/>
      <c r="Z322" s="210"/>
      <c r="AA322" s="210"/>
      <c r="AB322" s="210"/>
      <c r="AC322" s="210"/>
      <c r="AD322" s="210"/>
      <c r="AE322" s="210"/>
      <c r="AF322" s="210"/>
      <c r="AG322" s="210"/>
      <c r="AH322" s="210"/>
      <c r="AI322" s="210"/>
      <c r="AJ322" s="210"/>
      <c r="AK322" s="210"/>
      <c r="AL322" s="210"/>
      <c r="AM322" s="214"/>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c r="BU322" s="210"/>
      <c r="BV322" s="210"/>
      <c r="BW322" s="210"/>
      <c r="BX322" s="210"/>
      <c r="BY322" s="210"/>
      <c r="BZ322" s="210"/>
      <c r="CA322" s="210"/>
      <c r="CB322" s="210"/>
      <c r="CC322" s="210"/>
      <c r="CD322" s="210"/>
      <c r="CE322" s="210"/>
      <c r="CF322" s="210"/>
      <c r="CG322" s="210"/>
      <c r="CH322" s="210"/>
      <c r="CI322" s="210"/>
      <c r="CJ322" s="210"/>
      <c r="CK322" s="210"/>
    </row>
    <row r="323">
      <c r="A323" s="222" t="s">
        <v>436</v>
      </c>
      <c r="B323" s="190" t="s">
        <v>437</v>
      </c>
      <c r="C323" s="223" t="s">
        <v>79</v>
      </c>
      <c r="D323" s="223" t="s">
        <v>872</v>
      </c>
      <c r="E323" s="190" t="s">
        <v>21</v>
      </c>
      <c r="F323" s="13" t="s">
        <v>927</v>
      </c>
      <c r="G323" s="13" t="s">
        <v>935</v>
      </c>
      <c r="H323" s="219">
        <f>IFERROR(
  MINIFS(ATTENDANCE_LOG!$F:$F,
         ATTENDANCE_LOG!$A:$A, C323,
         ATTENDANCE_LOG!$B:$B, E323),
"")</f>
        <v>45645.45833</v>
      </c>
      <c r="I323" s="219">
        <f t="shared" si="2"/>
        <v>45645.45833</v>
      </c>
      <c r="J323" s="190">
        <f>IFERROR(VLOOKUP(F323, LEVEL_HELPER!$A:$B, 2, 0), "")</f>
        <v>1</v>
      </c>
      <c r="K323" s="190">
        <f>IFERROR(VLOOKUP(G323, LEVEL_HELPER!$A:$B, 2, 0), "")</f>
        <v>3.5</v>
      </c>
      <c r="L323" s="220" t="s">
        <v>943</v>
      </c>
      <c r="M323" s="229" t="s">
        <v>922</v>
      </c>
      <c r="N323" s="190">
        <f t="array" ref="N323">IFERROR(
  INDEX($J$2:$J$543,
    MATCH(A323&amp;TEXT(I323,"yyyy-mm-dd"),
          $A$2:$A$543&amp;TEXT($H$2:$H$543,"yyyy-mm-dd"),
          0)),
"")</f>
        <v>1</v>
      </c>
      <c r="O323" s="210">
        <f t="shared" si="3"/>
        <v>3.5</v>
      </c>
      <c r="P323" s="210">
        <f t="shared" ref="P323:Q323" si="333">IF(N323="",0,IF(N323&lt;=2,1,IF(N323&lt;=4,2,IF(N323&lt;=5.5,3,4))))</f>
        <v>1</v>
      </c>
      <c r="Q323" s="210">
        <f t="shared" si="333"/>
        <v>2</v>
      </c>
      <c r="R323" s="210" t="str">
        <f t="shared" si="5"/>
        <v>Lv1 → Lv2</v>
      </c>
      <c r="S323" s="210">
        <f t="shared" si="6"/>
        <v>1</v>
      </c>
      <c r="T323" s="210"/>
      <c r="U323" s="210"/>
      <c r="V323" s="210"/>
      <c r="W323" s="210"/>
      <c r="X323" s="210"/>
      <c r="Y323" s="210"/>
      <c r="Z323" s="210"/>
      <c r="AA323" s="210"/>
      <c r="AB323" s="210"/>
      <c r="AC323" s="210"/>
      <c r="AD323" s="210"/>
      <c r="AE323" s="210"/>
      <c r="AF323" s="210"/>
      <c r="AG323" s="210"/>
      <c r="AH323" s="210"/>
      <c r="AI323" s="210"/>
      <c r="AJ323" s="210"/>
      <c r="AK323" s="210"/>
      <c r="AL323" s="210"/>
      <c r="AM323" s="214"/>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c r="BU323" s="210"/>
      <c r="BV323" s="210"/>
      <c r="BW323" s="210"/>
      <c r="BX323" s="210"/>
      <c r="BY323" s="210"/>
      <c r="BZ323" s="210"/>
      <c r="CA323" s="210"/>
      <c r="CB323" s="210"/>
      <c r="CC323" s="210"/>
      <c r="CD323" s="210"/>
      <c r="CE323" s="210"/>
      <c r="CF323" s="210"/>
      <c r="CG323" s="210"/>
      <c r="CH323" s="210"/>
      <c r="CI323" s="210"/>
      <c r="CJ323" s="210"/>
      <c r="CK323" s="210"/>
    </row>
    <row r="324">
      <c r="A324" s="222" t="s">
        <v>476</v>
      </c>
      <c r="B324" s="190" t="s">
        <v>477</v>
      </c>
      <c r="C324" s="223" t="s">
        <v>79</v>
      </c>
      <c r="D324" s="223" t="s">
        <v>872</v>
      </c>
      <c r="E324" s="190" t="s">
        <v>21</v>
      </c>
      <c r="F324" s="13" t="s">
        <v>927</v>
      </c>
      <c r="G324" s="13" t="s">
        <v>927</v>
      </c>
      <c r="H324" s="219">
        <f>IFERROR(
  MINIFS(ATTENDANCE_LOG!$F:$F,
         ATTENDANCE_LOG!$A:$A, C324,
         ATTENDANCE_LOG!$B:$B, E324),
"")</f>
        <v>45645.45833</v>
      </c>
      <c r="I324" s="219">
        <f t="shared" si="2"/>
        <v>45645.45833</v>
      </c>
      <c r="J324" s="190">
        <f>IFERROR(VLOOKUP(F324, LEVEL_HELPER!$A:$B, 2, 0), "")</f>
        <v>1</v>
      </c>
      <c r="K324" s="190">
        <f>IFERROR(VLOOKUP(G324, LEVEL_HELPER!$A:$B, 2, 0), "")</f>
        <v>1</v>
      </c>
      <c r="L324" s="220" t="s">
        <v>943</v>
      </c>
      <c r="M324" s="229" t="s">
        <v>922</v>
      </c>
      <c r="N324" s="190">
        <f t="array" ref="N324">IFERROR(
  INDEX($J$2:$J$543,
    MATCH(A324&amp;TEXT(I324,"yyyy-mm-dd"),
          $A$2:$A$543&amp;TEXT($H$2:$H$543,"yyyy-mm-dd"),
          0)),
"")</f>
        <v>1</v>
      </c>
      <c r="O324" s="210">
        <f t="shared" si="3"/>
        <v>1</v>
      </c>
      <c r="P324" s="210">
        <f t="shared" ref="P324:Q324" si="334">IF(N324="",0,IF(N324&lt;=2,1,IF(N324&lt;=4,2,IF(N324&lt;=5.5,3,4))))</f>
        <v>1</v>
      </c>
      <c r="Q324" s="210">
        <f t="shared" si="334"/>
        <v>1</v>
      </c>
      <c r="R324" s="210" t="str">
        <f t="shared" si="5"/>
        <v>No Progress</v>
      </c>
      <c r="S324" s="210">
        <f t="shared" si="6"/>
        <v>1</v>
      </c>
      <c r="T324" s="210"/>
      <c r="U324" s="210"/>
      <c r="V324" s="210"/>
      <c r="W324" s="210"/>
      <c r="X324" s="210"/>
      <c r="Y324" s="210"/>
      <c r="Z324" s="210"/>
      <c r="AA324" s="210"/>
      <c r="AB324" s="210"/>
      <c r="AC324" s="210"/>
      <c r="AD324" s="210"/>
      <c r="AE324" s="210"/>
      <c r="AF324" s="210"/>
      <c r="AG324" s="210"/>
      <c r="AH324" s="210"/>
      <c r="AI324" s="210"/>
      <c r="AJ324" s="210"/>
      <c r="AK324" s="210"/>
      <c r="AL324" s="210"/>
      <c r="AM324" s="214"/>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c r="BU324" s="210"/>
      <c r="BV324" s="210"/>
      <c r="BW324" s="210"/>
      <c r="BX324" s="210"/>
      <c r="BY324" s="210"/>
      <c r="BZ324" s="210"/>
      <c r="CA324" s="210"/>
      <c r="CB324" s="210"/>
      <c r="CC324" s="210"/>
      <c r="CD324" s="210"/>
      <c r="CE324" s="210"/>
      <c r="CF324" s="210"/>
      <c r="CG324" s="210"/>
      <c r="CH324" s="210"/>
      <c r="CI324" s="210"/>
      <c r="CJ324" s="210"/>
      <c r="CK324" s="210"/>
    </row>
    <row r="325">
      <c r="A325" s="222" t="s">
        <v>488</v>
      </c>
      <c r="B325" s="190" t="s">
        <v>489</v>
      </c>
      <c r="C325" s="223" t="s">
        <v>79</v>
      </c>
      <c r="D325" s="223" t="s">
        <v>872</v>
      </c>
      <c r="E325" s="190" t="s">
        <v>21</v>
      </c>
      <c r="F325" s="13" t="s">
        <v>917</v>
      </c>
      <c r="G325" s="13" t="s">
        <v>929</v>
      </c>
      <c r="H325" s="219">
        <f>IFERROR(
  MINIFS(ATTENDANCE_LOG!$F:$F,
         ATTENDANCE_LOG!$A:$A, C325,
         ATTENDANCE_LOG!$B:$B, E325),
"")</f>
        <v>45645.45833</v>
      </c>
      <c r="I325" s="219">
        <f t="shared" si="2"/>
        <v>45645.45833</v>
      </c>
      <c r="J325" s="190">
        <f>IFERROR(VLOOKUP(F325, LEVEL_HELPER!$A:$B, 2, 0), "")</f>
        <v>2.5</v>
      </c>
      <c r="K325" s="190">
        <f>IFERROR(VLOOKUP(G325, LEVEL_HELPER!$A:$B, 2, 0), "")</f>
        <v>1.5</v>
      </c>
      <c r="L325" s="229" t="s">
        <v>919</v>
      </c>
      <c r="M325" s="229" t="s">
        <v>922</v>
      </c>
      <c r="N325" s="190">
        <f t="array" ref="N325">IFERROR(
  INDEX($J$2:$J$543,
    MATCH(A325&amp;TEXT(I325,"yyyy-mm-dd"),
          $A$2:$A$543&amp;TEXT($H$2:$H$543,"yyyy-mm-dd"),
          0)),
"")</f>
        <v>2.5</v>
      </c>
      <c r="O325" s="210">
        <f t="shared" si="3"/>
        <v>1.5</v>
      </c>
      <c r="P325" s="210">
        <f t="shared" ref="P325:Q325" si="335">IF(N325="",0,IF(N325&lt;=2,1,IF(N325&lt;=4,2,IF(N325&lt;=5.5,3,4))))</f>
        <v>2</v>
      </c>
      <c r="Q325" s="210">
        <f t="shared" si="335"/>
        <v>1</v>
      </c>
      <c r="R325" s="210" t="str">
        <f t="shared" si="5"/>
        <v>Regressed</v>
      </c>
      <c r="S325" s="210">
        <f t="shared" si="6"/>
        <v>1</v>
      </c>
      <c r="T325" s="210"/>
      <c r="U325" s="210"/>
      <c r="V325" s="210"/>
      <c r="W325" s="210"/>
      <c r="X325" s="210"/>
      <c r="Y325" s="210"/>
      <c r="Z325" s="210"/>
      <c r="AA325" s="210"/>
      <c r="AB325" s="210"/>
      <c r="AC325" s="210"/>
      <c r="AD325" s="210"/>
      <c r="AE325" s="210"/>
      <c r="AF325" s="210"/>
      <c r="AG325" s="210"/>
      <c r="AH325" s="210"/>
      <c r="AI325" s="210"/>
      <c r="AJ325" s="210"/>
      <c r="AK325" s="210"/>
      <c r="AL325" s="210"/>
      <c r="AM325" s="214"/>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c r="BU325" s="210"/>
      <c r="BV325" s="210"/>
      <c r="BW325" s="210"/>
      <c r="BX325" s="210"/>
      <c r="BY325" s="210"/>
      <c r="BZ325" s="210"/>
      <c r="CA325" s="210"/>
      <c r="CB325" s="210"/>
      <c r="CC325" s="210"/>
      <c r="CD325" s="210"/>
      <c r="CE325" s="210"/>
      <c r="CF325" s="210"/>
      <c r="CG325" s="210"/>
      <c r="CH325" s="210"/>
      <c r="CI325" s="210"/>
      <c r="CJ325" s="210"/>
      <c r="CK325" s="210"/>
    </row>
    <row r="326">
      <c r="A326" s="222" t="s">
        <v>661</v>
      </c>
      <c r="B326" s="217" t="s">
        <v>662</v>
      </c>
      <c r="C326" s="218" t="s">
        <v>80</v>
      </c>
      <c r="D326" s="218" t="s">
        <v>873</v>
      </c>
      <c r="E326" s="217" t="s">
        <v>21</v>
      </c>
      <c r="F326" s="13" t="s">
        <v>917</v>
      </c>
      <c r="G326" s="190"/>
      <c r="H326" s="219">
        <f>IFERROR(
  MINIFS(ATTENDANCE_LOG!$F:$F,
         ATTENDANCE_LOG!$A:$A, C326,
         ATTENDANCE_LOG!$B:$B, E326),
"")</f>
        <v>45646.41667</v>
      </c>
      <c r="I326" s="219">
        <f t="shared" si="2"/>
        <v>45646.41667</v>
      </c>
      <c r="J326" s="190">
        <f>IFERROR(VLOOKUP(F326, LEVEL_HELPER!$A:$B, 2, 0), "")</f>
        <v>2.5</v>
      </c>
      <c r="K326" s="190" t="str">
        <f>IFERROR(VLOOKUP(G326, LEVEL_HELPER!$A:$B, 2, 0), "")</f>
        <v/>
      </c>
      <c r="L326" s="220" t="s">
        <v>942</v>
      </c>
      <c r="M326" s="229" t="s">
        <v>922</v>
      </c>
      <c r="N326" s="190">
        <f t="array" ref="N326">IFERROR(
  INDEX($J$2:$J$543,
    MATCH(A326&amp;TEXT(I326,"yyyy-mm-dd"),
          $A$2:$A$543&amp;TEXT($H$2:$H$543,"yyyy-mm-dd"),
          0)),
"")</f>
        <v>2.5</v>
      </c>
      <c r="O326" s="210">
        <f t="shared" si="3"/>
        <v>0</v>
      </c>
      <c r="P326" s="210">
        <f t="shared" ref="P326:Q326" si="336">IF(N326="",0,IF(N326&lt;=2,1,IF(N326&lt;=4,2,IF(N326&lt;=5.5,3,4))))</f>
        <v>2</v>
      </c>
      <c r="Q326" s="210">
        <f t="shared" si="336"/>
        <v>1</v>
      </c>
      <c r="R326" s="210" t="str">
        <f t="shared" si="5"/>
        <v>Not tested yet</v>
      </c>
      <c r="S326" s="210">
        <f t="shared" si="6"/>
        <v>1</v>
      </c>
      <c r="T326" s="210"/>
      <c r="U326" s="210"/>
      <c r="V326" s="210"/>
      <c r="W326" s="210"/>
      <c r="X326" s="210"/>
      <c r="Y326" s="210"/>
      <c r="Z326" s="210"/>
      <c r="AA326" s="210"/>
      <c r="AB326" s="210"/>
      <c r="AC326" s="210"/>
      <c r="AD326" s="210"/>
      <c r="AE326" s="210"/>
      <c r="AF326" s="210"/>
      <c r="AG326" s="210"/>
      <c r="AH326" s="210"/>
      <c r="AI326" s="210"/>
      <c r="AJ326" s="210"/>
      <c r="AK326" s="210"/>
      <c r="AL326" s="210"/>
      <c r="AM326" s="214"/>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c r="BU326" s="210"/>
      <c r="BV326" s="210"/>
      <c r="BW326" s="210"/>
      <c r="BX326" s="210"/>
      <c r="BY326" s="210"/>
      <c r="BZ326" s="210"/>
      <c r="CA326" s="210"/>
      <c r="CB326" s="210"/>
      <c r="CC326" s="210"/>
      <c r="CD326" s="210"/>
      <c r="CE326" s="210"/>
      <c r="CF326" s="210"/>
      <c r="CG326" s="210"/>
      <c r="CH326" s="210"/>
      <c r="CI326" s="210"/>
      <c r="CJ326" s="210"/>
      <c r="CK326" s="210"/>
    </row>
    <row r="327">
      <c r="A327" s="222" t="s">
        <v>157</v>
      </c>
      <c r="B327" s="190" t="s">
        <v>158</v>
      </c>
      <c r="C327" s="223" t="s">
        <v>80</v>
      </c>
      <c r="D327" s="223" t="s">
        <v>873</v>
      </c>
      <c r="E327" s="190" t="s">
        <v>21</v>
      </c>
      <c r="F327" s="13" t="s">
        <v>927</v>
      </c>
      <c r="G327" s="190"/>
      <c r="H327" s="219">
        <f>IFERROR(
  MINIFS(ATTENDANCE_LOG!$F:$F,
         ATTENDANCE_LOG!$A:$A, C327,
         ATTENDANCE_LOG!$B:$B, E327),
"")</f>
        <v>45646.41667</v>
      </c>
      <c r="I327" s="219">
        <f t="shared" si="2"/>
        <v>45646.41667</v>
      </c>
      <c r="J327" s="190">
        <f>IFERROR(VLOOKUP(F327, LEVEL_HELPER!$A:$B, 2, 0), "")</f>
        <v>1</v>
      </c>
      <c r="K327" s="190" t="str">
        <f>IFERROR(VLOOKUP(G327, LEVEL_HELPER!$A:$B, 2, 0), "")</f>
        <v/>
      </c>
      <c r="L327" s="220" t="s">
        <v>919</v>
      </c>
      <c r="M327" s="229" t="s">
        <v>922</v>
      </c>
      <c r="N327" s="190">
        <f t="array" ref="N327">IFERROR(
  INDEX($J$2:$J$543,
    MATCH(A327&amp;TEXT(I327,"yyyy-mm-dd"),
          $A$2:$A$543&amp;TEXT($H$2:$H$543,"yyyy-mm-dd"),
          0)),
"")</f>
        <v>1</v>
      </c>
      <c r="O327" s="210">
        <f t="shared" si="3"/>
        <v>0</v>
      </c>
      <c r="P327" s="210">
        <f t="shared" ref="P327:Q327" si="337">IF(N327="",0,IF(N327&lt;=2,1,IF(N327&lt;=4,2,IF(N327&lt;=5.5,3,4))))</f>
        <v>1</v>
      </c>
      <c r="Q327" s="210">
        <f t="shared" si="337"/>
        <v>1</v>
      </c>
      <c r="R327" s="210" t="str">
        <f t="shared" si="5"/>
        <v>Not tested yet</v>
      </c>
      <c r="S327" s="210">
        <f t="shared" si="6"/>
        <v>1</v>
      </c>
      <c r="T327" s="210"/>
      <c r="U327" s="210"/>
      <c r="V327" s="210"/>
      <c r="W327" s="210"/>
      <c r="X327" s="210"/>
      <c r="Y327" s="210"/>
      <c r="Z327" s="210"/>
      <c r="AA327" s="210"/>
      <c r="AB327" s="210"/>
      <c r="AC327" s="210"/>
      <c r="AD327" s="210"/>
      <c r="AE327" s="210"/>
      <c r="AF327" s="210"/>
      <c r="AG327" s="210"/>
      <c r="AH327" s="210"/>
      <c r="AI327" s="210"/>
      <c r="AJ327" s="210"/>
      <c r="AK327" s="210"/>
      <c r="AL327" s="210"/>
      <c r="AM327" s="214"/>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c r="BU327" s="210"/>
      <c r="BV327" s="210"/>
      <c r="BW327" s="210"/>
      <c r="BX327" s="210"/>
      <c r="BY327" s="210"/>
      <c r="BZ327" s="210"/>
      <c r="CA327" s="210"/>
      <c r="CB327" s="210"/>
      <c r="CC327" s="210"/>
      <c r="CD327" s="210"/>
      <c r="CE327" s="210"/>
      <c r="CF327" s="210"/>
      <c r="CG327" s="210"/>
      <c r="CH327" s="210"/>
      <c r="CI327" s="210"/>
      <c r="CJ327" s="210"/>
      <c r="CK327" s="210"/>
    </row>
    <row r="328">
      <c r="A328" s="222" t="s">
        <v>194</v>
      </c>
      <c r="B328" s="190" t="s">
        <v>195</v>
      </c>
      <c r="C328" s="223" t="s">
        <v>80</v>
      </c>
      <c r="D328" s="223" t="s">
        <v>873</v>
      </c>
      <c r="E328" s="190" t="s">
        <v>21</v>
      </c>
      <c r="F328" s="13" t="s">
        <v>927</v>
      </c>
      <c r="G328" s="190"/>
      <c r="H328" s="219">
        <f>IFERROR(
  MINIFS(ATTENDANCE_LOG!$F:$F,
         ATTENDANCE_LOG!$A:$A, C328,
         ATTENDANCE_LOG!$B:$B, E328),
"")</f>
        <v>45646.41667</v>
      </c>
      <c r="I328" s="219">
        <f t="shared" si="2"/>
        <v>45646.41667</v>
      </c>
      <c r="J328" s="190">
        <f>IFERROR(VLOOKUP(F328, LEVEL_HELPER!$A:$B, 2, 0), "")</f>
        <v>1</v>
      </c>
      <c r="K328" s="190" t="str">
        <f>IFERROR(VLOOKUP(G328, LEVEL_HELPER!$A:$B, 2, 0), "")</f>
        <v/>
      </c>
      <c r="L328" s="220" t="s">
        <v>943</v>
      </c>
      <c r="M328" s="229" t="s">
        <v>922</v>
      </c>
      <c r="N328" s="190">
        <f t="array" ref="N328">IFERROR(
  INDEX($J$2:$J$543,
    MATCH(A328&amp;TEXT(I328,"yyyy-mm-dd"),
          $A$2:$A$543&amp;TEXT($H$2:$H$543,"yyyy-mm-dd"),
          0)),
"")</f>
        <v>1</v>
      </c>
      <c r="O328" s="210">
        <f t="shared" si="3"/>
        <v>0</v>
      </c>
      <c r="P328" s="210">
        <f t="shared" ref="P328:Q328" si="338">IF(N328="",0,IF(N328&lt;=2,1,IF(N328&lt;=4,2,IF(N328&lt;=5.5,3,4))))</f>
        <v>1</v>
      </c>
      <c r="Q328" s="210">
        <f t="shared" si="338"/>
        <v>1</v>
      </c>
      <c r="R328" s="210" t="str">
        <f t="shared" si="5"/>
        <v>Not tested yet</v>
      </c>
      <c r="S328" s="210">
        <f t="shared" si="6"/>
        <v>1</v>
      </c>
      <c r="T328" s="210"/>
      <c r="U328" s="210"/>
      <c r="V328" s="210"/>
      <c r="W328" s="210"/>
      <c r="X328" s="210"/>
      <c r="Y328" s="210"/>
      <c r="Z328" s="210"/>
      <c r="AA328" s="210"/>
      <c r="AB328" s="210"/>
      <c r="AC328" s="210"/>
      <c r="AD328" s="210"/>
      <c r="AE328" s="210"/>
      <c r="AF328" s="210"/>
      <c r="AG328" s="210"/>
      <c r="AH328" s="210"/>
      <c r="AI328" s="210"/>
      <c r="AJ328" s="210"/>
      <c r="AK328" s="210"/>
      <c r="AL328" s="210"/>
      <c r="AM328" s="214"/>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c r="BU328" s="210"/>
      <c r="BV328" s="210"/>
      <c r="BW328" s="210"/>
      <c r="BX328" s="210"/>
      <c r="BY328" s="210"/>
      <c r="BZ328" s="210"/>
      <c r="CA328" s="210"/>
      <c r="CB328" s="210"/>
      <c r="CC328" s="210"/>
      <c r="CD328" s="210"/>
      <c r="CE328" s="210"/>
      <c r="CF328" s="210"/>
      <c r="CG328" s="210"/>
      <c r="CH328" s="210"/>
      <c r="CI328" s="210"/>
      <c r="CJ328" s="210"/>
      <c r="CK328" s="210"/>
    </row>
    <row r="329">
      <c r="A329" s="222" t="s">
        <v>457</v>
      </c>
      <c r="B329" s="190" t="s">
        <v>458</v>
      </c>
      <c r="C329" s="223" t="s">
        <v>80</v>
      </c>
      <c r="D329" s="223" t="s">
        <v>873</v>
      </c>
      <c r="E329" s="190" t="s">
        <v>21</v>
      </c>
      <c r="F329" s="13" t="s">
        <v>917</v>
      </c>
      <c r="G329" s="190"/>
      <c r="H329" s="219">
        <f>IFERROR(
  MINIFS(ATTENDANCE_LOG!$F:$F,
         ATTENDANCE_LOG!$A:$A, C329,
         ATTENDANCE_LOG!$B:$B, E329),
"")</f>
        <v>45646.41667</v>
      </c>
      <c r="I329" s="219">
        <f t="shared" si="2"/>
        <v>45646.41667</v>
      </c>
      <c r="J329" s="190">
        <f>IFERROR(VLOOKUP(F329, LEVEL_HELPER!$A:$B, 2, 0), "")</f>
        <v>2.5</v>
      </c>
      <c r="K329" s="190" t="str">
        <f>IFERROR(VLOOKUP(G329, LEVEL_HELPER!$A:$B, 2, 0), "")</f>
        <v/>
      </c>
      <c r="L329" s="220" t="s">
        <v>919</v>
      </c>
      <c r="M329" s="229" t="s">
        <v>922</v>
      </c>
      <c r="N329" s="190">
        <f t="array" ref="N329">IFERROR(
  INDEX($J$2:$J$543,
    MATCH(A329&amp;TEXT(I329,"yyyy-mm-dd"),
          $A$2:$A$543&amp;TEXT($H$2:$H$543,"yyyy-mm-dd"),
          0)),
"")</f>
        <v>2.5</v>
      </c>
      <c r="O329" s="210">
        <f t="shared" si="3"/>
        <v>0</v>
      </c>
      <c r="P329" s="210">
        <f t="shared" ref="P329:Q329" si="339">IF(N329="",0,IF(N329&lt;=2,1,IF(N329&lt;=4,2,IF(N329&lt;=5.5,3,4))))</f>
        <v>2</v>
      </c>
      <c r="Q329" s="210">
        <f t="shared" si="339"/>
        <v>1</v>
      </c>
      <c r="R329" s="210" t="str">
        <f t="shared" si="5"/>
        <v>Not tested yet</v>
      </c>
      <c r="S329" s="210">
        <f t="shared" si="6"/>
        <v>1</v>
      </c>
      <c r="T329" s="210"/>
      <c r="U329" s="210"/>
      <c r="V329" s="210"/>
      <c r="W329" s="210"/>
      <c r="X329" s="210"/>
      <c r="Y329" s="210"/>
      <c r="Z329" s="210"/>
      <c r="AA329" s="210"/>
      <c r="AB329" s="210"/>
      <c r="AC329" s="210"/>
      <c r="AD329" s="210"/>
      <c r="AE329" s="210"/>
      <c r="AF329" s="210"/>
      <c r="AG329" s="210"/>
      <c r="AH329" s="210"/>
      <c r="AI329" s="210"/>
      <c r="AJ329" s="210"/>
      <c r="AK329" s="210"/>
      <c r="AL329" s="210"/>
      <c r="AM329" s="214"/>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c r="BU329" s="210"/>
      <c r="BV329" s="210"/>
      <c r="BW329" s="210"/>
      <c r="BX329" s="210"/>
      <c r="BY329" s="210"/>
      <c r="BZ329" s="210"/>
      <c r="CA329" s="210"/>
      <c r="CB329" s="210"/>
      <c r="CC329" s="210"/>
      <c r="CD329" s="210"/>
      <c r="CE329" s="210"/>
      <c r="CF329" s="210"/>
      <c r="CG329" s="210"/>
      <c r="CH329" s="210"/>
      <c r="CI329" s="210"/>
      <c r="CJ329" s="210"/>
      <c r="CK329" s="210"/>
    </row>
    <row r="330">
      <c r="A330" s="222" t="s">
        <v>541</v>
      </c>
      <c r="B330" s="190" t="s">
        <v>542</v>
      </c>
      <c r="C330" s="223" t="s">
        <v>80</v>
      </c>
      <c r="D330" s="223" t="s">
        <v>873</v>
      </c>
      <c r="E330" s="190" t="s">
        <v>21</v>
      </c>
      <c r="F330" s="13" t="s">
        <v>927</v>
      </c>
      <c r="G330" s="190"/>
      <c r="H330" s="219">
        <f>IFERROR(
  MINIFS(ATTENDANCE_LOG!$F:$F,
         ATTENDANCE_LOG!$A:$A, C330,
         ATTENDANCE_LOG!$B:$B, E330),
"")</f>
        <v>45646.41667</v>
      </c>
      <c r="I330" s="219">
        <f t="shared" si="2"/>
        <v>45646.41667</v>
      </c>
      <c r="J330" s="190">
        <f>IFERROR(VLOOKUP(F330, LEVEL_HELPER!$A:$B, 2, 0), "")</f>
        <v>1</v>
      </c>
      <c r="K330" s="190" t="str">
        <f>IFERROR(VLOOKUP(G330, LEVEL_HELPER!$A:$B, 2, 0), "")</f>
        <v/>
      </c>
      <c r="L330" s="220" t="s">
        <v>942</v>
      </c>
      <c r="M330" s="229" t="s">
        <v>922</v>
      </c>
      <c r="N330" s="190">
        <f t="array" ref="N330">IFERROR(
  INDEX($J$2:$J$543,
    MATCH(A330&amp;TEXT(I330,"yyyy-mm-dd"),
          $A$2:$A$543&amp;TEXT($H$2:$H$543,"yyyy-mm-dd"),
          0)),
"")</f>
        <v>1</v>
      </c>
      <c r="O330" s="210">
        <f t="shared" si="3"/>
        <v>0</v>
      </c>
      <c r="P330" s="210">
        <f t="shared" ref="P330:Q330" si="340">IF(N330="",0,IF(N330&lt;=2,1,IF(N330&lt;=4,2,IF(N330&lt;=5.5,3,4))))</f>
        <v>1</v>
      </c>
      <c r="Q330" s="210">
        <f t="shared" si="340"/>
        <v>1</v>
      </c>
      <c r="R330" s="210" t="str">
        <f t="shared" si="5"/>
        <v>Not tested yet</v>
      </c>
      <c r="S330" s="210">
        <f t="shared" si="6"/>
        <v>1</v>
      </c>
      <c r="T330" s="210"/>
      <c r="U330" s="210"/>
      <c r="V330" s="210"/>
      <c r="W330" s="210"/>
      <c r="X330" s="210"/>
      <c r="Y330" s="210"/>
      <c r="Z330" s="210"/>
      <c r="AA330" s="210"/>
      <c r="AB330" s="210"/>
      <c r="AC330" s="210"/>
      <c r="AD330" s="210"/>
      <c r="AE330" s="210"/>
      <c r="AF330" s="210"/>
      <c r="AG330" s="210"/>
      <c r="AH330" s="210"/>
      <c r="AI330" s="210"/>
      <c r="AJ330" s="210"/>
      <c r="AK330" s="210"/>
      <c r="AL330" s="210"/>
      <c r="AM330" s="214"/>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c r="BU330" s="210"/>
      <c r="BV330" s="210"/>
      <c r="BW330" s="210"/>
      <c r="BX330" s="210"/>
      <c r="BY330" s="210"/>
      <c r="BZ330" s="210"/>
      <c r="CA330" s="210"/>
      <c r="CB330" s="210"/>
      <c r="CC330" s="210"/>
      <c r="CD330" s="210"/>
      <c r="CE330" s="210"/>
      <c r="CF330" s="210"/>
      <c r="CG330" s="210"/>
      <c r="CH330" s="210"/>
      <c r="CI330" s="210"/>
      <c r="CJ330" s="210"/>
      <c r="CK330" s="210"/>
    </row>
    <row r="331">
      <c r="A331" s="222" t="s">
        <v>703</v>
      </c>
      <c r="B331" s="190" t="s">
        <v>704</v>
      </c>
      <c r="C331" s="223" t="s">
        <v>80</v>
      </c>
      <c r="D331" s="223" t="s">
        <v>873</v>
      </c>
      <c r="E331" s="190" t="s">
        <v>21</v>
      </c>
      <c r="F331" s="13" t="s">
        <v>927</v>
      </c>
      <c r="G331" s="190"/>
      <c r="H331" s="219">
        <f>IFERROR(
  MINIFS(ATTENDANCE_LOG!$F:$F,
         ATTENDANCE_LOG!$A:$A, C331,
         ATTENDANCE_LOG!$B:$B, E331),
"")</f>
        <v>45646.41667</v>
      </c>
      <c r="I331" s="219">
        <f t="shared" si="2"/>
        <v>45646.41667</v>
      </c>
      <c r="J331" s="190">
        <f>IFERROR(VLOOKUP(F331, LEVEL_HELPER!$A:$B, 2, 0), "")</f>
        <v>1</v>
      </c>
      <c r="K331" s="190" t="str">
        <f>IFERROR(VLOOKUP(G331, LEVEL_HELPER!$A:$B, 2, 0), "")</f>
        <v/>
      </c>
      <c r="L331" s="220" t="s">
        <v>943</v>
      </c>
      <c r="M331" s="229" t="s">
        <v>922</v>
      </c>
      <c r="N331" s="190">
        <f t="array" ref="N331">IFERROR(
  INDEX($J$2:$J$543,
    MATCH(A331&amp;TEXT(I331,"yyyy-mm-dd"),
          $A$2:$A$543&amp;TEXT($H$2:$H$543,"yyyy-mm-dd"),
          0)),
"")</f>
        <v>1</v>
      </c>
      <c r="O331" s="210">
        <f t="shared" si="3"/>
        <v>0</v>
      </c>
      <c r="P331" s="210">
        <f t="shared" ref="P331:Q331" si="341">IF(N331="",0,IF(N331&lt;=2,1,IF(N331&lt;=4,2,IF(N331&lt;=5.5,3,4))))</f>
        <v>1</v>
      </c>
      <c r="Q331" s="210">
        <f t="shared" si="341"/>
        <v>1</v>
      </c>
      <c r="R331" s="210" t="str">
        <f t="shared" si="5"/>
        <v>Not tested yet</v>
      </c>
      <c r="S331" s="210">
        <f t="shared" si="6"/>
        <v>1</v>
      </c>
      <c r="T331" s="210"/>
      <c r="U331" s="210"/>
      <c r="V331" s="210"/>
      <c r="W331" s="210"/>
      <c r="X331" s="210"/>
      <c r="Y331" s="210"/>
      <c r="Z331" s="210"/>
      <c r="AA331" s="210"/>
      <c r="AB331" s="210"/>
      <c r="AC331" s="210"/>
      <c r="AD331" s="210"/>
      <c r="AE331" s="210"/>
      <c r="AF331" s="210"/>
      <c r="AG331" s="210"/>
      <c r="AH331" s="210"/>
      <c r="AI331" s="210"/>
      <c r="AJ331" s="210"/>
      <c r="AK331" s="210"/>
      <c r="AL331" s="210"/>
      <c r="AM331" s="214"/>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c r="BU331" s="210"/>
      <c r="BV331" s="210"/>
      <c r="BW331" s="210"/>
      <c r="BX331" s="210"/>
      <c r="BY331" s="210"/>
      <c r="BZ331" s="210"/>
      <c r="CA331" s="210"/>
      <c r="CB331" s="210"/>
      <c r="CC331" s="210"/>
      <c r="CD331" s="210"/>
      <c r="CE331" s="210"/>
      <c r="CF331" s="210"/>
      <c r="CG331" s="210"/>
      <c r="CH331" s="210"/>
      <c r="CI331" s="210"/>
      <c r="CJ331" s="210"/>
      <c r="CK331" s="210"/>
    </row>
    <row r="332">
      <c r="A332" s="222" t="s">
        <v>707</v>
      </c>
      <c r="B332" s="190" t="s">
        <v>708</v>
      </c>
      <c r="C332" s="223" t="s">
        <v>80</v>
      </c>
      <c r="D332" s="223" t="s">
        <v>873</v>
      </c>
      <c r="E332" s="190" t="s">
        <v>21</v>
      </c>
      <c r="F332" s="13" t="s">
        <v>927</v>
      </c>
      <c r="G332" s="190"/>
      <c r="H332" s="219">
        <f>IFERROR(
  MINIFS(ATTENDANCE_LOG!$F:$F,
         ATTENDANCE_LOG!$A:$A, C332,
         ATTENDANCE_LOG!$B:$B, E332),
"")</f>
        <v>45646.41667</v>
      </c>
      <c r="I332" s="219">
        <f t="shared" si="2"/>
        <v>45646.41667</v>
      </c>
      <c r="J332" s="190">
        <f>IFERROR(VLOOKUP(F332, LEVEL_HELPER!$A:$B, 2, 0), "")</f>
        <v>1</v>
      </c>
      <c r="K332" s="190" t="str">
        <f>IFERROR(VLOOKUP(G332, LEVEL_HELPER!$A:$B, 2, 0), "")</f>
        <v/>
      </c>
      <c r="L332" s="220" t="s">
        <v>942</v>
      </c>
      <c r="M332" s="229" t="s">
        <v>922</v>
      </c>
      <c r="N332" s="190">
        <f t="array" ref="N332">IFERROR(
  INDEX($J$2:$J$543,
    MATCH(A332&amp;TEXT(I332,"yyyy-mm-dd"),
          $A$2:$A$543&amp;TEXT($H$2:$H$543,"yyyy-mm-dd"),
          0)),
"")</f>
        <v>1</v>
      </c>
      <c r="O332" s="210">
        <f t="shared" si="3"/>
        <v>0</v>
      </c>
      <c r="P332" s="210">
        <f t="shared" ref="P332:Q332" si="342">IF(N332="",0,IF(N332&lt;=2,1,IF(N332&lt;=4,2,IF(N332&lt;=5.5,3,4))))</f>
        <v>1</v>
      </c>
      <c r="Q332" s="210">
        <f t="shared" si="342"/>
        <v>1</v>
      </c>
      <c r="R332" s="210" t="str">
        <f t="shared" si="5"/>
        <v>Not tested yet</v>
      </c>
      <c r="S332" s="210">
        <f t="shared" si="6"/>
        <v>1</v>
      </c>
      <c r="T332" s="210"/>
      <c r="U332" s="210"/>
      <c r="V332" s="210"/>
      <c r="W332" s="210"/>
      <c r="X332" s="210"/>
      <c r="Y332" s="210"/>
      <c r="Z332" s="210"/>
      <c r="AA332" s="210"/>
      <c r="AB332" s="210"/>
      <c r="AC332" s="210"/>
      <c r="AD332" s="210"/>
      <c r="AE332" s="210"/>
      <c r="AF332" s="210"/>
      <c r="AG332" s="210"/>
      <c r="AH332" s="210"/>
      <c r="AI332" s="210"/>
      <c r="AJ332" s="210"/>
      <c r="AK332" s="210"/>
      <c r="AL332" s="210"/>
      <c r="AM332" s="214"/>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c r="BU332" s="210"/>
      <c r="BV332" s="210"/>
      <c r="BW332" s="210"/>
      <c r="BX332" s="210"/>
      <c r="BY332" s="210"/>
      <c r="BZ332" s="210"/>
      <c r="CA332" s="210"/>
      <c r="CB332" s="210"/>
      <c r="CC332" s="210"/>
      <c r="CD332" s="210"/>
      <c r="CE332" s="210"/>
      <c r="CF332" s="210"/>
      <c r="CG332" s="210"/>
      <c r="CH332" s="210"/>
      <c r="CI332" s="210"/>
      <c r="CJ332" s="210"/>
      <c r="CK332" s="210"/>
    </row>
    <row r="333">
      <c r="A333" s="222" t="s">
        <v>512</v>
      </c>
      <c r="B333" s="217" t="s">
        <v>513</v>
      </c>
      <c r="C333" s="218" t="s">
        <v>81</v>
      </c>
      <c r="D333" s="218" t="s">
        <v>874</v>
      </c>
      <c r="E333" s="217" t="s">
        <v>21</v>
      </c>
      <c r="F333" s="13" t="s">
        <v>927</v>
      </c>
      <c r="G333" s="13" t="s">
        <v>917</v>
      </c>
      <c r="H333" s="219">
        <f>IFERROR(
  MINIFS(ATTENDANCE_LOG!$F:$F,
         ATTENDANCE_LOG!$A:$A, C333,
         ATTENDANCE_LOG!$B:$B, E333),
"")</f>
        <v>45765.41667</v>
      </c>
      <c r="I333" s="219">
        <f t="shared" si="2"/>
        <v>45765.41667</v>
      </c>
      <c r="J333" s="190">
        <f>IFERROR(VLOOKUP(F333, LEVEL_HELPER!$A:$B, 2, 0), "")</f>
        <v>1</v>
      </c>
      <c r="K333" s="190">
        <f>IFERROR(VLOOKUP(G333, LEVEL_HELPER!$A:$B, 2, 0), "")</f>
        <v>2.5</v>
      </c>
      <c r="L333" s="220" t="s">
        <v>943</v>
      </c>
      <c r="M333" s="220" t="s">
        <v>924</v>
      </c>
      <c r="N333" s="190">
        <f t="array" ref="N333">IFERROR(
  INDEX($J$2:$J$543,
    MATCH(A333&amp;TEXT(I333,"yyyy-mm-dd"),
          $A$2:$A$543&amp;TEXT($H$2:$H$543,"yyyy-mm-dd"),
          0)),
"")</f>
        <v>1</v>
      </c>
      <c r="O333" s="210">
        <f t="shared" si="3"/>
        <v>2.5</v>
      </c>
      <c r="P333" s="210">
        <f t="shared" ref="P333:Q333" si="343">IF(N333="",0,IF(N333&lt;=2,1,IF(N333&lt;=4,2,IF(N333&lt;=5.5,3,4))))</f>
        <v>1</v>
      </c>
      <c r="Q333" s="210">
        <f t="shared" si="343"/>
        <v>2</v>
      </c>
      <c r="R333" s="210" t="str">
        <f t="shared" si="5"/>
        <v>Lv1 → Lv2</v>
      </c>
      <c r="S333" s="210">
        <f t="shared" si="6"/>
        <v>1</v>
      </c>
      <c r="T333" s="210"/>
      <c r="U333" s="210"/>
      <c r="V333" s="210"/>
      <c r="W333" s="210"/>
      <c r="X333" s="210"/>
      <c r="Y333" s="210"/>
      <c r="Z333" s="210"/>
      <c r="AA333" s="210"/>
      <c r="AB333" s="210"/>
      <c r="AC333" s="210"/>
      <c r="AD333" s="210"/>
      <c r="AE333" s="210"/>
      <c r="AF333" s="210"/>
      <c r="AG333" s="210"/>
      <c r="AH333" s="210"/>
      <c r="AI333" s="210"/>
      <c r="AJ333" s="210"/>
      <c r="AK333" s="210"/>
      <c r="AL333" s="210"/>
      <c r="AM333" s="214"/>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c r="BU333" s="210"/>
      <c r="BV333" s="210"/>
      <c r="BW333" s="210"/>
      <c r="BX333" s="210"/>
      <c r="BY333" s="210"/>
      <c r="BZ333" s="210"/>
      <c r="CA333" s="210"/>
      <c r="CB333" s="210"/>
      <c r="CC333" s="210"/>
      <c r="CD333" s="210"/>
      <c r="CE333" s="210"/>
      <c r="CF333" s="210"/>
      <c r="CG333" s="210"/>
      <c r="CH333" s="210"/>
      <c r="CI333" s="210"/>
      <c r="CJ333" s="210"/>
      <c r="CK333" s="210"/>
    </row>
    <row r="334">
      <c r="A334" s="222" t="s">
        <v>524</v>
      </c>
      <c r="B334" s="190" t="s">
        <v>525</v>
      </c>
      <c r="C334" s="223" t="s">
        <v>81</v>
      </c>
      <c r="D334" s="223" t="s">
        <v>874</v>
      </c>
      <c r="E334" s="190" t="s">
        <v>21</v>
      </c>
      <c r="F334" s="13" t="s">
        <v>25</v>
      </c>
      <c r="G334" s="13" t="s">
        <v>929</v>
      </c>
      <c r="H334" s="219">
        <f>IFERROR(
  MINIFS(ATTENDANCE_LOG!$F:$F,
         ATTENDANCE_LOG!$A:$A, C334,
         ATTENDANCE_LOG!$B:$B, E334),
"")</f>
        <v>45765.41667</v>
      </c>
      <c r="I334" s="219">
        <f t="shared" si="2"/>
        <v>45765.41667</v>
      </c>
      <c r="J334" s="190">
        <f>IFERROR(VLOOKUP(F334, LEVEL_HELPER!$A:$B, 2, 0), "")</f>
        <v>0.5</v>
      </c>
      <c r="K334" s="190">
        <f>IFERROR(VLOOKUP(G334, LEVEL_HELPER!$A:$B, 2, 0), "")</f>
        <v>1.5</v>
      </c>
      <c r="L334" s="220" t="s">
        <v>943</v>
      </c>
      <c r="M334" s="220" t="s">
        <v>924</v>
      </c>
      <c r="N334" s="190">
        <f t="array" ref="N334">IFERROR(
  INDEX($J$2:$J$543,
    MATCH(A334&amp;TEXT(I334,"yyyy-mm-dd"),
          $A$2:$A$543&amp;TEXT($H$2:$H$543,"yyyy-mm-dd"),
          0)),
"")</f>
        <v>0.5</v>
      </c>
      <c r="O334" s="210">
        <f t="shared" si="3"/>
        <v>3.5</v>
      </c>
      <c r="P334" s="210">
        <f t="shared" ref="P334:Q334" si="344">IF(N334="",0,IF(N334&lt;=2,1,IF(N334&lt;=4,2,IF(N334&lt;=5.5,3,4))))</f>
        <v>1</v>
      </c>
      <c r="Q334" s="210">
        <f t="shared" si="344"/>
        <v>2</v>
      </c>
      <c r="R334" s="210" t="str">
        <f t="shared" si="5"/>
        <v>Lv1 → Lv2</v>
      </c>
      <c r="S334" s="210">
        <f t="shared" si="6"/>
        <v>1</v>
      </c>
      <c r="T334" s="210"/>
      <c r="U334" s="210"/>
      <c r="V334" s="210"/>
      <c r="W334" s="210"/>
      <c r="X334" s="210"/>
      <c r="Y334" s="210"/>
      <c r="Z334" s="210"/>
      <c r="AA334" s="210"/>
      <c r="AB334" s="210"/>
      <c r="AC334" s="210"/>
      <c r="AD334" s="210"/>
      <c r="AE334" s="210"/>
      <c r="AF334" s="210"/>
      <c r="AG334" s="210"/>
      <c r="AH334" s="210"/>
      <c r="AI334" s="210"/>
      <c r="AJ334" s="210"/>
      <c r="AK334" s="210"/>
      <c r="AL334" s="210"/>
      <c r="AM334" s="214"/>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c r="BU334" s="210"/>
      <c r="BV334" s="210"/>
      <c r="BW334" s="210"/>
      <c r="BX334" s="210"/>
      <c r="BY334" s="210"/>
      <c r="BZ334" s="210"/>
      <c r="CA334" s="210"/>
      <c r="CB334" s="210"/>
      <c r="CC334" s="210"/>
      <c r="CD334" s="210"/>
      <c r="CE334" s="210"/>
      <c r="CF334" s="210"/>
      <c r="CG334" s="210"/>
      <c r="CH334" s="210"/>
      <c r="CI334" s="210"/>
      <c r="CJ334" s="210"/>
      <c r="CK334" s="210"/>
    </row>
    <row r="335">
      <c r="A335" s="222" t="s">
        <v>530</v>
      </c>
      <c r="B335" s="190" t="s">
        <v>531</v>
      </c>
      <c r="C335" s="223" t="s">
        <v>81</v>
      </c>
      <c r="D335" s="223" t="s">
        <v>874</v>
      </c>
      <c r="E335" s="190" t="s">
        <v>21</v>
      </c>
      <c r="F335" s="13" t="s">
        <v>927</v>
      </c>
      <c r="G335" s="13" t="s">
        <v>918</v>
      </c>
      <c r="H335" s="219">
        <f>IFERROR(
  MINIFS(ATTENDANCE_LOG!$F:$F,
         ATTENDANCE_LOG!$A:$A, C335,
         ATTENDANCE_LOG!$B:$B, E335),
"")</f>
        <v>45765.41667</v>
      </c>
      <c r="I335" s="219">
        <f t="shared" si="2"/>
        <v>45765.41667</v>
      </c>
      <c r="J335" s="190">
        <f>IFERROR(VLOOKUP(F335, LEVEL_HELPER!$A:$B, 2, 0), "")</f>
        <v>1</v>
      </c>
      <c r="K335" s="190">
        <f>IFERROR(VLOOKUP(G335, LEVEL_HELPER!$A:$B, 2, 0), "")</f>
        <v>3</v>
      </c>
      <c r="L335" s="220" t="s">
        <v>943</v>
      </c>
      <c r="M335" s="220" t="s">
        <v>924</v>
      </c>
      <c r="N335" s="190">
        <f t="array" ref="N335">IFERROR(
  INDEX($J$2:$J$543,
    MATCH(A335&amp;TEXT(I335,"yyyy-mm-dd"),
          $A$2:$A$543&amp;TEXT($H$2:$H$543,"yyyy-mm-dd"),
          0)),
"")</f>
        <v>1</v>
      </c>
      <c r="O335" s="210">
        <f t="shared" si="3"/>
        <v>5</v>
      </c>
      <c r="P335" s="210">
        <f t="shared" ref="P335:Q335" si="345">IF(N335="",0,IF(N335&lt;=2,1,IF(N335&lt;=4,2,IF(N335&lt;=5.5,3,4))))</f>
        <v>1</v>
      </c>
      <c r="Q335" s="210">
        <f t="shared" si="345"/>
        <v>3</v>
      </c>
      <c r="R335" s="210" t="str">
        <f t="shared" si="5"/>
        <v>Lv1 → Lv3 (multi)</v>
      </c>
      <c r="S335" s="210">
        <f t="shared" si="6"/>
        <v>1</v>
      </c>
      <c r="T335" s="210"/>
      <c r="U335" s="210"/>
      <c r="V335" s="210"/>
      <c r="W335" s="210"/>
      <c r="X335" s="210"/>
      <c r="Y335" s="210"/>
      <c r="Z335" s="210"/>
      <c r="AA335" s="210"/>
      <c r="AB335" s="210"/>
      <c r="AC335" s="210"/>
      <c r="AD335" s="210"/>
      <c r="AE335" s="210"/>
      <c r="AF335" s="210"/>
      <c r="AG335" s="210"/>
      <c r="AH335" s="210"/>
      <c r="AI335" s="210"/>
      <c r="AJ335" s="210"/>
      <c r="AK335" s="210"/>
      <c r="AL335" s="210"/>
      <c r="AM335" s="214"/>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c r="BU335" s="210"/>
      <c r="BV335" s="210"/>
      <c r="BW335" s="210"/>
      <c r="BX335" s="210"/>
      <c r="BY335" s="210"/>
      <c r="BZ335" s="210"/>
      <c r="CA335" s="210"/>
      <c r="CB335" s="210"/>
      <c r="CC335" s="210"/>
      <c r="CD335" s="210"/>
      <c r="CE335" s="210"/>
      <c r="CF335" s="210"/>
      <c r="CG335" s="210"/>
      <c r="CH335" s="210"/>
      <c r="CI335" s="210"/>
      <c r="CJ335" s="210"/>
      <c r="CK335" s="210"/>
    </row>
    <row r="336">
      <c r="A336" s="222" t="s">
        <v>621</v>
      </c>
      <c r="B336" s="190" t="s">
        <v>622</v>
      </c>
      <c r="C336" s="223" t="s">
        <v>81</v>
      </c>
      <c r="D336" s="223" t="s">
        <v>874</v>
      </c>
      <c r="E336" s="190" t="s">
        <v>21</v>
      </c>
      <c r="F336" s="13" t="s">
        <v>927</v>
      </c>
      <c r="G336" s="13" t="s">
        <v>935</v>
      </c>
      <c r="H336" s="219">
        <f>IFERROR(
  MINIFS(ATTENDANCE_LOG!$F:$F,
         ATTENDANCE_LOG!$A:$A, C336,
         ATTENDANCE_LOG!$B:$B, E336),
"")</f>
        <v>45765.41667</v>
      </c>
      <c r="I336" s="219">
        <f t="shared" si="2"/>
        <v>45765.41667</v>
      </c>
      <c r="J336" s="190">
        <f>IFERROR(VLOOKUP(F336, LEVEL_HELPER!$A:$B, 2, 0), "")</f>
        <v>1</v>
      </c>
      <c r="K336" s="190">
        <f>IFERROR(VLOOKUP(G336, LEVEL_HELPER!$A:$B, 2, 0), "")</f>
        <v>3.5</v>
      </c>
      <c r="L336" s="220" t="s">
        <v>943</v>
      </c>
      <c r="M336" s="220" t="s">
        <v>924</v>
      </c>
      <c r="N336" s="190">
        <f t="array" ref="N336">IFERROR(
  INDEX($J$2:$J$543,
    MATCH(A336&amp;TEXT(I336,"yyyy-mm-dd"),
          $A$2:$A$543&amp;TEXT($H$2:$H$543,"yyyy-mm-dd"),
          0)),
"")</f>
        <v>1</v>
      </c>
      <c r="O336" s="210">
        <f t="shared" si="3"/>
        <v>5</v>
      </c>
      <c r="P336" s="210">
        <f t="shared" ref="P336:Q336" si="346">IF(N336="",0,IF(N336&lt;=2,1,IF(N336&lt;=4,2,IF(N336&lt;=5.5,3,4))))</f>
        <v>1</v>
      </c>
      <c r="Q336" s="210">
        <f t="shared" si="346"/>
        <v>3</v>
      </c>
      <c r="R336" s="210" t="str">
        <f t="shared" si="5"/>
        <v>Lv1 → Lv3 (multi)</v>
      </c>
      <c r="S336" s="210">
        <f t="shared" si="6"/>
        <v>1</v>
      </c>
      <c r="T336" s="210"/>
      <c r="U336" s="210"/>
      <c r="V336" s="210"/>
      <c r="W336" s="210"/>
      <c r="X336" s="210"/>
      <c r="Y336" s="210"/>
      <c r="Z336" s="210"/>
      <c r="AA336" s="210"/>
      <c r="AB336" s="210"/>
      <c r="AC336" s="210"/>
      <c r="AD336" s="210"/>
      <c r="AE336" s="210"/>
      <c r="AF336" s="210"/>
      <c r="AG336" s="210"/>
      <c r="AH336" s="210"/>
      <c r="AI336" s="210"/>
      <c r="AJ336" s="210"/>
      <c r="AK336" s="210"/>
      <c r="AL336" s="210"/>
      <c r="AM336" s="214"/>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c r="BU336" s="210"/>
      <c r="BV336" s="210"/>
      <c r="BW336" s="210"/>
      <c r="BX336" s="210"/>
      <c r="BY336" s="210"/>
      <c r="BZ336" s="210"/>
      <c r="CA336" s="210"/>
      <c r="CB336" s="210"/>
      <c r="CC336" s="210"/>
      <c r="CD336" s="210"/>
      <c r="CE336" s="210"/>
      <c r="CF336" s="210"/>
      <c r="CG336" s="210"/>
      <c r="CH336" s="210"/>
      <c r="CI336" s="210"/>
      <c r="CJ336" s="210"/>
      <c r="CK336" s="210"/>
    </row>
    <row r="337">
      <c r="A337" s="222" t="s">
        <v>526</v>
      </c>
      <c r="B337" s="217" t="s">
        <v>527</v>
      </c>
      <c r="C337" s="218" t="s">
        <v>82</v>
      </c>
      <c r="D337" s="218" t="s">
        <v>875</v>
      </c>
      <c r="E337" s="217" t="s">
        <v>21</v>
      </c>
      <c r="F337" s="13" t="s">
        <v>927</v>
      </c>
      <c r="G337" s="13" t="s">
        <v>927</v>
      </c>
      <c r="H337" s="219">
        <f>IFERROR(
  MINIFS(ATTENDANCE_LOG!$F:$F,
         ATTENDANCE_LOG!$A:$A, C337,
         ATTENDANCE_LOG!$B:$B, E337),
"")</f>
        <v>45765.58333</v>
      </c>
      <c r="I337" s="219">
        <f t="shared" si="2"/>
        <v>45765.58333</v>
      </c>
      <c r="J337" s="190">
        <f>IFERROR(VLOOKUP(F337, LEVEL_HELPER!$A:$B, 2, 0), "")</f>
        <v>1</v>
      </c>
      <c r="K337" s="190">
        <f>IFERROR(VLOOKUP(G337, LEVEL_HELPER!$A:$B, 2, 0), "")</f>
        <v>1</v>
      </c>
      <c r="L337" s="220" t="s">
        <v>943</v>
      </c>
      <c r="M337" s="220" t="s">
        <v>924</v>
      </c>
      <c r="N337" s="190">
        <f t="array" ref="N337">IFERROR(
  INDEX($J$2:$J$543,
    MATCH(A337&amp;TEXT(I337,"yyyy-mm-dd"),
          $A$2:$A$543&amp;TEXT($H$2:$H$543,"yyyy-mm-dd"),
          0)),
"")</f>
        <v>1</v>
      </c>
      <c r="O337" s="210">
        <f t="shared" si="3"/>
        <v>3</v>
      </c>
      <c r="P337" s="210">
        <f t="shared" ref="P337:Q337" si="347">IF(N337="",0,IF(N337&lt;=2,1,IF(N337&lt;=4,2,IF(N337&lt;=5.5,3,4))))</f>
        <v>1</v>
      </c>
      <c r="Q337" s="210">
        <f t="shared" si="347"/>
        <v>2</v>
      </c>
      <c r="R337" s="210" t="str">
        <f t="shared" si="5"/>
        <v>Lv1 → Lv2</v>
      </c>
      <c r="S337" s="210">
        <f t="shared" si="6"/>
        <v>1</v>
      </c>
      <c r="T337" s="210"/>
      <c r="U337" s="210"/>
      <c r="V337" s="210"/>
      <c r="W337" s="210"/>
      <c r="X337" s="210"/>
      <c r="Y337" s="210"/>
      <c r="Z337" s="210"/>
      <c r="AA337" s="210"/>
      <c r="AB337" s="210"/>
      <c r="AC337" s="210"/>
      <c r="AD337" s="210"/>
      <c r="AE337" s="210"/>
      <c r="AF337" s="210"/>
      <c r="AG337" s="210"/>
      <c r="AH337" s="210"/>
      <c r="AI337" s="210"/>
      <c r="AJ337" s="210"/>
      <c r="AK337" s="210"/>
      <c r="AL337" s="210"/>
      <c r="AM337" s="214"/>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c r="BU337" s="210"/>
      <c r="BV337" s="210"/>
      <c r="BW337" s="210"/>
      <c r="BX337" s="210"/>
      <c r="BY337" s="210"/>
      <c r="BZ337" s="210"/>
      <c r="CA337" s="210"/>
      <c r="CB337" s="210"/>
      <c r="CC337" s="210"/>
      <c r="CD337" s="210"/>
      <c r="CE337" s="210"/>
      <c r="CF337" s="210"/>
      <c r="CG337" s="210"/>
      <c r="CH337" s="210"/>
      <c r="CI337" s="210"/>
      <c r="CJ337" s="210"/>
      <c r="CK337" s="210"/>
    </row>
    <row r="338">
      <c r="A338" s="222" t="s">
        <v>271</v>
      </c>
      <c r="B338" s="190" t="s">
        <v>272</v>
      </c>
      <c r="C338" s="223" t="s">
        <v>82</v>
      </c>
      <c r="D338" s="223" t="s">
        <v>875</v>
      </c>
      <c r="E338" s="190" t="s">
        <v>21</v>
      </c>
      <c r="F338" s="13" t="s">
        <v>927</v>
      </c>
      <c r="G338" s="13" t="s">
        <v>927</v>
      </c>
      <c r="H338" s="219">
        <f>IFERROR(
  MINIFS(ATTENDANCE_LOG!$F:$F,
         ATTENDANCE_LOG!$A:$A, C338,
         ATTENDANCE_LOG!$B:$B, E338),
"")</f>
        <v>45765.58333</v>
      </c>
      <c r="I338" s="219">
        <f t="shared" si="2"/>
        <v>45765.58333</v>
      </c>
      <c r="J338" s="190">
        <f>IFERROR(VLOOKUP(F338, LEVEL_HELPER!$A:$B, 2, 0), "")</f>
        <v>1</v>
      </c>
      <c r="K338" s="190">
        <f>IFERROR(VLOOKUP(G338, LEVEL_HELPER!$A:$B, 2, 0), "")</f>
        <v>1</v>
      </c>
      <c r="L338" s="220" t="s">
        <v>943</v>
      </c>
      <c r="M338" s="220" t="s">
        <v>926</v>
      </c>
      <c r="N338" s="190">
        <f t="array" ref="N338">IFERROR(
  INDEX($J$2:$J$543,
    MATCH(A338&amp;TEXT(I338,"yyyy-mm-dd"),
          $A$2:$A$543&amp;TEXT($H$2:$H$543,"yyyy-mm-dd"),
          0)),
"")</f>
        <v>1</v>
      </c>
      <c r="O338" s="210">
        <f t="shared" si="3"/>
        <v>1</v>
      </c>
      <c r="P338" s="210">
        <f t="shared" ref="P338:Q338" si="348">IF(N338="",0,IF(N338&lt;=2,1,IF(N338&lt;=4,2,IF(N338&lt;=5.5,3,4))))</f>
        <v>1</v>
      </c>
      <c r="Q338" s="210">
        <f t="shared" si="348"/>
        <v>1</v>
      </c>
      <c r="R338" s="210" t="str">
        <f t="shared" si="5"/>
        <v>No Progress</v>
      </c>
      <c r="S338" s="210">
        <f t="shared" si="6"/>
        <v>1</v>
      </c>
      <c r="T338" s="210"/>
      <c r="U338" s="210"/>
      <c r="V338" s="210"/>
      <c r="W338" s="210"/>
      <c r="X338" s="210"/>
      <c r="Y338" s="210"/>
      <c r="Z338" s="210"/>
      <c r="AA338" s="210"/>
      <c r="AB338" s="210"/>
      <c r="AC338" s="210"/>
      <c r="AD338" s="210"/>
      <c r="AE338" s="210"/>
      <c r="AF338" s="210"/>
      <c r="AG338" s="210"/>
      <c r="AH338" s="210"/>
      <c r="AI338" s="210"/>
      <c r="AJ338" s="210"/>
      <c r="AK338" s="210"/>
      <c r="AL338" s="210"/>
      <c r="AM338" s="214"/>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c r="BU338" s="210"/>
      <c r="BV338" s="210"/>
      <c r="BW338" s="210"/>
      <c r="BX338" s="210"/>
      <c r="BY338" s="210"/>
      <c r="BZ338" s="210"/>
      <c r="CA338" s="210"/>
      <c r="CB338" s="210"/>
      <c r="CC338" s="210"/>
      <c r="CD338" s="210"/>
      <c r="CE338" s="210"/>
      <c r="CF338" s="210"/>
      <c r="CG338" s="210"/>
      <c r="CH338" s="210"/>
      <c r="CI338" s="210"/>
      <c r="CJ338" s="210"/>
      <c r="CK338" s="210"/>
    </row>
    <row r="339">
      <c r="A339" s="222" t="s">
        <v>279</v>
      </c>
      <c r="B339" s="190" t="s">
        <v>280</v>
      </c>
      <c r="C339" s="223" t="s">
        <v>82</v>
      </c>
      <c r="D339" s="223" t="s">
        <v>875</v>
      </c>
      <c r="E339" s="190" t="s">
        <v>21</v>
      </c>
      <c r="F339" s="13" t="s">
        <v>927</v>
      </c>
      <c r="G339" s="13" t="s">
        <v>918</v>
      </c>
      <c r="H339" s="219">
        <f>IFERROR(
  MINIFS(ATTENDANCE_LOG!$F:$F,
         ATTENDANCE_LOG!$A:$A, C339,
         ATTENDANCE_LOG!$B:$B, E339),
"")</f>
        <v>45765.58333</v>
      </c>
      <c r="I339" s="219">
        <f t="shared" si="2"/>
        <v>45765.58333</v>
      </c>
      <c r="J339" s="190">
        <f>IFERROR(VLOOKUP(F339, LEVEL_HELPER!$A:$B, 2, 0), "")</f>
        <v>1</v>
      </c>
      <c r="K339" s="190">
        <f>IFERROR(VLOOKUP(G339, LEVEL_HELPER!$A:$B, 2, 0), "")</f>
        <v>3</v>
      </c>
      <c r="L339" s="220" t="s">
        <v>943</v>
      </c>
      <c r="M339" s="220" t="s">
        <v>924</v>
      </c>
      <c r="N339" s="190">
        <f t="array" ref="N339">IFERROR(
  INDEX($J$2:$J$543,
    MATCH(A339&amp;TEXT(I339,"yyyy-mm-dd"),
          $A$2:$A$543&amp;TEXT($H$2:$H$543,"yyyy-mm-dd"),
          0)),
"")</f>
        <v>1</v>
      </c>
      <c r="O339" s="210">
        <f t="shared" si="3"/>
        <v>3</v>
      </c>
      <c r="P339" s="210">
        <f t="shared" ref="P339:Q339" si="349">IF(N339="",0,IF(N339&lt;=2,1,IF(N339&lt;=4,2,IF(N339&lt;=5.5,3,4))))</f>
        <v>1</v>
      </c>
      <c r="Q339" s="210">
        <f t="shared" si="349"/>
        <v>2</v>
      </c>
      <c r="R339" s="210" t="str">
        <f t="shared" si="5"/>
        <v>Lv1 → Lv2</v>
      </c>
      <c r="S339" s="210">
        <f t="shared" si="6"/>
        <v>1</v>
      </c>
      <c r="T339" s="210"/>
      <c r="U339" s="210"/>
      <c r="V339" s="210"/>
      <c r="W339" s="210"/>
      <c r="X339" s="210"/>
      <c r="Y339" s="210"/>
      <c r="Z339" s="210"/>
      <c r="AA339" s="210"/>
      <c r="AB339" s="210"/>
      <c r="AC339" s="210"/>
      <c r="AD339" s="210"/>
      <c r="AE339" s="210"/>
      <c r="AF339" s="210"/>
      <c r="AG339" s="210"/>
      <c r="AH339" s="210"/>
      <c r="AI339" s="210"/>
      <c r="AJ339" s="210"/>
      <c r="AK339" s="210"/>
      <c r="AL339" s="210"/>
      <c r="AM339" s="214"/>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c r="BU339" s="210"/>
      <c r="BV339" s="210"/>
      <c r="BW339" s="210"/>
      <c r="BX339" s="210"/>
      <c r="BY339" s="210"/>
      <c r="BZ339" s="210"/>
      <c r="CA339" s="210"/>
      <c r="CB339" s="210"/>
      <c r="CC339" s="210"/>
      <c r="CD339" s="210"/>
      <c r="CE339" s="210"/>
      <c r="CF339" s="210"/>
      <c r="CG339" s="210"/>
      <c r="CH339" s="210"/>
      <c r="CI339" s="210"/>
      <c r="CJ339" s="210"/>
      <c r="CK339" s="210"/>
    </row>
    <row r="340">
      <c r="A340" s="222" t="s">
        <v>300</v>
      </c>
      <c r="B340" s="190" t="s">
        <v>301</v>
      </c>
      <c r="C340" s="223" t="s">
        <v>82</v>
      </c>
      <c r="D340" s="223" t="s">
        <v>875</v>
      </c>
      <c r="E340" s="190" t="s">
        <v>21</v>
      </c>
      <c r="F340" s="13" t="s">
        <v>927</v>
      </c>
      <c r="G340" s="13" t="s">
        <v>918</v>
      </c>
      <c r="H340" s="219">
        <f>IFERROR(
  MINIFS(ATTENDANCE_LOG!$F:$F,
         ATTENDANCE_LOG!$A:$A, C340,
         ATTENDANCE_LOG!$B:$B, E340),
"")</f>
        <v>45765.58333</v>
      </c>
      <c r="I340" s="219">
        <f t="shared" si="2"/>
        <v>45765.58333</v>
      </c>
      <c r="J340" s="190">
        <f>IFERROR(VLOOKUP(F340, LEVEL_HELPER!$A:$B, 2, 0), "")</f>
        <v>1</v>
      </c>
      <c r="K340" s="190">
        <f>IFERROR(VLOOKUP(G340, LEVEL_HELPER!$A:$B, 2, 0), "")</f>
        <v>3</v>
      </c>
      <c r="L340" s="220" t="s">
        <v>943</v>
      </c>
      <c r="M340" s="220" t="s">
        <v>924</v>
      </c>
      <c r="N340" s="190">
        <f t="array" ref="N340">IFERROR(
  INDEX($J$2:$J$543,
    MATCH(A340&amp;TEXT(I340,"yyyy-mm-dd"),
          $A$2:$A$543&amp;TEXT($H$2:$H$543,"yyyy-mm-dd"),
          0)),
"")</f>
        <v>1</v>
      </c>
      <c r="O340" s="210">
        <f t="shared" si="3"/>
        <v>5</v>
      </c>
      <c r="P340" s="210">
        <f t="shared" ref="P340:Q340" si="350">IF(N340="",0,IF(N340&lt;=2,1,IF(N340&lt;=4,2,IF(N340&lt;=5.5,3,4))))</f>
        <v>1</v>
      </c>
      <c r="Q340" s="210">
        <f t="shared" si="350"/>
        <v>3</v>
      </c>
      <c r="R340" s="210" t="str">
        <f t="shared" si="5"/>
        <v>Lv1 → Lv3 (multi)</v>
      </c>
      <c r="S340" s="210">
        <f t="shared" si="6"/>
        <v>1</v>
      </c>
      <c r="T340" s="210"/>
      <c r="U340" s="210"/>
      <c r="V340" s="210"/>
      <c r="W340" s="210"/>
      <c r="X340" s="210"/>
      <c r="Y340" s="210"/>
      <c r="Z340" s="210"/>
      <c r="AA340" s="210"/>
      <c r="AB340" s="210"/>
      <c r="AC340" s="210"/>
      <c r="AD340" s="210"/>
      <c r="AE340" s="210"/>
      <c r="AF340" s="210"/>
      <c r="AG340" s="210"/>
      <c r="AH340" s="210"/>
      <c r="AI340" s="210"/>
      <c r="AJ340" s="210"/>
      <c r="AK340" s="210"/>
      <c r="AL340" s="210"/>
      <c r="AM340" s="214"/>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c r="BU340" s="210"/>
      <c r="BV340" s="210"/>
      <c r="BW340" s="210"/>
      <c r="BX340" s="210"/>
      <c r="BY340" s="210"/>
      <c r="BZ340" s="210"/>
      <c r="CA340" s="210"/>
      <c r="CB340" s="210"/>
      <c r="CC340" s="210"/>
      <c r="CD340" s="210"/>
      <c r="CE340" s="210"/>
      <c r="CF340" s="210"/>
      <c r="CG340" s="210"/>
      <c r="CH340" s="210"/>
      <c r="CI340" s="210"/>
      <c r="CJ340" s="210"/>
      <c r="CK340" s="210"/>
    </row>
    <row r="341">
      <c r="A341" s="222" t="s">
        <v>350</v>
      </c>
      <c r="B341" s="190" t="s">
        <v>351</v>
      </c>
      <c r="C341" s="223" t="s">
        <v>82</v>
      </c>
      <c r="D341" s="223" t="s">
        <v>875</v>
      </c>
      <c r="E341" s="190" t="s">
        <v>21</v>
      </c>
      <c r="F341" s="13" t="s">
        <v>927</v>
      </c>
      <c r="G341" s="13" t="s">
        <v>927</v>
      </c>
      <c r="H341" s="219">
        <f>IFERROR(
  MINIFS(ATTENDANCE_LOG!$F:$F,
         ATTENDANCE_LOG!$A:$A, C341,
         ATTENDANCE_LOG!$B:$B, E341),
"")</f>
        <v>45765.58333</v>
      </c>
      <c r="I341" s="219">
        <f t="shared" si="2"/>
        <v>45765.58333</v>
      </c>
      <c r="J341" s="190">
        <f>IFERROR(VLOOKUP(F341, LEVEL_HELPER!$A:$B, 2, 0), "")</f>
        <v>1</v>
      </c>
      <c r="K341" s="190">
        <f>IFERROR(VLOOKUP(G341, LEVEL_HELPER!$A:$B, 2, 0), "")</f>
        <v>1</v>
      </c>
      <c r="L341" s="220" t="s">
        <v>943</v>
      </c>
      <c r="M341" s="220" t="s">
        <v>924</v>
      </c>
      <c r="N341" s="190">
        <f t="array" ref="N341">IFERROR(
  INDEX($J$2:$J$543,
    MATCH(A341&amp;TEXT(I341,"yyyy-mm-dd"),
          $A$2:$A$543&amp;TEXT($H$2:$H$543,"yyyy-mm-dd"),
          0)),
"")</f>
        <v>1</v>
      </c>
      <c r="O341" s="210">
        <f t="shared" si="3"/>
        <v>1</v>
      </c>
      <c r="P341" s="210">
        <f t="shared" ref="P341:Q341" si="351">IF(N341="",0,IF(N341&lt;=2,1,IF(N341&lt;=4,2,IF(N341&lt;=5.5,3,4))))</f>
        <v>1</v>
      </c>
      <c r="Q341" s="210">
        <f t="shared" si="351"/>
        <v>1</v>
      </c>
      <c r="R341" s="210" t="str">
        <f t="shared" si="5"/>
        <v>No Progress</v>
      </c>
      <c r="S341" s="210">
        <f t="shared" si="6"/>
        <v>1</v>
      </c>
      <c r="T341" s="210"/>
      <c r="U341" s="210"/>
      <c r="V341" s="210"/>
      <c r="W341" s="210"/>
      <c r="X341" s="210"/>
      <c r="Y341" s="210"/>
      <c r="Z341" s="210"/>
      <c r="AA341" s="210"/>
      <c r="AB341" s="210"/>
      <c r="AC341" s="210"/>
      <c r="AD341" s="210"/>
      <c r="AE341" s="210"/>
      <c r="AF341" s="210"/>
      <c r="AG341" s="210"/>
      <c r="AH341" s="210"/>
      <c r="AI341" s="210"/>
      <c r="AJ341" s="210"/>
      <c r="AK341" s="210"/>
      <c r="AL341" s="210"/>
      <c r="AM341" s="214"/>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c r="BU341" s="210"/>
      <c r="BV341" s="210"/>
      <c r="BW341" s="210"/>
      <c r="BX341" s="210"/>
      <c r="BY341" s="210"/>
      <c r="BZ341" s="210"/>
      <c r="CA341" s="210"/>
      <c r="CB341" s="210"/>
      <c r="CC341" s="210"/>
      <c r="CD341" s="210"/>
      <c r="CE341" s="210"/>
      <c r="CF341" s="210"/>
      <c r="CG341" s="210"/>
      <c r="CH341" s="210"/>
      <c r="CI341" s="210"/>
      <c r="CJ341" s="210"/>
      <c r="CK341" s="210"/>
    </row>
    <row r="342">
      <c r="A342" s="222" t="s">
        <v>526</v>
      </c>
      <c r="B342" s="217" t="s">
        <v>527</v>
      </c>
      <c r="C342" s="218" t="s">
        <v>82</v>
      </c>
      <c r="D342" s="218" t="s">
        <v>875</v>
      </c>
      <c r="E342" s="217" t="s">
        <v>22</v>
      </c>
      <c r="F342" s="13" t="s">
        <v>927</v>
      </c>
      <c r="G342" s="13" t="s">
        <v>918</v>
      </c>
      <c r="H342" s="219">
        <f>IFERROR(
  MINIFS(ATTENDANCE_LOG!$F:$F,
         ATTENDANCE_LOG!$A:$A, C342,
         ATTENDANCE_LOG!$B:$B, E342),
"")</f>
        <v>45881.54167</v>
      </c>
      <c r="I342" s="219">
        <f t="shared" si="2"/>
        <v>45765.58333</v>
      </c>
      <c r="J342" s="190">
        <f>IFERROR(VLOOKUP(F342, LEVEL_HELPER!$A:$B, 2, 0), "")</f>
        <v>1</v>
      </c>
      <c r="K342" s="190">
        <f>IFERROR(VLOOKUP(G342, LEVEL_HELPER!$A:$B, 2, 0), "")</f>
        <v>3</v>
      </c>
      <c r="L342" s="220" t="s">
        <v>943</v>
      </c>
      <c r="M342" s="220" t="s">
        <v>924</v>
      </c>
      <c r="N342" s="190">
        <f t="array" ref="N342">IFERROR(
  INDEX($J$2:$J$543,
    MATCH(A342&amp;TEXT(I342,"yyyy-mm-dd"),
          $A$2:$A$543&amp;TEXT($H$2:$H$543,"yyyy-mm-dd"),
          0)),
"")</f>
        <v>1</v>
      </c>
      <c r="O342" s="210">
        <f t="shared" si="3"/>
        <v>3</v>
      </c>
      <c r="P342" s="210">
        <f t="shared" ref="P342:Q342" si="352">IF(N342="",0,IF(N342&lt;=2,1,IF(N342&lt;=4,2,IF(N342&lt;=5.5,3,4))))</f>
        <v>1</v>
      </c>
      <c r="Q342" s="210">
        <f t="shared" si="352"/>
        <v>2</v>
      </c>
      <c r="R342" s="210" t="str">
        <f t="shared" si="5"/>
        <v>Lv1 → Lv2</v>
      </c>
      <c r="S342" s="210">
        <f t="shared" si="6"/>
        <v>0</v>
      </c>
      <c r="T342" s="210"/>
      <c r="U342" s="210"/>
      <c r="V342" s="210"/>
      <c r="W342" s="210"/>
      <c r="X342" s="210"/>
      <c r="Y342" s="210"/>
      <c r="Z342" s="210"/>
      <c r="AA342" s="210"/>
      <c r="AB342" s="210"/>
      <c r="AC342" s="210"/>
      <c r="AD342" s="210"/>
      <c r="AE342" s="210"/>
      <c r="AF342" s="210"/>
      <c r="AG342" s="210"/>
      <c r="AH342" s="210"/>
      <c r="AI342" s="210"/>
      <c r="AJ342" s="210"/>
      <c r="AK342" s="210"/>
      <c r="AL342" s="210"/>
      <c r="AM342" s="214"/>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c r="BU342" s="210"/>
      <c r="BV342" s="210"/>
      <c r="BW342" s="210"/>
      <c r="BX342" s="210"/>
      <c r="BY342" s="210"/>
      <c r="BZ342" s="210"/>
      <c r="CA342" s="210"/>
      <c r="CB342" s="210"/>
      <c r="CC342" s="210"/>
      <c r="CD342" s="210"/>
      <c r="CE342" s="210"/>
      <c r="CF342" s="210"/>
      <c r="CG342" s="210"/>
      <c r="CH342" s="210"/>
      <c r="CI342" s="210"/>
      <c r="CJ342" s="210"/>
      <c r="CK342" s="210"/>
    </row>
    <row r="343">
      <c r="A343" s="222" t="s">
        <v>271</v>
      </c>
      <c r="B343" s="190" t="s">
        <v>272</v>
      </c>
      <c r="C343" s="223" t="s">
        <v>82</v>
      </c>
      <c r="D343" s="223" t="s">
        <v>875</v>
      </c>
      <c r="E343" s="190" t="s">
        <v>22</v>
      </c>
      <c r="F343" s="13" t="s">
        <v>927</v>
      </c>
      <c r="G343" s="190"/>
      <c r="H343" s="219">
        <f>IFERROR(
  MINIFS(ATTENDANCE_LOG!$F:$F,
         ATTENDANCE_LOG!$A:$A, C343,
         ATTENDANCE_LOG!$B:$B, E343),
"")</f>
        <v>45881.54167</v>
      </c>
      <c r="I343" s="219">
        <f t="shared" si="2"/>
        <v>45765.58333</v>
      </c>
      <c r="J343" s="190">
        <f>IFERROR(VLOOKUP(F343, LEVEL_HELPER!$A:$B, 2, 0), "")</f>
        <v>1</v>
      </c>
      <c r="K343" s="190" t="str">
        <f>IFERROR(VLOOKUP(G343, LEVEL_HELPER!$A:$B, 2, 0), "")</f>
        <v/>
      </c>
      <c r="L343" s="220" t="s">
        <v>943</v>
      </c>
      <c r="M343" s="220" t="s">
        <v>926</v>
      </c>
      <c r="N343" s="190">
        <f t="array" ref="N343">IFERROR(
  INDEX($J$2:$J$543,
    MATCH(A343&amp;TEXT(I343,"yyyy-mm-dd"),
          $A$2:$A$543&amp;TEXT($H$2:$H$543,"yyyy-mm-dd"),
          0)),
"")</f>
        <v>1</v>
      </c>
      <c r="O343" s="210">
        <f t="shared" si="3"/>
        <v>1</v>
      </c>
      <c r="P343" s="210">
        <f t="shared" ref="P343:Q343" si="353">IF(N343="",0,IF(N343&lt;=2,1,IF(N343&lt;=4,2,IF(N343&lt;=5.5,3,4))))</f>
        <v>1</v>
      </c>
      <c r="Q343" s="210">
        <f t="shared" si="353"/>
        <v>1</v>
      </c>
      <c r="R343" s="210" t="str">
        <f t="shared" si="5"/>
        <v>No Progress</v>
      </c>
      <c r="S343" s="210">
        <f t="shared" si="6"/>
        <v>0</v>
      </c>
      <c r="T343" s="210"/>
      <c r="U343" s="210"/>
      <c r="V343" s="210"/>
      <c r="W343" s="210"/>
      <c r="X343" s="210"/>
      <c r="Y343" s="210"/>
      <c r="Z343" s="210"/>
      <c r="AA343" s="210"/>
      <c r="AB343" s="210"/>
      <c r="AC343" s="210"/>
      <c r="AD343" s="210"/>
      <c r="AE343" s="210"/>
      <c r="AF343" s="210"/>
      <c r="AG343" s="210"/>
      <c r="AH343" s="210"/>
      <c r="AI343" s="210"/>
      <c r="AJ343" s="210"/>
      <c r="AK343" s="210"/>
      <c r="AL343" s="210"/>
      <c r="AM343" s="214"/>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c r="BU343" s="210"/>
      <c r="BV343" s="210"/>
      <c r="BW343" s="210"/>
      <c r="BX343" s="210"/>
      <c r="BY343" s="210"/>
      <c r="BZ343" s="210"/>
      <c r="CA343" s="210"/>
      <c r="CB343" s="210"/>
      <c r="CC343" s="210"/>
      <c r="CD343" s="210"/>
      <c r="CE343" s="210"/>
      <c r="CF343" s="210"/>
      <c r="CG343" s="210"/>
      <c r="CH343" s="210"/>
      <c r="CI343" s="210"/>
      <c r="CJ343" s="210"/>
      <c r="CK343" s="210"/>
    </row>
    <row r="344">
      <c r="A344" s="222" t="s">
        <v>279</v>
      </c>
      <c r="B344" s="190" t="s">
        <v>280</v>
      </c>
      <c r="C344" s="223" t="s">
        <v>82</v>
      </c>
      <c r="D344" s="223" t="s">
        <v>875</v>
      </c>
      <c r="E344" s="190" t="s">
        <v>22</v>
      </c>
      <c r="F344" s="13" t="s">
        <v>918</v>
      </c>
      <c r="G344" s="190"/>
      <c r="H344" s="219">
        <f>IFERROR(
  MINIFS(ATTENDANCE_LOG!$F:$F,
         ATTENDANCE_LOG!$A:$A, C344,
         ATTENDANCE_LOG!$B:$B, E344),
"")</f>
        <v>45881.54167</v>
      </c>
      <c r="I344" s="219">
        <f t="shared" si="2"/>
        <v>45765.58333</v>
      </c>
      <c r="J344" s="190">
        <f>IFERROR(VLOOKUP(F344, LEVEL_HELPER!$A:$B, 2, 0), "")</f>
        <v>3</v>
      </c>
      <c r="K344" s="190" t="str">
        <f>IFERROR(VLOOKUP(G344, LEVEL_HELPER!$A:$B, 2, 0), "")</f>
        <v/>
      </c>
      <c r="L344" s="220" t="s">
        <v>943</v>
      </c>
      <c r="M344" s="220" t="s">
        <v>924</v>
      </c>
      <c r="N344" s="190">
        <f t="array" ref="N344">IFERROR(
  INDEX($J$2:$J$543,
    MATCH(A344&amp;TEXT(I344,"yyyy-mm-dd"),
          $A$2:$A$543&amp;TEXT($H$2:$H$543,"yyyy-mm-dd"),
          0)),
"")</f>
        <v>1</v>
      </c>
      <c r="O344" s="210">
        <f t="shared" si="3"/>
        <v>3</v>
      </c>
      <c r="P344" s="210">
        <f t="shared" ref="P344:Q344" si="354">IF(N344="",0,IF(N344&lt;=2,1,IF(N344&lt;=4,2,IF(N344&lt;=5.5,3,4))))</f>
        <v>1</v>
      </c>
      <c r="Q344" s="210">
        <f t="shared" si="354"/>
        <v>2</v>
      </c>
      <c r="R344" s="210" t="str">
        <f t="shared" si="5"/>
        <v>Lv1 → Lv2</v>
      </c>
      <c r="S344" s="210">
        <f t="shared" si="6"/>
        <v>0</v>
      </c>
      <c r="T344" s="210"/>
      <c r="U344" s="210"/>
      <c r="V344" s="210"/>
      <c r="W344" s="210"/>
      <c r="X344" s="210"/>
      <c r="Y344" s="210"/>
      <c r="Z344" s="210"/>
      <c r="AA344" s="210"/>
      <c r="AB344" s="210"/>
      <c r="AC344" s="210"/>
      <c r="AD344" s="210"/>
      <c r="AE344" s="210"/>
      <c r="AF344" s="210"/>
      <c r="AG344" s="210"/>
      <c r="AH344" s="210"/>
      <c r="AI344" s="210"/>
      <c r="AJ344" s="210"/>
      <c r="AK344" s="210"/>
      <c r="AL344" s="210"/>
      <c r="AM344" s="214"/>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c r="BU344" s="210"/>
      <c r="BV344" s="210"/>
      <c r="BW344" s="210"/>
      <c r="BX344" s="210"/>
      <c r="BY344" s="210"/>
      <c r="BZ344" s="210"/>
      <c r="CA344" s="210"/>
      <c r="CB344" s="210"/>
      <c r="CC344" s="210"/>
      <c r="CD344" s="210"/>
      <c r="CE344" s="210"/>
      <c r="CF344" s="210"/>
      <c r="CG344" s="210"/>
      <c r="CH344" s="210"/>
      <c r="CI344" s="210"/>
      <c r="CJ344" s="210"/>
      <c r="CK344" s="210"/>
    </row>
    <row r="345">
      <c r="A345" s="222" t="s">
        <v>300</v>
      </c>
      <c r="B345" s="190" t="s">
        <v>301</v>
      </c>
      <c r="C345" s="223" t="s">
        <v>82</v>
      </c>
      <c r="D345" s="223" t="s">
        <v>875</v>
      </c>
      <c r="E345" s="190" t="s">
        <v>22</v>
      </c>
      <c r="F345" s="13" t="s">
        <v>918</v>
      </c>
      <c r="G345" s="13" t="s">
        <v>941</v>
      </c>
      <c r="H345" s="219">
        <f>IFERROR(
  MINIFS(ATTENDANCE_LOG!$F:$F,
         ATTENDANCE_LOG!$A:$A, C345,
         ATTENDANCE_LOG!$B:$B, E345),
"")</f>
        <v>45881.54167</v>
      </c>
      <c r="I345" s="219">
        <f t="shared" si="2"/>
        <v>45765.58333</v>
      </c>
      <c r="J345" s="190">
        <f>IFERROR(VLOOKUP(F345, LEVEL_HELPER!$A:$B, 2, 0), "")</f>
        <v>3</v>
      </c>
      <c r="K345" s="190">
        <f>IFERROR(VLOOKUP(G345, LEVEL_HELPER!$A:$B, 2, 0), "")</f>
        <v>5</v>
      </c>
      <c r="L345" s="220" t="s">
        <v>943</v>
      </c>
      <c r="M345" s="220" t="s">
        <v>924</v>
      </c>
      <c r="N345" s="190">
        <f t="array" ref="N345">IFERROR(
  INDEX($J$2:$J$543,
    MATCH(A345&amp;TEXT(I345,"yyyy-mm-dd"),
          $A$2:$A$543&amp;TEXT($H$2:$H$543,"yyyy-mm-dd"),
          0)),
"")</f>
        <v>1</v>
      </c>
      <c r="O345" s="210">
        <f t="shared" si="3"/>
        <v>5</v>
      </c>
      <c r="P345" s="210">
        <f t="shared" ref="P345:Q345" si="355">IF(N345="",0,IF(N345&lt;=2,1,IF(N345&lt;=4,2,IF(N345&lt;=5.5,3,4))))</f>
        <v>1</v>
      </c>
      <c r="Q345" s="210">
        <f t="shared" si="355"/>
        <v>3</v>
      </c>
      <c r="R345" s="210" t="str">
        <f t="shared" si="5"/>
        <v>Lv1 → Lv3 (multi)</v>
      </c>
      <c r="S345" s="210">
        <f t="shared" si="6"/>
        <v>0</v>
      </c>
      <c r="T345" s="210"/>
      <c r="U345" s="210"/>
      <c r="V345" s="210"/>
      <c r="W345" s="210"/>
      <c r="X345" s="210"/>
      <c r="Y345" s="210"/>
      <c r="Z345" s="210"/>
      <c r="AA345" s="210"/>
      <c r="AB345" s="210"/>
      <c r="AC345" s="210"/>
      <c r="AD345" s="210"/>
      <c r="AE345" s="210"/>
      <c r="AF345" s="210"/>
      <c r="AG345" s="210"/>
      <c r="AH345" s="210"/>
      <c r="AI345" s="210"/>
      <c r="AJ345" s="210"/>
      <c r="AK345" s="210"/>
      <c r="AL345" s="210"/>
      <c r="AM345" s="214"/>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c r="BU345" s="210"/>
      <c r="BV345" s="210"/>
      <c r="BW345" s="210"/>
      <c r="BX345" s="210"/>
      <c r="BY345" s="210"/>
      <c r="BZ345" s="210"/>
      <c r="CA345" s="210"/>
      <c r="CB345" s="210"/>
      <c r="CC345" s="210"/>
      <c r="CD345" s="210"/>
      <c r="CE345" s="210"/>
      <c r="CF345" s="210"/>
      <c r="CG345" s="210"/>
      <c r="CH345" s="210"/>
      <c r="CI345" s="210"/>
      <c r="CJ345" s="210"/>
      <c r="CK345" s="210"/>
    </row>
    <row r="346">
      <c r="A346" s="222" t="s">
        <v>309</v>
      </c>
      <c r="B346" s="190" t="s">
        <v>310</v>
      </c>
      <c r="C346" s="223" t="s">
        <v>82</v>
      </c>
      <c r="D346" s="223" t="s">
        <v>875</v>
      </c>
      <c r="E346" s="190" t="s">
        <v>22</v>
      </c>
      <c r="F346" s="13" t="s">
        <v>929</v>
      </c>
      <c r="G346" s="13" t="s">
        <v>941</v>
      </c>
      <c r="H346" s="219">
        <f>IFERROR(
  MINIFS(ATTENDANCE_LOG!$F:$F,
         ATTENDANCE_LOG!$A:$A, C346,
         ATTENDANCE_LOG!$B:$B, E346),
"")</f>
        <v>45881.54167</v>
      </c>
      <c r="I346" s="219">
        <f t="shared" si="2"/>
        <v>45765.375</v>
      </c>
      <c r="J346" s="190">
        <f>IFERROR(VLOOKUP(F346, LEVEL_HELPER!$A:$B, 2, 0), "")</f>
        <v>1.5</v>
      </c>
      <c r="K346" s="190">
        <f>IFERROR(VLOOKUP(G346, LEVEL_HELPER!$A:$B, 2, 0), "")</f>
        <v>5</v>
      </c>
      <c r="L346" s="220" t="s">
        <v>943</v>
      </c>
      <c r="M346" s="220" t="s">
        <v>924</v>
      </c>
      <c r="N346" s="190">
        <f t="array" ref="N346">IFERROR(
  INDEX($J$2:$J$543,
    MATCH(A346&amp;TEXT(I346,"yyyy-mm-dd"),
          $A$2:$A$543&amp;TEXT($H$2:$H$543,"yyyy-mm-dd"),
          0)),
"")</f>
        <v>1</v>
      </c>
      <c r="O346" s="210">
        <f t="shared" si="3"/>
        <v>5</v>
      </c>
      <c r="P346" s="210">
        <f t="shared" ref="P346:Q346" si="356">IF(N346="",0,IF(N346&lt;=2,1,IF(N346&lt;=4,2,IF(N346&lt;=5.5,3,4))))</f>
        <v>1</v>
      </c>
      <c r="Q346" s="210">
        <f t="shared" si="356"/>
        <v>3</v>
      </c>
      <c r="R346" s="210" t="str">
        <f t="shared" si="5"/>
        <v>Lv1 → Lv3 (multi)</v>
      </c>
      <c r="S346" s="210">
        <f t="shared" si="6"/>
        <v>0</v>
      </c>
      <c r="T346" s="210"/>
      <c r="U346" s="210"/>
      <c r="V346" s="210"/>
      <c r="W346" s="210"/>
      <c r="X346" s="210"/>
      <c r="Y346" s="210"/>
      <c r="Z346" s="210"/>
      <c r="AA346" s="210"/>
      <c r="AB346" s="210"/>
      <c r="AC346" s="210"/>
      <c r="AD346" s="210"/>
      <c r="AE346" s="210"/>
      <c r="AF346" s="210"/>
      <c r="AG346" s="210"/>
      <c r="AH346" s="210"/>
      <c r="AI346" s="210"/>
      <c r="AJ346" s="210"/>
      <c r="AK346" s="210"/>
      <c r="AL346" s="210"/>
      <c r="AM346" s="214"/>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c r="BU346" s="210"/>
      <c r="BV346" s="210"/>
      <c r="BW346" s="210"/>
      <c r="BX346" s="210"/>
      <c r="BY346" s="210"/>
      <c r="BZ346" s="210"/>
      <c r="CA346" s="210"/>
      <c r="CB346" s="210"/>
      <c r="CC346" s="210"/>
      <c r="CD346" s="210"/>
      <c r="CE346" s="210"/>
      <c r="CF346" s="210"/>
      <c r="CG346" s="210"/>
      <c r="CH346" s="210"/>
      <c r="CI346" s="210"/>
      <c r="CJ346" s="210"/>
      <c r="CK346" s="210"/>
    </row>
    <row r="347">
      <c r="A347" s="222" t="s">
        <v>332</v>
      </c>
      <c r="B347" s="190" t="s">
        <v>333</v>
      </c>
      <c r="C347" s="223" t="s">
        <v>82</v>
      </c>
      <c r="D347" s="223" t="s">
        <v>875</v>
      </c>
      <c r="E347" s="190" t="s">
        <v>22</v>
      </c>
      <c r="F347" s="13" t="s">
        <v>918</v>
      </c>
      <c r="G347" s="13" t="s">
        <v>941</v>
      </c>
      <c r="H347" s="219">
        <f>IFERROR(
  MINIFS(ATTENDANCE_LOG!$F:$F,
         ATTENDANCE_LOG!$A:$A, C347,
         ATTENDANCE_LOG!$B:$B, E347),
"")</f>
        <v>45881.54167</v>
      </c>
      <c r="I347" s="219">
        <f t="shared" si="2"/>
        <v>45765.375</v>
      </c>
      <c r="J347" s="190">
        <f>IFERROR(VLOOKUP(F347, LEVEL_HELPER!$A:$B, 2, 0), "")</f>
        <v>3</v>
      </c>
      <c r="K347" s="190">
        <f>IFERROR(VLOOKUP(G347, LEVEL_HELPER!$A:$B, 2, 0), "")</f>
        <v>5</v>
      </c>
      <c r="L347" s="220" t="s">
        <v>943</v>
      </c>
      <c r="M347" s="220" t="s">
        <v>924</v>
      </c>
      <c r="N347" s="190">
        <f t="array" ref="N347">IFERROR(
  INDEX($J$2:$J$543,
    MATCH(A347&amp;TEXT(I347,"yyyy-mm-dd"),
          $A$2:$A$543&amp;TEXT($H$2:$H$543,"yyyy-mm-dd"),
          0)),
"")</f>
        <v>1</v>
      </c>
      <c r="O347" s="210">
        <f t="shared" si="3"/>
        <v>5</v>
      </c>
      <c r="P347" s="210">
        <f t="shared" ref="P347:Q347" si="357">IF(N347="",0,IF(N347&lt;=2,1,IF(N347&lt;=4,2,IF(N347&lt;=5.5,3,4))))</f>
        <v>1</v>
      </c>
      <c r="Q347" s="210">
        <f t="shared" si="357"/>
        <v>3</v>
      </c>
      <c r="R347" s="210" t="str">
        <f t="shared" si="5"/>
        <v>Lv1 → Lv3 (multi)</v>
      </c>
      <c r="S347" s="210">
        <f t="shared" si="6"/>
        <v>0</v>
      </c>
      <c r="T347" s="210"/>
      <c r="U347" s="210"/>
      <c r="V347" s="210"/>
      <c r="W347" s="210"/>
      <c r="X347" s="210"/>
      <c r="Y347" s="210"/>
      <c r="Z347" s="210"/>
      <c r="AA347" s="210"/>
      <c r="AB347" s="210"/>
      <c r="AC347" s="210"/>
      <c r="AD347" s="210"/>
      <c r="AE347" s="210"/>
      <c r="AF347" s="210"/>
      <c r="AG347" s="210"/>
      <c r="AH347" s="210"/>
      <c r="AI347" s="210"/>
      <c r="AJ347" s="210"/>
      <c r="AK347" s="210"/>
      <c r="AL347" s="210"/>
      <c r="AM347" s="214"/>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c r="BU347" s="210"/>
      <c r="BV347" s="210"/>
      <c r="BW347" s="210"/>
      <c r="BX347" s="210"/>
      <c r="BY347" s="210"/>
      <c r="BZ347" s="210"/>
      <c r="CA347" s="210"/>
      <c r="CB347" s="210"/>
      <c r="CC347" s="210"/>
      <c r="CD347" s="210"/>
      <c r="CE347" s="210"/>
      <c r="CF347" s="210"/>
      <c r="CG347" s="210"/>
      <c r="CH347" s="210"/>
      <c r="CI347" s="210"/>
      <c r="CJ347" s="210"/>
      <c r="CK347" s="210"/>
    </row>
    <row r="348">
      <c r="A348" s="222" t="s">
        <v>562</v>
      </c>
      <c r="B348" s="190" t="s">
        <v>563</v>
      </c>
      <c r="C348" s="223" t="s">
        <v>82</v>
      </c>
      <c r="D348" s="223" t="s">
        <v>875</v>
      </c>
      <c r="E348" s="190" t="s">
        <v>22</v>
      </c>
      <c r="F348" s="13" t="s">
        <v>918</v>
      </c>
      <c r="G348" s="13" t="s">
        <v>935</v>
      </c>
      <c r="H348" s="219">
        <f>IFERROR(
  MINIFS(ATTENDANCE_LOG!$F:$F,
         ATTENDANCE_LOG!$A:$A, C348,
         ATTENDANCE_LOG!$B:$B, E348),
"")</f>
        <v>45881.54167</v>
      </c>
      <c r="I348" s="219">
        <f t="shared" si="2"/>
        <v>45765.375</v>
      </c>
      <c r="J348" s="190">
        <f>IFERROR(VLOOKUP(F348, LEVEL_HELPER!$A:$B, 2, 0), "")</f>
        <v>3</v>
      </c>
      <c r="K348" s="190">
        <f>IFERROR(VLOOKUP(G348, LEVEL_HELPER!$A:$B, 2, 0), "")</f>
        <v>3.5</v>
      </c>
      <c r="L348" s="220" t="s">
        <v>943</v>
      </c>
      <c r="M348" s="220" t="s">
        <v>924</v>
      </c>
      <c r="N348" s="190">
        <f t="array" ref="N348">IFERROR(
  INDEX($J$2:$J$543,
    MATCH(A348&amp;TEXT(I348,"yyyy-mm-dd"),
          $A$2:$A$543&amp;TEXT($H$2:$H$543,"yyyy-mm-dd"),
          0)),
"")</f>
        <v>1</v>
      </c>
      <c r="O348" s="210">
        <f t="shared" si="3"/>
        <v>3.5</v>
      </c>
      <c r="P348" s="210">
        <f t="shared" ref="P348:Q348" si="358">IF(N348="",0,IF(N348&lt;=2,1,IF(N348&lt;=4,2,IF(N348&lt;=5.5,3,4))))</f>
        <v>1</v>
      </c>
      <c r="Q348" s="210">
        <f t="shared" si="358"/>
        <v>2</v>
      </c>
      <c r="R348" s="210" t="str">
        <f t="shared" si="5"/>
        <v>Lv1 → Lv2</v>
      </c>
      <c r="S348" s="210">
        <f t="shared" si="6"/>
        <v>0</v>
      </c>
      <c r="T348" s="210"/>
      <c r="U348" s="210"/>
      <c r="V348" s="210"/>
      <c r="W348" s="210"/>
      <c r="X348" s="210"/>
      <c r="Y348" s="210"/>
      <c r="Z348" s="210"/>
      <c r="AA348" s="210"/>
      <c r="AB348" s="210"/>
      <c r="AC348" s="210"/>
      <c r="AD348" s="210"/>
      <c r="AE348" s="210"/>
      <c r="AF348" s="210"/>
      <c r="AG348" s="210"/>
      <c r="AH348" s="210"/>
      <c r="AI348" s="210"/>
      <c r="AJ348" s="210"/>
      <c r="AK348" s="210"/>
      <c r="AL348" s="210"/>
      <c r="AM348" s="214"/>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c r="BU348" s="210"/>
      <c r="BV348" s="210"/>
      <c r="BW348" s="210"/>
      <c r="BX348" s="210"/>
      <c r="BY348" s="210"/>
      <c r="BZ348" s="210"/>
      <c r="CA348" s="210"/>
      <c r="CB348" s="210"/>
      <c r="CC348" s="210"/>
      <c r="CD348" s="210"/>
      <c r="CE348" s="210"/>
      <c r="CF348" s="210"/>
      <c r="CG348" s="210"/>
      <c r="CH348" s="210"/>
      <c r="CI348" s="210"/>
      <c r="CJ348" s="210"/>
      <c r="CK348" s="210"/>
    </row>
    <row r="349">
      <c r="A349" s="222" t="s">
        <v>693</v>
      </c>
      <c r="B349" s="190" t="s">
        <v>694</v>
      </c>
      <c r="C349" s="223" t="s">
        <v>82</v>
      </c>
      <c r="D349" s="223" t="s">
        <v>875</v>
      </c>
      <c r="E349" s="190" t="s">
        <v>22</v>
      </c>
      <c r="F349" s="13" t="s">
        <v>918</v>
      </c>
      <c r="G349" s="13" t="s">
        <v>935</v>
      </c>
      <c r="H349" s="219">
        <f>IFERROR(
  MINIFS(ATTENDANCE_LOG!$F:$F,
         ATTENDANCE_LOG!$A:$A, C349,
         ATTENDANCE_LOG!$B:$B, E349),
"")</f>
        <v>45881.54167</v>
      </c>
      <c r="I349" s="219">
        <f t="shared" si="2"/>
        <v>45765.375</v>
      </c>
      <c r="J349" s="190">
        <f>IFERROR(VLOOKUP(F349, LEVEL_HELPER!$A:$B, 2, 0), "")</f>
        <v>3</v>
      </c>
      <c r="K349" s="190">
        <f>IFERROR(VLOOKUP(G349, LEVEL_HELPER!$A:$B, 2, 0), "")</f>
        <v>3.5</v>
      </c>
      <c r="L349" s="220" t="s">
        <v>943</v>
      </c>
      <c r="M349" s="220" t="s">
        <v>924</v>
      </c>
      <c r="N349" s="190">
        <f t="array" ref="N349">IFERROR(
  INDEX($J$2:$J$543,
    MATCH(A349&amp;TEXT(I349,"yyyy-mm-dd"),
          $A$2:$A$543&amp;TEXT($H$2:$H$543,"yyyy-mm-dd"),
          0)),
"")</f>
        <v>1</v>
      </c>
      <c r="O349" s="210">
        <f t="shared" si="3"/>
        <v>3.5</v>
      </c>
      <c r="P349" s="210">
        <f t="shared" ref="P349:Q349" si="359">IF(N349="",0,IF(N349&lt;=2,1,IF(N349&lt;=4,2,IF(N349&lt;=5.5,3,4))))</f>
        <v>1</v>
      </c>
      <c r="Q349" s="210">
        <f t="shared" si="359"/>
        <v>2</v>
      </c>
      <c r="R349" s="210" t="str">
        <f t="shared" si="5"/>
        <v>Lv1 → Lv2</v>
      </c>
      <c r="S349" s="210">
        <f t="shared" si="6"/>
        <v>0</v>
      </c>
      <c r="T349" s="210"/>
      <c r="U349" s="210"/>
      <c r="V349" s="210"/>
      <c r="W349" s="210"/>
      <c r="X349" s="210"/>
      <c r="Y349" s="210"/>
      <c r="Z349" s="210"/>
      <c r="AA349" s="210"/>
      <c r="AB349" s="210"/>
      <c r="AC349" s="210"/>
      <c r="AD349" s="210"/>
      <c r="AE349" s="210"/>
      <c r="AF349" s="210"/>
      <c r="AG349" s="210"/>
      <c r="AH349" s="210"/>
      <c r="AI349" s="210"/>
      <c r="AJ349" s="210"/>
      <c r="AK349" s="210"/>
      <c r="AL349" s="210"/>
      <c r="AM349" s="214"/>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c r="BU349" s="210"/>
      <c r="BV349" s="210"/>
      <c r="BW349" s="210"/>
      <c r="BX349" s="210"/>
      <c r="BY349" s="210"/>
      <c r="BZ349" s="210"/>
      <c r="CA349" s="210"/>
      <c r="CB349" s="210"/>
      <c r="CC349" s="210"/>
      <c r="CD349" s="210"/>
      <c r="CE349" s="210"/>
      <c r="CF349" s="210"/>
      <c r="CG349" s="210"/>
      <c r="CH349" s="210"/>
      <c r="CI349" s="210"/>
      <c r="CJ349" s="210"/>
      <c r="CK349" s="210"/>
    </row>
    <row r="350">
      <c r="A350" s="222" t="s">
        <v>208</v>
      </c>
      <c r="B350" s="217" t="s">
        <v>209</v>
      </c>
      <c r="C350" s="218" t="s">
        <v>83</v>
      </c>
      <c r="D350" s="218" t="s">
        <v>876</v>
      </c>
      <c r="E350" s="217" t="s">
        <v>21</v>
      </c>
      <c r="F350" s="13" t="s">
        <v>927</v>
      </c>
      <c r="G350" s="13" t="s">
        <v>935</v>
      </c>
      <c r="H350" s="219">
        <f>IFERROR(
  MINIFS(ATTENDANCE_LOG!$F:$F,
         ATTENDANCE_LOG!$A:$A, C350,
         ATTENDANCE_LOG!$B:$B, E350),
"")</f>
        <v>45764.41667</v>
      </c>
      <c r="I350" s="219">
        <f t="shared" si="2"/>
        <v>45764.41667</v>
      </c>
      <c r="J350" s="190">
        <f>IFERROR(VLOOKUP(F350, LEVEL_HELPER!$A:$B, 2, 0), "")</f>
        <v>1</v>
      </c>
      <c r="K350" s="190">
        <f>IFERROR(VLOOKUP(G350, LEVEL_HELPER!$A:$B, 2, 0), "")</f>
        <v>3.5</v>
      </c>
      <c r="L350" s="220" t="s">
        <v>943</v>
      </c>
      <c r="M350" s="220" t="s">
        <v>924</v>
      </c>
      <c r="N350" s="190">
        <f t="array" ref="N350">IFERROR(
  INDEX($J$2:$J$543,
    MATCH(A350&amp;TEXT(I350,"yyyy-mm-dd"),
          $A$2:$A$543&amp;TEXT($H$2:$H$543,"yyyy-mm-dd"),
          0)),
"")</f>
        <v>1</v>
      </c>
      <c r="O350" s="210">
        <f t="shared" si="3"/>
        <v>5</v>
      </c>
      <c r="P350" s="210">
        <f t="shared" ref="P350:Q350" si="360">IF(N350="",0,IF(N350&lt;=2,1,IF(N350&lt;=4,2,IF(N350&lt;=5.5,3,4))))</f>
        <v>1</v>
      </c>
      <c r="Q350" s="210">
        <f t="shared" si="360"/>
        <v>3</v>
      </c>
      <c r="R350" s="210" t="str">
        <f t="shared" si="5"/>
        <v>Lv1 → Lv3 (multi)</v>
      </c>
      <c r="S350" s="210">
        <f t="shared" si="6"/>
        <v>1</v>
      </c>
      <c r="T350" s="210"/>
      <c r="U350" s="210"/>
      <c r="V350" s="210"/>
      <c r="W350" s="210"/>
      <c r="X350" s="210"/>
      <c r="Y350" s="210"/>
      <c r="Z350" s="210"/>
      <c r="AA350" s="210"/>
      <c r="AB350" s="210"/>
      <c r="AC350" s="210"/>
      <c r="AD350" s="210"/>
      <c r="AE350" s="210"/>
      <c r="AF350" s="210"/>
      <c r="AG350" s="210"/>
      <c r="AH350" s="210"/>
      <c r="AI350" s="210"/>
      <c r="AJ350" s="210"/>
      <c r="AK350" s="210"/>
      <c r="AL350" s="210"/>
      <c r="AM350" s="214"/>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c r="BU350" s="210"/>
      <c r="BV350" s="210"/>
      <c r="BW350" s="210"/>
      <c r="BX350" s="210"/>
      <c r="BY350" s="210"/>
      <c r="BZ350" s="210"/>
      <c r="CA350" s="210"/>
      <c r="CB350" s="210"/>
      <c r="CC350" s="210"/>
      <c r="CD350" s="210"/>
      <c r="CE350" s="210"/>
      <c r="CF350" s="210"/>
      <c r="CG350" s="210"/>
      <c r="CH350" s="210"/>
      <c r="CI350" s="210"/>
      <c r="CJ350" s="210"/>
      <c r="CK350" s="210"/>
    </row>
    <row r="351">
      <c r="A351" s="222" t="s">
        <v>243</v>
      </c>
      <c r="B351" s="190" t="s">
        <v>244</v>
      </c>
      <c r="C351" s="223" t="s">
        <v>83</v>
      </c>
      <c r="D351" s="223" t="s">
        <v>876</v>
      </c>
      <c r="E351" s="190" t="s">
        <v>21</v>
      </c>
      <c r="F351" s="13" t="s">
        <v>927</v>
      </c>
      <c r="G351" s="13" t="s">
        <v>918</v>
      </c>
      <c r="H351" s="219">
        <f>IFERROR(
  MINIFS(ATTENDANCE_LOG!$F:$F,
         ATTENDANCE_LOG!$A:$A, C351,
         ATTENDANCE_LOG!$B:$B, E351),
"")</f>
        <v>45764.41667</v>
      </c>
      <c r="I351" s="219">
        <f t="shared" si="2"/>
        <v>45764.41667</v>
      </c>
      <c r="J351" s="190">
        <f>IFERROR(VLOOKUP(F351, LEVEL_HELPER!$A:$B, 2, 0), "")</f>
        <v>1</v>
      </c>
      <c r="K351" s="190">
        <f>IFERROR(VLOOKUP(G351, LEVEL_HELPER!$A:$B, 2, 0), "")</f>
        <v>3</v>
      </c>
      <c r="L351" s="220" t="s">
        <v>943</v>
      </c>
      <c r="M351" s="220" t="s">
        <v>924</v>
      </c>
      <c r="N351" s="190">
        <f t="array" ref="N351">IFERROR(
  INDEX($J$2:$J$543,
    MATCH(A351&amp;TEXT(I351,"yyyy-mm-dd"),
          $A$2:$A$543&amp;TEXT($H$2:$H$543,"yyyy-mm-dd"),
          0)),
"")</f>
        <v>1</v>
      </c>
      <c r="O351" s="210">
        <f t="shared" si="3"/>
        <v>3</v>
      </c>
      <c r="P351" s="210">
        <f t="shared" ref="P351:Q351" si="361">IF(N351="",0,IF(N351&lt;=2,1,IF(N351&lt;=4,2,IF(N351&lt;=5.5,3,4))))</f>
        <v>1</v>
      </c>
      <c r="Q351" s="210">
        <f t="shared" si="361"/>
        <v>2</v>
      </c>
      <c r="R351" s="210" t="str">
        <f t="shared" si="5"/>
        <v>Lv1 → Lv2</v>
      </c>
      <c r="S351" s="210">
        <f t="shared" si="6"/>
        <v>1</v>
      </c>
      <c r="T351" s="210"/>
      <c r="U351" s="210"/>
      <c r="V351" s="210"/>
      <c r="W351" s="210"/>
      <c r="X351" s="210"/>
      <c r="Y351" s="210"/>
      <c r="Z351" s="210"/>
      <c r="AA351" s="210"/>
      <c r="AB351" s="210"/>
      <c r="AC351" s="210"/>
      <c r="AD351" s="210"/>
      <c r="AE351" s="210"/>
      <c r="AF351" s="210"/>
      <c r="AG351" s="210"/>
      <c r="AH351" s="210"/>
      <c r="AI351" s="210"/>
      <c r="AJ351" s="210"/>
      <c r="AK351" s="210"/>
      <c r="AL351" s="210"/>
      <c r="AM351" s="214"/>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c r="BU351" s="210"/>
      <c r="BV351" s="210"/>
      <c r="BW351" s="210"/>
      <c r="BX351" s="210"/>
      <c r="BY351" s="210"/>
      <c r="BZ351" s="210"/>
      <c r="CA351" s="210"/>
      <c r="CB351" s="210"/>
      <c r="CC351" s="210"/>
      <c r="CD351" s="210"/>
      <c r="CE351" s="210"/>
      <c r="CF351" s="210"/>
      <c r="CG351" s="210"/>
      <c r="CH351" s="210"/>
      <c r="CI351" s="210"/>
      <c r="CJ351" s="210"/>
      <c r="CK351" s="210"/>
    </row>
    <row r="352">
      <c r="A352" s="222" t="s">
        <v>305</v>
      </c>
      <c r="B352" s="190" t="s">
        <v>306</v>
      </c>
      <c r="C352" s="223" t="s">
        <v>83</v>
      </c>
      <c r="D352" s="223" t="s">
        <v>876</v>
      </c>
      <c r="E352" s="190" t="s">
        <v>21</v>
      </c>
      <c r="F352" s="13" t="s">
        <v>927</v>
      </c>
      <c r="G352" s="13" t="s">
        <v>929</v>
      </c>
      <c r="H352" s="219">
        <f>IFERROR(
  MINIFS(ATTENDANCE_LOG!$F:$F,
         ATTENDANCE_LOG!$A:$A, C352,
         ATTENDANCE_LOG!$B:$B, E352),
"")</f>
        <v>45764.41667</v>
      </c>
      <c r="I352" s="219">
        <f t="shared" si="2"/>
        <v>45764.41667</v>
      </c>
      <c r="J352" s="190">
        <f>IFERROR(VLOOKUP(F352, LEVEL_HELPER!$A:$B, 2, 0), "")</f>
        <v>1</v>
      </c>
      <c r="K352" s="190">
        <f>IFERROR(VLOOKUP(G352, LEVEL_HELPER!$A:$B, 2, 0), "")</f>
        <v>1.5</v>
      </c>
      <c r="L352" s="220" t="s">
        <v>943</v>
      </c>
      <c r="M352" s="220" t="s">
        <v>924</v>
      </c>
      <c r="N352" s="190">
        <f t="array" ref="N352">IFERROR(
  INDEX($J$2:$J$543,
    MATCH(A352&amp;TEXT(I352,"yyyy-mm-dd"),
          $A$2:$A$543&amp;TEXT($H$2:$H$543,"yyyy-mm-dd"),
          0)),
"")</f>
        <v>1</v>
      </c>
      <c r="O352" s="210">
        <f t="shared" si="3"/>
        <v>3</v>
      </c>
      <c r="P352" s="210">
        <f t="shared" ref="P352:Q352" si="362">IF(N352="",0,IF(N352&lt;=2,1,IF(N352&lt;=4,2,IF(N352&lt;=5.5,3,4))))</f>
        <v>1</v>
      </c>
      <c r="Q352" s="210">
        <f t="shared" si="362"/>
        <v>2</v>
      </c>
      <c r="R352" s="210" t="str">
        <f t="shared" si="5"/>
        <v>Lv1 → Lv2</v>
      </c>
      <c r="S352" s="210">
        <f t="shared" si="6"/>
        <v>1</v>
      </c>
      <c r="T352" s="210"/>
      <c r="U352" s="210"/>
      <c r="V352" s="210"/>
      <c r="W352" s="210"/>
      <c r="X352" s="210"/>
      <c r="Y352" s="210"/>
      <c r="Z352" s="210"/>
      <c r="AA352" s="210"/>
      <c r="AB352" s="210"/>
      <c r="AC352" s="210"/>
      <c r="AD352" s="210"/>
      <c r="AE352" s="210"/>
      <c r="AF352" s="210"/>
      <c r="AG352" s="210"/>
      <c r="AH352" s="210"/>
      <c r="AI352" s="210"/>
      <c r="AJ352" s="210"/>
      <c r="AK352" s="210"/>
      <c r="AL352" s="210"/>
      <c r="AM352" s="214"/>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c r="BU352" s="210"/>
      <c r="BV352" s="210"/>
      <c r="BW352" s="210"/>
      <c r="BX352" s="210"/>
      <c r="BY352" s="210"/>
      <c r="BZ352" s="210"/>
      <c r="CA352" s="210"/>
      <c r="CB352" s="210"/>
      <c r="CC352" s="210"/>
      <c r="CD352" s="210"/>
      <c r="CE352" s="210"/>
      <c r="CF352" s="210"/>
      <c r="CG352" s="210"/>
      <c r="CH352" s="210"/>
      <c r="CI352" s="210"/>
      <c r="CJ352" s="210"/>
      <c r="CK352" s="210"/>
    </row>
    <row r="353">
      <c r="A353" s="222" t="s">
        <v>442</v>
      </c>
      <c r="B353" s="190" t="s">
        <v>443</v>
      </c>
      <c r="C353" s="223" t="s">
        <v>83</v>
      </c>
      <c r="D353" s="223" t="s">
        <v>876</v>
      </c>
      <c r="E353" s="190" t="s">
        <v>21</v>
      </c>
      <c r="F353" s="13" t="s">
        <v>927</v>
      </c>
      <c r="G353" s="13" t="s">
        <v>918</v>
      </c>
      <c r="H353" s="219">
        <f>IFERROR(
  MINIFS(ATTENDANCE_LOG!$F:$F,
         ATTENDANCE_LOG!$A:$A, C353,
         ATTENDANCE_LOG!$B:$B, E353),
"")</f>
        <v>45764.41667</v>
      </c>
      <c r="I353" s="219">
        <f t="shared" si="2"/>
        <v>45764.41667</v>
      </c>
      <c r="J353" s="190">
        <f>IFERROR(VLOOKUP(F353, LEVEL_HELPER!$A:$B, 2, 0), "")</f>
        <v>1</v>
      </c>
      <c r="K353" s="190">
        <f>IFERROR(VLOOKUP(G353, LEVEL_HELPER!$A:$B, 2, 0), "")</f>
        <v>3</v>
      </c>
      <c r="L353" s="220" t="s">
        <v>943</v>
      </c>
      <c r="M353" s="220" t="s">
        <v>924</v>
      </c>
      <c r="N353" s="190">
        <f t="array" ref="N353">IFERROR(
  INDEX($J$2:$J$543,
    MATCH(A353&amp;TEXT(I353,"yyyy-mm-dd"),
          $A$2:$A$543&amp;TEXT($H$2:$H$543,"yyyy-mm-dd"),
          0)),
"")</f>
        <v>1</v>
      </c>
      <c r="O353" s="210">
        <f t="shared" si="3"/>
        <v>3.5</v>
      </c>
      <c r="P353" s="210">
        <f t="shared" ref="P353:Q353" si="363">IF(N353="",0,IF(N353&lt;=2,1,IF(N353&lt;=4,2,IF(N353&lt;=5.5,3,4))))</f>
        <v>1</v>
      </c>
      <c r="Q353" s="210">
        <f t="shared" si="363"/>
        <v>2</v>
      </c>
      <c r="R353" s="210" t="str">
        <f t="shared" si="5"/>
        <v>Lv1 → Lv2</v>
      </c>
      <c r="S353" s="210">
        <f t="shared" si="6"/>
        <v>1</v>
      </c>
      <c r="T353" s="210"/>
      <c r="U353" s="210"/>
      <c r="V353" s="210"/>
      <c r="W353" s="210"/>
      <c r="X353" s="210"/>
      <c r="Y353" s="210"/>
      <c r="Z353" s="210"/>
      <c r="AA353" s="210"/>
      <c r="AB353" s="210"/>
      <c r="AC353" s="210"/>
      <c r="AD353" s="210"/>
      <c r="AE353" s="210"/>
      <c r="AF353" s="210"/>
      <c r="AG353" s="210"/>
      <c r="AH353" s="210"/>
      <c r="AI353" s="210"/>
      <c r="AJ353" s="210"/>
      <c r="AK353" s="210"/>
      <c r="AL353" s="210"/>
      <c r="AM353" s="214"/>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c r="BU353" s="210"/>
      <c r="BV353" s="210"/>
      <c r="BW353" s="210"/>
      <c r="BX353" s="210"/>
      <c r="BY353" s="210"/>
      <c r="BZ353" s="210"/>
      <c r="CA353" s="210"/>
      <c r="CB353" s="210"/>
      <c r="CC353" s="210"/>
      <c r="CD353" s="210"/>
      <c r="CE353" s="210"/>
      <c r="CF353" s="210"/>
      <c r="CG353" s="210"/>
      <c r="CH353" s="210"/>
      <c r="CI353" s="210"/>
      <c r="CJ353" s="210"/>
      <c r="CK353" s="210"/>
    </row>
    <row r="354">
      <c r="A354" s="222" t="s">
        <v>633</v>
      </c>
      <c r="B354" s="190" t="s">
        <v>634</v>
      </c>
      <c r="C354" s="223" t="s">
        <v>83</v>
      </c>
      <c r="D354" s="223" t="s">
        <v>876</v>
      </c>
      <c r="E354" s="190" t="s">
        <v>21</v>
      </c>
      <c r="F354" s="13" t="s">
        <v>927</v>
      </c>
      <c r="G354" s="13" t="s">
        <v>918</v>
      </c>
      <c r="H354" s="219">
        <f>IFERROR(
  MINIFS(ATTENDANCE_LOG!$F:$F,
         ATTENDANCE_LOG!$A:$A, C354,
         ATTENDANCE_LOG!$B:$B, E354),
"")</f>
        <v>45764.41667</v>
      </c>
      <c r="I354" s="219">
        <f t="shared" si="2"/>
        <v>45764.41667</v>
      </c>
      <c r="J354" s="190">
        <f>IFERROR(VLOOKUP(F354, LEVEL_HELPER!$A:$B, 2, 0), "")</f>
        <v>1</v>
      </c>
      <c r="K354" s="190">
        <f>IFERROR(VLOOKUP(G354, LEVEL_HELPER!$A:$B, 2, 0), "")</f>
        <v>3</v>
      </c>
      <c r="L354" s="220" t="s">
        <v>943</v>
      </c>
      <c r="M354" s="220" t="s">
        <v>924</v>
      </c>
      <c r="N354" s="190">
        <f t="array" ref="N354">IFERROR(
  INDEX($J$2:$J$543,
    MATCH(A354&amp;TEXT(I354,"yyyy-mm-dd"),
          $A$2:$A$543&amp;TEXT($H$2:$H$543,"yyyy-mm-dd"),
          0)),
"")</f>
        <v>1</v>
      </c>
      <c r="O354" s="210">
        <f t="shared" si="3"/>
        <v>3</v>
      </c>
      <c r="P354" s="210">
        <f t="shared" ref="P354:Q354" si="364">IF(N354="",0,IF(N354&lt;=2,1,IF(N354&lt;=4,2,IF(N354&lt;=5.5,3,4))))</f>
        <v>1</v>
      </c>
      <c r="Q354" s="210">
        <f t="shared" si="364"/>
        <v>2</v>
      </c>
      <c r="R354" s="210" t="str">
        <f t="shared" si="5"/>
        <v>Lv1 → Lv2</v>
      </c>
      <c r="S354" s="210">
        <f t="shared" si="6"/>
        <v>1</v>
      </c>
      <c r="T354" s="210"/>
      <c r="U354" s="210"/>
      <c r="V354" s="210"/>
      <c r="W354" s="210"/>
      <c r="X354" s="210"/>
      <c r="Y354" s="210"/>
      <c r="Z354" s="210"/>
      <c r="AA354" s="210"/>
      <c r="AB354" s="210"/>
      <c r="AC354" s="210"/>
      <c r="AD354" s="210"/>
      <c r="AE354" s="210"/>
      <c r="AF354" s="210"/>
      <c r="AG354" s="210"/>
      <c r="AH354" s="210"/>
      <c r="AI354" s="210"/>
      <c r="AJ354" s="210"/>
      <c r="AK354" s="210"/>
      <c r="AL354" s="210"/>
      <c r="AM354" s="214"/>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c r="BU354" s="210"/>
      <c r="BV354" s="210"/>
      <c r="BW354" s="210"/>
      <c r="BX354" s="210"/>
      <c r="BY354" s="210"/>
      <c r="BZ354" s="210"/>
      <c r="CA354" s="210"/>
      <c r="CB354" s="210"/>
      <c r="CC354" s="210"/>
      <c r="CD354" s="210"/>
      <c r="CE354" s="210"/>
      <c r="CF354" s="210"/>
      <c r="CG354" s="210"/>
      <c r="CH354" s="210"/>
      <c r="CI354" s="210"/>
      <c r="CJ354" s="210"/>
      <c r="CK354" s="210"/>
    </row>
    <row r="355">
      <c r="A355" s="222" t="s">
        <v>641</v>
      </c>
      <c r="B355" s="190" t="s">
        <v>642</v>
      </c>
      <c r="C355" s="223" t="s">
        <v>83</v>
      </c>
      <c r="D355" s="223" t="s">
        <v>876</v>
      </c>
      <c r="E355" s="190" t="s">
        <v>21</v>
      </c>
      <c r="F355" s="13" t="s">
        <v>927</v>
      </c>
      <c r="G355" s="13" t="s">
        <v>935</v>
      </c>
      <c r="H355" s="219">
        <f>IFERROR(
  MINIFS(ATTENDANCE_LOG!$F:$F,
         ATTENDANCE_LOG!$A:$A, C355,
         ATTENDANCE_LOG!$B:$B, E355),
"")</f>
        <v>45764.41667</v>
      </c>
      <c r="I355" s="219">
        <f t="shared" si="2"/>
        <v>45764.41667</v>
      </c>
      <c r="J355" s="190">
        <f>IFERROR(VLOOKUP(F355, LEVEL_HELPER!$A:$B, 2, 0), "")</f>
        <v>1</v>
      </c>
      <c r="K355" s="190">
        <f>IFERROR(VLOOKUP(G355, LEVEL_HELPER!$A:$B, 2, 0), "")</f>
        <v>3.5</v>
      </c>
      <c r="L355" s="220" t="s">
        <v>943</v>
      </c>
      <c r="M355" s="220" t="s">
        <v>924</v>
      </c>
      <c r="N355" s="190">
        <f t="array" ref="N355">IFERROR(
  INDEX($J$2:$J$543,
    MATCH(A355&amp;TEXT(I355,"yyyy-mm-dd"),
          $A$2:$A$543&amp;TEXT($H$2:$H$543,"yyyy-mm-dd"),
          0)),
"")</f>
        <v>1</v>
      </c>
      <c r="O355" s="210">
        <f t="shared" si="3"/>
        <v>5</v>
      </c>
      <c r="P355" s="210">
        <f t="shared" ref="P355:Q355" si="365">IF(N355="",0,IF(N355&lt;=2,1,IF(N355&lt;=4,2,IF(N355&lt;=5.5,3,4))))</f>
        <v>1</v>
      </c>
      <c r="Q355" s="210">
        <f t="shared" si="365"/>
        <v>3</v>
      </c>
      <c r="R355" s="210" t="str">
        <f t="shared" si="5"/>
        <v>Lv1 → Lv3 (multi)</v>
      </c>
      <c r="S355" s="210">
        <f t="shared" si="6"/>
        <v>1</v>
      </c>
      <c r="T355" s="210"/>
      <c r="U355" s="210"/>
      <c r="V355" s="210"/>
      <c r="W355" s="210"/>
      <c r="X355" s="210"/>
      <c r="Y355" s="210"/>
      <c r="Z355" s="210"/>
      <c r="AA355" s="210"/>
      <c r="AB355" s="210"/>
      <c r="AC355" s="210"/>
      <c r="AD355" s="210"/>
      <c r="AE355" s="210"/>
      <c r="AF355" s="210"/>
      <c r="AG355" s="210"/>
      <c r="AH355" s="210"/>
      <c r="AI355" s="210"/>
      <c r="AJ355" s="210"/>
      <c r="AK355" s="210"/>
      <c r="AL355" s="210"/>
      <c r="AM355" s="214"/>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c r="BU355" s="210"/>
      <c r="BV355" s="210"/>
      <c r="BW355" s="210"/>
      <c r="BX355" s="210"/>
      <c r="BY355" s="210"/>
      <c r="BZ355" s="210"/>
      <c r="CA355" s="210"/>
      <c r="CB355" s="210"/>
      <c r="CC355" s="210"/>
      <c r="CD355" s="210"/>
      <c r="CE355" s="210"/>
      <c r="CF355" s="210"/>
      <c r="CG355" s="210"/>
      <c r="CH355" s="210"/>
      <c r="CI355" s="210"/>
      <c r="CJ355" s="210"/>
      <c r="CK355" s="210"/>
    </row>
    <row r="356">
      <c r="A356" s="222" t="s">
        <v>671</v>
      </c>
      <c r="B356" s="190" t="s">
        <v>672</v>
      </c>
      <c r="C356" s="223" t="s">
        <v>83</v>
      </c>
      <c r="D356" s="223" t="s">
        <v>876</v>
      </c>
      <c r="E356" s="190" t="s">
        <v>21</v>
      </c>
      <c r="F356" s="13" t="s">
        <v>927</v>
      </c>
      <c r="G356" s="13" t="s">
        <v>935</v>
      </c>
      <c r="H356" s="219">
        <f>IFERROR(
  MINIFS(ATTENDANCE_LOG!$F:$F,
         ATTENDANCE_LOG!$A:$A, C356,
         ATTENDANCE_LOG!$B:$B, E356),
"")</f>
        <v>45764.41667</v>
      </c>
      <c r="I356" s="219">
        <f t="shared" si="2"/>
        <v>45764.41667</v>
      </c>
      <c r="J356" s="190">
        <f>IFERROR(VLOOKUP(F356, LEVEL_HELPER!$A:$B, 2, 0), "")</f>
        <v>1</v>
      </c>
      <c r="K356" s="190">
        <f>IFERROR(VLOOKUP(G356, LEVEL_HELPER!$A:$B, 2, 0), "")</f>
        <v>3.5</v>
      </c>
      <c r="L356" s="220" t="s">
        <v>943</v>
      </c>
      <c r="M356" s="220" t="s">
        <v>924</v>
      </c>
      <c r="N356" s="190">
        <f t="array" ref="N356">IFERROR(
  INDEX($J$2:$J$543,
    MATCH(A356&amp;TEXT(I356,"yyyy-mm-dd"),
          $A$2:$A$543&amp;TEXT($H$2:$H$543,"yyyy-mm-dd"),
          0)),
"")</f>
        <v>1</v>
      </c>
      <c r="O356" s="210">
        <f t="shared" si="3"/>
        <v>3.5</v>
      </c>
      <c r="P356" s="210">
        <f t="shared" ref="P356:Q356" si="366">IF(N356="",0,IF(N356&lt;=2,1,IF(N356&lt;=4,2,IF(N356&lt;=5.5,3,4))))</f>
        <v>1</v>
      </c>
      <c r="Q356" s="210">
        <f t="shared" si="366"/>
        <v>2</v>
      </c>
      <c r="R356" s="210" t="str">
        <f t="shared" si="5"/>
        <v>Lv1 → Lv2</v>
      </c>
      <c r="S356" s="210">
        <f t="shared" si="6"/>
        <v>1</v>
      </c>
      <c r="T356" s="210"/>
      <c r="U356" s="210"/>
      <c r="V356" s="210"/>
      <c r="W356" s="210"/>
      <c r="X356" s="210"/>
      <c r="Y356" s="210"/>
      <c r="Z356" s="210"/>
      <c r="AA356" s="210"/>
      <c r="AB356" s="210"/>
      <c r="AC356" s="210"/>
      <c r="AD356" s="210"/>
      <c r="AE356" s="210"/>
      <c r="AF356" s="210"/>
      <c r="AG356" s="210"/>
      <c r="AH356" s="210"/>
      <c r="AI356" s="210"/>
      <c r="AJ356" s="210"/>
      <c r="AK356" s="210"/>
      <c r="AL356" s="210"/>
      <c r="AM356" s="214"/>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c r="BU356" s="210"/>
      <c r="BV356" s="210"/>
      <c r="BW356" s="210"/>
      <c r="BX356" s="210"/>
      <c r="BY356" s="210"/>
      <c r="BZ356" s="210"/>
      <c r="CA356" s="210"/>
      <c r="CB356" s="210"/>
      <c r="CC356" s="210"/>
      <c r="CD356" s="210"/>
      <c r="CE356" s="210"/>
      <c r="CF356" s="210"/>
      <c r="CG356" s="210"/>
      <c r="CH356" s="210"/>
      <c r="CI356" s="210"/>
      <c r="CJ356" s="210"/>
      <c r="CK356" s="210"/>
    </row>
    <row r="357">
      <c r="A357" s="222" t="s">
        <v>208</v>
      </c>
      <c r="B357" s="217" t="s">
        <v>209</v>
      </c>
      <c r="C357" s="218" t="s">
        <v>83</v>
      </c>
      <c r="D357" s="218" t="s">
        <v>876</v>
      </c>
      <c r="E357" s="217" t="s">
        <v>22</v>
      </c>
      <c r="F357" s="13" t="s">
        <v>935</v>
      </c>
      <c r="G357" s="13" t="s">
        <v>941</v>
      </c>
      <c r="H357" s="219">
        <f>IFERROR(
  MINIFS(ATTENDANCE_LOG!$F:$F,
         ATTENDANCE_LOG!$A:$A, C357,
         ATTENDANCE_LOG!$B:$B, E357),
"")</f>
        <v>45882.41667</v>
      </c>
      <c r="I357" s="219">
        <f t="shared" si="2"/>
        <v>45764.41667</v>
      </c>
      <c r="J357" s="190">
        <f>IFERROR(VLOOKUP(F357, LEVEL_HELPER!$A:$B, 2, 0), "")</f>
        <v>3.5</v>
      </c>
      <c r="K357" s="190">
        <f>IFERROR(VLOOKUP(G357, LEVEL_HELPER!$A:$B, 2, 0), "")</f>
        <v>5</v>
      </c>
      <c r="L357" s="220" t="s">
        <v>943</v>
      </c>
      <c r="M357" s="220" t="s">
        <v>924</v>
      </c>
      <c r="N357" s="190">
        <f t="array" ref="N357">IFERROR(
  INDEX($J$2:$J$543,
    MATCH(A357&amp;TEXT(I357,"yyyy-mm-dd"),
          $A$2:$A$543&amp;TEXT($H$2:$H$543,"yyyy-mm-dd"),
          0)),
"")</f>
        <v>1</v>
      </c>
      <c r="O357" s="210">
        <f t="shared" si="3"/>
        <v>5</v>
      </c>
      <c r="P357" s="210">
        <f t="shared" ref="P357:Q357" si="367">IF(N357="",0,IF(N357&lt;=2,1,IF(N357&lt;=4,2,IF(N357&lt;=5.5,3,4))))</f>
        <v>1</v>
      </c>
      <c r="Q357" s="210">
        <f t="shared" si="367"/>
        <v>3</v>
      </c>
      <c r="R357" s="210" t="str">
        <f t="shared" si="5"/>
        <v>Lv1 → Lv3 (multi)</v>
      </c>
      <c r="S357" s="210">
        <f t="shared" si="6"/>
        <v>0</v>
      </c>
      <c r="T357" s="210"/>
      <c r="U357" s="210"/>
      <c r="V357" s="210"/>
      <c r="W357" s="210"/>
      <c r="X357" s="210"/>
      <c r="Y357" s="210"/>
      <c r="Z357" s="210"/>
      <c r="AA357" s="210"/>
      <c r="AB357" s="210"/>
      <c r="AC357" s="210"/>
      <c r="AD357" s="210"/>
      <c r="AE357" s="210"/>
      <c r="AF357" s="210"/>
      <c r="AG357" s="210"/>
      <c r="AH357" s="210"/>
      <c r="AI357" s="210"/>
      <c r="AJ357" s="210"/>
      <c r="AK357" s="210"/>
      <c r="AL357" s="210"/>
      <c r="AM357" s="214"/>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c r="BU357" s="210"/>
      <c r="BV357" s="210"/>
      <c r="BW357" s="210"/>
      <c r="BX357" s="210"/>
      <c r="BY357" s="210"/>
      <c r="BZ357" s="210"/>
      <c r="CA357" s="210"/>
      <c r="CB357" s="210"/>
      <c r="CC357" s="210"/>
      <c r="CD357" s="210"/>
      <c r="CE357" s="210"/>
      <c r="CF357" s="210"/>
      <c r="CG357" s="210"/>
      <c r="CH357" s="210"/>
      <c r="CI357" s="210"/>
      <c r="CJ357" s="210"/>
      <c r="CK357" s="210"/>
    </row>
    <row r="358">
      <c r="A358" s="222" t="s">
        <v>241</v>
      </c>
      <c r="B358" s="190" t="s">
        <v>242</v>
      </c>
      <c r="C358" s="223" t="s">
        <v>83</v>
      </c>
      <c r="D358" s="223" t="s">
        <v>876</v>
      </c>
      <c r="E358" s="190" t="s">
        <v>22</v>
      </c>
      <c r="F358" s="13" t="s">
        <v>929</v>
      </c>
      <c r="G358" s="13" t="s">
        <v>918</v>
      </c>
      <c r="H358" s="219">
        <f>IFERROR(
  MINIFS(ATTENDANCE_LOG!$F:$F,
         ATTENDANCE_LOG!$A:$A, C358,
         ATTENDANCE_LOG!$B:$B, E358),
"")</f>
        <v>45882.41667</v>
      </c>
      <c r="I358" s="219">
        <f t="shared" si="2"/>
        <v>45764.58333</v>
      </c>
      <c r="J358" s="190">
        <f>IFERROR(VLOOKUP(F358, LEVEL_HELPER!$A:$B, 2, 0), "")</f>
        <v>1.5</v>
      </c>
      <c r="K358" s="190">
        <f>IFERROR(VLOOKUP(G358, LEVEL_HELPER!$A:$B, 2, 0), "")</f>
        <v>3</v>
      </c>
      <c r="L358" s="220" t="s">
        <v>919</v>
      </c>
      <c r="M358" s="220" t="s">
        <v>924</v>
      </c>
      <c r="N358" s="190">
        <f t="array" ref="N358">IFERROR(
  INDEX($J$2:$J$543,
    MATCH(A358&amp;TEXT(I358,"yyyy-mm-dd"),
          $A$2:$A$543&amp;TEXT($H$2:$H$543,"yyyy-mm-dd"),
          0)),
"")</f>
        <v>1</v>
      </c>
      <c r="O358" s="210">
        <f t="shared" si="3"/>
        <v>3</v>
      </c>
      <c r="P358" s="210">
        <f t="shared" ref="P358:Q358" si="368">IF(N358="",0,IF(N358&lt;=2,1,IF(N358&lt;=4,2,IF(N358&lt;=5.5,3,4))))</f>
        <v>1</v>
      </c>
      <c r="Q358" s="210">
        <f t="shared" si="368"/>
        <v>2</v>
      </c>
      <c r="R358" s="210" t="str">
        <f t="shared" si="5"/>
        <v>Lv1 → Lv2</v>
      </c>
      <c r="S358" s="210">
        <f t="shared" si="6"/>
        <v>1</v>
      </c>
      <c r="T358" s="210"/>
      <c r="U358" s="210"/>
      <c r="V358" s="210"/>
      <c r="W358" s="210"/>
      <c r="X358" s="210"/>
      <c r="Y358" s="210"/>
      <c r="Z358" s="210"/>
      <c r="AA358" s="210"/>
      <c r="AB358" s="210"/>
      <c r="AC358" s="210"/>
      <c r="AD358" s="210"/>
      <c r="AE358" s="210"/>
      <c r="AF358" s="210"/>
      <c r="AG358" s="210"/>
      <c r="AH358" s="210"/>
      <c r="AI358" s="210"/>
      <c r="AJ358" s="210"/>
      <c r="AK358" s="210"/>
      <c r="AL358" s="210"/>
      <c r="AM358" s="214"/>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c r="BU358" s="210"/>
      <c r="BV358" s="210"/>
      <c r="BW358" s="210"/>
      <c r="BX358" s="210"/>
      <c r="BY358" s="210"/>
      <c r="BZ358" s="210"/>
      <c r="CA358" s="210"/>
      <c r="CB358" s="210"/>
      <c r="CC358" s="210"/>
      <c r="CD358" s="210"/>
      <c r="CE358" s="210"/>
      <c r="CF358" s="210"/>
      <c r="CG358" s="210"/>
      <c r="CH358" s="210"/>
      <c r="CI358" s="210"/>
      <c r="CJ358" s="210"/>
      <c r="CK358" s="210"/>
    </row>
    <row r="359">
      <c r="A359" s="222" t="s">
        <v>243</v>
      </c>
      <c r="B359" s="190" t="s">
        <v>244</v>
      </c>
      <c r="C359" s="223" t="s">
        <v>83</v>
      </c>
      <c r="D359" s="223" t="s">
        <v>876</v>
      </c>
      <c r="E359" s="190" t="s">
        <v>22</v>
      </c>
      <c r="F359" s="13" t="s">
        <v>927</v>
      </c>
      <c r="G359" s="13" t="s">
        <v>918</v>
      </c>
      <c r="H359" s="219">
        <f>IFERROR(
  MINIFS(ATTENDANCE_LOG!$F:$F,
         ATTENDANCE_LOG!$A:$A, C359,
         ATTENDANCE_LOG!$B:$B, E359),
"")</f>
        <v>45882.41667</v>
      </c>
      <c r="I359" s="219">
        <f t="shared" si="2"/>
        <v>45764.41667</v>
      </c>
      <c r="J359" s="190">
        <f>IFERROR(VLOOKUP(F359, LEVEL_HELPER!$A:$B, 2, 0), "")</f>
        <v>1</v>
      </c>
      <c r="K359" s="190">
        <f>IFERROR(VLOOKUP(G359, LEVEL_HELPER!$A:$B, 2, 0), "")</f>
        <v>3</v>
      </c>
      <c r="L359" s="220" t="s">
        <v>943</v>
      </c>
      <c r="M359" s="220" t="s">
        <v>924</v>
      </c>
      <c r="N359" s="190">
        <f t="array" ref="N359">IFERROR(
  INDEX($J$2:$J$543,
    MATCH(A359&amp;TEXT(I359,"yyyy-mm-dd"),
          $A$2:$A$543&amp;TEXT($H$2:$H$543,"yyyy-mm-dd"),
          0)),
"")</f>
        <v>1</v>
      </c>
      <c r="O359" s="210">
        <f t="shared" si="3"/>
        <v>3</v>
      </c>
      <c r="P359" s="210">
        <f t="shared" ref="P359:Q359" si="369">IF(N359="",0,IF(N359&lt;=2,1,IF(N359&lt;=4,2,IF(N359&lt;=5.5,3,4))))</f>
        <v>1</v>
      </c>
      <c r="Q359" s="210">
        <f t="shared" si="369"/>
        <v>2</v>
      </c>
      <c r="R359" s="210" t="str">
        <f t="shared" si="5"/>
        <v>Lv1 → Lv2</v>
      </c>
      <c r="S359" s="210">
        <f t="shared" si="6"/>
        <v>0</v>
      </c>
      <c r="T359" s="210"/>
      <c r="U359" s="210"/>
      <c r="V359" s="210"/>
      <c r="W359" s="210"/>
      <c r="X359" s="210"/>
      <c r="Y359" s="210"/>
      <c r="Z359" s="210"/>
      <c r="AA359" s="210"/>
      <c r="AB359" s="210"/>
      <c r="AC359" s="210"/>
      <c r="AD359" s="210"/>
      <c r="AE359" s="210"/>
      <c r="AF359" s="210"/>
      <c r="AG359" s="210"/>
      <c r="AH359" s="210"/>
      <c r="AI359" s="210"/>
      <c r="AJ359" s="210"/>
      <c r="AK359" s="210"/>
      <c r="AL359" s="210"/>
      <c r="AM359" s="214"/>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c r="BU359" s="210"/>
      <c r="BV359" s="210"/>
      <c r="BW359" s="210"/>
      <c r="BX359" s="210"/>
      <c r="BY359" s="210"/>
      <c r="BZ359" s="210"/>
      <c r="CA359" s="210"/>
      <c r="CB359" s="210"/>
      <c r="CC359" s="210"/>
      <c r="CD359" s="210"/>
      <c r="CE359" s="210"/>
      <c r="CF359" s="210"/>
      <c r="CG359" s="210"/>
      <c r="CH359" s="210"/>
      <c r="CI359" s="210"/>
      <c r="CJ359" s="210"/>
      <c r="CK359" s="210"/>
    </row>
    <row r="360">
      <c r="A360" s="222" t="s">
        <v>305</v>
      </c>
      <c r="B360" s="190" t="s">
        <v>306</v>
      </c>
      <c r="C360" s="223" t="s">
        <v>83</v>
      </c>
      <c r="D360" s="223" t="s">
        <v>876</v>
      </c>
      <c r="E360" s="190" t="s">
        <v>22</v>
      </c>
      <c r="F360" s="13" t="s">
        <v>929</v>
      </c>
      <c r="G360" s="13" t="s">
        <v>918</v>
      </c>
      <c r="H360" s="219">
        <f>IFERROR(
  MINIFS(ATTENDANCE_LOG!$F:$F,
         ATTENDANCE_LOG!$A:$A, C360,
         ATTENDANCE_LOG!$B:$B, E360),
"")</f>
        <v>45882.41667</v>
      </c>
      <c r="I360" s="219">
        <f t="shared" si="2"/>
        <v>45764.41667</v>
      </c>
      <c r="J360" s="190">
        <f>IFERROR(VLOOKUP(F360, LEVEL_HELPER!$A:$B, 2, 0), "")</f>
        <v>1.5</v>
      </c>
      <c r="K360" s="190">
        <f>IFERROR(VLOOKUP(G360, LEVEL_HELPER!$A:$B, 2, 0), "")</f>
        <v>3</v>
      </c>
      <c r="L360" s="220" t="s">
        <v>943</v>
      </c>
      <c r="M360" s="220" t="s">
        <v>924</v>
      </c>
      <c r="N360" s="190">
        <f t="array" ref="N360">IFERROR(
  INDEX($J$2:$J$543,
    MATCH(A360&amp;TEXT(I360,"yyyy-mm-dd"),
          $A$2:$A$543&amp;TEXT($H$2:$H$543,"yyyy-mm-dd"),
          0)),
"")</f>
        <v>1</v>
      </c>
      <c r="O360" s="210">
        <f t="shared" si="3"/>
        <v>3</v>
      </c>
      <c r="P360" s="210">
        <f t="shared" ref="P360:Q360" si="370">IF(N360="",0,IF(N360&lt;=2,1,IF(N360&lt;=4,2,IF(N360&lt;=5.5,3,4))))</f>
        <v>1</v>
      </c>
      <c r="Q360" s="210">
        <f t="shared" si="370"/>
        <v>2</v>
      </c>
      <c r="R360" s="210" t="str">
        <f t="shared" si="5"/>
        <v>Lv1 → Lv2</v>
      </c>
      <c r="S360" s="210">
        <f t="shared" si="6"/>
        <v>0</v>
      </c>
      <c r="T360" s="210"/>
      <c r="U360" s="210"/>
      <c r="V360" s="210"/>
      <c r="W360" s="210"/>
      <c r="X360" s="210"/>
      <c r="Y360" s="210"/>
      <c r="Z360" s="210"/>
      <c r="AA360" s="210"/>
      <c r="AB360" s="210"/>
      <c r="AC360" s="210"/>
      <c r="AD360" s="210"/>
      <c r="AE360" s="210"/>
      <c r="AF360" s="210"/>
      <c r="AG360" s="210"/>
      <c r="AH360" s="210"/>
      <c r="AI360" s="210"/>
      <c r="AJ360" s="210"/>
      <c r="AK360" s="210"/>
      <c r="AL360" s="210"/>
      <c r="AM360" s="214"/>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c r="BU360" s="210"/>
      <c r="BV360" s="210"/>
      <c r="BW360" s="210"/>
      <c r="BX360" s="210"/>
      <c r="BY360" s="210"/>
      <c r="BZ360" s="210"/>
      <c r="CA360" s="210"/>
      <c r="CB360" s="210"/>
      <c r="CC360" s="210"/>
      <c r="CD360" s="210"/>
      <c r="CE360" s="210"/>
      <c r="CF360" s="210"/>
      <c r="CG360" s="210"/>
      <c r="CH360" s="210"/>
      <c r="CI360" s="210"/>
      <c r="CJ360" s="210"/>
      <c r="CK360" s="210"/>
    </row>
    <row r="361">
      <c r="A361" s="222" t="s">
        <v>442</v>
      </c>
      <c r="B361" s="190" t="s">
        <v>443</v>
      </c>
      <c r="C361" s="223" t="s">
        <v>83</v>
      </c>
      <c r="D361" s="223" t="s">
        <v>876</v>
      </c>
      <c r="E361" s="190" t="s">
        <v>22</v>
      </c>
      <c r="F361" s="13" t="s">
        <v>918</v>
      </c>
      <c r="G361" s="13" t="s">
        <v>935</v>
      </c>
      <c r="H361" s="219">
        <f>IFERROR(
  MINIFS(ATTENDANCE_LOG!$F:$F,
         ATTENDANCE_LOG!$A:$A, C361,
         ATTENDANCE_LOG!$B:$B, E361),
"")</f>
        <v>45882.41667</v>
      </c>
      <c r="I361" s="219">
        <f t="shared" si="2"/>
        <v>45764.41667</v>
      </c>
      <c r="J361" s="190">
        <f>IFERROR(VLOOKUP(F361, LEVEL_HELPER!$A:$B, 2, 0), "")</f>
        <v>3</v>
      </c>
      <c r="K361" s="190">
        <f>IFERROR(VLOOKUP(G361, LEVEL_HELPER!$A:$B, 2, 0), "")</f>
        <v>3.5</v>
      </c>
      <c r="L361" s="220" t="s">
        <v>943</v>
      </c>
      <c r="M361" s="220" t="s">
        <v>924</v>
      </c>
      <c r="N361" s="190">
        <f t="array" ref="N361">IFERROR(
  INDEX($J$2:$J$543,
    MATCH(A361&amp;TEXT(I361,"yyyy-mm-dd"),
          $A$2:$A$543&amp;TEXT($H$2:$H$543,"yyyy-mm-dd"),
          0)),
"")</f>
        <v>1</v>
      </c>
      <c r="O361" s="210">
        <f t="shared" si="3"/>
        <v>3.5</v>
      </c>
      <c r="P361" s="210">
        <f t="shared" ref="P361:Q361" si="371">IF(N361="",0,IF(N361&lt;=2,1,IF(N361&lt;=4,2,IF(N361&lt;=5.5,3,4))))</f>
        <v>1</v>
      </c>
      <c r="Q361" s="210">
        <f t="shared" si="371"/>
        <v>2</v>
      </c>
      <c r="R361" s="210" t="str">
        <f t="shared" si="5"/>
        <v>Lv1 → Lv2</v>
      </c>
      <c r="S361" s="210">
        <f t="shared" si="6"/>
        <v>0</v>
      </c>
      <c r="T361" s="210"/>
      <c r="U361" s="210"/>
      <c r="V361" s="210"/>
      <c r="W361" s="210"/>
      <c r="X361" s="210"/>
      <c r="Y361" s="210"/>
      <c r="Z361" s="210"/>
      <c r="AA361" s="210"/>
      <c r="AB361" s="210"/>
      <c r="AC361" s="210"/>
      <c r="AD361" s="210"/>
      <c r="AE361" s="210"/>
      <c r="AF361" s="210"/>
      <c r="AG361" s="210"/>
      <c r="AH361" s="210"/>
      <c r="AI361" s="210"/>
      <c r="AJ361" s="210"/>
      <c r="AK361" s="210"/>
      <c r="AL361" s="210"/>
      <c r="AM361" s="214"/>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c r="BU361" s="210"/>
      <c r="BV361" s="210"/>
      <c r="BW361" s="210"/>
      <c r="BX361" s="210"/>
      <c r="BY361" s="210"/>
      <c r="BZ361" s="210"/>
      <c r="CA361" s="210"/>
      <c r="CB361" s="210"/>
      <c r="CC361" s="210"/>
      <c r="CD361" s="210"/>
      <c r="CE361" s="210"/>
      <c r="CF361" s="210"/>
      <c r="CG361" s="210"/>
      <c r="CH361" s="210"/>
      <c r="CI361" s="210"/>
      <c r="CJ361" s="210"/>
      <c r="CK361" s="210"/>
    </row>
    <row r="362">
      <c r="A362" s="222" t="s">
        <v>463</v>
      </c>
      <c r="B362" s="190" t="s">
        <v>464</v>
      </c>
      <c r="C362" s="223" t="s">
        <v>83</v>
      </c>
      <c r="D362" s="223" t="s">
        <v>876</v>
      </c>
      <c r="E362" s="190" t="s">
        <v>22</v>
      </c>
      <c r="F362" s="13" t="s">
        <v>929</v>
      </c>
      <c r="G362" s="190"/>
      <c r="H362" s="219">
        <f>IFERROR(
  MINIFS(ATTENDANCE_LOG!$F:$F,
         ATTENDANCE_LOG!$A:$A, C362,
         ATTENDANCE_LOG!$B:$B, E362),
"")</f>
        <v>45882.41667</v>
      </c>
      <c r="I362" s="219">
        <f t="shared" si="2"/>
        <v>45764.58333</v>
      </c>
      <c r="J362" s="190">
        <f>IFERROR(VLOOKUP(F362, LEVEL_HELPER!$A:$B, 2, 0), "")</f>
        <v>1.5</v>
      </c>
      <c r="K362" s="190" t="str">
        <f>IFERROR(VLOOKUP(G362, LEVEL_HELPER!$A:$B, 2, 0), "")</f>
        <v/>
      </c>
      <c r="L362" s="220" t="s">
        <v>919</v>
      </c>
      <c r="M362" s="220" t="s">
        <v>924</v>
      </c>
      <c r="N362" s="190">
        <f t="array" ref="N362">IFERROR(
  INDEX($J$2:$J$543,
    MATCH(A362&amp;TEXT(I362,"yyyy-mm-dd"),
          $A$2:$A$543&amp;TEXT($H$2:$H$543,"yyyy-mm-dd"),
          0)),
"")</f>
        <v>1</v>
      </c>
      <c r="O362" s="210">
        <f t="shared" si="3"/>
        <v>1.5</v>
      </c>
      <c r="P362" s="210">
        <f t="shared" ref="P362:Q362" si="372">IF(N362="",0,IF(N362&lt;=2,1,IF(N362&lt;=4,2,IF(N362&lt;=5.5,3,4))))</f>
        <v>1</v>
      </c>
      <c r="Q362" s="210">
        <f t="shared" si="372"/>
        <v>1</v>
      </c>
      <c r="R362" s="210" t="str">
        <f t="shared" si="5"/>
        <v>Progress within level</v>
      </c>
      <c r="S362" s="210">
        <f t="shared" si="6"/>
        <v>1</v>
      </c>
      <c r="T362" s="210"/>
      <c r="U362" s="210"/>
      <c r="V362" s="210"/>
      <c r="W362" s="210"/>
      <c r="X362" s="210"/>
      <c r="Y362" s="210"/>
      <c r="Z362" s="210"/>
      <c r="AA362" s="210"/>
      <c r="AB362" s="210"/>
      <c r="AC362" s="210"/>
      <c r="AD362" s="210"/>
      <c r="AE362" s="210"/>
      <c r="AF362" s="210"/>
      <c r="AG362" s="210"/>
      <c r="AH362" s="210"/>
      <c r="AI362" s="210"/>
      <c r="AJ362" s="210"/>
      <c r="AK362" s="210"/>
      <c r="AL362" s="210"/>
      <c r="AM362" s="214"/>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c r="BU362" s="210"/>
      <c r="BV362" s="210"/>
      <c r="BW362" s="210"/>
      <c r="BX362" s="210"/>
      <c r="BY362" s="210"/>
      <c r="BZ362" s="210"/>
      <c r="CA362" s="210"/>
      <c r="CB362" s="210"/>
      <c r="CC362" s="210"/>
      <c r="CD362" s="210"/>
      <c r="CE362" s="210"/>
      <c r="CF362" s="210"/>
      <c r="CG362" s="210"/>
      <c r="CH362" s="210"/>
      <c r="CI362" s="210"/>
      <c r="CJ362" s="210"/>
      <c r="CK362" s="210"/>
    </row>
    <row r="363">
      <c r="A363" s="222" t="s">
        <v>633</v>
      </c>
      <c r="B363" s="190" t="s">
        <v>634</v>
      </c>
      <c r="C363" s="223" t="s">
        <v>83</v>
      </c>
      <c r="D363" s="223" t="s">
        <v>876</v>
      </c>
      <c r="E363" s="190" t="s">
        <v>22</v>
      </c>
      <c r="F363" s="13" t="s">
        <v>918</v>
      </c>
      <c r="G363" s="13" t="s">
        <v>929</v>
      </c>
      <c r="H363" s="219">
        <f>IFERROR(
  MINIFS(ATTENDANCE_LOG!$F:$F,
         ATTENDANCE_LOG!$A:$A, C363,
         ATTENDANCE_LOG!$B:$B, E363),
"")</f>
        <v>45882.41667</v>
      </c>
      <c r="I363" s="219">
        <f t="shared" si="2"/>
        <v>45764.41667</v>
      </c>
      <c r="J363" s="190">
        <f>IFERROR(VLOOKUP(F363, LEVEL_HELPER!$A:$B, 2, 0), "")</f>
        <v>3</v>
      </c>
      <c r="K363" s="190">
        <f>IFERROR(VLOOKUP(G363, LEVEL_HELPER!$A:$B, 2, 0), "")</f>
        <v>1.5</v>
      </c>
      <c r="L363" s="220" t="s">
        <v>943</v>
      </c>
      <c r="M363" s="220" t="s">
        <v>924</v>
      </c>
      <c r="N363" s="190">
        <f t="array" ref="N363">IFERROR(
  INDEX($J$2:$J$543,
    MATCH(A363&amp;TEXT(I363,"yyyy-mm-dd"),
          $A$2:$A$543&amp;TEXT($H$2:$H$543,"yyyy-mm-dd"),
          0)),
"")</f>
        <v>1</v>
      </c>
      <c r="O363" s="210">
        <f t="shared" si="3"/>
        <v>3</v>
      </c>
      <c r="P363" s="210">
        <f t="shared" ref="P363:Q363" si="373">IF(N363="",0,IF(N363&lt;=2,1,IF(N363&lt;=4,2,IF(N363&lt;=5.5,3,4))))</f>
        <v>1</v>
      </c>
      <c r="Q363" s="210">
        <f t="shared" si="373"/>
        <v>2</v>
      </c>
      <c r="R363" s="210" t="str">
        <f t="shared" si="5"/>
        <v>Lv1 → Lv2</v>
      </c>
      <c r="S363" s="210">
        <f t="shared" si="6"/>
        <v>0</v>
      </c>
      <c r="T363" s="210"/>
      <c r="U363" s="210"/>
      <c r="V363" s="210"/>
      <c r="W363" s="210"/>
      <c r="X363" s="210"/>
      <c r="Y363" s="210"/>
      <c r="Z363" s="210"/>
      <c r="AA363" s="210"/>
      <c r="AB363" s="210"/>
      <c r="AC363" s="210"/>
      <c r="AD363" s="210"/>
      <c r="AE363" s="210"/>
      <c r="AF363" s="210"/>
      <c r="AG363" s="210"/>
      <c r="AH363" s="210"/>
      <c r="AI363" s="210"/>
      <c r="AJ363" s="210"/>
      <c r="AK363" s="210"/>
      <c r="AL363" s="210"/>
      <c r="AM363" s="214"/>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c r="BU363" s="210"/>
      <c r="BV363" s="210"/>
      <c r="BW363" s="210"/>
      <c r="BX363" s="210"/>
      <c r="BY363" s="210"/>
      <c r="BZ363" s="210"/>
      <c r="CA363" s="210"/>
      <c r="CB363" s="210"/>
      <c r="CC363" s="210"/>
      <c r="CD363" s="210"/>
      <c r="CE363" s="210"/>
      <c r="CF363" s="210"/>
      <c r="CG363" s="210"/>
      <c r="CH363" s="210"/>
      <c r="CI363" s="210"/>
      <c r="CJ363" s="210"/>
      <c r="CK363" s="210"/>
    </row>
    <row r="364">
      <c r="A364" s="222" t="s">
        <v>641</v>
      </c>
      <c r="B364" s="190" t="s">
        <v>642</v>
      </c>
      <c r="C364" s="223" t="s">
        <v>83</v>
      </c>
      <c r="D364" s="223" t="s">
        <v>876</v>
      </c>
      <c r="E364" s="190" t="s">
        <v>22</v>
      </c>
      <c r="F364" s="13" t="s">
        <v>935</v>
      </c>
      <c r="G364" s="13" t="s">
        <v>941</v>
      </c>
      <c r="H364" s="219">
        <f>IFERROR(
  MINIFS(ATTENDANCE_LOG!$F:$F,
         ATTENDANCE_LOG!$A:$A, C364,
         ATTENDANCE_LOG!$B:$B, E364),
"")</f>
        <v>45882.41667</v>
      </c>
      <c r="I364" s="219">
        <f t="shared" si="2"/>
        <v>45764.41667</v>
      </c>
      <c r="J364" s="190">
        <f>IFERROR(VLOOKUP(F364, LEVEL_HELPER!$A:$B, 2, 0), "")</f>
        <v>3.5</v>
      </c>
      <c r="K364" s="190">
        <f>IFERROR(VLOOKUP(G364, LEVEL_HELPER!$A:$B, 2, 0), "")</f>
        <v>5</v>
      </c>
      <c r="L364" s="220" t="s">
        <v>943</v>
      </c>
      <c r="M364" s="220" t="s">
        <v>924</v>
      </c>
      <c r="N364" s="190">
        <f t="array" ref="N364">IFERROR(
  INDEX($J$2:$J$543,
    MATCH(A364&amp;TEXT(I364,"yyyy-mm-dd"),
          $A$2:$A$543&amp;TEXT($H$2:$H$543,"yyyy-mm-dd"),
          0)),
"")</f>
        <v>1</v>
      </c>
      <c r="O364" s="210">
        <f t="shared" si="3"/>
        <v>5</v>
      </c>
      <c r="P364" s="210">
        <f t="shared" ref="P364:Q364" si="374">IF(N364="",0,IF(N364&lt;=2,1,IF(N364&lt;=4,2,IF(N364&lt;=5.5,3,4))))</f>
        <v>1</v>
      </c>
      <c r="Q364" s="210">
        <f t="shared" si="374"/>
        <v>3</v>
      </c>
      <c r="R364" s="210" t="str">
        <f t="shared" si="5"/>
        <v>Lv1 → Lv3 (multi)</v>
      </c>
      <c r="S364" s="210">
        <f t="shared" si="6"/>
        <v>0</v>
      </c>
      <c r="T364" s="210"/>
      <c r="U364" s="210"/>
      <c r="V364" s="210"/>
      <c r="W364" s="210"/>
      <c r="X364" s="210"/>
      <c r="Y364" s="210"/>
      <c r="Z364" s="210"/>
      <c r="AA364" s="210"/>
      <c r="AB364" s="210"/>
      <c r="AC364" s="210"/>
      <c r="AD364" s="210"/>
      <c r="AE364" s="210"/>
      <c r="AF364" s="210"/>
      <c r="AG364" s="210"/>
      <c r="AH364" s="210"/>
      <c r="AI364" s="210"/>
      <c r="AJ364" s="210"/>
      <c r="AK364" s="210"/>
      <c r="AL364" s="210"/>
      <c r="AM364" s="214"/>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c r="BU364" s="210"/>
      <c r="BV364" s="210"/>
      <c r="BW364" s="210"/>
      <c r="BX364" s="210"/>
      <c r="BY364" s="210"/>
      <c r="BZ364" s="210"/>
      <c r="CA364" s="210"/>
      <c r="CB364" s="210"/>
      <c r="CC364" s="210"/>
      <c r="CD364" s="210"/>
      <c r="CE364" s="210"/>
      <c r="CF364" s="210"/>
      <c r="CG364" s="210"/>
      <c r="CH364" s="210"/>
      <c r="CI364" s="210"/>
      <c r="CJ364" s="210"/>
      <c r="CK364" s="210"/>
    </row>
    <row r="365">
      <c r="A365" s="222" t="s">
        <v>671</v>
      </c>
      <c r="B365" s="190" t="s">
        <v>672</v>
      </c>
      <c r="C365" s="223" t="s">
        <v>83</v>
      </c>
      <c r="D365" s="223" t="s">
        <v>876</v>
      </c>
      <c r="E365" s="190" t="s">
        <v>22</v>
      </c>
      <c r="F365" s="13" t="s">
        <v>935</v>
      </c>
      <c r="G365" s="13" t="s">
        <v>935</v>
      </c>
      <c r="H365" s="219">
        <f>IFERROR(
  MINIFS(ATTENDANCE_LOG!$F:$F,
         ATTENDANCE_LOG!$A:$A, C365,
         ATTENDANCE_LOG!$B:$B, E365),
"")</f>
        <v>45882.41667</v>
      </c>
      <c r="I365" s="219">
        <f t="shared" si="2"/>
        <v>45764.41667</v>
      </c>
      <c r="J365" s="190">
        <f>IFERROR(VLOOKUP(F365, LEVEL_HELPER!$A:$B, 2, 0), "")</f>
        <v>3.5</v>
      </c>
      <c r="K365" s="190">
        <f>IFERROR(VLOOKUP(G365, LEVEL_HELPER!$A:$B, 2, 0), "")</f>
        <v>3.5</v>
      </c>
      <c r="L365" s="220" t="s">
        <v>943</v>
      </c>
      <c r="M365" s="220" t="s">
        <v>924</v>
      </c>
      <c r="N365" s="190">
        <f t="array" ref="N365">IFERROR(
  INDEX($J$2:$J$543,
    MATCH(A365&amp;TEXT(I365,"yyyy-mm-dd"),
          $A$2:$A$543&amp;TEXT($H$2:$H$543,"yyyy-mm-dd"),
          0)),
"")</f>
        <v>1</v>
      </c>
      <c r="O365" s="210">
        <f t="shared" si="3"/>
        <v>3.5</v>
      </c>
      <c r="P365" s="210">
        <f t="shared" ref="P365:Q365" si="375">IF(N365="",0,IF(N365&lt;=2,1,IF(N365&lt;=4,2,IF(N365&lt;=5.5,3,4))))</f>
        <v>1</v>
      </c>
      <c r="Q365" s="210">
        <f t="shared" si="375"/>
        <v>2</v>
      </c>
      <c r="R365" s="210" t="str">
        <f t="shared" si="5"/>
        <v>Lv1 → Lv2</v>
      </c>
      <c r="S365" s="210">
        <f t="shared" si="6"/>
        <v>0</v>
      </c>
      <c r="T365" s="210"/>
      <c r="U365" s="210"/>
      <c r="V365" s="210"/>
      <c r="W365" s="210"/>
      <c r="X365" s="210"/>
      <c r="Y365" s="210"/>
      <c r="Z365" s="210"/>
      <c r="AA365" s="210"/>
      <c r="AB365" s="210"/>
      <c r="AC365" s="210"/>
      <c r="AD365" s="210"/>
      <c r="AE365" s="210"/>
      <c r="AF365" s="210"/>
      <c r="AG365" s="210"/>
      <c r="AH365" s="210"/>
      <c r="AI365" s="210"/>
      <c r="AJ365" s="210"/>
      <c r="AK365" s="210"/>
      <c r="AL365" s="210"/>
      <c r="AM365" s="214"/>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c r="BU365" s="210"/>
      <c r="BV365" s="210"/>
      <c r="BW365" s="210"/>
      <c r="BX365" s="210"/>
      <c r="BY365" s="210"/>
      <c r="BZ365" s="210"/>
      <c r="CA365" s="210"/>
      <c r="CB365" s="210"/>
      <c r="CC365" s="210"/>
      <c r="CD365" s="210"/>
      <c r="CE365" s="210"/>
      <c r="CF365" s="210"/>
      <c r="CG365" s="210"/>
      <c r="CH365" s="210"/>
      <c r="CI365" s="210"/>
      <c r="CJ365" s="210"/>
      <c r="CK365" s="210"/>
    </row>
    <row r="366">
      <c r="A366" s="216" t="s">
        <v>649</v>
      </c>
      <c r="B366" s="217" t="s">
        <v>650</v>
      </c>
      <c r="C366" s="218" t="s">
        <v>84</v>
      </c>
      <c r="D366" s="218" t="s">
        <v>877</v>
      </c>
      <c r="E366" s="217" t="s">
        <v>24</v>
      </c>
      <c r="F366" s="190"/>
      <c r="G366" s="190"/>
      <c r="H366" s="219">
        <f>IFERROR(
  MINIFS(ATTENDANCE_LOG!$F:$F,
         ATTENDANCE_LOG!$A:$A, C366,
         ATTENDANCE_LOG!$B:$B, E366),
"")</f>
        <v>46091.54167</v>
      </c>
      <c r="I366" s="219">
        <f t="shared" si="2"/>
        <v>45764.58333</v>
      </c>
      <c r="J366" s="190" t="str">
        <f>IFERROR(VLOOKUP(F366, LEVEL_HELPER!$A:$B, 2, 0), "")</f>
        <v/>
      </c>
      <c r="K366" s="190" t="str">
        <f>IFERROR(VLOOKUP(G366, LEVEL_HELPER!$A:$B, 2, 0), "")</f>
        <v/>
      </c>
      <c r="L366" s="220" t="s">
        <v>931</v>
      </c>
      <c r="M366" s="220" t="s">
        <v>924</v>
      </c>
      <c r="N366" s="190">
        <f t="array" ref="N366">IFERROR(
  INDEX($J$2:$J$543,
    MATCH(A366&amp;TEXT(I366,"yyyy-mm-dd"),
          $A$2:$A$543&amp;TEXT($H$2:$H$543,"yyyy-mm-dd"),
          0)),
"")</f>
        <v>1</v>
      </c>
      <c r="O366" s="210">
        <f t="shared" si="3"/>
        <v>5</v>
      </c>
      <c r="P366" s="210">
        <f t="shared" ref="P366:Q366" si="376">IF(N366="",0,IF(N366&lt;=2,1,IF(N366&lt;=4,2,IF(N366&lt;=5.5,3,4))))</f>
        <v>1</v>
      </c>
      <c r="Q366" s="210">
        <f t="shared" si="376"/>
        <v>3</v>
      </c>
      <c r="R366" s="210" t="str">
        <f t="shared" si="5"/>
        <v>Lv1 → Lv3 (multi)</v>
      </c>
      <c r="S366" s="210">
        <f t="shared" si="6"/>
        <v>1</v>
      </c>
      <c r="T366" s="210"/>
      <c r="U366" s="210"/>
      <c r="V366" s="210"/>
      <c r="W366" s="210"/>
      <c r="X366" s="210"/>
      <c r="Y366" s="210"/>
      <c r="Z366" s="210"/>
      <c r="AA366" s="210"/>
      <c r="AB366" s="210"/>
      <c r="AC366" s="210"/>
      <c r="AD366" s="210"/>
      <c r="AE366" s="210"/>
      <c r="AF366" s="210"/>
      <c r="AG366" s="210"/>
      <c r="AH366" s="210"/>
      <c r="AI366" s="210"/>
      <c r="AJ366" s="210"/>
      <c r="AK366" s="210"/>
      <c r="AL366" s="210"/>
      <c r="AM366" s="214"/>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c r="BU366" s="210"/>
      <c r="BV366" s="210"/>
      <c r="BW366" s="210"/>
      <c r="BX366" s="210"/>
      <c r="BY366" s="210"/>
      <c r="BZ366" s="210"/>
      <c r="CA366" s="210"/>
      <c r="CB366" s="210"/>
      <c r="CC366" s="210"/>
      <c r="CD366" s="210"/>
      <c r="CE366" s="210"/>
      <c r="CF366" s="210"/>
      <c r="CG366" s="210"/>
      <c r="CH366" s="210"/>
      <c r="CI366" s="210"/>
      <c r="CJ366" s="210"/>
      <c r="CK366" s="210"/>
    </row>
    <row r="367">
      <c r="A367" s="222" t="s">
        <v>253</v>
      </c>
      <c r="B367" s="190" t="s">
        <v>254</v>
      </c>
      <c r="C367" s="223" t="s">
        <v>84</v>
      </c>
      <c r="D367" s="223" t="s">
        <v>877</v>
      </c>
      <c r="E367" s="190" t="s">
        <v>24</v>
      </c>
      <c r="F367" s="190"/>
      <c r="G367" s="190"/>
      <c r="H367" s="219">
        <f>IFERROR(
  MINIFS(ATTENDANCE_LOG!$F:$F,
         ATTENDANCE_LOG!$A:$A, C367,
         ATTENDANCE_LOG!$B:$B, E367),
"")</f>
        <v>46091.54167</v>
      </c>
      <c r="I367" s="219">
        <f t="shared" si="2"/>
        <v>45764.58333</v>
      </c>
      <c r="J367" s="190" t="str">
        <f>IFERROR(VLOOKUP(F367, LEVEL_HELPER!$A:$B, 2, 0), "")</f>
        <v/>
      </c>
      <c r="K367" s="190" t="str">
        <f>IFERROR(VLOOKUP(G367, LEVEL_HELPER!$A:$B, 2, 0), "")</f>
        <v/>
      </c>
      <c r="L367" s="220" t="s">
        <v>931</v>
      </c>
      <c r="M367" s="220" t="s">
        <v>924</v>
      </c>
      <c r="N367" s="190">
        <f t="array" ref="N367">IFERROR(
  INDEX($J$2:$J$543,
    MATCH(A367&amp;TEXT(I367,"yyyy-mm-dd"),
          $A$2:$A$543&amp;TEXT($H$2:$H$543,"yyyy-mm-dd"),
          0)),
"")</f>
        <v>2.5</v>
      </c>
      <c r="O367" s="210">
        <f t="shared" si="3"/>
        <v>5.5</v>
      </c>
      <c r="P367" s="210">
        <f t="shared" ref="P367:Q367" si="377">IF(N367="",0,IF(N367&lt;=2,1,IF(N367&lt;=4,2,IF(N367&lt;=5.5,3,4))))</f>
        <v>2</v>
      </c>
      <c r="Q367" s="210">
        <f t="shared" si="377"/>
        <v>3</v>
      </c>
      <c r="R367" s="210" t="str">
        <f t="shared" si="5"/>
        <v>Lv2 → Lv3</v>
      </c>
      <c r="S367" s="210">
        <f t="shared" si="6"/>
        <v>1</v>
      </c>
      <c r="T367" s="210"/>
      <c r="U367" s="210"/>
      <c r="V367" s="210"/>
      <c r="W367" s="210"/>
      <c r="X367" s="210"/>
      <c r="Y367" s="210"/>
      <c r="Z367" s="210"/>
      <c r="AA367" s="210"/>
      <c r="AB367" s="210"/>
      <c r="AC367" s="210"/>
      <c r="AD367" s="210"/>
      <c r="AE367" s="210"/>
      <c r="AF367" s="210"/>
      <c r="AG367" s="210"/>
      <c r="AH367" s="210"/>
      <c r="AI367" s="210"/>
      <c r="AJ367" s="210"/>
      <c r="AK367" s="210"/>
      <c r="AL367" s="210"/>
      <c r="AM367" s="214"/>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c r="BU367" s="210"/>
      <c r="BV367" s="210"/>
      <c r="BW367" s="210"/>
      <c r="BX367" s="210"/>
      <c r="BY367" s="210"/>
      <c r="BZ367" s="210"/>
      <c r="CA367" s="210"/>
      <c r="CB367" s="210"/>
      <c r="CC367" s="210"/>
      <c r="CD367" s="210"/>
      <c r="CE367" s="210"/>
      <c r="CF367" s="210"/>
      <c r="CG367" s="210"/>
      <c r="CH367" s="210"/>
      <c r="CI367" s="210"/>
      <c r="CJ367" s="210"/>
      <c r="CK367" s="210"/>
    </row>
    <row r="368">
      <c r="A368" s="222" t="s">
        <v>447</v>
      </c>
      <c r="B368" s="190" t="s">
        <v>448</v>
      </c>
      <c r="C368" s="223" t="s">
        <v>84</v>
      </c>
      <c r="D368" s="223" t="s">
        <v>877</v>
      </c>
      <c r="E368" s="190" t="s">
        <v>24</v>
      </c>
      <c r="F368" s="190"/>
      <c r="G368" s="190"/>
      <c r="H368" s="219">
        <f>IFERROR(
  MINIFS(ATTENDANCE_LOG!$F:$F,
         ATTENDANCE_LOG!$A:$A, C368,
         ATTENDANCE_LOG!$B:$B, E368),
"")</f>
        <v>46091.54167</v>
      </c>
      <c r="I368" s="219">
        <f t="shared" si="2"/>
        <v>45764.58333</v>
      </c>
      <c r="J368" s="190" t="str">
        <f>IFERROR(VLOOKUP(F368, LEVEL_HELPER!$A:$B, 2, 0), "")</f>
        <v/>
      </c>
      <c r="K368" s="190" t="str">
        <f>IFERROR(VLOOKUP(G368, LEVEL_HELPER!$A:$B, 2, 0), "")</f>
        <v/>
      </c>
      <c r="L368" s="220" t="s">
        <v>931</v>
      </c>
      <c r="M368" s="220" t="s">
        <v>924</v>
      </c>
      <c r="N368" s="190">
        <f t="array" ref="N368">IFERROR(
  INDEX($J$2:$J$543,
    MATCH(A368&amp;TEXT(I368,"yyyy-mm-dd"),
          $A$2:$A$543&amp;TEXT($H$2:$H$543,"yyyy-mm-dd"),
          0)),
"")</f>
        <v>1</v>
      </c>
      <c r="O368" s="210">
        <f t="shared" si="3"/>
        <v>5</v>
      </c>
      <c r="P368" s="210">
        <f t="shared" ref="P368:Q368" si="378">IF(N368="",0,IF(N368&lt;=2,1,IF(N368&lt;=4,2,IF(N368&lt;=5.5,3,4))))</f>
        <v>1</v>
      </c>
      <c r="Q368" s="210">
        <f t="shared" si="378"/>
        <v>3</v>
      </c>
      <c r="R368" s="210" t="str">
        <f t="shared" si="5"/>
        <v>Lv1 → Lv3 (multi)</v>
      </c>
      <c r="S368" s="210">
        <f t="shared" si="6"/>
        <v>1</v>
      </c>
      <c r="T368" s="210"/>
      <c r="U368" s="210"/>
      <c r="V368" s="210"/>
      <c r="W368" s="210"/>
      <c r="X368" s="210"/>
      <c r="Y368" s="210"/>
      <c r="Z368" s="210"/>
      <c r="AA368" s="210"/>
      <c r="AB368" s="210"/>
      <c r="AC368" s="210"/>
      <c r="AD368" s="210"/>
      <c r="AE368" s="210"/>
      <c r="AF368" s="210"/>
      <c r="AG368" s="210"/>
      <c r="AH368" s="210"/>
      <c r="AI368" s="210"/>
      <c r="AJ368" s="210"/>
      <c r="AK368" s="210"/>
      <c r="AL368" s="210"/>
      <c r="AM368" s="214"/>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c r="BU368" s="210"/>
      <c r="BV368" s="210"/>
      <c r="BW368" s="210"/>
      <c r="BX368" s="210"/>
      <c r="BY368" s="210"/>
      <c r="BZ368" s="210"/>
      <c r="CA368" s="210"/>
      <c r="CB368" s="210"/>
      <c r="CC368" s="210"/>
      <c r="CD368" s="210"/>
      <c r="CE368" s="210"/>
      <c r="CF368" s="210"/>
      <c r="CG368" s="210"/>
      <c r="CH368" s="210"/>
      <c r="CI368" s="210"/>
      <c r="CJ368" s="210"/>
      <c r="CK368" s="210"/>
    </row>
    <row r="369">
      <c r="A369" s="222" t="s">
        <v>486</v>
      </c>
      <c r="B369" s="190" t="s">
        <v>487</v>
      </c>
      <c r="C369" s="223" t="s">
        <v>84</v>
      </c>
      <c r="D369" s="223" t="s">
        <v>877</v>
      </c>
      <c r="E369" s="190" t="s">
        <v>24</v>
      </c>
      <c r="F369" s="190"/>
      <c r="G369" s="190"/>
      <c r="H369" s="219">
        <f>IFERROR(
  MINIFS(ATTENDANCE_LOG!$F:$F,
         ATTENDANCE_LOG!$A:$A, C369,
         ATTENDANCE_LOG!$B:$B, E369),
"")</f>
        <v>46091.54167</v>
      </c>
      <c r="I369" s="219">
        <f t="shared" si="2"/>
        <v>45764.58333</v>
      </c>
      <c r="J369" s="190" t="str">
        <f>IFERROR(VLOOKUP(F369, LEVEL_HELPER!$A:$B, 2, 0), "")</f>
        <v/>
      </c>
      <c r="K369" s="190" t="str">
        <f>IFERROR(VLOOKUP(G369, LEVEL_HELPER!$A:$B, 2, 0), "")</f>
        <v/>
      </c>
      <c r="L369" s="220" t="s">
        <v>931</v>
      </c>
      <c r="M369" s="220" t="s">
        <v>924</v>
      </c>
      <c r="N369" s="190">
        <f t="array" ref="N369">IFERROR(
  INDEX($J$2:$J$543,
    MATCH(A369&amp;TEXT(I369,"yyyy-mm-dd"),
          $A$2:$A$543&amp;TEXT($H$2:$H$543,"yyyy-mm-dd"),
          0)),
"")</f>
        <v>1</v>
      </c>
      <c r="O369" s="210">
        <f t="shared" si="3"/>
        <v>5</v>
      </c>
      <c r="P369" s="210">
        <f t="shared" ref="P369:Q369" si="379">IF(N369="",0,IF(N369&lt;=2,1,IF(N369&lt;=4,2,IF(N369&lt;=5.5,3,4))))</f>
        <v>1</v>
      </c>
      <c r="Q369" s="210">
        <f t="shared" si="379"/>
        <v>3</v>
      </c>
      <c r="R369" s="210" t="str">
        <f t="shared" si="5"/>
        <v>Lv1 → Lv3 (multi)</v>
      </c>
      <c r="S369" s="210">
        <f t="shared" si="6"/>
        <v>1</v>
      </c>
      <c r="T369" s="210"/>
      <c r="U369" s="210"/>
      <c r="V369" s="210"/>
      <c r="W369" s="210"/>
      <c r="X369" s="210"/>
      <c r="Y369" s="210"/>
      <c r="Z369" s="210"/>
      <c r="AA369" s="210"/>
      <c r="AB369" s="210"/>
      <c r="AC369" s="210"/>
      <c r="AD369" s="210"/>
      <c r="AE369" s="210"/>
      <c r="AF369" s="210"/>
      <c r="AG369" s="210"/>
      <c r="AH369" s="210"/>
      <c r="AI369" s="210"/>
      <c r="AJ369" s="210"/>
      <c r="AK369" s="210"/>
      <c r="AL369" s="210"/>
      <c r="AM369" s="214"/>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c r="BU369" s="210"/>
      <c r="BV369" s="210"/>
      <c r="BW369" s="210"/>
      <c r="BX369" s="210"/>
      <c r="BY369" s="210"/>
      <c r="BZ369" s="210"/>
      <c r="CA369" s="210"/>
      <c r="CB369" s="210"/>
      <c r="CC369" s="210"/>
      <c r="CD369" s="210"/>
      <c r="CE369" s="210"/>
      <c r="CF369" s="210"/>
      <c r="CG369" s="210"/>
      <c r="CH369" s="210"/>
      <c r="CI369" s="210"/>
      <c r="CJ369" s="210"/>
      <c r="CK369" s="210"/>
    </row>
    <row r="370">
      <c r="A370" s="222" t="s">
        <v>508</v>
      </c>
      <c r="B370" s="190" t="s">
        <v>509</v>
      </c>
      <c r="C370" s="223" t="s">
        <v>84</v>
      </c>
      <c r="D370" s="223" t="s">
        <v>877</v>
      </c>
      <c r="E370" s="190" t="s">
        <v>24</v>
      </c>
      <c r="F370" s="190"/>
      <c r="G370" s="190"/>
      <c r="H370" s="219">
        <f>IFERROR(
  MINIFS(ATTENDANCE_LOG!$F:$F,
         ATTENDANCE_LOG!$A:$A, C370,
         ATTENDANCE_LOG!$B:$B, E370),
"")</f>
        <v>46091.54167</v>
      </c>
      <c r="I370" s="219">
        <f t="shared" si="2"/>
        <v>45764.58333</v>
      </c>
      <c r="J370" s="190" t="str">
        <f>IFERROR(VLOOKUP(F370, LEVEL_HELPER!$A:$B, 2, 0), "")</f>
        <v/>
      </c>
      <c r="K370" s="190" t="str">
        <f>IFERROR(VLOOKUP(G370, LEVEL_HELPER!$A:$B, 2, 0), "")</f>
        <v/>
      </c>
      <c r="L370" s="220" t="s">
        <v>931</v>
      </c>
      <c r="M370" s="220" t="s">
        <v>924</v>
      </c>
      <c r="N370" s="190">
        <f t="array" ref="N370">IFERROR(
  INDEX($J$2:$J$543,
    MATCH(A370&amp;TEXT(I370,"yyyy-mm-dd"),
          $A$2:$A$543&amp;TEXT($H$2:$H$543,"yyyy-mm-dd"),
          0)),
"")</f>
        <v>1</v>
      </c>
      <c r="O370" s="210">
        <f t="shared" si="3"/>
        <v>5.5</v>
      </c>
      <c r="P370" s="210">
        <f t="shared" ref="P370:Q370" si="380">IF(N370="",0,IF(N370&lt;=2,1,IF(N370&lt;=4,2,IF(N370&lt;=5.5,3,4))))</f>
        <v>1</v>
      </c>
      <c r="Q370" s="210">
        <f t="shared" si="380"/>
        <v>3</v>
      </c>
      <c r="R370" s="210" t="str">
        <f t="shared" si="5"/>
        <v>Lv1 → Lv3 (multi)</v>
      </c>
      <c r="S370" s="210">
        <f t="shared" si="6"/>
        <v>1</v>
      </c>
      <c r="T370" s="210"/>
      <c r="U370" s="210"/>
      <c r="V370" s="210"/>
      <c r="W370" s="210"/>
      <c r="X370" s="210"/>
      <c r="Y370" s="210"/>
      <c r="Z370" s="210"/>
      <c r="AA370" s="210"/>
      <c r="AB370" s="210"/>
      <c r="AC370" s="210"/>
      <c r="AD370" s="210"/>
      <c r="AE370" s="210"/>
      <c r="AF370" s="210"/>
      <c r="AG370" s="210"/>
      <c r="AH370" s="210"/>
      <c r="AI370" s="210"/>
      <c r="AJ370" s="210"/>
      <c r="AK370" s="210"/>
      <c r="AL370" s="210"/>
      <c r="AM370" s="214"/>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c r="BU370" s="210"/>
      <c r="BV370" s="210"/>
      <c r="BW370" s="210"/>
      <c r="BX370" s="210"/>
      <c r="BY370" s="210"/>
      <c r="BZ370" s="210"/>
      <c r="CA370" s="210"/>
      <c r="CB370" s="210"/>
      <c r="CC370" s="210"/>
      <c r="CD370" s="210"/>
      <c r="CE370" s="210"/>
      <c r="CF370" s="210"/>
      <c r="CG370" s="210"/>
      <c r="CH370" s="210"/>
      <c r="CI370" s="210"/>
      <c r="CJ370" s="210"/>
      <c r="CK370" s="210"/>
    </row>
    <row r="371">
      <c r="A371" s="222" t="s">
        <v>597</v>
      </c>
      <c r="B371" s="190" t="s">
        <v>598</v>
      </c>
      <c r="C371" s="223" t="s">
        <v>84</v>
      </c>
      <c r="D371" s="223" t="s">
        <v>877</v>
      </c>
      <c r="E371" s="190" t="s">
        <v>24</v>
      </c>
      <c r="F371" s="190"/>
      <c r="G371" s="190"/>
      <c r="H371" s="219">
        <f>IFERROR(
  MINIFS(ATTENDANCE_LOG!$F:$F,
         ATTENDANCE_LOG!$A:$A, C371,
         ATTENDANCE_LOG!$B:$B, E371),
"")</f>
        <v>46091.54167</v>
      </c>
      <c r="I371" s="219">
        <f t="shared" si="2"/>
        <v>45764.58333</v>
      </c>
      <c r="J371" s="190" t="str">
        <f>IFERROR(VLOOKUP(F371, LEVEL_HELPER!$A:$B, 2, 0), "")</f>
        <v/>
      </c>
      <c r="K371" s="190" t="str">
        <f>IFERROR(VLOOKUP(G371, LEVEL_HELPER!$A:$B, 2, 0), "")</f>
        <v/>
      </c>
      <c r="L371" s="220" t="s">
        <v>931</v>
      </c>
      <c r="M371" s="220" t="s">
        <v>924</v>
      </c>
      <c r="N371" s="190">
        <f t="array" ref="N371">IFERROR(
  INDEX($J$2:$J$543,
    MATCH(A371&amp;TEXT(I371,"yyyy-mm-dd"),
          $A$2:$A$543&amp;TEXT($H$2:$H$543,"yyyy-mm-dd"),
          0)),
"")</f>
        <v>1</v>
      </c>
      <c r="O371" s="210">
        <f t="shared" si="3"/>
        <v>5</v>
      </c>
      <c r="P371" s="210">
        <f t="shared" ref="P371:Q371" si="381">IF(N371="",0,IF(N371&lt;=2,1,IF(N371&lt;=4,2,IF(N371&lt;=5.5,3,4))))</f>
        <v>1</v>
      </c>
      <c r="Q371" s="210">
        <f t="shared" si="381"/>
        <v>3</v>
      </c>
      <c r="R371" s="210" t="str">
        <f t="shared" si="5"/>
        <v>Lv1 → Lv3 (multi)</v>
      </c>
      <c r="S371" s="210">
        <f t="shared" si="6"/>
        <v>1</v>
      </c>
      <c r="T371" s="210"/>
      <c r="U371" s="210"/>
      <c r="V371" s="210"/>
      <c r="W371" s="210"/>
      <c r="X371" s="210"/>
      <c r="Y371" s="210"/>
      <c r="Z371" s="210"/>
      <c r="AA371" s="210"/>
      <c r="AB371" s="210"/>
      <c r="AC371" s="210"/>
      <c r="AD371" s="210"/>
      <c r="AE371" s="210"/>
      <c r="AF371" s="210"/>
      <c r="AG371" s="210"/>
      <c r="AH371" s="210"/>
      <c r="AI371" s="210"/>
      <c r="AJ371" s="210"/>
      <c r="AK371" s="210"/>
      <c r="AL371" s="210"/>
      <c r="AM371" s="214"/>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c r="BU371" s="210"/>
      <c r="BV371" s="210"/>
      <c r="BW371" s="210"/>
      <c r="BX371" s="210"/>
      <c r="BY371" s="210"/>
      <c r="BZ371" s="210"/>
      <c r="CA371" s="210"/>
      <c r="CB371" s="210"/>
      <c r="CC371" s="210"/>
      <c r="CD371" s="210"/>
      <c r="CE371" s="210"/>
      <c r="CF371" s="210"/>
      <c r="CG371" s="210"/>
      <c r="CH371" s="210"/>
      <c r="CI371" s="210"/>
      <c r="CJ371" s="210"/>
      <c r="CK371" s="210"/>
    </row>
    <row r="372">
      <c r="A372" s="222" t="s">
        <v>623</v>
      </c>
      <c r="B372" s="190" t="s">
        <v>624</v>
      </c>
      <c r="C372" s="223" t="s">
        <v>84</v>
      </c>
      <c r="D372" s="223" t="s">
        <v>877</v>
      </c>
      <c r="E372" s="190" t="s">
        <v>24</v>
      </c>
      <c r="F372" s="190"/>
      <c r="G372" s="190"/>
      <c r="H372" s="219">
        <f>IFERROR(
  MINIFS(ATTENDANCE_LOG!$F:$F,
         ATTENDANCE_LOG!$A:$A, C372,
         ATTENDANCE_LOG!$B:$B, E372),
"")</f>
        <v>46091.54167</v>
      </c>
      <c r="I372" s="219">
        <f t="shared" si="2"/>
        <v>45764.58333</v>
      </c>
      <c r="J372" s="190" t="str">
        <f>IFERROR(VLOOKUP(F372, LEVEL_HELPER!$A:$B, 2, 0), "")</f>
        <v/>
      </c>
      <c r="K372" s="190" t="str">
        <f>IFERROR(VLOOKUP(G372, LEVEL_HELPER!$A:$B, 2, 0), "")</f>
        <v/>
      </c>
      <c r="L372" s="220" t="s">
        <v>931</v>
      </c>
      <c r="M372" s="220" t="s">
        <v>924</v>
      </c>
      <c r="N372" s="190">
        <f t="array" ref="N372">IFERROR(
  INDEX($J$2:$J$543,
    MATCH(A372&amp;TEXT(I372,"yyyy-mm-dd"),
          $A$2:$A$543&amp;TEXT($H$2:$H$543,"yyyy-mm-dd"),
          0)),
"")</f>
        <v>1</v>
      </c>
      <c r="O372" s="210">
        <f t="shared" si="3"/>
        <v>3</v>
      </c>
      <c r="P372" s="210">
        <f t="shared" ref="P372:Q372" si="382">IF(N372="",0,IF(N372&lt;=2,1,IF(N372&lt;=4,2,IF(N372&lt;=5.5,3,4))))</f>
        <v>1</v>
      </c>
      <c r="Q372" s="210">
        <f t="shared" si="382"/>
        <v>2</v>
      </c>
      <c r="R372" s="210" t="str">
        <f t="shared" si="5"/>
        <v>Lv1 → Lv2</v>
      </c>
      <c r="S372" s="210">
        <f t="shared" si="6"/>
        <v>1</v>
      </c>
      <c r="T372" s="210"/>
      <c r="U372" s="210"/>
      <c r="V372" s="210"/>
      <c r="W372" s="210"/>
      <c r="X372" s="210"/>
      <c r="Y372" s="210"/>
      <c r="Z372" s="210"/>
      <c r="AA372" s="210"/>
      <c r="AB372" s="210"/>
      <c r="AC372" s="210"/>
      <c r="AD372" s="210"/>
      <c r="AE372" s="210"/>
      <c r="AF372" s="210"/>
      <c r="AG372" s="210"/>
      <c r="AH372" s="210"/>
      <c r="AI372" s="210"/>
      <c r="AJ372" s="210"/>
      <c r="AK372" s="210"/>
      <c r="AL372" s="210"/>
      <c r="AM372" s="214"/>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c r="BU372" s="210"/>
      <c r="BV372" s="210"/>
      <c r="BW372" s="210"/>
      <c r="BX372" s="210"/>
      <c r="BY372" s="210"/>
      <c r="BZ372" s="210"/>
      <c r="CA372" s="210"/>
      <c r="CB372" s="210"/>
      <c r="CC372" s="210"/>
      <c r="CD372" s="210"/>
      <c r="CE372" s="210"/>
      <c r="CF372" s="210"/>
      <c r="CG372" s="210"/>
      <c r="CH372" s="210"/>
      <c r="CI372" s="210"/>
      <c r="CJ372" s="210"/>
      <c r="CK372" s="210"/>
    </row>
    <row r="373">
      <c r="A373" s="216" t="s">
        <v>649</v>
      </c>
      <c r="B373" s="217" t="s">
        <v>650</v>
      </c>
      <c r="C373" s="218" t="s">
        <v>84</v>
      </c>
      <c r="D373" s="218" t="s">
        <v>877</v>
      </c>
      <c r="E373" s="217" t="s">
        <v>21</v>
      </c>
      <c r="F373" s="13" t="s">
        <v>927</v>
      </c>
      <c r="G373" s="13" t="s">
        <v>918</v>
      </c>
      <c r="H373" s="219">
        <f>IFERROR(
  MINIFS(ATTENDANCE_LOG!$F:$F,
         ATTENDANCE_LOG!$A:$A, C373,
         ATTENDANCE_LOG!$B:$B, E373),
"")</f>
        <v>45764.58333</v>
      </c>
      <c r="I373" s="219">
        <f t="shared" si="2"/>
        <v>45764.58333</v>
      </c>
      <c r="J373" s="190">
        <f>IFERROR(VLOOKUP(F373, LEVEL_HELPER!$A:$B, 2, 0), "")</f>
        <v>1</v>
      </c>
      <c r="K373" s="190">
        <f>IFERROR(VLOOKUP(G373, LEVEL_HELPER!$A:$B, 2, 0), "")</f>
        <v>3</v>
      </c>
      <c r="L373" s="220" t="s">
        <v>931</v>
      </c>
      <c r="M373" s="220" t="s">
        <v>924</v>
      </c>
      <c r="N373" s="190">
        <f t="array" ref="N373">IFERROR(
  INDEX($J$2:$J$543,
    MATCH(A373&amp;TEXT(I373,"yyyy-mm-dd"),
          $A$2:$A$543&amp;TEXT($H$2:$H$543,"yyyy-mm-dd"),
          0)),
"")</f>
        <v>1</v>
      </c>
      <c r="O373" s="210">
        <f t="shared" si="3"/>
        <v>5</v>
      </c>
      <c r="P373" s="210">
        <f t="shared" ref="P373:Q373" si="383">IF(N373="",0,IF(N373&lt;=2,1,IF(N373&lt;=4,2,IF(N373&lt;=5.5,3,4))))</f>
        <v>1</v>
      </c>
      <c r="Q373" s="210">
        <f t="shared" si="383"/>
        <v>3</v>
      </c>
      <c r="R373" s="210" t="str">
        <f t="shared" si="5"/>
        <v>Lv1 → Lv3 (multi)</v>
      </c>
      <c r="S373" s="210">
        <f t="shared" si="6"/>
        <v>0</v>
      </c>
      <c r="T373" s="210"/>
      <c r="U373" s="210"/>
      <c r="V373" s="210"/>
      <c r="W373" s="210"/>
      <c r="X373" s="210"/>
      <c r="Y373" s="210"/>
      <c r="Z373" s="210"/>
      <c r="AA373" s="210"/>
      <c r="AB373" s="210"/>
      <c r="AC373" s="210"/>
      <c r="AD373" s="210"/>
      <c r="AE373" s="210"/>
      <c r="AF373" s="210"/>
      <c r="AG373" s="210"/>
      <c r="AH373" s="210"/>
      <c r="AI373" s="210"/>
      <c r="AJ373" s="210"/>
      <c r="AK373" s="210"/>
      <c r="AL373" s="210"/>
      <c r="AM373" s="214"/>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c r="BU373" s="210"/>
      <c r="BV373" s="210"/>
      <c r="BW373" s="210"/>
      <c r="BX373" s="210"/>
      <c r="BY373" s="210"/>
      <c r="BZ373" s="210"/>
      <c r="CA373" s="210"/>
      <c r="CB373" s="210"/>
      <c r="CC373" s="210"/>
      <c r="CD373" s="210"/>
      <c r="CE373" s="210"/>
      <c r="CF373" s="210"/>
      <c r="CG373" s="210"/>
      <c r="CH373" s="210"/>
      <c r="CI373" s="210"/>
      <c r="CJ373" s="210"/>
      <c r="CK373" s="210"/>
    </row>
    <row r="374">
      <c r="A374" s="222" t="s">
        <v>241</v>
      </c>
      <c r="B374" s="190" t="s">
        <v>242</v>
      </c>
      <c r="C374" s="223" t="s">
        <v>84</v>
      </c>
      <c r="D374" s="223" t="s">
        <v>877</v>
      </c>
      <c r="E374" s="190" t="s">
        <v>21</v>
      </c>
      <c r="F374" s="13" t="s">
        <v>927</v>
      </c>
      <c r="G374" s="13" t="s">
        <v>929</v>
      </c>
      <c r="H374" s="219">
        <f>IFERROR(
  MINIFS(ATTENDANCE_LOG!$F:$F,
         ATTENDANCE_LOG!$A:$A, C374,
         ATTENDANCE_LOG!$B:$B, E374),
"")</f>
        <v>45764.58333</v>
      </c>
      <c r="I374" s="219">
        <f t="shared" si="2"/>
        <v>45764.58333</v>
      </c>
      <c r="J374" s="190">
        <f>IFERROR(VLOOKUP(F374, LEVEL_HELPER!$A:$B, 2, 0), "")</f>
        <v>1</v>
      </c>
      <c r="K374" s="190">
        <f>IFERROR(VLOOKUP(G374, LEVEL_HELPER!$A:$B, 2, 0), "")</f>
        <v>1.5</v>
      </c>
      <c r="L374" s="220" t="s">
        <v>919</v>
      </c>
      <c r="M374" s="220" t="s">
        <v>924</v>
      </c>
      <c r="N374" s="190">
        <f t="array" ref="N374">IFERROR(
  INDEX($J$2:$J$543,
    MATCH(A374&amp;TEXT(I374,"yyyy-mm-dd"),
          $A$2:$A$543&amp;TEXT($H$2:$H$543,"yyyy-mm-dd"),
          0)),
"")</f>
        <v>1</v>
      </c>
      <c r="O374" s="210">
        <f t="shared" si="3"/>
        <v>3</v>
      </c>
      <c r="P374" s="210">
        <f t="shared" ref="P374:Q374" si="384">IF(N374="",0,IF(N374&lt;=2,1,IF(N374&lt;=4,2,IF(N374&lt;=5.5,3,4))))</f>
        <v>1</v>
      </c>
      <c r="Q374" s="210">
        <f t="shared" si="384"/>
        <v>2</v>
      </c>
      <c r="R374" s="210" t="str">
        <f t="shared" si="5"/>
        <v>Lv1 → Lv2</v>
      </c>
      <c r="S374" s="210">
        <f t="shared" si="6"/>
        <v>0</v>
      </c>
      <c r="T374" s="210"/>
      <c r="U374" s="210"/>
      <c r="V374" s="210"/>
      <c r="W374" s="210"/>
      <c r="X374" s="210"/>
      <c r="Y374" s="210"/>
      <c r="Z374" s="210"/>
      <c r="AA374" s="210"/>
      <c r="AB374" s="210"/>
      <c r="AC374" s="210"/>
      <c r="AD374" s="210"/>
      <c r="AE374" s="210"/>
      <c r="AF374" s="210"/>
      <c r="AG374" s="210"/>
      <c r="AH374" s="210"/>
      <c r="AI374" s="210"/>
      <c r="AJ374" s="210"/>
      <c r="AK374" s="210"/>
      <c r="AL374" s="210"/>
      <c r="AM374" s="214"/>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c r="BU374" s="210"/>
      <c r="BV374" s="210"/>
      <c r="BW374" s="210"/>
      <c r="BX374" s="210"/>
      <c r="BY374" s="210"/>
      <c r="BZ374" s="210"/>
      <c r="CA374" s="210"/>
      <c r="CB374" s="210"/>
      <c r="CC374" s="210"/>
      <c r="CD374" s="210"/>
      <c r="CE374" s="210"/>
      <c r="CF374" s="210"/>
      <c r="CG374" s="210"/>
      <c r="CH374" s="210"/>
      <c r="CI374" s="210"/>
      <c r="CJ374" s="210"/>
      <c r="CK374" s="210"/>
    </row>
    <row r="375">
      <c r="A375" s="222" t="s">
        <v>253</v>
      </c>
      <c r="B375" s="190" t="s">
        <v>254</v>
      </c>
      <c r="C375" s="223" t="s">
        <v>84</v>
      </c>
      <c r="D375" s="223" t="s">
        <v>877</v>
      </c>
      <c r="E375" s="190" t="s">
        <v>21</v>
      </c>
      <c r="F375" s="13" t="s">
        <v>917</v>
      </c>
      <c r="G375" s="13" t="s">
        <v>935</v>
      </c>
      <c r="H375" s="219">
        <f>IFERROR(
  MINIFS(ATTENDANCE_LOG!$F:$F,
         ATTENDANCE_LOG!$A:$A, C375,
         ATTENDANCE_LOG!$B:$B, E375),
"")</f>
        <v>45764.58333</v>
      </c>
      <c r="I375" s="219">
        <f t="shared" si="2"/>
        <v>45764.58333</v>
      </c>
      <c r="J375" s="190">
        <f>IFERROR(VLOOKUP(F375, LEVEL_HELPER!$A:$B, 2, 0), "")</f>
        <v>2.5</v>
      </c>
      <c r="K375" s="190">
        <f>IFERROR(VLOOKUP(G375, LEVEL_HELPER!$A:$B, 2, 0), "")</f>
        <v>3.5</v>
      </c>
      <c r="L375" s="220" t="s">
        <v>931</v>
      </c>
      <c r="M375" s="220" t="s">
        <v>924</v>
      </c>
      <c r="N375" s="190">
        <f t="array" ref="N375">IFERROR(
  INDEX($J$2:$J$543,
    MATCH(A375&amp;TEXT(I375,"yyyy-mm-dd"),
          $A$2:$A$543&amp;TEXT($H$2:$H$543,"yyyy-mm-dd"),
          0)),
"")</f>
        <v>2.5</v>
      </c>
      <c r="O375" s="210">
        <f t="shared" si="3"/>
        <v>5.5</v>
      </c>
      <c r="P375" s="210">
        <f t="shared" ref="P375:Q375" si="385">IF(N375="",0,IF(N375&lt;=2,1,IF(N375&lt;=4,2,IF(N375&lt;=5.5,3,4))))</f>
        <v>2</v>
      </c>
      <c r="Q375" s="210">
        <f t="shared" si="385"/>
        <v>3</v>
      </c>
      <c r="R375" s="210" t="str">
        <f t="shared" si="5"/>
        <v>Lv2 → Lv3</v>
      </c>
      <c r="S375" s="210">
        <f t="shared" si="6"/>
        <v>0</v>
      </c>
      <c r="T375" s="210"/>
      <c r="U375" s="210"/>
      <c r="V375" s="210"/>
      <c r="W375" s="210"/>
      <c r="X375" s="210"/>
      <c r="Y375" s="210"/>
      <c r="Z375" s="210"/>
      <c r="AA375" s="210"/>
      <c r="AB375" s="210"/>
      <c r="AC375" s="210"/>
      <c r="AD375" s="210"/>
      <c r="AE375" s="210"/>
      <c r="AF375" s="210"/>
      <c r="AG375" s="210"/>
      <c r="AH375" s="210"/>
      <c r="AI375" s="210"/>
      <c r="AJ375" s="210"/>
      <c r="AK375" s="210"/>
      <c r="AL375" s="210"/>
      <c r="AM375" s="214"/>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c r="BU375" s="210"/>
      <c r="BV375" s="210"/>
      <c r="BW375" s="210"/>
      <c r="BX375" s="210"/>
      <c r="BY375" s="210"/>
      <c r="BZ375" s="210"/>
      <c r="CA375" s="210"/>
      <c r="CB375" s="210"/>
      <c r="CC375" s="210"/>
      <c r="CD375" s="210"/>
      <c r="CE375" s="210"/>
      <c r="CF375" s="210"/>
      <c r="CG375" s="210"/>
      <c r="CH375" s="210"/>
      <c r="CI375" s="210"/>
      <c r="CJ375" s="210"/>
      <c r="CK375" s="210"/>
    </row>
    <row r="376">
      <c r="A376" s="222" t="s">
        <v>447</v>
      </c>
      <c r="B376" s="190" t="s">
        <v>448</v>
      </c>
      <c r="C376" s="223" t="s">
        <v>84</v>
      </c>
      <c r="D376" s="223" t="s">
        <v>877</v>
      </c>
      <c r="E376" s="190" t="s">
        <v>21</v>
      </c>
      <c r="F376" s="13" t="s">
        <v>927</v>
      </c>
      <c r="G376" s="13" t="s">
        <v>929</v>
      </c>
      <c r="H376" s="219">
        <f>IFERROR(
  MINIFS(ATTENDANCE_LOG!$F:$F,
         ATTENDANCE_LOG!$A:$A, C376,
         ATTENDANCE_LOG!$B:$B, E376),
"")</f>
        <v>45764.58333</v>
      </c>
      <c r="I376" s="219">
        <f t="shared" si="2"/>
        <v>45764.58333</v>
      </c>
      <c r="J376" s="190">
        <f>IFERROR(VLOOKUP(F376, LEVEL_HELPER!$A:$B, 2, 0), "")</f>
        <v>1</v>
      </c>
      <c r="K376" s="190">
        <f>IFERROR(VLOOKUP(G376, LEVEL_HELPER!$A:$B, 2, 0), "")</f>
        <v>1.5</v>
      </c>
      <c r="L376" s="220" t="s">
        <v>931</v>
      </c>
      <c r="M376" s="220" t="s">
        <v>924</v>
      </c>
      <c r="N376" s="190">
        <f t="array" ref="N376">IFERROR(
  INDEX($J$2:$J$543,
    MATCH(A376&amp;TEXT(I376,"yyyy-mm-dd"),
          $A$2:$A$543&amp;TEXT($H$2:$H$543,"yyyy-mm-dd"),
          0)),
"")</f>
        <v>1</v>
      </c>
      <c r="O376" s="210">
        <f t="shared" si="3"/>
        <v>5</v>
      </c>
      <c r="P376" s="210">
        <f t="shared" ref="P376:Q376" si="386">IF(N376="",0,IF(N376&lt;=2,1,IF(N376&lt;=4,2,IF(N376&lt;=5.5,3,4))))</f>
        <v>1</v>
      </c>
      <c r="Q376" s="210">
        <f t="shared" si="386"/>
        <v>3</v>
      </c>
      <c r="R376" s="210" t="str">
        <f t="shared" si="5"/>
        <v>Lv1 → Lv3 (multi)</v>
      </c>
      <c r="S376" s="210">
        <f t="shared" si="6"/>
        <v>0</v>
      </c>
      <c r="T376" s="210"/>
      <c r="U376" s="210"/>
      <c r="V376" s="210"/>
      <c r="W376" s="210"/>
      <c r="X376" s="210"/>
      <c r="Y376" s="210"/>
      <c r="Z376" s="210"/>
      <c r="AA376" s="210"/>
      <c r="AB376" s="210"/>
      <c r="AC376" s="210"/>
      <c r="AD376" s="210"/>
      <c r="AE376" s="210"/>
      <c r="AF376" s="210"/>
      <c r="AG376" s="210"/>
      <c r="AH376" s="210"/>
      <c r="AI376" s="210"/>
      <c r="AJ376" s="210"/>
      <c r="AK376" s="210"/>
      <c r="AL376" s="210"/>
      <c r="AM376" s="214"/>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c r="BU376" s="210"/>
      <c r="BV376" s="210"/>
      <c r="BW376" s="210"/>
      <c r="BX376" s="210"/>
      <c r="BY376" s="210"/>
      <c r="BZ376" s="210"/>
      <c r="CA376" s="210"/>
      <c r="CB376" s="210"/>
      <c r="CC376" s="210"/>
      <c r="CD376" s="210"/>
      <c r="CE376" s="210"/>
      <c r="CF376" s="210"/>
      <c r="CG376" s="210"/>
      <c r="CH376" s="210"/>
      <c r="CI376" s="210"/>
      <c r="CJ376" s="210"/>
      <c r="CK376" s="210"/>
    </row>
    <row r="377">
      <c r="A377" s="222" t="s">
        <v>463</v>
      </c>
      <c r="B377" s="190" t="s">
        <v>464</v>
      </c>
      <c r="C377" s="223" t="s">
        <v>84</v>
      </c>
      <c r="D377" s="223" t="s">
        <v>877</v>
      </c>
      <c r="E377" s="190" t="s">
        <v>21</v>
      </c>
      <c r="F377" s="13" t="s">
        <v>927</v>
      </c>
      <c r="G377" s="13" t="s">
        <v>929</v>
      </c>
      <c r="H377" s="219">
        <f>IFERROR(
  MINIFS(ATTENDANCE_LOG!$F:$F,
         ATTENDANCE_LOG!$A:$A, C377,
         ATTENDANCE_LOG!$B:$B, E377),
"")</f>
        <v>45764.58333</v>
      </c>
      <c r="I377" s="219">
        <f t="shared" si="2"/>
        <v>45764.58333</v>
      </c>
      <c r="J377" s="190">
        <f>IFERROR(VLOOKUP(F377, LEVEL_HELPER!$A:$B, 2, 0), "")</f>
        <v>1</v>
      </c>
      <c r="K377" s="190">
        <f>IFERROR(VLOOKUP(G377, LEVEL_HELPER!$A:$B, 2, 0), "")</f>
        <v>1.5</v>
      </c>
      <c r="L377" s="220" t="s">
        <v>919</v>
      </c>
      <c r="M377" s="220" t="s">
        <v>924</v>
      </c>
      <c r="N377" s="190">
        <f t="array" ref="N377">IFERROR(
  INDEX($J$2:$J$543,
    MATCH(A377&amp;TEXT(I377,"yyyy-mm-dd"),
          $A$2:$A$543&amp;TEXT($H$2:$H$543,"yyyy-mm-dd"),
          0)),
"")</f>
        <v>1</v>
      </c>
      <c r="O377" s="210">
        <f t="shared" si="3"/>
        <v>1.5</v>
      </c>
      <c r="P377" s="210">
        <f t="shared" ref="P377:Q377" si="387">IF(N377="",0,IF(N377&lt;=2,1,IF(N377&lt;=4,2,IF(N377&lt;=5.5,3,4))))</f>
        <v>1</v>
      </c>
      <c r="Q377" s="210">
        <f t="shared" si="387"/>
        <v>1</v>
      </c>
      <c r="R377" s="210" t="str">
        <f t="shared" si="5"/>
        <v>Progress within level</v>
      </c>
      <c r="S377" s="210">
        <f t="shared" si="6"/>
        <v>0</v>
      </c>
      <c r="T377" s="210"/>
      <c r="U377" s="210"/>
      <c r="V377" s="210"/>
      <c r="W377" s="210"/>
      <c r="X377" s="210"/>
      <c r="Y377" s="210"/>
      <c r="Z377" s="210"/>
      <c r="AA377" s="210"/>
      <c r="AB377" s="210"/>
      <c r="AC377" s="210"/>
      <c r="AD377" s="210"/>
      <c r="AE377" s="210"/>
      <c r="AF377" s="210"/>
      <c r="AG377" s="210"/>
      <c r="AH377" s="210"/>
      <c r="AI377" s="210"/>
      <c r="AJ377" s="210"/>
      <c r="AK377" s="210"/>
      <c r="AL377" s="210"/>
      <c r="AM377" s="214"/>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c r="BU377" s="210"/>
      <c r="BV377" s="210"/>
      <c r="BW377" s="210"/>
      <c r="BX377" s="210"/>
      <c r="BY377" s="210"/>
      <c r="BZ377" s="210"/>
      <c r="CA377" s="210"/>
      <c r="CB377" s="210"/>
      <c r="CC377" s="210"/>
      <c r="CD377" s="210"/>
      <c r="CE377" s="210"/>
      <c r="CF377" s="210"/>
      <c r="CG377" s="210"/>
      <c r="CH377" s="210"/>
      <c r="CI377" s="210"/>
      <c r="CJ377" s="210"/>
      <c r="CK377" s="210"/>
    </row>
    <row r="378">
      <c r="A378" s="222" t="s">
        <v>472</v>
      </c>
      <c r="B378" s="190" t="s">
        <v>473</v>
      </c>
      <c r="C378" s="223" t="s">
        <v>84</v>
      </c>
      <c r="D378" s="223" t="s">
        <v>877</v>
      </c>
      <c r="E378" s="190" t="s">
        <v>21</v>
      </c>
      <c r="F378" s="13" t="s">
        <v>927</v>
      </c>
      <c r="G378" s="190"/>
      <c r="H378" s="219">
        <f>IFERROR(
  MINIFS(ATTENDANCE_LOG!$F:$F,
         ATTENDANCE_LOG!$A:$A, C378,
         ATTENDANCE_LOG!$B:$B, E378),
"")</f>
        <v>45764.58333</v>
      </c>
      <c r="I378" s="219">
        <f t="shared" si="2"/>
        <v>45764.58333</v>
      </c>
      <c r="J378" s="190">
        <f>IFERROR(VLOOKUP(F378, LEVEL_HELPER!$A:$B, 2, 0), "")</f>
        <v>1</v>
      </c>
      <c r="K378" s="190" t="str">
        <f>IFERROR(VLOOKUP(G378, LEVEL_HELPER!$A:$B, 2, 0), "")</f>
        <v/>
      </c>
      <c r="L378" s="220" t="s">
        <v>919</v>
      </c>
      <c r="M378" s="220" t="s">
        <v>923</v>
      </c>
      <c r="N378" s="190">
        <f t="array" ref="N378">IFERROR(
  INDEX($J$2:$J$543,
    MATCH(A378&amp;TEXT(I378,"yyyy-mm-dd"),
          $A$2:$A$543&amp;TEXT($H$2:$H$543,"yyyy-mm-dd"),
          0)),
"")</f>
        <v>1</v>
      </c>
      <c r="O378" s="210">
        <f t="shared" si="3"/>
        <v>0</v>
      </c>
      <c r="P378" s="210">
        <f t="shared" ref="P378:Q378" si="388">IF(N378="",0,IF(N378&lt;=2,1,IF(N378&lt;=4,2,IF(N378&lt;=5.5,3,4))))</f>
        <v>1</v>
      </c>
      <c r="Q378" s="210">
        <f t="shared" si="388"/>
        <v>1</v>
      </c>
      <c r="R378" s="210" t="str">
        <f t="shared" si="5"/>
        <v>Not tested yet</v>
      </c>
      <c r="S378" s="210">
        <f t="shared" si="6"/>
        <v>1</v>
      </c>
      <c r="T378" s="210"/>
      <c r="U378" s="210"/>
      <c r="V378" s="210"/>
      <c r="W378" s="210"/>
      <c r="X378" s="210"/>
      <c r="Y378" s="210"/>
      <c r="Z378" s="210"/>
      <c r="AA378" s="210"/>
      <c r="AB378" s="210"/>
      <c r="AC378" s="210"/>
      <c r="AD378" s="210"/>
      <c r="AE378" s="210"/>
      <c r="AF378" s="210"/>
      <c r="AG378" s="210"/>
      <c r="AH378" s="210"/>
      <c r="AI378" s="210"/>
      <c r="AJ378" s="210"/>
      <c r="AK378" s="210"/>
      <c r="AL378" s="210"/>
      <c r="AM378" s="214"/>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c r="BU378" s="210"/>
      <c r="BV378" s="210"/>
      <c r="BW378" s="210"/>
      <c r="BX378" s="210"/>
      <c r="BY378" s="210"/>
      <c r="BZ378" s="210"/>
      <c r="CA378" s="210"/>
      <c r="CB378" s="210"/>
      <c r="CC378" s="210"/>
      <c r="CD378" s="210"/>
      <c r="CE378" s="210"/>
      <c r="CF378" s="210"/>
      <c r="CG378" s="210"/>
      <c r="CH378" s="210"/>
      <c r="CI378" s="210"/>
      <c r="CJ378" s="210"/>
      <c r="CK378" s="210"/>
    </row>
    <row r="379">
      <c r="A379" s="222" t="s">
        <v>486</v>
      </c>
      <c r="B379" s="190" t="s">
        <v>487</v>
      </c>
      <c r="C379" s="223" t="s">
        <v>84</v>
      </c>
      <c r="D379" s="223" t="s">
        <v>877</v>
      </c>
      <c r="E379" s="190" t="s">
        <v>21</v>
      </c>
      <c r="F379" s="13" t="s">
        <v>927</v>
      </c>
      <c r="G379" s="13" t="s">
        <v>918</v>
      </c>
      <c r="H379" s="219">
        <f>IFERROR(
  MINIFS(ATTENDANCE_LOG!$F:$F,
         ATTENDANCE_LOG!$A:$A, C379,
         ATTENDANCE_LOG!$B:$B, E379),
"")</f>
        <v>45764.58333</v>
      </c>
      <c r="I379" s="219">
        <f t="shared" si="2"/>
        <v>45764.58333</v>
      </c>
      <c r="J379" s="190">
        <f>IFERROR(VLOOKUP(F379, LEVEL_HELPER!$A:$B, 2, 0), "")</f>
        <v>1</v>
      </c>
      <c r="K379" s="190">
        <f>IFERROR(VLOOKUP(G379, LEVEL_HELPER!$A:$B, 2, 0), "")</f>
        <v>3</v>
      </c>
      <c r="L379" s="220" t="s">
        <v>931</v>
      </c>
      <c r="M379" s="220" t="s">
        <v>924</v>
      </c>
      <c r="N379" s="190">
        <f t="array" ref="N379">IFERROR(
  INDEX($J$2:$J$543,
    MATCH(A379&amp;TEXT(I379,"yyyy-mm-dd"),
          $A$2:$A$543&amp;TEXT($H$2:$H$543,"yyyy-mm-dd"),
          0)),
"")</f>
        <v>1</v>
      </c>
      <c r="O379" s="210">
        <f t="shared" si="3"/>
        <v>5</v>
      </c>
      <c r="P379" s="210">
        <f t="shared" ref="P379:Q379" si="389">IF(N379="",0,IF(N379&lt;=2,1,IF(N379&lt;=4,2,IF(N379&lt;=5.5,3,4))))</f>
        <v>1</v>
      </c>
      <c r="Q379" s="210">
        <f t="shared" si="389"/>
        <v>3</v>
      </c>
      <c r="R379" s="210" t="str">
        <f t="shared" si="5"/>
        <v>Lv1 → Lv3 (multi)</v>
      </c>
      <c r="S379" s="210">
        <f t="shared" si="6"/>
        <v>0</v>
      </c>
      <c r="T379" s="210"/>
      <c r="U379" s="210"/>
      <c r="V379" s="210"/>
      <c r="W379" s="210"/>
      <c r="X379" s="210"/>
      <c r="Y379" s="210"/>
      <c r="Z379" s="210"/>
      <c r="AA379" s="210"/>
      <c r="AB379" s="210"/>
      <c r="AC379" s="210"/>
      <c r="AD379" s="210"/>
      <c r="AE379" s="210"/>
      <c r="AF379" s="210"/>
      <c r="AG379" s="210"/>
      <c r="AH379" s="210"/>
      <c r="AI379" s="210"/>
      <c r="AJ379" s="210"/>
      <c r="AK379" s="210"/>
      <c r="AL379" s="210"/>
      <c r="AM379" s="214"/>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c r="BU379" s="210"/>
      <c r="BV379" s="210"/>
      <c r="BW379" s="210"/>
      <c r="BX379" s="210"/>
      <c r="BY379" s="210"/>
      <c r="BZ379" s="210"/>
      <c r="CA379" s="210"/>
      <c r="CB379" s="210"/>
      <c r="CC379" s="210"/>
      <c r="CD379" s="210"/>
      <c r="CE379" s="210"/>
      <c r="CF379" s="210"/>
      <c r="CG379" s="210"/>
      <c r="CH379" s="210"/>
      <c r="CI379" s="210"/>
      <c r="CJ379" s="210"/>
      <c r="CK379" s="210"/>
    </row>
    <row r="380">
      <c r="A380" s="222" t="s">
        <v>508</v>
      </c>
      <c r="B380" s="190" t="s">
        <v>509</v>
      </c>
      <c r="C380" s="223" t="s">
        <v>84</v>
      </c>
      <c r="D380" s="223" t="s">
        <v>877</v>
      </c>
      <c r="E380" s="190" t="s">
        <v>21</v>
      </c>
      <c r="F380" s="13" t="s">
        <v>927</v>
      </c>
      <c r="G380" s="13" t="s">
        <v>918</v>
      </c>
      <c r="H380" s="219">
        <f>IFERROR(
  MINIFS(ATTENDANCE_LOG!$F:$F,
         ATTENDANCE_LOG!$A:$A, C380,
         ATTENDANCE_LOG!$B:$B, E380),
"")</f>
        <v>45764.58333</v>
      </c>
      <c r="I380" s="219">
        <f t="shared" si="2"/>
        <v>45764.58333</v>
      </c>
      <c r="J380" s="190">
        <f>IFERROR(VLOOKUP(F380, LEVEL_HELPER!$A:$B, 2, 0), "")</f>
        <v>1</v>
      </c>
      <c r="K380" s="190">
        <f>IFERROR(VLOOKUP(G380, LEVEL_HELPER!$A:$B, 2, 0), "")</f>
        <v>3</v>
      </c>
      <c r="L380" s="220" t="s">
        <v>931</v>
      </c>
      <c r="M380" s="220" t="s">
        <v>924</v>
      </c>
      <c r="N380" s="190">
        <f t="array" ref="N380">IFERROR(
  INDEX($J$2:$J$543,
    MATCH(A380&amp;TEXT(I380,"yyyy-mm-dd"),
          $A$2:$A$543&amp;TEXT($H$2:$H$543,"yyyy-mm-dd"),
          0)),
"")</f>
        <v>1</v>
      </c>
      <c r="O380" s="210">
        <f t="shared" si="3"/>
        <v>5.5</v>
      </c>
      <c r="P380" s="210">
        <f t="shared" ref="P380:Q380" si="390">IF(N380="",0,IF(N380&lt;=2,1,IF(N380&lt;=4,2,IF(N380&lt;=5.5,3,4))))</f>
        <v>1</v>
      </c>
      <c r="Q380" s="210">
        <f t="shared" si="390"/>
        <v>3</v>
      </c>
      <c r="R380" s="210" t="str">
        <f t="shared" si="5"/>
        <v>Lv1 → Lv3 (multi)</v>
      </c>
      <c r="S380" s="210">
        <f t="shared" si="6"/>
        <v>0</v>
      </c>
      <c r="T380" s="210"/>
      <c r="U380" s="210"/>
      <c r="V380" s="210"/>
      <c r="W380" s="210"/>
      <c r="X380" s="210"/>
      <c r="Y380" s="210"/>
      <c r="Z380" s="210"/>
      <c r="AA380" s="210"/>
      <c r="AB380" s="210"/>
      <c r="AC380" s="210"/>
      <c r="AD380" s="210"/>
      <c r="AE380" s="210"/>
      <c r="AF380" s="210"/>
      <c r="AG380" s="210"/>
      <c r="AH380" s="210"/>
      <c r="AI380" s="210"/>
      <c r="AJ380" s="210"/>
      <c r="AK380" s="210"/>
      <c r="AL380" s="210"/>
      <c r="AM380" s="214"/>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c r="BU380" s="210"/>
      <c r="BV380" s="210"/>
      <c r="BW380" s="210"/>
      <c r="BX380" s="210"/>
      <c r="BY380" s="210"/>
      <c r="BZ380" s="210"/>
      <c r="CA380" s="210"/>
      <c r="CB380" s="210"/>
      <c r="CC380" s="210"/>
      <c r="CD380" s="210"/>
      <c r="CE380" s="210"/>
      <c r="CF380" s="210"/>
      <c r="CG380" s="210"/>
      <c r="CH380" s="210"/>
      <c r="CI380" s="210"/>
      <c r="CJ380" s="210"/>
      <c r="CK380" s="210"/>
    </row>
    <row r="381">
      <c r="A381" s="222" t="s">
        <v>597</v>
      </c>
      <c r="B381" s="190" t="s">
        <v>598</v>
      </c>
      <c r="C381" s="223" t="s">
        <v>84</v>
      </c>
      <c r="D381" s="223" t="s">
        <v>877</v>
      </c>
      <c r="E381" s="190" t="s">
        <v>21</v>
      </c>
      <c r="F381" s="13" t="s">
        <v>927</v>
      </c>
      <c r="G381" s="13" t="s">
        <v>918</v>
      </c>
      <c r="H381" s="219">
        <f>IFERROR(
  MINIFS(ATTENDANCE_LOG!$F:$F,
         ATTENDANCE_LOG!$A:$A, C381,
         ATTENDANCE_LOG!$B:$B, E381),
"")</f>
        <v>45764.58333</v>
      </c>
      <c r="I381" s="219">
        <f t="shared" si="2"/>
        <v>45764.58333</v>
      </c>
      <c r="J381" s="190">
        <f>IFERROR(VLOOKUP(F381, LEVEL_HELPER!$A:$B, 2, 0), "")</f>
        <v>1</v>
      </c>
      <c r="K381" s="190">
        <f>IFERROR(VLOOKUP(G381, LEVEL_HELPER!$A:$B, 2, 0), "")</f>
        <v>3</v>
      </c>
      <c r="L381" s="220" t="s">
        <v>931</v>
      </c>
      <c r="M381" s="220" t="s">
        <v>924</v>
      </c>
      <c r="N381" s="190">
        <f t="array" ref="N381">IFERROR(
  INDEX($J$2:$J$543,
    MATCH(A381&amp;TEXT(I381,"yyyy-mm-dd"),
          $A$2:$A$543&amp;TEXT($H$2:$H$543,"yyyy-mm-dd"),
          0)),
"")</f>
        <v>1</v>
      </c>
      <c r="O381" s="210">
        <f t="shared" si="3"/>
        <v>5</v>
      </c>
      <c r="P381" s="210">
        <f t="shared" ref="P381:Q381" si="391">IF(N381="",0,IF(N381&lt;=2,1,IF(N381&lt;=4,2,IF(N381&lt;=5.5,3,4))))</f>
        <v>1</v>
      </c>
      <c r="Q381" s="210">
        <f t="shared" si="391"/>
        <v>3</v>
      </c>
      <c r="R381" s="210" t="str">
        <f t="shared" si="5"/>
        <v>Lv1 → Lv3 (multi)</v>
      </c>
      <c r="S381" s="210">
        <f t="shared" si="6"/>
        <v>0</v>
      </c>
      <c r="T381" s="210"/>
      <c r="U381" s="210"/>
      <c r="V381" s="210"/>
      <c r="W381" s="210"/>
      <c r="X381" s="210"/>
      <c r="Y381" s="210"/>
      <c r="Z381" s="210"/>
      <c r="AA381" s="210"/>
      <c r="AB381" s="210"/>
      <c r="AC381" s="210"/>
      <c r="AD381" s="210"/>
      <c r="AE381" s="210"/>
      <c r="AF381" s="210"/>
      <c r="AG381" s="210"/>
      <c r="AH381" s="210"/>
      <c r="AI381" s="210"/>
      <c r="AJ381" s="210"/>
      <c r="AK381" s="210"/>
      <c r="AL381" s="210"/>
      <c r="AM381" s="214"/>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c r="BU381" s="210"/>
      <c r="BV381" s="210"/>
      <c r="BW381" s="210"/>
      <c r="BX381" s="210"/>
      <c r="BY381" s="210"/>
      <c r="BZ381" s="210"/>
      <c r="CA381" s="210"/>
      <c r="CB381" s="210"/>
      <c r="CC381" s="210"/>
      <c r="CD381" s="210"/>
      <c r="CE381" s="210"/>
      <c r="CF381" s="210"/>
      <c r="CG381" s="210"/>
      <c r="CH381" s="210"/>
      <c r="CI381" s="210"/>
      <c r="CJ381" s="210"/>
      <c r="CK381" s="210"/>
    </row>
    <row r="382">
      <c r="A382" s="222" t="s">
        <v>623</v>
      </c>
      <c r="B382" s="190" t="s">
        <v>624</v>
      </c>
      <c r="C382" s="223" t="s">
        <v>84</v>
      </c>
      <c r="D382" s="223" t="s">
        <v>877</v>
      </c>
      <c r="E382" s="190" t="s">
        <v>21</v>
      </c>
      <c r="F382" s="13" t="s">
        <v>927</v>
      </c>
      <c r="G382" s="13" t="s">
        <v>918</v>
      </c>
      <c r="H382" s="219">
        <f>IFERROR(
  MINIFS(ATTENDANCE_LOG!$F:$F,
         ATTENDANCE_LOG!$A:$A, C382,
         ATTENDANCE_LOG!$B:$B, E382),
"")</f>
        <v>45764.58333</v>
      </c>
      <c r="I382" s="219">
        <f t="shared" si="2"/>
        <v>45764.58333</v>
      </c>
      <c r="J382" s="190">
        <f>IFERROR(VLOOKUP(F382, LEVEL_HELPER!$A:$B, 2, 0), "")</f>
        <v>1</v>
      </c>
      <c r="K382" s="190">
        <f>IFERROR(VLOOKUP(G382, LEVEL_HELPER!$A:$B, 2, 0), "")</f>
        <v>3</v>
      </c>
      <c r="L382" s="220" t="s">
        <v>931</v>
      </c>
      <c r="M382" s="220" t="s">
        <v>924</v>
      </c>
      <c r="N382" s="190">
        <f t="array" ref="N382">IFERROR(
  INDEX($J$2:$J$543,
    MATCH(A382&amp;TEXT(I382,"yyyy-mm-dd"),
          $A$2:$A$543&amp;TEXT($H$2:$H$543,"yyyy-mm-dd"),
          0)),
"")</f>
        <v>1</v>
      </c>
      <c r="O382" s="210">
        <f t="shared" si="3"/>
        <v>3</v>
      </c>
      <c r="P382" s="210">
        <f t="shared" ref="P382:Q382" si="392">IF(N382="",0,IF(N382&lt;=2,1,IF(N382&lt;=4,2,IF(N382&lt;=5.5,3,4))))</f>
        <v>1</v>
      </c>
      <c r="Q382" s="210">
        <f t="shared" si="392"/>
        <v>2</v>
      </c>
      <c r="R382" s="210" t="str">
        <f t="shared" si="5"/>
        <v>Lv1 → Lv2</v>
      </c>
      <c r="S382" s="210">
        <f t="shared" si="6"/>
        <v>0</v>
      </c>
      <c r="T382" s="210"/>
      <c r="U382" s="210"/>
      <c r="V382" s="210"/>
      <c r="W382" s="210"/>
      <c r="X382" s="210"/>
      <c r="Y382" s="210"/>
      <c r="Z382" s="210"/>
      <c r="AA382" s="210"/>
      <c r="AB382" s="210"/>
      <c r="AC382" s="210"/>
      <c r="AD382" s="210"/>
      <c r="AE382" s="210"/>
      <c r="AF382" s="210"/>
      <c r="AG382" s="210"/>
      <c r="AH382" s="210"/>
      <c r="AI382" s="210"/>
      <c r="AJ382" s="210"/>
      <c r="AK382" s="210"/>
      <c r="AL382" s="210"/>
      <c r="AM382" s="214"/>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c r="BU382" s="210"/>
      <c r="BV382" s="210"/>
      <c r="BW382" s="210"/>
      <c r="BX382" s="210"/>
      <c r="BY382" s="210"/>
      <c r="BZ382" s="210"/>
      <c r="CA382" s="210"/>
      <c r="CB382" s="210"/>
      <c r="CC382" s="210"/>
      <c r="CD382" s="210"/>
      <c r="CE382" s="210"/>
      <c r="CF382" s="210"/>
      <c r="CG382" s="210"/>
      <c r="CH382" s="210"/>
      <c r="CI382" s="210"/>
      <c r="CJ382" s="210"/>
      <c r="CK382" s="210"/>
    </row>
    <row r="383">
      <c r="A383" s="216" t="s">
        <v>649</v>
      </c>
      <c r="B383" s="217" t="s">
        <v>650</v>
      </c>
      <c r="C383" s="218" t="s">
        <v>84</v>
      </c>
      <c r="D383" s="218" t="s">
        <v>877</v>
      </c>
      <c r="E383" s="217" t="s">
        <v>22</v>
      </c>
      <c r="F383" s="13" t="s">
        <v>918</v>
      </c>
      <c r="G383" s="13" t="s">
        <v>941</v>
      </c>
      <c r="H383" s="219">
        <f>IFERROR(
  MINIFS(ATTENDANCE_LOG!$F:$F,
         ATTENDANCE_LOG!$A:$A, C383,
         ATTENDANCE_LOG!$B:$B, E383),
"")</f>
        <v>45882.58333</v>
      </c>
      <c r="I383" s="219">
        <f t="shared" si="2"/>
        <v>45764.58333</v>
      </c>
      <c r="J383" s="190">
        <f>IFERROR(VLOOKUP(F383, LEVEL_HELPER!$A:$B, 2, 0), "")</f>
        <v>3</v>
      </c>
      <c r="K383" s="190">
        <f>IFERROR(VLOOKUP(G383, LEVEL_HELPER!$A:$B, 2, 0), "")</f>
        <v>5</v>
      </c>
      <c r="L383" s="220" t="s">
        <v>931</v>
      </c>
      <c r="M383" s="220" t="s">
        <v>924</v>
      </c>
      <c r="N383" s="190">
        <f t="array" ref="N383">IFERROR(
  INDEX($J$2:$J$543,
    MATCH(A383&amp;TEXT(I383,"yyyy-mm-dd"),
          $A$2:$A$543&amp;TEXT($H$2:$H$543,"yyyy-mm-dd"),
          0)),
"")</f>
        <v>1</v>
      </c>
      <c r="O383" s="210">
        <f t="shared" si="3"/>
        <v>5</v>
      </c>
      <c r="P383" s="210">
        <f t="shared" ref="P383:Q383" si="393">IF(N383="",0,IF(N383&lt;=2,1,IF(N383&lt;=4,2,IF(N383&lt;=5.5,3,4))))</f>
        <v>1</v>
      </c>
      <c r="Q383" s="210">
        <f t="shared" si="393"/>
        <v>3</v>
      </c>
      <c r="R383" s="210" t="str">
        <f t="shared" si="5"/>
        <v>Lv1 → Lv3 (multi)</v>
      </c>
      <c r="S383" s="210">
        <f t="shared" si="6"/>
        <v>0</v>
      </c>
      <c r="T383" s="210"/>
      <c r="U383" s="210"/>
      <c r="V383" s="210"/>
      <c r="W383" s="210"/>
      <c r="X383" s="210"/>
      <c r="Y383" s="210"/>
      <c r="Z383" s="210"/>
      <c r="AA383" s="210"/>
      <c r="AB383" s="210"/>
      <c r="AC383" s="210"/>
      <c r="AD383" s="210"/>
      <c r="AE383" s="210"/>
      <c r="AF383" s="210"/>
      <c r="AG383" s="210"/>
      <c r="AH383" s="210"/>
      <c r="AI383" s="210"/>
      <c r="AJ383" s="210"/>
      <c r="AK383" s="210"/>
      <c r="AL383" s="210"/>
      <c r="AM383" s="214"/>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c r="BU383" s="210"/>
      <c r="BV383" s="210"/>
      <c r="BW383" s="210"/>
      <c r="BX383" s="210"/>
      <c r="BY383" s="210"/>
      <c r="BZ383" s="210"/>
      <c r="CA383" s="210"/>
      <c r="CB383" s="210"/>
      <c r="CC383" s="210"/>
      <c r="CD383" s="210"/>
      <c r="CE383" s="210"/>
      <c r="CF383" s="210"/>
      <c r="CG383" s="210"/>
      <c r="CH383" s="210"/>
      <c r="CI383" s="210"/>
      <c r="CJ383" s="210"/>
      <c r="CK383" s="210"/>
    </row>
    <row r="384">
      <c r="A384" s="222" t="s">
        <v>253</v>
      </c>
      <c r="B384" s="190" t="s">
        <v>254</v>
      </c>
      <c r="C384" s="223" t="s">
        <v>84</v>
      </c>
      <c r="D384" s="223" t="s">
        <v>877</v>
      </c>
      <c r="E384" s="190" t="s">
        <v>22</v>
      </c>
      <c r="F384" s="13" t="s">
        <v>935</v>
      </c>
      <c r="G384" s="13" t="s">
        <v>938</v>
      </c>
      <c r="H384" s="219">
        <f>IFERROR(
  MINIFS(ATTENDANCE_LOG!$F:$F,
         ATTENDANCE_LOG!$A:$A, C384,
         ATTENDANCE_LOG!$B:$B, E384),
"")</f>
        <v>45882.58333</v>
      </c>
      <c r="I384" s="219">
        <f t="shared" si="2"/>
        <v>45764.58333</v>
      </c>
      <c r="J384" s="190">
        <f>IFERROR(VLOOKUP(F384, LEVEL_HELPER!$A:$B, 2, 0), "")</f>
        <v>3.5</v>
      </c>
      <c r="K384" s="190">
        <f>IFERROR(VLOOKUP(G384, LEVEL_HELPER!$A:$B, 2, 0), "")</f>
        <v>5.5</v>
      </c>
      <c r="L384" s="220" t="s">
        <v>931</v>
      </c>
      <c r="M384" s="220" t="s">
        <v>924</v>
      </c>
      <c r="N384" s="190">
        <f t="array" ref="N384">IFERROR(
  INDEX($J$2:$J$543,
    MATCH(A384&amp;TEXT(I384,"yyyy-mm-dd"),
          $A$2:$A$543&amp;TEXT($H$2:$H$543,"yyyy-mm-dd"),
          0)),
"")</f>
        <v>2.5</v>
      </c>
      <c r="O384" s="210">
        <f t="shared" si="3"/>
        <v>5.5</v>
      </c>
      <c r="P384" s="210">
        <f t="shared" ref="P384:Q384" si="394">IF(N384="",0,IF(N384&lt;=2,1,IF(N384&lt;=4,2,IF(N384&lt;=5.5,3,4))))</f>
        <v>2</v>
      </c>
      <c r="Q384" s="210">
        <f t="shared" si="394"/>
        <v>3</v>
      </c>
      <c r="R384" s="210" t="str">
        <f t="shared" si="5"/>
        <v>Lv2 → Lv3</v>
      </c>
      <c r="S384" s="210">
        <f t="shared" si="6"/>
        <v>0</v>
      </c>
      <c r="T384" s="210"/>
      <c r="U384" s="210"/>
      <c r="V384" s="210"/>
      <c r="W384" s="210"/>
      <c r="X384" s="210"/>
      <c r="Y384" s="210"/>
      <c r="Z384" s="210"/>
      <c r="AA384" s="210"/>
      <c r="AB384" s="210"/>
      <c r="AC384" s="210"/>
      <c r="AD384" s="210"/>
      <c r="AE384" s="210"/>
      <c r="AF384" s="210"/>
      <c r="AG384" s="210"/>
      <c r="AH384" s="210"/>
      <c r="AI384" s="210"/>
      <c r="AJ384" s="210"/>
      <c r="AK384" s="210"/>
      <c r="AL384" s="210"/>
      <c r="AM384" s="214"/>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c r="BU384" s="210"/>
      <c r="BV384" s="210"/>
      <c r="BW384" s="210"/>
      <c r="BX384" s="210"/>
      <c r="BY384" s="210"/>
      <c r="BZ384" s="210"/>
      <c r="CA384" s="210"/>
      <c r="CB384" s="210"/>
      <c r="CC384" s="210"/>
      <c r="CD384" s="210"/>
      <c r="CE384" s="210"/>
      <c r="CF384" s="210"/>
      <c r="CG384" s="210"/>
      <c r="CH384" s="210"/>
      <c r="CI384" s="210"/>
      <c r="CJ384" s="210"/>
      <c r="CK384" s="210"/>
    </row>
    <row r="385">
      <c r="A385" s="222" t="s">
        <v>447</v>
      </c>
      <c r="B385" s="190" t="s">
        <v>448</v>
      </c>
      <c r="C385" s="223" t="s">
        <v>84</v>
      </c>
      <c r="D385" s="223" t="s">
        <v>877</v>
      </c>
      <c r="E385" s="190" t="s">
        <v>22</v>
      </c>
      <c r="F385" s="13" t="s">
        <v>929</v>
      </c>
      <c r="G385" s="13" t="s">
        <v>941</v>
      </c>
      <c r="H385" s="219">
        <f>IFERROR(
  MINIFS(ATTENDANCE_LOG!$F:$F,
         ATTENDANCE_LOG!$A:$A, C385,
         ATTENDANCE_LOG!$B:$B, E385),
"")</f>
        <v>45882.58333</v>
      </c>
      <c r="I385" s="219">
        <f t="shared" si="2"/>
        <v>45764.58333</v>
      </c>
      <c r="J385" s="190">
        <f>IFERROR(VLOOKUP(F385, LEVEL_HELPER!$A:$B, 2, 0), "")</f>
        <v>1.5</v>
      </c>
      <c r="K385" s="190">
        <f>IFERROR(VLOOKUP(G385, LEVEL_HELPER!$A:$B, 2, 0), "")</f>
        <v>5</v>
      </c>
      <c r="L385" s="220" t="s">
        <v>931</v>
      </c>
      <c r="M385" s="220" t="s">
        <v>924</v>
      </c>
      <c r="N385" s="190">
        <f t="array" ref="N385">IFERROR(
  INDEX($J$2:$J$543,
    MATCH(A385&amp;TEXT(I385,"yyyy-mm-dd"),
          $A$2:$A$543&amp;TEXT($H$2:$H$543,"yyyy-mm-dd"),
          0)),
"")</f>
        <v>1</v>
      </c>
      <c r="O385" s="210">
        <f t="shared" si="3"/>
        <v>5</v>
      </c>
      <c r="P385" s="210">
        <f t="shared" ref="P385:Q385" si="395">IF(N385="",0,IF(N385&lt;=2,1,IF(N385&lt;=4,2,IF(N385&lt;=5.5,3,4))))</f>
        <v>1</v>
      </c>
      <c r="Q385" s="210">
        <f t="shared" si="395"/>
        <v>3</v>
      </c>
      <c r="R385" s="210" t="str">
        <f t="shared" si="5"/>
        <v>Lv1 → Lv3 (multi)</v>
      </c>
      <c r="S385" s="210">
        <f t="shared" si="6"/>
        <v>0</v>
      </c>
      <c r="T385" s="210"/>
      <c r="U385" s="210"/>
      <c r="V385" s="210"/>
      <c r="W385" s="210"/>
      <c r="X385" s="210"/>
      <c r="Y385" s="210"/>
      <c r="Z385" s="210"/>
      <c r="AA385" s="210"/>
      <c r="AB385" s="210"/>
      <c r="AC385" s="210"/>
      <c r="AD385" s="210"/>
      <c r="AE385" s="210"/>
      <c r="AF385" s="210"/>
      <c r="AG385" s="210"/>
      <c r="AH385" s="210"/>
      <c r="AI385" s="210"/>
      <c r="AJ385" s="210"/>
      <c r="AK385" s="210"/>
      <c r="AL385" s="210"/>
      <c r="AM385" s="214"/>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c r="BU385" s="210"/>
      <c r="BV385" s="210"/>
      <c r="BW385" s="210"/>
      <c r="BX385" s="210"/>
      <c r="BY385" s="210"/>
      <c r="BZ385" s="210"/>
      <c r="CA385" s="210"/>
      <c r="CB385" s="210"/>
      <c r="CC385" s="210"/>
      <c r="CD385" s="210"/>
      <c r="CE385" s="210"/>
      <c r="CF385" s="210"/>
      <c r="CG385" s="210"/>
      <c r="CH385" s="210"/>
      <c r="CI385" s="210"/>
      <c r="CJ385" s="210"/>
      <c r="CK385" s="210"/>
    </row>
    <row r="386">
      <c r="A386" s="222" t="s">
        <v>486</v>
      </c>
      <c r="B386" s="190" t="s">
        <v>487</v>
      </c>
      <c r="C386" s="223" t="s">
        <v>84</v>
      </c>
      <c r="D386" s="223" t="s">
        <v>877</v>
      </c>
      <c r="E386" s="190" t="s">
        <v>22</v>
      </c>
      <c r="F386" s="13" t="s">
        <v>918</v>
      </c>
      <c r="G386" s="13" t="s">
        <v>941</v>
      </c>
      <c r="H386" s="219">
        <f>IFERROR(
  MINIFS(ATTENDANCE_LOG!$F:$F,
         ATTENDANCE_LOG!$A:$A, C386,
         ATTENDANCE_LOG!$B:$B, E386),
"")</f>
        <v>45882.58333</v>
      </c>
      <c r="I386" s="219">
        <f t="shared" si="2"/>
        <v>45764.58333</v>
      </c>
      <c r="J386" s="190">
        <f>IFERROR(VLOOKUP(F386, LEVEL_HELPER!$A:$B, 2, 0), "")</f>
        <v>3</v>
      </c>
      <c r="K386" s="190">
        <f>IFERROR(VLOOKUP(G386, LEVEL_HELPER!$A:$B, 2, 0), "")</f>
        <v>5</v>
      </c>
      <c r="L386" s="220" t="s">
        <v>931</v>
      </c>
      <c r="M386" s="220" t="s">
        <v>924</v>
      </c>
      <c r="N386" s="190">
        <f t="array" ref="N386">IFERROR(
  INDEX($J$2:$J$543,
    MATCH(A386&amp;TEXT(I386,"yyyy-mm-dd"),
          $A$2:$A$543&amp;TEXT($H$2:$H$543,"yyyy-mm-dd"),
          0)),
"")</f>
        <v>1</v>
      </c>
      <c r="O386" s="210">
        <f t="shared" si="3"/>
        <v>5</v>
      </c>
      <c r="P386" s="210">
        <f t="shared" ref="P386:Q386" si="396">IF(N386="",0,IF(N386&lt;=2,1,IF(N386&lt;=4,2,IF(N386&lt;=5.5,3,4))))</f>
        <v>1</v>
      </c>
      <c r="Q386" s="210">
        <f t="shared" si="396"/>
        <v>3</v>
      </c>
      <c r="R386" s="210" t="str">
        <f t="shared" si="5"/>
        <v>Lv1 → Lv3 (multi)</v>
      </c>
      <c r="S386" s="210">
        <f t="shared" si="6"/>
        <v>0</v>
      </c>
      <c r="T386" s="210"/>
      <c r="U386" s="210"/>
      <c r="V386" s="210"/>
      <c r="W386" s="210"/>
      <c r="X386" s="210"/>
      <c r="Y386" s="210"/>
      <c r="Z386" s="210"/>
      <c r="AA386" s="210"/>
      <c r="AB386" s="210"/>
      <c r="AC386" s="210"/>
      <c r="AD386" s="210"/>
      <c r="AE386" s="210"/>
      <c r="AF386" s="210"/>
      <c r="AG386" s="210"/>
      <c r="AH386" s="210"/>
      <c r="AI386" s="210"/>
      <c r="AJ386" s="210"/>
      <c r="AK386" s="210"/>
      <c r="AL386" s="210"/>
      <c r="AM386" s="214"/>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c r="BU386" s="210"/>
      <c r="BV386" s="210"/>
      <c r="BW386" s="210"/>
      <c r="BX386" s="210"/>
      <c r="BY386" s="210"/>
      <c r="BZ386" s="210"/>
      <c r="CA386" s="210"/>
      <c r="CB386" s="210"/>
      <c r="CC386" s="210"/>
      <c r="CD386" s="210"/>
      <c r="CE386" s="210"/>
      <c r="CF386" s="210"/>
      <c r="CG386" s="210"/>
      <c r="CH386" s="210"/>
      <c r="CI386" s="210"/>
      <c r="CJ386" s="210"/>
      <c r="CK386" s="210"/>
    </row>
    <row r="387">
      <c r="A387" s="222" t="s">
        <v>508</v>
      </c>
      <c r="B387" s="190" t="s">
        <v>509</v>
      </c>
      <c r="C387" s="223" t="s">
        <v>84</v>
      </c>
      <c r="D387" s="223" t="s">
        <v>877</v>
      </c>
      <c r="E387" s="190" t="s">
        <v>22</v>
      </c>
      <c r="F387" s="13" t="s">
        <v>918</v>
      </c>
      <c r="G387" s="13" t="s">
        <v>938</v>
      </c>
      <c r="H387" s="219">
        <f>IFERROR(
  MINIFS(ATTENDANCE_LOG!$F:$F,
         ATTENDANCE_LOG!$A:$A, C387,
         ATTENDANCE_LOG!$B:$B, E387),
"")</f>
        <v>45882.58333</v>
      </c>
      <c r="I387" s="219">
        <f t="shared" si="2"/>
        <v>45764.58333</v>
      </c>
      <c r="J387" s="190">
        <f>IFERROR(VLOOKUP(F387, LEVEL_HELPER!$A:$B, 2, 0), "")</f>
        <v>3</v>
      </c>
      <c r="K387" s="190">
        <f>IFERROR(VLOOKUP(G387, LEVEL_HELPER!$A:$B, 2, 0), "")</f>
        <v>5.5</v>
      </c>
      <c r="L387" s="220" t="s">
        <v>931</v>
      </c>
      <c r="M387" s="220" t="s">
        <v>924</v>
      </c>
      <c r="N387" s="190">
        <f t="array" ref="N387">IFERROR(
  INDEX($J$2:$J$543,
    MATCH(A387&amp;TEXT(I387,"yyyy-mm-dd"),
          $A$2:$A$543&amp;TEXT($H$2:$H$543,"yyyy-mm-dd"),
          0)),
"")</f>
        <v>1</v>
      </c>
      <c r="O387" s="210">
        <f t="shared" si="3"/>
        <v>5.5</v>
      </c>
      <c r="P387" s="210">
        <f t="shared" ref="P387:Q387" si="397">IF(N387="",0,IF(N387&lt;=2,1,IF(N387&lt;=4,2,IF(N387&lt;=5.5,3,4))))</f>
        <v>1</v>
      </c>
      <c r="Q387" s="210">
        <f t="shared" si="397"/>
        <v>3</v>
      </c>
      <c r="R387" s="210" t="str">
        <f t="shared" si="5"/>
        <v>Lv1 → Lv3 (multi)</v>
      </c>
      <c r="S387" s="210">
        <f t="shared" si="6"/>
        <v>0</v>
      </c>
      <c r="T387" s="210"/>
      <c r="U387" s="210"/>
      <c r="V387" s="210"/>
      <c r="W387" s="210"/>
      <c r="X387" s="210"/>
      <c r="Y387" s="210"/>
      <c r="Z387" s="210"/>
      <c r="AA387" s="210"/>
      <c r="AB387" s="210"/>
      <c r="AC387" s="210"/>
      <c r="AD387" s="210"/>
      <c r="AE387" s="210"/>
      <c r="AF387" s="210"/>
      <c r="AG387" s="210"/>
      <c r="AH387" s="210"/>
      <c r="AI387" s="210"/>
      <c r="AJ387" s="210"/>
      <c r="AK387" s="210"/>
      <c r="AL387" s="210"/>
      <c r="AM387" s="214"/>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c r="BU387" s="210"/>
      <c r="BV387" s="210"/>
      <c r="BW387" s="210"/>
      <c r="BX387" s="210"/>
      <c r="BY387" s="210"/>
      <c r="BZ387" s="210"/>
      <c r="CA387" s="210"/>
      <c r="CB387" s="210"/>
      <c r="CC387" s="210"/>
      <c r="CD387" s="210"/>
      <c r="CE387" s="210"/>
      <c r="CF387" s="210"/>
      <c r="CG387" s="210"/>
      <c r="CH387" s="210"/>
      <c r="CI387" s="210"/>
      <c r="CJ387" s="210"/>
      <c r="CK387" s="210"/>
    </row>
    <row r="388">
      <c r="A388" s="222" t="s">
        <v>597</v>
      </c>
      <c r="B388" s="190" t="s">
        <v>598</v>
      </c>
      <c r="C388" s="223" t="s">
        <v>84</v>
      </c>
      <c r="D388" s="223" t="s">
        <v>877</v>
      </c>
      <c r="E388" s="190" t="s">
        <v>22</v>
      </c>
      <c r="F388" s="13" t="s">
        <v>918</v>
      </c>
      <c r="G388" s="13" t="s">
        <v>941</v>
      </c>
      <c r="H388" s="219">
        <f>IFERROR(
  MINIFS(ATTENDANCE_LOG!$F:$F,
         ATTENDANCE_LOG!$A:$A, C388,
         ATTENDANCE_LOG!$B:$B, E388),
"")</f>
        <v>45882.58333</v>
      </c>
      <c r="I388" s="219">
        <f t="shared" si="2"/>
        <v>45764.58333</v>
      </c>
      <c r="J388" s="190">
        <f>IFERROR(VLOOKUP(F388, LEVEL_HELPER!$A:$B, 2, 0), "")</f>
        <v>3</v>
      </c>
      <c r="K388" s="190">
        <f>IFERROR(VLOOKUP(G388, LEVEL_HELPER!$A:$B, 2, 0), "")</f>
        <v>5</v>
      </c>
      <c r="L388" s="220" t="s">
        <v>931</v>
      </c>
      <c r="M388" s="220" t="s">
        <v>924</v>
      </c>
      <c r="N388" s="190">
        <f t="array" ref="N388">IFERROR(
  INDEX($J$2:$J$543,
    MATCH(A388&amp;TEXT(I388,"yyyy-mm-dd"),
          $A$2:$A$543&amp;TEXT($H$2:$H$543,"yyyy-mm-dd"),
          0)),
"")</f>
        <v>1</v>
      </c>
      <c r="O388" s="210">
        <f t="shared" si="3"/>
        <v>5</v>
      </c>
      <c r="P388" s="210">
        <f t="shared" ref="P388:Q388" si="398">IF(N388="",0,IF(N388&lt;=2,1,IF(N388&lt;=4,2,IF(N388&lt;=5.5,3,4))))</f>
        <v>1</v>
      </c>
      <c r="Q388" s="210">
        <f t="shared" si="398"/>
        <v>3</v>
      </c>
      <c r="R388" s="210" t="str">
        <f t="shared" si="5"/>
        <v>Lv1 → Lv3 (multi)</v>
      </c>
      <c r="S388" s="210">
        <f t="shared" si="6"/>
        <v>0</v>
      </c>
      <c r="T388" s="210"/>
      <c r="U388" s="210"/>
      <c r="V388" s="210"/>
      <c r="W388" s="210"/>
      <c r="X388" s="210"/>
      <c r="Y388" s="210"/>
      <c r="Z388" s="210"/>
      <c r="AA388" s="210"/>
      <c r="AB388" s="210"/>
      <c r="AC388" s="210"/>
      <c r="AD388" s="210"/>
      <c r="AE388" s="210"/>
      <c r="AF388" s="210"/>
      <c r="AG388" s="210"/>
      <c r="AH388" s="210"/>
      <c r="AI388" s="210"/>
      <c r="AJ388" s="210"/>
      <c r="AK388" s="210"/>
      <c r="AL388" s="210"/>
      <c r="AM388" s="214"/>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c r="BU388" s="210"/>
      <c r="BV388" s="210"/>
      <c r="BW388" s="210"/>
      <c r="BX388" s="210"/>
      <c r="BY388" s="210"/>
      <c r="BZ388" s="210"/>
      <c r="CA388" s="210"/>
      <c r="CB388" s="210"/>
      <c r="CC388" s="210"/>
      <c r="CD388" s="210"/>
      <c r="CE388" s="210"/>
      <c r="CF388" s="210"/>
      <c r="CG388" s="210"/>
      <c r="CH388" s="210"/>
      <c r="CI388" s="210"/>
      <c r="CJ388" s="210"/>
      <c r="CK388" s="210"/>
    </row>
    <row r="389">
      <c r="A389" s="222" t="s">
        <v>623</v>
      </c>
      <c r="B389" s="190" t="s">
        <v>624</v>
      </c>
      <c r="C389" s="223" t="s">
        <v>84</v>
      </c>
      <c r="D389" s="223" t="s">
        <v>877</v>
      </c>
      <c r="E389" s="190" t="s">
        <v>22</v>
      </c>
      <c r="F389" s="13" t="s">
        <v>932</v>
      </c>
      <c r="G389" s="190"/>
      <c r="H389" s="219">
        <f>IFERROR(
  MINIFS(ATTENDANCE_LOG!$F:$F,
         ATTENDANCE_LOG!$A:$A, C389,
         ATTENDANCE_LOG!$B:$B, E389),
"")</f>
        <v>45882.58333</v>
      </c>
      <c r="I389" s="219">
        <f t="shared" si="2"/>
        <v>45764.58333</v>
      </c>
      <c r="J389" s="190">
        <f>IFERROR(VLOOKUP(F389, LEVEL_HELPER!$A:$B, 2, 0), "")</f>
        <v>4.5</v>
      </c>
      <c r="K389" s="190" t="str">
        <f>IFERROR(VLOOKUP(G389, LEVEL_HELPER!$A:$B, 2, 0), "")</f>
        <v/>
      </c>
      <c r="L389" s="220" t="s">
        <v>931</v>
      </c>
      <c r="M389" s="220" t="s">
        <v>924</v>
      </c>
      <c r="N389" s="190">
        <f t="array" ref="N389">IFERROR(
  INDEX($J$2:$J$543,
    MATCH(A389&amp;TEXT(I389,"yyyy-mm-dd"),
          $A$2:$A$543&amp;TEXT($H$2:$H$543,"yyyy-mm-dd"),
          0)),
"")</f>
        <v>1</v>
      </c>
      <c r="O389" s="210">
        <f t="shared" si="3"/>
        <v>3</v>
      </c>
      <c r="P389" s="210">
        <f t="shared" ref="P389:Q389" si="399">IF(N389="",0,IF(N389&lt;=2,1,IF(N389&lt;=4,2,IF(N389&lt;=5.5,3,4))))</f>
        <v>1</v>
      </c>
      <c r="Q389" s="210">
        <f t="shared" si="399"/>
        <v>2</v>
      </c>
      <c r="R389" s="210" t="str">
        <f t="shared" si="5"/>
        <v>Lv1 → Lv2</v>
      </c>
      <c r="S389" s="210">
        <f t="shared" si="6"/>
        <v>0</v>
      </c>
      <c r="T389" s="210"/>
      <c r="U389" s="210"/>
      <c r="V389" s="210"/>
      <c r="W389" s="210"/>
      <c r="X389" s="210"/>
      <c r="Y389" s="210"/>
      <c r="Z389" s="210"/>
      <c r="AA389" s="210"/>
      <c r="AB389" s="210"/>
      <c r="AC389" s="210"/>
      <c r="AD389" s="210"/>
      <c r="AE389" s="210"/>
      <c r="AF389" s="210"/>
      <c r="AG389" s="210"/>
      <c r="AH389" s="210"/>
      <c r="AI389" s="210"/>
      <c r="AJ389" s="210"/>
      <c r="AK389" s="210"/>
      <c r="AL389" s="210"/>
      <c r="AM389" s="214"/>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c r="BU389" s="210"/>
      <c r="BV389" s="210"/>
      <c r="BW389" s="210"/>
      <c r="BX389" s="210"/>
      <c r="BY389" s="210"/>
      <c r="BZ389" s="210"/>
      <c r="CA389" s="210"/>
      <c r="CB389" s="210"/>
      <c r="CC389" s="210"/>
      <c r="CD389" s="210"/>
      <c r="CE389" s="210"/>
      <c r="CF389" s="210"/>
      <c r="CG389" s="210"/>
      <c r="CH389" s="210"/>
      <c r="CI389" s="210"/>
      <c r="CJ389" s="210"/>
      <c r="CK389" s="210"/>
    </row>
    <row r="390">
      <c r="A390" s="216" t="s">
        <v>397</v>
      </c>
      <c r="B390" s="217" t="s">
        <v>398</v>
      </c>
      <c r="C390" s="218" t="s">
        <v>85</v>
      </c>
      <c r="D390" s="218" t="s">
        <v>878</v>
      </c>
      <c r="E390" s="217" t="s">
        <v>24</v>
      </c>
      <c r="F390" s="244"/>
      <c r="G390" s="244"/>
      <c r="H390" s="219">
        <f>IFERROR(
  MINIFS(ATTENDANCE_LOG!$F:$F,
         ATTENDANCE_LOG!$A:$A, C390,
         ATTENDANCE_LOG!$B:$B, E390),
"")</f>
        <v>46086.45833</v>
      </c>
      <c r="I390" s="219">
        <f t="shared" si="2"/>
        <v>45764.45833</v>
      </c>
      <c r="J390" s="244" t="str">
        <f>IFERROR(VLOOKUP(F390, LEVEL_HELPER!$A:$B, 2, 0), "")</f>
        <v/>
      </c>
      <c r="K390" s="244" t="str">
        <f>IFERROR(VLOOKUP(G390, LEVEL_HELPER!$A:$B, 2, 0), "")</f>
        <v/>
      </c>
      <c r="L390" s="245" t="s">
        <v>957</v>
      </c>
      <c r="M390" s="245" t="s">
        <v>924</v>
      </c>
      <c r="N390" s="190">
        <f t="array" ref="N390">IFERROR(
  INDEX($J$2:$J$543,
    MATCH(A390&amp;TEXT(I390,"yyyy-mm-dd"),
          $A$2:$A$543&amp;TEXT($H$2:$H$543,"yyyy-mm-dd"),
          0)),
"")</f>
        <v>1</v>
      </c>
      <c r="O390" s="246">
        <f t="shared" si="3"/>
        <v>5</v>
      </c>
      <c r="P390" s="210">
        <f t="shared" ref="P390:Q390" si="400">IF(N390="",0,IF(N390&lt;=2,1,IF(N390&lt;=4,2,IF(N390&lt;=5.5,3,4))))</f>
        <v>1</v>
      </c>
      <c r="Q390" s="210">
        <f t="shared" si="400"/>
        <v>3</v>
      </c>
      <c r="R390" s="210" t="str">
        <f t="shared" si="5"/>
        <v>Lv1 → Lv3 (multi)</v>
      </c>
      <c r="S390" s="210">
        <f t="shared" si="6"/>
        <v>1</v>
      </c>
      <c r="T390" s="210"/>
      <c r="U390" s="210"/>
      <c r="V390" s="210"/>
      <c r="W390" s="210"/>
      <c r="X390" s="210"/>
      <c r="Y390" s="210"/>
      <c r="Z390" s="210"/>
      <c r="AA390" s="210"/>
      <c r="AB390" s="210"/>
      <c r="AC390" s="210"/>
      <c r="AD390" s="210"/>
      <c r="AE390" s="210"/>
      <c r="AF390" s="210"/>
      <c r="AG390" s="210"/>
      <c r="AH390" s="210"/>
      <c r="AI390" s="210"/>
      <c r="AJ390" s="210"/>
      <c r="AK390" s="210"/>
      <c r="AL390" s="210"/>
      <c r="AM390" s="214"/>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c r="BU390" s="210"/>
      <c r="BV390" s="210"/>
      <c r="BW390" s="210"/>
      <c r="BX390" s="210"/>
      <c r="BY390" s="210"/>
      <c r="BZ390" s="210"/>
      <c r="CA390" s="210"/>
      <c r="CB390" s="210"/>
      <c r="CC390" s="210"/>
      <c r="CD390" s="210"/>
      <c r="CE390" s="210"/>
      <c r="CF390" s="210"/>
      <c r="CG390" s="210"/>
      <c r="CH390" s="210"/>
      <c r="CI390" s="210"/>
      <c r="CJ390" s="210"/>
      <c r="CK390" s="210"/>
    </row>
    <row r="391">
      <c r="A391" s="222" t="s">
        <v>136</v>
      </c>
      <c r="B391" s="190" t="s">
        <v>137</v>
      </c>
      <c r="C391" s="223" t="s">
        <v>85</v>
      </c>
      <c r="D391" s="223" t="s">
        <v>878</v>
      </c>
      <c r="E391" s="190" t="s">
        <v>24</v>
      </c>
      <c r="F391" s="190"/>
      <c r="G391" s="190"/>
      <c r="H391" s="219">
        <f>IFERROR(
  MINIFS(ATTENDANCE_LOG!$F:$F,
         ATTENDANCE_LOG!$A:$A, C391,
         ATTENDANCE_LOG!$B:$B, E391),
"")</f>
        <v>46086.45833</v>
      </c>
      <c r="I391" s="219">
        <f t="shared" si="2"/>
        <v>45764.45833</v>
      </c>
      <c r="J391" s="190" t="str">
        <f>IFERROR(VLOOKUP(F391, LEVEL_HELPER!$A:$B, 2, 0), "")</f>
        <v/>
      </c>
      <c r="K391" s="190" t="str">
        <f>IFERROR(VLOOKUP(G391, LEVEL_HELPER!$A:$B, 2, 0), "")</f>
        <v/>
      </c>
      <c r="L391" s="220" t="s">
        <v>943</v>
      </c>
      <c r="M391" s="220" t="s">
        <v>924</v>
      </c>
      <c r="N391" s="190">
        <f t="array" ref="N391">IFERROR(
  INDEX($J$2:$J$543,
    MATCH(A391&amp;TEXT(I391,"yyyy-mm-dd"),
          $A$2:$A$543&amp;TEXT($H$2:$H$543,"yyyy-mm-dd"),
          0)),
"")</f>
        <v>0</v>
      </c>
      <c r="O391" s="210">
        <f t="shared" si="3"/>
        <v>5</v>
      </c>
      <c r="P391" s="210">
        <f t="shared" ref="P391:Q391" si="401">IF(N391="",0,IF(N391&lt;=2,1,IF(N391&lt;=4,2,IF(N391&lt;=5.5,3,4))))</f>
        <v>1</v>
      </c>
      <c r="Q391" s="210">
        <f t="shared" si="401"/>
        <v>3</v>
      </c>
      <c r="R391" s="210" t="str">
        <f t="shared" si="5"/>
        <v>Lv1 → Lv3 (multi)</v>
      </c>
      <c r="S391" s="210">
        <f t="shared" si="6"/>
        <v>1</v>
      </c>
      <c r="T391" s="210"/>
      <c r="U391" s="210"/>
      <c r="V391" s="210"/>
      <c r="W391" s="210"/>
      <c r="X391" s="210"/>
      <c r="Y391" s="210"/>
      <c r="Z391" s="210"/>
      <c r="AA391" s="210"/>
      <c r="AB391" s="210"/>
      <c r="AC391" s="210"/>
      <c r="AD391" s="210"/>
      <c r="AE391" s="210"/>
      <c r="AF391" s="210"/>
      <c r="AG391" s="210"/>
      <c r="AH391" s="210"/>
      <c r="AI391" s="210"/>
      <c r="AJ391" s="210"/>
      <c r="AK391" s="210"/>
      <c r="AL391" s="210"/>
      <c r="AM391" s="214"/>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c r="BU391" s="210"/>
      <c r="BV391" s="210"/>
      <c r="BW391" s="210"/>
      <c r="BX391" s="210"/>
      <c r="BY391" s="210"/>
      <c r="BZ391" s="210"/>
      <c r="CA391" s="210"/>
      <c r="CB391" s="210"/>
      <c r="CC391" s="210"/>
      <c r="CD391" s="210"/>
      <c r="CE391" s="210"/>
      <c r="CF391" s="210"/>
      <c r="CG391" s="210"/>
      <c r="CH391" s="210"/>
      <c r="CI391" s="210"/>
      <c r="CJ391" s="210"/>
      <c r="CK391" s="210"/>
    </row>
    <row r="392">
      <c r="A392" s="222" t="s">
        <v>208</v>
      </c>
      <c r="B392" s="190" t="s">
        <v>209</v>
      </c>
      <c r="C392" s="223" t="s">
        <v>85</v>
      </c>
      <c r="D392" s="223" t="s">
        <v>878</v>
      </c>
      <c r="E392" s="190" t="s">
        <v>24</v>
      </c>
      <c r="F392" s="190"/>
      <c r="G392" s="190"/>
      <c r="H392" s="219">
        <f>IFERROR(
  MINIFS(ATTENDANCE_LOG!$F:$F,
         ATTENDANCE_LOG!$A:$A, C392,
         ATTENDANCE_LOG!$B:$B, E392),
"")</f>
        <v>46086.45833</v>
      </c>
      <c r="I392" s="219">
        <f t="shared" si="2"/>
        <v>45764.41667</v>
      </c>
      <c r="J392" s="190" t="str">
        <f>IFERROR(VLOOKUP(F392, LEVEL_HELPER!$A:$B, 2, 0), "")</f>
        <v/>
      </c>
      <c r="K392" s="190" t="str">
        <f>IFERROR(VLOOKUP(G392, LEVEL_HELPER!$A:$B, 2, 0), "")</f>
        <v/>
      </c>
      <c r="L392" s="220" t="s">
        <v>943</v>
      </c>
      <c r="M392" s="220" t="s">
        <v>924</v>
      </c>
      <c r="N392" s="190">
        <f t="array" ref="N392">IFERROR(
  INDEX($J$2:$J$543,
    MATCH(A392&amp;TEXT(I392,"yyyy-mm-dd"),
          $A$2:$A$543&amp;TEXT($H$2:$H$543,"yyyy-mm-dd"),
          0)),
"")</f>
        <v>1</v>
      </c>
      <c r="O392" s="210">
        <f t="shared" si="3"/>
        <v>5</v>
      </c>
      <c r="P392" s="210">
        <f t="shared" ref="P392:Q392" si="402">IF(N392="",0,IF(N392&lt;=2,1,IF(N392&lt;=4,2,IF(N392&lt;=5.5,3,4))))</f>
        <v>1</v>
      </c>
      <c r="Q392" s="210">
        <f t="shared" si="402"/>
        <v>3</v>
      </c>
      <c r="R392" s="210" t="str">
        <f t="shared" si="5"/>
        <v>Lv1 → Lv3 (multi)</v>
      </c>
      <c r="S392" s="210">
        <f t="shared" si="6"/>
        <v>0</v>
      </c>
      <c r="T392" s="210"/>
      <c r="U392" s="210"/>
      <c r="V392" s="210"/>
      <c r="W392" s="210"/>
      <c r="X392" s="210"/>
      <c r="Y392" s="210"/>
      <c r="Z392" s="210"/>
      <c r="AA392" s="210"/>
      <c r="AB392" s="210"/>
      <c r="AC392" s="210"/>
      <c r="AD392" s="210"/>
      <c r="AE392" s="210"/>
      <c r="AF392" s="210"/>
      <c r="AG392" s="210"/>
      <c r="AH392" s="210"/>
      <c r="AI392" s="210"/>
      <c r="AJ392" s="210"/>
      <c r="AK392" s="210"/>
      <c r="AL392" s="210"/>
      <c r="AM392" s="214"/>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c r="BU392" s="210"/>
      <c r="BV392" s="210"/>
      <c r="BW392" s="210"/>
      <c r="BX392" s="210"/>
      <c r="BY392" s="210"/>
      <c r="BZ392" s="210"/>
      <c r="CA392" s="210"/>
      <c r="CB392" s="210"/>
      <c r="CC392" s="210"/>
      <c r="CD392" s="210"/>
      <c r="CE392" s="210"/>
      <c r="CF392" s="210"/>
      <c r="CG392" s="210"/>
      <c r="CH392" s="210"/>
      <c r="CI392" s="210"/>
      <c r="CJ392" s="210"/>
      <c r="CK392" s="210"/>
    </row>
    <row r="393">
      <c r="A393" s="222" t="s">
        <v>300</v>
      </c>
      <c r="B393" s="190" t="s">
        <v>301</v>
      </c>
      <c r="C393" s="223" t="s">
        <v>85</v>
      </c>
      <c r="D393" s="223" t="s">
        <v>878</v>
      </c>
      <c r="E393" s="190" t="s">
        <v>24</v>
      </c>
      <c r="F393" s="190"/>
      <c r="G393" s="190"/>
      <c r="H393" s="219">
        <f>IFERROR(
  MINIFS(ATTENDANCE_LOG!$F:$F,
         ATTENDANCE_LOG!$A:$A, C393,
         ATTENDANCE_LOG!$B:$B, E393),
"")</f>
        <v>46086.45833</v>
      </c>
      <c r="I393" s="219">
        <f t="shared" si="2"/>
        <v>45765.58333</v>
      </c>
      <c r="J393" s="190" t="str">
        <f>IFERROR(VLOOKUP(F393, LEVEL_HELPER!$A:$B, 2, 0), "")</f>
        <v/>
      </c>
      <c r="K393" s="190" t="str">
        <f>IFERROR(VLOOKUP(G393, LEVEL_HELPER!$A:$B, 2, 0), "")</f>
        <v/>
      </c>
      <c r="L393" s="220" t="s">
        <v>943</v>
      </c>
      <c r="M393" s="220" t="s">
        <v>924</v>
      </c>
      <c r="N393" s="190">
        <f t="array" ref="N393">IFERROR(
  INDEX($J$2:$J$543,
    MATCH(A393&amp;TEXT(I393,"yyyy-mm-dd"),
          $A$2:$A$543&amp;TEXT($H$2:$H$543,"yyyy-mm-dd"),
          0)),
"")</f>
        <v>1</v>
      </c>
      <c r="O393" s="210">
        <f t="shared" si="3"/>
        <v>5</v>
      </c>
      <c r="P393" s="210">
        <f t="shared" ref="P393:Q393" si="403">IF(N393="",0,IF(N393&lt;=2,1,IF(N393&lt;=4,2,IF(N393&lt;=5.5,3,4))))</f>
        <v>1</v>
      </c>
      <c r="Q393" s="210">
        <f t="shared" si="403"/>
        <v>3</v>
      </c>
      <c r="R393" s="210" t="str">
        <f t="shared" si="5"/>
        <v>Lv1 → Lv3 (multi)</v>
      </c>
      <c r="S393" s="210">
        <f t="shared" si="6"/>
        <v>0</v>
      </c>
      <c r="T393" s="210"/>
      <c r="U393" s="210"/>
      <c r="V393" s="210"/>
      <c r="W393" s="210"/>
      <c r="X393" s="210"/>
      <c r="Y393" s="210"/>
      <c r="Z393" s="210"/>
      <c r="AA393" s="210"/>
      <c r="AB393" s="210"/>
      <c r="AC393" s="210"/>
      <c r="AD393" s="210"/>
      <c r="AE393" s="210"/>
      <c r="AF393" s="210"/>
      <c r="AG393" s="210"/>
      <c r="AH393" s="210"/>
      <c r="AI393" s="210"/>
      <c r="AJ393" s="210"/>
      <c r="AK393" s="210"/>
      <c r="AL393" s="210"/>
      <c r="AM393" s="214"/>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c r="BU393" s="210"/>
      <c r="BV393" s="210"/>
      <c r="BW393" s="210"/>
      <c r="BX393" s="210"/>
      <c r="BY393" s="210"/>
      <c r="BZ393" s="210"/>
      <c r="CA393" s="210"/>
      <c r="CB393" s="210"/>
      <c r="CC393" s="210"/>
      <c r="CD393" s="210"/>
      <c r="CE393" s="210"/>
      <c r="CF393" s="210"/>
      <c r="CG393" s="210"/>
      <c r="CH393" s="210"/>
      <c r="CI393" s="210"/>
      <c r="CJ393" s="210"/>
      <c r="CK393" s="210"/>
    </row>
    <row r="394">
      <c r="A394" s="222" t="s">
        <v>309</v>
      </c>
      <c r="B394" s="190" t="s">
        <v>310</v>
      </c>
      <c r="C394" s="223" t="s">
        <v>85</v>
      </c>
      <c r="D394" s="223" t="s">
        <v>878</v>
      </c>
      <c r="E394" s="190" t="s">
        <v>24</v>
      </c>
      <c r="F394" s="190"/>
      <c r="G394" s="190"/>
      <c r="H394" s="219">
        <f>IFERROR(
  MINIFS(ATTENDANCE_LOG!$F:$F,
         ATTENDANCE_LOG!$A:$A, C394,
         ATTENDANCE_LOG!$B:$B, E394),
"")</f>
        <v>46086.45833</v>
      </c>
      <c r="I394" s="219">
        <f t="shared" si="2"/>
        <v>45765.375</v>
      </c>
      <c r="J394" s="190" t="str">
        <f>IFERROR(VLOOKUP(F394, LEVEL_HELPER!$A:$B, 2, 0), "")</f>
        <v/>
      </c>
      <c r="K394" s="190" t="str">
        <f>IFERROR(VLOOKUP(G394, LEVEL_HELPER!$A:$B, 2, 0), "")</f>
        <v/>
      </c>
      <c r="L394" s="220" t="s">
        <v>943</v>
      </c>
      <c r="M394" s="220" t="s">
        <v>924</v>
      </c>
      <c r="N394" s="190">
        <f t="array" ref="N394">IFERROR(
  INDEX($J$2:$J$543,
    MATCH(A394&amp;TEXT(I394,"yyyy-mm-dd"),
          $A$2:$A$543&amp;TEXT($H$2:$H$543,"yyyy-mm-dd"),
          0)),
"")</f>
        <v>1</v>
      </c>
      <c r="O394" s="210">
        <f t="shared" si="3"/>
        <v>5</v>
      </c>
      <c r="P394" s="210">
        <f t="shared" ref="P394:Q394" si="404">IF(N394="",0,IF(N394&lt;=2,1,IF(N394&lt;=4,2,IF(N394&lt;=5.5,3,4))))</f>
        <v>1</v>
      </c>
      <c r="Q394" s="210">
        <f t="shared" si="404"/>
        <v>3</v>
      </c>
      <c r="R394" s="210" t="str">
        <f t="shared" si="5"/>
        <v>Lv1 → Lv3 (multi)</v>
      </c>
      <c r="S394" s="210">
        <f t="shared" si="6"/>
        <v>0</v>
      </c>
      <c r="T394" s="210"/>
      <c r="U394" s="210"/>
      <c r="V394" s="210"/>
      <c r="W394" s="210"/>
      <c r="X394" s="210"/>
      <c r="Y394" s="210"/>
      <c r="Z394" s="210"/>
      <c r="AA394" s="210"/>
      <c r="AB394" s="210"/>
      <c r="AC394" s="210"/>
      <c r="AD394" s="210"/>
      <c r="AE394" s="210"/>
      <c r="AF394" s="210"/>
      <c r="AG394" s="210"/>
      <c r="AH394" s="210"/>
      <c r="AI394" s="210"/>
      <c r="AJ394" s="210"/>
      <c r="AK394" s="210"/>
      <c r="AL394" s="210"/>
      <c r="AM394" s="214"/>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c r="BU394" s="210"/>
      <c r="BV394" s="210"/>
      <c r="BW394" s="210"/>
      <c r="BX394" s="210"/>
      <c r="BY394" s="210"/>
      <c r="BZ394" s="210"/>
      <c r="CA394" s="210"/>
      <c r="CB394" s="210"/>
      <c r="CC394" s="210"/>
      <c r="CD394" s="210"/>
      <c r="CE394" s="210"/>
      <c r="CF394" s="210"/>
      <c r="CG394" s="210"/>
      <c r="CH394" s="210"/>
      <c r="CI394" s="210"/>
      <c r="CJ394" s="210"/>
      <c r="CK394" s="210"/>
    </row>
    <row r="395">
      <c r="A395" s="222" t="s">
        <v>530</v>
      </c>
      <c r="B395" s="190" t="s">
        <v>531</v>
      </c>
      <c r="C395" s="223" t="s">
        <v>85</v>
      </c>
      <c r="D395" s="223" t="s">
        <v>878</v>
      </c>
      <c r="E395" s="190" t="s">
        <v>24</v>
      </c>
      <c r="F395" s="190"/>
      <c r="G395" s="190"/>
      <c r="H395" s="219">
        <f>IFERROR(
  MINIFS(ATTENDANCE_LOG!$F:$F,
         ATTENDANCE_LOG!$A:$A, C395,
         ATTENDANCE_LOG!$B:$B, E395),
"")</f>
        <v>46086.45833</v>
      </c>
      <c r="I395" s="219">
        <f t="shared" si="2"/>
        <v>45765.41667</v>
      </c>
      <c r="J395" s="190" t="str">
        <f>IFERROR(VLOOKUP(F395, LEVEL_HELPER!$A:$B, 2, 0), "")</f>
        <v/>
      </c>
      <c r="K395" s="190" t="str">
        <f>IFERROR(VLOOKUP(G395, LEVEL_HELPER!$A:$B, 2, 0), "")</f>
        <v/>
      </c>
      <c r="L395" s="220" t="s">
        <v>943</v>
      </c>
      <c r="M395" s="220" t="s">
        <v>924</v>
      </c>
      <c r="N395" s="190">
        <f t="array" ref="N395">IFERROR(
  INDEX($J$2:$J$543,
    MATCH(A395&amp;TEXT(I395,"yyyy-mm-dd"),
          $A$2:$A$543&amp;TEXT($H$2:$H$543,"yyyy-mm-dd"),
          0)),
"")</f>
        <v>1</v>
      </c>
      <c r="O395" s="210">
        <f t="shared" si="3"/>
        <v>5</v>
      </c>
      <c r="P395" s="210">
        <f t="shared" ref="P395:Q395" si="405">IF(N395="",0,IF(N395&lt;=2,1,IF(N395&lt;=4,2,IF(N395&lt;=5.5,3,4))))</f>
        <v>1</v>
      </c>
      <c r="Q395" s="210">
        <f t="shared" si="405"/>
        <v>3</v>
      </c>
      <c r="R395" s="210" t="str">
        <f t="shared" si="5"/>
        <v>Lv1 → Lv3 (multi)</v>
      </c>
      <c r="S395" s="210">
        <f t="shared" si="6"/>
        <v>0</v>
      </c>
      <c r="T395" s="210"/>
      <c r="U395" s="210"/>
      <c r="V395" s="210"/>
      <c r="W395" s="210"/>
      <c r="X395" s="210"/>
      <c r="Y395" s="210"/>
      <c r="Z395" s="210"/>
      <c r="AA395" s="210"/>
      <c r="AB395" s="210"/>
      <c r="AC395" s="210"/>
      <c r="AD395" s="210"/>
      <c r="AE395" s="210"/>
      <c r="AF395" s="210"/>
      <c r="AG395" s="210"/>
      <c r="AH395" s="210"/>
      <c r="AI395" s="210"/>
      <c r="AJ395" s="210"/>
      <c r="AK395" s="210"/>
      <c r="AL395" s="210"/>
      <c r="AM395" s="214"/>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c r="BU395" s="210"/>
      <c r="BV395" s="210"/>
      <c r="BW395" s="210"/>
      <c r="BX395" s="210"/>
      <c r="BY395" s="210"/>
      <c r="BZ395" s="210"/>
      <c r="CA395" s="210"/>
      <c r="CB395" s="210"/>
      <c r="CC395" s="210"/>
      <c r="CD395" s="210"/>
      <c r="CE395" s="210"/>
      <c r="CF395" s="210"/>
      <c r="CG395" s="210"/>
      <c r="CH395" s="210"/>
      <c r="CI395" s="210"/>
      <c r="CJ395" s="210"/>
      <c r="CK395" s="210"/>
    </row>
    <row r="396">
      <c r="A396" s="222" t="s">
        <v>621</v>
      </c>
      <c r="B396" s="190" t="s">
        <v>622</v>
      </c>
      <c r="C396" s="223" t="s">
        <v>85</v>
      </c>
      <c r="D396" s="223" t="s">
        <v>878</v>
      </c>
      <c r="E396" s="190" t="s">
        <v>24</v>
      </c>
      <c r="F396" s="190"/>
      <c r="G396" s="190"/>
      <c r="H396" s="219">
        <f>IFERROR(
  MINIFS(ATTENDANCE_LOG!$F:$F,
         ATTENDANCE_LOG!$A:$A, C396,
         ATTENDANCE_LOG!$B:$B, E396),
"")</f>
        <v>46086.45833</v>
      </c>
      <c r="I396" s="219">
        <f t="shared" si="2"/>
        <v>45765.41667</v>
      </c>
      <c r="J396" s="190" t="str">
        <f>IFERROR(VLOOKUP(F396, LEVEL_HELPER!$A:$B, 2, 0), "")</f>
        <v/>
      </c>
      <c r="K396" s="190" t="str">
        <f>IFERROR(VLOOKUP(G396, LEVEL_HELPER!$A:$B, 2, 0), "")</f>
        <v/>
      </c>
      <c r="L396" s="220" t="s">
        <v>943</v>
      </c>
      <c r="M396" s="220" t="s">
        <v>924</v>
      </c>
      <c r="N396" s="190">
        <f t="array" ref="N396">IFERROR(
  INDEX($J$2:$J$543,
    MATCH(A396&amp;TEXT(I396,"yyyy-mm-dd"),
          $A$2:$A$543&amp;TEXT($H$2:$H$543,"yyyy-mm-dd"),
          0)),
"")</f>
        <v>1</v>
      </c>
      <c r="O396" s="210">
        <f t="shared" si="3"/>
        <v>5</v>
      </c>
      <c r="P396" s="210">
        <f t="shared" ref="P396:Q396" si="406">IF(N396="",0,IF(N396&lt;=2,1,IF(N396&lt;=4,2,IF(N396&lt;=5.5,3,4))))</f>
        <v>1</v>
      </c>
      <c r="Q396" s="210">
        <f t="shared" si="406"/>
        <v>3</v>
      </c>
      <c r="R396" s="210" t="str">
        <f t="shared" si="5"/>
        <v>Lv1 → Lv3 (multi)</v>
      </c>
      <c r="S396" s="210">
        <f t="shared" si="6"/>
        <v>0</v>
      </c>
      <c r="T396" s="210"/>
      <c r="U396" s="210"/>
      <c r="V396" s="210"/>
      <c r="W396" s="210"/>
      <c r="X396" s="210"/>
      <c r="Y396" s="210"/>
      <c r="Z396" s="210"/>
      <c r="AA396" s="210"/>
      <c r="AB396" s="210"/>
      <c r="AC396" s="210"/>
      <c r="AD396" s="210"/>
      <c r="AE396" s="210"/>
      <c r="AF396" s="210"/>
      <c r="AG396" s="210"/>
      <c r="AH396" s="210"/>
      <c r="AI396" s="210"/>
      <c r="AJ396" s="210"/>
      <c r="AK396" s="210"/>
      <c r="AL396" s="210"/>
      <c r="AM396" s="214"/>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c r="BU396" s="210"/>
      <c r="BV396" s="210"/>
      <c r="BW396" s="210"/>
      <c r="BX396" s="210"/>
      <c r="BY396" s="210"/>
      <c r="BZ396" s="210"/>
      <c r="CA396" s="210"/>
      <c r="CB396" s="210"/>
      <c r="CC396" s="210"/>
      <c r="CD396" s="210"/>
      <c r="CE396" s="210"/>
      <c r="CF396" s="210"/>
      <c r="CG396" s="210"/>
      <c r="CH396" s="210"/>
      <c r="CI396" s="210"/>
      <c r="CJ396" s="210"/>
      <c r="CK396" s="210"/>
    </row>
    <row r="397">
      <c r="A397" s="216" t="s">
        <v>397</v>
      </c>
      <c r="B397" s="217" t="s">
        <v>398</v>
      </c>
      <c r="C397" s="218" t="s">
        <v>85</v>
      </c>
      <c r="D397" s="218" t="s">
        <v>878</v>
      </c>
      <c r="E397" s="217" t="s">
        <v>21</v>
      </c>
      <c r="F397" s="13" t="s">
        <v>927</v>
      </c>
      <c r="G397" s="13" t="s">
        <v>935</v>
      </c>
      <c r="H397" s="219">
        <f>IFERROR(
  MINIFS(ATTENDANCE_LOG!$F:$F,
         ATTENDANCE_LOG!$A:$A, C397,
         ATTENDANCE_LOG!$B:$B, E397),
"")</f>
        <v>45764.45833</v>
      </c>
      <c r="I397" s="219">
        <f t="shared" si="2"/>
        <v>45764.45833</v>
      </c>
      <c r="J397" s="190">
        <f>IFERROR(VLOOKUP(F397, LEVEL_HELPER!$A:$B, 2, 0), "")</f>
        <v>1</v>
      </c>
      <c r="K397" s="190">
        <f>IFERROR(VLOOKUP(G397, LEVEL_HELPER!$A:$B, 2, 0), "")</f>
        <v>3.5</v>
      </c>
      <c r="L397" s="220" t="s">
        <v>957</v>
      </c>
      <c r="M397" s="220" t="s">
        <v>924</v>
      </c>
      <c r="N397" s="190">
        <f t="array" ref="N397">IFERROR(
  INDEX($J$2:$J$543,
    MATCH(A397&amp;TEXT(I397,"yyyy-mm-dd"),
          $A$2:$A$543&amp;TEXT($H$2:$H$543,"yyyy-mm-dd"),
          0)),
"")</f>
        <v>1</v>
      </c>
      <c r="O397" s="210">
        <f t="shared" si="3"/>
        <v>5</v>
      </c>
      <c r="P397" s="210">
        <f t="shared" ref="P397:Q397" si="407">IF(N397="",0,IF(N397&lt;=2,1,IF(N397&lt;=4,2,IF(N397&lt;=5.5,3,4))))</f>
        <v>1</v>
      </c>
      <c r="Q397" s="210">
        <f t="shared" si="407"/>
        <v>3</v>
      </c>
      <c r="R397" s="210" t="str">
        <f t="shared" si="5"/>
        <v>Lv1 → Lv3 (multi)</v>
      </c>
      <c r="S397" s="210">
        <f t="shared" si="6"/>
        <v>0</v>
      </c>
      <c r="T397" s="210"/>
      <c r="U397" s="210"/>
      <c r="V397" s="210"/>
      <c r="W397" s="210"/>
      <c r="X397" s="210"/>
      <c r="Y397" s="210"/>
      <c r="Z397" s="210"/>
      <c r="AA397" s="210"/>
      <c r="AB397" s="210"/>
      <c r="AC397" s="210"/>
      <c r="AD397" s="210"/>
      <c r="AE397" s="210"/>
      <c r="AF397" s="210"/>
      <c r="AG397" s="210"/>
      <c r="AH397" s="210"/>
      <c r="AI397" s="210"/>
      <c r="AJ397" s="210"/>
      <c r="AK397" s="210"/>
      <c r="AL397" s="210"/>
      <c r="AM397" s="214"/>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c r="BU397" s="210"/>
      <c r="BV397" s="210"/>
      <c r="BW397" s="210"/>
      <c r="BX397" s="210"/>
      <c r="BY397" s="210"/>
      <c r="BZ397" s="210"/>
      <c r="CA397" s="210"/>
      <c r="CB397" s="210"/>
      <c r="CC397" s="210"/>
      <c r="CD397" s="210"/>
      <c r="CE397" s="210"/>
      <c r="CF397" s="210"/>
      <c r="CG397" s="210"/>
      <c r="CH397" s="210"/>
      <c r="CI397" s="210"/>
      <c r="CJ397" s="210"/>
      <c r="CK397" s="210"/>
    </row>
    <row r="398">
      <c r="A398" s="222" t="s">
        <v>136</v>
      </c>
      <c r="B398" s="190" t="s">
        <v>137</v>
      </c>
      <c r="C398" s="223" t="s">
        <v>85</v>
      </c>
      <c r="D398" s="223" t="s">
        <v>878</v>
      </c>
      <c r="E398" s="190" t="s">
        <v>21</v>
      </c>
      <c r="F398" s="13" t="s">
        <v>958</v>
      </c>
      <c r="G398" s="13" t="s">
        <v>935</v>
      </c>
      <c r="H398" s="219">
        <f>IFERROR(
  MINIFS(ATTENDANCE_LOG!$F:$F,
         ATTENDANCE_LOG!$A:$A, C398,
         ATTENDANCE_LOG!$B:$B, E398),
"")</f>
        <v>45764.45833</v>
      </c>
      <c r="I398" s="219">
        <f t="shared" si="2"/>
        <v>45764.45833</v>
      </c>
      <c r="J398" s="190">
        <f>IFERROR(VLOOKUP(F398, LEVEL_HELPER!$A:$B, 2, 0), "")</f>
        <v>0</v>
      </c>
      <c r="K398" s="190">
        <f>IFERROR(VLOOKUP(G398, LEVEL_HELPER!$A:$B, 2, 0), "")</f>
        <v>3.5</v>
      </c>
      <c r="L398" s="220" t="s">
        <v>943</v>
      </c>
      <c r="M398" s="220" t="s">
        <v>924</v>
      </c>
      <c r="N398" s="190">
        <f t="array" ref="N398">IFERROR(
  INDEX($J$2:$J$543,
    MATCH(A398&amp;TEXT(I398,"yyyy-mm-dd"),
          $A$2:$A$543&amp;TEXT($H$2:$H$543,"yyyy-mm-dd"),
          0)),
"")</f>
        <v>0</v>
      </c>
      <c r="O398" s="210">
        <f t="shared" si="3"/>
        <v>5</v>
      </c>
      <c r="P398" s="210">
        <f t="shared" ref="P398:Q398" si="408">IF(N398="",0,IF(N398&lt;=2,1,IF(N398&lt;=4,2,IF(N398&lt;=5.5,3,4))))</f>
        <v>1</v>
      </c>
      <c r="Q398" s="210">
        <f t="shared" si="408"/>
        <v>3</v>
      </c>
      <c r="R398" s="210" t="str">
        <f t="shared" si="5"/>
        <v>Lv1 → Lv3 (multi)</v>
      </c>
      <c r="S398" s="210">
        <f t="shared" si="6"/>
        <v>0</v>
      </c>
      <c r="T398" s="210"/>
      <c r="U398" s="210"/>
      <c r="V398" s="210"/>
      <c r="W398" s="210"/>
      <c r="X398" s="210"/>
      <c r="Y398" s="210"/>
      <c r="Z398" s="210"/>
      <c r="AA398" s="210"/>
      <c r="AB398" s="210"/>
      <c r="AC398" s="210"/>
      <c r="AD398" s="210"/>
      <c r="AE398" s="210"/>
      <c r="AF398" s="210"/>
      <c r="AG398" s="210"/>
      <c r="AH398" s="210"/>
      <c r="AI398" s="210"/>
      <c r="AJ398" s="210"/>
      <c r="AK398" s="210"/>
      <c r="AL398" s="210"/>
      <c r="AM398" s="214"/>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c r="BU398" s="210"/>
      <c r="BV398" s="210"/>
      <c r="BW398" s="210"/>
      <c r="BX398" s="210"/>
      <c r="BY398" s="210"/>
      <c r="BZ398" s="210"/>
      <c r="CA398" s="210"/>
      <c r="CB398" s="210"/>
      <c r="CC398" s="210"/>
      <c r="CD398" s="210"/>
      <c r="CE398" s="210"/>
      <c r="CF398" s="210"/>
      <c r="CG398" s="210"/>
      <c r="CH398" s="210"/>
      <c r="CI398" s="210"/>
      <c r="CJ398" s="210"/>
      <c r="CK398" s="210"/>
    </row>
    <row r="399">
      <c r="A399" s="222" t="s">
        <v>165</v>
      </c>
      <c r="B399" s="190" t="s">
        <v>166</v>
      </c>
      <c r="C399" s="223" t="s">
        <v>85</v>
      </c>
      <c r="D399" s="223" t="s">
        <v>878</v>
      </c>
      <c r="E399" s="190" t="s">
        <v>21</v>
      </c>
      <c r="F399" s="13" t="s">
        <v>927</v>
      </c>
      <c r="G399" s="13" t="s">
        <v>918</v>
      </c>
      <c r="H399" s="219">
        <f>IFERROR(
  MINIFS(ATTENDANCE_LOG!$F:$F,
         ATTENDANCE_LOG!$A:$A, C399,
         ATTENDANCE_LOG!$B:$B, E399),
"")</f>
        <v>45764.45833</v>
      </c>
      <c r="I399" s="219">
        <f t="shared" si="2"/>
        <v>45764.45833</v>
      </c>
      <c r="J399" s="190">
        <f>IFERROR(VLOOKUP(F399, LEVEL_HELPER!$A:$B, 2, 0), "")</f>
        <v>1</v>
      </c>
      <c r="K399" s="190">
        <f>IFERROR(VLOOKUP(G399, LEVEL_HELPER!$A:$B, 2, 0), "")</f>
        <v>3</v>
      </c>
      <c r="L399" s="220" t="s">
        <v>943</v>
      </c>
      <c r="M399" s="220" t="s">
        <v>924</v>
      </c>
      <c r="N399" s="190">
        <f t="array" ref="N399">IFERROR(
  INDEX($J$2:$J$543,
    MATCH(A399&amp;TEXT(I399,"yyyy-mm-dd"),
          $A$2:$A$543&amp;TEXT($H$2:$H$543,"yyyy-mm-dd"),
          0)),
"")</f>
        <v>1</v>
      </c>
      <c r="O399" s="210">
        <f t="shared" si="3"/>
        <v>3</v>
      </c>
      <c r="P399" s="210">
        <f t="shared" ref="P399:Q399" si="409">IF(N399="",0,IF(N399&lt;=2,1,IF(N399&lt;=4,2,IF(N399&lt;=5.5,3,4))))</f>
        <v>1</v>
      </c>
      <c r="Q399" s="210">
        <f t="shared" si="409"/>
        <v>2</v>
      </c>
      <c r="R399" s="210" t="str">
        <f t="shared" si="5"/>
        <v>Lv1 → Lv2</v>
      </c>
      <c r="S399" s="210">
        <f t="shared" si="6"/>
        <v>1</v>
      </c>
      <c r="T399" s="210"/>
      <c r="U399" s="210"/>
      <c r="V399" s="210"/>
      <c r="W399" s="210"/>
      <c r="X399" s="210"/>
      <c r="Y399" s="210"/>
      <c r="Z399" s="210"/>
      <c r="AA399" s="210"/>
      <c r="AB399" s="210"/>
      <c r="AC399" s="210"/>
      <c r="AD399" s="210"/>
      <c r="AE399" s="210"/>
      <c r="AF399" s="210"/>
      <c r="AG399" s="210"/>
      <c r="AH399" s="210"/>
      <c r="AI399" s="210"/>
      <c r="AJ399" s="210"/>
      <c r="AK399" s="210"/>
      <c r="AL399" s="210"/>
      <c r="AM399" s="214"/>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c r="BU399" s="210"/>
      <c r="BV399" s="210"/>
      <c r="BW399" s="210"/>
      <c r="BX399" s="210"/>
      <c r="BY399" s="210"/>
      <c r="BZ399" s="210"/>
      <c r="CA399" s="210"/>
      <c r="CB399" s="210"/>
      <c r="CC399" s="210"/>
      <c r="CD399" s="210"/>
      <c r="CE399" s="210"/>
      <c r="CF399" s="210"/>
      <c r="CG399" s="210"/>
      <c r="CH399" s="210"/>
      <c r="CI399" s="210"/>
      <c r="CJ399" s="210"/>
      <c r="CK399" s="210"/>
    </row>
    <row r="400">
      <c r="A400" s="222" t="s">
        <v>275</v>
      </c>
      <c r="B400" s="190" t="s">
        <v>276</v>
      </c>
      <c r="C400" s="223" t="s">
        <v>85</v>
      </c>
      <c r="D400" s="223" t="s">
        <v>878</v>
      </c>
      <c r="E400" s="190" t="s">
        <v>21</v>
      </c>
      <c r="F400" s="13" t="s">
        <v>927</v>
      </c>
      <c r="G400" s="13" t="s">
        <v>918</v>
      </c>
      <c r="H400" s="219">
        <f>IFERROR(
  MINIFS(ATTENDANCE_LOG!$F:$F,
         ATTENDANCE_LOG!$A:$A, C400,
         ATTENDANCE_LOG!$B:$B, E400),
"")</f>
        <v>45764.45833</v>
      </c>
      <c r="I400" s="219">
        <f t="shared" si="2"/>
        <v>45764.45833</v>
      </c>
      <c r="J400" s="190">
        <f>IFERROR(VLOOKUP(F400, LEVEL_HELPER!$A:$B, 2, 0), "")</f>
        <v>1</v>
      </c>
      <c r="K400" s="190">
        <f>IFERROR(VLOOKUP(G400, LEVEL_HELPER!$A:$B, 2, 0), "")</f>
        <v>3</v>
      </c>
      <c r="L400" s="220" t="s">
        <v>943</v>
      </c>
      <c r="M400" s="220" t="s">
        <v>924</v>
      </c>
      <c r="N400" s="190">
        <f t="array" ref="N400">IFERROR(
  INDEX($J$2:$J$543,
    MATCH(A400&amp;TEXT(I400,"yyyy-mm-dd"),
          $A$2:$A$543&amp;TEXT($H$2:$H$543,"yyyy-mm-dd"),
          0)),
"")</f>
        <v>1</v>
      </c>
      <c r="O400" s="210">
        <f t="shared" si="3"/>
        <v>3</v>
      </c>
      <c r="P400" s="210">
        <f t="shared" ref="P400:Q400" si="410">IF(N400="",0,IF(N400&lt;=2,1,IF(N400&lt;=4,2,IF(N400&lt;=5.5,3,4))))</f>
        <v>1</v>
      </c>
      <c r="Q400" s="210">
        <f t="shared" si="410"/>
        <v>2</v>
      </c>
      <c r="R400" s="210" t="str">
        <f t="shared" si="5"/>
        <v>Lv1 → Lv2</v>
      </c>
      <c r="S400" s="210">
        <f t="shared" si="6"/>
        <v>1</v>
      </c>
      <c r="T400" s="210"/>
      <c r="U400" s="210"/>
      <c r="V400" s="210"/>
      <c r="W400" s="210"/>
      <c r="X400" s="210"/>
      <c r="Y400" s="210"/>
      <c r="Z400" s="210"/>
      <c r="AA400" s="210"/>
      <c r="AB400" s="210"/>
      <c r="AC400" s="210"/>
      <c r="AD400" s="210"/>
      <c r="AE400" s="210"/>
      <c r="AF400" s="210"/>
      <c r="AG400" s="210"/>
      <c r="AH400" s="210"/>
      <c r="AI400" s="210"/>
      <c r="AJ400" s="210"/>
      <c r="AK400" s="210"/>
      <c r="AL400" s="210"/>
      <c r="AM400" s="214"/>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c r="BU400" s="210"/>
      <c r="BV400" s="210"/>
      <c r="BW400" s="210"/>
      <c r="BX400" s="210"/>
      <c r="BY400" s="210"/>
      <c r="BZ400" s="210"/>
      <c r="CA400" s="210"/>
      <c r="CB400" s="210"/>
      <c r="CC400" s="210"/>
      <c r="CD400" s="210"/>
      <c r="CE400" s="210"/>
      <c r="CF400" s="210"/>
      <c r="CG400" s="210"/>
      <c r="CH400" s="210"/>
      <c r="CI400" s="210"/>
      <c r="CJ400" s="210"/>
      <c r="CK400" s="210"/>
    </row>
    <row r="401">
      <c r="A401" s="222" t="s">
        <v>681</v>
      </c>
      <c r="B401" s="190" t="s">
        <v>682</v>
      </c>
      <c r="C401" s="223" t="s">
        <v>85</v>
      </c>
      <c r="D401" s="223" t="s">
        <v>878</v>
      </c>
      <c r="E401" s="190" t="s">
        <v>21</v>
      </c>
      <c r="F401" s="13" t="s">
        <v>927</v>
      </c>
      <c r="G401" s="13" t="s">
        <v>927</v>
      </c>
      <c r="H401" s="219">
        <f>IFERROR(
  MINIFS(ATTENDANCE_LOG!$F:$F,
         ATTENDANCE_LOG!$A:$A, C401,
         ATTENDANCE_LOG!$B:$B, E401),
"")</f>
        <v>45764.45833</v>
      </c>
      <c r="I401" s="219">
        <f t="shared" si="2"/>
        <v>45764.45833</v>
      </c>
      <c r="J401" s="190">
        <f>IFERROR(VLOOKUP(F401, LEVEL_HELPER!$A:$B, 2, 0), "")</f>
        <v>1</v>
      </c>
      <c r="K401" s="190">
        <f>IFERROR(VLOOKUP(G401, LEVEL_HELPER!$A:$B, 2, 0), "")</f>
        <v>1</v>
      </c>
      <c r="L401" s="220" t="s">
        <v>943</v>
      </c>
      <c r="M401" s="220" t="s">
        <v>924</v>
      </c>
      <c r="N401" s="190">
        <f t="array" ref="N401">IFERROR(
  INDEX($J$2:$J$543,
    MATCH(A401&amp;TEXT(I401,"yyyy-mm-dd"),
          $A$2:$A$543&amp;TEXT($H$2:$H$543,"yyyy-mm-dd"),
          0)),
"")</f>
        <v>1</v>
      </c>
      <c r="O401" s="210">
        <f t="shared" si="3"/>
        <v>3</v>
      </c>
      <c r="P401" s="210">
        <f t="shared" ref="P401:Q401" si="411">IF(N401="",0,IF(N401&lt;=2,1,IF(N401&lt;=4,2,IF(N401&lt;=5.5,3,4))))</f>
        <v>1</v>
      </c>
      <c r="Q401" s="210">
        <f t="shared" si="411"/>
        <v>2</v>
      </c>
      <c r="R401" s="210" t="str">
        <f t="shared" si="5"/>
        <v>Lv1 → Lv2</v>
      </c>
      <c r="S401" s="210">
        <f t="shared" si="6"/>
        <v>1</v>
      </c>
      <c r="T401" s="210"/>
      <c r="U401" s="210"/>
      <c r="V401" s="210"/>
      <c r="W401" s="210"/>
      <c r="X401" s="210"/>
      <c r="Y401" s="210"/>
      <c r="Z401" s="210"/>
      <c r="AA401" s="210"/>
      <c r="AB401" s="210"/>
      <c r="AC401" s="210"/>
      <c r="AD401" s="210"/>
      <c r="AE401" s="210"/>
      <c r="AF401" s="210"/>
      <c r="AG401" s="210"/>
      <c r="AH401" s="210"/>
      <c r="AI401" s="210"/>
      <c r="AJ401" s="210"/>
      <c r="AK401" s="210"/>
      <c r="AL401" s="210"/>
      <c r="AM401" s="214"/>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c r="BU401" s="210"/>
      <c r="BV401" s="210"/>
      <c r="BW401" s="210"/>
      <c r="BX401" s="210"/>
      <c r="BY401" s="210"/>
      <c r="BZ401" s="210"/>
      <c r="CA401" s="210"/>
      <c r="CB401" s="210"/>
      <c r="CC401" s="210"/>
      <c r="CD401" s="210"/>
      <c r="CE401" s="210"/>
      <c r="CF401" s="210"/>
      <c r="CG401" s="210"/>
      <c r="CH401" s="210"/>
      <c r="CI401" s="210"/>
      <c r="CJ401" s="210"/>
      <c r="CK401" s="210"/>
    </row>
    <row r="402">
      <c r="A402" s="222" t="s">
        <v>719</v>
      </c>
      <c r="B402" s="190" t="s">
        <v>720</v>
      </c>
      <c r="C402" s="223" t="s">
        <v>85</v>
      </c>
      <c r="D402" s="223" t="s">
        <v>878</v>
      </c>
      <c r="E402" s="190" t="s">
        <v>21</v>
      </c>
      <c r="F402" s="13" t="s">
        <v>958</v>
      </c>
      <c r="G402" s="13" t="s">
        <v>935</v>
      </c>
      <c r="H402" s="219">
        <f>IFERROR(
  MINIFS(ATTENDANCE_LOG!$F:$F,
         ATTENDANCE_LOG!$A:$A, C402,
         ATTENDANCE_LOG!$B:$B, E402),
"")</f>
        <v>45764.45833</v>
      </c>
      <c r="I402" s="219">
        <f t="shared" si="2"/>
        <v>45764.45833</v>
      </c>
      <c r="J402" s="190">
        <f>IFERROR(VLOOKUP(F402, LEVEL_HELPER!$A:$B, 2, 0), "")</f>
        <v>0</v>
      </c>
      <c r="K402" s="190">
        <f>IFERROR(VLOOKUP(G402, LEVEL_HELPER!$A:$B, 2, 0), "")</f>
        <v>3.5</v>
      </c>
      <c r="L402" s="220" t="s">
        <v>957</v>
      </c>
      <c r="M402" s="220" t="s">
        <v>924</v>
      </c>
      <c r="N402" s="190">
        <f t="array" ref="N402">IFERROR(
  INDEX($J$2:$J$543,
    MATCH(A402&amp;TEXT(I402,"yyyy-mm-dd"),
          $A$2:$A$543&amp;TEXT($H$2:$H$543,"yyyy-mm-dd"),
          0)),
"")</f>
        <v>0</v>
      </c>
      <c r="O402" s="210">
        <f t="shared" si="3"/>
        <v>5</v>
      </c>
      <c r="P402" s="210">
        <f t="shared" ref="P402:Q402" si="412">IF(N402="",0,IF(N402&lt;=2,1,IF(N402&lt;=4,2,IF(N402&lt;=5.5,3,4))))</f>
        <v>1</v>
      </c>
      <c r="Q402" s="210">
        <f t="shared" si="412"/>
        <v>3</v>
      </c>
      <c r="R402" s="210" t="str">
        <f t="shared" si="5"/>
        <v>Lv1 → Lv3 (multi)</v>
      </c>
      <c r="S402" s="210">
        <f t="shared" si="6"/>
        <v>1</v>
      </c>
      <c r="T402" s="210"/>
      <c r="U402" s="210"/>
      <c r="V402" s="210"/>
      <c r="W402" s="210"/>
      <c r="X402" s="210"/>
      <c r="Y402" s="210"/>
      <c r="Z402" s="210"/>
      <c r="AA402" s="210"/>
      <c r="AB402" s="210"/>
      <c r="AC402" s="210"/>
      <c r="AD402" s="210"/>
      <c r="AE402" s="210"/>
      <c r="AF402" s="210"/>
      <c r="AG402" s="210"/>
      <c r="AH402" s="210"/>
      <c r="AI402" s="210"/>
      <c r="AJ402" s="210"/>
      <c r="AK402" s="210"/>
      <c r="AL402" s="210"/>
      <c r="AM402" s="214"/>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c r="BU402" s="210"/>
      <c r="BV402" s="210"/>
      <c r="BW402" s="210"/>
      <c r="BX402" s="210"/>
      <c r="BY402" s="210"/>
      <c r="BZ402" s="210"/>
      <c r="CA402" s="210"/>
      <c r="CB402" s="210"/>
      <c r="CC402" s="210"/>
      <c r="CD402" s="210"/>
      <c r="CE402" s="210"/>
      <c r="CF402" s="210"/>
      <c r="CG402" s="210"/>
      <c r="CH402" s="210"/>
      <c r="CI402" s="210"/>
      <c r="CJ402" s="210"/>
      <c r="CK402" s="210"/>
    </row>
    <row r="403">
      <c r="A403" s="216" t="s">
        <v>397</v>
      </c>
      <c r="B403" s="217" t="s">
        <v>398</v>
      </c>
      <c r="C403" s="218" t="s">
        <v>85</v>
      </c>
      <c r="D403" s="218" t="s">
        <v>878</v>
      </c>
      <c r="E403" s="217" t="s">
        <v>22</v>
      </c>
      <c r="F403" s="13" t="s">
        <v>935</v>
      </c>
      <c r="G403" s="13" t="s">
        <v>941</v>
      </c>
      <c r="H403" s="219">
        <f>IFERROR(
  MINIFS(ATTENDANCE_LOG!$F:$F,
         ATTENDANCE_LOG!$A:$A, C403,
         ATTENDANCE_LOG!$B:$B, E403),
"")</f>
        <v>45910.54167</v>
      </c>
      <c r="I403" s="219">
        <f t="shared" si="2"/>
        <v>45764.45833</v>
      </c>
      <c r="J403" s="190">
        <f>IFERROR(VLOOKUP(F403, LEVEL_HELPER!$A:$B, 2, 0), "")</f>
        <v>3.5</v>
      </c>
      <c r="K403" s="190">
        <f>IFERROR(VLOOKUP(G403, LEVEL_HELPER!$A:$B, 2, 0), "")</f>
        <v>5</v>
      </c>
      <c r="L403" s="220" t="s">
        <v>957</v>
      </c>
      <c r="M403" s="220" t="s">
        <v>924</v>
      </c>
      <c r="N403" s="190">
        <f t="array" ref="N403">IFERROR(
  INDEX($J$2:$J$543,
    MATCH(A403&amp;TEXT(I403,"yyyy-mm-dd"),
          $A$2:$A$543&amp;TEXT($H$2:$H$543,"yyyy-mm-dd"),
          0)),
"")</f>
        <v>1</v>
      </c>
      <c r="O403" s="210">
        <f t="shared" si="3"/>
        <v>5</v>
      </c>
      <c r="P403" s="210">
        <f t="shared" ref="P403:Q403" si="413">IF(N403="",0,IF(N403&lt;=2,1,IF(N403&lt;=4,2,IF(N403&lt;=5.5,3,4))))</f>
        <v>1</v>
      </c>
      <c r="Q403" s="210">
        <f t="shared" si="413"/>
        <v>3</v>
      </c>
      <c r="R403" s="210" t="str">
        <f t="shared" si="5"/>
        <v>Lv1 → Lv3 (multi)</v>
      </c>
      <c r="S403" s="210">
        <f t="shared" si="6"/>
        <v>0</v>
      </c>
      <c r="T403" s="210"/>
      <c r="U403" s="210"/>
      <c r="V403" s="210"/>
      <c r="W403" s="210"/>
      <c r="X403" s="210"/>
      <c r="Y403" s="210"/>
      <c r="Z403" s="210"/>
      <c r="AA403" s="210"/>
      <c r="AB403" s="210"/>
      <c r="AC403" s="210"/>
      <c r="AD403" s="210"/>
      <c r="AE403" s="210"/>
      <c r="AF403" s="210"/>
      <c r="AG403" s="210"/>
      <c r="AH403" s="210"/>
      <c r="AI403" s="210"/>
      <c r="AJ403" s="210"/>
      <c r="AK403" s="210"/>
      <c r="AL403" s="210"/>
      <c r="AM403" s="214"/>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c r="BU403" s="210"/>
      <c r="BV403" s="210"/>
      <c r="BW403" s="210"/>
      <c r="BX403" s="210"/>
      <c r="BY403" s="210"/>
      <c r="BZ403" s="210"/>
      <c r="CA403" s="210"/>
      <c r="CB403" s="210"/>
      <c r="CC403" s="210"/>
      <c r="CD403" s="210"/>
      <c r="CE403" s="210"/>
      <c r="CF403" s="210"/>
      <c r="CG403" s="210"/>
      <c r="CH403" s="210"/>
      <c r="CI403" s="210"/>
      <c r="CJ403" s="210"/>
      <c r="CK403" s="210"/>
    </row>
    <row r="404">
      <c r="A404" s="222" t="s">
        <v>136</v>
      </c>
      <c r="B404" s="190" t="s">
        <v>137</v>
      </c>
      <c r="C404" s="223" t="s">
        <v>85</v>
      </c>
      <c r="D404" s="223" t="s">
        <v>878</v>
      </c>
      <c r="E404" s="190" t="s">
        <v>22</v>
      </c>
      <c r="F404" s="13" t="s">
        <v>935</v>
      </c>
      <c r="G404" s="13" t="s">
        <v>941</v>
      </c>
      <c r="H404" s="219">
        <f>IFERROR(
  MINIFS(ATTENDANCE_LOG!$F:$F,
         ATTENDANCE_LOG!$A:$A, C404,
         ATTENDANCE_LOG!$B:$B, E404),
"")</f>
        <v>45910.54167</v>
      </c>
      <c r="I404" s="219">
        <f t="shared" si="2"/>
        <v>45764.45833</v>
      </c>
      <c r="J404" s="190">
        <f>IFERROR(VLOOKUP(F404, LEVEL_HELPER!$A:$B, 2, 0), "")</f>
        <v>3.5</v>
      </c>
      <c r="K404" s="190">
        <f>IFERROR(VLOOKUP(G404, LEVEL_HELPER!$A:$B, 2, 0), "")</f>
        <v>5</v>
      </c>
      <c r="L404" s="220" t="s">
        <v>943</v>
      </c>
      <c r="M404" s="220" t="s">
        <v>924</v>
      </c>
      <c r="N404" s="190">
        <f t="array" ref="N404">IFERROR(
  INDEX($J$2:$J$543,
    MATCH(A404&amp;TEXT(I404,"yyyy-mm-dd"),
          $A$2:$A$543&amp;TEXT($H$2:$H$543,"yyyy-mm-dd"),
          0)),
"")</f>
        <v>0</v>
      </c>
      <c r="O404" s="210">
        <f t="shared" si="3"/>
        <v>5</v>
      </c>
      <c r="P404" s="210">
        <f t="shared" ref="P404:Q404" si="414">IF(N404="",0,IF(N404&lt;=2,1,IF(N404&lt;=4,2,IF(N404&lt;=5.5,3,4))))</f>
        <v>1</v>
      </c>
      <c r="Q404" s="210">
        <f t="shared" si="414"/>
        <v>3</v>
      </c>
      <c r="R404" s="210" t="str">
        <f t="shared" si="5"/>
        <v>Lv1 → Lv3 (multi)</v>
      </c>
      <c r="S404" s="210">
        <f t="shared" si="6"/>
        <v>0</v>
      </c>
      <c r="T404" s="210"/>
      <c r="U404" s="210"/>
      <c r="V404" s="210"/>
      <c r="W404" s="210"/>
      <c r="X404" s="210"/>
      <c r="Y404" s="210"/>
      <c r="Z404" s="210"/>
      <c r="AA404" s="210"/>
      <c r="AB404" s="210"/>
      <c r="AC404" s="210"/>
      <c r="AD404" s="210"/>
      <c r="AE404" s="210"/>
      <c r="AF404" s="210"/>
      <c r="AG404" s="210"/>
      <c r="AH404" s="210"/>
      <c r="AI404" s="210"/>
      <c r="AJ404" s="210"/>
      <c r="AK404" s="210"/>
      <c r="AL404" s="210"/>
      <c r="AM404" s="214"/>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c r="BU404" s="210"/>
      <c r="BV404" s="210"/>
      <c r="BW404" s="210"/>
      <c r="BX404" s="210"/>
      <c r="BY404" s="210"/>
      <c r="BZ404" s="210"/>
      <c r="CA404" s="210"/>
      <c r="CB404" s="210"/>
      <c r="CC404" s="210"/>
      <c r="CD404" s="210"/>
      <c r="CE404" s="210"/>
      <c r="CF404" s="210"/>
      <c r="CG404" s="210"/>
      <c r="CH404" s="210"/>
      <c r="CI404" s="210"/>
      <c r="CJ404" s="210"/>
      <c r="CK404" s="210"/>
    </row>
    <row r="405">
      <c r="A405" s="222" t="s">
        <v>165</v>
      </c>
      <c r="B405" s="190" t="s">
        <v>166</v>
      </c>
      <c r="C405" s="223" t="s">
        <v>85</v>
      </c>
      <c r="D405" s="223" t="s">
        <v>878</v>
      </c>
      <c r="E405" s="190" t="s">
        <v>22</v>
      </c>
      <c r="F405" s="13" t="s">
        <v>918</v>
      </c>
      <c r="G405" s="190"/>
      <c r="H405" s="219">
        <f>IFERROR(
  MINIFS(ATTENDANCE_LOG!$F:$F,
         ATTENDANCE_LOG!$A:$A, C405,
         ATTENDANCE_LOG!$B:$B, E405),
"")</f>
        <v>45910.54167</v>
      </c>
      <c r="I405" s="219">
        <f t="shared" si="2"/>
        <v>45764.45833</v>
      </c>
      <c r="J405" s="190">
        <f>IFERROR(VLOOKUP(F405, LEVEL_HELPER!$A:$B, 2, 0), "")</f>
        <v>3</v>
      </c>
      <c r="K405" s="190" t="str">
        <f>IFERROR(VLOOKUP(G405, LEVEL_HELPER!$A:$B, 2, 0), "")</f>
        <v/>
      </c>
      <c r="L405" s="220" t="s">
        <v>943</v>
      </c>
      <c r="M405" s="220" t="s">
        <v>924</v>
      </c>
      <c r="N405" s="190">
        <f t="array" ref="N405">IFERROR(
  INDEX($J$2:$J$543,
    MATCH(A405&amp;TEXT(I405,"yyyy-mm-dd"),
          $A$2:$A$543&amp;TEXT($H$2:$H$543,"yyyy-mm-dd"),
          0)),
"")</f>
        <v>1</v>
      </c>
      <c r="O405" s="210">
        <f t="shared" si="3"/>
        <v>3</v>
      </c>
      <c r="P405" s="210">
        <f t="shared" ref="P405:Q405" si="415">IF(N405="",0,IF(N405&lt;=2,1,IF(N405&lt;=4,2,IF(N405&lt;=5.5,3,4))))</f>
        <v>1</v>
      </c>
      <c r="Q405" s="210">
        <f t="shared" si="415"/>
        <v>2</v>
      </c>
      <c r="R405" s="210" t="str">
        <f t="shared" si="5"/>
        <v>Lv1 → Lv2</v>
      </c>
      <c r="S405" s="210">
        <f t="shared" si="6"/>
        <v>0</v>
      </c>
      <c r="T405" s="210"/>
      <c r="U405" s="210"/>
      <c r="V405" s="210"/>
      <c r="W405" s="210"/>
      <c r="X405" s="210"/>
      <c r="Y405" s="210"/>
      <c r="Z405" s="210"/>
      <c r="AA405" s="210"/>
      <c r="AB405" s="210"/>
      <c r="AC405" s="210"/>
      <c r="AD405" s="210"/>
      <c r="AE405" s="210"/>
      <c r="AF405" s="210"/>
      <c r="AG405" s="210"/>
      <c r="AH405" s="210"/>
      <c r="AI405" s="210"/>
      <c r="AJ405" s="210"/>
      <c r="AK405" s="210"/>
      <c r="AL405" s="210"/>
      <c r="AM405" s="214"/>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c r="BU405" s="210"/>
      <c r="BV405" s="210"/>
      <c r="BW405" s="210"/>
      <c r="BX405" s="210"/>
      <c r="BY405" s="210"/>
      <c r="BZ405" s="210"/>
      <c r="CA405" s="210"/>
      <c r="CB405" s="210"/>
      <c r="CC405" s="210"/>
      <c r="CD405" s="210"/>
      <c r="CE405" s="210"/>
      <c r="CF405" s="210"/>
      <c r="CG405" s="210"/>
      <c r="CH405" s="210"/>
      <c r="CI405" s="210"/>
      <c r="CJ405" s="210"/>
      <c r="CK405" s="210"/>
    </row>
    <row r="406">
      <c r="A406" s="222" t="s">
        <v>275</v>
      </c>
      <c r="B406" s="190" t="s">
        <v>276</v>
      </c>
      <c r="C406" s="223" t="s">
        <v>85</v>
      </c>
      <c r="D406" s="223" t="s">
        <v>878</v>
      </c>
      <c r="E406" s="190" t="s">
        <v>22</v>
      </c>
      <c r="F406" s="13" t="s">
        <v>918</v>
      </c>
      <c r="G406" s="190"/>
      <c r="H406" s="219">
        <f>IFERROR(
  MINIFS(ATTENDANCE_LOG!$F:$F,
         ATTENDANCE_LOG!$A:$A, C406,
         ATTENDANCE_LOG!$B:$B, E406),
"")</f>
        <v>45910.54167</v>
      </c>
      <c r="I406" s="219">
        <f t="shared" si="2"/>
        <v>45764.45833</v>
      </c>
      <c r="J406" s="190">
        <f>IFERROR(VLOOKUP(F406, LEVEL_HELPER!$A:$B, 2, 0), "")</f>
        <v>3</v>
      </c>
      <c r="K406" s="190" t="str">
        <f>IFERROR(VLOOKUP(G406, LEVEL_HELPER!$A:$B, 2, 0), "")</f>
        <v/>
      </c>
      <c r="L406" s="220" t="s">
        <v>943</v>
      </c>
      <c r="M406" s="220" t="s">
        <v>924</v>
      </c>
      <c r="N406" s="190">
        <f t="array" ref="N406">IFERROR(
  INDEX($J$2:$J$543,
    MATCH(A406&amp;TEXT(I406,"yyyy-mm-dd"),
          $A$2:$A$543&amp;TEXT($H$2:$H$543,"yyyy-mm-dd"),
          0)),
"")</f>
        <v>1</v>
      </c>
      <c r="O406" s="210">
        <f t="shared" si="3"/>
        <v>3</v>
      </c>
      <c r="P406" s="210">
        <f t="shared" ref="P406:Q406" si="416">IF(N406="",0,IF(N406&lt;=2,1,IF(N406&lt;=4,2,IF(N406&lt;=5.5,3,4))))</f>
        <v>1</v>
      </c>
      <c r="Q406" s="210">
        <f t="shared" si="416"/>
        <v>2</v>
      </c>
      <c r="R406" s="210" t="str">
        <f t="shared" si="5"/>
        <v>Lv1 → Lv2</v>
      </c>
      <c r="S406" s="210">
        <f t="shared" si="6"/>
        <v>0</v>
      </c>
      <c r="T406" s="210"/>
      <c r="U406" s="210"/>
      <c r="V406" s="210"/>
      <c r="W406" s="210"/>
      <c r="X406" s="210"/>
      <c r="Y406" s="210"/>
      <c r="Z406" s="210"/>
      <c r="AA406" s="210"/>
      <c r="AB406" s="210"/>
      <c r="AC406" s="210"/>
      <c r="AD406" s="210"/>
      <c r="AE406" s="210"/>
      <c r="AF406" s="210"/>
      <c r="AG406" s="210"/>
      <c r="AH406" s="210"/>
      <c r="AI406" s="210"/>
      <c r="AJ406" s="210"/>
      <c r="AK406" s="210"/>
      <c r="AL406" s="210"/>
      <c r="AM406" s="214"/>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c r="BU406" s="210"/>
      <c r="BV406" s="210"/>
      <c r="BW406" s="210"/>
      <c r="BX406" s="210"/>
      <c r="BY406" s="210"/>
      <c r="BZ406" s="210"/>
      <c r="CA406" s="210"/>
      <c r="CB406" s="210"/>
      <c r="CC406" s="210"/>
      <c r="CD406" s="210"/>
      <c r="CE406" s="210"/>
      <c r="CF406" s="210"/>
      <c r="CG406" s="210"/>
      <c r="CH406" s="210"/>
      <c r="CI406" s="210"/>
      <c r="CJ406" s="210"/>
      <c r="CK406" s="210"/>
    </row>
    <row r="407">
      <c r="A407" s="222" t="s">
        <v>512</v>
      </c>
      <c r="B407" s="190" t="s">
        <v>513</v>
      </c>
      <c r="C407" s="223" t="s">
        <v>85</v>
      </c>
      <c r="D407" s="223" t="s">
        <v>878</v>
      </c>
      <c r="E407" s="190" t="s">
        <v>22</v>
      </c>
      <c r="F407" s="13" t="s">
        <v>918</v>
      </c>
      <c r="G407" s="190"/>
      <c r="H407" s="219">
        <f>IFERROR(
  MINIFS(ATTENDANCE_LOG!$F:$F,
         ATTENDANCE_LOG!$A:$A, C407,
         ATTENDANCE_LOG!$B:$B, E407),
"")</f>
        <v>45910.54167</v>
      </c>
      <c r="I407" s="219">
        <f t="shared" si="2"/>
        <v>45765.41667</v>
      </c>
      <c r="J407" s="190">
        <f>IFERROR(VLOOKUP(F407, LEVEL_HELPER!$A:$B, 2, 0), "")</f>
        <v>3</v>
      </c>
      <c r="K407" s="190" t="str">
        <f>IFERROR(VLOOKUP(G407, LEVEL_HELPER!$A:$B, 2, 0), "")</f>
        <v/>
      </c>
      <c r="L407" s="220" t="s">
        <v>943</v>
      </c>
      <c r="M407" s="220" t="s">
        <v>924</v>
      </c>
      <c r="N407" s="190">
        <f t="array" ref="N407">IFERROR(
  INDEX($J$2:$J$543,
    MATCH(A407&amp;TEXT(I407,"yyyy-mm-dd"),
          $A$2:$A$543&amp;TEXT($H$2:$H$543,"yyyy-mm-dd"),
          0)),
"")</f>
        <v>1</v>
      </c>
      <c r="O407" s="210">
        <f t="shared" si="3"/>
        <v>2.5</v>
      </c>
      <c r="P407" s="210">
        <f t="shared" ref="P407:Q407" si="417">IF(N407="",0,IF(N407&lt;=2,1,IF(N407&lt;=4,2,IF(N407&lt;=5.5,3,4))))</f>
        <v>1</v>
      </c>
      <c r="Q407" s="210">
        <f t="shared" si="417"/>
        <v>2</v>
      </c>
      <c r="R407" s="210" t="str">
        <f t="shared" si="5"/>
        <v>Lv1 → Lv2</v>
      </c>
      <c r="S407" s="210">
        <f t="shared" si="6"/>
        <v>0</v>
      </c>
      <c r="T407" s="210"/>
      <c r="U407" s="210"/>
      <c r="V407" s="210"/>
      <c r="W407" s="210"/>
      <c r="X407" s="210"/>
      <c r="Y407" s="210"/>
      <c r="Z407" s="210"/>
      <c r="AA407" s="210"/>
      <c r="AB407" s="210"/>
      <c r="AC407" s="210"/>
      <c r="AD407" s="210"/>
      <c r="AE407" s="210"/>
      <c r="AF407" s="210"/>
      <c r="AG407" s="210"/>
      <c r="AH407" s="210"/>
      <c r="AI407" s="210"/>
      <c r="AJ407" s="210"/>
      <c r="AK407" s="210"/>
      <c r="AL407" s="210"/>
      <c r="AM407" s="214"/>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c r="BU407" s="210"/>
      <c r="BV407" s="210"/>
      <c r="BW407" s="210"/>
      <c r="BX407" s="210"/>
      <c r="BY407" s="210"/>
      <c r="BZ407" s="210"/>
      <c r="CA407" s="210"/>
      <c r="CB407" s="210"/>
      <c r="CC407" s="210"/>
      <c r="CD407" s="210"/>
      <c r="CE407" s="210"/>
      <c r="CF407" s="210"/>
      <c r="CG407" s="210"/>
      <c r="CH407" s="210"/>
      <c r="CI407" s="210"/>
      <c r="CJ407" s="210"/>
      <c r="CK407" s="210"/>
    </row>
    <row r="408">
      <c r="A408" s="222" t="s">
        <v>524</v>
      </c>
      <c r="B408" s="190" t="s">
        <v>525</v>
      </c>
      <c r="C408" s="223" t="s">
        <v>85</v>
      </c>
      <c r="D408" s="223" t="s">
        <v>878</v>
      </c>
      <c r="E408" s="190" t="s">
        <v>22</v>
      </c>
      <c r="F408" s="13" t="s">
        <v>929</v>
      </c>
      <c r="G408" s="13" t="s">
        <v>935</v>
      </c>
      <c r="H408" s="219">
        <f>IFERROR(
  MINIFS(ATTENDANCE_LOG!$F:$F,
         ATTENDANCE_LOG!$A:$A, C408,
         ATTENDANCE_LOG!$B:$B, E408),
"")</f>
        <v>45910.54167</v>
      </c>
      <c r="I408" s="219">
        <f t="shared" si="2"/>
        <v>45765.41667</v>
      </c>
      <c r="J408" s="190">
        <f>IFERROR(VLOOKUP(F408, LEVEL_HELPER!$A:$B, 2, 0), "")</f>
        <v>1.5</v>
      </c>
      <c r="K408" s="190">
        <f>IFERROR(VLOOKUP(G408, LEVEL_HELPER!$A:$B, 2, 0), "")</f>
        <v>3.5</v>
      </c>
      <c r="L408" s="220" t="s">
        <v>943</v>
      </c>
      <c r="M408" s="220" t="s">
        <v>924</v>
      </c>
      <c r="N408" s="190">
        <f t="array" ref="N408">IFERROR(
  INDEX($J$2:$J$543,
    MATCH(A408&amp;TEXT(I408,"yyyy-mm-dd"),
          $A$2:$A$543&amp;TEXT($H$2:$H$543,"yyyy-mm-dd"),
          0)),
"")</f>
        <v>0.5</v>
      </c>
      <c r="O408" s="210">
        <f t="shared" si="3"/>
        <v>3.5</v>
      </c>
      <c r="P408" s="210">
        <f t="shared" ref="P408:Q408" si="418">IF(N408="",0,IF(N408&lt;=2,1,IF(N408&lt;=4,2,IF(N408&lt;=5.5,3,4))))</f>
        <v>1</v>
      </c>
      <c r="Q408" s="210">
        <f t="shared" si="418"/>
        <v>2</v>
      </c>
      <c r="R408" s="210" t="str">
        <f t="shared" si="5"/>
        <v>Lv1 → Lv2</v>
      </c>
      <c r="S408" s="210">
        <f t="shared" si="6"/>
        <v>0</v>
      </c>
      <c r="T408" s="210"/>
      <c r="U408" s="210"/>
      <c r="V408" s="210"/>
      <c r="W408" s="210"/>
      <c r="X408" s="210"/>
      <c r="Y408" s="210"/>
      <c r="Z408" s="210"/>
      <c r="AA408" s="210"/>
      <c r="AB408" s="210"/>
      <c r="AC408" s="210"/>
      <c r="AD408" s="210"/>
      <c r="AE408" s="210"/>
      <c r="AF408" s="210"/>
      <c r="AG408" s="210"/>
      <c r="AH408" s="210"/>
      <c r="AI408" s="210"/>
      <c r="AJ408" s="210"/>
      <c r="AK408" s="210"/>
      <c r="AL408" s="210"/>
      <c r="AM408" s="214"/>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c r="BU408" s="210"/>
      <c r="BV408" s="210"/>
      <c r="BW408" s="210"/>
      <c r="BX408" s="210"/>
      <c r="BY408" s="210"/>
      <c r="BZ408" s="210"/>
      <c r="CA408" s="210"/>
      <c r="CB408" s="210"/>
      <c r="CC408" s="210"/>
      <c r="CD408" s="210"/>
      <c r="CE408" s="210"/>
      <c r="CF408" s="210"/>
      <c r="CG408" s="210"/>
      <c r="CH408" s="210"/>
      <c r="CI408" s="210"/>
      <c r="CJ408" s="210"/>
      <c r="CK408" s="210"/>
    </row>
    <row r="409">
      <c r="A409" s="222" t="s">
        <v>530</v>
      </c>
      <c r="B409" s="190" t="s">
        <v>531</v>
      </c>
      <c r="C409" s="223" t="s">
        <v>85</v>
      </c>
      <c r="D409" s="223" t="s">
        <v>878</v>
      </c>
      <c r="E409" s="190" t="s">
        <v>22</v>
      </c>
      <c r="F409" s="13" t="s">
        <v>918</v>
      </c>
      <c r="G409" s="13" t="s">
        <v>941</v>
      </c>
      <c r="H409" s="219">
        <f>IFERROR(
  MINIFS(ATTENDANCE_LOG!$F:$F,
         ATTENDANCE_LOG!$A:$A, C409,
         ATTENDANCE_LOG!$B:$B, E409),
"")</f>
        <v>45910.54167</v>
      </c>
      <c r="I409" s="219">
        <f t="shared" si="2"/>
        <v>45765.41667</v>
      </c>
      <c r="J409" s="190">
        <f>IFERROR(VLOOKUP(F409, LEVEL_HELPER!$A:$B, 2, 0), "")</f>
        <v>3</v>
      </c>
      <c r="K409" s="190">
        <f>IFERROR(VLOOKUP(G409, LEVEL_HELPER!$A:$B, 2, 0), "")</f>
        <v>5</v>
      </c>
      <c r="L409" s="220" t="s">
        <v>943</v>
      </c>
      <c r="M409" s="220" t="s">
        <v>924</v>
      </c>
      <c r="N409" s="190">
        <f t="array" ref="N409">IFERROR(
  INDEX($J$2:$J$543,
    MATCH(A409&amp;TEXT(I409,"yyyy-mm-dd"),
          $A$2:$A$543&amp;TEXT($H$2:$H$543,"yyyy-mm-dd"),
          0)),
"")</f>
        <v>1</v>
      </c>
      <c r="O409" s="210">
        <f t="shared" si="3"/>
        <v>5</v>
      </c>
      <c r="P409" s="210">
        <f t="shared" ref="P409:Q409" si="419">IF(N409="",0,IF(N409&lt;=2,1,IF(N409&lt;=4,2,IF(N409&lt;=5.5,3,4))))</f>
        <v>1</v>
      </c>
      <c r="Q409" s="210">
        <f t="shared" si="419"/>
        <v>3</v>
      </c>
      <c r="R409" s="210" t="str">
        <f t="shared" si="5"/>
        <v>Lv1 → Lv3 (multi)</v>
      </c>
      <c r="S409" s="210">
        <f t="shared" si="6"/>
        <v>0</v>
      </c>
      <c r="T409" s="210"/>
      <c r="U409" s="210"/>
      <c r="V409" s="210"/>
      <c r="W409" s="210"/>
      <c r="X409" s="210"/>
      <c r="Y409" s="210"/>
      <c r="Z409" s="210"/>
      <c r="AA409" s="210"/>
      <c r="AB409" s="210"/>
      <c r="AC409" s="210"/>
      <c r="AD409" s="210"/>
      <c r="AE409" s="210"/>
      <c r="AF409" s="210"/>
      <c r="AG409" s="210"/>
      <c r="AH409" s="210"/>
      <c r="AI409" s="210"/>
      <c r="AJ409" s="210"/>
      <c r="AK409" s="210"/>
      <c r="AL409" s="210"/>
      <c r="AM409" s="214"/>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c r="BU409" s="210"/>
      <c r="BV409" s="210"/>
      <c r="BW409" s="210"/>
      <c r="BX409" s="210"/>
      <c r="BY409" s="210"/>
      <c r="BZ409" s="210"/>
      <c r="CA409" s="210"/>
      <c r="CB409" s="210"/>
      <c r="CC409" s="210"/>
      <c r="CD409" s="210"/>
      <c r="CE409" s="210"/>
      <c r="CF409" s="210"/>
      <c r="CG409" s="210"/>
      <c r="CH409" s="210"/>
      <c r="CI409" s="210"/>
      <c r="CJ409" s="210"/>
      <c r="CK409" s="210"/>
    </row>
    <row r="410">
      <c r="A410" s="222" t="s">
        <v>621</v>
      </c>
      <c r="B410" s="190" t="s">
        <v>622</v>
      </c>
      <c r="C410" s="223" t="s">
        <v>85</v>
      </c>
      <c r="D410" s="223" t="s">
        <v>878</v>
      </c>
      <c r="E410" s="190" t="s">
        <v>22</v>
      </c>
      <c r="F410" s="13" t="s">
        <v>935</v>
      </c>
      <c r="G410" s="13" t="s">
        <v>941</v>
      </c>
      <c r="H410" s="219">
        <f>IFERROR(
  MINIFS(ATTENDANCE_LOG!$F:$F,
         ATTENDANCE_LOG!$A:$A, C410,
         ATTENDANCE_LOG!$B:$B, E410),
"")</f>
        <v>45910.54167</v>
      </c>
      <c r="I410" s="219">
        <f t="shared" si="2"/>
        <v>45765.41667</v>
      </c>
      <c r="J410" s="190">
        <f>IFERROR(VLOOKUP(F410, LEVEL_HELPER!$A:$B, 2, 0), "")</f>
        <v>3.5</v>
      </c>
      <c r="K410" s="190">
        <f>IFERROR(VLOOKUP(G410, LEVEL_HELPER!$A:$B, 2, 0), "")</f>
        <v>5</v>
      </c>
      <c r="L410" s="220" t="s">
        <v>943</v>
      </c>
      <c r="M410" s="220" t="s">
        <v>924</v>
      </c>
      <c r="N410" s="190">
        <f t="array" ref="N410">IFERROR(
  INDEX($J$2:$J$543,
    MATCH(A410&amp;TEXT(I410,"yyyy-mm-dd"),
          $A$2:$A$543&amp;TEXT($H$2:$H$543,"yyyy-mm-dd"),
          0)),
"")</f>
        <v>1</v>
      </c>
      <c r="O410" s="210">
        <f t="shared" si="3"/>
        <v>5</v>
      </c>
      <c r="P410" s="210">
        <f t="shared" ref="P410:Q410" si="420">IF(N410="",0,IF(N410&lt;=2,1,IF(N410&lt;=4,2,IF(N410&lt;=5.5,3,4))))</f>
        <v>1</v>
      </c>
      <c r="Q410" s="210">
        <f t="shared" si="420"/>
        <v>3</v>
      </c>
      <c r="R410" s="210" t="str">
        <f t="shared" si="5"/>
        <v>Lv1 → Lv3 (multi)</v>
      </c>
      <c r="S410" s="210">
        <f t="shared" si="6"/>
        <v>0</v>
      </c>
      <c r="T410" s="210"/>
      <c r="U410" s="210"/>
      <c r="V410" s="210"/>
      <c r="W410" s="210"/>
      <c r="X410" s="210"/>
      <c r="Y410" s="210"/>
      <c r="Z410" s="210"/>
      <c r="AA410" s="210"/>
      <c r="AB410" s="210"/>
      <c r="AC410" s="210"/>
      <c r="AD410" s="210"/>
      <c r="AE410" s="210"/>
      <c r="AF410" s="210"/>
      <c r="AG410" s="210"/>
      <c r="AH410" s="210"/>
      <c r="AI410" s="210"/>
      <c r="AJ410" s="210"/>
      <c r="AK410" s="210"/>
      <c r="AL410" s="210"/>
      <c r="AM410" s="214"/>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c r="BU410" s="210"/>
      <c r="BV410" s="210"/>
      <c r="BW410" s="210"/>
      <c r="BX410" s="210"/>
      <c r="BY410" s="210"/>
      <c r="BZ410" s="210"/>
      <c r="CA410" s="210"/>
      <c r="CB410" s="210"/>
      <c r="CC410" s="210"/>
      <c r="CD410" s="210"/>
      <c r="CE410" s="210"/>
      <c r="CF410" s="210"/>
      <c r="CG410" s="210"/>
      <c r="CH410" s="210"/>
      <c r="CI410" s="210"/>
      <c r="CJ410" s="210"/>
      <c r="CK410" s="210"/>
    </row>
    <row r="411">
      <c r="A411" s="222" t="s">
        <v>719</v>
      </c>
      <c r="B411" s="190" t="s">
        <v>720</v>
      </c>
      <c r="C411" s="223" t="s">
        <v>85</v>
      </c>
      <c r="D411" s="223" t="s">
        <v>878</v>
      </c>
      <c r="E411" s="190" t="s">
        <v>22</v>
      </c>
      <c r="F411" s="13" t="s">
        <v>935</v>
      </c>
      <c r="G411" s="13" t="s">
        <v>941</v>
      </c>
      <c r="H411" s="219">
        <f>IFERROR(
  MINIFS(ATTENDANCE_LOG!$F:$F,
         ATTENDANCE_LOG!$A:$A, C411,
         ATTENDANCE_LOG!$B:$B, E411),
"")</f>
        <v>45910.54167</v>
      </c>
      <c r="I411" s="219">
        <f t="shared" si="2"/>
        <v>45764.45833</v>
      </c>
      <c r="J411" s="190">
        <f>IFERROR(VLOOKUP(F411, LEVEL_HELPER!$A:$B, 2, 0), "")</f>
        <v>3.5</v>
      </c>
      <c r="K411" s="190">
        <f>IFERROR(VLOOKUP(G411, LEVEL_HELPER!$A:$B, 2, 0), "")</f>
        <v>5</v>
      </c>
      <c r="L411" s="220" t="s">
        <v>957</v>
      </c>
      <c r="M411" s="220" t="s">
        <v>924</v>
      </c>
      <c r="N411" s="190">
        <f t="array" ref="N411">IFERROR(
  INDEX($J$2:$J$543,
    MATCH(A411&amp;TEXT(I411,"yyyy-mm-dd"),
          $A$2:$A$543&amp;TEXT($H$2:$H$543,"yyyy-mm-dd"),
          0)),
"")</f>
        <v>0</v>
      </c>
      <c r="O411" s="210">
        <f t="shared" si="3"/>
        <v>5</v>
      </c>
      <c r="P411" s="210">
        <f t="shared" ref="P411:Q411" si="421">IF(N411="",0,IF(N411&lt;=2,1,IF(N411&lt;=4,2,IF(N411&lt;=5.5,3,4))))</f>
        <v>1</v>
      </c>
      <c r="Q411" s="210">
        <f t="shared" si="421"/>
        <v>3</v>
      </c>
      <c r="R411" s="210" t="str">
        <f t="shared" si="5"/>
        <v>Lv1 → Lv3 (multi)</v>
      </c>
      <c r="S411" s="210">
        <f t="shared" si="6"/>
        <v>0</v>
      </c>
      <c r="T411" s="210"/>
      <c r="U411" s="210"/>
      <c r="V411" s="210"/>
      <c r="W411" s="210"/>
      <c r="X411" s="210"/>
      <c r="Y411" s="210"/>
      <c r="Z411" s="210"/>
      <c r="AA411" s="210"/>
      <c r="AB411" s="210"/>
      <c r="AC411" s="210"/>
      <c r="AD411" s="210"/>
      <c r="AE411" s="210"/>
      <c r="AF411" s="210"/>
      <c r="AG411" s="210"/>
      <c r="AH411" s="210"/>
      <c r="AI411" s="210"/>
      <c r="AJ411" s="210"/>
      <c r="AK411" s="210"/>
      <c r="AL411" s="210"/>
      <c r="AM411" s="214"/>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c r="BU411" s="210"/>
      <c r="BV411" s="210"/>
      <c r="BW411" s="210"/>
      <c r="BX411" s="210"/>
      <c r="BY411" s="210"/>
      <c r="BZ411" s="210"/>
      <c r="CA411" s="210"/>
      <c r="CB411" s="210"/>
      <c r="CC411" s="210"/>
      <c r="CD411" s="210"/>
      <c r="CE411" s="210"/>
      <c r="CF411" s="210"/>
      <c r="CG411" s="210"/>
      <c r="CH411" s="210"/>
      <c r="CI411" s="210"/>
      <c r="CJ411" s="210"/>
      <c r="CK411" s="210"/>
    </row>
    <row r="412">
      <c r="A412" s="216" t="s">
        <v>407</v>
      </c>
      <c r="B412" s="217" t="s">
        <v>408</v>
      </c>
      <c r="C412" s="218" t="s">
        <v>86</v>
      </c>
      <c r="D412" s="218" t="s">
        <v>879</v>
      </c>
      <c r="E412" s="217" t="s">
        <v>25</v>
      </c>
      <c r="F412" s="242" t="s">
        <v>25</v>
      </c>
      <c r="G412" s="242" t="s">
        <v>927</v>
      </c>
      <c r="H412" s="219">
        <f>IFERROR(
  MINIFS(ATTENDANCE_LOG!$F:$F,
         ATTENDANCE_LOG!$A:$A, C412,
         ATTENDANCE_LOG!$B:$B, E412),
"")</f>
        <v>45805.375</v>
      </c>
      <c r="I412" s="219">
        <f t="shared" si="2"/>
        <v>45805.375</v>
      </c>
      <c r="J412" s="217">
        <f>IFERROR(VLOOKUP(F412, LEVEL_HELPER!$A:$B, 2, 0), "")</f>
        <v>0.5</v>
      </c>
      <c r="K412" s="217">
        <f>IFERROR(VLOOKUP(G412, LEVEL_HELPER!$A:$B, 2, 0), "")</f>
        <v>1</v>
      </c>
      <c r="L412" s="247" t="s">
        <v>943</v>
      </c>
      <c r="M412" s="247" t="s">
        <v>924</v>
      </c>
      <c r="N412" s="190">
        <f t="array" ref="N412">IFERROR(
  INDEX($J$2:$J$543,
    MATCH(A412&amp;TEXT(I412,"yyyy-mm-dd"),
          $A$2:$A$543&amp;TEXT($H$2:$H$543,"yyyy-mm-dd"),
          0)),
"")</f>
        <v>0.5</v>
      </c>
      <c r="O412" s="248">
        <f t="shared" si="3"/>
        <v>3</v>
      </c>
      <c r="P412" s="210">
        <f t="shared" ref="P412:Q412" si="422">IF(N412="",0,IF(N412&lt;=2,1,IF(N412&lt;=4,2,IF(N412&lt;=5.5,3,4))))</f>
        <v>1</v>
      </c>
      <c r="Q412" s="210">
        <f t="shared" si="422"/>
        <v>2</v>
      </c>
      <c r="R412" s="210" t="str">
        <f t="shared" si="5"/>
        <v>Lv1 → Lv2</v>
      </c>
      <c r="S412" s="210">
        <f t="shared" si="6"/>
        <v>1</v>
      </c>
      <c r="T412" s="210"/>
      <c r="U412" s="210"/>
      <c r="V412" s="210"/>
      <c r="W412" s="210"/>
      <c r="X412" s="210"/>
      <c r="Y412" s="210"/>
      <c r="Z412" s="210"/>
      <c r="AA412" s="210"/>
      <c r="AB412" s="210"/>
      <c r="AC412" s="210"/>
      <c r="AD412" s="210"/>
      <c r="AE412" s="210"/>
      <c r="AF412" s="210"/>
      <c r="AG412" s="210"/>
      <c r="AH412" s="210"/>
      <c r="AI412" s="210"/>
      <c r="AJ412" s="210"/>
      <c r="AK412" s="210"/>
      <c r="AL412" s="210"/>
      <c r="AM412" s="214"/>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c r="BU412" s="210"/>
      <c r="BV412" s="210"/>
      <c r="BW412" s="210"/>
      <c r="BX412" s="210"/>
      <c r="BY412" s="210"/>
      <c r="BZ412" s="210"/>
      <c r="CA412" s="210"/>
      <c r="CB412" s="210"/>
      <c r="CC412" s="210"/>
      <c r="CD412" s="210"/>
      <c r="CE412" s="210"/>
      <c r="CF412" s="210"/>
      <c r="CG412" s="210"/>
      <c r="CH412" s="210"/>
      <c r="CI412" s="210"/>
      <c r="CJ412" s="210"/>
      <c r="CK412" s="210"/>
    </row>
    <row r="413">
      <c r="A413" s="222" t="s">
        <v>153</v>
      </c>
      <c r="B413" s="190" t="s">
        <v>154</v>
      </c>
      <c r="C413" s="223" t="s">
        <v>86</v>
      </c>
      <c r="D413" s="223" t="s">
        <v>879</v>
      </c>
      <c r="E413" s="190" t="s">
        <v>25</v>
      </c>
      <c r="F413" s="13" t="s">
        <v>25</v>
      </c>
      <c r="G413" s="13" t="s">
        <v>25</v>
      </c>
      <c r="H413" s="219">
        <f>IFERROR(
  MINIFS(ATTENDANCE_LOG!$F:$F,
         ATTENDANCE_LOG!$A:$A, C413,
         ATTENDANCE_LOG!$B:$B, E413),
"")</f>
        <v>45805.375</v>
      </c>
      <c r="I413" s="219">
        <f t="shared" si="2"/>
        <v>45805.375</v>
      </c>
      <c r="J413" s="190">
        <f>IFERROR(VLOOKUP(F413, LEVEL_HELPER!$A:$B, 2, 0), "")</f>
        <v>0.5</v>
      </c>
      <c r="K413" s="190">
        <f>IFERROR(VLOOKUP(G413, LEVEL_HELPER!$A:$B, 2, 0), "")</f>
        <v>0.5</v>
      </c>
      <c r="L413" s="220" t="s">
        <v>943</v>
      </c>
      <c r="M413" s="220" t="s">
        <v>924</v>
      </c>
      <c r="N413" s="190">
        <f t="array" ref="N413">IFERROR(
  INDEX($J$2:$J$543,
    MATCH(A413&amp;TEXT(I413,"yyyy-mm-dd"),
          $A$2:$A$543&amp;TEXT($H$2:$H$543,"yyyy-mm-dd"),
          0)),
"")</f>
        <v>0.5</v>
      </c>
      <c r="O413" s="210">
        <f t="shared" si="3"/>
        <v>0.5</v>
      </c>
      <c r="P413" s="210">
        <f t="shared" ref="P413:Q413" si="423">IF(N413="",0,IF(N413&lt;=2,1,IF(N413&lt;=4,2,IF(N413&lt;=5.5,3,4))))</f>
        <v>1</v>
      </c>
      <c r="Q413" s="210">
        <f t="shared" si="423"/>
        <v>1</v>
      </c>
      <c r="R413" s="210" t="str">
        <f t="shared" si="5"/>
        <v>No Progress</v>
      </c>
      <c r="S413" s="210">
        <f t="shared" si="6"/>
        <v>1</v>
      </c>
      <c r="T413" s="210"/>
      <c r="U413" s="210"/>
      <c r="V413" s="210"/>
      <c r="W413" s="210"/>
      <c r="X413" s="210"/>
      <c r="Y413" s="210"/>
      <c r="Z413" s="210"/>
      <c r="AA413" s="210"/>
      <c r="AB413" s="210"/>
      <c r="AC413" s="210"/>
      <c r="AD413" s="210"/>
      <c r="AE413" s="210"/>
      <c r="AF413" s="210"/>
      <c r="AG413" s="210"/>
      <c r="AH413" s="210"/>
      <c r="AI413" s="210"/>
      <c r="AJ413" s="210"/>
      <c r="AK413" s="210"/>
      <c r="AL413" s="210"/>
      <c r="AM413" s="214"/>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c r="BU413" s="210"/>
      <c r="BV413" s="210"/>
      <c r="BW413" s="210"/>
      <c r="BX413" s="210"/>
      <c r="BY413" s="210"/>
      <c r="BZ413" s="210"/>
      <c r="CA413" s="210"/>
      <c r="CB413" s="210"/>
      <c r="CC413" s="210"/>
      <c r="CD413" s="210"/>
      <c r="CE413" s="210"/>
      <c r="CF413" s="210"/>
      <c r="CG413" s="210"/>
      <c r="CH413" s="210"/>
      <c r="CI413" s="210"/>
      <c r="CJ413" s="210"/>
      <c r="CK413" s="210"/>
    </row>
    <row r="414">
      <c r="A414" s="222" t="s">
        <v>277</v>
      </c>
      <c r="B414" s="190" t="s">
        <v>278</v>
      </c>
      <c r="C414" s="223" t="s">
        <v>86</v>
      </c>
      <c r="D414" s="223" t="s">
        <v>879</v>
      </c>
      <c r="E414" s="190" t="s">
        <v>25</v>
      </c>
      <c r="F414" s="13" t="s">
        <v>25</v>
      </c>
      <c r="G414" s="13" t="s">
        <v>25</v>
      </c>
      <c r="H414" s="219">
        <f>IFERROR(
  MINIFS(ATTENDANCE_LOG!$F:$F,
         ATTENDANCE_LOG!$A:$A, C414,
         ATTENDANCE_LOG!$B:$B, E414),
"")</f>
        <v>45805.375</v>
      </c>
      <c r="I414" s="219">
        <f t="shared" si="2"/>
        <v>45805.375</v>
      </c>
      <c r="J414" s="190">
        <f>IFERROR(VLOOKUP(F414, LEVEL_HELPER!$A:$B, 2, 0), "")</f>
        <v>0.5</v>
      </c>
      <c r="K414" s="190">
        <f>IFERROR(VLOOKUP(G414, LEVEL_HELPER!$A:$B, 2, 0), "")</f>
        <v>0.5</v>
      </c>
      <c r="L414" s="220" t="s">
        <v>943</v>
      </c>
      <c r="M414" s="220" t="s">
        <v>924</v>
      </c>
      <c r="N414" s="190">
        <f t="array" ref="N414">IFERROR(
  INDEX($J$2:$J$543,
    MATCH(A414&amp;TEXT(I414,"yyyy-mm-dd"),
          $A$2:$A$543&amp;TEXT($H$2:$H$543,"yyyy-mm-dd"),
          0)),
"")</f>
        <v>0.5</v>
      </c>
      <c r="O414" s="210">
        <f t="shared" si="3"/>
        <v>1.5</v>
      </c>
      <c r="P414" s="210">
        <f t="shared" ref="P414:Q414" si="424">IF(N414="",0,IF(N414&lt;=2,1,IF(N414&lt;=4,2,IF(N414&lt;=5.5,3,4))))</f>
        <v>1</v>
      </c>
      <c r="Q414" s="210">
        <f t="shared" si="424"/>
        <v>1</v>
      </c>
      <c r="R414" s="210" t="str">
        <f t="shared" si="5"/>
        <v>Progress within level</v>
      </c>
      <c r="S414" s="210">
        <f t="shared" si="6"/>
        <v>1</v>
      </c>
      <c r="T414" s="210"/>
      <c r="U414" s="210"/>
      <c r="V414" s="210"/>
      <c r="W414" s="210"/>
      <c r="X414" s="210"/>
      <c r="Y414" s="210"/>
      <c r="Z414" s="210"/>
      <c r="AA414" s="210"/>
      <c r="AB414" s="210"/>
      <c r="AC414" s="210"/>
      <c r="AD414" s="210"/>
      <c r="AE414" s="210"/>
      <c r="AF414" s="210"/>
      <c r="AG414" s="210"/>
      <c r="AH414" s="210"/>
      <c r="AI414" s="210"/>
      <c r="AJ414" s="210"/>
      <c r="AK414" s="210"/>
      <c r="AL414" s="210"/>
      <c r="AM414" s="214"/>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c r="BU414" s="210"/>
      <c r="BV414" s="210"/>
      <c r="BW414" s="210"/>
      <c r="BX414" s="210"/>
      <c r="BY414" s="210"/>
      <c r="BZ414" s="210"/>
      <c r="CA414" s="210"/>
      <c r="CB414" s="210"/>
      <c r="CC414" s="210"/>
      <c r="CD414" s="210"/>
      <c r="CE414" s="210"/>
      <c r="CF414" s="210"/>
      <c r="CG414" s="210"/>
      <c r="CH414" s="210"/>
      <c r="CI414" s="210"/>
      <c r="CJ414" s="210"/>
      <c r="CK414" s="210"/>
    </row>
    <row r="415">
      <c r="A415" s="222" t="s">
        <v>355</v>
      </c>
      <c r="B415" s="190" t="s">
        <v>356</v>
      </c>
      <c r="C415" s="223" t="s">
        <v>86</v>
      </c>
      <c r="D415" s="223" t="s">
        <v>879</v>
      </c>
      <c r="E415" s="190" t="s">
        <v>25</v>
      </c>
      <c r="F415" s="13" t="s">
        <v>25</v>
      </c>
      <c r="G415" s="13" t="s">
        <v>25</v>
      </c>
      <c r="H415" s="219">
        <f>IFERROR(
  MINIFS(ATTENDANCE_LOG!$F:$F,
         ATTENDANCE_LOG!$A:$A, C415,
         ATTENDANCE_LOG!$B:$B, E415),
"")</f>
        <v>45805.375</v>
      </c>
      <c r="I415" s="219">
        <f t="shared" si="2"/>
        <v>45805.375</v>
      </c>
      <c r="J415" s="190">
        <f>IFERROR(VLOOKUP(F415, LEVEL_HELPER!$A:$B, 2, 0), "")</f>
        <v>0.5</v>
      </c>
      <c r="K415" s="190">
        <f>IFERROR(VLOOKUP(G415, LEVEL_HELPER!$A:$B, 2, 0), "")</f>
        <v>0.5</v>
      </c>
      <c r="L415" s="220" t="s">
        <v>943</v>
      </c>
      <c r="M415" s="220" t="s">
        <v>924</v>
      </c>
      <c r="N415" s="190">
        <f t="array" ref="N415">IFERROR(
  INDEX($J$2:$J$543,
    MATCH(A415&amp;TEXT(I415,"yyyy-mm-dd"),
          $A$2:$A$543&amp;TEXT($H$2:$H$543,"yyyy-mm-dd"),
          0)),
"")</f>
        <v>0.5</v>
      </c>
      <c r="O415" s="210">
        <f t="shared" si="3"/>
        <v>0.5</v>
      </c>
      <c r="P415" s="210">
        <f t="shared" ref="P415:Q415" si="425">IF(N415="",0,IF(N415&lt;=2,1,IF(N415&lt;=4,2,IF(N415&lt;=5.5,3,4))))</f>
        <v>1</v>
      </c>
      <c r="Q415" s="210">
        <f t="shared" si="425"/>
        <v>1</v>
      </c>
      <c r="R415" s="210" t="str">
        <f t="shared" si="5"/>
        <v>No Progress</v>
      </c>
      <c r="S415" s="210">
        <f t="shared" si="6"/>
        <v>1</v>
      </c>
      <c r="T415" s="210"/>
      <c r="U415" s="210"/>
      <c r="V415" s="210"/>
      <c r="W415" s="210"/>
      <c r="X415" s="210"/>
      <c r="Y415" s="210"/>
      <c r="Z415" s="210"/>
      <c r="AA415" s="210"/>
      <c r="AB415" s="210"/>
      <c r="AC415" s="210"/>
      <c r="AD415" s="210"/>
      <c r="AE415" s="210"/>
      <c r="AF415" s="210"/>
      <c r="AG415" s="210"/>
      <c r="AH415" s="210"/>
      <c r="AI415" s="210"/>
      <c r="AJ415" s="210"/>
      <c r="AK415" s="210"/>
      <c r="AL415" s="210"/>
      <c r="AM415" s="214"/>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c r="BU415" s="210"/>
      <c r="BV415" s="210"/>
      <c r="BW415" s="210"/>
      <c r="BX415" s="210"/>
      <c r="BY415" s="210"/>
      <c r="BZ415" s="210"/>
      <c r="CA415" s="210"/>
      <c r="CB415" s="210"/>
      <c r="CC415" s="210"/>
      <c r="CD415" s="210"/>
      <c r="CE415" s="210"/>
      <c r="CF415" s="210"/>
      <c r="CG415" s="210"/>
      <c r="CH415" s="210"/>
      <c r="CI415" s="210"/>
      <c r="CJ415" s="210"/>
      <c r="CK415" s="210"/>
    </row>
    <row r="416">
      <c r="A416" s="222" t="s">
        <v>429</v>
      </c>
      <c r="B416" s="190" t="s">
        <v>430</v>
      </c>
      <c r="C416" s="223" t="s">
        <v>86</v>
      </c>
      <c r="D416" s="223" t="s">
        <v>879</v>
      </c>
      <c r="E416" s="190" t="s">
        <v>25</v>
      </c>
      <c r="F416" s="13" t="s">
        <v>25</v>
      </c>
      <c r="G416" s="13" t="s">
        <v>25</v>
      </c>
      <c r="H416" s="219">
        <f>IFERROR(
  MINIFS(ATTENDANCE_LOG!$F:$F,
         ATTENDANCE_LOG!$A:$A, C416,
         ATTENDANCE_LOG!$B:$B, E416),
"")</f>
        <v>45805.375</v>
      </c>
      <c r="I416" s="219">
        <f t="shared" si="2"/>
        <v>45805.375</v>
      </c>
      <c r="J416" s="190">
        <f>IFERROR(VLOOKUP(F416, LEVEL_HELPER!$A:$B, 2, 0), "")</f>
        <v>0.5</v>
      </c>
      <c r="K416" s="190">
        <f>IFERROR(VLOOKUP(G416, LEVEL_HELPER!$A:$B, 2, 0), "")</f>
        <v>0.5</v>
      </c>
      <c r="L416" s="220" t="s">
        <v>944</v>
      </c>
      <c r="M416" s="220" t="s">
        <v>924</v>
      </c>
      <c r="N416" s="190">
        <f t="array" ref="N416">IFERROR(
  INDEX($J$2:$J$543,
    MATCH(A416&amp;TEXT(I416,"yyyy-mm-dd"),
          $A$2:$A$543&amp;TEXT($H$2:$H$543,"yyyy-mm-dd"),
          0)),
"")</f>
        <v>0.5</v>
      </c>
      <c r="O416" s="210">
        <f t="shared" si="3"/>
        <v>3</v>
      </c>
      <c r="P416" s="210">
        <f t="shared" ref="P416:Q416" si="426">IF(N416="",0,IF(N416&lt;=2,1,IF(N416&lt;=4,2,IF(N416&lt;=5.5,3,4))))</f>
        <v>1</v>
      </c>
      <c r="Q416" s="210">
        <f t="shared" si="426"/>
        <v>2</v>
      </c>
      <c r="R416" s="210" t="str">
        <f t="shared" si="5"/>
        <v>Lv1 → Lv2</v>
      </c>
      <c r="S416" s="210">
        <f t="shared" si="6"/>
        <v>1</v>
      </c>
      <c r="T416" s="210"/>
      <c r="U416" s="210"/>
      <c r="V416" s="210"/>
      <c r="W416" s="210"/>
      <c r="X416" s="210"/>
      <c r="Y416" s="210"/>
      <c r="Z416" s="210"/>
      <c r="AA416" s="210"/>
      <c r="AB416" s="210"/>
      <c r="AC416" s="210"/>
      <c r="AD416" s="210"/>
      <c r="AE416" s="210"/>
      <c r="AF416" s="210"/>
      <c r="AG416" s="210"/>
      <c r="AH416" s="210"/>
      <c r="AI416" s="210"/>
      <c r="AJ416" s="210"/>
      <c r="AK416" s="210"/>
      <c r="AL416" s="210"/>
      <c r="AM416" s="214"/>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c r="BU416" s="210"/>
      <c r="BV416" s="210"/>
      <c r="BW416" s="210"/>
      <c r="BX416" s="210"/>
      <c r="BY416" s="210"/>
      <c r="BZ416" s="210"/>
      <c r="CA416" s="210"/>
      <c r="CB416" s="210"/>
      <c r="CC416" s="210"/>
      <c r="CD416" s="210"/>
      <c r="CE416" s="210"/>
      <c r="CF416" s="210"/>
      <c r="CG416" s="210"/>
      <c r="CH416" s="210"/>
      <c r="CI416" s="210"/>
      <c r="CJ416" s="210"/>
      <c r="CK416" s="210"/>
    </row>
    <row r="417">
      <c r="A417" s="222" t="s">
        <v>538</v>
      </c>
      <c r="B417" s="190" t="s">
        <v>539</v>
      </c>
      <c r="C417" s="223" t="s">
        <v>86</v>
      </c>
      <c r="D417" s="223" t="s">
        <v>879</v>
      </c>
      <c r="E417" s="190" t="s">
        <v>25</v>
      </c>
      <c r="F417" s="13" t="s">
        <v>25</v>
      </c>
      <c r="G417" s="13" t="s">
        <v>25</v>
      </c>
      <c r="H417" s="219">
        <f>IFERROR(
  MINIFS(ATTENDANCE_LOG!$F:$F,
         ATTENDANCE_LOG!$A:$A, C417,
         ATTENDANCE_LOG!$B:$B, E417),
"")</f>
        <v>45805.375</v>
      </c>
      <c r="I417" s="219">
        <f t="shared" si="2"/>
        <v>45805.375</v>
      </c>
      <c r="J417" s="190">
        <f>IFERROR(VLOOKUP(F417, LEVEL_HELPER!$A:$B, 2, 0), "")</f>
        <v>0.5</v>
      </c>
      <c r="K417" s="190">
        <f>IFERROR(VLOOKUP(G417, LEVEL_HELPER!$A:$B, 2, 0), "")</f>
        <v>0.5</v>
      </c>
      <c r="L417" s="220" t="s">
        <v>943</v>
      </c>
      <c r="M417" s="220" t="s">
        <v>924</v>
      </c>
      <c r="N417" s="190">
        <f t="array" ref="N417">IFERROR(
  INDEX($J$2:$J$543,
    MATCH(A417&amp;TEXT(I417,"yyyy-mm-dd"),
          $A$2:$A$543&amp;TEXT($H$2:$H$543,"yyyy-mm-dd"),
          0)),
"")</f>
        <v>0.5</v>
      </c>
      <c r="O417" s="210">
        <f t="shared" si="3"/>
        <v>3</v>
      </c>
      <c r="P417" s="210">
        <f t="shared" ref="P417:Q417" si="427">IF(N417="",0,IF(N417&lt;=2,1,IF(N417&lt;=4,2,IF(N417&lt;=5.5,3,4))))</f>
        <v>1</v>
      </c>
      <c r="Q417" s="210">
        <f t="shared" si="427"/>
        <v>2</v>
      </c>
      <c r="R417" s="210" t="str">
        <f t="shared" si="5"/>
        <v>Lv1 → Lv2</v>
      </c>
      <c r="S417" s="210">
        <f t="shared" si="6"/>
        <v>1</v>
      </c>
      <c r="T417" s="210"/>
      <c r="U417" s="210"/>
      <c r="V417" s="210"/>
      <c r="W417" s="210"/>
      <c r="X417" s="210"/>
      <c r="Y417" s="210"/>
      <c r="Z417" s="210"/>
      <c r="AA417" s="210"/>
      <c r="AB417" s="210"/>
      <c r="AC417" s="210"/>
      <c r="AD417" s="210"/>
      <c r="AE417" s="210"/>
      <c r="AF417" s="210"/>
      <c r="AG417" s="210"/>
      <c r="AH417" s="210"/>
      <c r="AI417" s="210"/>
      <c r="AJ417" s="210"/>
      <c r="AK417" s="210"/>
      <c r="AL417" s="210"/>
      <c r="AM417" s="214"/>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c r="BU417" s="210"/>
      <c r="BV417" s="210"/>
      <c r="BW417" s="210"/>
      <c r="BX417" s="210"/>
      <c r="BY417" s="210"/>
      <c r="BZ417" s="210"/>
      <c r="CA417" s="210"/>
      <c r="CB417" s="210"/>
      <c r="CC417" s="210"/>
      <c r="CD417" s="210"/>
      <c r="CE417" s="210"/>
      <c r="CF417" s="210"/>
      <c r="CG417" s="210"/>
      <c r="CH417" s="210"/>
      <c r="CI417" s="210"/>
      <c r="CJ417" s="210"/>
      <c r="CK417" s="210"/>
    </row>
    <row r="418">
      <c r="A418" s="222" t="s">
        <v>629</v>
      </c>
      <c r="B418" s="190" t="s">
        <v>630</v>
      </c>
      <c r="C418" s="223" t="s">
        <v>86</v>
      </c>
      <c r="D418" s="223" t="s">
        <v>879</v>
      </c>
      <c r="E418" s="190" t="s">
        <v>25</v>
      </c>
      <c r="F418" s="13" t="s">
        <v>25</v>
      </c>
      <c r="G418" s="13" t="s">
        <v>25</v>
      </c>
      <c r="H418" s="219">
        <f>IFERROR(
  MINIFS(ATTENDANCE_LOG!$F:$F,
         ATTENDANCE_LOG!$A:$A, C418,
         ATTENDANCE_LOG!$B:$B, E418),
"")</f>
        <v>45805.375</v>
      </c>
      <c r="I418" s="219">
        <f t="shared" si="2"/>
        <v>45805.375</v>
      </c>
      <c r="J418" s="190">
        <f>IFERROR(VLOOKUP(F418, LEVEL_HELPER!$A:$B, 2, 0), "")</f>
        <v>0.5</v>
      </c>
      <c r="K418" s="190">
        <f>IFERROR(VLOOKUP(G418, LEVEL_HELPER!$A:$B, 2, 0), "")</f>
        <v>0.5</v>
      </c>
      <c r="L418" s="220" t="s">
        <v>943</v>
      </c>
      <c r="M418" s="220" t="s">
        <v>924</v>
      </c>
      <c r="N418" s="190">
        <f t="array" ref="N418">IFERROR(
  INDEX($J$2:$J$543,
    MATCH(A418&amp;TEXT(I418,"yyyy-mm-dd"),
          $A$2:$A$543&amp;TEXT($H$2:$H$543,"yyyy-mm-dd"),
          0)),
"")</f>
        <v>0.5</v>
      </c>
      <c r="O418" s="210">
        <f t="shared" si="3"/>
        <v>0.5</v>
      </c>
      <c r="P418" s="210">
        <f t="shared" ref="P418:Q418" si="428">IF(N418="",0,IF(N418&lt;=2,1,IF(N418&lt;=4,2,IF(N418&lt;=5.5,3,4))))</f>
        <v>1</v>
      </c>
      <c r="Q418" s="210">
        <f t="shared" si="428"/>
        <v>1</v>
      </c>
      <c r="R418" s="210" t="str">
        <f t="shared" si="5"/>
        <v>No Progress</v>
      </c>
      <c r="S418" s="210">
        <f t="shared" si="6"/>
        <v>1</v>
      </c>
      <c r="T418" s="210"/>
      <c r="U418" s="210"/>
      <c r="V418" s="210"/>
      <c r="W418" s="210"/>
      <c r="X418" s="210"/>
      <c r="Y418" s="210"/>
      <c r="Z418" s="210"/>
      <c r="AA418" s="210"/>
      <c r="AB418" s="210"/>
      <c r="AC418" s="210"/>
      <c r="AD418" s="210"/>
      <c r="AE418" s="210"/>
      <c r="AF418" s="210"/>
      <c r="AG418" s="210"/>
      <c r="AH418" s="210"/>
      <c r="AI418" s="210"/>
      <c r="AJ418" s="210"/>
      <c r="AK418" s="210"/>
      <c r="AL418" s="210"/>
      <c r="AM418" s="214"/>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c r="BU418" s="210"/>
      <c r="BV418" s="210"/>
      <c r="BW418" s="210"/>
      <c r="BX418" s="210"/>
      <c r="BY418" s="210"/>
      <c r="BZ418" s="210"/>
      <c r="CA418" s="210"/>
      <c r="CB418" s="210"/>
      <c r="CC418" s="210"/>
      <c r="CD418" s="210"/>
      <c r="CE418" s="210"/>
      <c r="CF418" s="210"/>
      <c r="CG418" s="210"/>
      <c r="CH418" s="210"/>
      <c r="CI418" s="210"/>
      <c r="CJ418" s="210"/>
      <c r="CK418" s="210"/>
    </row>
    <row r="419">
      <c r="A419" s="222" t="s">
        <v>679</v>
      </c>
      <c r="B419" s="190" t="s">
        <v>680</v>
      </c>
      <c r="C419" s="223" t="s">
        <v>86</v>
      </c>
      <c r="D419" s="223" t="s">
        <v>879</v>
      </c>
      <c r="E419" s="190" t="s">
        <v>25</v>
      </c>
      <c r="F419" s="13" t="s">
        <v>25</v>
      </c>
      <c r="G419" s="13" t="s">
        <v>25</v>
      </c>
      <c r="H419" s="219">
        <f>IFERROR(
  MINIFS(ATTENDANCE_LOG!$F:$F,
         ATTENDANCE_LOG!$A:$A, C419,
         ATTENDANCE_LOG!$B:$B, E419),
"")</f>
        <v>45805.375</v>
      </c>
      <c r="I419" s="219">
        <f t="shared" si="2"/>
        <v>45805.375</v>
      </c>
      <c r="J419" s="190">
        <f>IFERROR(VLOOKUP(F419, LEVEL_HELPER!$A:$B, 2, 0), "")</f>
        <v>0.5</v>
      </c>
      <c r="K419" s="190">
        <f>IFERROR(VLOOKUP(G419, LEVEL_HELPER!$A:$B, 2, 0), "")</f>
        <v>0.5</v>
      </c>
      <c r="L419" s="220" t="s">
        <v>943</v>
      </c>
      <c r="M419" s="220" t="s">
        <v>924</v>
      </c>
      <c r="N419" s="190">
        <f t="array" ref="N419">IFERROR(
  INDEX($J$2:$J$543,
    MATCH(A419&amp;TEXT(I419,"yyyy-mm-dd"),
          $A$2:$A$543&amp;TEXT($H$2:$H$543,"yyyy-mm-dd"),
          0)),
"")</f>
        <v>0.5</v>
      </c>
      <c r="O419" s="210">
        <f t="shared" si="3"/>
        <v>3.5</v>
      </c>
      <c r="P419" s="210">
        <f t="shared" ref="P419:Q419" si="429">IF(N419="",0,IF(N419&lt;=2,1,IF(N419&lt;=4,2,IF(N419&lt;=5.5,3,4))))</f>
        <v>1</v>
      </c>
      <c r="Q419" s="210">
        <f t="shared" si="429"/>
        <v>2</v>
      </c>
      <c r="R419" s="210" t="str">
        <f t="shared" si="5"/>
        <v>Lv1 → Lv2</v>
      </c>
      <c r="S419" s="210">
        <f t="shared" si="6"/>
        <v>1</v>
      </c>
      <c r="T419" s="210"/>
      <c r="U419" s="210"/>
      <c r="V419" s="210"/>
      <c r="W419" s="210"/>
      <c r="X419" s="210"/>
      <c r="Y419" s="210"/>
      <c r="Z419" s="210"/>
      <c r="AA419" s="210"/>
      <c r="AB419" s="210"/>
      <c r="AC419" s="210"/>
      <c r="AD419" s="210"/>
      <c r="AE419" s="210"/>
      <c r="AF419" s="210"/>
      <c r="AG419" s="210"/>
      <c r="AH419" s="210"/>
      <c r="AI419" s="210"/>
      <c r="AJ419" s="210"/>
      <c r="AK419" s="210"/>
      <c r="AL419" s="210"/>
      <c r="AM419" s="214"/>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c r="BU419" s="210"/>
      <c r="BV419" s="210"/>
      <c r="BW419" s="210"/>
      <c r="BX419" s="210"/>
      <c r="BY419" s="210"/>
      <c r="BZ419" s="210"/>
      <c r="CA419" s="210"/>
      <c r="CB419" s="210"/>
      <c r="CC419" s="210"/>
      <c r="CD419" s="210"/>
      <c r="CE419" s="210"/>
      <c r="CF419" s="210"/>
      <c r="CG419" s="210"/>
      <c r="CH419" s="210"/>
      <c r="CI419" s="210"/>
      <c r="CJ419" s="210"/>
      <c r="CK419" s="210"/>
    </row>
    <row r="420">
      <c r="A420" s="222" t="s">
        <v>691</v>
      </c>
      <c r="B420" s="190" t="s">
        <v>692</v>
      </c>
      <c r="C420" s="223" t="s">
        <v>86</v>
      </c>
      <c r="D420" s="223" t="s">
        <v>879</v>
      </c>
      <c r="E420" s="190" t="s">
        <v>25</v>
      </c>
      <c r="F420" s="13" t="s">
        <v>25</v>
      </c>
      <c r="G420" s="13" t="s">
        <v>25</v>
      </c>
      <c r="H420" s="219">
        <f>IFERROR(
  MINIFS(ATTENDANCE_LOG!$F:$F,
         ATTENDANCE_LOG!$A:$A, C420,
         ATTENDANCE_LOG!$B:$B, E420),
"")</f>
        <v>45805.375</v>
      </c>
      <c r="I420" s="219">
        <f t="shared" si="2"/>
        <v>45805.375</v>
      </c>
      <c r="J420" s="190">
        <f>IFERROR(VLOOKUP(F420, LEVEL_HELPER!$A:$B, 2, 0), "")</f>
        <v>0.5</v>
      </c>
      <c r="K420" s="190">
        <f>IFERROR(VLOOKUP(G420, LEVEL_HELPER!$A:$B, 2, 0), "")</f>
        <v>0.5</v>
      </c>
      <c r="L420" s="220" t="s">
        <v>943</v>
      </c>
      <c r="M420" s="220" t="s">
        <v>924</v>
      </c>
      <c r="N420" s="190">
        <f t="array" ref="N420">IFERROR(
  INDEX($J$2:$J$543,
    MATCH(A420&amp;TEXT(I420,"yyyy-mm-dd"),
          $A$2:$A$543&amp;TEXT($H$2:$H$543,"yyyy-mm-dd"),
          0)),
"")</f>
        <v>0.5</v>
      </c>
      <c r="O420" s="210">
        <f t="shared" si="3"/>
        <v>3.5</v>
      </c>
      <c r="P420" s="210">
        <f t="shared" ref="P420:Q420" si="430">IF(N420="",0,IF(N420&lt;=2,1,IF(N420&lt;=4,2,IF(N420&lt;=5.5,3,4))))</f>
        <v>1</v>
      </c>
      <c r="Q420" s="210">
        <f t="shared" si="430"/>
        <v>2</v>
      </c>
      <c r="R420" s="210" t="str">
        <f t="shared" si="5"/>
        <v>Lv1 → Lv2</v>
      </c>
      <c r="S420" s="210">
        <f t="shared" si="6"/>
        <v>1</v>
      </c>
      <c r="T420" s="210"/>
      <c r="U420" s="210"/>
      <c r="V420" s="210"/>
      <c r="W420" s="210"/>
      <c r="X420" s="210"/>
      <c r="Y420" s="210"/>
      <c r="Z420" s="210"/>
      <c r="AA420" s="210"/>
      <c r="AB420" s="210"/>
      <c r="AC420" s="210"/>
      <c r="AD420" s="210"/>
      <c r="AE420" s="210"/>
      <c r="AF420" s="210"/>
      <c r="AG420" s="210"/>
      <c r="AH420" s="210"/>
      <c r="AI420" s="210"/>
      <c r="AJ420" s="210"/>
      <c r="AK420" s="210"/>
      <c r="AL420" s="210"/>
      <c r="AM420" s="214"/>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c r="BU420" s="210"/>
      <c r="BV420" s="210"/>
      <c r="BW420" s="210"/>
      <c r="BX420" s="210"/>
      <c r="BY420" s="210"/>
      <c r="BZ420" s="210"/>
      <c r="CA420" s="210"/>
      <c r="CB420" s="210"/>
      <c r="CC420" s="210"/>
      <c r="CD420" s="210"/>
      <c r="CE420" s="210"/>
      <c r="CF420" s="210"/>
      <c r="CG420" s="210"/>
      <c r="CH420" s="210"/>
      <c r="CI420" s="210"/>
      <c r="CJ420" s="210"/>
      <c r="CK420" s="210"/>
    </row>
    <row r="421">
      <c r="A421" s="216" t="s">
        <v>407</v>
      </c>
      <c r="B421" s="217" t="s">
        <v>408</v>
      </c>
      <c r="C421" s="218" t="s">
        <v>86</v>
      </c>
      <c r="D421" s="218" t="s">
        <v>879</v>
      </c>
      <c r="E421" s="217" t="s">
        <v>21</v>
      </c>
      <c r="F421" s="13" t="s">
        <v>927</v>
      </c>
      <c r="G421" s="13" t="s">
        <v>918</v>
      </c>
      <c r="H421" s="219">
        <f>IFERROR(
  MINIFS(ATTENDANCE_LOG!$F:$F,
         ATTENDANCE_LOG!$A:$A, C421,
         ATTENDANCE_LOG!$B:$B, E421),
"")</f>
        <v>45930.41667</v>
      </c>
      <c r="I421" s="219">
        <f t="shared" si="2"/>
        <v>45805.375</v>
      </c>
      <c r="J421" s="190">
        <f>IFERROR(VLOOKUP(F421, LEVEL_HELPER!$A:$B, 2, 0), "")</f>
        <v>1</v>
      </c>
      <c r="K421" s="190">
        <f>IFERROR(VLOOKUP(G421, LEVEL_HELPER!$A:$B, 2, 0), "")</f>
        <v>3</v>
      </c>
      <c r="L421" s="220" t="s">
        <v>943</v>
      </c>
      <c r="M421" s="220" t="s">
        <v>924</v>
      </c>
      <c r="N421" s="190">
        <f t="array" ref="N421">IFERROR(
  INDEX($J$2:$J$543,
    MATCH(A421&amp;TEXT(I421,"yyyy-mm-dd"),
          $A$2:$A$543&amp;TEXT($H$2:$H$543,"yyyy-mm-dd"),
          0)),
"")</f>
        <v>0.5</v>
      </c>
      <c r="O421" s="210">
        <f t="shared" si="3"/>
        <v>3</v>
      </c>
      <c r="P421" s="210">
        <f t="shared" ref="P421:Q421" si="431">IF(N421="",0,IF(N421&lt;=2,1,IF(N421&lt;=4,2,IF(N421&lt;=5.5,3,4))))</f>
        <v>1</v>
      </c>
      <c r="Q421" s="210">
        <f t="shared" si="431"/>
        <v>2</v>
      </c>
      <c r="R421" s="210" t="str">
        <f t="shared" si="5"/>
        <v>Lv1 → Lv2</v>
      </c>
      <c r="S421" s="210">
        <f t="shared" si="6"/>
        <v>0</v>
      </c>
      <c r="T421" s="210"/>
      <c r="U421" s="210"/>
      <c r="V421" s="210"/>
      <c r="W421" s="210"/>
      <c r="X421" s="210"/>
      <c r="Y421" s="210"/>
      <c r="Z421" s="210"/>
      <c r="AA421" s="210"/>
      <c r="AB421" s="210"/>
      <c r="AC421" s="210"/>
      <c r="AD421" s="210"/>
      <c r="AE421" s="210"/>
      <c r="AF421" s="210"/>
      <c r="AG421" s="210"/>
      <c r="AH421" s="210"/>
      <c r="AI421" s="210"/>
      <c r="AJ421" s="210"/>
      <c r="AK421" s="210"/>
      <c r="AL421" s="210"/>
      <c r="AM421" s="214"/>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c r="BU421" s="210"/>
      <c r="BV421" s="210"/>
      <c r="BW421" s="210"/>
      <c r="BX421" s="210"/>
      <c r="BY421" s="210"/>
      <c r="BZ421" s="210"/>
      <c r="CA421" s="210"/>
      <c r="CB421" s="210"/>
      <c r="CC421" s="210"/>
      <c r="CD421" s="210"/>
      <c r="CE421" s="210"/>
      <c r="CF421" s="210"/>
      <c r="CG421" s="210"/>
      <c r="CH421" s="210"/>
      <c r="CI421" s="210"/>
      <c r="CJ421" s="210"/>
      <c r="CK421" s="210"/>
    </row>
    <row r="422">
      <c r="A422" s="222" t="s">
        <v>277</v>
      </c>
      <c r="B422" s="190" t="s">
        <v>278</v>
      </c>
      <c r="C422" s="223" t="s">
        <v>86</v>
      </c>
      <c r="D422" s="223" t="s">
        <v>879</v>
      </c>
      <c r="E422" s="190" t="s">
        <v>21</v>
      </c>
      <c r="F422" s="13" t="s">
        <v>927</v>
      </c>
      <c r="G422" s="13" t="s">
        <v>929</v>
      </c>
      <c r="H422" s="219">
        <f>IFERROR(
  MINIFS(ATTENDANCE_LOG!$F:$F,
         ATTENDANCE_LOG!$A:$A, C422,
         ATTENDANCE_LOG!$B:$B, E422),
"")</f>
        <v>45930.41667</v>
      </c>
      <c r="I422" s="219">
        <f t="shared" si="2"/>
        <v>45805.375</v>
      </c>
      <c r="J422" s="190">
        <f>IFERROR(VLOOKUP(F422, LEVEL_HELPER!$A:$B, 2, 0), "")</f>
        <v>1</v>
      </c>
      <c r="K422" s="190">
        <f>IFERROR(VLOOKUP(G422, LEVEL_HELPER!$A:$B, 2, 0), "")</f>
        <v>1.5</v>
      </c>
      <c r="L422" s="220" t="s">
        <v>943</v>
      </c>
      <c r="M422" s="220" t="s">
        <v>924</v>
      </c>
      <c r="N422" s="190">
        <f t="array" ref="N422">IFERROR(
  INDEX($J$2:$J$543,
    MATCH(A422&amp;TEXT(I422,"yyyy-mm-dd"),
          $A$2:$A$543&amp;TEXT($H$2:$H$543,"yyyy-mm-dd"),
          0)),
"")</f>
        <v>0.5</v>
      </c>
      <c r="O422" s="210">
        <f t="shared" si="3"/>
        <v>1.5</v>
      </c>
      <c r="P422" s="210">
        <f t="shared" ref="P422:Q422" si="432">IF(N422="",0,IF(N422&lt;=2,1,IF(N422&lt;=4,2,IF(N422&lt;=5.5,3,4))))</f>
        <v>1</v>
      </c>
      <c r="Q422" s="210">
        <f t="shared" si="432"/>
        <v>1</v>
      </c>
      <c r="R422" s="210" t="str">
        <f t="shared" si="5"/>
        <v>Progress within level</v>
      </c>
      <c r="S422" s="210">
        <f t="shared" si="6"/>
        <v>0</v>
      </c>
      <c r="T422" s="210"/>
      <c r="U422" s="210"/>
      <c r="V422" s="210"/>
      <c r="W422" s="210"/>
      <c r="X422" s="210"/>
      <c r="Y422" s="210"/>
      <c r="Z422" s="210"/>
      <c r="AA422" s="210"/>
      <c r="AB422" s="210"/>
      <c r="AC422" s="210"/>
      <c r="AD422" s="210"/>
      <c r="AE422" s="210"/>
      <c r="AF422" s="210"/>
      <c r="AG422" s="210"/>
      <c r="AH422" s="210"/>
      <c r="AI422" s="210"/>
      <c r="AJ422" s="210"/>
      <c r="AK422" s="210"/>
      <c r="AL422" s="210"/>
      <c r="AM422" s="214"/>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c r="BU422" s="210"/>
      <c r="BV422" s="210"/>
      <c r="BW422" s="210"/>
      <c r="BX422" s="210"/>
      <c r="BY422" s="210"/>
      <c r="BZ422" s="210"/>
      <c r="CA422" s="210"/>
      <c r="CB422" s="210"/>
      <c r="CC422" s="210"/>
      <c r="CD422" s="210"/>
      <c r="CE422" s="210"/>
      <c r="CF422" s="210"/>
      <c r="CG422" s="210"/>
      <c r="CH422" s="210"/>
      <c r="CI422" s="210"/>
      <c r="CJ422" s="210"/>
      <c r="CK422" s="210"/>
    </row>
    <row r="423">
      <c r="A423" s="222" t="s">
        <v>355</v>
      </c>
      <c r="B423" s="190" t="s">
        <v>356</v>
      </c>
      <c r="C423" s="223" t="s">
        <v>86</v>
      </c>
      <c r="D423" s="223" t="s">
        <v>879</v>
      </c>
      <c r="E423" s="190" t="s">
        <v>21</v>
      </c>
      <c r="F423" s="190"/>
      <c r="G423" s="190"/>
      <c r="H423" s="219">
        <f>IFERROR(
  MINIFS(ATTENDANCE_LOG!$F:$F,
         ATTENDANCE_LOG!$A:$A, C423,
         ATTENDANCE_LOG!$B:$B, E423),
"")</f>
        <v>45930.41667</v>
      </c>
      <c r="I423" s="219">
        <f t="shared" si="2"/>
        <v>45805.375</v>
      </c>
      <c r="J423" s="190" t="str">
        <f>IFERROR(VLOOKUP(F423, LEVEL_HELPER!$A:$B, 2, 0), "")</f>
        <v/>
      </c>
      <c r="K423" s="190" t="str">
        <f>IFERROR(VLOOKUP(G423, LEVEL_HELPER!$A:$B, 2, 0), "")</f>
        <v/>
      </c>
      <c r="L423" s="220" t="s">
        <v>943</v>
      </c>
      <c r="M423" s="220" t="s">
        <v>924</v>
      </c>
      <c r="N423" s="190">
        <f t="array" ref="N423">IFERROR(
  INDEX($J$2:$J$543,
    MATCH(A423&amp;TEXT(I423,"yyyy-mm-dd"),
          $A$2:$A$543&amp;TEXT($H$2:$H$543,"yyyy-mm-dd"),
          0)),
"")</f>
        <v>0.5</v>
      </c>
      <c r="O423" s="210">
        <f t="shared" si="3"/>
        <v>0.5</v>
      </c>
      <c r="P423" s="210">
        <f t="shared" ref="P423:Q423" si="433">IF(N423="",0,IF(N423&lt;=2,1,IF(N423&lt;=4,2,IF(N423&lt;=5.5,3,4))))</f>
        <v>1</v>
      </c>
      <c r="Q423" s="210">
        <f t="shared" si="433"/>
        <v>1</v>
      </c>
      <c r="R423" s="210" t="str">
        <f t="shared" si="5"/>
        <v>No Progress</v>
      </c>
      <c r="S423" s="210">
        <f t="shared" si="6"/>
        <v>0</v>
      </c>
      <c r="T423" s="210"/>
      <c r="U423" s="210"/>
      <c r="V423" s="210"/>
      <c r="W423" s="210"/>
      <c r="X423" s="210"/>
      <c r="Y423" s="210"/>
      <c r="Z423" s="210"/>
      <c r="AA423" s="210"/>
      <c r="AB423" s="210"/>
      <c r="AC423" s="210"/>
      <c r="AD423" s="210"/>
      <c r="AE423" s="210"/>
      <c r="AF423" s="210"/>
      <c r="AG423" s="210"/>
      <c r="AH423" s="210"/>
      <c r="AI423" s="210"/>
      <c r="AJ423" s="210"/>
      <c r="AK423" s="210"/>
      <c r="AL423" s="210"/>
      <c r="AM423" s="214"/>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c r="BU423" s="210"/>
      <c r="BV423" s="210"/>
      <c r="BW423" s="210"/>
      <c r="BX423" s="210"/>
      <c r="BY423" s="210"/>
      <c r="BZ423" s="210"/>
      <c r="CA423" s="210"/>
      <c r="CB423" s="210"/>
      <c r="CC423" s="210"/>
      <c r="CD423" s="210"/>
      <c r="CE423" s="210"/>
      <c r="CF423" s="210"/>
      <c r="CG423" s="210"/>
      <c r="CH423" s="210"/>
      <c r="CI423" s="210"/>
      <c r="CJ423" s="210"/>
      <c r="CK423" s="210"/>
    </row>
    <row r="424">
      <c r="A424" s="222" t="s">
        <v>429</v>
      </c>
      <c r="B424" s="190" t="s">
        <v>430</v>
      </c>
      <c r="C424" s="223" t="s">
        <v>86</v>
      </c>
      <c r="D424" s="223" t="s">
        <v>879</v>
      </c>
      <c r="E424" s="190" t="s">
        <v>21</v>
      </c>
      <c r="F424" s="13" t="s">
        <v>927</v>
      </c>
      <c r="G424" s="13" t="s">
        <v>918</v>
      </c>
      <c r="H424" s="219">
        <f>IFERROR(
  MINIFS(ATTENDANCE_LOG!$F:$F,
         ATTENDANCE_LOG!$A:$A, C424,
         ATTENDANCE_LOG!$B:$B, E424),
"")</f>
        <v>45930.41667</v>
      </c>
      <c r="I424" s="219">
        <f t="shared" si="2"/>
        <v>45805.375</v>
      </c>
      <c r="J424" s="190">
        <f>IFERROR(VLOOKUP(F424, LEVEL_HELPER!$A:$B, 2, 0), "")</f>
        <v>1</v>
      </c>
      <c r="K424" s="190">
        <f>IFERROR(VLOOKUP(G424, LEVEL_HELPER!$A:$B, 2, 0), "")</f>
        <v>3</v>
      </c>
      <c r="L424" s="220" t="s">
        <v>944</v>
      </c>
      <c r="M424" s="220" t="s">
        <v>924</v>
      </c>
      <c r="N424" s="190">
        <f t="array" ref="N424">IFERROR(
  INDEX($J$2:$J$543,
    MATCH(A424&amp;TEXT(I424,"yyyy-mm-dd"),
          $A$2:$A$543&amp;TEXT($H$2:$H$543,"yyyy-mm-dd"),
          0)),
"")</f>
        <v>0.5</v>
      </c>
      <c r="O424" s="210">
        <f t="shared" si="3"/>
        <v>3</v>
      </c>
      <c r="P424" s="210">
        <f t="shared" ref="P424:Q424" si="434">IF(N424="",0,IF(N424&lt;=2,1,IF(N424&lt;=4,2,IF(N424&lt;=5.5,3,4))))</f>
        <v>1</v>
      </c>
      <c r="Q424" s="210">
        <f t="shared" si="434"/>
        <v>2</v>
      </c>
      <c r="R424" s="210" t="str">
        <f t="shared" si="5"/>
        <v>Lv1 → Lv2</v>
      </c>
      <c r="S424" s="210">
        <f t="shared" si="6"/>
        <v>0</v>
      </c>
      <c r="T424" s="210"/>
      <c r="U424" s="210"/>
      <c r="V424" s="210"/>
      <c r="W424" s="210"/>
      <c r="X424" s="210"/>
      <c r="Y424" s="210"/>
      <c r="Z424" s="210"/>
      <c r="AA424" s="210"/>
      <c r="AB424" s="210"/>
      <c r="AC424" s="210"/>
      <c r="AD424" s="210"/>
      <c r="AE424" s="210"/>
      <c r="AF424" s="210"/>
      <c r="AG424" s="210"/>
      <c r="AH424" s="210"/>
      <c r="AI424" s="210"/>
      <c r="AJ424" s="210"/>
      <c r="AK424" s="210"/>
      <c r="AL424" s="210"/>
      <c r="AM424" s="214"/>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c r="BU424" s="210"/>
      <c r="BV424" s="210"/>
      <c r="BW424" s="210"/>
      <c r="BX424" s="210"/>
      <c r="BY424" s="210"/>
      <c r="BZ424" s="210"/>
      <c r="CA424" s="210"/>
      <c r="CB424" s="210"/>
      <c r="CC424" s="210"/>
      <c r="CD424" s="210"/>
      <c r="CE424" s="210"/>
      <c r="CF424" s="210"/>
      <c r="CG424" s="210"/>
      <c r="CH424" s="210"/>
      <c r="CI424" s="210"/>
      <c r="CJ424" s="210"/>
      <c r="CK424" s="210"/>
    </row>
    <row r="425">
      <c r="A425" s="222" t="s">
        <v>538</v>
      </c>
      <c r="B425" s="190" t="s">
        <v>539</v>
      </c>
      <c r="C425" s="223" t="s">
        <v>86</v>
      </c>
      <c r="D425" s="223" t="s">
        <v>879</v>
      </c>
      <c r="E425" s="190" t="s">
        <v>21</v>
      </c>
      <c r="F425" s="13" t="s">
        <v>927</v>
      </c>
      <c r="G425" s="13" t="s">
        <v>918</v>
      </c>
      <c r="H425" s="219">
        <f>IFERROR(
  MINIFS(ATTENDANCE_LOG!$F:$F,
         ATTENDANCE_LOG!$A:$A, C425,
         ATTENDANCE_LOG!$B:$B, E425),
"")</f>
        <v>45930.41667</v>
      </c>
      <c r="I425" s="219">
        <f t="shared" si="2"/>
        <v>45805.375</v>
      </c>
      <c r="J425" s="190">
        <f>IFERROR(VLOOKUP(F425, LEVEL_HELPER!$A:$B, 2, 0), "")</f>
        <v>1</v>
      </c>
      <c r="K425" s="190">
        <f>IFERROR(VLOOKUP(G425, LEVEL_HELPER!$A:$B, 2, 0), "")</f>
        <v>3</v>
      </c>
      <c r="L425" s="220" t="s">
        <v>943</v>
      </c>
      <c r="M425" s="220" t="s">
        <v>924</v>
      </c>
      <c r="N425" s="190">
        <f t="array" ref="N425">IFERROR(
  INDEX($J$2:$J$543,
    MATCH(A425&amp;TEXT(I425,"yyyy-mm-dd"),
          $A$2:$A$543&amp;TEXT($H$2:$H$543,"yyyy-mm-dd"),
          0)),
"")</f>
        <v>0.5</v>
      </c>
      <c r="O425" s="210">
        <f t="shared" si="3"/>
        <v>3</v>
      </c>
      <c r="P425" s="210">
        <f t="shared" ref="P425:Q425" si="435">IF(N425="",0,IF(N425&lt;=2,1,IF(N425&lt;=4,2,IF(N425&lt;=5.5,3,4))))</f>
        <v>1</v>
      </c>
      <c r="Q425" s="210">
        <f t="shared" si="435"/>
        <v>2</v>
      </c>
      <c r="R425" s="210" t="str">
        <f t="shared" si="5"/>
        <v>Lv1 → Lv2</v>
      </c>
      <c r="S425" s="210">
        <f t="shared" si="6"/>
        <v>0</v>
      </c>
      <c r="T425" s="210"/>
      <c r="U425" s="210"/>
      <c r="V425" s="210"/>
      <c r="W425" s="210"/>
      <c r="X425" s="210"/>
      <c r="Y425" s="210"/>
      <c r="Z425" s="210"/>
      <c r="AA425" s="210"/>
      <c r="AB425" s="210"/>
      <c r="AC425" s="210"/>
      <c r="AD425" s="210"/>
      <c r="AE425" s="210"/>
      <c r="AF425" s="210"/>
      <c r="AG425" s="210"/>
      <c r="AH425" s="210"/>
      <c r="AI425" s="210"/>
      <c r="AJ425" s="210"/>
      <c r="AK425" s="210"/>
      <c r="AL425" s="210"/>
      <c r="AM425" s="214"/>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c r="BU425" s="210"/>
      <c r="BV425" s="210"/>
      <c r="BW425" s="210"/>
      <c r="BX425" s="210"/>
      <c r="BY425" s="210"/>
      <c r="BZ425" s="210"/>
      <c r="CA425" s="210"/>
      <c r="CB425" s="210"/>
      <c r="CC425" s="210"/>
      <c r="CD425" s="210"/>
      <c r="CE425" s="210"/>
      <c r="CF425" s="210"/>
      <c r="CG425" s="210"/>
      <c r="CH425" s="210"/>
      <c r="CI425" s="210"/>
      <c r="CJ425" s="210"/>
      <c r="CK425" s="210"/>
    </row>
    <row r="426">
      <c r="A426" s="222" t="s">
        <v>629</v>
      </c>
      <c r="B426" s="190" t="s">
        <v>630</v>
      </c>
      <c r="C426" s="223" t="s">
        <v>86</v>
      </c>
      <c r="D426" s="223" t="s">
        <v>879</v>
      </c>
      <c r="E426" s="190" t="s">
        <v>21</v>
      </c>
      <c r="F426" s="190"/>
      <c r="G426" s="190"/>
      <c r="H426" s="219">
        <f>IFERROR(
  MINIFS(ATTENDANCE_LOG!$F:$F,
         ATTENDANCE_LOG!$A:$A, C426,
         ATTENDANCE_LOG!$B:$B, E426),
"")</f>
        <v>45930.41667</v>
      </c>
      <c r="I426" s="219">
        <f t="shared" si="2"/>
        <v>45805.375</v>
      </c>
      <c r="J426" s="190" t="str">
        <f>IFERROR(VLOOKUP(F426, LEVEL_HELPER!$A:$B, 2, 0), "")</f>
        <v/>
      </c>
      <c r="K426" s="190" t="str">
        <f>IFERROR(VLOOKUP(G426, LEVEL_HELPER!$A:$B, 2, 0), "")</f>
        <v/>
      </c>
      <c r="L426" s="220" t="s">
        <v>943</v>
      </c>
      <c r="M426" s="220" t="s">
        <v>924</v>
      </c>
      <c r="N426" s="190">
        <f t="array" ref="N426">IFERROR(
  INDEX($J$2:$J$543,
    MATCH(A426&amp;TEXT(I426,"yyyy-mm-dd"),
          $A$2:$A$543&amp;TEXT($H$2:$H$543,"yyyy-mm-dd"),
          0)),
"")</f>
        <v>0.5</v>
      </c>
      <c r="O426" s="210">
        <f t="shared" si="3"/>
        <v>0.5</v>
      </c>
      <c r="P426" s="210">
        <f t="shared" ref="P426:Q426" si="436">IF(N426="",0,IF(N426&lt;=2,1,IF(N426&lt;=4,2,IF(N426&lt;=5.5,3,4))))</f>
        <v>1</v>
      </c>
      <c r="Q426" s="210">
        <f t="shared" si="436"/>
        <v>1</v>
      </c>
      <c r="R426" s="210" t="str">
        <f t="shared" si="5"/>
        <v>No Progress</v>
      </c>
      <c r="S426" s="210">
        <f t="shared" si="6"/>
        <v>0</v>
      </c>
      <c r="T426" s="210"/>
      <c r="U426" s="210"/>
      <c r="V426" s="210"/>
      <c r="W426" s="210"/>
      <c r="X426" s="210"/>
      <c r="Y426" s="210"/>
      <c r="Z426" s="210"/>
      <c r="AA426" s="210"/>
      <c r="AB426" s="210"/>
      <c r="AC426" s="210"/>
      <c r="AD426" s="210"/>
      <c r="AE426" s="210"/>
      <c r="AF426" s="210"/>
      <c r="AG426" s="210"/>
      <c r="AH426" s="210"/>
      <c r="AI426" s="210"/>
      <c r="AJ426" s="210"/>
      <c r="AK426" s="210"/>
      <c r="AL426" s="210"/>
      <c r="AM426" s="214"/>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c r="BU426" s="210"/>
      <c r="BV426" s="210"/>
      <c r="BW426" s="210"/>
      <c r="BX426" s="210"/>
      <c r="BY426" s="210"/>
      <c r="BZ426" s="210"/>
      <c r="CA426" s="210"/>
      <c r="CB426" s="210"/>
      <c r="CC426" s="210"/>
      <c r="CD426" s="210"/>
      <c r="CE426" s="210"/>
      <c r="CF426" s="210"/>
      <c r="CG426" s="210"/>
      <c r="CH426" s="210"/>
      <c r="CI426" s="210"/>
      <c r="CJ426" s="210"/>
      <c r="CK426" s="210"/>
    </row>
    <row r="427">
      <c r="A427" s="222" t="s">
        <v>679</v>
      </c>
      <c r="B427" s="190" t="s">
        <v>680</v>
      </c>
      <c r="C427" s="223" t="s">
        <v>86</v>
      </c>
      <c r="D427" s="223" t="s">
        <v>879</v>
      </c>
      <c r="E427" s="190" t="s">
        <v>21</v>
      </c>
      <c r="F427" s="13" t="s">
        <v>927</v>
      </c>
      <c r="G427" s="13" t="s">
        <v>935</v>
      </c>
      <c r="H427" s="219">
        <f>IFERROR(
  MINIFS(ATTENDANCE_LOG!$F:$F,
         ATTENDANCE_LOG!$A:$A, C427,
         ATTENDANCE_LOG!$B:$B, E427),
"")</f>
        <v>45930.41667</v>
      </c>
      <c r="I427" s="219">
        <f t="shared" si="2"/>
        <v>45805.375</v>
      </c>
      <c r="J427" s="190">
        <f>IFERROR(VLOOKUP(F427, LEVEL_HELPER!$A:$B, 2, 0), "")</f>
        <v>1</v>
      </c>
      <c r="K427" s="190">
        <f>IFERROR(VLOOKUP(G427, LEVEL_HELPER!$A:$B, 2, 0), "")</f>
        <v>3.5</v>
      </c>
      <c r="L427" s="220" t="s">
        <v>943</v>
      </c>
      <c r="M427" s="220" t="s">
        <v>924</v>
      </c>
      <c r="N427" s="190">
        <f t="array" ref="N427">IFERROR(
  INDEX($J$2:$J$543,
    MATCH(A427&amp;TEXT(I427,"yyyy-mm-dd"),
          $A$2:$A$543&amp;TEXT($H$2:$H$543,"yyyy-mm-dd"),
          0)),
"")</f>
        <v>0.5</v>
      </c>
      <c r="O427" s="210">
        <f t="shared" si="3"/>
        <v>3.5</v>
      </c>
      <c r="P427" s="210">
        <f t="shared" ref="P427:Q427" si="437">IF(N427="",0,IF(N427&lt;=2,1,IF(N427&lt;=4,2,IF(N427&lt;=5.5,3,4))))</f>
        <v>1</v>
      </c>
      <c r="Q427" s="210">
        <f t="shared" si="437"/>
        <v>2</v>
      </c>
      <c r="R427" s="210" t="str">
        <f t="shared" si="5"/>
        <v>Lv1 → Lv2</v>
      </c>
      <c r="S427" s="210">
        <f t="shared" si="6"/>
        <v>0</v>
      </c>
      <c r="T427" s="210"/>
      <c r="U427" s="210"/>
      <c r="V427" s="210"/>
      <c r="W427" s="210"/>
      <c r="X427" s="210"/>
      <c r="Y427" s="210"/>
      <c r="Z427" s="210"/>
      <c r="AA427" s="210"/>
      <c r="AB427" s="210"/>
      <c r="AC427" s="210"/>
      <c r="AD427" s="210"/>
      <c r="AE427" s="210"/>
      <c r="AF427" s="210"/>
      <c r="AG427" s="210"/>
      <c r="AH427" s="210"/>
      <c r="AI427" s="210"/>
      <c r="AJ427" s="210"/>
      <c r="AK427" s="210"/>
      <c r="AL427" s="210"/>
      <c r="AM427" s="214"/>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c r="BU427" s="210"/>
      <c r="BV427" s="210"/>
      <c r="BW427" s="210"/>
      <c r="BX427" s="210"/>
      <c r="BY427" s="210"/>
      <c r="BZ427" s="210"/>
      <c r="CA427" s="210"/>
      <c r="CB427" s="210"/>
      <c r="CC427" s="210"/>
      <c r="CD427" s="210"/>
      <c r="CE427" s="210"/>
      <c r="CF427" s="210"/>
      <c r="CG427" s="210"/>
      <c r="CH427" s="210"/>
      <c r="CI427" s="210"/>
      <c r="CJ427" s="210"/>
      <c r="CK427" s="210"/>
    </row>
    <row r="428">
      <c r="A428" s="222" t="s">
        <v>691</v>
      </c>
      <c r="B428" s="190" t="s">
        <v>692</v>
      </c>
      <c r="C428" s="223" t="s">
        <v>86</v>
      </c>
      <c r="D428" s="223" t="s">
        <v>879</v>
      </c>
      <c r="E428" s="190" t="s">
        <v>21</v>
      </c>
      <c r="F428" s="13" t="s">
        <v>927</v>
      </c>
      <c r="G428" s="13" t="s">
        <v>935</v>
      </c>
      <c r="H428" s="219">
        <f>IFERROR(
  MINIFS(ATTENDANCE_LOG!$F:$F,
         ATTENDANCE_LOG!$A:$A, C428,
         ATTENDANCE_LOG!$B:$B, E428),
"")</f>
        <v>45930.41667</v>
      </c>
      <c r="I428" s="219">
        <f t="shared" si="2"/>
        <v>45805.375</v>
      </c>
      <c r="J428" s="190">
        <f>IFERROR(VLOOKUP(F428, LEVEL_HELPER!$A:$B, 2, 0), "")</f>
        <v>1</v>
      </c>
      <c r="K428" s="190">
        <f>IFERROR(VLOOKUP(G428, LEVEL_HELPER!$A:$B, 2, 0), "")</f>
        <v>3.5</v>
      </c>
      <c r="L428" s="220" t="s">
        <v>943</v>
      </c>
      <c r="M428" s="220" t="s">
        <v>924</v>
      </c>
      <c r="N428" s="190">
        <f t="array" ref="N428">IFERROR(
  INDEX($J$2:$J$543,
    MATCH(A428&amp;TEXT(I428,"yyyy-mm-dd"),
          $A$2:$A$543&amp;TEXT($H$2:$H$543,"yyyy-mm-dd"),
          0)),
"")</f>
        <v>0.5</v>
      </c>
      <c r="O428" s="210">
        <f t="shared" si="3"/>
        <v>3.5</v>
      </c>
      <c r="P428" s="210">
        <f t="shared" ref="P428:Q428" si="438">IF(N428="",0,IF(N428&lt;=2,1,IF(N428&lt;=4,2,IF(N428&lt;=5.5,3,4))))</f>
        <v>1</v>
      </c>
      <c r="Q428" s="210">
        <f t="shared" si="438"/>
        <v>2</v>
      </c>
      <c r="R428" s="210" t="str">
        <f t="shared" si="5"/>
        <v>Lv1 → Lv2</v>
      </c>
      <c r="S428" s="210">
        <f t="shared" si="6"/>
        <v>0</v>
      </c>
      <c r="T428" s="210"/>
      <c r="U428" s="210"/>
      <c r="V428" s="210"/>
      <c r="W428" s="210"/>
      <c r="X428" s="210"/>
      <c r="Y428" s="210"/>
      <c r="Z428" s="210"/>
      <c r="AA428" s="210"/>
      <c r="AB428" s="210"/>
      <c r="AC428" s="210"/>
      <c r="AD428" s="210"/>
      <c r="AE428" s="210"/>
      <c r="AF428" s="210"/>
      <c r="AG428" s="210"/>
      <c r="AH428" s="210"/>
      <c r="AI428" s="210"/>
      <c r="AJ428" s="210"/>
      <c r="AK428" s="210"/>
      <c r="AL428" s="210"/>
      <c r="AM428" s="214"/>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c r="BU428" s="210"/>
      <c r="BV428" s="210"/>
      <c r="BW428" s="210"/>
      <c r="BX428" s="210"/>
      <c r="BY428" s="210"/>
      <c r="BZ428" s="210"/>
      <c r="CA428" s="210"/>
      <c r="CB428" s="210"/>
      <c r="CC428" s="210"/>
      <c r="CD428" s="210"/>
      <c r="CE428" s="210"/>
      <c r="CF428" s="210"/>
      <c r="CG428" s="210"/>
      <c r="CH428" s="210"/>
      <c r="CI428" s="210"/>
      <c r="CJ428" s="210"/>
      <c r="CK428" s="210"/>
    </row>
    <row r="429">
      <c r="A429" s="216" t="s">
        <v>407</v>
      </c>
      <c r="B429" s="217" t="s">
        <v>408</v>
      </c>
      <c r="C429" s="218" t="s">
        <v>86</v>
      </c>
      <c r="D429" s="218" t="s">
        <v>879</v>
      </c>
      <c r="E429" s="217" t="s">
        <v>22</v>
      </c>
      <c r="F429" s="190"/>
      <c r="G429" s="190"/>
      <c r="H429" s="219">
        <f>IFERROR(
  MINIFS(ATTENDANCE_LOG!$F:$F,
         ATTENDANCE_LOG!$A:$A, C429,
         ATTENDANCE_LOG!$B:$B, E429),
"")</f>
        <v>46098.625</v>
      </c>
      <c r="I429" s="219">
        <f t="shared" si="2"/>
        <v>45805.375</v>
      </c>
      <c r="J429" s="190" t="str">
        <f>IFERROR(VLOOKUP(F429, LEVEL_HELPER!$A:$B, 2, 0), "")</f>
        <v/>
      </c>
      <c r="K429" s="190" t="str">
        <f>IFERROR(VLOOKUP(G429, LEVEL_HELPER!$A:$B, 2, 0), "")</f>
        <v/>
      </c>
      <c r="L429" s="220" t="s">
        <v>943</v>
      </c>
      <c r="M429" s="220" t="s">
        <v>924</v>
      </c>
      <c r="N429" s="190">
        <f t="array" ref="N429">IFERROR(
  INDEX($J$2:$J$543,
    MATCH(A429&amp;TEXT(I429,"yyyy-mm-dd"),
          $A$2:$A$543&amp;TEXT($H$2:$H$543,"yyyy-mm-dd"),
          0)),
"")</f>
        <v>0.5</v>
      </c>
      <c r="O429" s="210">
        <f t="shared" si="3"/>
        <v>3</v>
      </c>
      <c r="P429" s="210">
        <f t="shared" ref="P429:Q429" si="439">IF(N429="",0,IF(N429&lt;=2,1,IF(N429&lt;=4,2,IF(N429&lt;=5.5,3,4))))</f>
        <v>1</v>
      </c>
      <c r="Q429" s="210">
        <f t="shared" si="439"/>
        <v>2</v>
      </c>
      <c r="R429" s="210" t="str">
        <f t="shared" si="5"/>
        <v>Lv1 → Lv2</v>
      </c>
      <c r="S429" s="210">
        <f t="shared" si="6"/>
        <v>0</v>
      </c>
      <c r="T429" s="210"/>
      <c r="U429" s="210"/>
      <c r="V429" s="210"/>
      <c r="W429" s="210"/>
      <c r="X429" s="210"/>
      <c r="Y429" s="210"/>
      <c r="Z429" s="210"/>
      <c r="AA429" s="210"/>
      <c r="AB429" s="210"/>
      <c r="AC429" s="210"/>
      <c r="AD429" s="210"/>
      <c r="AE429" s="210"/>
      <c r="AF429" s="210"/>
      <c r="AG429" s="210"/>
      <c r="AH429" s="210"/>
      <c r="AI429" s="210"/>
      <c r="AJ429" s="210"/>
      <c r="AK429" s="210"/>
      <c r="AL429" s="210"/>
      <c r="AM429" s="214"/>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c r="BU429" s="210"/>
      <c r="BV429" s="210"/>
      <c r="BW429" s="210"/>
      <c r="BX429" s="210"/>
      <c r="BY429" s="210"/>
      <c r="BZ429" s="210"/>
      <c r="CA429" s="210"/>
      <c r="CB429" s="210"/>
      <c r="CC429" s="210"/>
      <c r="CD429" s="210"/>
      <c r="CE429" s="210"/>
      <c r="CF429" s="210"/>
      <c r="CG429" s="210"/>
      <c r="CH429" s="210"/>
      <c r="CI429" s="210"/>
      <c r="CJ429" s="210"/>
      <c r="CK429" s="210"/>
    </row>
    <row r="430">
      <c r="A430" s="222" t="s">
        <v>429</v>
      </c>
      <c r="B430" s="190" t="s">
        <v>430</v>
      </c>
      <c r="C430" s="223" t="s">
        <v>86</v>
      </c>
      <c r="D430" s="223" t="s">
        <v>879</v>
      </c>
      <c r="E430" s="190" t="s">
        <v>22</v>
      </c>
      <c r="F430" s="190"/>
      <c r="G430" s="190"/>
      <c r="H430" s="219">
        <f>IFERROR(
  MINIFS(ATTENDANCE_LOG!$F:$F,
         ATTENDANCE_LOG!$A:$A, C430,
         ATTENDANCE_LOG!$B:$B, E430),
"")</f>
        <v>46098.625</v>
      </c>
      <c r="I430" s="219">
        <f t="shared" si="2"/>
        <v>45805.375</v>
      </c>
      <c r="J430" s="190" t="str">
        <f>IFERROR(VLOOKUP(F430, LEVEL_HELPER!$A:$B, 2, 0), "")</f>
        <v/>
      </c>
      <c r="K430" s="190" t="str">
        <f>IFERROR(VLOOKUP(G430, LEVEL_HELPER!$A:$B, 2, 0), "")</f>
        <v/>
      </c>
      <c r="L430" s="220" t="s">
        <v>944</v>
      </c>
      <c r="M430" s="220" t="s">
        <v>924</v>
      </c>
      <c r="N430" s="190">
        <f t="array" ref="N430">IFERROR(
  INDEX($J$2:$J$543,
    MATCH(A430&amp;TEXT(I430,"yyyy-mm-dd"),
          $A$2:$A$543&amp;TEXT($H$2:$H$543,"yyyy-mm-dd"),
          0)),
"")</f>
        <v>0.5</v>
      </c>
      <c r="O430" s="210">
        <f t="shared" si="3"/>
        <v>3</v>
      </c>
      <c r="P430" s="210">
        <f t="shared" ref="P430:Q430" si="440">IF(N430="",0,IF(N430&lt;=2,1,IF(N430&lt;=4,2,IF(N430&lt;=5.5,3,4))))</f>
        <v>1</v>
      </c>
      <c r="Q430" s="210">
        <f t="shared" si="440"/>
        <v>2</v>
      </c>
      <c r="R430" s="210" t="str">
        <f t="shared" si="5"/>
        <v>Lv1 → Lv2</v>
      </c>
      <c r="S430" s="210">
        <f t="shared" si="6"/>
        <v>0</v>
      </c>
      <c r="T430" s="210"/>
      <c r="U430" s="210"/>
      <c r="V430" s="210"/>
      <c r="W430" s="210"/>
      <c r="X430" s="210"/>
      <c r="Y430" s="210"/>
      <c r="Z430" s="210"/>
      <c r="AA430" s="210"/>
      <c r="AB430" s="210"/>
      <c r="AC430" s="210"/>
      <c r="AD430" s="210"/>
      <c r="AE430" s="210"/>
      <c r="AF430" s="210"/>
      <c r="AG430" s="210"/>
      <c r="AH430" s="210"/>
      <c r="AI430" s="210"/>
      <c r="AJ430" s="210"/>
      <c r="AK430" s="210"/>
      <c r="AL430" s="210"/>
      <c r="AM430" s="214"/>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c r="BU430" s="210"/>
      <c r="BV430" s="210"/>
      <c r="BW430" s="210"/>
      <c r="BX430" s="210"/>
      <c r="BY430" s="210"/>
      <c r="BZ430" s="210"/>
      <c r="CA430" s="210"/>
      <c r="CB430" s="210"/>
      <c r="CC430" s="210"/>
      <c r="CD430" s="210"/>
      <c r="CE430" s="210"/>
      <c r="CF430" s="210"/>
      <c r="CG430" s="210"/>
      <c r="CH430" s="210"/>
      <c r="CI430" s="210"/>
      <c r="CJ430" s="210"/>
      <c r="CK430" s="210"/>
    </row>
    <row r="431">
      <c r="A431" s="222" t="s">
        <v>538</v>
      </c>
      <c r="B431" s="190" t="s">
        <v>539</v>
      </c>
      <c r="C431" s="223" t="s">
        <v>86</v>
      </c>
      <c r="D431" s="223" t="s">
        <v>879</v>
      </c>
      <c r="E431" s="190" t="s">
        <v>22</v>
      </c>
      <c r="F431" s="190"/>
      <c r="G431" s="190"/>
      <c r="H431" s="219">
        <f>IFERROR(
  MINIFS(ATTENDANCE_LOG!$F:$F,
         ATTENDANCE_LOG!$A:$A, C431,
         ATTENDANCE_LOG!$B:$B, E431),
"")</f>
        <v>46098.625</v>
      </c>
      <c r="I431" s="219">
        <f t="shared" si="2"/>
        <v>45805.375</v>
      </c>
      <c r="J431" s="190" t="str">
        <f>IFERROR(VLOOKUP(F431, LEVEL_HELPER!$A:$B, 2, 0), "")</f>
        <v/>
      </c>
      <c r="K431" s="190" t="str">
        <f>IFERROR(VLOOKUP(G431, LEVEL_HELPER!$A:$B, 2, 0), "")</f>
        <v/>
      </c>
      <c r="L431" s="220" t="s">
        <v>943</v>
      </c>
      <c r="M431" s="220" t="s">
        <v>924</v>
      </c>
      <c r="N431" s="190">
        <f t="array" ref="N431">IFERROR(
  INDEX($J$2:$J$543,
    MATCH(A431&amp;TEXT(I431,"yyyy-mm-dd"),
          $A$2:$A$543&amp;TEXT($H$2:$H$543,"yyyy-mm-dd"),
          0)),
"")</f>
        <v>0.5</v>
      </c>
      <c r="O431" s="210">
        <f t="shared" si="3"/>
        <v>3</v>
      </c>
      <c r="P431" s="210">
        <f t="shared" ref="P431:Q431" si="441">IF(N431="",0,IF(N431&lt;=2,1,IF(N431&lt;=4,2,IF(N431&lt;=5.5,3,4))))</f>
        <v>1</v>
      </c>
      <c r="Q431" s="210">
        <f t="shared" si="441"/>
        <v>2</v>
      </c>
      <c r="R431" s="210" t="str">
        <f t="shared" si="5"/>
        <v>Lv1 → Lv2</v>
      </c>
      <c r="S431" s="210">
        <f t="shared" si="6"/>
        <v>0</v>
      </c>
      <c r="T431" s="210"/>
      <c r="U431" s="210"/>
      <c r="V431" s="210"/>
      <c r="W431" s="210"/>
      <c r="X431" s="210"/>
      <c r="Y431" s="210"/>
      <c r="Z431" s="210"/>
      <c r="AA431" s="210"/>
      <c r="AB431" s="210"/>
      <c r="AC431" s="210"/>
      <c r="AD431" s="210"/>
      <c r="AE431" s="210"/>
      <c r="AF431" s="210"/>
      <c r="AG431" s="210"/>
      <c r="AH431" s="210"/>
      <c r="AI431" s="210"/>
      <c r="AJ431" s="210"/>
      <c r="AK431" s="210"/>
      <c r="AL431" s="210"/>
      <c r="AM431" s="214"/>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c r="BU431" s="210"/>
      <c r="BV431" s="210"/>
      <c r="BW431" s="210"/>
      <c r="BX431" s="210"/>
      <c r="BY431" s="210"/>
      <c r="BZ431" s="210"/>
      <c r="CA431" s="210"/>
      <c r="CB431" s="210"/>
      <c r="CC431" s="210"/>
      <c r="CD431" s="210"/>
      <c r="CE431" s="210"/>
      <c r="CF431" s="210"/>
      <c r="CG431" s="210"/>
      <c r="CH431" s="210"/>
      <c r="CI431" s="210"/>
      <c r="CJ431" s="210"/>
      <c r="CK431" s="210"/>
    </row>
    <row r="432">
      <c r="A432" s="222" t="s">
        <v>691</v>
      </c>
      <c r="B432" s="190" t="s">
        <v>692</v>
      </c>
      <c r="C432" s="223" t="s">
        <v>86</v>
      </c>
      <c r="D432" s="223" t="s">
        <v>879</v>
      </c>
      <c r="E432" s="190" t="s">
        <v>22</v>
      </c>
      <c r="F432" s="190"/>
      <c r="G432" s="190"/>
      <c r="H432" s="219">
        <f>IFERROR(
  MINIFS(ATTENDANCE_LOG!$F:$F,
         ATTENDANCE_LOG!$A:$A, C432,
         ATTENDANCE_LOG!$B:$B, E432),
"")</f>
        <v>46098.625</v>
      </c>
      <c r="I432" s="219">
        <f t="shared" si="2"/>
        <v>45805.375</v>
      </c>
      <c r="J432" s="190" t="str">
        <f>IFERROR(VLOOKUP(F432, LEVEL_HELPER!$A:$B, 2, 0), "")</f>
        <v/>
      </c>
      <c r="K432" s="190" t="str">
        <f>IFERROR(VLOOKUP(G432, LEVEL_HELPER!$A:$B, 2, 0), "")</f>
        <v/>
      </c>
      <c r="L432" s="220" t="s">
        <v>943</v>
      </c>
      <c r="M432" s="220" t="s">
        <v>924</v>
      </c>
      <c r="N432" s="190">
        <f t="array" ref="N432">IFERROR(
  INDEX($J$2:$J$543,
    MATCH(A432&amp;TEXT(I432,"yyyy-mm-dd"),
          $A$2:$A$543&amp;TEXT($H$2:$H$543,"yyyy-mm-dd"),
          0)),
"")</f>
        <v>0.5</v>
      </c>
      <c r="O432" s="210">
        <f t="shared" si="3"/>
        <v>3.5</v>
      </c>
      <c r="P432" s="210">
        <f t="shared" ref="P432:Q432" si="442">IF(N432="",0,IF(N432&lt;=2,1,IF(N432&lt;=4,2,IF(N432&lt;=5.5,3,4))))</f>
        <v>1</v>
      </c>
      <c r="Q432" s="210">
        <f t="shared" si="442"/>
        <v>2</v>
      </c>
      <c r="R432" s="210" t="str">
        <f t="shared" si="5"/>
        <v>Lv1 → Lv2</v>
      </c>
      <c r="S432" s="210">
        <f t="shared" si="6"/>
        <v>0</v>
      </c>
      <c r="T432" s="210"/>
      <c r="U432" s="210"/>
      <c r="V432" s="210"/>
      <c r="W432" s="210"/>
      <c r="X432" s="210"/>
      <c r="Y432" s="210"/>
      <c r="Z432" s="210"/>
      <c r="AA432" s="210"/>
      <c r="AB432" s="210"/>
      <c r="AC432" s="210"/>
      <c r="AD432" s="210"/>
      <c r="AE432" s="210"/>
      <c r="AF432" s="210"/>
      <c r="AG432" s="210"/>
      <c r="AH432" s="210"/>
      <c r="AI432" s="210"/>
      <c r="AJ432" s="210"/>
      <c r="AK432" s="210"/>
      <c r="AL432" s="210"/>
      <c r="AM432" s="214"/>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c r="BU432" s="210"/>
      <c r="BV432" s="210"/>
      <c r="BW432" s="210"/>
      <c r="BX432" s="210"/>
      <c r="BY432" s="210"/>
      <c r="BZ432" s="210"/>
      <c r="CA432" s="210"/>
      <c r="CB432" s="210"/>
      <c r="CC432" s="210"/>
      <c r="CD432" s="210"/>
      <c r="CE432" s="210"/>
      <c r="CF432" s="210"/>
      <c r="CG432" s="210"/>
      <c r="CH432" s="210"/>
      <c r="CI432" s="210"/>
      <c r="CJ432" s="210"/>
      <c r="CK432" s="210"/>
    </row>
    <row r="433">
      <c r="A433" s="216" t="s">
        <v>383</v>
      </c>
      <c r="B433" s="217" t="s">
        <v>384</v>
      </c>
      <c r="C433" s="218" t="s">
        <v>87</v>
      </c>
      <c r="D433" s="218" t="s">
        <v>880</v>
      </c>
      <c r="E433" s="217" t="s">
        <v>21</v>
      </c>
      <c r="F433" s="242" t="s">
        <v>932</v>
      </c>
      <c r="G433" s="242" t="s">
        <v>938</v>
      </c>
      <c r="H433" s="219">
        <f>IFERROR(
  MINIFS(ATTENDANCE_LOG!$F:$F,
         ATTENDANCE_LOG!$A:$A, C433,
         ATTENDANCE_LOG!$B:$B, E433),
"")</f>
        <v>45813.45833</v>
      </c>
      <c r="I433" s="219">
        <f t="shared" si="2"/>
        <v>45813.45833</v>
      </c>
      <c r="J433" s="217">
        <f>IFERROR(VLOOKUP(F433, LEVEL_HELPER!$A:$B, 2, 0), "")</f>
        <v>4.5</v>
      </c>
      <c r="K433" s="217">
        <f>IFERROR(VLOOKUP(G433, LEVEL_HELPER!$A:$B, 2, 0), "")</f>
        <v>5.5</v>
      </c>
      <c r="L433" s="247" t="s">
        <v>942</v>
      </c>
      <c r="M433" s="247" t="s">
        <v>926</v>
      </c>
      <c r="N433" s="190">
        <f t="array" ref="N433">IFERROR(
  INDEX($J$2:$J$543,
    MATCH(A433&amp;TEXT(I433,"yyyy-mm-dd"),
          $A$2:$A$543&amp;TEXT($H$2:$H$543,"yyyy-mm-dd"),
          0)),
"")</f>
        <v>4.5</v>
      </c>
      <c r="O433" s="248">
        <f t="shared" si="3"/>
        <v>5.5</v>
      </c>
      <c r="P433" s="210">
        <f t="shared" ref="P433:Q433" si="443">IF(N433="",0,IF(N433&lt;=2,1,IF(N433&lt;=4,2,IF(N433&lt;=5.5,3,4))))</f>
        <v>3</v>
      </c>
      <c r="Q433" s="210">
        <f t="shared" si="443"/>
        <v>3</v>
      </c>
      <c r="R433" s="210" t="str">
        <f t="shared" si="5"/>
        <v>Progress within level</v>
      </c>
      <c r="S433" s="210">
        <f t="shared" si="6"/>
        <v>0</v>
      </c>
      <c r="T433" s="210"/>
      <c r="U433" s="210"/>
      <c r="V433" s="210"/>
      <c r="W433" s="210"/>
      <c r="X433" s="210"/>
      <c r="Y433" s="210"/>
      <c r="Z433" s="210"/>
      <c r="AA433" s="210"/>
      <c r="AB433" s="210"/>
      <c r="AC433" s="210"/>
      <c r="AD433" s="210"/>
      <c r="AE433" s="210"/>
      <c r="AF433" s="210"/>
      <c r="AG433" s="210"/>
      <c r="AH433" s="210"/>
      <c r="AI433" s="210"/>
      <c r="AJ433" s="210"/>
      <c r="AK433" s="210"/>
      <c r="AL433" s="210"/>
      <c r="AM433" s="214"/>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c r="BU433" s="210"/>
      <c r="BV433" s="210"/>
      <c r="BW433" s="210"/>
      <c r="BX433" s="210"/>
      <c r="BY433" s="210"/>
      <c r="BZ433" s="210"/>
      <c r="CA433" s="210"/>
      <c r="CB433" s="210"/>
      <c r="CC433" s="210"/>
      <c r="CD433" s="210"/>
      <c r="CE433" s="210"/>
      <c r="CF433" s="210"/>
      <c r="CG433" s="210"/>
      <c r="CH433" s="210"/>
      <c r="CI433" s="210"/>
      <c r="CJ433" s="210"/>
      <c r="CK433" s="210"/>
    </row>
    <row r="434">
      <c r="A434" s="222" t="s">
        <v>389</v>
      </c>
      <c r="B434" s="190" t="s">
        <v>390</v>
      </c>
      <c r="C434" s="223" t="s">
        <v>87</v>
      </c>
      <c r="D434" s="223" t="s">
        <v>880</v>
      </c>
      <c r="E434" s="190" t="s">
        <v>21</v>
      </c>
      <c r="F434" s="13" t="s">
        <v>927</v>
      </c>
      <c r="G434" s="13" t="s">
        <v>918</v>
      </c>
      <c r="H434" s="219">
        <f>IFERROR(
  MINIFS(ATTENDANCE_LOG!$F:$F,
         ATTENDANCE_LOG!$A:$A, C434,
         ATTENDANCE_LOG!$B:$B, E434),
"")</f>
        <v>45813.45833</v>
      </c>
      <c r="I434" s="219">
        <f t="shared" si="2"/>
        <v>45813.45833</v>
      </c>
      <c r="J434" s="190">
        <f>IFERROR(VLOOKUP(F434, LEVEL_HELPER!$A:$B, 2, 0), "")</f>
        <v>1</v>
      </c>
      <c r="K434" s="190">
        <f>IFERROR(VLOOKUP(G434, LEVEL_HELPER!$A:$B, 2, 0), "")</f>
        <v>3</v>
      </c>
      <c r="L434" s="220" t="s">
        <v>947</v>
      </c>
      <c r="M434" s="220" t="s">
        <v>926</v>
      </c>
      <c r="N434" s="190">
        <f t="array" ref="N434">IFERROR(
  INDEX($J$2:$J$543,
    MATCH(A434&amp;TEXT(I434,"yyyy-mm-dd"),
          $A$2:$A$543&amp;TEXT($H$2:$H$543,"yyyy-mm-dd"),
          0)),
"")</f>
        <v>1</v>
      </c>
      <c r="O434" s="210">
        <f t="shared" si="3"/>
        <v>3</v>
      </c>
      <c r="P434" s="210">
        <f t="shared" ref="P434:Q434" si="444">IF(N434="",0,IF(N434&lt;=2,1,IF(N434&lt;=4,2,IF(N434&lt;=5.5,3,4))))</f>
        <v>1</v>
      </c>
      <c r="Q434" s="210">
        <f t="shared" si="444"/>
        <v>2</v>
      </c>
      <c r="R434" s="210" t="str">
        <f t="shared" si="5"/>
        <v>Lv1 → Lv2</v>
      </c>
      <c r="S434" s="210">
        <f t="shared" si="6"/>
        <v>1</v>
      </c>
      <c r="T434" s="210"/>
      <c r="U434" s="210"/>
      <c r="V434" s="210"/>
      <c r="W434" s="210"/>
      <c r="X434" s="210"/>
      <c r="Y434" s="210"/>
      <c r="Z434" s="210"/>
      <c r="AA434" s="210"/>
      <c r="AB434" s="210"/>
      <c r="AC434" s="210"/>
      <c r="AD434" s="210"/>
      <c r="AE434" s="210"/>
      <c r="AF434" s="210"/>
      <c r="AG434" s="210"/>
      <c r="AH434" s="210"/>
      <c r="AI434" s="210"/>
      <c r="AJ434" s="210"/>
      <c r="AK434" s="210"/>
      <c r="AL434" s="210"/>
      <c r="AM434" s="214"/>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c r="BU434" s="210"/>
      <c r="BV434" s="210"/>
      <c r="BW434" s="210"/>
      <c r="BX434" s="210"/>
      <c r="BY434" s="210"/>
      <c r="BZ434" s="210"/>
      <c r="CA434" s="210"/>
      <c r="CB434" s="210"/>
      <c r="CC434" s="210"/>
      <c r="CD434" s="210"/>
      <c r="CE434" s="210"/>
      <c r="CF434" s="210"/>
      <c r="CG434" s="210"/>
      <c r="CH434" s="210"/>
      <c r="CI434" s="210"/>
      <c r="CJ434" s="210"/>
      <c r="CK434" s="210"/>
    </row>
    <row r="435">
      <c r="A435" s="222" t="s">
        <v>637</v>
      </c>
      <c r="B435" s="190" t="s">
        <v>638</v>
      </c>
      <c r="C435" s="223" t="s">
        <v>87</v>
      </c>
      <c r="D435" s="223" t="s">
        <v>880</v>
      </c>
      <c r="E435" s="190" t="s">
        <v>21</v>
      </c>
      <c r="F435" s="13" t="s">
        <v>927</v>
      </c>
      <c r="G435" s="13" t="s">
        <v>918</v>
      </c>
      <c r="H435" s="219">
        <f>IFERROR(
  MINIFS(ATTENDANCE_LOG!$F:$F,
         ATTENDANCE_LOG!$A:$A, C435,
         ATTENDANCE_LOG!$B:$B, E435),
"")</f>
        <v>45813.45833</v>
      </c>
      <c r="I435" s="219">
        <f t="shared" si="2"/>
        <v>45813.45833</v>
      </c>
      <c r="J435" s="190">
        <f>IFERROR(VLOOKUP(F435, LEVEL_HELPER!$A:$B, 2, 0), "")</f>
        <v>1</v>
      </c>
      <c r="K435" s="190">
        <f>IFERROR(VLOOKUP(G435, LEVEL_HELPER!$A:$B, 2, 0), "")</f>
        <v>3</v>
      </c>
      <c r="L435" s="220" t="s">
        <v>943</v>
      </c>
      <c r="M435" s="220" t="s">
        <v>926</v>
      </c>
      <c r="N435" s="190">
        <f t="array" ref="N435">IFERROR(
  INDEX($J$2:$J$543,
    MATCH(A435&amp;TEXT(I435,"yyyy-mm-dd"),
          $A$2:$A$543&amp;TEXT($H$2:$H$543,"yyyy-mm-dd"),
          0)),
"")</f>
        <v>1</v>
      </c>
      <c r="O435" s="210">
        <f t="shared" si="3"/>
        <v>3</v>
      </c>
      <c r="P435" s="210">
        <f t="shared" ref="P435:Q435" si="445">IF(N435="",0,IF(N435&lt;=2,1,IF(N435&lt;=4,2,IF(N435&lt;=5.5,3,4))))</f>
        <v>1</v>
      </c>
      <c r="Q435" s="210">
        <f t="shared" si="445"/>
        <v>2</v>
      </c>
      <c r="R435" s="210" t="str">
        <f t="shared" si="5"/>
        <v>Lv1 → Lv2</v>
      </c>
      <c r="S435" s="210">
        <f t="shared" si="6"/>
        <v>1</v>
      </c>
      <c r="T435" s="210"/>
      <c r="U435" s="210"/>
      <c r="V435" s="210"/>
      <c r="W435" s="210"/>
      <c r="X435" s="210"/>
      <c r="Y435" s="210"/>
      <c r="Z435" s="210"/>
      <c r="AA435" s="210"/>
      <c r="AB435" s="210"/>
      <c r="AC435" s="210"/>
      <c r="AD435" s="210"/>
      <c r="AE435" s="210"/>
      <c r="AF435" s="210"/>
      <c r="AG435" s="210"/>
      <c r="AH435" s="210"/>
      <c r="AI435" s="210"/>
      <c r="AJ435" s="210"/>
      <c r="AK435" s="210"/>
      <c r="AL435" s="210"/>
      <c r="AM435" s="214"/>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c r="BU435" s="210"/>
      <c r="BV435" s="210"/>
      <c r="BW435" s="210"/>
      <c r="BX435" s="210"/>
      <c r="BY435" s="210"/>
      <c r="BZ435" s="210"/>
      <c r="CA435" s="210"/>
      <c r="CB435" s="210"/>
      <c r="CC435" s="210"/>
      <c r="CD435" s="210"/>
      <c r="CE435" s="210"/>
      <c r="CF435" s="210"/>
      <c r="CG435" s="210"/>
      <c r="CH435" s="210"/>
      <c r="CI435" s="210"/>
      <c r="CJ435" s="210"/>
      <c r="CK435" s="210"/>
    </row>
    <row r="436">
      <c r="A436" s="222" t="s">
        <v>663</v>
      </c>
      <c r="B436" s="190" t="s">
        <v>664</v>
      </c>
      <c r="C436" s="223" t="s">
        <v>87</v>
      </c>
      <c r="D436" s="223" t="s">
        <v>880</v>
      </c>
      <c r="E436" s="190" t="s">
        <v>21</v>
      </c>
      <c r="F436" s="13" t="s">
        <v>927</v>
      </c>
      <c r="G436" s="13" t="s">
        <v>927</v>
      </c>
      <c r="H436" s="219">
        <f>IFERROR(
  MINIFS(ATTENDANCE_LOG!$F:$F,
         ATTENDANCE_LOG!$A:$A, C436,
         ATTENDANCE_LOG!$B:$B, E436),
"")</f>
        <v>45813.45833</v>
      </c>
      <c r="I436" s="219">
        <f t="shared" si="2"/>
        <v>45813.45833</v>
      </c>
      <c r="J436" s="190">
        <f>IFERROR(VLOOKUP(F436, LEVEL_HELPER!$A:$B, 2, 0), "")</f>
        <v>1</v>
      </c>
      <c r="K436" s="190">
        <f>IFERROR(VLOOKUP(G436, LEVEL_HELPER!$A:$B, 2, 0), "")</f>
        <v>1</v>
      </c>
      <c r="L436" s="220" t="s">
        <v>943</v>
      </c>
      <c r="M436" s="220" t="s">
        <v>926</v>
      </c>
      <c r="N436" s="190">
        <f t="array" ref="N436">IFERROR(
  INDEX($J$2:$J$543,
    MATCH(A436&amp;TEXT(I436,"yyyy-mm-dd"),
          $A$2:$A$543&amp;TEXT($H$2:$H$543,"yyyy-mm-dd"),
          0)),
"")</f>
        <v>1</v>
      </c>
      <c r="O436" s="210">
        <f t="shared" si="3"/>
        <v>1</v>
      </c>
      <c r="P436" s="210">
        <f t="shared" ref="P436:Q436" si="446">IF(N436="",0,IF(N436&lt;=2,1,IF(N436&lt;=4,2,IF(N436&lt;=5.5,3,4))))</f>
        <v>1</v>
      </c>
      <c r="Q436" s="210">
        <f t="shared" si="446"/>
        <v>1</v>
      </c>
      <c r="R436" s="210" t="str">
        <f t="shared" si="5"/>
        <v>No Progress</v>
      </c>
      <c r="S436" s="210">
        <f t="shared" si="6"/>
        <v>1</v>
      </c>
      <c r="T436" s="210"/>
      <c r="U436" s="210"/>
      <c r="V436" s="210"/>
      <c r="W436" s="210"/>
      <c r="X436" s="210"/>
      <c r="Y436" s="210"/>
      <c r="Z436" s="210"/>
      <c r="AA436" s="210"/>
      <c r="AB436" s="210"/>
      <c r="AC436" s="210"/>
      <c r="AD436" s="210"/>
      <c r="AE436" s="210"/>
      <c r="AF436" s="210"/>
      <c r="AG436" s="210"/>
      <c r="AH436" s="210"/>
      <c r="AI436" s="210"/>
      <c r="AJ436" s="210"/>
      <c r="AK436" s="210"/>
      <c r="AL436" s="210"/>
      <c r="AM436" s="214"/>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c r="BU436" s="210"/>
      <c r="BV436" s="210"/>
      <c r="BW436" s="210"/>
      <c r="BX436" s="210"/>
      <c r="BY436" s="210"/>
      <c r="BZ436" s="210"/>
      <c r="CA436" s="210"/>
      <c r="CB436" s="210"/>
      <c r="CC436" s="210"/>
      <c r="CD436" s="210"/>
      <c r="CE436" s="210"/>
      <c r="CF436" s="210"/>
      <c r="CG436" s="210"/>
      <c r="CH436" s="210"/>
      <c r="CI436" s="210"/>
      <c r="CJ436" s="210"/>
      <c r="CK436" s="210"/>
    </row>
    <row r="437">
      <c r="A437" s="216" t="s">
        <v>383</v>
      </c>
      <c r="B437" s="217" t="s">
        <v>384</v>
      </c>
      <c r="C437" s="218" t="s">
        <v>87</v>
      </c>
      <c r="D437" s="218" t="s">
        <v>880</v>
      </c>
      <c r="E437" s="217" t="s">
        <v>22</v>
      </c>
      <c r="F437" s="242" t="s">
        <v>938</v>
      </c>
      <c r="G437" s="217"/>
      <c r="H437" s="219">
        <f>IFERROR(
  MINIFS(ATTENDANCE_LOG!$F:$F,
         ATTENDANCE_LOG!$A:$A, C437,
         ATTENDANCE_LOG!$B:$B, E437),
"")</f>
        <v>46038.41667</v>
      </c>
      <c r="I437" s="219">
        <f t="shared" si="2"/>
        <v>45813.45833</v>
      </c>
      <c r="J437" s="217">
        <f>IFERROR(VLOOKUP(F437, LEVEL_HELPER!$A:$B, 2, 0), "")</f>
        <v>5.5</v>
      </c>
      <c r="K437" s="217" t="str">
        <f>IFERROR(VLOOKUP(G437, LEVEL_HELPER!$A:$B, 2, 0), "")</f>
        <v/>
      </c>
      <c r="L437" s="247" t="s">
        <v>942</v>
      </c>
      <c r="M437" s="247" t="s">
        <v>926</v>
      </c>
      <c r="N437" s="190">
        <f t="array" ref="N437">IFERROR(
  INDEX($J$2:$J$543,
    MATCH(A437&amp;TEXT(I437,"yyyy-mm-dd"),
          $A$2:$A$543&amp;TEXT($H$2:$H$543,"yyyy-mm-dd"),
          0)),
"")</f>
        <v>4.5</v>
      </c>
      <c r="O437" s="248">
        <f t="shared" si="3"/>
        <v>5.5</v>
      </c>
      <c r="P437" s="210">
        <f t="shared" ref="P437:Q437" si="447">IF(N437="",0,IF(N437&lt;=2,1,IF(N437&lt;=4,2,IF(N437&lt;=5.5,3,4))))</f>
        <v>3</v>
      </c>
      <c r="Q437" s="210">
        <f t="shared" si="447"/>
        <v>3</v>
      </c>
      <c r="R437" s="210" t="str">
        <f t="shared" si="5"/>
        <v>Progress within level</v>
      </c>
      <c r="S437" s="210">
        <f t="shared" si="6"/>
        <v>0</v>
      </c>
      <c r="T437" s="210"/>
      <c r="U437" s="210"/>
      <c r="V437" s="210"/>
      <c r="W437" s="210"/>
      <c r="X437" s="210"/>
      <c r="Y437" s="210"/>
      <c r="Z437" s="210"/>
      <c r="AA437" s="210"/>
      <c r="AB437" s="210"/>
      <c r="AC437" s="210"/>
      <c r="AD437" s="210"/>
      <c r="AE437" s="210"/>
      <c r="AF437" s="210"/>
      <c r="AG437" s="210"/>
      <c r="AH437" s="210"/>
      <c r="AI437" s="210"/>
      <c r="AJ437" s="210"/>
      <c r="AK437" s="210"/>
      <c r="AL437" s="210"/>
      <c r="AM437" s="214"/>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c r="BU437" s="210"/>
      <c r="BV437" s="210"/>
      <c r="BW437" s="210"/>
      <c r="BX437" s="210"/>
      <c r="BY437" s="210"/>
      <c r="BZ437" s="210"/>
      <c r="CA437" s="210"/>
      <c r="CB437" s="210"/>
      <c r="CC437" s="210"/>
      <c r="CD437" s="210"/>
      <c r="CE437" s="210"/>
      <c r="CF437" s="210"/>
      <c r="CG437" s="210"/>
      <c r="CH437" s="210"/>
      <c r="CI437" s="210"/>
      <c r="CJ437" s="210"/>
      <c r="CK437" s="210"/>
    </row>
    <row r="438">
      <c r="A438" s="222" t="s">
        <v>389</v>
      </c>
      <c r="B438" s="190" t="s">
        <v>390</v>
      </c>
      <c r="C438" s="223" t="s">
        <v>87</v>
      </c>
      <c r="D438" s="223" t="s">
        <v>880</v>
      </c>
      <c r="E438" s="190" t="s">
        <v>22</v>
      </c>
      <c r="F438" s="13" t="s">
        <v>918</v>
      </c>
      <c r="G438" s="190"/>
      <c r="H438" s="219">
        <f>IFERROR(
  MINIFS(ATTENDANCE_LOG!$F:$F,
         ATTENDANCE_LOG!$A:$A, C438,
         ATTENDANCE_LOG!$B:$B, E438),
"")</f>
        <v>46038.41667</v>
      </c>
      <c r="I438" s="219">
        <f t="shared" si="2"/>
        <v>45813.45833</v>
      </c>
      <c r="J438" s="190">
        <f>IFERROR(VLOOKUP(F438, LEVEL_HELPER!$A:$B, 2, 0), "")</f>
        <v>3</v>
      </c>
      <c r="K438" s="190" t="str">
        <f>IFERROR(VLOOKUP(G438, LEVEL_HELPER!$A:$B, 2, 0), "")</f>
        <v/>
      </c>
      <c r="L438" s="220" t="s">
        <v>947</v>
      </c>
      <c r="M438" s="220" t="s">
        <v>926</v>
      </c>
      <c r="N438" s="190">
        <f t="array" ref="N438">IFERROR(
  INDEX($J$2:$J$543,
    MATCH(A438&amp;TEXT(I438,"yyyy-mm-dd"),
          $A$2:$A$543&amp;TEXT($H$2:$H$543,"yyyy-mm-dd"),
          0)),
"")</f>
        <v>1</v>
      </c>
      <c r="O438" s="210">
        <f t="shared" si="3"/>
        <v>3</v>
      </c>
      <c r="P438" s="210">
        <f t="shared" ref="P438:Q438" si="448">IF(N438="",0,IF(N438&lt;=2,1,IF(N438&lt;=4,2,IF(N438&lt;=5.5,3,4))))</f>
        <v>1</v>
      </c>
      <c r="Q438" s="210">
        <f t="shared" si="448"/>
        <v>2</v>
      </c>
      <c r="R438" s="210" t="str">
        <f t="shared" si="5"/>
        <v>Lv1 → Lv2</v>
      </c>
      <c r="S438" s="210">
        <f t="shared" si="6"/>
        <v>0</v>
      </c>
      <c r="T438" s="210"/>
      <c r="U438" s="210"/>
      <c r="V438" s="210"/>
      <c r="W438" s="210"/>
      <c r="X438" s="210"/>
      <c r="Y438" s="210"/>
      <c r="Z438" s="210"/>
      <c r="AA438" s="210"/>
      <c r="AB438" s="210"/>
      <c r="AC438" s="210"/>
      <c r="AD438" s="210"/>
      <c r="AE438" s="210"/>
      <c r="AF438" s="210"/>
      <c r="AG438" s="210"/>
      <c r="AH438" s="210"/>
      <c r="AI438" s="210"/>
      <c r="AJ438" s="210"/>
      <c r="AK438" s="210"/>
      <c r="AL438" s="210"/>
      <c r="AM438" s="214"/>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c r="BU438" s="210"/>
      <c r="BV438" s="210"/>
      <c r="BW438" s="210"/>
      <c r="BX438" s="210"/>
      <c r="BY438" s="210"/>
      <c r="BZ438" s="210"/>
      <c r="CA438" s="210"/>
      <c r="CB438" s="210"/>
      <c r="CC438" s="210"/>
      <c r="CD438" s="210"/>
      <c r="CE438" s="210"/>
      <c r="CF438" s="210"/>
      <c r="CG438" s="210"/>
      <c r="CH438" s="210"/>
      <c r="CI438" s="210"/>
      <c r="CJ438" s="210"/>
      <c r="CK438" s="210"/>
    </row>
    <row r="439">
      <c r="A439" s="222" t="s">
        <v>637</v>
      </c>
      <c r="B439" s="190" t="s">
        <v>638</v>
      </c>
      <c r="C439" s="223" t="s">
        <v>87</v>
      </c>
      <c r="D439" s="223" t="s">
        <v>880</v>
      </c>
      <c r="E439" s="190" t="s">
        <v>22</v>
      </c>
      <c r="F439" s="13" t="s">
        <v>918</v>
      </c>
      <c r="G439" s="190"/>
      <c r="H439" s="219">
        <f>IFERROR(
  MINIFS(ATTENDANCE_LOG!$F:$F,
         ATTENDANCE_LOG!$A:$A, C439,
         ATTENDANCE_LOG!$B:$B, E439),
"")</f>
        <v>46038.41667</v>
      </c>
      <c r="I439" s="219">
        <f t="shared" si="2"/>
        <v>45813.45833</v>
      </c>
      <c r="J439" s="190">
        <f>IFERROR(VLOOKUP(F439, LEVEL_HELPER!$A:$B, 2, 0), "")</f>
        <v>3</v>
      </c>
      <c r="K439" s="190" t="str">
        <f>IFERROR(VLOOKUP(G439, LEVEL_HELPER!$A:$B, 2, 0), "")</f>
        <v/>
      </c>
      <c r="L439" s="220" t="s">
        <v>943</v>
      </c>
      <c r="M439" s="220" t="s">
        <v>926</v>
      </c>
      <c r="N439" s="190">
        <f t="array" ref="N439">IFERROR(
  INDEX($J$2:$J$543,
    MATCH(A439&amp;TEXT(I439,"yyyy-mm-dd"),
          $A$2:$A$543&amp;TEXT($H$2:$H$543,"yyyy-mm-dd"),
          0)),
"")</f>
        <v>1</v>
      </c>
      <c r="O439" s="210">
        <f t="shared" si="3"/>
        <v>3</v>
      </c>
      <c r="P439" s="210">
        <f t="shared" ref="P439:Q439" si="449">IF(N439="",0,IF(N439&lt;=2,1,IF(N439&lt;=4,2,IF(N439&lt;=5.5,3,4))))</f>
        <v>1</v>
      </c>
      <c r="Q439" s="210">
        <f t="shared" si="449"/>
        <v>2</v>
      </c>
      <c r="R439" s="210" t="str">
        <f t="shared" si="5"/>
        <v>Lv1 → Lv2</v>
      </c>
      <c r="S439" s="210">
        <f t="shared" si="6"/>
        <v>0</v>
      </c>
      <c r="T439" s="210"/>
      <c r="U439" s="210"/>
      <c r="V439" s="210"/>
      <c r="W439" s="210"/>
      <c r="X439" s="210"/>
      <c r="Y439" s="210"/>
      <c r="Z439" s="210"/>
      <c r="AA439" s="210"/>
      <c r="AB439" s="210"/>
      <c r="AC439" s="210"/>
      <c r="AD439" s="210"/>
      <c r="AE439" s="210"/>
      <c r="AF439" s="210"/>
      <c r="AG439" s="210"/>
      <c r="AH439" s="210"/>
      <c r="AI439" s="210"/>
      <c r="AJ439" s="210"/>
      <c r="AK439" s="210"/>
      <c r="AL439" s="210"/>
      <c r="AM439" s="214"/>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c r="BU439" s="210"/>
      <c r="BV439" s="210"/>
      <c r="BW439" s="210"/>
      <c r="BX439" s="210"/>
      <c r="BY439" s="210"/>
      <c r="BZ439" s="210"/>
      <c r="CA439" s="210"/>
      <c r="CB439" s="210"/>
      <c r="CC439" s="210"/>
      <c r="CD439" s="210"/>
      <c r="CE439" s="210"/>
      <c r="CF439" s="210"/>
      <c r="CG439" s="210"/>
      <c r="CH439" s="210"/>
      <c r="CI439" s="210"/>
      <c r="CJ439" s="210"/>
      <c r="CK439" s="210"/>
    </row>
    <row r="440">
      <c r="A440" s="222" t="s">
        <v>663</v>
      </c>
      <c r="B440" s="190" t="s">
        <v>664</v>
      </c>
      <c r="C440" s="223" t="s">
        <v>87</v>
      </c>
      <c r="D440" s="223" t="s">
        <v>880</v>
      </c>
      <c r="E440" s="190" t="s">
        <v>22</v>
      </c>
      <c r="F440" s="13" t="s">
        <v>927</v>
      </c>
      <c r="G440" s="190"/>
      <c r="H440" s="219">
        <f>IFERROR(
  MINIFS(ATTENDANCE_LOG!$F:$F,
         ATTENDANCE_LOG!$A:$A, C440,
         ATTENDANCE_LOG!$B:$B, E440),
"")</f>
        <v>46038.41667</v>
      </c>
      <c r="I440" s="219">
        <f t="shared" si="2"/>
        <v>45813.45833</v>
      </c>
      <c r="J440" s="190">
        <f>IFERROR(VLOOKUP(F440, LEVEL_HELPER!$A:$B, 2, 0), "")</f>
        <v>1</v>
      </c>
      <c r="K440" s="190" t="str">
        <f>IFERROR(VLOOKUP(G440, LEVEL_HELPER!$A:$B, 2, 0), "")</f>
        <v/>
      </c>
      <c r="L440" s="220" t="s">
        <v>943</v>
      </c>
      <c r="M440" s="220" t="s">
        <v>926</v>
      </c>
      <c r="N440" s="190">
        <f t="array" ref="N440">IFERROR(
  INDEX($J$2:$J$543,
    MATCH(A440&amp;TEXT(I440,"yyyy-mm-dd"),
          $A$2:$A$543&amp;TEXT($H$2:$H$543,"yyyy-mm-dd"),
          0)),
"")</f>
        <v>1</v>
      </c>
      <c r="O440" s="210">
        <f t="shared" si="3"/>
        <v>1</v>
      </c>
      <c r="P440" s="210">
        <f t="shared" ref="P440:Q440" si="450">IF(N440="",0,IF(N440&lt;=2,1,IF(N440&lt;=4,2,IF(N440&lt;=5.5,3,4))))</f>
        <v>1</v>
      </c>
      <c r="Q440" s="210">
        <f t="shared" si="450"/>
        <v>1</v>
      </c>
      <c r="R440" s="210" t="str">
        <f t="shared" si="5"/>
        <v>No Progress</v>
      </c>
      <c r="S440" s="210">
        <f t="shared" si="6"/>
        <v>0</v>
      </c>
      <c r="T440" s="210"/>
      <c r="U440" s="210"/>
      <c r="V440" s="210"/>
      <c r="W440" s="210"/>
      <c r="X440" s="210"/>
      <c r="Y440" s="210"/>
      <c r="Z440" s="210"/>
      <c r="AA440" s="210"/>
      <c r="AB440" s="210"/>
      <c r="AC440" s="210"/>
      <c r="AD440" s="210"/>
      <c r="AE440" s="210"/>
      <c r="AF440" s="210"/>
      <c r="AG440" s="210"/>
      <c r="AH440" s="210"/>
      <c r="AI440" s="210"/>
      <c r="AJ440" s="210"/>
      <c r="AK440" s="210"/>
      <c r="AL440" s="210"/>
      <c r="AM440" s="214"/>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c r="BU440" s="210"/>
      <c r="BV440" s="210"/>
      <c r="BW440" s="210"/>
      <c r="BX440" s="210"/>
      <c r="BY440" s="210"/>
      <c r="BZ440" s="210"/>
      <c r="CA440" s="210"/>
      <c r="CB440" s="210"/>
      <c r="CC440" s="210"/>
      <c r="CD440" s="210"/>
      <c r="CE440" s="210"/>
      <c r="CF440" s="210"/>
      <c r="CG440" s="210"/>
      <c r="CH440" s="210"/>
      <c r="CI440" s="210"/>
      <c r="CJ440" s="210"/>
      <c r="CK440" s="210"/>
    </row>
    <row r="441">
      <c r="A441" s="216" t="s">
        <v>440</v>
      </c>
      <c r="B441" s="217" t="s">
        <v>441</v>
      </c>
      <c r="C441" s="218" t="s">
        <v>88</v>
      </c>
      <c r="D441" s="218" t="s">
        <v>881</v>
      </c>
      <c r="E441" s="217" t="s">
        <v>21</v>
      </c>
      <c r="F441" s="242" t="s">
        <v>927</v>
      </c>
      <c r="G441" s="242" t="s">
        <v>929</v>
      </c>
      <c r="H441" s="219">
        <f>IFERROR(
  MINIFS(ATTENDANCE_LOG!$F:$F,
         ATTENDANCE_LOG!$A:$A, C441,
         ATTENDANCE_LOG!$B:$B, E441),
"")</f>
        <v>45882.54167</v>
      </c>
      <c r="I441" s="219">
        <f t="shared" si="2"/>
        <v>45763.54167</v>
      </c>
      <c r="J441" s="217">
        <f>IFERROR(VLOOKUP(F441, LEVEL_HELPER!$A:$B, 2, 0), "")</f>
        <v>1</v>
      </c>
      <c r="K441" s="217">
        <f>IFERROR(VLOOKUP(G441, LEVEL_HELPER!$A:$B, 2, 0), "")</f>
        <v>1.5</v>
      </c>
      <c r="L441" s="247" t="s">
        <v>943</v>
      </c>
      <c r="M441" s="247" t="s">
        <v>923</v>
      </c>
      <c r="N441" s="190">
        <f t="array" ref="N441">IFERROR(
  INDEX($J$2:$J$543,
    MATCH(A441&amp;TEXT(I441,"yyyy-mm-dd"),
          $A$2:$A$543&amp;TEXT($H$2:$H$543,"yyyy-mm-dd"),
          0)),
"")</f>
        <v>1</v>
      </c>
      <c r="O441" s="248">
        <f t="shared" si="3"/>
        <v>1.5</v>
      </c>
      <c r="P441" s="210">
        <f t="shared" ref="P441:Q441" si="451">IF(N441="",0,IF(N441&lt;=2,1,IF(N441&lt;=4,2,IF(N441&lt;=5.5,3,4))))</f>
        <v>1</v>
      </c>
      <c r="Q441" s="210">
        <f t="shared" si="451"/>
        <v>1</v>
      </c>
      <c r="R441" s="210" t="str">
        <f t="shared" si="5"/>
        <v>Progress within level</v>
      </c>
      <c r="S441" s="210">
        <f t="shared" si="6"/>
        <v>0</v>
      </c>
      <c r="T441" s="210"/>
      <c r="U441" s="210"/>
      <c r="V441" s="210"/>
      <c r="W441" s="210"/>
      <c r="X441" s="210"/>
      <c r="Y441" s="210"/>
      <c r="Z441" s="210"/>
      <c r="AA441" s="210"/>
      <c r="AB441" s="210"/>
      <c r="AC441" s="210"/>
      <c r="AD441" s="210"/>
      <c r="AE441" s="210"/>
      <c r="AF441" s="210"/>
      <c r="AG441" s="210"/>
      <c r="AH441" s="210"/>
      <c r="AI441" s="210"/>
      <c r="AJ441" s="210"/>
      <c r="AK441" s="210"/>
      <c r="AL441" s="210"/>
      <c r="AM441" s="214"/>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c r="BU441" s="210"/>
      <c r="BV441" s="210"/>
      <c r="BW441" s="210"/>
      <c r="BX441" s="210"/>
      <c r="BY441" s="210"/>
      <c r="BZ441" s="210"/>
      <c r="CA441" s="210"/>
      <c r="CB441" s="210"/>
      <c r="CC441" s="210"/>
      <c r="CD441" s="210"/>
      <c r="CE441" s="210"/>
      <c r="CF441" s="210"/>
      <c r="CG441" s="210"/>
      <c r="CH441" s="210"/>
      <c r="CI441" s="210"/>
      <c r="CJ441" s="210"/>
      <c r="CK441" s="210"/>
    </row>
    <row r="442">
      <c r="A442" s="222" t="s">
        <v>325</v>
      </c>
      <c r="B442" s="190" t="s">
        <v>326</v>
      </c>
      <c r="C442" s="223" t="s">
        <v>88</v>
      </c>
      <c r="D442" s="223" t="s">
        <v>881</v>
      </c>
      <c r="E442" s="190" t="s">
        <v>21</v>
      </c>
      <c r="F442" s="13" t="s">
        <v>927</v>
      </c>
      <c r="G442" s="13" t="s">
        <v>935</v>
      </c>
      <c r="H442" s="219">
        <f>IFERROR(
  MINIFS(ATTENDANCE_LOG!$F:$F,
         ATTENDANCE_LOG!$A:$A, C442,
         ATTENDANCE_LOG!$B:$B, E442),
"")</f>
        <v>45882.54167</v>
      </c>
      <c r="I442" s="219">
        <f t="shared" si="2"/>
        <v>45715.45833</v>
      </c>
      <c r="J442" s="190">
        <f>IFERROR(VLOOKUP(F442, LEVEL_HELPER!$A:$B, 2, 0), "")</f>
        <v>1</v>
      </c>
      <c r="K442" s="190">
        <f>IFERROR(VLOOKUP(G442, LEVEL_HELPER!$A:$B, 2, 0), "")</f>
        <v>3.5</v>
      </c>
      <c r="L442" s="220" t="s">
        <v>945</v>
      </c>
      <c r="M442" s="229" t="s">
        <v>922</v>
      </c>
      <c r="N442" s="190">
        <f t="array" ref="N442">IFERROR(
  INDEX($J$2:$J$543,
    MATCH(A442&amp;TEXT(I442,"yyyy-mm-dd"),
          $A$2:$A$543&amp;TEXT($H$2:$H$543,"yyyy-mm-dd"),
          0)),
"")</f>
        <v>1</v>
      </c>
      <c r="O442" s="210">
        <f t="shared" si="3"/>
        <v>3.5</v>
      </c>
      <c r="P442" s="210">
        <f t="shared" ref="P442:Q442" si="452">IF(N442="",0,IF(N442&lt;=2,1,IF(N442&lt;=4,2,IF(N442&lt;=5.5,3,4))))</f>
        <v>1</v>
      </c>
      <c r="Q442" s="210">
        <f t="shared" si="452"/>
        <v>2</v>
      </c>
      <c r="R442" s="210" t="str">
        <f t="shared" si="5"/>
        <v>Lv1 → Lv2</v>
      </c>
      <c r="S442" s="210">
        <f t="shared" si="6"/>
        <v>0</v>
      </c>
      <c r="T442" s="210"/>
      <c r="U442" s="210"/>
      <c r="V442" s="210"/>
      <c r="W442" s="210"/>
      <c r="X442" s="210"/>
      <c r="Y442" s="210"/>
      <c r="Z442" s="210"/>
      <c r="AA442" s="210"/>
      <c r="AB442" s="210"/>
      <c r="AC442" s="210"/>
      <c r="AD442" s="210"/>
      <c r="AE442" s="210"/>
      <c r="AF442" s="210"/>
      <c r="AG442" s="210"/>
      <c r="AH442" s="210"/>
      <c r="AI442" s="210"/>
      <c r="AJ442" s="210"/>
      <c r="AK442" s="210"/>
      <c r="AL442" s="210"/>
      <c r="AM442" s="214"/>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c r="BU442" s="210"/>
      <c r="BV442" s="210"/>
      <c r="BW442" s="210"/>
      <c r="BX442" s="210"/>
      <c r="BY442" s="210"/>
      <c r="BZ442" s="210"/>
      <c r="CA442" s="210"/>
      <c r="CB442" s="210"/>
      <c r="CC442" s="210"/>
      <c r="CD442" s="210"/>
      <c r="CE442" s="210"/>
      <c r="CF442" s="210"/>
      <c r="CG442" s="210"/>
      <c r="CH442" s="210"/>
      <c r="CI442" s="210"/>
      <c r="CJ442" s="210"/>
      <c r="CK442" s="210"/>
    </row>
    <row r="443">
      <c r="A443" s="222" t="s">
        <v>419</v>
      </c>
      <c r="B443" s="190" t="s">
        <v>420</v>
      </c>
      <c r="C443" s="223" t="s">
        <v>88</v>
      </c>
      <c r="D443" s="223" t="s">
        <v>881</v>
      </c>
      <c r="E443" s="190" t="s">
        <v>21</v>
      </c>
      <c r="F443" s="13" t="s">
        <v>927</v>
      </c>
      <c r="G443" s="190"/>
      <c r="H443" s="219">
        <f>IFERROR(
  MINIFS(ATTENDANCE_LOG!$F:$F,
         ATTENDANCE_LOG!$A:$A, C443,
         ATTENDANCE_LOG!$B:$B, E443),
"")</f>
        <v>45882.54167</v>
      </c>
      <c r="I443" s="219">
        <f t="shared" si="2"/>
        <v>45765.375</v>
      </c>
      <c r="J443" s="190">
        <f>IFERROR(VLOOKUP(F443, LEVEL_HELPER!$A:$B, 2, 0), "")</f>
        <v>1</v>
      </c>
      <c r="K443" s="190" t="str">
        <f>IFERROR(VLOOKUP(G443, LEVEL_HELPER!$A:$B, 2, 0), "")</f>
        <v/>
      </c>
      <c r="L443" s="220" t="s">
        <v>943</v>
      </c>
      <c r="M443" s="220" t="s">
        <v>923</v>
      </c>
      <c r="N443" s="190">
        <f t="array" ref="N443">IFERROR(
  INDEX($J$2:$J$543,
    MATCH(A443&amp;TEXT(I443,"yyyy-mm-dd"),
          $A$2:$A$543&amp;TEXT($H$2:$H$543,"yyyy-mm-dd"),
          0)),
"")</f>
        <v>1</v>
      </c>
      <c r="O443" s="210">
        <f t="shared" si="3"/>
        <v>3</v>
      </c>
      <c r="P443" s="210">
        <f t="shared" ref="P443:Q443" si="453">IF(N443="",0,IF(N443&lt;=2,1,IF(N443&lt;=4,2,IF(N443&lt;=5.5,3,4))))</f>
        <v>1</v>
      </c>
      <c r="Q443" s="210">
        <f t="shared" si="453"/>
        <v>2</v>
      </c>
      <c r="R443" s="210" t="str">
        <f t="shared" si="5"/>
        <v>Lv1 → Lv2</v>
      </c>
      <c r="S443" s="210">
        <f t="shared" si="6"/>
        <v>0</v>
      </c>
      <c r="T443" s="210"/>
      <c r="U443" s="210"/>
      <c r="V443" s="210"/>
      <c r="W443" s="210"/>
      <c r="X443" s="210"/>
      <c r="Y443" s="210"/>
      <c r="Z443" s="210"/>
      <c r="AA443" s="210"/>
      <c r="AB443" s="210"/>
      <c r="AC443" s="210"/>
      <c r="AD443" s="210"/>
      <c r="AE443" s="210"/>
      <c r="AF443" s="210"/>
      <c r="AG443" s="210"/>
      <c r="AH443" s="210"/>
      <c r="AI443" s="210"/>
      <c r="AJ443" s="210"/>
      <c r="AK443" s="210"/>
      <c r="AL443" s="210"/>
      <c r="AM443" s="214"/>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c r="BU443" s="210"/>
      <c r="BV443" s="210"/>
      <c r="BW443" s="210"/>
      <c r="BX443" s="210"/>
      <c r="BY443" s="210"/>
      <c r="BZ443" s="210"/>
      <c r="CA443" s="210"/>
      <c r="CB443" s="210"/>
      <c r="CC443" s="210"/>
      <c r="CD443" s="210"/>
      <c r="CE443" s="210"/>
      <c r="CF443" s="210"/>
      <c r="CG443" s="210"/>
      <c r="CH443" s="210"/>
      <c r="CI443" s="210"/>
      <c r="CJ443" s="210"/>
      <c r="CK443" s="210"/>
    </row>
    <row r="444">
      <c r="A444" s="222" t="s">
        <v>461</v>
      </c>
      <c r="B444" s="190" t="s">
        <v>462</v>
      </c>
      <c r="C444" s="223" t="s">
        <v>88</v>
      </c>
      <c r="D444" s="223" t="s">
        <v>881</v>
      </c>
      <c r="E444" s="190" t="s">
        <v>21</v>
      </c>
      <c r="F444" s="13" t="s">
        <v>927</v>
      </c>
      <c r="G444" s="13" t="s">
        <v>935</v>
      </c>
      <c r="H444" s="219">
        <f>IFERROR(
  MINIFS(ATTENDANCE_LOG!$F:$F,
         ATTENDANCE_LOG!$A:$A, C444,
         ATTENDANCE_LOG!$B:$B, E444),
"")</f>
        <v>45882.54167</v>
      </c>
      <c r="I444" s="219">
        <f t="shared" si="2"/>
        <v>45715.45833</v>
      </c>
      <c r="J444" s="190">
        <f>IFERROR(VLOOKUP(F444, LEVEL_HELPER!$A:$B, 2, 0), "")</f>
        <v>1</v>
      </c>
      <c r="K444" s="190">
        <f>IFERROR(VLOOKUP(G444, LEVEL_HELPER!$A:$B, 2, 0), "")</f>
        <v>3.5</v>
      </c>
      <c r="L444" s="220" t="s">
        <v>919</v>
      </c>
      <c r="M444" s="220" t="s">
        <v>923</v>
      </c>
      <c r="N444" s="190">
        <f t="array" ref="N444">IFERROR(
  INDEX($J$2:$J$543,
    MATCH(A444&amp;TEXT(I444,"yyyy-mm-dd"),
          $A$2:$A$543&amp;TEXT($H$2:$H$543,"yyyy-mm-dd"),
          0)),
"")</f>
        <v>1</v>
      </c>
      <c r="O444" s="210">
        <f t="shared" si="3"/>
        <v>3.5</v>
      </c>
      <c r="P444" s="210">
        <f t="shared" ref="P444:Q444" si="454">IF(N444="",0,IF(N444&lt;=2,1,IF(N444&lt;=4,2,IF(N444&lt;=5.5,3,4))))</f>
        <v>1</v>
      </c>
      <c r="Q444" s="210">
        <f t="shared" si="454"/>
        <v>2</v>
      </c>
      <c r="R444" s="210" t="str">
        <f t="shared" si="5"/>
        <v>Lv1 → Lv2</v>
      </c>
      <c r="S444" s="210">
        <f t="shared" si="6"/>
        <v>0</v>
      </c>
      <c r="T444" s="210"/>
      <c r="U444" s="210"/>
      <c r="V444" s="210"/>
      <c r="W444" s="210"/>
      <c r="X444" s="210"/>
      <c r="Y444" s="210"/>
      <c r="Z444" s="210"/>
      <c r="AA444" s="210"/>
      <c r="AB444" s="210"/>
      <c r="AC444" s="210"/>
      <c r="AD444" s="210"/>
      <c r="AE444" s="210"/>
      <c r="AF444" s="210"/>
      <c r="AG444" s="210"/>
      <c r="AH444" s="210"/>
      <c r="AI444" s="210"/>
      <c r="AJ444" s="210"/>
      <c r="AK444" s="210"/>
      <c r="AL444" s="210"/>
      <c r="AM444" s="214"/>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c r="BU444" s="210"/>
      <c r="BV444" s="210"/>
      <c r="BW444" s="210"/>
      <c r="BX444" s="210"/>
      <c r="BY444" s="210"/>
      <c r="BZ444" s="210"/>
      <c r="CA444" s="210"/>
      <c r="CB444" s="210"/>
      <c r="CC444" s="210"/>
      <c r="CD444" s="210"/>
      <c r="CE444" s="210"/>
      <c r="CF444" s="210"/>
      <c r="CG444" s="210"/>
      <c r="CH444" s="210"/>
      <c r="CI444" s="210"/>
      <c r="CJ444" s="210"/>
      <c r="CK444" s="210"/>
    </row>
    <row r="445">
      <c r="A445" s="222" t="s">
        <v>669</v>
      </c>
      <c r="B445" s="190" t="s">
        <v>670</v>
      </c>
      <c r="C445" s="223" t="s">
        <v>88</v>
      </c>
      <c r="D445" s="223" t="s">
        <v>881</v>
      </c>
      <c r="E445" s="190" t="s">
        <v>21</v>
      </c>
      <c r="F445" s="13" t="s">
        <v>917</v>
      </c>
      <c r="G445" s="190"/>
      <c r="H445" s="219">
        <f>IFERROR(
  MINIFS(ATTENDANCE_LOG!$F:$F,
         ATTENDANCE_LOG!$A:$A, C445,
         ATTENDANCE_LOG!$B:$B, E445),
"")</f>
        <v>45882.54167</v>
      </c>
      <c r="I445" s="219">
        <f t="shared" si="2"/>
        <v>45882.54167</v>
      </c>
      <c r="J445" s="190">
        <f>IFERROR(VLOOKUP(F445, LEVEL_HELPER!$A:$B, 2, 0), "")</f>
        <v>2.5</v>
      </c>
      <c r="K445" s="190" t="str">
        <f>IFERROR(VLOOKUP(G445, LEVEL_HELPER!$A:$B, 2, 0), "")</f>
        <v/>
      </c>
      <c r="L445" s="220" t="s">
        <v>955</v>
      </c>
      <c r="M445" s="220" t="s">
        <v>925</v>
      </c>
      <c r="N445" s="190">
        <f t="array" ref="N445">IFERROR(
  INDEX($J$2:$J$543,
    MATCH(A445&amp;TEXT(I445,"yyyy-mm-dd"),
          $A$2:$A$543&amp;TEXT($H$2:$H$543,"yyyy-mm-dd"),
          0)),
"")</f>
        <v>2.5</v>
      </c>
      <c r="O445" s="210">
        <f t="shared" si="3"/>
        <v>0</v>
      </c>
      <c r="P445" s="210">
        <f t="shared" ref="P445:Q445" si="455">IF(N445="",0,IF(N445&lt;=2,1,IF(N445&lt;=4,2,IF(N445&lt;=5.5,3,4))))</f>
        <v>2</v>
      </c>
      <c r="Q445" s="210">
        <f t="shared" si="455"/>
        <v>1</v>
      </c>
      <c r="R445" s="210" t="str">
        <f t="shared" si="5"/>
        <v>Not tested yet</v>
      </c>
      <c r="S445" s="210">
        <f t="shared" si="6"/>
        <v>1</v>
      </c>
      <c r="T445" s="210"/>
      <c r="U445" s="210"/>
      <c r="V445" s="210"/>
      <c r="W445" s="210"/>
      <c r="X445" s="210"/>
      <c r="Y445" s="210"/>
      <c r="Z445" s="210"/>
      <c r="AA445" s="210"/>
      <c r="AB445" s="210"/>
      <c r="AC445" s="210"/>
      <c r="AD445" s="210"/>
      <c r="AE445" s="210"/>
      <c r="AF445" s="210"/>
      <c r="AG445" s="210"/>
      <c r="AH445" s="210"/>
      <c r="AI445" s="210"/>
      <c r="AJ445" s="210"/>
      <c r="AK445" s="210"/>
      <c r="AL445" s="210"/>
      <c r="AM445" s="214"/>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c r="BU445" s="210"/>
      <c r="BV445" s="210"/>
      <c r="BW445" s="210"/>
      <c r="BX445" s="210"/>
      <c r="BY445" s="210"/>
      <c r="BZ445" s="210"/>
      <c r="CA445" s="210"/>
      <c r="CB445" s="210"/>
      <c r="CC445" s="210"/>
      <c r="CD445" s="210"/>
      <c r="CE445" s="210"/>
      <c r="CF445" s="210"/>
      <c r="CG445" s="210"/>
      <c r="CH445" s="210"/>
      <c r="CI445" s="210"/>
      <c r="CJ445" s="210"/>
      <c r="CK445" s="210"/>
    </row>
    <row r="446">
      <c r="A446" s="222" t="s">
        <v>681</v>
      </c>
      <c r="B446" s="190" t="s">
        <v>682</v>
      </c>
      <c r="C446" s="223" t="s">
        <v>88</v>
      </c>
      <c r="D446" s="223" t="s">
        <v>881</v>
      </c>
      <c r="E446" s="190" t="s">
        <v>21</v>
      </c>
      <c r="F446" s="13" t="s">
        <v>927</v>
      </c>
      <c r="G446" s="13" t="s">
        <v>918</v>
      </c>
      <c r="H446" s="219">
        <f>IFERROR(
  MINIFS(ATTENDANCE_LOG!$F:$F,
         ATTENDANCE_LOG!$A:$A, C446,
         ATTENDANCE_LOG!$B:$B, E446),
"")</f>
        <v>45882.54167</v>
      </c>
      <c r="I446" s="219">
        <f t="shared" si="2"/>
        <v>45764.45833</v>
      </c>
      <c r="J446" s="190">
        <f>IFERROR(VLOOKUP(F446, LEVEL_HELPER!$A:$B, 2, 0), "")</f>
        <v>1</v>
      </c>
      <c r="K446" s="190">
        <f>IFERROR(VLOOKUP(G446, LEVEL_HELPER!$A:$B, 2, 0), "")</f>
        <v>3</v>
      </c>
      <c r="L446" s="220" t="s">
        <v>943</v>
      </c>
      <c r="M446" s="220" t="s">
        <v>924</v>
      </c>
      <c r="N446" s="190">
        <f t="array" ref="N446">IFERROR(
  INDEX($J$2:$J$543,
    MATCH(A446&amp;TEXT(I446,"yyyy-mm-dd"),
          $A$2:$A$543&amp;TEXT($H$2:$H$543,"yyyy-mm-dd"),
          0)),
"")</f>
        <v>1</v>
      </c>
      <c r="O446" s="210">
        <f t="shared" si="3"/>
        <v>3</v>
      </c>
      <c r="P446" s="210">
        <f t="shared" ref="P446:Q446" si="456">IF(N446="",0,IF(N446&lt;=2,1,IF(N446&lt;=4,2,IF(N446&lt;=5.5,3,4))))</f>
        <v>1</v>
      </c>
      <c r="Q446" s="210">
        <f t="shared" si="456"/>
        <v>2</v>
      </c>
      <c r="R446" s="210" t="str">
        <f t="shared" si="5"/>
        <v>Lv1 → Lv2</v>
      </c>
      <c r="S446" s="210">
        <f t="shared" si="6"/>
        <v>0</v>
      </c>
      <c r="T446" s="210"/>
      <c r="U446" s="210"/>
      <c r="V446" s="210"/>
      <c r="W446" s="210"/>
      <c r="X446" s="210"/>
      <c r="Y446" s="210"/>
      <c r="Z446" s="210"/>
      <c r="AA446" s="210"/>
      <c r="AB446" s="210"/>
      <c r="AC446" s="210"/>
      <c r="AD446" s="210"/>
      <c r="AE446" s="210"/>
      <c r="AF446" s="210"/>
      <c r="AG446" s="210"/>
      <c r="AH446" s="210"/>
      <c r="AI446" s="210"/>
      <c r="AJ446" s="210"/>
      <c r="AK446" s="210"/>
      <c r="AL446" s="210"/>
      <c r="AM446" s="214"/>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c r="BU446" s="210"/>
      <c r="BV446" s="210"/>
      <c r="BW446" s="210"/>
      <c r="BX446" s="210"/>
      <c r="BY446" s="210"/>
      <c r="BZ446" s="210"/>
      <c r="CA446" s="210"/>
      <c r="CB446" s="210"/>
      <c r="CC446" s="210"/>
      <c r="CD446" s="210"/>
      <c r="CE446" s="210"/>
      <c r="CF446" s="210"/>
      <c r="CG446" s="210"/>
      <c r="CH446" s="210"/>
      <c r="CI446" s="210"/>
      <c r="CJ446" s="210"/>
      <c r="CK446" s="210"/>
    </row>
    <row r="447">
      <c r="A447" s="222" t="s">
        <v>685</v>
      </c>
      <c r="B447" s="190" t="s">
        <v>686</v>
      </c>
      <c r="C447" s="223" t="s">
        <v>88</v>
      </c>
      <c r="D447" s="223" t="s">
        <v>881</v>
      </c>
      <c r="E447" s="190" t="s">
        <v>21</v>
      </c>
      <c r="F447" s="13" t="s">
        <v>927</v>
      </c>
      <c r="G447" s="13" t="s">
        <v>929</v>
      </c>
      <c r="H447" s="219">
        <f>IFERROR(
  MINIFS(ATTENDANCE_LOG!$F:$F,
         ATTENDANCE_LOG!$A:$A, C447,
         ATTENDANCE_LOG!$B:$B, E447),
"")</f>
        <v>45882.54167</v>
      </c>
      <c r="I447" s="219">
        <f t="shared" si="2"/>
        <v>45763.54167</v>
      </c>
      <c r="J447" s="190">
        <f>IFERROR(VLOOKUP(F447, LEVEL_HELPER!$A:$B, 2, 0), "")</f>
        <v>1</v>
      </c>
      <c r="K447" s="190">
        <f>IFERROR(VLOOKUP(G447, LEVEL_HELPER!$A:$B, 2, 0), "")</f>
        <v>1.5</v>
      </c>
      <c r="L447" s="220" t="s">
        <v>943</v>
      </c>
      <c r="M447" s="220" t="s">
        <v>923</v>
      </c>
      <c r="N447" s="190">
        <f t="array" ref="N447">IFERROR(
  INDEX($J$2:$J$543,
    MATCH(A447&amp;TEXT(I447,"yyyy-mm-dd"),
          $A$2:$A$543&amp;TEXT($H$2:$H$543,"yyyy-mm-dd"),
          0)),
"")</f>
        <v>1</v>
      </c>
      <c r="O447" s="210">
        <f t="shared" si="3"/>
        <v>1.5</v>
      </c>
      <c r="P447" s="210">
        <f t="shared" ref="P447:Q447" si="457">IF(N447="",0,IF(N447&lt;=2,1,IF(N447&lt;=4,2,IF(N447&lt;=5.5,3,4))))</f>
        <v>1</v>
      </c>
      <c r="Q447" s="210">
        <f t="shared" si="457"/>
        <v>1</v>
      </c>
      <c r="R447" s="210" t="str">
        <f t="shared" si="5"/>
        <v>Progress within level</v>
      </c>
      <c r="S447" s="210">
        <f t="shared" si="6"/>
        <v>0</v>
      </c>
      <c r="T447" s="210"/>
      <c r="U447" s="210"/>
      <c r="V447" s="210"/>
      <c r="W447" s="210"/>
      <c r="X447" s="210"/>
      <c r="Y447" s="210"/>
      <c r="Z447" s="210"/>
      <c r="AA447" s="210"/>
      <c r="AB447" s="210"/>
      <c r="AC447" s="210"/>
      <c r="AD447" s="210"/>
      <c r="AE447" s="210"/>
      <c r="AF447" s="210"/>
      <c r="AG447" s="210"/>
      <c r="AH447" s="210"/>
      <c r="AI447" s="210"/>
      <c r="AJ447" s="210"/>
      <c r="AK447" s="210"/>
      <c r="AL447" s="210"/>
      <c r="AM447" s="214"/>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c r="BU447" s="210"/>
      <c r="BV447" s="210"/>
      <c r="BW447" s="210"/>
      <c r="BX447" s="210"/>
      <c r="BY447" s="210"/>
      <c r="BZ447" s="210"/>
      <c r="CA447" s="210"/>
      <c r="CB447" s="210"/>
      <c r="CC447" s="210"/>
      <c r="CD447" s="210"/>
      <c r="CE447" s="210"/>
      <c r="CF447" s="210"/>
      <c r="CG447" s="210"/>
      <c r="CH447" s="210"/>
      <c r="CI447" s="210"/>
      <c r="CJ447" s="210"/>
      <c r="CK447" s="210"/>
    </row>
    <row r="448">
      <c r="A448" s="222" t="s">
        <v>709</v>
      </c>
      <c r="B448" s="190" t="s">
        <v>710</v>
      </c>
      <c r="C448" s="223" t="s">
        <v>88</v>
      </c>
      <c r="D448" s="223" t="s">
        <v>881</v>
      </c>
      <c r="E448" s="190" t="s">
        <v>21</v>
      </c>
      <c r="F448" s="13" t="s">
        <v>918</v>
      </c>
      <c r="G448" s="13" t="s">
        <v>935</v>
      </c>
      <c r="H448" s="219">
        <f>IFERROR(
  MINIFS(ATTENDANCE_LOG!$F:$F,
         ATTENDANCE_LOG!$A:$A, C448,
         ATTENDANCE_LOG!$B:$B, E448),
"")</f>
        <v>45882.54167</v>
      </c>
      <c r="I448" s="219">
        <f t="shared" si="2"/>
        <v>45763.54167</v>
      </c>
      <c r="J448" s="190">
        <f>IFERROR(VLOOKUP(F448, LEVEL_HELPER!$A:$B, 2, 0), "")</f>
        <v>3</v>
      </c>
      <c r="K448" s="190">
        <f>IFERROR(VLOOKUP(G448, LEVEL_HELPER!$A:$B, 2, 0), "")</f>
        <v>3.5</v>
      </c>
      <c r="L448" s="220" t="s">
        <v>943</v>
      </c>
      <c r="M448" s="220" t="s">
        <v>923</v>
      </c>
      <c r="N448" s="190">
        <f t="array" ref="N448">IFERROR(
  INDEX($J$2:$J$543,
    MATCH(A448&amp;TEXT(I448,"yyyy-mm-dd"),
          $A$2:$A$543&amp;TEXT($H$2:$H$543,"yyyy-mm-dd"),
          0)),
"")</f>
        <v>1</v>
      </c>
      <c r="O448" s="210">
        <f t="shared" si="3"/>
        <v>3.5</v>
      </c>
      <c r="P448" s="210">
        <f t="shared" ref="P448:Q448" si="458">IF(N448="",0,IF(N448&lt;=2,1,IF(N448&lt;=4,2,IF(N448&lt;=5.5,3,4))))</f>
        <v>1</v>
      </c>
      <c r="Q448" s="210">
        <f t="shared" si="458"/>
        <v>2</v>
      </c>
      <c r="R448" s="210" t="str">
        <f t="shared" si="5"/>
        <v>Lv1 → Lv2</v>
      </c>
      <c r="S448" s="210">
        <f t="shared" si="6"/>
        <v>0</v>
      </c>
      <c r="T448" s="210"/>
      <c r="U448" s="210"/>
      <c r="V448" s="210"/>
      <c r="W448" s="210"/>
      <c r="X448" s="210"/>
      <c r="Y448" s="210"/>
      <c r="Z448" s="210"/>
      <c r="AA448" s="210"/>
      <c r="AB448" s="210"/>
      <c r="AC448" s="210"/>
      <c r="AD448" s="210"/>
      <c r="AE448" s="210"/>
      <c r="AF448" s="210"/>
      <c r="AG448" s="210"/>
      <c r="AH448" s="210"/>
      <c r="AI448" s="210"/>
      <c r="AJ448" s="210"/>
      <c r="AK448" s="210"/>
      <c r="AL448" s="210"/>
      <c r="AM448" s="214"/>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c r="BU448" s="210"/>
      <c r="BV448" s="210"/>
      <c r="BW448" s="210"/>
      <c r="BX448" s="210"/>
      <c r="BY448" s="210"/>
      <c r="BZ448" s="210"/>
      <c r="CA448" s="210"/>
      <c r="CB448" s="210"/>
      <c r="CC448" s="210"/>
      <c r="CD448" s="210"/>
      <c r="CE448" s="210"/>
      <c r="CF448" s="210"/>
      <c r="CG448" s="210"/>
      <c r="CH448" s="210"/>
      <c r="CI448" s="210"/>
      <c r="CJ448" s="210"/>
      <c r="CK448" s="210"/>
    </row>
    <row r="449">
      <c r="A449" s="216" t="s">
        <v>574</v>
      </c>
      <c r="B449" s="217" t="s">
        <v>575</v>
      </c>
      <c r="C449" s="218" t="s">
        <v>89</v>
      </c>
      <c r="D449" s="218" t="s">
        <v>882</v>
      </c>
      <c r="E449" s="217" t="s">
        <v>26</v>
      </c>
      <c r="F449" s="242" t="s">
        <v>25</v>
      </c>
      <c r="G449" s="217"/>
      <c r="H449" s="219">
        <f>IFERROR(
  MINIFS(ATTENDANCE_LOG!$F:$F,
         ATTENDANCE_LOG!$A:$A, C449,
         ATTENDANCE_LOG!$B:$B, E449),
"")</f>
        <v>46126.58333</v>
      </c>
      <c r="I449" s="219">
        <f t="shared" si="2"/>
        <v>45916.45833</v>
      </c>
      <c r="J449" s="217">
        <f>IFERROR(VLOOKUP(F449, LEVEL_HELPER!$A:$B, 2, 0), "")</f>
        <v>0.5</v>
      </c>
      <c r="K449" s="217" t="str">
        <f>IFERROR(VLOOKUP(G449, LEVEL_HELPER!$A:$B, 2, 0), "")</f>
        <v/>
      </c>
      <c r="L449" s="247" t="s">
        <v>931</v>
      </c>
      <c r="M449" s="247" t="s">
        <v>926</v>
      </c>
      <c r="N449" s="190">
        <f t="array" ref="N449">IFERROR(
  INDEX($J$2:$J$543,
    MATCH(A449&amp;TEXT(I449,"yyyy-mm-dd"),
          $A$2:$A$543&amp;TEXT($H$2:$H$543,"yyyy-mm-dd"),
          0)),
"")</f>
        <v>0.5</v>
      </c>
      <c r="O449" s="248">
        <f t="shared" si="3"/>
        <v>0.5</v>
      </c>
      <c r="P449" s="210">
        <f t="shared" ref="P449:Q449" si="459">IF(N449="",0,IF(N449&lt;=2,1,IF(N449&lt;=4,2,IF(N449&lt;=5.5,3,4))))</f>
        <v>1</v>
      </c>
      <c r="Q449" s="210">
        <f t="shared" si="459"/>
        <v>1</v>
      </c>
      <c r="R449" s="210" t="str">
        <f t="shared" si="5"/>
        <v>No Progress</v>
      </c>
      <c r="S449" s="210">
        <f t="shared" si="6"/>
        <v>1</v>
      </c>
      <c r="T449" s="210"/>
      <c r="U449" s="210"/>
      <c r="V449" s="210"/>
      <c r="W449" s="210"/>
      <c r="X449" s="210"/>
      <c r="Y449" s="210"/>
      <c r="Z449" s="210"/>
      <c r="AA449" s="210"/>
      <c r="AB449" s="210"/>
      <c r="AC449" s="210"/>
      <c r="AD449" s="210"/>
      <c r="AE449" s="210"/>
      <c r="AF449" s="210"/>
      <c r="AG449" s="210"/>
      <c r="AH449" s="210"/>
      <c r="AI449" s="210"/>
      <c r="AJ449" s="210"/>
      <c r="AK449" s="210"/>
      <c r="AL449" s="210"/>
      <c r="AM449" s="214"/>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c r="BU449" s="210"/>
      <c r="BV449" s="210"/>
      <c r="BW449" s="210"/>
      <c r="BX449" s="210"/>
      <c r="BY449" s="210"/>
      <c r="BZ449" s="210"/>
      <c r="CA449" s="210"/>
      <c r="CB449" s="210"/>
      <c r="CC449" s="210"/>
      <c r="CD449" s="210"/>
      <c r="CE449" s="210"/>
      <c r="CF449" s="210"/>
      <c r="CG449" s="210"/>
      <c r="CH449" s="210"/>
      <c r="CI449" s="210"/>
      <c r="CJ449" s="210"/>
      <c r="CK449" s="210"/>
    </row>
    <row r="450">
      <c r="A450" s="222" t="s">
        <v>545</v>
      </c>
      <c r="B450" s="190" t="s">
        <v>546</v>
      </c>
      <c r="C450" s="223" t="s">
        <v>89</v>
      </c>
      <c r="D450" s="223" t="s">
        <v>882</v>
      </c>
      <c r="E450" s="190" t="s">
        <v>26</v>
      </c>
      <c r="F450" s="13" t="s">
        <v>25</v>
      </c>
      <c r="G450" s="190"/>
      <c r="H450" s="219">
        <f>IFERROR(
  MINIFS(ATTENDANCE_LOG!$F:$F,
         ATTENDANCE_LOG!$A:$A, C450,
         ATTENDANCE_LOG!$B:$B, E450),
"")</f>
        <v>46126.58333</v>
      </c>
      <c r="I450" s="219">
        <f t="shared" si="2"/>
        <v>45916.45833</v>
      </c>
      <c r="J450" s="190">
        <f>IFERROR(VLOOKUP(F450, LEVEL_HELPER!$A:$B, 2, 0), "")</f>
        <v>0.5</v>
      </c>
      <c r="K450" s="190" t="str">
        <f>IFERROR(VLOOKUP(G450, LEVEL_HELPER!$A:$B, 2, 0), "")</f>
        <v/>
      </c>
      <c r="L450" s="220" t="s">
        <v>931</v>
      </c>
      <c r="M450" s="220" t="s">
        <v>920</v>
      </c>
      <c r="N450" s="190">
        <f t="array" ref="N450">IFERROR(
  INDEX($J$2:$J$543,
    MATCH(A450&amp;TEXT(I450,"yyyy-mm-dd"),
          $A$2:$A$543&amp;TEXT($H$2:$H$543,"yyyy-mm-dd"),
          0)),
"")</f>
        <v>0.5</v>
      </c>
      <c r="O450" s="210">
        <f t="shared" si="3"/>
        <v>0.5</v>
      </c>
      <c r="P450" s="210">
        <f t="shared" ref="P450:Q450" si="460">IF(N450="",0,IF(N450&lt;=2,1,IF(N450&lt;=4,2,IF(N450&lt;=5.5,3,4))))</f>
        <v>1</v>
      </c>
      <c r="Q450" s="210">
        <f t="shared" si="460"/>
        <v>1</v>
      </c>
      <c r="R450" s="210" t="str">
        <f t="shared" si="5"/>
        <v>No Progress</v>
      </c>
      <c r="S450" s="210">
        <f t="shared" si="6"/>
        <v>1</v>
      </c>
      <c r="T450" s="210"/>
      <c r="U450" s="210"/>
      <c r="V450" s="210"/>
      <c r="W450" s="210"/>
      <c r="X450" s="210"/>
      <c r="Y450" s="210"/>
      <c r="Z450" s="210"/>
      <c r="AA450" s="210"/>
      <c r="AB450" s="210"/>
      <c r="AC450" s="210"/>
      <c r="AD450" s="210"/>
      <c r="AE450" s="210"/>
      <c r="AF450" s="210"/>
      <c r="AG450" s="210"/>
      <c r="AH450" s="210"/>
      <c r="AI450" s="210"/>
      <c r="AJ450" s="210"/>
      <c r="AK450" s="210"/>
      <c r="AL450" s="210"/>
      <c r="AM450" s="214"/>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c r="BU450" s="210"/>
      <c r="BV450" s="210"/>
      <c r="BW450" s="210"/>
      <c r="BX450" s="210"/>
      <c r="BY450" s="210"/>
      <c r="BZ450" s="210"/>
      <c r="CA450" s="210"/>
      <c r="CB450" s="210"/>
      <c r="CC450" s="210"/>
      <c r="CD450" s="210"/>
      <c r="CE450" s="210"/>
      <c r="CF450" s="210"/>
      <c r="CG450" s="210"/>
      <c r="CH450" s="210"/>
      <c r="CI450" s="210"/>
      <c r="CJ450" s="210"/>
      <c r="CK450" s="210"/>
    </row>
    <row r="451">
      <c r="A451" s="222" t="s">
        <v>558</v>
      </c>
      <c r="B451" s="190" t="s">
        <v>559</v>
      </c>
      <c r="C451" s="223" t="s">
        <v>89</v>
      </c>
      <c r="D451" s="223" t="s">
        <v>882</v>
      </c>
      <c r="E451" s="190" t="s">
        <v>26</v>
      </c>
      <c r="F451" s="13" t="s">
        <v>25</v>
      </c>
      <c r="G451" s="190"/>
      <c r="H451" s="219">
        <f>IFERROR(
  MINIFS(ATTENDANCE_LOG!$F:$F,
         ATTENDANCE_LOG!$A:$A, C451,
         ATTENDANCE_LOG!$B:$B, E451),
"")</f>
        <v>46126.58333</v>
      </c>
      <c r="I451" s="219">
        <f t="shared" si="2"/>
        <v>45916.45833</v>
      </c>
      <c r="J451" s="190">
        <f>IFERROR(VLOOKUP(F451, LEVEL_HELPER!$A:$B, 2, 0), "")</f>
        <v>0.5</v>
      </c>
      <c r="K451" s="190" t="str">
        <f>IFERROR(VLOOKUP(G451, LEVEL_HELPER!$A:$B, 2, 0), "")</f>
        <v/>
      </c>
      <c r="L451" s="220" t="s">
        <v>931</v>
      </c>
      <c r="M451" s="220" t="s">
        <v>920</v>
      </c>
      <c r="N451" s="190">
        <f t="array" ref="N451">IFERROR(
  INDEX($J$2:$J$543,
    MATCH(A451&amp;TEXT(I451,"yyyy-mm-dd"),
          $A$2:$A$543&amp;TEXT($H$2:$H$543,"yyyy-mm-dd"),
          0)),
"")</f>
        <v>0.5</v>
      </c>
      <c r="O451" s="210">
        <f t="shared" si="3"/>
        <v>0.5</v>
      </c>
      <c r="P451" s="210">
        <f t="shared" ref="P451:Q451" si="461">IF(N451="",0,IF(N451&lt;=2,1,IF(N451&lt;=4,2,IF(N451&lt;=5.5,3,4))))</f>
        <v>1</v>
      </c>
      <c r="Q451" s="210">
        <f t="shared" si="461"/>
        <v>1</v>
      </c>
      <c r="R451" s="210" t="str">
        <f t="shared" si="5"/>
        <v>No Progress</v>
      </c>
      <c r="S451" s="210">
        <f t="shared" si="6"/>
        <v>1</v>
      </c>
      <c r="T451" s="210"/>
      <c r="U451" s="210"/>
      <c r="V451" s="210"/>
      <c r="W451" s="210"/>
      <c r="X451" s="210"/>
      <c r="Y451" s="210"/>
      <c r="Z451" s="210"/>
      <c r="AA451" s="210"/>
      <c r="AB451" s="210"/>
      <c r="AC451" s="210"/>
      <c r="AD451" s="210"/>
      <c r="AE451" s="210"/>
      <c r="AF451" s="210"/>
      <c r="AG451" s="210"/>
      <c r="AH451" s="210"/>
      <c r="AI451" s="210"/>
      <c r="AJ451" s="210"/>
      <c r="AK451" s="210"/>
      <c r="AL451" s="210"/>
      <c r="AM451" s="214"/>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c r="BU451" s="210"/>
      <c r="BV451" s="210"/>
      <c r="BW451" s="210"/>
      <c r="BX451" s="210"/>
      <c r="BY451" s="210"/>
      <c r="BZ451" s="210"/>
      <c r="CA451" s="210"/>
      <c r="CB451" s="210"/>
      <c r="CC451" s="210"/>
      <c r="CD451" s="210"/>
      <c r="CE451" s="210"/>
      <c r="CF451" s="210"/>
      <c r="CG451" s="210"/>
      <c r="CH451" s="210"/>
      <c r="CI451" s="210"/>
      <c r="CJ451" s="210"/>
      <c r="CK451" s="210"/>
    </row>
    <row r="452">
      <c r="A452" s="216" t="s">
        <v>574</v>
      </c>
      <c r="B452" s="217" t="s">
        <v>575</v>
      </c>
      <c r="C452" s="218" t="s">
        <v>89</v>
      </c>
      <c r="D452" s="218" t="s">
        <v>882</v>
      </c>
      <c r="E452" s="217" t="s">
        <v>25</v>
      </c>
      <c r="F452" s="242" t="s">
        <v>25</v>
      </c>
      <c r="G452" s="242" t="s">
        <v>25</v>
      </c>
      <c r="H452" s="219">
        <f>IFERROR(
  MINIFS(ATTENDANCE_LOG!$F:$F,
         ATTENDANCE_LOG!$A:$A, C452,
         ATTENDANCE_LOG!$B:$B, E452),
"")</f>
        <v>45916.45833</v>
      </c>
      <c r="I452" s="219">
        <f t="shared" si="2"/>
        <v>45916.45833</v>
      </c>
      <c r="J452" s="217">
        <f>IFERROR(VLOOKUP(F452, LEVEL_HELPER!$A:$B, 2, 0), "")</f>
        <v>0.5</v>
      </c>
      <c r="K452" s="217">
        <f>IFERROR(VLOOKUP(G452, LEVEL_HELPER!$A:$B, 2, 0), "")</f>
        <v>0.5</v>
      </c>
      <c r="L452" s="247" t="s">
        <v>931</v>
      </c>
      <c r="M452" s="247" t="s">
        <v>926</v>
      </c>
      <c r="N452" s="190">
        <f t="array" ref="N452">IFERROR(
  INDEX($J$2:$J$543,
    MATCH(A452&amp;TEXT(I452,"yyyy-mm-dd"),
          $A$2:$A$543&amp;TEXT($H$2:$H$543,"yyyy-mm-dd"),
          0)),
"")</f>
        <v>0.5</v>
      </c>
      <c r="O452" s="248">
        <f t="shared" si="3"/>
        <v>0.5</v>
      </c>
      <c r="P452" s="210">
        <f t="shared" ref="P452:Q452" si="462">IF(N452="",0,IF(N452&lt;=2,1,IF(N452&lt;=4,2,IF(N452&lt;=5.5,3,4))))</f>
        <v>1</v>
      </c>
      <c r="Q452" s="210">
        <f t="shared" si="462"/>
        <v>1</v>
      </c>
      <c r="R452" s="210" t="str">
        <f t="shared" si="5"/>
        <v>No Progress</v>
      </c>
      <c r="S452" s="210">
        <f t="shared" si="6"/>
        <v>0</v>
      </c>
      <c r="T452" s="210"/>
      <c r="U452" s="210"/>
      <c r="V452" s="210"/>
      <c r="W452" s="210"/>
      <c r="X452" s="210"/>
      <c r="Y452" s="210"/>
      <c r="Z452" s="210"/>
      <c r="AA452" s="210"/>
      <c r="AB452" s="210"/>
      <c r="AC452" s="210"/>
      <c r="AD452" s="210"/>
      <c r="AE452" s="210"/>
      <c r="AF452" s="210"/>
      <c r="AG452" s="210"/>
      <c r="AH452" s="210"/>
      <c r="AI452" s="210"/>
      <c r="AJ452" s="210"/>
      <c r="AK452" s="210"/>
      <c r="AL452" s="210"/>
      <c r="AM452" s="214"/>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c r="BU452" s="210"/>
      <c r="BV452" s="210"/>
      <c r="BW452" s="210"/>
      <c r="BX452" s="210"/>
      <c r="BY452" s="210"/>
      <c r="BZ452" s="210"/>
      <c r="CA452" s="210"/>
      <c r="CB452" s="210"/>
      <c r="CC452" s="210"/>
      <c r="CD452" s="210"/>
      <c r="CE452" s="210"/>
      <c r="CF452" s="210"/>
      <c r="CG452" s="210"/>
      <c r="CH452" s="210"/>
      <c r="CI452" s="210"/>
      <c r="CJ452" s="210"/>
      <c r="CK452" s="210"/>
    </row>
    <row r="453">
      <c r="A453" s="222" t="s">
        <v>161</v>
      </c>
      <c r="B453" s="190" t="s">
        <v>162</v>
      </c>
      <c r="C453" s="223" t="s">
        <v>89</v>
      </c>
      <c r="D453" s="223" t="s">
        <v>882</v>
      </c>
      <c r="E453" s="190" t="s">
        <v>25</v>
      </c>
      <c r="F453" s="13" t="s">
        <v>25</v>
      </c>
      <c r="G453" s="13" t="s">
        <v>25</v>
      </c>
      <c r="H453" s="219">
        <f>IFERROR(
  MINIFS(ATTENDANCE_LOG!$F:$F,
         ATTENDANCE_LOG!$A:$A, C453,
         ATTENDANCE_LOG!$B:$B, E453),
"")</f>
        <v>45916.45833</v>
      </c>
      <c r="I453" s="219">
        <f t="shared" si="2"/>
        <v>45916.45833</v>
      </c>
      <c r="J453" s="190">
        <f>IFERROR(VLOOKUP(F453, LEVEL_HELPER!$A:$B, 2, 0), "")</f>
        <v>0.5</v>
      </c>
      <c r="K453" s="190">
        <f>IFERROR(VLOOKUP(G453, LEVEL_HELPER!$A:$B, 2, 0), "")</f>
        <v>0.5</v>
      </c>
      <c r="L453" s="220" t="s">
        <v>943</v>
      </c>
      <c r="M453" s="220" t="s">
        <v>924</v>
      </c>
      <c r="N453" s="190">
        <f t="array" ref="N453">IFERROR(
  INDEX($J$2:$J$543,
    MATCH(A453&amp;TEXT(I453,"yyyy-mm-dd"),
          $A$2:$A$543&amp;TEXT($H$2:$H$543,"yyyy-mm-dd"),
          0)),
"")</f>
        <v>0.5</v>
      </c>
      <c r="O453" s="210">
        <f t="shared" si="3"/>
        <v>0.5</v>
      </c>
      <c r="P453" s="210">
        <f t="shared" ref="P453:Q453" si="463">IF(N453="",0,IF(N453&lt;=2,1,IF(N453&lt;=4,2,IF(N453&lt;=5.5,3,4))))</f>
        <v>1</v>
      </c>
      <c r="Q453" s="210">
        <f t="shared" si="463"/>
        <v>1</v>
      </c>
      <c r="R453" s="210" t="str">
        <f t="shared" si="5"/>
        <v>No Progress</v>
      </c>
      <c r="S453" s="210">
        <f t="shared" si="6"/>
        <v>1</v>
      </c>
      <c r="T453" s="210"/>
      <c r="U453" s="210"/>
      <c r="V453" s="210"/>
      <c r="W453" s="210"/>
      <c r="X453" s="210"/>
      <c r="Y453" s="210"/>
      <c r="Z453" s="210"/>
      <c r="AA453" s="210"/>
      <c r="AB453" s="210"/>
      <c r="AC453" s="210"/>
      <c r="AD453" s="210"/>
      <c r="AE453" s="210"/>
      <c r="AF453" s="210"/>
      <c r="AG453" s="210"/>
      <c r="AH453" s="210"/>
      <c r="AI453" s="210"/>
      <c r="AJ453" s="210"/>
      <c r="AK453" s="210"/>
      <c r="AL453" s="210"/>
      <c r="AM453" s="214"/>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c r="BU453" s="210"/>
      <c r="BV453" s="210"/>
      <c r="BW453" s="210"/>
      <c r="BX453" s="210"/>
      <c r="BY453" s="210"/>
      <c r="BZ453" s="210"/>
      <c r="CA453" s="210"/>
      <c r="CB453" s="210"/>
      <c r="CC453" s="210"/>
      <c r="CD453" s="210"/>
      <c r="CE453" s="210"/>
      <c r="CF453" s="210"/>
      <c r="CG453" s="210"/>
      <c r="CH453" s="210"/>
      <c r="CI453" s="210"/>
      <c r="CJ453" s="210"/>
      <c r="CK453" s="210"/>
    </row>
    <row r="454">
      <c r="A454" s="222" t="s">
        <v>290</v>
      </c>
      <c r="B454" s="190" t="s">
        <v>291</v>
      </c>
      <c r="C454" s="223" t="s">
        <v>89</v>
      </c>
      <c r="D454" s="223" t="s">
        <v>882</v>
      </c>
      <c r="E454" s="190" t="s">
        <v>25</v>
      </c>
      <c r="F454" s="13" t="s">
        <v>25</v>
      </c>
      <c r="G454" s="13" t="s">
        <v>25</v>
      </c>
      <c r="H454" s="219">
        <f>IFERROR(
  MINIFS(ATTENDANCE_LOG!$F:$F,
         ATTENDANCE_LOG!$A:$A, C454,
         ATTENDANCE_LOG!$B:$B, E454),
"")</f>
        <v>45916.45833</v>
      </c>
      <c r="I454" s="219">
        <f t="shared" si="2"/>
        <v>45916.45833</v>
      </c>
      <c r="J454" s="190">
        <f>IFERROR(VLOOKUP(F454, LEVEL_HELPER!$A:$B, 2, 0), "")</f>
        <v>0.5</v>
      </c>
      <c r="K454" s="190">
        <f>IFERROR(VLOOKUP(G454, LEVEL_HELPER!$A:$B, 2, 0), "")</f>
        <v>0.5</v>
      </c>
      <c r="L454" s="220" t="s">
        <v>931</v>
      </c>
      <c r="M454" s="220" t="s">
        <v>920</v>
      </c>
      <c r="N454" s="190">
        <f t="array" ref="N454">IFERROR(
  INDEX($J$2:$J$543,
    MATCH(A454&amp;TEXT(I454,"yyyy-mm-dd"),
          $A$2:$A$543&amp;TEXT($H$2:$H$543,"yyyy-mm-dd"),
          0)),
"")</f>
        <v>0.5</v>
      </c>
      <c r="O454" s="210">
        <f t="shared" si="3"/>
        <v>0.5</v>
      </c>
      <c r="P454" s="210">
        <f t="shared" ref="P454:Q454" si="464">IF(N454="",0,IF(N454&lt;=2,1,IF(N454&lt;=4,2,IF(N454&lt;=5.5,3,4))))</f>
        <v>1</v>
      </c>
      <c r="Q454" s="210">
        <f t="shared" si="464"/>
        <v>1</v>
      </c>
      <c r="R454" s="210" t="str">
        <f t="shared" si="5"/>
        <v>No Progress</v>
      </c>
      <c r="S454" s="210">
        <f t="shared" si="6"/>
        <v>1</v>
      </c>
      <c r="T454" s="210"/>
      <c r="U454" s="210"/>
      <c r="V454" s="210"/>
      <c r="W454" s="210"/>
      <c r="X454" s="210"/>
      <c r="Y454" s="210"/>
      <c r="Z454" s="210"/>
      <c r="AA454" s="210"/>
      <c r="AB454" s="210"/>
      <c r="AC454" s="210"/>
      <c r="AD454" s="210"/>
      <c r="AE454" s="210"/>
      <c r="AF454" s="210"/>
      <c r="AG454" s="210"/>
      <c r="AH454" s="210"/>
      <c r="AI454" s="210"/>
      <c r="AJ454" s="210"/>
      <c r="AK454" s="210"/>
      <c r="AL454" s="210"/>
      <c r="AM454" s="214"/>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c r="BU454" s="210"/>
      <c r="BV454" s="210"/>
      <c r="BW454" s="210"/>
      <c r="BX454" s="210"/>
      <c r="BY454" s="210"/>
      <c r="BZ454" s="210"/>
      <c r="CA454" s="210"/>
      <c r="CB454" s="210"/>
      <c r="CC454" s="210"/>
      <c r="CD454" s="210"/>
      <c r="CE454" s="210"/>
      <c r="CF454" s="210"/>
      <c r="CG454" s="210"/>
      <c r="CH454" s="210"/>
      <c r="CI454" s="210"/>
      <c r="CJ454" s="210"/>
      <c r="CK454" s="210"/>
    </row>
    <row r="455">
      <c r="A455" s="222" t="s">
        <v>391</v>
      </c>
      <c r="B455" s="190" t="s">
        <v>392</v>
      </c>
      <c r="C455" s="223" t="s">
        <v>89</v>
      </c>
      <c r="D455" s="223" t="s">
        <v>882</v>
      </c>
      <c r="E455" s="190" t="s">
        <v>25</v>
      </c>
      <c r="F455" s="13" t="s">
        <v>25</v>
      </c>
      <c r="G455" s="13" t="s">
        <v>25</v>
      </c>
      <c r="H455" s="219">
        <f>IFERROR(
  MINIFS(ATTENDANCE_LOG!$F:$F,
         ATTENDANCE_LOG!$A:$A, C455,
         ATTENDANCE_LOG!$B:$B, E455),
"")</f>
        <v>45916.45833</v>
      </c>
      <c r="I455" s="219">
        <f t="shared" si="2"/>
        <v>45916.45833</v>
      </c>
      <c r="J455" s="190">
        <f>IFERROR(VLOOKUP(F455, LEVEL_HELPER!$A:$B, 2, 0), "")</f>
        <v>0.5</v>
      </c>
      <c r="K455" s="190">
        <f>IFERROR(VLOOKUP(G455, LEVEL_HELPER!$A:$B, 2, 0), "")</f>
        <v>0.5</v>
      </c>
      <c r="L455" s="220" t="s">
        <v>931</v>
      </c>
      <c r="M455" s="229" t="s">
        <v>922</v>
      </c>
      <c r="N455" s="190">
        <f t="array" ref="N455">IFERROR(
  INDEX($J$2:$J$543,
    MATCH(A455&amp;TEXT(I455,"yyyy-mm-dd"),
          $A$2:$A$543&amp;TEXT($H$2:$H$543,"yyyy-mm-dd"),
          0)),
"")</f>
        <v>0.5</v>
      </c>
      <c r="O455" s="210">
        <f t="shared" si="3"/>
        <v>0.5</v>
      </c>
      <c r="P455" s="210">
        <f t="shared" ref="P455:Q455" si="465">IF(N455="",0,IF(N455&lt;=2,1,IF(N455&lt;=4,2,IF(N455&lt;=5.5,3,4))))</f>
        <v>1</v>
      </c>
      <c r="Q455" s="210">
        <f t="shared" si="465"/>
        <v>1</v>
      </c>
      <c r="R455" s="210" t="str">
        <f t="shared" si="5"/>
        <v>No Progress</v>
      </c>
      <c r="S455" s="210">
        <f t="shared" si="6"/>
        <v>1</v>
      </c>
      <c r="T455" s="210"/>
      <c r="U455" s="210"/>
      <c r="V455" s="210"/>
      <c r="W455" s="210"/>
      <c r="X455" s="210"/>
      <c r="Y455" s="210"/>
      <c r="Z455" s="210"/>
      <c r="AA455" s="210"/>
      <c r="AB455" s="210"/>
      <c r="AC455" s="210"/>
      <c r="AD455" s="210"/>
      <c r="AE455" s="210"/>
      <c r="AF455" s="210"/>
      <c r="AG455" s="210"/>
      <c r="AH455" s="210"/>
      <c r="AI455" s="210"/>
      <c r="AJ455" s="210"/>
      <c r="AK455" s="210"/>
      <c r="AL455" s="210"/>
      <c r="AM455" s="214"/>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c r="BU455" s="210"/>
      <c r="BV455" s="210"/>
      <c r="BW455" s="210"/>
      <c r="BX455" s="210"/>
      <c r="BY455" s="210"/>
      <c r="BZ455" s="210"/>
      <c r="CA455" s="210"/>
      <c r="CB455" s="210"/>
      <c r="CC455" s="210"/>
      <c r="CD455" s="210"/>
      <c r="CE455" s="210"/>
      <c r="CF455" s="210"/>
      <c r="CG455" s="210"/>
      <c r="CH455" s="210"/>
      <c r="CI455" s="210"/>
      <c r="CJ455" s="210"/>
      <c r="CK455" s="210"/>
    </row>
    <row r="456">
      <c r="A456" s="222" t="s">
        <v>468</v>
      </c>
      <c r="B456" s="190" t="s">
        <v>469</v>
      </c>
      <c r="C456" s="223" t="s">
        <v>89</v>
      </c>
      <c r="D456" s="223" t="s">
        <v>882</v>
      </c>
      <c r="E456" s="190" t="s">
        <v>25</v>
      </c>
      <c r="F456" s="13" t="s">
        <v>25</v>
      </c>
      <c r="G456" s="13" t="s">
        <v>25</v>
      </c>
      <c r="H456" s="219">
        <f>IFERROR(
  MINIFS(ATTENDANCE_LOG!$F:$F,
         ATTENDANCE_LOG!$A:$A, C456,
         ATTENDANCE_LOG!$B:$B, E456),
"")</f>
        <v>45916.45833</v>
      </c>
      <c r="I456" s="219">
        <f t="shared" si="2"/>
        <v>45916.45833</v>
      </c>
      <c r="J456" s="190">
        <f>IFERROR(VLOOKUP(F456, LEVEL_HELPER!$A:$B, 2, 0), "")</f>
        <v>0.5</v>
      </c>
      <c r="K456" s="190">
        <f>IFERROR(VLOOKUP(G456, LEVEL_HELPER!$A:$B, 2, 0), "")</f>
        <v>0.5</v>
      </c>
      <c r="L456" s="220" t="s">
        <v>931</v>
      </c>
      <c r="M456" s="220" t="s">
        <v>920</v>
      </c>
      <c r="N456" s="190">
        <f t="array" ref="N456">IFERROR(
  INDEX($J$2:$J$543,
    MATCH(A456&amp;TEXT(I456,"yyyy-mm-dd"),
          $A$2:$A$543&amp;TEXT($H$2:$H$543,"yyyy-mm-dd"),
          0)),
"")</f>
        <v>0.5</v>
      </c>
      <c r="O456" s="210">
        <f t="shared" si="3"/>
        <v>0.5</v>
      </c>
      <c r="P456" s="210">
        <f t="shared" ref="P456:Q456" si="466">IF(N456="",0,IF(N456&lt;=2,1,IF(N456&lt;=4,2,IF(N456&lt;=5.5,3,4))))</f>
        <v>1</v>
      </c>
      <c r="Q456" s="210">
        <f t="shared" si="466"/>
        <v>1</v>
      </c>
      <c r="R456" s="210" t="str">
        <f t="shared" si="5"/>
        <v>No Progress</v>
      </c>
      <c r="S456" s="210">
        <f t="shared" si="6"/>
        <v>1</v>
      </c>
      <c r="T456" s="210"/>
      <c r="U456" s="210"/>
      <c r="V456" s="210"/>
      <c r="W456" s="210"/>
      <c r="X456" s="210"/>
      <c r="Y456" s="210"/>
      <c r="Z456" s="210"/>
      <c r="AA456" s="210"/>
      <c r="AB456" s="210"/>
      <c r="AC456" s="210"/>
      <c r="AD456" s="210"/>
      <c r="AE456" s="210"/>
      <c r="AF456" s="210"/>
      <c r="AG456" s="210"/>
      <c r="AH456" s="210"/>
      <c r="AI456" s="210"/>
      <c r="AJ456" s="210"/>
      <c r="AK456" s="210"/>
      <c r="AL456" s="210"/>
      <c r="AM456" s="214"/>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c r="BU456" s="210"/>
      <c r="BV456" s="210"/>
      <c r="BW456" s="210"/>
      <c r="BX456" s="210"/>
      <c r="BY456" s="210"/>
      <c r="BZ456" s="210"/>
      <c r="CA456" s="210"/>
      <c r="CB456" s="210"/>
      <c r="CC456" s="210"/>
      <c r="CD456" s="210"/>
      <c r="CE456" s="210"/>
      <c r="CF456" s="210"/>
      <c r="CG456" s="210"/>
      <c r="CH456" s="210"/>
      <c r="CI456" s="210"/>
      <c r="CJ456" s="210"/>
      <c r="CK456" s="210"/>
    </row>
    <row r="457">
      <c r="A457" s="222" t="s">
        <v>516</v>
      </c>
      <c r="B457" s="190" t="s">
        <v>517</v>
      </c>
      <c r="C457" s="223" t="s">
        <v>89</v>
      </c>
      <c r="D457" s="223" t="s">
        <v>882</v>
      </c>
      <c r="E457" s="190" t="s">
        <v>25</v>
      </c>
      <c r="F457" s="13" t="s">
        <v>25</v>
      </c>
      <c r="G457" s="13" t="s">
        <v>25</v>
      </c>
      <c r="H457" s="219">
        <f>IFERROR(
  MINIFS(ATTENDANCE_LOG!$F:$F,
         ATTENDANCE_LOG!$A:$A, C457,
         ATTENDANCE_LOG!$B:$B, E457),
"")</f>
        <v>45916.45833</v>
      </c>
      <c r="I457" s="219">
        <f t="shared" si="2"/>
        <v>45916.45833</v>
      </c>
      <c r="J457" s="190">
        <f>IFERROR(VLOOKUP(F457, LEVEL_HELPER!$A:$B, 2, 0), "")</f>
        <v>0.5</v>
      </c>
      <c r="K457" s="190">
        <f>IFERROR(VLOOKUP(G457, LEVEL_HELPER!$A:$B, 2, 0), "")</f>
        <v>0.5</v>
      </c>
      <c r="L457" s="220" t="s">
        <v>931</v>
      </c>
      <c r="M457" s="220" t="s">
        <v>920</v>
      </c>
      <c r="N457" s="190">
        <f t="array" ref="N457">IFERROR(
  INDEX($J$2:$J$543,
    MATCH(A457&amp;TEXT(I457,"yyyy-mm-dd"),
          $A$2:$A$543&amp;TEXT($H$2:$H$543,"yyyy-mm-dd"),
          0)),
"")</f>
        <v>0.5</v>
      </c>
      <c r="O457" s="210">
        <f t="shared" si="3"/>
        <v>0.5</v>
      </c>
      <c r="P457" s="210">
        <f t="shared" ref="P457:Q457" si="467">IF(N457="",0,IF(N457&lt;=2,1,IF(N457&lt;=4,2,IF(N457&lt;=5.5,3,4))))</f>
        <v>1</v>
      </c>
      <c r="Q457" s="210">
        <f t="shared" si="467"/>
        <v>1</v>
      </c>
      <c r="R457" s="210" t="str">
        <f t="shared" si="5"/>
        <v>No Progress</v>
      </c>
      <c r="S457" s="210">
        <f t="shared" si="6"/>
        <v>1</v>
      </c>
      <c r="T457" s="210"/>
      <c r="U457" s="210"/>
      <c r="V457" s="210"/>
      <c r="W457" s="210"/>
      <c r="X457" s="210"/>
      <c r="Y457" s="210"/>
      <c r="Z457" s="210"/>
      <c r="AA457" s="210"/>
      <c r="AB457" s="210"/>
      <c r="AC457" s="210"/>
      <c r="AD457" s="210"/>
      <c r="AE457" s="210"/>
      <c r="AF457" s="210"/>
      <c r="AG457" s="210"/>
      <c r="AH457" s="210"/>
      <c r="AI457" s="210"/>
      <c r="AJ457" s="210"/>
      <c r="AK457" s="210"/>
      <c r="AL457" s="210"/>
      <c r="AM457" s="214"/>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c r="BU457" s="210"/>
      <c r="BV457" s="210"/>
      <c r="BW457" s="210"/>
      <c r="BX457" s="210"/>
      <c r="BY457" s="210"/>
      <c r="BZ457" s="210"/>
      <c r="CA457" s="210"/>
      <c r="CB457" s="210"/>
      <c r="CC457" s="210"/>
      <c r="CD457" s="210"/>
      <c r="CE457" s="210"/>
      <c r="CF457" s="210"/>
      <c r="CG457" s="210"/>
      <c r="CH457" s="210"/>
      <c r="CI457" s="210"/>
      <c r="CJ457" s="210"/>
      <c r="CK457" s="210"/>
    </row>
    <row r="458">
      <c r="A458" s="222" t="s">
        <v>545</v>
      </c>
      <c r="B458" s="190" t="s">
        <v>546</v>
      </c>
      <c r="C458" s="223" t="s">
        <v>89</v>
      </c>
      <c r="D458" s="223" t="s">
        <v>882</v>
      </c>
      <c r="E458" s="190" t="s">
        <v>25</v>
      </c>
      <c r="F458" s="13" t="s">
        <v>25</v>
      </c>
      <c r="G458" s="13" t="s">
        <v>25</v>
      </c>
      <c r="H458" s="219">
        <f>IFERROR(
  MINIFS(ATTENDANCE_LOG!$F:$F,
         ATTENDANCE_LOG!$A:$A, C458,
         ATTENDANCE_LOG!$B:$B, E458),
"")</f>
        <v>45916.45833</v>
      </c>
      <c r="I458" s="219">
        <f t="shared" si="2"/>
        <v>45916.45833</v>
      </c>
      <c r="J458" s="190">
        <f>IFERROR(VLOOKUP(F458, LEVEL_HELPER!$A:$B, 2, 0), "")</f>
        <v>0.5</v>
      </c>
      <c r="K458" s="190">
        <f>IFERROR(VLOOKUP(G458, LEVEL_HELPER!$A:$B, 2, 0), "")</f>
        <v>0.5</v>
      </c>
      <c r="L458" s="220" t="s">
        <v>931</v>
      </c>
      <c r="M458" s="220" t="s">
        <v>920</v>
      </c>
      <c r="N458" s="190">
        <f t="array" ref="N458">IFERROR(
  INDEX($J$2:$J$543,
    MATCH(A458&amp;TEXT(I458,"yyyy-mm-dd"),
          $A$2:$A$543&amp;TEXT($H$2:$H$543,"yyyy-mm-dd"),
          0)),
"")</f>
        <v>0.5</v>
      </c>
      <c r="O458" s="210">
        <f t="shared" si="3"/>
        <v>0.5</v>
      </c>
      <c r="P458" s="210">
        <f t="shared" ref="P458:Q458" si="468">IF(N458="",0,IF(N458&lt;=2,1,IF(N458&lt;=4,2,IF(N458&lt;=5.5,3,4))))</f>
        <v>1</v>
      </c>
      <c r="Q458" s="210">
        <f t="shared" si="468"/>
        <v>1</v>
      </c>
      <c r="R458" s="210" t="str">
        <f t="shared" si="5"/>
        <v>No Progress</v>
      </c>
      <c r="S458" s="210">
        <f t="shared" si="6"/>
        <v>0</v>
      </c>
      <c r="T458" s="210"/>
      <c r="U458" s="210"/>
      <c r="V458" s="210"/>
      <c r="W458" s="210"/>
      <c r="X458" s="210"/>
      <c r="Y458" s="210"/>
      <c r="Z458" s="210"/>
      <c r="AA458" s="210"/>
      <c r="AB458" s="210"/>
      <c r="AC458" s="210"/>
      <c r="AD458" s="210"/>
      <c r="AE458" s="210"/>
      <c r="AF458" s="210"/>
      <c r="AG458" s="210"/>
      <c r="AH458" s="210"/>
      <c r="AI458" s="210"/>
      <c r="AJ458" s="210"/>
      <c r="AK458" s="210"/>
      <c r="AL458" s="210"/>
      <c r="AM458" s="214"/>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c r="BU458" s="210"/>
      <c r="BV458" s="210"/>
      <c r="BW458" s="210"/>
      <c r="BX458" s="210"/>
      <c r="BY458" s="210"/>
      <c r="BZ458" s="210"/>
      <c r="CA458" s="210"/>
      <c r="CB458" s="210"/>
      <c r="CC458" s="210"/>
      <c r="CD458" s="210"/>
      <c r="CE458" s="210"/>
      <c r="CF458" s="210"/>
      <c r="CG458" s="210"/>
      <c r="CH458" s="210"/>
      <c r="CI458" s="210"/>
      <c r="CJ458" s="210"/>
      <c r="CK458" s="210"/>
    </row>
    <row r="459">
      <c r="A459" s="222" t="s">
        <v>558</v>
      </c>
      <c r="B459" s="190" t="s">
        <v>559</v>
      </c>
      <c r="C459" s="223" t="s">
        <v>89</v>
      </c>
      <c r="D459" s="223" t="s">
        <v>882</v>
      </c>
      <c r="E459" s="190" t="s">
        <v>25</v>
      </c>
      <c r="F459" s="13" t="s">
        <v>25</v>
      </c>
      <c r="G459" s="13" t="s">
        <v>25</v>
      </c>
      <c r="H459" s="219">
        <f>IFERROR(
  MINIFS(ATTENDANCE_LOG!$F:$F,
         ATTENDANCE_LOG!$A:$A, C459,
         ATTENDANCE_LOG!$B:$B, E459),
"")</f>
        <v>45916.45833</v>
      </c>
      <c r="I459" s="219">
        <f t="shared" si="2"/>
        <v>45916.45833</v>
      </c>
      <c r="J459" s="190">
        <f>IFERROR(VLOOKUP(F459, LEVEL_HELPER!$A:$B, 2, 0), "")</f>
        <v>0.5</v>
      </c>
      <c r="K459" s="190">
        <f>IFERROR(VLOOKUP(G459, LEVEL_HELPER!$A:$B, 2, 0), "")</f>
        <v>0.5</v>
      </c>
      <c r="L459" s="220" t="s">
        <v>931</v>
      </c>
      <c r="M459" s="220" t="s">
        <v>920</v>
      </c>
      <c r="N459" s="190">
        <f t="array" ref="N459">IFERROR(
  INDEX($J$2:$J$543,
    MATCH(A459&amp;TEXT(I459,"yyyy-mm-dd"),
          $A$2:$A$543&amp;TEXT($H$2:$H$543,"yyyy-mm-dd"),
          0)),
"")</f>
        <v>0.5</v>
      </c>
      <c r="O459" s="210">
        <f t="shared" si="3"/>
        <v>0.5</v>
      </c>
      <c r="P459" s="210">
        <f t="shared" ref="P459:Q459" si="469">IF(N459="",0,IF(N459&lt;=2,1,IF(N459&lt;=4,2,IF(N459&lt;=5.5,3,4))))</f>
        <v>1</v>
      </c>
      <c r="Q459" s="210">
        <f t="shared" si="469"/>
        <v>1</v>
      </c>
      <c r="R459" s="210" t="str">
        <f t="shared" si="5"/>
        <v>No Progress</v>
      </c>
      <c r="S459" s="210">
        <f t="shared" si="6"/>
        <v>0</v>
      </c>
      <c r="T459" s="210"/>
      <c r="U459" s="210"/>
      <c r="V459" s="210"/>
      <c r="W459" s="210"/>
      <c r="X459" s="210"/>
      <c r="Y459" s="210"/>
      <c r="Z459" s="210"/>
      <c r="AA459" s="210"/>
      <c r="AB459" s="210"/>
      <c r="AC459" s="210"/>
      <c r="AD459" s="210"/>
      <c r="AE459" s="210"/>
      <c r="AF459" s="210"/>
      <c r="AG459" s="210"/>
      <c r="AH459" s="210"/>
      <c r="AI459" s="210"/>
      <c r="AJ459" s="210"/>
      <c r="AK459" s="210"/>
      <c r="AL459" s="210"/>
      <c r="AM459" s="214"/>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c r="BU459" s="210"/>
      <c r="BV459" s="210"/>
      <c r="BW459" s="210"/>
      <c r="BX459" s="210"/>
      <c r="BY459" s="210"/>
      <c r="BZ459" s="210"/>
      <c r="CA459" s="210"/>
      <c r="CB459" s="210"/>
      <c r="CC459" s="210"/>
      <c r="CD459" s="210"/>
      <c r="CE459" s="210"/>
      <c r="CF459" s="210"/>
      <c r="CG459" s="210"/>
      <c r="CH459" s="210"/>
      <c r="CI459" s="210"/>
      <c r="CJ459" s="210"/>
      <c r="CK459" s="210"/>
    </row>
    <row r="460">
      <c r="A460" s="216" t="s">
        <v>363</v>
      </c>
      <c r="B460" s="217" t="s">
        <v>364</v>
      </c>
      <c r="C460" s="218" t="s">
        <v>90</v>
      </c>
      <c r="D460" s="218" t="s">
        <v>883</v>
      </c>
      <c r="E460" s="217" t="s">
        <v>21</v>
      </c>
      <c r="F460" s="242" t="s">
        <v>927</v>
      </c>
      <c r="G460" s="217"/>
      <c r="H460" s="219">
        <f>IFERROR(
  MINIFS(ATTENDANCE_LOG!$F:$F,
         ATTENDANCE_LOG!$A:$A, C460,
         ATTENDANCE_LOG!$B:$B, E460),
"")</f>
        <v>45917.58333</v>
      </c>
      <c r="I460" s="219">
        <f t="shared" si="2"/>
        <v>45917.58333</v>
      </c>
      <c r="J460" s="217">
        <f>IFERROR(VLOOKUP(F460, LEVEL_HELPER!$A:$B, 2, 0), "")</f>
        <v>1</v>
      </c>
      <c r="K460" s="217" t="str">
        <f>IFERROR(VLOOKUP(G460, LEVEL_HELPER!$A:$B, 2, 0), "")</f>
        <v/>
      </c>
      <c r="L460" s="247" t="s">
        <v>931</v>
      </c>
      <c r="M460" s="247" t="s">
        <v>920</v>
      </c>
      <c r="N460" s="190">
        <f t="array" ref="N460">IFERROR(
  INDEX($J$2:$J$543,
    MATCH(A460&amp;TEXT(I460,"yyyy-mm-dd"),
          $A$2:$A$543&amp;TEXT($H$2:$H$543,"yyyy-mm-dd"),
          0)),
"")</f>
        <v>1</v>
      </c>
      <c r="O460" s="248">
        <f t="shared" si="3"/>
        <v>0</v>
      </c>
      <c r="P460" s="210">
        <f t="shared" ref="P460:Q460" si="470">IF(N460="",0,IF(N460&lt;=2,1,IF(N460&lt;=4,2,IF(N460&lt;=5.5,3,4))))</f>
        <v>1</v>
      </c>
      <c r="Q460" s="210">
        <f t="shared" si="470"/>
        <v>1</v>
      </c>
      <c r="R460" s="210" t="str">
        <f t="shared" si="5"/>
        <v>Not tested yet</v>
      </c>
      <c r="S460" s="210">
        <f t="shared" si="6"/>
        <v>1</v>
      </c>
      <c r="T460" s="210"/>
      <c r="U460" s="210"/>
      <c r="V460" s="210"/>
      <c r="W460" s="210"/>
      <c r="X460" s="210"/>
      <c r="Y460" s="210"/>
      <c r="Z460" s="210"/>
      <c r="AA460" s="210"/>
      <c r="AB460" s="210"/>
      <c r="AC460" s="210"/>
      <c r="AD460" s="210"/>
      <c r="AE460" s="210"/>
      <c r="AF460" s="210"/>
      <c r="AG460" s="210"/>
      <c r="AH460" s="210"/>
      <c r="AI460" s="210"/>
      <c r="AJ460" s="210"/>
      <c r="AK460" s="210"/>
      <c r="AL460" s="210"/>
      <c r="AM460" s="214"/>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c r="BU460" s="210"/>
      <c r="BV460" s="210"/>
      <c r="BW460" s="210"/>
      <c r="BX460" s="210"/>
      <c r="BY460" s="210"/>
      <c r="BZ460" s="210"/>
      <c r="CA460" s="210"/>
      <c r="CB460" s="210"/>
      <c r="CC460" s="210"/>
      <c r="CD460" s="210"/>
      <c r="CE460" s="210"/>
      <c r="CF460" s="210"/>
      <c r="CG460" s="210"/>
      <c r="CH460" s="210"/>
      <c r="CI460" s="210"/>
      <c r="CJ460" s="210"/>
      <c r="CK460" s="210"/>
    </row>
    <row r="461">
      <c r="A461" s="222" t="s">
        <v>251</v>
      </c>
      <c r="B461" s="190" t="s">
        <v>252</v>
      </c>
      <c r="C461" s="223" t="s">
        <v>90</v>
      </c>
      <c r="D461" s="223" t="s">
        <v>883</v>
      </c>
      <c r="E461" s="190" t="s">
        <v>21</v>
      </c>
      <c r="F461" s="13" t="s">
        <v>927</v>
      </c>
      <c r="G461" s="190"/>
      <c r="H461" s="219">
        <f>IFERROR(
  MINIFS(ATTENDANCE_LOG!$F:$F,
         ATTENDANCE_LOG!$A:$A, C461,
         ATTENDANCE_LOG!$B:$B, E461),
"")</f>
        <v>45917.58333</v>
      </c>
      <c r="I461" s="219">
        <f t="shared" si="2"/>
        <v>45917.58333</v>
      </c>
      <c r="J461" s="190">
        <f>IFERROR(VLOOKUP(F461, LEVEL_HELPER!$A:$B, 2, 0), "")</f>
        <v>1</v>
      </c>
      <c r="K461" s="190" t="str">
        <f>IFERROR(VLOOKUP(G461, LEVEL_HELPER!$A:$B, 2, 0), "")</f>
        <v/>
      </c>
      <c r="L461" s="220" t="s">
        <v>931</v>
      </c>
      <c r="M461" s="220" t="s">
        <v>920</v>
      </c>
      <c r="N461" s="190">
        <f t="array" ref="N461">IFERROR(
  INDEX($J$2:$J$543,
    MATCH(A461&amp;TEXT(I461,"yyyy-mm-dd"),
          $A$2:$A$543&amp;TEXT($H$2:$H$543,"yyyy-mm-dd"),
          0)),
"")</f>
        <v>1</v>
      </c>
      <c r="O461" s="210">
        <f t="shared" si="3"/>
        <v>0</v>
      </c>
      <c r="P461" s="210">
        <f t="shared" ref="P461:Q461" si="471">IF(N461="",0,IF(N461&lt;=2,1,IF(N461&lt;=4,2,IF(N461&lt;=5.5,3,4))))</f>
        <v>1</v>
      </c>
      <c r="Q461" s="210">
        <f t="shared" si="471"/>
        <v>1</v>
      </c>
      <c r="R461" s="210" t="str">
        <f t="shared" si="5"/>
        <v>Not tested yet</v>
      </c>
      <c r="S461" s="210">
        <f t="shared" si="6"/>
        <v>1</v>
      </c>
      <c r="T461" s="210"/>
      <c r="U461" s="210"/>
      <c r="V461" s="210"/>
      <c r="W461" s="210"/>
      <c r="X461" s="210"/>
      <c r="Y461" s="210"/>
      <c r="Z461" s="210"/>
      <c r="AA461" s="210"/>
      <c r="AB461" s="210"/>
      <c r="AC461" s="210"/>
      <c r="AD461" s="210"/>
      <c r="AE461" s="210"/>
      <c r="AF461" s="210"/>
      <c r="AG461" s="210"/>
      <c r="AH461" s="210"/>
      <c r="AI461" s="210"/>
      <c r="AJ461" s="210"/>
      <c r="AK461" s="210"/>
      <c r="AL461" s="210"/>
      <c r="AM461" s="214"/>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c r="BU461" s="210"/>
      <c r="BV461" s="210"/>
      <c r="BW461" s="210"/>
      <c r="BX461" s="210"/>
      <c r="BY461" s="210"/>
      <c r="BZ461" s="210"/>
      <c r="CA461" s="210"/>
      <c r="CB461" s="210"/>
      <c r="CC461" s="210"/>
      <c r="CD461" s="210"/>
      <c r="CE461" s="210"/>
      <c r="CF461" s="210"/>
      <c r="CG461" s="210"/>
      <c r="CH461" s="210"/>
      <c r="CI461" s="210"/>
      <c r="CJ461" s="210"/>
      <c r="CK461" s="210"/>
    </row>
    <row r="462">
      <c r="A462" s="222" t="s">
        <v>338</v>
      </c>
      <c r="B462" s="190" t="s">
        <v>339</v>
      </c>
      <c r="C462" s="223" t="s">
        <v>90</v>
      </c>
      <c r="D462" s="223" t="s">
        <v>883</v>
      </c>
      <c r="E462" s="190" t="s">
        <v>21</v>
      </c>
      <c r="F462" s="13" t="s">
        <v>927</v>
      </c>
      <c r="G462" s="190"/>
      <c r="H462" s="219">
        <f>IFERROR(
  MINIFS(ATTENDANCE_LOG!$F:$F,
         ATTENDANCE_LOG!$A:$A, C462,
         ATTENDANCE_LOG!$B:$B, E462),
"")</f>
        <v>45917.58333</v>
      </c>
      <c r="I462" s="219">
        <f t="shared" si="2"/>
        <v>45917.58333</v>
      </c>
      <c r="J462" s="190">
        <f>IFERROR(VLOOKUP(F462, LEVEL_HELPER!$A:$B, 2, 0), "")</f>
        <v>1</v>
      </c>
      <c r="K462" s="190" t="str">
        <f>IFERROR(VLOOKUP(G462, LEVEL_HELPER!$A:$B, 2, 0), "")</f>
        <v/>
      </c>
      <c r="L462" s="220" t="s">
        <v>931</v>
      </c>
      <c r="M462" s="220" t="s">
        <v>926</v>
      </c>
      <c r="N462" s="190">
        <f t="array" ref="N462">IFERROR(
  INDEX($J$2:$J$543,
    MATCH(A462&amp;TEXT(I462,"yyyy-mm-dd"),
          $A$2:$A$543&amp;TEXT($H$2:$H$543,"yyyy-mm-dd"),
          0)),
"")</f>
        <v>1</v>
      </c>
      <c r="O462" s="210">
        <f t="shared" si="3"/>
        <v>0</v>
      </c>
      <c r="P462" s="210">
        <f t="shared" ref="P462:Q462" si="472">IF(N462="",0,IF(N462&lt;=2,1,IF(N462&lt;=4,2,IF(N462&lt;=5.5,3,4))))</f>
        <v>1</v>
      </c>
      <c r="Q462" s="210">
        <f t="shared" si="472"/>
        <v>1</v>
      </c>
      <c r="R462" s="210" t="str">
        <f t="shared" si="5"/>
        <v>Not tested yet</v>
      </c>
      <c r="S462" s="210">
        <f t="shared" si="6"/>
        <v>1</v>
      </c>
      <c r="T462" s="210"/>
      <c r="U462" s="210"/>
      <c r="V462" s="210"/>
      <c r="W462" s="210"/>
      <c r="X462" s="210"/>
      <c r="Y462" s="210"/>
      <c r="Z462" s="210"/>
      <c r="AA462" s="210"/>
      <c r="AB462" s="210"/>
      <c r="AC462" s="210"/>
      <c r="AD462" s="210"/>
      <c r="AE462" s="210"/>
      <c r="AF462" s="210"/>
      <c r="AG462" s="210"/>
      <c r="AH462" s="210"/>
      <c r="AI462" s="210"/>
      <c r="AJ462" s="210"/>
      <c r="AK462" s="210"/>
      <c r="AL462" s="210"/>
      <c r="AM462" s="214"/>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c r="BU462" s="210"/>
      <c r="BV462" s="210"/>
      <c r="BW462" s="210"/>
      <c r="BX462" s="210"/>
      <c r="BY462" s="210"/>
      <c r="BZ462" s="210"/>
      <c r="CA462" s="210"/>
      <c r="CB462" s="210"/>
      <c r="CC462" s="210"/>
      <c r="CD462" s="210"/>
      <c r="CE462" s="210"/>
      <c r="CF462" s="210"/>
      <c r="CG462" s="210"/>
      <c r="CH462" s="210"/>
      <c r="CI462" s="210"/>
      <c r="CJ462" s="210"/>
      <c r="CK462" s="210"/>
    </row>
    <row r="463">
      <c r="A463" s="222" t="s">
        <v>379</v>
      </c>
      <c r="B463" s="190" t="s">
        <v>380</v>
      </c>
      <c r="C463" s="223" t="s">
        <v>90</v>
      </c>
      <c r="D463" s="223" t="s">
        <v>883</v>
      </c>
      <c r="E463" s="190" t="s">
        <v>21</v>
      </c>
      <c r="F463" s="13" t="s">
        <v>927</v>
      </c>
      <c r="G463" s="190"/>
      <c r="H463" s="219">
        <f>IFERROR(
  MINIFS(ATTENDANCE_LOG!$F:$F,
         ATTENDANCE_LOG!$A:$A, C463,
         ATTENDANCE_LOG!$B:$B, E463),
"")</f>
        <v>45917.58333</v>
      </c>
      <c r="I463" s="219">
        <f t="shared" si="2"/>
        <v>45917.58333</v>
      </c>
      <c r="J463" s="190">
        <f>IFERROR(VLOOKUP(F463, LEVEL_HELPER!$A:$B, 2, 0), "")</f>
        <v>1</v>
      </c>
      <c r="K463" s="190" t="str">
        <f>IFERROR(VLOOKUP(G463, LEVEL_HELPER!$A:$B, 2, 0), "")</f>
        <v/>
      </c>
      <c r="L463" s="220" t="s">
        <v>931</v>
      </c>
      <c r="M463" s="220" t="s">
        <v>926</v>
      </c>
      <c r="N463" s="190">
        <f t="array" ref="N463">IFERROR(
  INDEX($J$2:$J$543,
    MATCH(A463&amp;TEXT(I463,"yyyy-mm-dd"),
          $A$2:$A$543&amp;TEXT($H$2:$H$543,"yyyy-mm-dd"),
          0)),
"")</f>
        <v>1</v>
      </c>
      <c r="O463" s="210">
        <f t="shared" si="3"/>
        <v>0</v>
      </c>
      <c r="P463" s="210">
        <f t="shared" ref="P463:Q463" si="473">IF(N463="",0,IF(N463&lt;=2,1,IF(N463&lt;=4,2,IF(N463&lt;=5.5,3,4))))</f>
        <v>1</v>
      </c>
      <c r="Q463" s="210">
        <f t="shared" si="473"/>
        <v>1</v>
      </c>
      <c r="R463" s="210" t="str">
        <f t="shared" si="5"/>
        <v>Not tested yet</v>
      </c>
      <c r="S463" s="210">
        <f t="shared" si="6"/>
        <v>1</v>
      </c>
      <c r="T463" s="210"/>
      <c r="U463" s="210"/>
      <c r="V463" s="210"/>
      <c r="W463" s="210"/>
      <c r="X463" s="210"/>
      <c r="Y463" s="210"/>
      <c r="Z463" s="210"/>
      <c r="AA463" s="210"/>
      <c r="AB463" s="210"/>
      <c r="AC463" s="210"/>
      <c r="AD463" s="210"/>
      <c r="AE463" s="210"/>
      <c r="AF463" s="210"/>
      <c r="AG463" s="210"/>
      <c r="AH463" s="210"/>
      <c r="AI463" s="210"/>
      <c r="AJ463" s="210"/>
      <c r="AK463" s="210"/>
      <c r="AL463" s="210"/>
      <c r="AM463" s="214"/>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c r="BU463" s="210"/>
      <c r="BV463" s="210"/>
      <c r="BW463" s="210"/>
      <c r="BX463" s="210"/>
      <c r="BY463" s="210"/>
      <c r="BZ463" s="210"/>
      <c r="CA463" s="210"/>
      <c r="CB463" s="210"/>
      <c r="CC463" s="210"/>
      <c r="CD463" s="210"/>
      <c r="CE463" s="210"/>
      <c r="CF463" s="210"/>
      <c r="CG463" s="210"/>
      <c r="CH463" s="210"/>
      <c r="CI463" s="210"/>
      <c r="CJ463" s="210"/>
      <c r="CK463" s="210"/>
    </row>
    <row r="464">
      <c r="A464" s="222" t="s">
        <v>449</v>
      </c>
      <c r="B464" s="190" t="s">
        <v>450</v>
      </c>
      <c r="C464" s="223" t="s">
        <v>90</v>
      </c>
      <c r="D464" s="223" t="s">
        <v>883</v>
      </c>
      <c r="E464" s="190" t="s">
        <v>21</v>
      </c>
      <c r="F464" s="13" t="s">
        <v>927</v>
      </c>
      <c r="G464" s="190"/>
      <c r="H464" s="219">
        <f>IFERROR(
  MINIFS(ATTENDANCE_LOG!$F:$F,
         ATTENDANCE_LOG!$A:$A, C464,
         ATTENDANCE_LOG!$B:$B, E464),
"")</f>
        <v>45917.58333</v>
      </c>
      <c r="I464" s="219">
        <f t="shared" si="2"/>
        <v>45917.58333</v>
      </c>
      <c r="J464" s="190">
        <f>IFERROR(VLOOKUP(F464, LEVEL_HELPER!$A:$B, 2, 0), "")</f>
        <v>1</v>
      </c>
      <c r="K464" s="190" t="str">
        <f>IFERROR(VLOOKUP(G464, LEVEL_HELPER!$A:$B, 2, 0), "")</f>
        <v/>
      </c>
      <c r="L464" s="220" t="s">
        <v>931</v>
      </c>
      <c r="M464" s="220" t="s">
        <v>920</v>
      </c>
      <c r="N464" s="190">
        <f t="array" ref="N464">IFERROR(
  INDEX($J$2:$J$543,
    MATCH(A464&amp;TEXT(I464,"yyyy-mm-dd"),
          $A$2:$A$543&amp;TEXT($H$2:$H$543,"yyyy-mm-dd"),
          0)),
"")</f>
        <v>1</v>
      </c>
      <c r="O464" s="210">
        <f t="shared" si="3"/>
        <v>0</v>
      </c>
      <c r="P464" s="210">
        <f t="shared" ref="P464:Q464" si="474">IF(N464="",0,IF(N464&lt;=2,1,IF(N464&lt;=4,2,IF(N464&lt;=5.5,3,4))))</f>
        <v>1</v>
      </c>
      <c r="Q464" s="210">
        <f t="shared" si="474"/>
        <v>1</v>
      </c>
      <c r="R464" s="210" t="str">
        <f t="shared" si="5"/>
        <v>Not tested yet</v>
      </c>
      <c r="S464" s="210">
        <f t="shared" si="6"/>
        <v>1</v>
      </c>
      <c r="T464" s="210"/>
      <c r="U464" s="210"/>
      <c r="V464" s="210"/>
      <c r="W464" s="210"/>
      <c r="X464" s="210"/>
      <c r="Y464" s="210"/>
      <c r="Z464" s="210"/>
      <c r="AA464" s="210"/>
      <c r="AB464" s="210"/>
      <c r="AC464" s="210"/>
      <c r="AD464" s="210"/>
      <c r="AE464" s="210"/>
      <c r="AF464" s="210"/>
      <c r="AG464" s="210"/>
      <c r="AH464" s="210"/>
      <c r="AI464" s="210"/>
      <c r="AJ464" s="210"/>
      <c r="AK464" s="210"/>
      <c r="AL464" s="210"/>
      <c r="AM464" s="214"/>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c r="BU464" s="210"/>
      <c r="BV464" s="210"/>
      <c r="BW464" s="210"/>
      <c r="BX464" s="210"/>
      <c r="BY464" s="210"/>
      <c r="BZ464" s="210"/>
      <c r="CA464" s="210"/>
      <c r="CB464" s="210"/>
      <c r="CC464" s="210"/>
      <c r="CD464" s="210"/>
      <c r="CE464" s="210"/>
      <c r="CF464" s="210"/>
      <c r="CG464" s="210"/>
      <c r="CH464" s="210"/>
      <c r="CI464" s="210"/>
      <c r="CJ464" s="210"/>
      <c r="CK464" s="210"/>
    </row>
    <row r="465">
      <c r="A465" s="222" t="s">
        <v>455</v>
      </c>
      <c r="B465" s="190" t="s">
        <v>456</v>
      </c>
      <c r="C465" s="223" t="s">
        <v>90</v>
      </c>
      <c r="D465" s="223" t="s">
        <v>883</v>
      </c>
      <c r="E465" s="190" t="s">
        <v>21</v>
      </c>
      <c r="F465" s="13" t="s">
        <v>927</v>
      </c>
      <c r="G465" s="190"/>
      <c r="H465" s="219">
        <f>IFERROR(
  MINIFS(ATTENDANCE_LOG!$F:$F,
         ATTENDANCE_LOG!$A:$A, C465,
         ATTENDANCE_LOG!$B:$B, E465),
"")</f>
        <v>45917.58333</v>
      </c>
      <c r="I465" s="219">
        <f t="shared" si="2"/>
        <v>45917.58333</v>
      </c>
      <c r="J465" s="190">
        <f>IFERROR(VLOOKUP(F465, LEVEL_HELPER!$A:$B, 2, 0), "")</f>
        <v>1</v>
      </c>
      <c r="K465" s="190" t="str">
        <f>IFERROR(VLOOKUP(G465, LEVEL_HELPER!$A:$B, 2, 0), "")</f>
        <v/>
      </c>
      <c r="L465" s="220" t="s">
        <v>931</v>
      </c>
      <c r="M465" s="220" t="s">
        <v>920</v>
      </c>
      <c r="N465" s="190">
        <f t="array" ref="N465">IFERROR(
  INDEX($J$2:$J$543,
    MATCH(A465&amp;TEXT(I465,"yyyy-mm-dd"),
          $A$2:$A$543&amp;TEXT($H$2:$H$543,"yyyy-mm-dd"),
          0)),
"")</f>
        <v>1</v>
      </c>
      <c r="O465" s="210">
        <f t="shared" si="3"/>
        <v>0</v>
      </c>
      <c r="P465" s="210">
        <f t="shared" ref="P465:Q465" si="475">IF(N465="",0,IF(N465&lt;=2,1,IF(N465&lt;=4,2,IF(N465&lt;=5.5,3,4))))</f>
        <v>1</v>
      </c>
      <c r="Q465" s="210">
        <f t="shared" si="475"/>
        <v>1</v>
      </c>
      <c r="R465" s="210" t="str">
        <f t="shared" si="5"/>
        <v>Not tested yet</v>
      </c>
      <c r="S465" s="210">
        <f t="shared" si="6"/>
        <v>1</v>
      </c>
      <c r="T465" s="210"/>
      <c r="U465" s="210"/>
      <c r="V465" s="210"/>
      <c r="W465" s="210"/>
      <c r="X465" s="210"/>
      <c r="Y465" s="210"/>
      <c r="Z465" s="210"/>
      <c r="AA465" s="210"/>
      <c r="AB465" s="210"/>
      <c r="AC465" s="210"/>
      <c r="AD465" s="210"/>
      <c r="AE465" s="210"/>
      <c r="AF465" s="210"/>
      <c r="AG465" s="210"/>
      <c r="AH465" s="210"/>
      <c r="AI465" s="210"/>
      <c r="AJ465" s="210"/>
      <c r="AK465" s="210"/>
      <c r="AL465" s="210"/>
      <c r="AM465" s="214"/>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c r="BU465" s="210"/>
      <c r="BV465" s="210"/>
      <c r="BW465" s="210"/>
      <c r="BX465" s="210"/>
      <c r="BY465" s="210"/>
      <c r="BZ465" s="210"/>
      <c r="CA465" s="210"/>
      <c r="CB465" s="210"/>
      <c r="CC465" s="210"/>
      <c r="CD465" s="210"/>
      <c r="CE465" s="210"/>
      <c r="CF465" s="210"/>
      <c r="CG465" s="210"/>
      <c r="CH465" s="210"/>
      <c r="CI465" s="210"/>
      <c r="CJ465" s="210"/>
      <c r="CK465" s="210"/>
    </row>
    <row r="466">
      <c r="A466" s="222" t="s">
        <v>490</v>
      </c>
      <c r="B466" s="190" t="s">
        <v>491</v>
      </c>
      <c r="C466" s="223" t="s">
        <v>90</v>
      </c>
      <c r="D466" s="223" t="s">
        <v>883</v>
      </c>
      <c r="E466" s="190" t="s">
        <v>21</v>
      </c>
      <c r="F466" s="13" t="s">
        <v>927</v>
      </c>
      <c r="G466" s="190"/>
      <c r="H466" s="219">
        <f>IFERROR(
  MINIFS(ATTENDANCE_LOG!$F:$F,
         ATTENDANCE_LOG!$A:$A, C466,
         ATTENDANCE_LOG!$B:$B, E466),
"")</f>
        <v>45917.58333</v>
      </c>
      <c r="I466" s="219">
        <f t="shared" si="2"/>
        <v>45917.58333</v>
      </c>
      <c r="J466" s="190">
        <f>IFERROR(VLOOKUP(F466, LEVEL_HELPER!$A:$B, 2, 0), "")</f>
        <v>1</v>
      </c>
      <c r="K466" s="190" t="str">
        <f>IFERROR(VLOOKUP(G466, LEVEL_HELPER!$A:$B, 2, 0), "")</f>
        <v/>
      </c>
      <c r="L466" s="220" t="s">
        <v>931</v>
      </c>
      <c r="M466" s="220" t="s">
        <v>926</v>
      </c>
      <c r="N466" s="190">
        <f t="array" ref="N466">IFERROR(
  INDEX($J$2:$J$543,
    MATCH(A466&amp;TEXT(I466,"yyyy-mm-dd"),
          $A$2:$A$543&amp;TEXT($H$2:$H$543,"yyyy-mm-dd"),
          0)),
"")</f>
        <v>1</v>
      </c>
      <c r="O466" s="210">
        <f t="shared" si="3"/>
        <v>0</v>
      </c>
      <c r="P466" s="210">
        <f t="shared" ref="P466:Q466" si="476">IF(N466="",0,IF(N466&lt;=2,1,IF(N466&lt;=4,2,IF(N466&lt;=5.5,3,4))))</f>
        <v>1</v>
      </c>
      <c r="Q466" s="210">
        <f t="shared" si="476"/>
        <v>1</v>
      </c>
      <c r="R466" s="210" t="str">
        <f t="shared" si="5"/>
        <v>Not tested yet</v>
      </c>
      <c r="S466" s="210">
        <f t="shared" si="6"/>
        <v>1</v>
      </c>
      <c r="T466" s="210"/>
      <c r="U466" s="210"/>
      <c r="V466" s="210"/>
      <c r="W466" s="210"/>
      <c r="X466" s="210"/>
      <c r="Y466" s="210"/>
      <c r="Z466" s="210"/>
      <c r="AA466" s="210"/>
      <c r="AB466" s="210"/>
      <c r="AC466" s="210"/>
      <c r="AD466" s="210"/>
      <c r="AE466" s="210"/>
      <c r="AF466" s="210"/>
      <c r="AG466" s="210"/>
      <c r="AH466" s="210"/>
      <c r="AI466" s="210"/>
      <c r="AJ466" s="210"/>
      <c r="AK466" s="210"/>
      <c r="AL466" s="210"/>
      <c r="AM466" s="214"/>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c r="BU466" s="210"/>
      <c r="BV466" s="210"/>
      <c r="BW466" s="210"/>
      <c r="BX466" s="210"/>
      <c r="BY466" s="210"/>
      <c r="BZ466" s="210"/>
      <c r="CA466" s="210"/>
      <c r="CB466" s="210"/>
      <c r="CC466" s="210"/>
      <c r="CD466" s="210"/>
      <c r="CE466" s="210"/>
      <c r="CF466" s="210"/>
      <c r="CG466" s="210"/>
      <c r="CH466" s="210"/>
      <c r="CI466" s="210"/>
      <c r="CJ466" s="210"/>
      <c r="CK466" s="210"/>
    </row>
    <row r="467">
      <c r="A467" s="222" t="s">
        <v>500</v>
      </c>
      <c r="B467" s="190" t="s">
        <v>501</v>
      </c>
      <c r="C467" s="223" t="s">
        <v>90</v>
      </c>
      <c r="D467" s="223" t="s">
        <v>883</v>
      </c>
      <c r="E467" s="190" t="s">
        <v>21</v>
      </c>
      <c r="F467" s="13" t="s">
        <v>927</v>
      </c>
      <c r="G467" s="190"/>
      <c r="H467" s="219">
        <f>IFERROR(
  MINIFS(ATTENDANCE_LOG!$F:$F,
         ATTENDANCE_LOG!$A:$A, C467,
         ATTENDANCE_LOG!$B:$B, E467),
"")</f>
        <v>45917.58333</v>
      </c>
      <c r="I467" s="219">
        <f t="shared" si="2"/>
        <v>45917.58333</v>
      </c>
      <c r="J467" s="190">
        <f>IFERROR(VLOOKUP(F467, LEVEL_HELPER!$A:$B, 2, 0), "")</f>
        <v>1</v>
      </c>
      <c r="K467" s="190" t="str">
        <f>IFERROR(VLOOKUP(G467, LEVEL_HELPER!$A:$B, 2, 0), "")</f>
        <v/>
      </c>
      <c r="L467" s="220" t="s">
        <v>947</v>
      </c>
      <c r="M467" s="220" t="s">
        <v>920</v>
      </c>
      <c r="N467" s="190">
        <f t="array" ref="N467">IFERROR(
  INDEX($J$2:$J$543,
    MATCH(A467&amp;TEXT(I467,"yyyy-mm-dd"),
          $A$2:$A$543&amp;TEXT($H$2:$H$543,"yyyy-mm-dd"),
          0)),
"")</f>
        <v>1</v>
      </c>
      <c r="O467" s="210">
        <f t="shared" si="3"/>
        <v>0</v>
      </c>
      <c r="P467" s="210">
        <f t="shared" ref="P467:Q467" si="477">IF(N467="",0,IF(N467&lt;=2,1,IF(N467&lt;=4,2,IF(N467&lt;=5.5,3,4))))</f>
        <v>1</v>
      </c>
      <c r="Q467" s="210">
        <f t="shared" si="477"/>
        <v>1</v>
      </c>
      <c r="R467" s="210" t="str">
        <f t="shared" si="5"/>
        <v>Not tested yet</v>
      </c>
      <c r="S467" s="210">
        <f t="shared" si="6"/>
        <v>1</v>
      </c>
      <c r="T467" s="210"/>
      <c r="U467" s="210"/>
      <c r="V467" s="210"/>
      <c r="W467" s="210"/>
      <c r="X467" s="210"/>
      <c r="Y467" s="210"/>
      <c r="Z467" s="210"/>
      <c r="AA467" s="210"/>
      <c r="AB467" s="210"/>
      <c r="AC467" s="210"/>
      <c r="AD467" s="210"/>
      <c r="AE467" s="210"/>
      <c r="AF467" s="210"/>
      <c r="AG467" s="210"/>
      <c r="AH467" s="210"/>
      <c r="AI467" s="210"/>
      <c r="AJ467" s="210"/>
      <c r="AK467" s="210"/>
      <c r="AL467" s="210"/>
      <c r="AM467" s="214"/>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c r="BU467" s="210"/>
      <c r="BV467" s="210"/>
      <c r="BW467" s="210"/>
      <c r="BX467" s="210"/>
      <c r="BY467" s="210"/>
      <c r="BZ467" s="210"/>
      <c r="CA467" s="210"/>
      <c r="CB467" s="210"/>
      <c r="CC467" s="210"/>
      <c r="CD467" s="210"/>
      <c r="CE467" s="210"/>
      <c r="CF467" s="210"/>
      <c r="CG467" s="210"/>
      <c r="CH467" s="210"/>
      <c r="CI467" s="210"/>
      <c r="CJ467" s="210"/>
      <c r="CK467" s="210"/>
    </row>
    <row r="468">
      <c r="A468" s="222" t="s">
        <v>551</v>
      </c>
      <c r="B468" s="190" t="s">
        <v>552</v>
      </c>
      <c r="C468" s="223" t="s">
        <v>90</v>
      </c>
      <c r="D468" s="223" t="s">
        <v>883</v>
      </c>
      <c r="E468" s="190" t="s">
        <v>21</v>
      </c>
      <c r="F468" s="13" t="s">
        <v>927</v>
      </c>
      <c r="G468" s="190"/>
      <c r="H468" s="219">
        <f>IFERROR(
  MINIFS(ATTENDANCE_LOG!$F:$F,
         ATTENDANCE_LOG!$A:$A, C468,
         ATTENDANCE_LOG!$B:$B, E468),
"")</f>
        <v>45917.58333</v>
      </c>
      <c r="I468" s="219">
        <f t="shared" si="2"/>
        <v>45917.58333</v>
      </c>
      <c r="J468" s="190">
        <f>IFERROR(VLOOKUP(F468, LEVEL_HELPER!$A:$B, 2, 0), "")</f>
        <v>1</v>
      </c>
      <c r="K468" s="190" t="str">
        <f>IFERROR(VLOOKUP(G468, LEVEL_HELPER!$A:$B, 2, 0), "")</f>
        <v/>
      </c>
      <c r="L468" s="220" t="s">
        <v>931</v>
      </c>
      <c r="M468" s="220" t="s">
        <v>926</v>
      </c>
      <c r="N468" s="190">
        <f t="array" ref="N468">IFERROR(
  INDEX($J$2:$J$543,
    MATCH(A468&amp;TEXT(I468,"yyyy-mm-dd"),
          $A$2:$A$543&amp;TEXT($H$2:$H$543,"yyyy-mm-dd"),
          0)),
"")</f>
        <v>1</v>
      </c>
      <c r="O468" s="210">
        <f t="shared" si="3"/>
        <v>0</v>
      </c>
      <c r="P468" s="210">
        <f t="shared" ref="P468:Q468" si="478">IF(N468="",0,IF(N468&lt;=2,1,IF(N468&lt;=4,2,IF(N468&lt;=5.5,3,4))))</f>
        <v>1</v>
      </c>
      <c r="Q468" s="210">
        <f t="shared" si="478"/>
        <v>1</v>
      </c>
      <c r="R468" s="210" t="str">
        <f t="shared" si="5"/>
        <v>Not tested yet</v>
      </c>
      <c r="S468" s="210">
        <f t="shared" si="6"/>
        <v>1</v>
      </c>
      <c r="T468" s="210"/>
      <c r="U468" s="210"/>
      <c r="V468" s="210"/>
      <c r="W468" s="210"/>
      <c r="X468" s="210"/>
      <c r="Y468" s="210"/>
      <c r="Z468" s="210"/>
      <c r="AA468" s="210"/>
      <c r="AB468" s="210"/>
      <c r="AC468" s="210"/>
      <c r="AD468" s="210"/>
      <c r="AE468" s="210"/>
      <c r="AF468" s="210"/>
      <c r="AG468" s="210"/>
      <c r="AH468" s="210"/>
      <c r="AI468" s="210"/>
      <c r="AJ468" s="210"/>
      <c r="AK468" s="210"/>
      <c r="AL468" s="210"/>
      <c r="AM468" s="214"/>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c r="BU468" s="210"/>
      <c r="BV468" s="210"/>
      <c r="BW468" s="210"/>
      <c r="BX468" s="210"/>
      <c r="BY468" s="210"/>
      <c r="BZ468" s="210"/>
      <c r="CA468" s="210"/>
      <c r="CB468" s="210"/>
      <c r="CC468" s="210"/>
      <c r="CD468" s="210"/>
      <c r="CE468" s="210"/>
      <c r="CF468" s="210"/>
      <c r="CG468" s="210"/>
      <c r="CH468" s="210"/>
      <c r="CI468" s="210"/>
      <c r="CJ468" s="210"/>
      <c r="CK468" s="210"/>
    </row>
    <row r="469">
      <c r="A469" s="216" t="s">
        <v>609</v>
      </c>
      <c r="B469" s="217" t="s">
        <v>610</v>
      </c>
      <c r="C469" s="218" t="s">
        <v>91</v>
      </c>
      <c r="D469" s="218" t="s">
        <v>884</v>
      </c>
      <c r="E469" s="217" t="s">
        <v>21</v>
      </c>
      <c r="F469" s="242" t="s">
        <v>927</v>
      </c>
      <c r="G469" s="242" t="s">
        <v>935</v>
      </c>
      <c r="H469" s="219">
        <f>IFERROR(
  MINIFS(ATTENDANCE_LOG!$F:$F,
         ATTENDANCE_LOG!$A:$A, C469,
         ATTENDANCE_LOG!$B:$B, E469),
"")</f>
        <v>45909.54167</v>
      </c>
      <c r="I469" s="219">
        <f t="shared" si="2"/>
        <v>45909.54167</v>
      </c>
      <c r="J469" s="217">
        <f>IFERROR(VLOOKUP(F469, LEVEL_HELPER!$A:$B, 2, 0), "")</f>
        <v>1</v>
      </c>
      <c r="K469" s="217">
        <f>IFERROR(VLOOKUP(G469, LEVEL_HELPER!$A:$B, 2, 0), "")</f>
        <v>3.5</v>
      </c>
      <c r="L469" s="247" t="s">
        <v>931</v>
      </c>
      <c r="M469" s="247" t="s">
        <v>920</v>
      </c>
      <c r="N469" s="190">
        <f t="array" ref="N469">IFERROR(
  INDEX($J$2:$J$543,
    MATCH(A469&amp;TEXT(I469,"yyyy-mm-dd"),
          $A$2:$A$543&amp;TEXT($H$2:$H$543,"yyyy-mm-dd"),
          0)),
"")</f>
        <v>1</v>
      </c>
      <c r="O469" s="248">
        <f t="shared" si="3"/>
        <v>3.5</v>
      </c>
      <c r="P469" s="210">
        <f t="shared" ref="P469:Q469" si="479">IF(N469="",0,IF(N469&lt;=2,1,IF(N469&lt;=4,2,IF(N469&lt;=5.5,3,4))))</f>
        <v>1</v>
      </c>
      <c r="Q469" s="210">
        <f t="shared" si="479"/>
        <v>2</v>
      </c>
      <c r="R469" s="210" t="str">
        <f t="shared" si="5"/>
        <v>Lv1 → Lv2</v>
      </c>
      <c r="S469" s="210">
        <f t="shared" si="6"/>
        <v>1</v>
      </c>
      <c r="T469" s="210"/>
      <c r="U469" s="210"/>
      <c r="V469" s="210"/>
      <c r="W469" s="210"/>
      <c r="X469" s="210"/>
      <c r="Y469" s="210"/>
      <c r="Z469" s="210"/>
      <c r="AA469" s="210"/>
      <c r="AB469" s="210"/>
      <c r="AC469" s="210"/>
      <c r="AD469" s="210"/>
      <c r="AE469" s="210"/>
      <c r="AF469" s="210"/>
      <c r="AG469" s="210"/>
      <c r="AH469" s="210"/>
      <c r="AI469" s="210"/>
      <c r="AJ469" s="210"/>
      <c r="AK469" s="210"/>
      <c r="AL469" s="210"/>
      <c r="AM469" s="214"/>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c r="BU469" s="210"/>
      <c r="BV469" s="210"/>
      <c r="BW469" s="210"/>
      <c r="BX469" s="210"/>
      <c r="BY469" s="210"/>
      <c r="BZ469" s="210"/>
      <c r="CA469" s="210"/>
      <c r="CB469" s="210"/>
      <c r="CC469" s="210"/>
      <c r="CD469" s="210"/>
      <c r="CE469" s="210"/>
      <c r="CF469" s="210"/>
      <c r="CG469" s="210"/>
      <c r="CH469" s="210"/>
      <c r="CI469" s="210"/>
      <c r="CJ469" s="210"/>
      <c r="CK469" s="210"/>
    </row>
    <row r="470">
      <c r="A470" s="222" t="s">
        <v>206</v>
      </c>
      <c r="B470" s="190" t="s">
        <v>207</v>
      </c>
      <c r="C470" s="223" t="s">
        <v>91</v>
      </c>
      <c r="D470" s="223" t="s">
        <v>884</v>
      </c>
      <c r="E470" s="190" t="s">
        <v>21</v>
      </c>
      <c r="F470" s="13" t="s">
        <v>927</v>
      </c>
      <c r="G470" s="13" t="s">
        <v>918</v>
      </c>
      <c r="H470" s="219">
        <f>IFERROR(
  MINIFS(ATTENDANCE_LOG!$F:$F,
         ATTENDANCE_LOG!$A:$A, C470,
         ATTENDANCE_LOG!$B:$B, E470),
"")</f>
        <v>45909.54167</v>
      </c>
      <c r="I470" s="219">
        <f t="shared" si="2"/>
        <v>45909.54167</v>
      </c>
      <c r="J470" s="190">
        <f>IFERROR(VLOOKUP(F470, LEVEL_HELPER!$A:$B, 2, 0), "")</f>
        <v>1</v>
      </c>
      <c r="K470" s="190">
        <f>IFERROR(VLOOKUP(G470, LEVEL_HELPER!$A:$B, 2, 0), "")</f>
        <v>3</v>
      </c>
      <c r="L470" s="220" t="s">
        <v>931</v>
      </c>
      <c r="M470" s="220" t="s">
        <v>920</v>
      </c>
      <c r="N470" s="190">
        <f t="array" ref="N470">IFERROR(
  INDEX($J$2:$J$543,
    MATCH(A470&amp;TEXT(I470,"yyyy-mm-dd"),
          $A$2:$A$543&amp;TEXT($H$2:$H$543,"yyyy-mm-dd"),
          0)),
"")</f>
        <v>1</v>
      </c>
      <c r="O470" s="210">
        <f t="shared" si="3"/>
        <v>3</v>
      </c>
      <c r="P470" s="210">
        <f t="shared" ref="P470:Q470" si="480">IF(N470="",0,IF(N470&lt;=2,1,IF(N470&lt;=4,2,IF(N470&lt;=5.5,3,4))))</f>
        <v>1</v>
      </c>
      <c r="Q470" s="210">
        <f t="shared" si="480"/>
        <v>2</v>
      </c>
      <c r="R470" s="210" t="str">
        <f t="shared" si="5"/>
        <v>Lv1 → Lv2</v>
      </c>
      <c r="S470" s="210">
        <f t="shared" si="6"/>
        <v>1</v>
      </c>
      <c r="T470" s="210"/>
      <c r="U470" s="210"/>
      <c r="V470" s="210"/>
      <c r="W470" s="210"/>
      <c r="X470" s="210"/>
      <c r="Y470" s="210"/>
      <c r="Z470" s="210"/>
      <c r="AA470" s="210"/>
      <c r="AB470" s="210"/>
      <c r="AC470" s="210"/>
      <c r="AD470" s="210"/>
      <c r="AE470" s="210"/>
      <c r="AF470" s="210"/>
      <c r="AG470" s="210"/>
      <c r="AH470" s="210"/>
      <c r="AI470" s="210"/>
      <c r="AJ470" s="210"/>
      <c r="AK470" s="210"/>
      <c r="AL470" s="210"/>
      <c r="AM470" s="214"/>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c r="BU470" s="210"/>
      <c r="BV470" s="210"/>
      <c r="BW470" s="210"/>
      <c r="BX470" s="210"/>
      <c r="BY470" s="210"/>
      <c r="BZ470" s="210"/>
      <c r="CA470" s="210"/>
      <c r="CB470" s="210"/>
      <c r="CC470" s="210"/>
      <c r="CD470" s="210"/>
      <c r="CE470" s="210"/>
      <c r="CF470" s="210"/>
      <c r="CG470" s="210"/>
      <c r="CH470" s="210"/>
      <c r="CI470" s="210"/>
      <c r="CJ470" s="210"/>
      <c r="CK470" s="210"/>
    </row>
    <row r="471">
      <c r="A471" s="222" t="s">
        <v>372</v>
      </c>
      <c r="B471" s="190" t="s">
        <v>373</v>
      </c>
      <c r="C471" s="223" t="s">
        <v>91</v>
      </c>
      <c r="D471" s="223" t="s">
        <v>884</v>
      </c>
      <c r="E471" s="190" t="s">
        <v>21</v>
      </c>
      <c r="F471" s="13" t="s">
        <v>927</v>
      </c>
      <c r="G471" s="13" t="s">
        <v>918</v>
      </c>
      <c r="H471" s="219">
        <f>IFERROR(
  MINIFS(ATTENDANCE_LOG!$F:$F,
         ATTENDANCE_LOG!$A:$A, C471,
         ATTENDANCE_LOG!$B:$B, E471),
"")</f>
        <v>45909.54167</v>
      </c>
      <c r="I471" s="219">
        <f t="shared" si="2"/>
        <v>45909.54167</v>
      </c>
      <c r="J471" s="190">
        <f>IFERROR(VLOOKUP(F471, LEVEL_HELPER!$A:$B, 2, 0), "")</f>
        <v>1</v>
      </c>
      <c r="K471" s="190">
        <f>IFERROR(VLOOKUP(G471, LEVEL_HELPER!$A:$B, 2, 0), "")</f>
        <v>3</v>
      </c>
      <c r="L471" s="220" t="s">
        <v>931</v>
      </c>
      <c r="M471" s="220" t="s">
        <v>920</v>
      </c>
      <c r="N471" s="190">
        <f t="array" ref="N471">IFERROR(
  INDEX($J$2:$J$543,
    MATCH(A471&amp;TEXT(I471,"yyyy-mm-dd"),
          $A$2:$A$543&amp;TEXT($H$2:$H$543,"yyyy-mm-dd"),
          0)),
"")</f>
        <v>1</v>
      </c>
      <c r="O471" s="210">
        <f t="shared" si="3"/>
        <v>3</v>
      </c>
      <c r="P471" s="210">
        <f t="shared" ref="P471:Q471" si="481">IF(N471="",0,IF(N471&lt;=2,1,IF(N471&lt;=4,2,IF(N471&lt;=5.5,3,4))))</f>
        <v>1</v>
      </c>
      <c r="Q471" s="210">
        <f t="shared" si="481"/>
        <v>2</v>
      </c>
      <c r="R471" s="210" t="str">
        <f t="shared" si="5"/>
        <v>Lv1 → Lv2</v>
      </c>
      <c r="S471" s="210">
        <f t="shared" si="6"/>
        <v>1</v>
      </c>
      <c r="T471" s="210"/>
      <c r="U471" s="210"/>
      <c r="V471" s="210"/>
      <c r="W471" s="210"/>
      <c r="X471" s="210"/>
      <c r="Y471" s="210"/>
      <c r="Z471" s="210"/>
      <c r="AA471" s="210"/>
      <c r="AB471" s="210"/>
      <c r="AC471" s="210"/>
      <c r="AD471" s="210"/>
      <c r="AE471" s="210"/>
      <c r="AF471" s="210"/>
      <c r="AG471" s="210"/>
      <c r="AH471" s="210"/>
      <c r="AI471" s="210"/>
      <c r="AJ471" s="210"/>
      <c r="AK471" s="210"/>
      <c r="AL471" s="210"/>
      <c r="AM471" s="214"/>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c r="BU471" s="210"/>
      <c r="BV471" s="210"/>
      <c r="BW471" s="210"/>
      <c r="BX471" s="210"/>
      <c r="BY471" s="210"/>
      <c r="BZ471" s="210"/>
      <c r="CA471" s="210"/>
      <c r="CB471" s="210"/>
      <c r="CC471" s="210"/>
      <c r="CD471" s="210"/>
      <c r="CE471" s="210"/>
      <c r="CF471" s="210"/>
      <c r="CG471" s="210"/>
      <c r="CH471" s="210"/>
      <c r="CI471" s="210"/>
      <c r="CJ471" s="210"/>
      <c r="CK471" s="210"/>
    </row>
    <row r="472">
      <c r="A472" s="222" t="s">
        <v>419</v>
      </c>
      <c r="B472" s="190" t="s">
        <v>420</v>
      </c>
      <c r="C472" s="223" t="s">
        <v>91</v>
      </c>
      <c r="D472" s="223" t="s">
        <v>884</v>
      </c>
      <c r="E472" s="190" t="s">
        <v>21</v>
      </c>
      <c r="F472" s="13" t="s">
        <v>927</v>
      </c>
      <c r="G472" s="13" t="s">
        <v>918</v>
      </c>
      <c r="H472" s="219">
        <f>IFERROR(
  MINIFS(ATTENDANCE_LOG!$F:$F,
         ATTENDANCE_LOG!$A:$A, C472,
         ATTENDANCE_LOG!$B:$B, E472),
"")</f>
        <v>45909.54167</v>
      </c>
      <c r="I472" s="219">
        <f t="shared" si="2"/>
        <v>45765.375</v>
      </c>
      <c r="J472" s="190">
        <f>IFERROR(VLOOKUP(F472, LEVEL_HELPER!$A:$B, 2, 0), "")</f>
        <v>1</v>
      </c>
      <c r="K472" s="190">
        <f>IFERROR(VLOOKUP(G472, LEVEL_HELPER!$A:$B, 2, 0), "")</f>
        <v>3</v>
      </c>
      <c r="L472" s="220" t="s">
        <v>943</v>
      </c>
      <c r="M472" s="220" t="s">
        <v>923</v>
      </c>
      <c r="N472" s="190">
        <f t="array" ref="N472">IFERROR(
  INDEX($J$2:$J$543,
    MATCH(A472&amp;TEXT(I472,"yyyy-mm-dd"),
          $A$2:$A$543&amp;TEXT($H$2:$H$543,"yyyy-mm-dd"),
          0)),
"")</f>
        <v>1</v>
      </c>
      <c r="O472" s="210">
        <f t="shared" si="3"/>
        <v>3</v>
      </c>
      <c r="P472" s="210">
        <f t="shared" ref="P472:Q472" si="482">IF(N472="",0,IF(N472&lt;=2,1,IF(N472&lt;=4,2,IF(N472&lt;=5.5,3,4))))</f>
        <v>1</v>
      </c>
      <c r="Q472" s="210">
        <f t="shared" si="482"/>
        <v>2</v>
      </c>
      <c r="R472" s="210" t="str">
        <f t="shared" si="5"/>
        <v>Lv1 → Lv2</v>
      </c>
      <c r="S472" s="210">
        <f t="shared" si="6"/>
        <v>0</v>
      </c>
      <c r="T472" s="210"/>
      <c r="U472" s="210"/>
      <c r="V472" s="210"/>
      <c r="W472" s="210"/>
      <c r="X472" s="210"/>
      <c r="Y472" s="210"/>
      <c r="Z472" s="210"/>
      <c r="AA472" s="210"/>
      <c r="AB472" s="210"/>
      <c r="AC472" s="210"/>
      <c r="AD472" s="210"/>
      <c r="AE472" s="210"/>
      <c r="AF472" s="210"/>
      <c r="AG472" s="210"/>
      <c r="AH472" s="210"/>
      <c r="AI472" s="210"/>
      <c r="AJ472" s="210"/>
      <c r="AK472" s="210"/>
      <c r="AL472" s="210"/>
      <c r="AM472" s="214"/>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c r="BU472" s="210"/>
      <c r="BV472" s="210"/>
      <c r="BW472" s="210"/>
      <c r="BX472" s="210"/>
      <c r="BY472" s="210"/>
      <c r="BZ472" s="210"/>
      <c r="CA472" s="210"/>
      <c r="CB472" s="210"/>
      <c r="CC472" s="210"/>
      <c r="CD472" s="210"/>
      <c r="CE472" s="210"/>
      <c r="CF472" s="210"/>
      <c r="CG472" s="210"/>
      <c r="CH472" s="210"/>
      <c r="CI472" s="210"/>
      <c r="CJ472" s="210"/>
      <c r="CK472" s="210"/>
    </row>
    <row r="473">
      <c r="A473" s="222" t="s">
        <v>459</v>
      </c>
      <c r="B473" s="190" t="s">
        <v>460</v>
      </c>
      <c r="C473" s="223" t="s">
        <v>91</v>
      </c>
      <c r="D473" s="223" t="s">
        <v>884</v>
      </c>
      <c r="E473" s="190" t="s">
        <v>21</v>
      </c>
      <c r="F473" s="13" t="s">
        <v>927</v>
      </c>
      <c r="G473" s="13" t="s">
        <v>935</v>
      </c>
      <c r="H473" s="219">
        <f>IFERROR(
  MINIFS(ATTENDANCE_LOG!$F:$F,
         ATTENDANCE_LOG!$A:$A, C473,
         ATTENDANCE_LOG!$B:$B, E473),
"")</f>
        <v>45909.54167</v>
      </c>
      <c r="I473" s="219">
        <f t="shared" si="2"/>
        <v>45909.54167</v>
      </c>
      <c r="J473" s="190">
        <f>IFERROR(VLOOKUP(F473, LEVEL_HELPER!$A:$B, 2, 0), "")</f>
        <v>1</v>
      </c>
      <c r="K473" s="190">
        <f>IFERROR(VLOOKUP(G473, LEVEL_HELPER!$A:$B, 2, 0), "")</f>
        <v>3.5</v>
      </c>
      <c r="L473" s="220" t="s">
        <v>931</v>
      </c>
      <c r="M473" s="220" t="s">
        <v>920</v>
      </c>
      <c r="N473" s="190">
        <f t="array" ref="N473">IFERROR(
  INDEX($J$2:$J$543,
    MATCH(A473&amp;TEXT(I473,"yyyy-mm-dd"),
          $A$2:$A$543&amp;TEXT($H$2:$H$543,"yyyy-mm-dd"),
          0)),
"")</f>
        <v>1</v>
      </c>
      <c r="O473" s="210">
        <f t="shared" si="3"/>
        <v>3.5</v>
      </c>
      <c r="P473" s="210">
        <f t="shared" ref="P473:Q473" si="483">IF(N473="",0,IF(N473&lt;=2,1,IF(N473&lt;=4,2,IF(N473&lt;=5.5,3,4))))</f>
        <v>1</v>
      </c>
      <c r="Q473" s="210">
        <f t="shared" si="483"/>
        <v>2</v>
      </c>
      <c r="R473" s="210" t="str">
        <f t="shared" si="5"/>
        <v>Lv1 → Lv2</v>
      </c>
      <c r="S473" s="210">
        <f t="shared" si="6"/>
        <v>1</v>
      </c>
      <c r="T473" s="210"/>
      <c r="U473" s="210"/>
      <c r="V473" s="210"/>
      <c r="W473" s="210"/>
      <c r="X473" s="210"/>
      <c r="Y473" s="210"/>
      <c r="Z473" s="210"/>
      <c r="AA473" s="210"/>
      <c r="AB473" s="210"/>
      <c r="AC473" s="210"/>
      <c r="AD473" s="210"/>
      <c r="AE473" s="210"/>
      <c r="AF473" s="210"/>
      <c r="AG473" s="210"/>
      <c r="AH473" s="210"/>
      <c r="AI473" s="210"/>
      <c r="AJ473" s="210"/>
      <c r="AK473" s="210"/>
      <c r="AL473" s="210"/>
      <c r="AM473" s="214"/>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c r="BU473" s="210"/>
      <c r="BV473" s="210"/>
      <c r="BW473" s="210"/>
      <c r="BX473" s="210"/>
      <c r="BY473" s="210"/>
      <c r="BZ473" s="210"/>
      <c r="CA473" s="210"/>
      <c r="CB473" s="210"/>
      <c r="CC473" s="210"/>
      <c r="CD473" s="210"/>
      <c r="CE473" s="210"/>
      <c r="CF473" s="210"/>
      <c r="CG473" s="210"/>
      <c r="CH473" s="210"/>
      <c r="CI473" s="210"/>
      <c r="CJ473" s="210"/>
      <c r="CK473" s="210"/>
    </row>
    <row r="474">
      <c r="A474" s="222" t="s">
        <v>536</v>
      </c>
      <c r="B474" s="190" t="s">
        <v>537</v>
      </c>
      <c r="C474" s="223" t="s">
        <v>91</v>
      </c>
      <c r="D474" s="223" t="s">
        <v>884</v>
      </c>
      <c r="E474" s="190" t="s">
        <v>21</v>
      </c>
      <c r="F474" s="13" t="s">
        <v>927</v>
      </c>
      <c r="G474" s="13" t="s">
        <v>935</v>
      </c>
      <c r="H474" s="219">
        <f>IFERROR(
  MINIFS(ATTENDANCE_LOG!$F:$F,
         ATTENDANCE_LOG!$A:$A, C474,
         ATTENDANCE_LOG!$B:$B, E474),
"")</f>
        <v>45909.54167</v>
      </c>
      <c r="I474" s="219">
        <f t="shared" si="2"/>
        <v>45909.54167</v>
      </c>
      <c r="J474" s="190">
        <f>IFERROR(VLOOKUP(F474, LEVEL_HELPER!$A:$B, 2, 0), "")</f>
        <v>1</v>
      </c>
      <c r="K474" s="190">
        <f>IFERROR(VLOOKUP(G474, LEVEL_HELPER!$A:$B, 2, 0), "")</f>
        <v>3.5</v>
      </c>
      <c r="L474" s="220" t="s">
        <v>931</v>
      </c>
      <c r="M474" s="220" t="s">
        <v>920</v>
      </c>
      <c r="N474" s="190">
        <f t="array" ref="N474">IFERROR(
  INDEX($J$2:$J$543,
    MATCH(A474&amp;TEXT(I474,"yyyy-mm-dd"),
          $A$2:$A$543&amp;TEXT($H$2:$H$543,"yyyy-mm-dd"),
          0)),
"")</f>
        <v>1</v>
      </c>
      <c r="O474" s="210">
        <f t="shared" si="3"/>
        <v>3.5</v>
      </c>
      <c r="P474" s="210">
        <f t="shared" ref="P474:Q474" si="484">IF(N474="",0,IF(N474&lt;=2,1,IF(N474&lt;=4,2,IF(N474&lt;=5.5,3,4))))</f>
        <v>1</v>
      </c>
      <c r="Q474" s="210">
        <f t="shared" si="484"/>
        <v>2</v>
      </c>
      <c r="R474" s="210" t="str">
        <f t="shared" si="5"/>
        <v>Lv1 → Lv2</v>
      </c>
      <c r="S474" s="210">
        <f t="shared" si="6"/>
        <v>1</v>
      </c>
      <c r="T474" s="210"/>
      <c r="U474" s="210"/>
      <c r="V474" s="210"/>
      <c r="W474" s="210"/>
      <c r="X474" s="210"/>
      <c r="Y474" s="210"/>
      <c r="Z474" s="210"/>
      <c r="AA474" s="210"/>
      <c r="AB474" s="210"/>
      <c r="AC474" s="210"/>
      <c r="AD474" s="210"/>
      <c r="AE474" s="210"/>
      <c r="AF474" s="210"/>
      <c r="AG474" s="210"/>
      <c r="AH474" s="210"/>
      <c r="AI474" s="210"/>
      <c r="AJ474" s="210"/>
      <c r="AK474" s="210"/>
      <c r="AL474" s="210"/>
      <c r="AM474" s="214"/>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c r="BU474" s="210"/>
      <c r="BV474" s="210"/>
      <c r="BW474" s="210"/>
      <c r="BX474" s="210"/>
      <c r="BY474" s="210"/>
      <c r="BZ474" s="210"/>
      <c r="CA474" s="210"/>
      <c r="CB474" s="210"/>
      <c r="CC474" s="210"/>
      <c r="CD474" s="210"/>
      <c r="CE474" s="210"/>
      <c r="CF474" s="210"/>
      <c r="CG474" s="210"/>
      <c r="CH474" s="210"/>
      <c r="CI474" s="210"/>
      <c r="CJ474" s="210"/>
      <c r="CK474" s="210"/>
    </row>
    <row r="475">
      <c r="A475" s="216" t="s">
        <v>609</v>
      </c>
      <c r="B475" s="217" t="s">
        <v>610</v>
      </c>
      <c r="C475" s="218" t="s">
        <v>91</v>
      </c>
      <c r="D475" s="218" t="s">
        <v>884</v>
      </c>
      <c r="E475" s="217" t="s">
        <v>22</v>
      </c>
      <c r="F475" s="242" t="s">
        <v>935</v>
      </c>
      <c r="G475" s="217"/>
      <c r="H475" s="219">
        <f>IFERROR(
  MINIFS(ATTENDANCE_LOG!$F:$F,
         ATTENDANCE_LOG!$A:$A, C475,
         ATTENDANCE_LOG!$B:$B, E475),
"")</f>
        <v>46093.54167</v>
      </c>
      <c r="I475" s="219">
        <f t="shared" si="2"/>
        <v>45909.54167</v>
      </c>
      <c r="J475" s="217">
        <f>IFERROR(VLOOKUP(F475, LEVEL_HELPER!$A:$B, 2, 0), "")</f>
        <v>3.5</v>
      </c>
      <c r="K475" s="217" t="str">
        <f>IFERROR(VLOOKUP(G475, LEVEL_HELPER!$A:$B, 2, 0), "")</f>
        <v/>
      </c>
      <c r="L475" s="247" t="s">
        <v>931</v>
      </c>
      <c r="M475" s="247" t="s">
        <v>920</v>
      </c>
      <c r="N475" s="190">
        <f t="array" ref="N475">IFERROR(
  INDEX($J$2:$J$543,
    MATCH(A475&amp;TEXT(I475,"yyyy-mm-dd"),
          $A$2:$A$543&amp;TEXT($H$2:$H$543,"yyyy-mm-dd"),
          0)),
"")</f>
        <v>1</v>
      </c>
      <c r="O475" s="248">
        <f t="shared" si="3"/>
        <v>3.5</v>
      </c>
      <c r="P475" s="210">
        <f t="shared" ref="P475:Q475" si="485">IF(N475="",0,IF(N475&lt;=2,1,IF(N475&lt;=4,2,IF(N475&lt;=5.5,3,4))))</f>
        <v>1</v>
      </c>
      <c r="Q475" s="210">
        <f t="shared" si="485"/>
        <v>2</v>
      </c>
      <c r="R475" s="210" t="str">
        <f t="shared" si="5"/>
        <v>Lv1 → Lv2</v>
      </c>
      <c r="S475" s="210">
        <f t="shared" si="6"/>
        <v>0</v>
      </c>
      <c r="T475" s="210"/>
      <c r="U475" s="210"/>
      <c r="V475" s="210"/>
      <c r="W475" s="210"/>
      <c r="X475" s="210"/>
      <c r="Y475" s="210"/>
      <c r="Z475" s="210"/>
      <c r="AA475" s="210"/>
      <c r="AB475" s="210"/>
      <c r="AC475" s="210"/>
      <c r="AD475" s="210"/>
      <c r="AE475" s="210"/>
      <c r="AF475" s="210"/>
      <c r="AG475" s="210"/>
      <c r="AH475" s="210"/>
      <c r="AI475" s="210"/>
      <c r="AJ475" s="210"/>
      <c r="AK475" s="210"/>
      <c r="AL475" s="210"/>
      <c r="AM475" s="214"/>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c r="BU475" s="210"/>
      <c r="BV475" s="210"/>
      <c r="BW475" s="210"/>
      <c r="BX475" s="210"/>
      <c r="BY475" s="210"/>
      <c r="BZ475" s="210"/>
      <c r="CA475" s="210"/>
      <c r="CB475" s="210"/>
      <c r="CC475" s="210"/>
      <c r="CD475" s="210"/>
      <c r="CE475" s="210"/>
      <c r="CF475" s="210"/>
      <c r="CG475" s="210"/>
      <c r="CH475" s="210"/>
      <c r="CI475" s="210"/>
      <c r="CJ475" s="210"/>
      <c r="CK475" s="210"/>
    </row>
    <row r="476">
      <c r="A476" s="222" t="s">
        <v>206</v>
      </c>
      <c r="B476" s="190" t="s">
        <v>207</v>
      </c>
      <c r="C476" s="223" t="s">
        <v>91</v>
      </c>
      <c r="D476" s="223" t="s">
        <v>884</v>
      </c>
      <c r="E476" s="190" t="s">
        <v>22</v>
      </c>
      <c r="F476" s="13" t="s">
        <v>918</v>
      </c>
      <c r="G476" s="190"/>
      <c r="H476" s="219">
        <f>IFERROR(
  MINIFS(ATTENDANCE_LOG!$F:$F,
         ATTENDANCE_LOG!$A:$A, C476,
         ATTENDANCE_LOG!$B:$B, E476),
"")</f>
        <v>46093.54167</v>
      </c>
      <c r="I476" s="219">
        <f t="shared" si="2"/>
        <v>45909.54167</v>
      </c>
      <c r="J476" s="190">
        <f>IFERROR(VLOOKUP(F476, LEVEL_HELPER!$A:$B, 2, 0), "")</f>
        <v>3</v>
      </c>
      <c r="K476" s="190" t="str">
        <f>IFERROR(VLOOKUP(G476, LEVEL_HELPER!$A:$B, 2, 0), "")</f>
        <v/>
      </c>
      <c r="L476" s="220" t="s">
        <v>931</v>
      </c>
      <c r="M476" s="220" t="s">
        <v>920</v>
      </c>
      <c r="N476" s="190">
        <f t="array" ref="N476">IFERROR(
  INDEX($J$2:$J$543,
    MATCH(A476&amp;TEXT(I476,"yyyy-mm-dd"),
          $A$2:$A$543&amp;TEXT($H$2:$H$543,"yyyy-mm-dd"),
          0)),
"")</f>
        <v>1</v>
      </c>
      <c r="O476" s="210">
        <f t="shared" si="3"/>
        <v>3</v>
      </c>
      <c r="P476" s="210">
        <f t="shared" ref="P476:Q476" si="486">IF(N476="",0,IF(N476&lt;=2,1,IF(N476&lt;=4,2,IF(N476&lt;=5.5,3,4))))</f>
        <v>1</v>
      </c>
      <c r="Q476" s="210">
        <f t="shared" si="486"/>
        <v>2</v>
      </c>
      <c r="R476" s="210" t="str">
        <f t="shared" si="5"/>
        <v>Lv1 → Lv2</v>
      </c>
      <c r="S476" s="210">
        <f t="shared" si="6"/>
        <v>0</v>
      </c>
      <c r="T476" s="210"/>
      <c r="U476" s="210"/>
      <c r="V476" s="210"/>
      <c r="W476" s="210"/>
      <c r="X476" s="210"/>
      <c r="Y476" s="210"/>
      <c r="Z476" s="210"/>
      <c r="AA476" s="210"/>
      <c r="AB476" s="210"/>
      <c r="AC476" s="210"/>
      <c r="AD476" s="210"/>
      <c r="AE476" s="210"/>
      <c r="AF476" s="210"/>
      <c r="AG476" s="210"/>
      <c r="AH476" s="210"/>
      <c r="AI476" s="210"/>
      <c r="AJ476" s="210"/>
      <c r="AK476" s="210"/>
      <c r="AL476" s="210"/>
      <c r="AM476" s="214"/>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c r="BU476" s="210"/>
      <c r="BV476" s="210"/>
      <c r="BW476" s="210"/>
      <c r="BX476" s="210"/>
      <c r="BY476" s="210"/>
      <c r="BZ476" s="210"/>
      <c r="CA476" s="210"/>
      <c r="CB476" s="210"/>
      <c r="CC476" s="210"/>
      <c r="CD476" s="210"/>
      <c r="CE476" s="210"/>
      <c r="CF476" s="210"/>
      <c r="CG476" s="210"/>
      <c r="CH476" s="210"/>
      <c r="CI476" s="210"/>
      <c r="CJ476" s="210"/>
      <c r="CK476" s="210"/>
    </row>
    <row r="477">
      <c r="A477" s="222" t="s">
        <v>372</v>
      </c>
      <c r="B477" s="190" t="s">
        <v>373</v>
      </c>
      <c r="C477" s="223" t="s">
        <v>91</v>
      </c>
      <c r="D477" s="223" t="s">
        <v>884</v>
      </c>
      <c r="E477" s="190" t="s">
        <v>22</v>
      </c>
      <c r="F477" s="13" t="s">
        <v>918</v>
      </c>
      <c r="G477" s="190"/>
      <c r="H477" s="219">
        <f>IFERROR(
  MINIFS(ATTENDANCE_LOG!$F:$F,
         ATTENDANCE_LOG!$A:$A, C477,
         ATTENDANCE_LOG!$B:$B, E477),
"")</f>
        <v>46093.54167</v>
      </c>
      <c r="I477" s="219">
        <f t="shared" si="2"/>
        <v>45909.54167</v>
      </c>
      <c r="J477" s="190">
        <f>IFERROR(VLOOKUP(F477, LEVEL_HELPER!$A:$B, 2, 0), "")</f>
        <v>3</v>
      </c>
      <c r="K477" s="190" t="str">
        <f>IFERROR(VLOOKUP(G477, LEVEL_HELPER!$A:$B, 2, 0), "")</f>
        <v/>
      </c>
      <c r="L477" s="220" t="s">
        <v>931</v>
      </c>
      <c r="M477" s="220" t="s">
        <v>920</v>
      </c>
      <c r="N477" s="190">
        <f t="array" ref="N477">IFERROR(
  INDEX($J$2:$J$543,
    MATCH(A477&amp;TEXT(I477,"yyyy-mm-dd"),
          $A$2:$A$543&amp;TEXT($H$2:$H$543,"yyyy-mm-dd"),
          0)),
"")</f>
        <v>1</v>
      </c>
      <c r="O477" s="210">
        <f t="shared" si="3"/>
        <v>3</v>
      </c>
      <c r="P477" s="210">
        <f t="shared" ref="P477:Q477" si="487">IF(N477="",0,IF(N477&lt;=2,1,IF(N477&lt;=4,2,IF(N477&lt;=5.5,3,4))))</f>
        <v>1</v>
      </c>
      <c r="Q477" s="210">
        <f t="shared" si="487"/>
        <v>2</v>
      </c>
      <c r="R477" s="210" t="str">
        <f t="shared" si="5"/>
        <v>Lv1 → Lv2</v>
      </c>
      <c r="S477" s="210">
        <f t="shared" si="6"/>
        <v>0</v>
      </c>
      <c r="T477" s="210"/>
      <c r="U477" s="210"/>
      <c r="V477" s="210"/>
      <c r="W477" s="210"/>
      <c r="X477" s="210"/>
      <c r="Y477" s="210"/>
      <c r="Z477" s="210"/>
      <c r="AA477" s="210"/>
      <c r="AB477" s="210"/>
      <c r="AC477" s="210"/>
      <c r="AD477" s="210"/>
      <c r="AE477" s="210"/>
      <c r="AF477" s="210"/>
      <c r="AG477" s="210"/>
      <c r="AH477" s="210"/>
      <c r="AI477" s="210"/>
      <c r="AJ477" s="210"/>
      <c r="AK477" s="210"/>
      <c r="AL477" s="210"/>
      <c r="AM477" s="214"/>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c r="BU477" s="210"/>
      <c r="BV477" s="210"/>
      <c r="BW477" s="210"/>
      <c r="BX477" s="210"/>
      <c r="BY477" s="210"/>
      <c r="BZ477" s="210"/>
      <c r="CA477" s="210"/>
      <c r="CB477" s="210"/>
      <c r="CC477" s="210"/>
      <c r="CD477" s="210"/>
      <c r="CE477" s="210"/>
      <c r="CF477" s="210"/>
      <c r="CG477" s="210"/>
      <c r="CH477" s="210"/>
      <c r="CI477" s="210"/>
      <c r="CJ477" s="210"/>
      <c r="CK477" s="210"/>
    </row>
    <row r="478">
      <c r="A478" s="222" t="s">
        <v>419</v>
      </c>
      <c r="B478" s="190" t="s">
        <v>420</v>
      </c>
      <c r="C478" s="223" t="s">
        <v>91</v>
      </c>
      <c r="D478" s="223" t="s">
        <v>884</v>
      </c>
      <c r="E478" s="190" t="s">
        <v>22</v>
      </c>
      <c r="F478" s="13" t="s">
        <v>918</v>
      </c>
      <c r="G478" s="190"/>
      <c r="H478" s="219">
        <f>IFERROR(
  MINIFS(ATTENDANCE_LOG!$F:$F,
         ATTENDANCE_LOG!$A:$A, C478,
         ATTENDANCE_LOG!$B:$B, E478),
"")</f>
        <v>46093.54167</v>
      </c>
      <c r="I478" s="219">
        <f t="shared" si="2"/>
        <v>45765.375</v>
      </c>
      <c r="J478" s="190">
        <f>IFERROR(VLOOKUP(F478, LEVEL_HELPER!$A:$B, 2, 0), "")</f>
        <v>3</v>
      </c>
      <c r="K478" s="190" t="str">
        <f>IFERROR(VLOOKUP(G478, LEVEL_HELPER!$A:$B, 2, 0), "")</f>
        <v/>
      </c>
      <c r="L478" s="220" t="s">
        <v>943</v>
      </c>
      <c r="M478" s="220" t="s">
        <v>923</v>
      </c>
      <c r="N478" s="190">
        <f t="array" ref="N478">IFERROR(
  INDEX($J$2:$J$543,
    MATCH(A478&amp;TEXT(I478,"yyyy-mm-dd"),
          $A$2:$A$543&amp;TEXT($H$2:$H$543,"yyyy-mm-dd"),
          0)),
"")</f>
        <v>1</v>
      </c>
      <c r="O478" s="210">
        <f t="shared" si="3"/>
        <v>3</v>
      </c>
      <c r="P478" s="210">
        <f t="shared" ref="P478:Q478" si="488">IF(N478="",0,IF(N478&lt;=2,1,IF(N478&lt;=4,2,IF(N478&lt;=5.5,3,4))))</f>
        <v>1</v>
      </c>
      <c r="Q478" s="210">
        <f t="shared" si="488"/>
        <v>2</v>
      </c>
      <c r="R478" s="210" t="str">
        <f t="shared" si="5"/>
        <v>Lv1 → Lv2</v>
      </c>
      <c r="S478" s="210">
        <f t="shared" si="6"/>
        <v>0</v>
      </c>
      <c r="T478" s="210"/>
      <c r="U478" s="210"/>
      <c r="V478" s="210"/>
      <c r="W478" s="210"/>
      <c r="X478" s="210"/>
      <c r="Y478" s="210"/>
      <c r="Z478" s="210"/>
      <c r="AA478" s="210"/>
      <c r="AB478" s="210"/>
      <c r="AC478" s="210"/>
      <c r="AD478" s="210"/>
      <c r="AE478" s="210"/>
      <c r="AF478" s="210"/>
      <c r="AG478" s="210"/>
      <c r="AH478" s="210"/>
      <c r="AI478" s="210"/>
      <c r="AJ478" s="210"/>
      <c r="AK478" s="210"/>
      <c r="AL478" s="210"/>
      <c r="AM478" s="214"/>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c r="BU478" s="210"/>
      <c r="BV478" s="210"/>
      <c r="BW478" s="210"/>
      <c r="BX478" s="210"/>
      <c r="BY478" s="210"/>
      <c r="BZ478" s="210"/>
      <c r="CA478" s="210"/>
      <c r="CB478" s="210"/>
      <c r="CC478" s="210"/>
      <c r="CD478" s="210"/>
      <c r="CE478" s="210"/>
      <c r="CF478" s="210"/>
      <c r="CG478" s="210"/>
      <c r="CH478" s="210"/>
      <c r="CI478" s="210"/>
      <c r="CJ478" s="210"/>
      <c r="CK478" s="210"/>
    </row>
    <row r="479">
      <c r="A479" s="222" t="s">
        <v>459</v>
      </c>
      <c r="B479" s="190" t="s">
        <v>460</v>
      </c>
      <c r="C479" s="223" t="s">
        <v>91</v>
      </c>
      <c r="D479" s="223" t="s">
        <v>884</v>
      </c>
      <c r="E479" s="190" t="s">
        <v>22</v>
      </c>
      <c r="F479" s="13" t="s">
        <v>935</v>
      </c>
      <c r="G479" s="190"/>
      <c r="H479" s="219">
        <f>IFERROR(
  MINIFS(ATTENDANCE_LOG!$F:$F,
         ATTENDANCE_LOG!$A:$A, C479,
         ATTENDANCE_LOG!$B:$B, E479),
"")</f>
        <v>46093.54167</v>
      </c>
      <c r="I479" s="219">
        <f t="shared" si="2"/>
        <v>45909.54167</v>
      </c>
      <c r="J479" s="190">
        <f>IFERROR(VLOOKUP(F479, LEVEL_HELPER!$A:$B, 2, 0), "")</f>
        <v>3.5</v>
      </c>
      <c r="K479" s="190" t="str">
        <f>IFERROR(VLOOKUP(G479, LEVEL_HELPER!$A:$B, 2, 0), "")</f>
        <v/>
      </c>
      <c r="L479" s="220" t="s">
        <v>931</v>
      </c>
      <c r="M479" s="220" t="s">
        <v>920</v>
      </c>
      <c r="N479" s="190">
        <f t="array" ref="N479">IFERROR(
  INDEX($J$2:$J$543,
    MATCH(A479&amp;TEXT(I479,"yyyy-mm-dd"),
          $A$2:$A$543&amp;TEXT($H$2:$H$543,"yyyy-mm-dd"),
          0)),
"")</f>
        <v>1</v>
      </c>
      <c r="O479" s="210">
        <f t="shared" si="3"/>
        <v>3.5</v>
      </c>
      <c r="P479" s="210">
        <f t="shared" ref="P479:Q479" si="489">IF(N479="",0,IF(N479&lt;=2,1,IF(N479&lt;=4,2,IF(N479&lt;=5.5,3,4))))</f>
        <v>1</v>
      </c>
      <c r="Q479" s="210">
        <f t="shared" si="489"/>
        <v>2</v>
      </c>
      <c r="R479" s="210" t="str">
        <f t="shared" si="5"/>
        <v>Lv1 → Lv2</v>
      </c>
      <c r="S479" s="210">
        <f t="shared" si="6"/>
        <v>0</v>
      </c>
      <c r="T479" s="210"/>
      <c r="U479" s="210"/>
      <c r="V479" s="210"/>
      <c r="W479" s="210"/>
      <c r="X479" s="210"/>
      <c r="Y479" s="210"/>
      <c r="Z479" s="210"/>
      <c r="AA479" s="210"/>
      <c r="AB479" s="210"/>
      <c r="AC479" s="210"/>
      <c r="AD479" s="210"/>
      <c r="AE479" s="210"/>
      <c r="AF479" s="210"/>
      <c r="AG479" s="210"/>
      <c r="AH479" s="210"/>
      <c r="AI479" s="210"/>
      <c r="AJ479" s="210"/>
      <c r="AK479" s="210"/>
      <c r="AL479" s="210"/>
      <c r="AM479" s="214"/>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c r="BU479" s="210"/>
      <c r="BV479" s="210"/>
      <c r="BW479" s="210"/>
      <c r="BX479" s="210"/>
      <c r="BY479" s="210"/>
      <c r="BZ479" s="210"/>
      <c r="CA479" s="210"/>
      <c r="CB479" s="210"/>
      <c r="CC479" s="210"/>
      <c r="CD479" s="210"/>
      <c r="CE479" s="210"/>
      <c r="CF479" s="210"/>
      <c r="CG479" s="210"/>
      <c r="CH479" s="210"/>
      <c r="CI479" s="210"/>
      <c r="CJ479" s="210"/>
      <c r="CK479" s="210"/>
    </row>
    <row r="480">
      <c r="A480" s="222" t="s">
        <v>536</v>
      </c>
      <c r="B480" s="190" t="s">
        <v>537</v>
      </c>
      <c r="C480" s="223" t="s">
        <v>91</v>
      </c>
      <c r="D480" s="223" t="s">
        <v>884</v>
      </c>
      <c r="E480" s="190" t="s">
        <v>22</v>
      </c>
      <c r="F480" s="13" t="s">
        <v>935</v>
      </c>
      <c r="G480" s="190"/>
      <c r="H480" s="219">
        <f>IFERROR(
  MINIFS(ATTENDANCE_LOG!$F:$F,
         ATTENDANCE_LOG!$A:$A, C480,
         ATTENDANCE_LOG!$B:$B, E480),
"")</f>
        <v>46093.54167</v>
      </c>
      <c r="I480" s="219">
        <f t="shared" si="2"/>
        <v>45909.54167</v>
      </c>
      <c r="J480" s="190">
        <f>IFERROR(VLOOKUP(F480, LEVEL_HELPER!$A:$B, 2, 0), "")</f>
        <v>3.5</v>
      </c>
      <c r="K480" s="190" t="str">
        <f>IFERROR(VLOOKUP(G480, LEVEL_HELPER!$A:$B, 2, 0), "")</f>
        <v/>
      </c>
      <c r="L480" s="220" t="s">
        <v>931</v>
      </c>
      <c r="M480" s="220" t="s">
        <v>920</v>
      </c>
      <c r="N480" s="190">
        <f t="array" ref="N480">IFERROR(
  INDEX($J$2:$J$543,
    MATCH(A480&amp;TEXT(I480,"yyyy-mm-dd"),
          $A$2:$A$543&amp;TEXT($H$2:$H$543,"yyyy-mm-dd"),
          0)),
"")</f>
        <v>1</v>
      </c>
      <c r="O480" s="210">
        <f t="shared" si="3"/>
        <v>3.5</v>
      </c>
      <c r="P480" s="210">
        <f t="shared" ref="P480:Q480" si="490">IF(N480="",0,IF(N480&lt;=2,1,IF(N480&lt;=4,2,IF(N480&lt;=5.5,3,4))))</f>
        <v>1</v>
      </c>
      <c r="Q480" s="210">
        <f t="shared" si="490"/>
        <v>2</v>
      </c>
      <c r="R480" s="210" t="str">
        <f t="shared" si="5"/>
        <v>Lv1 → Lv2</v>
      </c>
      <c r="S480" s="210">
        <f t="shared" si="6"/>
        <v>0</v>
      </c>
      <c r="T480" s="210"/>
      <c r="U480" s="210"/>
      <c r="V480" s="210"/>
      <c r="W480" s="210"/>
      <c r="X480" s="210"/>
      <c r="Y480" s="210"/>
      <c r="Z480" s="210"/>
      <c r="AA480" s="210"/>
      <c r="AB480" s="210"/>
      <c r="AC480" s="210"/>
      <c r="AD480" s="210"/>
      <c r="AE480" s="210"/>
      <c r="AF480" s="210"/>
      <c r="AG480" s="210"/>
      <c r="AH480" s="210"/>
      <c r="AI480" s="210"/>
      <c r="AJ480" s="210"/>
      <c r="AK480" s="210"/>
      <c r="AL480" s="210"/>
      <c r="AM480" s="214"/>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c r="BU480" s="210"/>
      <c r="BV480" s="210"/>
      <c r="BW480" s="210"/>
      <c r="BX480" s="210"/>
      <c r="BY480" s="210"/>
      <c r="BZ480" s="210"/>
      <c r="CA480" s="210"/>
      <c r="CB480" s="210"/>
      <c r="CC480" s="210"/>
      <c r="CD480" s="210"/>
      <c r="CE480" s="210"/>
      <c r="CF480" s="210"/>
      <c r="CG480" s="210"/>
      <c r="CH480" s="210"/>
      <c r="CI480" s="210"/>
      <c r="CJ480" s="210"/>
      <c r="CK480" s="210"/>
    </row>
    <row r="481">
      <c r="A481" s="216" t="s">
        <v>405</v>
      </c>
      <c r="B481" s="217" t="s">
        <v>406</v>
      </c>
      <c r="C481" s="218" t="s">
        <v>92</v>
      </c>
      <c r="D481" s="218" t="s">
        <v>885</v>
      </c>
      <c r="E481" s="217" t="s">
        <v>25</v>
      </c>
      <c r="F481" s="242" t="s">
        <v>25</v>
      </c>
      <c r="G481" s="242" t="s">
        <v>25</v>
      </c>
      <c r="H481" s="219">
        <f>IFERROR(
  MINIFS(ATTENDANCE_LOG!$F:$F,
         ATTENDANCE_LOG!$A:$A, C481,
         ATTENDANCE_LOG!$B:$B, E481),
"")</f>
        <v>45917.58333</v>
      </c>
      <c r="I481" s="219">
        <f t="shared" si="2"/>
        <v>45917.58333</v>
      </c>
      <c r="J481" s="217">
        <f>IFERROR(VLOOKUP(F481, LEVEL_HELPER!$A:$B, 2, 0), "")</f>
        <v>0.5</v>
      </c>
      <c r="K481" s="217">
        <f>IFERROR(VLOOKUP(G481, LEVEL_HELPER!$A:$B, 2, 0), "")</f>
        <v>0.5</v>
      </c>
      <c r="L481" s="247" t="s">
        <v>931</v>
      </c>
      <c r="M481" s="247" t="s">
        <v>926</v>
      </c>
      <c r="N481" s="190">
        <f t="array" ref="N481">IFERROR(
  INDEX($J$2:$J$543,
    MATCH(A481&amp;TEXT(I481,"yyyy-mm-dd"),
          $A$2:$A$543&amp;TEXT($H$2:$H$543,"yyyy-mm-dd"),
          0)),
"")</f>
        <v>0.5</v>
      </c>
      <c r="O481" s="248">
        <f t="shared" si="3"/>
        <v>0.5</v>
      </c>
      <c r="P481" s="210">
        <f t="shared" ref="P481:Q481" si="491">IF(N481="",0,IF(N481&lt;=2,1,IF(N481&lt;=4,2,IF(N481&lt;=5.5,3,4))))</f>
        <v>1</v>
      </c>
      <c r="Q481" s="210">
        <f t="shared" si="491"/>
        <v>1</v>
      </c>
      <c r="R481" s="210" t="str">
        <f t="shared" si="5"/>
        <v>No Progress</v>
      </c>
      <c r="S481" s="210">
        <f t="shared" si="6"/>
        <v>1</v>
      </c>
      <c r="T481" s="210"/>
      <c r="U481" s="210"/>
      <c r="V481" s="210"/>
      <c r="W481" s="210"/>
      <c r="X481" s="210"/>
      <c r="Y481" s="210"/>
      <c r="Z481" s="210"/>
      <c r="AA481" s="210"/>
      <c r="AB481" s="210"/>
      <c r="AC481" s="210"/>
      <c r="AD481" s="210"/>
      <c r="AE481" s="210"/>
      <c r="AF481" s="210"/>
      <c r="AG481" s="210"/>
      <c r="AH481" s="210"/>
      <c r="AI481" s="210"/>
      <c r="AJ481" s="210"/>
      <c r="AK481" s="210"/>
      <c r="AL481" s="210"/>
      <c r="AM481" s="214"/>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c r="BU481" s="210"/>
      <c r="BV481" s="210"/>
      <c r="BW481" s="210"/>
      <c r="BX481" s="210"/>
      <c r="BY481" s="210"/>
      <c r="BZ481" s="210"/>
      <c r="CA481" s="210"/>
      <c r="CB481" s="210"/>
      <c r="CC481" s="210"/>
      <c r="CD481" s="210"/>
      <c r="CE481" s="210"/>
      <c r="CF481" s="210"/>
      <c r="CG481" s="210"/>
      <c r="CH481" s="210"/>
      <c r="CI481" s="210"/>
      <c r="CJ481" s="210"/>
      <c r="CK481" s="210"/>
    </row>
    <row r="482">
      <c r="A482" s="222" t="s">
        <v>153</v>
      </c>
      <c r="B482" s="190" t="s">
        <v>154</v>
      </c>
      <c r="C482" s="223" t="s">
        <v>92</v>
      </c>
      <c r="D482" s="223" t="s">
        <v>885</v>
      </c>
      <c r="E482" s="190" t="s">
        <v>25</v>
      </c>
      <c r="F482" s="13" t="s">
        <v>25</v>
      </c>
      <c r="G482" s="13" t="s">
        <v>25</v>
      </c>
      <c r="H482" s="219">
        <f>IFERROR(
  MINIFS(ATTENDANCE_LOG!$F:$F,
         ATTENDANCE_LOG!$A:$A, C482,
         ATTENDANCE_LOG!$B:$B, E482),
"")</f>
        <v>45917.58333</v>
      </c>
      <c r="I482" s="219">
        <f t="shared" si="2"/>
        <v>45805.375</v>
      </c>
      <c r="J482" s="190">
        <f>IFERROR(VLOOKUP(F482, LEVEL_HELPER!$A:$B, 2, 0), "")</f>
        <v>0.5</v>
      </c>
      <c r="K482" s="190">
        <f>IFERROR(VLOOKUP(G482, LEVEL_HELPER!$A:$B, 2, 0), "")</f>
        <v>0.5</v>
      </c>
      <c r="L482" s="220" t="s">
        <v>943</v>
      </c>
      <c r="M482" s="220" t="s">
        <v>924</v>
      </c>
      <c r="N482" s="190">
        <f t="array" ref="N482">IFERROR(
  INDEX($J$2:$J$543,
    MATCH(A482&amp;TEXT(I482,"yyyy-mm-dd"),
          $A$2:$A$543&amp;TEXT($H$2:$H$543,"yyyy-mm-dd"),
          0)),
"")</f>
        <v>0.5</v>
      </c>
      <c r="O482" s="210">
        <f t="shared" si="3"/>
        <v>0.5</v>
      </c>
      <c r="P482" s="210">
        <f t="shared" ref="P482:Q482" si="492">IF(N482="",0,IF(N482&lt;=2,1,IF(N482&lt;=4,2,IF(N482&lt;=5.5,3,4))))</f>
        <v>1</v>
      </c>
      <c r="Q482" s="210">
        <f t="shared" si="492"/>
        <v>1</v>
      </c>
      <c r="R482" s="210" t="str">
        <f t="shared" si="5"/>
        <v>No Progress</v>
      </c>
      <c r="S482" s="210">
        <f t="shared" si="6"/>
        <v>0</v>
      </c>
      <c r="T482" s="210"/>
      <c r="U482" s="210"/>
      <c r="V482" s="210"/>
      <c r="W482" s="210"/>
      <c r="X482" s="210"/>
      <c r="Y482" s="210"/>
      <c r="Z482" s="210"/>
      <c r="AA482" s="210"/>
      <c r="AB482" s="210"/>
      <c r="AC482" s="210"/>
      <c r="AD482" s="210"/>
      <c r="AE482" s="210"/>
      <c r="AF482" s="210"/>
      <c r="AG482" s="210"/>
      <c r="AH482" s="210"/>
      <c r="AI482" s="210"/>
      <c r="AJ482" s="210"/>
      <c r="AK482" s="210"/>
      <c r="AL482" s="210"/>
      <c r="AM482" s="214"/>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c r="BU482" s="210"/>
      <c r="BV482" s="210"/>
      <c r="BW482" s="210"/>
      <c r="BX482" s="210"/>
      <c r="BY482" s="210"/>
      <c r="BZ482" s="210"/>
      <c r="CA482" s="210"/>
      <c r="CB482" s="210"/>
      <c r="CC482" s="210"/>
      <c r="CD482" s="210"/>
      <c r="CE482" s="210"/>
      <c r="CF482" s="210"/>
      <c r="CG482" s="210"/>
      <c r="CH482" s="210"/>
      <c r="CI482" s="210"/>
      <c r="CJ482" s="210"/>
      <c r="CK482" s="210"/>
    </row>
    <row r="483">
      <c r="A483" s="232" t="s">
        <v>269</v>
      </c>
      <c r="B483" s="233" t="s">
        <v>270</v>
      </c>
      <c r="C483" s="234" t="s">
        <v>92</v>
      </c>
      <c r="D483" s="234" t="s">
        <v>885</v>
      </c>
      <c r="E483" s="233" t="s">
        <v>25</v>
      </c>
      <c r="F483" s="235" t="s">
        <v>25</v>
      </c>
      <c r="G483" s="235" t="s">
        <v>927</v>
      </c>
      <c r="H483" s="219">
        <f>IFERROR(
  MINIFS(ATTENDANCE_LOG!$F:$F,
         ATTENDANCE_LOG!$A:$A, C483,
         ATTENDANCE_LOG!$B:$B, E483),
"")</f>
        <v>45917.58333</v>
      </c>
      <c r="I483" s="219">
        <f t="shared" si="2"/>
        <v>45917.58333</v>
      </c>
      <c r="J483" s="233">
        <f>IFERROR(VLOOKUP(F483, LEVEL_HELPER!$A:$B, 2, 0), "")</f>
        <v>0.5</v>
      </c>
      <c r="K483" s="233">
        <f>IFERROR(VLOOKUP(G483, LEVEL_HELPER!$A:$B, 2, 0), "")</f>
        <v>1</v>
      </c>
      <c r="L483" s="237" t="s">
        <v>943</v>
      </c>
      <c r="M483" s="237" t="s">
        <v>924</v>
      </c>
      <c r="N483" s="190">
        <f t="array" ref="N483">IFERROR(
  INDEX($J$2:$J$543,
    MATCH(A483&amp;TEXT(I483,"yyyy-mm-dd"),
          $A$2:$A$543&amp;TEXT($H$2:$H$543,"yyyy-mm-dd"),
          0)),
"")</f>
        <v>0.5</v>
      </c>
      <c r="O483" s="238">
        <f t="shared" si="3"/>
        <v>1</v>
      </c>
      <c r="P483" s="210">
        <f t="shared" ref="P483:Q483" si="493">IF(N483="",0,IF(N483&lt;=2,1,IF(N483&lt;=4,2,IF(N483&lt;=5.5,3,4))))</f>
        <v>1</v>
      </c>
      <c r="Q483" s="210">
        <f t="shared" si="493"/>
        <v>1</v>
      </c>
      <c r="R483" s="210" t="str">
        <f t="shared" si="5"/>
        <v>Progress within level</v>
      </c>
      <c r="S483" s="210">
        <f t="shared" si="6"/>
        <v>1</v>
      </c>
      <c r="T483" s="210"/>
      <c r="U483" s="210"/>
      <c r="V483" s="210"/>
      <c r="W483" s="210"/>
      <c r="X483" s="210"/>
      <c r="Y483" s="210"/>
      <c r="Z483" s="210"/>
      <c r="AA483" s="210"/>
      <c r="AB483" s="210"/>
      <c r="AC483" s="210"/>
      <c r="AD483" s="210"/>
      <c r="AE483" s="210"/>
      <c r="AF483" s="210"/>
      <c r="AG483" s="210"/>
      <c r="AH483" s="210"/>
      <c r="AI483" s="210"/>
      <c r="AJ483" s="210"/>
      <c r="AK483" s="210"/>
      <c r="AL483" s="210"/>
      <c r="AM483" s="214"/>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c r="BU483" s="210"/>
      <c r="BV483" s="210"/>
      <c r="BW483" s="210"/>
      <c r="BX483" s="210"/>
      <c r="BY483" s="210"/>
      <c r="BZ483" s="210"/>
      <c r="CA483" s="210"/>
      <c r="CB483" s="210"/>
      <c r="CC483" s="210"/>
      <c r="CD483" s="210"/>
      <c r="CE483" s="210"/>
      <c r="CF483" s="210"/>
      <c r="CG483" s="210"/>
      <c r="CH483" s="210"/>
      <c r="CI483" s="210"/>
      <c r="CJ483" s="210"/>
      <c r="CK483" s="210"/>
    </row>
    <row r="484">
      <c r="A484" s="232" t="s">
        <v>273</v>
      </c>
      <c r="B484" s="233" t="s">
        <v>274</v>
      </c>
      <c r="C484" s="234" t="s">
        <v>92</v>
      </c>
      <c r="D484" s="234" t="s">
        <v>885</v>
      </c>
      <c r="E484" s="233" t="s">
        <v>25</v>
      </c>
      <c r="F484" s="235" t="s">
        <v>25</v>
      </c>
      <c r="G484" s="235" t="s">
        <v>927</v>
      </c>
      <c r="H484" s="219">
        <f>IFERROR(
  MINIFS(ATTENDANCE_LOG!$F:$F,
         ATTENDANCE_LOG!$A:$A, C484,
         ATTENDANCE_LOG!$B:$B, E484),
"")</f>
        <v>45917.58333</v>
      </c>
      <c r="I484" s="219">
        <f t="shared" si="2"/>
        <v>45715.58333</v>
      </c>
      <c r="J484" s="233">
        <f>IFERROR(VLOOKUP(F484, LEVEL_HELPER!$A:$B, 2, 0), "")</f>
        <v>0.5</v>
      </c>
      <c r="K484" s="233">
        <f>IFERROR(VLOOKUP(G484, LEVEL_HELPER!$A:$B, 2, 0), "")</f>
        <v>1</v>
      </c>
      <c r="L484" s="237" t="s">
        <v>931</v>
      </c>
      <c r="M484" s="237" t="s">
        <v>923</v>
      </c>
      <c r="N484" s="190">
        <f t="array" ref="N484">IFERROR(
  INDEX($J$2:$J$543,
    MATCH(A484&amp;TEXT(I484,"yyyy-mm-dd"),
          $A$2:$A$543&amp;TEXT($H$2:$H$543,"yyyy-mm-dd"),
          0)),
"")</f>
        <v>0.5</v>
      </c>
      <c r="O484" s="238">
        <f t="shared" si="3"/>
        <v>1</v>
      </c>
      <c r="P484" s="210">
        <f t="shared" ref="P484:Q484" si="494">IF(N484="",0,IF(N484&lt;=2,1,IF(N484&lt;=4,2,IF(N484&lt;=5.5,3,4))))</f>
        <v>1</v>
      </c>
      <c r="Q484" s="210">
        <f t="shared" si="494"/>
        <v>1</v>
      </c>
      <c r="R484" s="210" t="str">
        <f t="shared" si="5"/>
        <v>Progress within level</v>
      </c>
      <c r="S484" s="210">
        <f t="shared" si="6"/>
        <v>0</v>
      </c>
      <c r="T484" s="210"/>
      <c r="U484" s="210"/>
      <c r="V484" s="210"/>
      <c r="W484" s="210"/>
      <c r="X484" s="210"/>
      <c r="Y484" s="210"/>
      <c r="Z484" s="210"/>
      <c r="AA484" s="210"/>
      <c r="AB484" s="210"/>
      <c r="AC484" s="210"/>
      <c r="AD484" s="210"/>
      <c r="AE484" s="210"/>
      <c r="AF484" s="210"/>
      <c r="AG484" s="210"/>
      <c r="AH484" s="210"/>
      <c r="AI484" s="210"/>
      <c r="AJ484" s="210"/>
      <c r="AK484" s="210"/>
      <c r="AL484" s="210"/>
      <c r="AM484" s="214"/>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c r="BU484" s="210"/>
      <c r="BV484" s="210"/>
      <c r="BW484" s="210"/>
      <c r="BX484" s="210"/>
      <c r="BY484" s="210"/>
      <c r="BZ484" s="210"/>
      <c r="CA484" s="210"/>
      <c r="CB484" s="210"/>
      <c r="CC484" s="210"/>
      <c r="CD484" s="210"/>
      <c r="CE484" s="210"/>
      <c r="CF484" s="210"/>
      <c r="CG484" s="210"/>
      <c r="CH484" s="210"/>
      <c r="CI484" s="210"/>
      <c r="CJ484" s="210"/>
      <c r="CK484" s="210"/>
    </row>
    <row r="485">
      <c r="A485" s="232" t="s">
        <v>302</v>
      </c>
      <c r="B485" s="233" t="s">
        <v>303</v>
      </c>
      <c r="C485" s="234" t="s">
        <v>92</v>
      </c>
      <c r="D485" s="234" t="s">
        <v>885</v>
      </c>
      <c r="E485" s="233" t="s">
        <v>25</v>
      </c>
      <c r="F485" s="235" t="s">
        <v>25</v>
      </c>
      <c r="G485" s="235" t="s">
        <v>25</v>
      </c>
      <c r="H485" s="219">
        <f>IFERROR(
  MINIFS(ATTENDANCE_LOG!$F:$F,
         ATTENDANCE_LOG!$A:$A, C485,
         ATTENDANCE_LOG!$B:$B, E485),
"")</f>
        <v>45917.58333</v>
      </c>
      <c r="I485" s="219">
        <f t="shared" si="2"/>
        <v>45715.58333</v>
      </c>
      <c r="J485" s="233">
        <f>IFERROR(VLOOKUP(F485, LEVEL_HELPER!$A:$B, 2, 0), "")</f>
        <v>0.5</v>
      </c>
      <c r="K485" s="233">
        <f>IFERROR(VLOOKUP(G485, LEVEL_HELPER!$A:$B, 2, 0), "")</f>
        <v>0.5</v>
      </c>
      <c r="L485" s="237" t="s">
        <v>947</v>
      </c>
      <c r="M485" s="237" t="s">
        <v>923</v>
      </c>
      <c r="N485" s="190">
        <f t="array" ref="N485">IFERROR(
  INDEX($J$2:$J$543,
    MATCH(A485&amp;TEXT(I485,"yyyy-mm-dd"),
          $A$2:$A$543&amp;TEXT($H$2:$H$543,"yyyy-mm-dd"),
          0)),
"")</f>
        <v>0.5</v>
      </c>
      <c r="O485" s="238">
        <f t="shared" si="3"/>
        <v>0.5</v>
      </c>
      <c r="P485" s="210">
        <f t="shared" ref="P485:Q485" si="495">IF(N485="",0,IF(N485&lt;=2,1,IF(N485&lt;=4,2,IF(N485&lt;=5.5,3,4))))</f>
        <v>1</v>
      </c>
      <c r="Q485" s="210">
        <f t="shared" si="495"/>
        <v>1</v>
      </c>
      <c r="R485" s="210" t="str">
        <f t="shared" si="5"/>
        <v>No Progress</v>
      </c>
      <c r="S485" s="210">
        <f t="shared" si="6"/>
        <v>0</v>
      </c>
      <c r="T485" s="210"/>
      <c r="U485" s="210"/>
      <c r="V485" s="210"/>
      <c r="W485" s="210"/>
      <c r="X485" s="210"/>
      <c r="Y485" s="210"/>
      <c r="Z485" s="210"/>
      <c r="AA485" s="210"/>
      <c r="AB485" s="210"/>
      <c r="AC485" s="210"/>
      <c r="AD485" s="210"/>
      <c r="AE485" s="210"/>
      <c r="AF485" s="210"/>
      <c r="AG485" s="210"/>
      <c r="AH485" s="210"/>
      <c r="AI485" s="210"/>
      <c r="AJ485" s="210"/>
      <c r="AK485" s="210"/>
      <c r="AL485" s="210"/>
      <c r="AM485" s="214"/>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c r="BU485" s="210"/>
      <c r="BV485" s="210"/>
      <c r="BW485" s="210"/>
      <c r="BX485" s="210"/>
      <c r="BY485" s="210"/>
      <c r="BZ485" s="210"/>
      <c r="CA485" s="210"/>
      <c r="CB485" s="210"/>
      <c r="CC485" s="210"/>
      <c r="CD485" s="210"/>
      <c r="CE485" s="210"/>
      <c r="CF485" s="210"/>
      <c r="CG485" s="210"/>
      <c r="CH485" s="210"/>
      <c r="CI485" s="210"/>
      <c r="CJ485" s="210"/>
      <c r="CK485" s="210"/>
    </row>
    <row r="486">
      <c r="A486" s="232" t="s">
        <v>361</v>
      </c>
      <c r="B486" s="233" t="s">
        <v>362</v>
      </c>
      <c r="C486" s="234" t="s">
        <v>92</v>
      </c>
      <c r="D486" s="234" t="s">
        <v>885</v>
      </c>
      <c r="E486" s="233" t="s">
        <v>25</v>
      </c>
      <c r="F486" s="235" t="s">
        <v>25</v>
      </c>
      <c r="G486" s="235" t="s">
        <v>25</v>
      </c>
      <c r="H486" s="219">
        <f>IFERROR(
  MINIFS(ATTENDANCE_LOG!$F:$F,
         ATTENDANCE_LOG!$A:$A, C486,
         ATTENDANCE_LOG!$B:$B, E486),
"")</f>
        <v>45917.58333</v>
      </c>
      <c r="I486" s="219">
        <f t="shared" si="2"/>
        <v>45917.58333</v>
      </c>
      <c r="J486" s="233">
        <f>IFERROR(VLOOKUP(F486, LEVEL_HELPER!$A:$B, 2, 0), "")</f>
        <v>0.5</v>
      </c>
      <c r="K486" s="233">
        <f>IFERROR(VLOOKUP(G486, LEVEL_HELPER!$A:$B, 2, 0), "")</f>
        <v>0.5</v>
      </c>
      <c r="L486" s="237" t="s">
        <v>931</v>
      </c>
      <c r="M486" s="237" t="s">
        <v>920</v>
      </c>
      <c r="N486" s="190">
        <f t="array" ref="N486">IFERROR(
  INDEX($J$2:$J$543,
    MATCH(A486&amp;TEXT(I486,"yyyy-mm-dd"),
          $A$2:$A$543&amp;TEXT($H$2:$H$543,"yyyy-mm-dd"),
          0)),
"")</f>
        <v>0.5</v>
      </c>
      <c r="O486" s="238">
        <f t="shared" si="3"/>
        <v>0.5</v>
      </c>
      <c r="P486" s="210">
        <f t="shared" ref="P486:Q486" si="496">IF(N486="",0,IF(N486&lt;=2,1,IF(N486&lt;=4,2,IF(N486&lt;=5.5,3,4))))</f>
        <v>1</v>
      </c>
      <c r="Q486" s="210">
        <f t="shared" si="496"/>
        <v>1</v>
      </c>
      <c r="R486" s="210" t="str">
        <f t="shared" si="5"/>
        <v>No Progress</v>
      </c>
      <c r="S486" s="210">
        <f t="shared" si="6"/>
        <v>1</v>
      </c>
      <c r="T486" s="210"/>
      <c r="U486" s="210"/>
      <c r="V486" s="210"/>
      <c r="W486" s="210"/>
      <c r="X486" s="210"/>
      <c r="Y486" s="210"/>
      <c r="Z486" s="210"/>
      <c r="AA486" s="210"/>
      <c r="AB486" s="210"/>
      <c r="AC486" s="210"/>
      <c r="AD486" s="210"/>
      <c r="AE486" s="210"/>
      <c r="AF486" s="210"/>
      <c r="AG486" s="210"/>
      <c r="AH486" s="210"/>
      <c r="AI486" s="210"/>
      <c r="AJ486" s="210"/>
      <c r="AK486" s="210"/>
      <c r="AL486" s="210"/>
      <c r="AM486" s="214"/>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c r="BU486" s="210"/>
      <c r="BV486" s="210"/>
      <c r="BW486" s="210"/>
      <c r="BX486" s="210"/>
      <c r="BY486" s="210"/>
      <c r="BZ486" s="210"/>
      <c r="CA486" s="210"/>
      <c r="CB486" s="210"/>
      <c r="CC486" s="210"/>
      <c r="CD486" s="210"/>
      <c r="CE486" s="210"/>
      <c r="CF486" s="210"/>
      <c r="CG486" s="210"/>
      <c r="CH486" s="210"/>
      <c r="CI486" s="210"/>
      <c r="CJ486" s="210"/>
      <c r="CK486" s="210"/>
    </row>
    <row r="487">
      <c r="A487" s="232" t="s">
        <v>385</v>
      </c>
      <c r="B487" s="233" t="s">
        <v>386</v>
      </c>
      <c r="C487" s="234" t="s">
        <v>92</v>
      </c>
      <c r="D487" s="234" t="s">
        <v>885</v>
      </c>
      <c r="E487" s="233" t="s">
        <v>25</v>
      </c>
      <c r="F487" s="235" t="s">
        <v>25</v>
      </c>
      <c r="G487" s="235" t="s">
        <v>25</v>
      </c>
      <c r="H487" s="219">
        <f>IFERROR(
  MINIFS(ATTENDANCE_LOG!$F:$F,
         ATTENDANCE_LOG!$A:$A, C487,
         ATTENDANCE_LOG!$B:$B, E487),
"")</f>
        <v>45917.58333</v>
      </c>
      <c r="I487" s="219">
        <f t="shared" si="2"/>
        <v>45917.58333</v>
      </c>
      <c r="J487" s="233">
        <f>IFERROR(VLOOKUP(F487, LEVEL_HELPER!$A:$B, 2, 0), "")</f>
        <v>0.5</v>
      </c>
      <c r="K487" s="233">
        <f>IFERROR(VLOOKUP(G487, LEVEL_HELPER!$A:$B, 2, 0), "")</f>
        <v>0.5</v>
      </c>
      <c r="L487" s="237" t="s">
        <v>931</v>
      </c>
      <c r="M487" s="237" t="s">
        <v>923</v>
      </c>
      <c r="N487" s="190">
        <f t="array" ref="N487">IFERROR(
  INDEX($J$2:$J$543,
    MATCH(A487&amp;TEXT(I487,"yyyy-mm-dd"),
          $A$2:$A$543&amp;TEXT($H$2:$H$543,"yyyy-mm-dd"),
          0)),
"")</f>
        <v>0.5</v>
      </c>
      <c r="O487" s="238">
        <f t="shared" si="3"/>
        <v>0.5</v>
      </c>
      <c r="P487" s="210">
        <f t="shared" ref="P487:Q487" si="497">IF(N487="",0,IF(N487&lt;=2,1,IF(N487&lt;=4,2,IF(N487&lt;=5.5,3,4))))</f>
        <v>1</v>
      </c>
      <c r="Q487" s="210">
        <f t="shared" si="497"/>
        <v>1</v>
      </c>
      <c r="R487" s="210" t="str">
        <f t="shared" si="5"/>
        <v>No Progress</v>
      </c>
      <c r="S487" s="210">
        <f t="shared" si="6"/>
        <v>1</v>
      </c>
      <c r="T487" s="210"/>
      <c r="U487" s="210"/>
      <c r="V487" s="210"/>
      <c r="W487" s="210"/>
      <c r="X487" s="210"/>
      <c r="Y487" s="210"/>
      <c r="Z487" s="210"/>
      <c r="AA487" s="210"/>
      <c r="AB487" s="210"/>
      <c r="AC487" s="210"/>
      <c r="AD487" s="210"/>
      <c r="AE487" s="210"/>
      <c r="AF487" s="210"/>
      <c r="AG487" s="210"/>
      <c r="AH487" s="210"/>
      <c r="AI487" s="210"/>
      <c r="AJ487" s="210"/>
      <c r="AK487" s="210"/>
      <c r="AL487" s="210"/>
      <c r="AM487" s="214"/>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c r="BU487" s="210"/>
      <c r="BV487" s="210"/>
      <c r="BW487" s="210"/>
      <c r="BX487" s="210"/>
      <c r="BY487" s="210"/>
      <c r="BZ487" s="210"/>
      <c r="CA487" s="210"/>
      <c r="CB487" s="210"/>
      <c r="CC487" s="210"/>
      <c r="CD487" s="210"/>
      <c r="CE487" s="210"/>
      <c r="CF487" s="210"/>
      <c r="CG487" s="210"/>
      <c r="CH487" s="210"/>
      <c r="CI487" s="210"/>
      <c r="CJ487" s="210"/>
      <c r="CK487" s="210"/>
    </row>
    <row r="488">
      <c r="A488" s="232" t="s">
        <v>470</v>
      </c>
      <c r="B488" s="233" t="s">
        <v>471</v>
      </c>
      <c r="C488" s="234" t="s">
        <v>92</v>
      </c>
      <c r="D488" s="234" t="s">
        <v>885</v>
      </c>
      <c r="E488" s="233" t="s">
        <v>25</v>
      </c>
      <c r="F488" s="235" t="s">
        <v>25</v>
      </c>
      <c r="G488" s="235" t="s">
        <v>927</v>
      </c>
      <c r="H488" s="219">
        <f>IFERROR(
  MINIFS(ATTENDANCE_LOG!$F:$F,
         ATTENDANCE_LOG!$A:$A, C488,
         ATTENDANCE_LOG!$B:$B, E488),
"")</f>
        <v>45917.58333</v>
      </c>
      <c r="I488" s="219">
        <f t="shared" si="2"/>
        <v>45917.58333</v>
      </c>
      <c r="J488" s="233">
        <f>IFERROR(VLOOKUP(F488, LEVEL_HELPER!$A:$B, 2, 0), "")</f>
        <v>0.5</v>
      </c>
      <c r="K488" s="233">
        <f>IFERROR(VLOOKUP(G488, LEVEL_HELPER!$A:$B, 2, 0), "")</f>
        <v>1</v>
      </c>
      <c r="L488" s="237" t="s">
        <v>931</v>
      </c>
      <c r="M488" s="237" t="s">
        <v>926</v>
      </c>
      <c r="N488" s="190">
        <f t="array" ref="N488">IFERROR(
  INDEX($J$2:$J$543,
    MATCH(A488&amp;TEXT(I488,"yyyy-mm-dd"),
          $A$2:$A$543&amp;TEXT($H$2:$H$543,"yyyy-mm-dd"),
          0)),
"")</f>
        <v>0.5</v>
      </c>
      <c r="O488" s="238">
        <f t="shared" si="3"/>
        <v>1</v>
      </c>
      <c r="P488" s="210">
        <f t="shared" ref="P488:Q488" si="498">IF(N488="",0,IF(N488&lt;=2,1,IF(N488&lt;=4,2,IF(N488&lt;=5.5,3,4))))</f>
        <v>1</v>
      </c>
      <c r="Q488" s="210">
        <f t="shared" si="498"/>
        <v>1</v>
      </c>
      <c r="R488" s="210" t="str">
        <f t="shared" si="5"/>
        <v>Progress within level</v>
      </c>
      <c r="S488" s="210">
        <f t="shared" si="6"/>
        <v>1</v>
      </c>
      <c r="T488" s="210"/>
      <c r="U488" s="210"/>
      <c r="V488" s="210"/>
      <c r="W488" s="210"/>
      <c r="X488" s="210"/>
      <c r="Y488" s="210"/>
      <c r="Z488" s="210"/>
      <c r="AA488" s="210"/>
      <c r="AB488" s="210"/>
      <c r="AC488" s="210"/>
      <c r="AD488" s="210"/>
      <c r="AE488" s="210"/>
      <c r="AF488" s="210"/>
      <c r="AG488" s="210"/>
      <c r="AH488" s="210"/>
      <c r="AI488" s="210"/>
      <c r="AJ488" s="210"/>
      <c r="AK488" s="210"/>
      <c r="AL488" s="210"/>
      <c r="AM488" s="214"/>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c r="BU488" s="210"/>
      <c r="BV488" s="210"/>
      <c r="BW488" s="210"/>
      <c r="BX488" s="210"/>
      <c r="BY488" s="210"/>
      <c r="BZ488" s="210"/>
      <c r="CA488" s="210"/>
      <c r="CB488" s="210"/>
      <c r="CC488" s="210"/>
      <c r="CD488" s="210"/>
      <c r="CE488" s="210"/>
      <c r="CF488" s="210"/>
      <c r="CG488" s="210"/>
      <c r="CH488" s="210"/>
      <c r="CI488" s="210"/>
      <c r="CJ488" s="210"/>
      <c r="CK488" s="210"/>
    </row>
    <row r="489">
      <c r="A489" s="232" t="s">
        <v>532</v>
      </c>
      <c r="B489" s="233" t="s">
        <v>533</v>
      </c>
      <c r="C489" s="234" t="s">
        <v>92</v>
      </c>
      <c r="D489" s="234" t="s">
        <v>885</v>
      </c>
      <c r="E489" s="233" t="s">
        <v>25</v>
      </c>
      <c r="F489" s="235" t="s">
        <v>25</v>
      </c>
      <c r="G489" s="235" t="s">
        <v>25</v>
      </c>
      <c r="H489" s="219">
        <f>IFERROR(
  MINIFS(ATTENDANCE_LOG!$F:$F,
         ATTENDANCE_LOG!$A:$A, C489,
         ATTENDANCE_LOG!$B:$B, E489),
"")</f>
        <v>45917.58333</v>
      </c>
      <c r="I489" s="219">
        <f t="shared" si="2"/>
        <v>45917.58333</v>
      </c>
      <c r="J489" s="233">
        <f>IFERROR(VLOOKUP(F489, LEVEL_HELPER!$A:$B, 2, 0), "")</f>
        <v>0.5</v>
      </c>
      <c r="K489" s="233">
        <f>IFERROR(VLOOKUP(G489, LEVEL_HELPER!$A:$B, 2, 0), "")</f>
        <v>0.5</v>
      </c>
      <c r="L489" s="237" t="s">
        <v>931</v>
      </c>
      <c r="M489" s="237" t="s">
        <v>926</v>
      </c>
      <c r="N489" s="190">
        <f t="array" ref="N489">IFERROR(
  INDEX($J$2:$J$543,
    MATCH(A489&amp;TEXT(I489,"yyyy-mm-dd"),
          $A$2:$A$543&amp;TEXT($H$2:$H$543,"yyyy-mm-dd"),
          0)),
"")</f>
        <v>0.5</v>
      </c>
      <c r="O489" s="238">
        <f t="shared" si="3"/>
        <v>0.5</v>
      </c>
      <c r="P489" s="210">
        <f t="shared" ref="P489:Q489" si="499">IF(N489="",0,IF(N489&lt;=2,1,IF(N489&lt;=4,2,IF(N489&lt;=5.5,3,4))))</f>
        <v>1</v>
      </c>
      <c r="Q489" s="210">
        <f t="shared" si="499"/>
        <v>1</v>
      </c>
      <c r="R489" s="210" t="str">
        <f t="shared" si="5"/>
        <v>No Progress</v>
      </c>
      <c r="S489" s="210">
        <f t="shared" si="6"/>
        <v>1</v>
      </c>
      <c r="T489" s="210"/>
      <c r="U489" s="210"/>
      <c r="V489" s="210"/>
      <c r="W489" s="210"/>
      <c r="X489" s="210"/>
      <c r="Y489" s="210"/>
      <c r="Z489" s="210"/>
      <c r="AA489" s="210"/>
      <c r="AB489" s="210"/>
      <c r="AC489" s="210"/>
      <c r="AD489" s="210"/>
      <c r="AE489" s="210"/>
      <c r="AF489" s="210"/>
      <c r="AG489" s="210"/>
      <c r="AH489" s="210"/>
      <c r="AI489" s="210"/>
      <c r="AJ489" s="210"/>
      <c r="AK489" s="210"/>
      <c r="AL489" s="210"/>
      <c r="AM489" s="214"/>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c r="BU489" s="210"/>
      <c r="BV489" s="210"/>
      <c r="BW489" s="210"/>
      <c r="BX489" s="210"/>
      <c r="BY489" s="210"/>
      <c r="BZ489" s="210"/>
      <c r="CA489" s="210"/>
      <c r="CB489" s="210"/>
      <c r="CC489" s="210"/>
      <c r="CD489" s="210"/>
      <c r="CE489" s="210"/>
      <c r="CF489" s="210"/>
      <c r="CG489" s="210"/>
      <c r="CH489" s="210"/>
      <c r="CI489" s="210"/>
      <c r="CJ489" s="210"/>
      <c r="CK489" s="210"/>
    </row>
    <row r="490">
      <c r="A490" s="249" t="s">
        <v>502</v>
      </c>
      <c r="B490" s="250" t="s">
        <v>503</v>
      </c>
      <c r="C490" s="251" t="s">
        <v>93</v>
      </c>
      <c r="D490" s="251" t="s">
        <v>886</v>
      </c>
      <c r="E490" s="250" t="s">
        <v>21</v>
      </c>
      <c r="F490" s="252" t="s">
        <v>918</v>
      </c>
      <c r="G490" s="250"/>
      <c r="H490" s="219">
        <f>IFERROR(
  MINIFS(ATTENDANCE_LOG!$F:$F,
         ATTENDANCE_LOG!$A:$A, C490,
         ATTENDANCE_LOG!$B:$B, E490),
"")</f>
        <v>45929.58333</v>
      </c>
      <c r="I490" s="219">
        <f t="shared" si="2"/>
        <v>45929.58333</v>
      </c>
      <c r="J490" s="250">
        <f>IFERROR(VLOOKUP(F490, LEVEL_HELPER!$A:$B, 2, 0), "")</f>
        <v>3</v>
      </c>
      <c r="K490" s="233" t="str">
        <f>IFERROR(VLOOKUP(G490, LEVEL_HELPER!$A:$B, 2, 0), "")</f>
        <v/>
      </c>
      <c r="L490" s="253" t="s">
        <v>931</v>
      </c>
      <c r="M490" s="253" t="s">
        <v>923</v>
      </c>
      <c r="N490" s="190">
        <f t="array" ref="N490">IFERROR(
  INDEX($J$2:$J$543,
    MATCH(A490&amp;TEXT(I490,"yyyy-mm-dd"),
          $A$2:$A$543&amp;TEXT($H$2:$H$543,"yyyy-mm-dd"),
          0)),
"")</f>
        <v>3</v>
      </c>
      <c r="O490" s="254">
        <f t="shared" si="3"/>
        <v>0</v>
      </c>
      <c r="P490" s="210">
        <f t="shared" ref="P490:Q490" si="500">IF(N490="",0,IF(N490&lt;=2,1,IF(N490&lt;=4,2,IF(N490&lt;=5.5,3,4))))</f>
        <v>2</v>
      </c>
      <c r="Q490" s="210">
        <f t="shared" si="500"/>
        <v>1</v>
      </c>
      <c r="R490" s="210" t="str">
        <f t="shared" si="5"/>
        <v>Not tested yet</v>
      </c>
      <c r="S490" s="210">
        <f t="shared" si="6"/>
        <v>1</v>
      </c>
      <c r="T490" s="210"/>
      <c r="U490" s="210"/>
      <c r="V490" s="210"/>
      <c r="W490" s="210"/>
      <c r="X490" s="210"/>
      <c r="Y490" s="210"/>
      <c r="Z490" s="210"/>
      <c r="AA490" s="210"/>
      <c r="AB490" s="210"/>
      <c r="AC490" s="210"/>
      <c r="AD490" s="210"/>
      <c r="AE490" s="210"/>
      <c r="AF490" s="210"/>
      <c r="AG490" s="210"/>
      <c r="AH490" s="210"/>
      <c r="AI490" s="210"/>
      <c r="AJ490" s="210"/>
      <c r="AK490" s="210"/>
      <c r="AL490" s="210"/>
      <c r="AM490" s="214"/>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c r="BU490" s="210"/>
      <c r="BV490" s="210"/>
      <c r="BW490" s="210"/>
      <c r="BX490" s="210"/>
      <c r="BY490" s="210"/>
      <c r="BZ490" s="210"/>
      <c r="CA490" s="210"/>
      <c r="CB490" s="210"/>
      <c r="CC490" s="210"/>
      <c r="CD490" s="210"/>
      <c r="CE490" s="210"/>
      <c r="CF490" s="210"/>
      <c r="CG490" s="210"/>
      <c r="CH490" s="210"/>
      <c r="CI490" s="210"/>
      <c r="CJ490" s="210"/>
      <c r="CK490" s="210"/>
    </row>
    <row r="491">
      <c r="A491" s="232" t="s">
        <v>385</v>
      </c>
      <c r="B491" s="233" t="s">
        <v>386</v>
      </c>
      <c r="C491" s="234" t="s">
        <v>93</v>
      </c>
      <c r="D491" s="234" t="s">
        <v>886</v>
      </c>
      <c r="E491" s="233" t="s">
        <v>21</v>
      </c>
      <c r="F491" s="235" t="s">
        <v>927</v>
      </c>
      <c r="G491" s="233"/>
      <c r="H491" s="219">
        <f>IFERROR(
  MINIFS(ATTENDANCE_LOG!$F:$F,
         ATTENDANCE_LOG!$A:$A, C491,
         ATTENDANCE_LOG!$B:$B, E491),
"")</f>
        <v>45929.58333</v>
      </c>
      <c r="I491" s="219">
        <f t="shared" si="2"/>
        <v>45917.58333</v>
      </c>
      <c r="J491" s="233">
        <f>IFERROR(VLOOKUP(F491, LEVEL_HELPER!$A:$B, 2, 0), "")</f>
        <v>1</v>
      </c>
      <c r="K491" s="233" t="str">
        <f>IFERROR(VLOOKUP(G491, LEVEL_HELPER!$A:$B, 2, 0), "")</f>
        <v/>
      </c>
      <c r="L491" s="237" t="s">
        <v>931</v>
      </c>
      <c r="M491" s="237" t="s">
        <v>923</v>
      </c>
      <c r="N491" s="190">
        <f t="array" ref="N491">IFERROR(
  INDEX($J$2:$J$543,
    MATCH(A491&amp;TEXT(I491,"yyyy-mm-dd"),
          $A$2:$A$543&amp;TEXT($H$2:$H$543,"yyyy-mm-dd"),
          0)),
"")</f>
        <v>0.5</v>
      </c>
      <c r="O491" s="238">
        <f t="shared" si="3"/>
        <v>0.5</v>
      </c>
      <c r="P491" s="210">
        <f t="shared" ref="P491:Q491" si="501">IF(N491="",0,IF(N491&lt;=2,1,IF(N491&lt;=4,2,IF(N491&lt;=5.5,3,4))))</f>
        <v>1</v>
      </c>
      <c r="Q491" s="210">
        <f t="shared" si="501"/>
        <v>1</v>
      </c>
      <c r="R491" s="210" t="str">
        <f t="shared" si="5"/>
        <v>No Progress</v>
      </c>
      <c r="S491" s="210">
        <f t="shared" si="6"/>
        <v>0</v>
      </c>
      <c r="T491" s="210"/>
      <c r="U491" s="210"/>
      <c r="V491" s="210"/>
      <c r="W491" s="210"/>
      <c r="X491" s="210"/>
      <c r="Y491" s="210"/>
      <c r="Z491" s="210"/>
      <c r="AA491" s="210"/>
      <c r="AB491" s="210"/>
      <c r="AC491" s="210"/>
      <c r="AD491" s="210"/>
      <c r="AE491" s="210"/>
      <c r="AF491" s="210"/>
      <c r="AG491" s="210"/>
      <c r="AH491" s="210"/>
      <c r="AI491" s="210"/>
      <c r="AJ491" s="210"/>
      <c r="AK491" s="210"/>
      <c r="AL491" s="210"/>
      <c r="AM491" s="214"/>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c r="BU491" s="210"/>
      <c r="BV491" s="210"/>
      <c r="BW491" s="210"/>
      <c r="BX491" s="210"/>
      <c r="BY491" s="210"/>
      <c r="BZ491" s="210"/>
      <c r="CA491" s="210"/>
      <c r="CB491" s="210"/>
      <c r="CC491" s="210"/>
      <c r="CD491" s="210"/>
      <c r="CE491" s="210"/>
      <c r="CF491" s="210"/>
      <c r="CG491" s="210"/>
      <c r="CH491" s="210"/>
      <c r="CI491" s="210"/>
      <c r="CJ491" s="210"/>
      <c r="CK491" s="210"/>
    </row>
    <row r="492">
      <c r="A492" s="232" t="s">
        <v>427</v>
      </c>
      <c r="B492" s="233" t="s">
        <v>428</v>
      </c>
      <c r="C492" s="234" t="s">
        <v>93</v>
      </c>
      <c r="D492" s="234" t="s">
        <v>886</v>
      </c>
      <c r="E492" s="233" t="s">
        <v>21</v>
      </c>
      <c r="F492" s="235" t="s">
        <v>927</v>
      </c>
      <c r="G492" s="233"/>
      <c r="H492" s="219">
        <f>IFERROR(
  MINIFS(ATTENDANCE_LOG!$F:$F,
         ATTENDANCE_LOG!$A:$A, C492,
         ATTENDANCE_LOG!$B:$B, E492),
"")</f>
        <v>45929.58333</v>
      </c>
      <c r="I492" s="219">
        <f t="shared" si="2"/>
        <v>45929.58333</v>
      </c>
      <c r="J492" s="233">
        <f>IFERROR(VLOOKUP(F492, LEVEL_HELPER!$A:$B, 2, 0), "")</f>
        <v>1</v>
      </c>
      <c r="K492" s="233" t="str">
        <f>IFERROR(VLOOKUP(G492, LEVEL_HELPER!$A:$B, 2, 0), "")</f>
        <v/>
      </c>
      <c r="L492" s="237" t="s">
        <v>931</v>
      </c>
      <c r="M492" s="237" t="s">
        <v>923</v>
      </c>
      <c r="N492" s="190">
        <f t="array" ref="N492">IFERROR(
  INDEX($J$2:$J$543,
    MATCH(A492&amp;TEXT(I492,"yyyy-mm-dd"),
          $A$2:$A$543&amp;TEXT($H$2:$H$543,"yyyy-mm-dd"),
          0)),
"")</f>
        <v>1</v>
      </c>
      <c r="O492" s="238">
        <f t="shared" si="3"/>
        <v>0</v>
      </c>
      <c r="P492" s="210">
        <f t="shared" ref="P492:Q492" si="502">IF(N492="",0,IF(N492&lt;=2,1,IF(N492&lt;=4,2,IF(N492&lt;=5.5,3,4))))</f>
        <v>1</v>
      </c>
      <c r="Q492" s="210">
        <f t="shared" si="502"/>
        <v>1</v>
      </c>
      <c r="R492" s="210" t="str">
        <f t="shared" si="5"/>
        <v>Not tested yet</v>
      </c>
      <c r="S492" s="210">
        <f t="shared" si="6"/>
        <v>1</v>
      </c>
      <c r="T492" s="210"/>
      <c r="U492" s="210"/>
      <c r="V492" s="210"/>
      <c r="W492" s="210"/>
      <c r="X492" s="210"/>
      <c r="Y492" s="210"/>
      <c r="Z492" s="210"/>
      <c r="AA492" s="210"/>
      <c r="AB492" s="210"/>
      <c r="AC492" s="210"/>
      <c r="AD492" s="210"/>
      <c r="AE492" s="210"/>
      <c r="AF492" s="210"/>
      <c r="AG492" s="210"/>
      <c r="AH492" s="210"/>
      <c r="AI492" s="210"/>
      <c r="AJ492" s="210"/>
      <c r="AK492" s="210"/>
      <c r="AL492" s="210"/>
      <c r="AM492" s="214"/>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c r="BU492" s="210"/>
      <c r="BV492" s="210"/>
      <c r="BW492" s="210"/>
      <c r="BX492" s="210"/>
      <c r="BY492" s="210"/>
      <c r="BZ492" s="210"/>
      <c r="CA492" s="210"/>
      <c r="CB492" s="210"/>
      <c r="CC492" s="210"/>
      <c r="CD492" s="210"/>
      <c r="CE492" s="210"/>
      <c r="CF492" s="210"/>
      <c r="CG492" s="210"/>
      <c r="CH492" s="210"/>
      <c r="CI492" s="210"/>
      <c r="CJ492" s="210"/>
      <c r="CK492" s="210"/>
    </row>
    <row r="493">
      <c r="A493" s="232" t="s">
        <v>655</v>
      </c>
      <c r="B493" s="233" t="s">
        <v>656</v>
      </c>
      <c r="C493" s="234" t="s">
        <v>93</v>
      </c>
      <c r="D493" s="234" t="s">
        <v>886</v>
      </c>
      <c r="E493" s="233" t="s">
        <v>21</v>
      </c>
      <c r="F493" s="235" t="s">
        <v>927</v>
      </c>
      <c r="G493" s="233"/>
      <c r="H493" s="219">
        <f>IFERROR(
  MINIFS(ATTENDANCE_LOG!$F:$F,
         ATTENDANCE_LOG!$A:$A, C493,
         ATTENDANCE_LOG!$B:$B, E493),
"")</f>
        <v>45929.58333</v>
      </c>
      <c r="I493" s="219">
        <f t="shared" si="2"/>
        <v>45929.58333</v>
      </c>
      <c r="J493" s="233">
        <f>IFERROR(VLOOKUP(F493, LEVEL_HELPER!$A:$B, 2, 0), "")</f>
        <v>1</v>
      </c>
      <c r="K493" s="233" t="str">
        <f>IFERROR(VLOOKUP(G493, LEVEL_HELPER!$A:$B, 2, 0), "")</f>
        <v/>
      </c>
      <c r="L493" s="237" t="s">
        <v>931</v>
      </c>
      <c r="M493" s="237" t="s">
        <v>923</v>
      </c>
      <c r="N493" s="190">
        <f t="array" ref="N493">IFERROR(
  INDEX($J$2:$J$543,
    MATCH(A493&amp;TEXT(I493,"yyyy-mm-dd"),
          $A$2:$A$543&amp;TEXT($H$2:$H$543,"yyyy-mm-dd"),
          0)),
"")</f>
        <v>1</v>
      </c>
      <c r="O493" s="238">
        <f t="shared" si="3"/>
        <v>0</v>
      </c>
      <c r="P493" s="210">
        <f t="shared" ref="P493:Q493" si="503">IF(N493="",0,IF(N493&lt;=2,1,IF(N493&lt;=4,2,IF(N493&lt;=5.5,3,4))))</f>
        <v>1</v>
      </c>
      <c r="Q493" s="210">
        <f t="shared" si="503"/>
        <v>1</v>
      </c>
      <c r="R493" s="210" t="str">
        <f t="shared" si="5"/>
        <v>Not tested yet</v>
      </c>
      <c r="S493" s="210">
        <f t="shared" si="6"/>
        <v>1</v>
      </c>
      <c r="T493" s="210"/>
      <c r="U493" s="210"/>
      <c r="V493" s="210"/>
      <c r="W493" s="210"/>
      <c r="X493" s="210"/>
      <c r="Y493" s="210"/>
      <c r="Z493" s="210"/>
      <c r="AA493" s="210"/>
      <c r="AB493" s="210"/>
      <c r="AC493" s="210"/>
      <c r="AD493" s="210"/>
      <c r="AE493" s="210"/>
      <c r="AF493" s="210"/>
      <c r="AG493" s="210"/>
      <c r="AH493" s="210"/>
      <c r="AI493" s="210"/>
      <c r="AJ493" s="210"/>
      <c r="AK493" s="210"/>
      <c r="AL493" s="210"/>
      <c r="AM493" s="214"/>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c r="BU493" s="210"/>
      <c r="BV493" s="210"/>
      <c r="BW493" s="210"/>
      <c r="BX493" s="210"/>
      <c r="BY493" s="210"/>
      <c r="BZ493" s="210"/>
      <c r="CA493" s="210"/>
      <c r="CB493" s="210"/>
      <c r="CC493" s="210"/>
      <c r="CD493" s="210"/>
      <c r="CE493" s="210"/>
      <c r="CF493" s="210"/>
      <c r="CG493" s="210"/>
      <c r="CH493" s="210"/>
      <c r="CI493" s="210"/>
      <c r="CJ493" s="210"/>
      <c r="CK493" s="210"/>
    </row>
    <row r="494">
      <c r="A494" s="232" t="s">
        <v>705</v>
      </c>
      <c r="B494" s="233" t="s">
        <v>706</v>
      </c>
      <c r="C494" s="234" t="s">
        <v>93</v>
      </c>
      <c r="D494" s="234" t="s">
        <v>886</v>
      </c>
      <c r="E494" s="233" t="s">
        <v>21</v>
      </c>
      <c r="F494" s="235" t="s">
        <v>927</v>
      </c>
      <c r="G494" s="233"/>
      <c r="H494" s="219">
        <f>IFERROR(
  MINIFS(ATTENDANCE_LOG!$F:$F,
         ATTENDANCE_LOG!$A:$A, C494,
         ATTENDANCE_LOG!$B:$B, E494),
"")</f>
        <v>45929.58333</v>
      </c>
      <c r="I494" s="219">
        <f t="shared" si="2"/>
        <v>45929.58333</v>
      </c>
      <c r="J494" s="233">
        <f>IFERROR(VLOOKUP(F494, LEVEL_HELPER!$A:$B, 2, 0), "")</f>
        <v>1</v>
      </c>
      <c r="K494" s="233" t="str">
        <f>IFERROR(VLOOKUP(G494, LEVEL_HELPER!$A:$B, 2, 0), "")</f>
        <v/>
      </c>
      <c r="L494" s="237" t="s">
        <v>957</v>
      </c>
      <c r="M494" s="237" t="s">
        <v>923</v>
      </c>
      <c r="N494" s="190">
        <f t="array" ref="N494">IFERROR(
  INDEX($J$2:$J$543,
    MATCH(A494&amp;TEXT(I494,"yyyy-mm-dd"),
          $A$2:$A$543&amp;TEXT($H$2:$H$543,"yyyy-mm-dd"),
          0)),
"")</f>
        <v>1</v>
      </c>
      <c r="O494" s="238">
        <f t="shared" si="3"/>
        <v>0</v>
      </c>
      <c r="P494" s="210">
        <f t="shared" ref="P494:Q494" si="504">IF(N494="",0,IF(N494&lt;=2,1,IF(N494&lt;=4,2,IF(N494&lt;=5.5,3,4))))</f>
        <v>1</v>
      </c>
      <c r="Q494" s="210">
        <f t="shared" si="504"/>
        <v>1</v>
      </c>
      <c r="R494" s="210" t="str">
        <f t="shared" si="5"/>
        <v>Not tested yet</v>
      </c>
      <c r="S494" s="210">
        <f t="shared" si="6"/>
        <v>1</v>
      </c>
      <c r="T494" s="210"/>
      <c r="U494" s="210"/>
      <c r="V494" s="210"/>
      <c r="W494" s="210"/>
      <c r="X494" s="210"/>
      <c r="Y494" s="210"/>
      <c r="Z494" s="210"/>
      <c r="AA494" s="210"/>
      <c r="AB494" s="210"/>
      <c r="AC494" s="210"/>
      <c r="AD494" s="210"/>
      <c r="AE494" s="210"/>
      <c r="AF494" s="210"/>
      <c r="AG494" s="210"/>
      <c r="AH494" s="210"/>
      <c r="AI494" s="210"/>
      <c r="AJ494" s="210"/>
      <c r="AK494" s="210"/>
      <c r="AL494" s="210"/>
      <c r="AM494" s="214"/>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c r="BU494" s="210"/>
      <c r="BV494" s="210"/>
      <c r="BW494" s="210"/>
      <c r="BX494" s="210"/>
      <c r="BY494" s="210"/>
      <c r="BZ494" s="210"/>
      <c r="CA494" s="210"/>
      <c r="CB494" s="210"/>
      <c r="CC494" s="210"/>
      <c r="CD494" s="210"/>
      <c r="CE494" s="210"/>
      <c r="CF494" s="210"/>
      <c r="CG494" s="210"/>
      <c r="CH494" s="210"/>
      <c r="CI494" s="210"/>
      <c r="CJ494" s="210"/>
      <c r="CK494" s="210"/>
    </row>
    <row r="495">
      <c r="A495" s="249" t="s">
        <v>581</v>
      </c>
      <c r="B495" s="250" t="s">
        <v>582</v>
      </c>
      <c r="C495" s="251" t="s">
        <v>94</v>
      </c>
      <c r="D495" s="251" t="s">
        <v>887</v>
      </c>
      <c r="E495" s="250" t="s">
        <v>21</v>
      </c>
      <c r="F495" s="252" t="s">
        <v>927</v>
      </c>
      <c r="G495" s="250"/>
      <c r="H495" s="219">
        <f>IFERROR(
  MINIFS(ATTENDANCE_LOG!$F:$F,
         ATTENDANCE_LOG!$A:$A, C495,
         ATTENDANCE_LOG!$B:$B, E495),
"")</f>
        <v>46083.625</v>
      </c>
      <c r="I495" s="219">
        <f t="shared" si="2"/>
        <v>46083.625</v>
      </c>
      <c r="J495" s="250">
        <f>IFERROR(VLOOKUP(F495, LEVEL_HELPER!$A:$B, 2, 0), "")</f>
        <v>1</v>
      </c>
      <c r="K495" s="233" t="str">
        <f>IFERROR(VLOOKUP(G495, LEVEL_HELPER!$A:$B, 2, 0), "")</f>
        <v/>
      </c>
      <c r="L495" s="253" t="s">
        <v>943</v>
      </c>
      <c r="M495" s="253" t="s">
        <v>925</v>
      </c>
      <c r="N495" s="190">
        <f t="array" ref="N495">IFERROR(
  INDEX($J$2:$J$543,
    MATCH(A495&amp;TEXT(I495,"yyyy-mm-dd"),
          $A$2:$A$543&amp;TEXT($H$2:$H$543,"yyyy-mm-dd"),
          0)),
"")</f>
        <v>1</v>
      </c>
      <c r="O495" s="254">
        <f t="shared" si="3"/>
        <v>0</v>
      </c>
      <c r="P495" s="210">
        <f t="shared" ref="P495:Q495" si="505">IF(N495="",0,IF(N495&lt;=2,1,IF(N495&lt;=4,2,IF(N495&lt;=5.5,3,4))))</f>
        <v>1</v>
      </c>
      <c r="Q495" s="210">
        <f t="shared" si="505"/>
        <v>1</v>
      </c>
      <c r="R495" s="210" t="str">
        <f t="shared" si="5"/>
        <v>Not tested yet</v>
      </c>
      <c r="S495" s="210">
        <f t="shared" si="6"/>
        <v>1</v>
      </c>
      <c r="T495" s="210"/>
      <c r="U495" s="210"/>
      <c r="V495" s="210"/>
      <c r="W495" s="210"/>
      <c r="X495" s="210"/>
      <c r="Y495" s="210"/>
      <c r="Z495" s="210"/>
      <c r="AA495" s="210"/>
      <c r="AB495" s="210"/>
      <c r="AC495" s="210"/>
      <c r="AD495" s="210"/>
      <c r="AE495" s="210"/>
      <c r="AF495" s="210"/>
      <c r="AG495" s="210"/>
      <c r="AH495" s="210"/>
      <c r="AI495" s="210"/>
      <c r="AJ495" s="210"/>
      <c r="AK495" s="210"/>
      <c r="AL495" s="210"/>
      <c r="AM495" s="214"/>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c r="BU495" s="210"/>
      <c r="BV495" s="210"/>
      <c r="BW495" s="210"/>
      <c r="BX495" s="210"/>
      <c r="BY495" s="210"/>
      <c r="BZ495" s="210"/>
      <c r="CA495" s="210"/>
      <c r="CB495" s="210"/>
      <c r="CC495" s="210"/>
      <c r="CD495" s="210"/>
      <c r="CE495" s="210"/>
      <c r="CF495" s="210"/>
      <c r="CG495" s="210"/>
      <c r="CH495" s="210"/>
      <c r="CI495" s="210"/>
      <c r="CJ495" s="210"/>
      <c r="CK495" s="210"/>
    </row>
    <row r="496">
      <c r="A496" s="232" t="s">
        <v>149</v>
      </c>
      <c r="B496" s="233" t="s">
        <v>150</v>
      </c>
      <c r="C496" s="234" t="s">
        <v>94</v>
      </c>
      <c r="D496" s="234" t="s">
        <v>887</v>
      </c>
      <c r="E496" s="233" t="s">
        <v>21</v>
      </c>
      <c r="F496" s="235" t="s">
        <v>927</v>
      </c>
      <c r="G496" s="235"/>
      <c r="H496" s="219">
        <f>IFERROR(
  MINIFS(ATTENDANCE_LOG!$F:$F,
         ATTENDANCE_LOG!$A:$A, C496,
         ATTENDANCE_LOG!$B:$B, E496),
"")</f>
        <v>46083.625</v>
      </c>
      <c r="I496" s="219">
        <f t="shared" si="2"/>
        <v>45637.375</v>
      </c>
      <c r="J496" s="233">
        <f>IFERROR(VLOOKUP(F496, LEVEL_HELPER!$A:$B, 2, 0), "")</f>
        <v>1</v>
      </c>
      <c r="K496" s="233" t="str">
        <f>IFERROR(VLOOKUP(G496, LEVEL_HELPER!$A:$B, 2, 0), "")</f>
        <v/>
      </c>
      <c r="L496" s="237" t="s">
        <v>919</v>
      </c>
      <c r="M496" s="237" t="s">
        <v>925</v>
      </c>
      <c r="N496" s="190">
        <f t="array" ref="N496">IFERROR(
  INDEX($J$2:$J$543,
    MATCH(A496&amp;TEXT(I496,"yyyy-mm-dd"),
          $A$2:$A$543&amp;TEXT($H$2:$H$543,"yyyy-mm-dd"),
          0)),
"")</f>
        <v>1</v>
      </c>
      <c r="O496" s="238">
        <f t="shared" si="3"/>
        <v>2.5</v>
      </c>
      <c r="P496" s="210">
        <f t="shared" ref="P496:Q496" si="506">IF(N496="",0,IF(N496&lt;=2,1,IF(N496&lt;=4,2,IF(N496&lt;=5.5,3,4))))</f>
        <v>1</v>
      </c>
      <c r="Q496" s="210">
        <f t="shared" si="506"/>
        <v>2</v>
      </c>
      <c r="R496" s="210" t="str">
        <f t="shared" si="5"/>
        <v>Lv1 → Lv2</v>
      </c>
      <c r="S496" s="210">
        <f t="shared" si="6"/>
        <v>0</v>
      </c>
      <c r="T496" s="210"/>
      <c r="U496" s="210"/>
      <c r="V496" s="210"/>
      <c r="W496" s="210"/>
      <c r="X496" s="210"/>
      <c r="Y496" s="210"/>
      <c r="Z496" s="210"/>
      <c r="AA496" s="210"/>
      <c r="AB496" s="210"/>
      <c r="AC496" s="210"/>
      <c r="AD496" s="210"/>
      <c r="AE496" s="210"/>
      <c r="AF496" s="210"/>
      <c r="AG496" s="210"/>
      <c r="AH496" s="210"/>
      <c r="AI496" s="210"/>
      <c r="AJ496" s="210"/>
      <c r="AK496" s="210"/>
      <c r="AL496" s="210"/>
      <c r="AM496" s="214"/>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c r="BU496" s="210"/>
      <c r="BV496" s="210"/>
      <c r="BW496" s="210"/>
      <c r="BX496" s="210"/>
      <c r="BY496" s="210"/>
      <c r="BZ496" s="210"/>
      <c r="CA496" s="210"/>
      <c r="CB496" s="210"/>
      <c r="CC496" s="210"/>
      <c r="CD496" s="210"/>
      <c r="CE496" s="210"/>
      <c r="CF496" s="210"/>
      <c r="CG496" s="210"/>
      <c r="CH496" s="210"/>
      <c r="CI496" s="210"/>
      <c r="CJ496" s="210"/>
      <c r="CK496" s="210"/>
    </row>
    <row r="497">
      <c r="A497" s="232" t="s">
        <v>344</v>
      </c>
      <c r="B497" s="233" t="s">
        <v>345</v>
      </c>
      <c r="C497" s="234" t="s">
        <v>94</v>
      </c>
      <c r="D497" s="234" t="s">
        <v>887</v>
      </c>
      <c r="E497" s="233" t="s">
        <v>21</v>
      </c>
      <c r="F497" s="235" t="s">
        <v>927</v>
      </c>
      <c r="G497" s="233"/>
      <c r="H497" s="219">
        <f>IFERROR(
  MINIFS(ATTENDANCE_LOG!$F:$F,
         ATTENDANCE_LOG!$A:$A, C497,
         ATTENDANCE_LOG!$B:$B, E497),
"")</f>
        <v>46083.625</v>
      </c>
      <c r="I497" s="219">
        <f t="shared" si="2"/>
        <v>46083.625</v>
      </c>
      <c r="J497" s="233">
        <f>IFERROR(VLOOKUP(F497, LEVEL_HELPER!$A:$B, 2, 0), "")</f>
        <v>1</v>
      </c>
      <c r="K497" s="233" t="str">
        <f>IFERROR(VLOOKUP(G497, LEVEL_HELPER!$A:$B, 2, 0), "")</f>
        <v/>
      </c>
      <c r="L497" s="237" t="s">
        <v>943</v>
      </c>
      <c r="M497" s="237" t="s">
        <v>925</v>
      </c>
      <c r="N497" s="190">
        <f t="array" ref="N497">IFERROR(
  INDEX($J$2:$J$543,
    MATCH(A497&amp;TEXT(I497,"yyyy-mm-dd"),
          $A$2:$A$543&amp;TEXT($H$2:$H$543,"yyyy-mm-dd"),
          0)),
"")</f>
        <v>1</v>
      </c>
      <c r="O497" s="238">
        <f t="shared" si="3"/>
        <v>0</v>
      </c>
      <c r="P497" s="210">
        <f t="shared" ref="P497:Q497" si="507">IF(N497="",0,IF(N497&lt;=2,1,IF(N497&lt;=4,2,IF(N497&lt;=5.5,3,4))))</f>
        <v>1</v>
      </c>
      <c r="Q497" s="210">
        <f t="shared" si="507"/>
        <v>1</v>
      </c>
      <c r="R497" s="210" t="str">
        <f t="shared" si="5"/>
        <v>Not tested yet</v>
      </c>
      <c r="S497" s="210">
        <f t="shared" si="6"/>
        <v>1</v>
      </c>
      <c r="T497" s="210"/>
      <c r="U497" s="210"/>
      <c r="V497" s="210"/>
      <c r="W497" s="210"/>
      <c r="X497" s="210"/>
      <c r="Y497" s="210"/>
      <c r="Z497" s="210"/>
      <c r="AA497" s="210"/>
      <c r="AB497" s="210"/>
      <c r="AC497" s="210"/>
      <c r="AD497" s="210"/>
      <c r="AE497" s="210"/>
      <c r="AF497" s="210"/>
      <c r="AG497" s="210"/>
      <c r="AH497" s="210"/>
      <c r="AI497" s="210"/>
      <c r="AJ497" s="210"/>
      <c r="AK497" s="210"/>
      <c r="AL497" s="210"/>
      <c r="AM497" s="214"/>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c r="BU497" s="210"/>
      <c r="BV497" s="210"/>
      <c r="BW497" s="210"/>
      <c r="BX497" s="210"/>
      <c r="BY497" s="210"/>
      <c r="BZ497" s="210"/>
      <c r="CA497" s="210"/>
      <c r="CB497" s="210"/>
      <c r="CC497" s="210"/>
      <c r="CD497" s="210"/>
      <c r="CE497" s="210"/>
      <c r="CF497" s="210"/>
      <c r="CG497" s="210"/>
      <c r="CH497" s="210"/>
      <c r="CI497" s="210"/>
      <c r="CJ497" s="210"/>
      <c r="CK497" s="210"/>
    </row>
    <row r="498">
      <c r="A498" s="232" t="s">
        <v>368</v>
      </c>
      <c r="B498" s="233" t="s">
        <v>369</v>
      </c>
      <c r="C498" s="234" t="s">
        <v>94</v>
      </c>
      <c r="D498" s="234" t="s">
        <v>887</v>
      </c>
      <c r="E498" s="233" t="s">
        <v>21</v>
      </c>
      <c r="F498" s="235" t="s">
        <v>918</v>
      </c>
      <c r="G498" s="233"/>
      <c r="H498" s="219">
        <f>IFERROR(
  MINIFS(ATTENDANCE_LOG!$F:$F,
         ATTENDANCE_LOG!$A:$A, C498,
         ATTENDANCE_LOG!$B:$B, E498),
"")</f>
        <v>46083.625</v>
      </c>
      <c r="I498" s="219">
        <f t="shared" si="2"/>
        <v>46083.625</v>
      </c>
      <c r="J498" s="233">
        <f>IFERROR(VLOOKUP(F498, LEVEL_HELPER!$A:$B, 2, 0), "")</f>
        <v>3</v>
      </c>
      <c r="K498" s="233" t="str">
        <f>IFERROR(VLOOKUP(G498, LEVEL_HELPER!$A:$B, 2, 0), "")</f>
        <v/>
      </c>
      <c r="L498" s="237" t="s">
        <v>943</v>
      </c>
      <c r="M498" s="237" t="s">
        <v>925</v>
      </c>
      <c r="N498" s="190">
        <f t="array" ref="N498">IFERROR(
  INDEX($J$2:$J$543,
    MATCH(A498&amp;TEXT(I498,"yyyy-mm-dd"),
          $A$2:$A$543&amp;TEXT($H$2:$H$543,"yyyy-mm-dd"),
          0)),
"")</f>
        <v>3</v>
      </c>
      <c r="O498" s="238">
        <f t="shared" si="3"/>
        <v>0</v>
      </c>
      <c r="P498" s="210">
        <f t="shared" ref="P498:Q498" si="508">IF(N498="",0,IF(N498&lt;=2,1,IF(N498&lt;=4,2,IF(N498&lt;=5.5,3,4))))</f>
        <v>2</v>
      </c>
      <c r="Q498" s="210">
        <f t="shared" si="508"/>
        <v>1</v>
      </c>
      <c r="R498" s="210" t="str">
        <f t="shared" si="5"/>
        <v>Not tested yet</v>
      </c>
      <c r="S498" s="210">
        <f t="shared" si="6"/>
        <v>1</v>
      </c>
      <c r="T498" s="210"/>
      <c r="U498" s="210"/>
      <c r="V498" s="210"/>
      <c r="W498" s="210"/>
      <c r="X498" s="210"/>
      <c r="Y498" s="210"/>
      <c r="Z498" s="210"/>
      <c r="AA498" s="210"/>
      <c r="AB498" s="210"/>
      <c r="AC498" s="210"/>
      <c r="AD498" s="210"/>
      <c r="AE498" s="210"/>
      <c r="AF498" s="210"/>
      <c r="AG498" s="210"/>
      <c r="AH498" s="210"/>
      <c r="AI498" s="210"/>
      <c r="AJ498" s="210"/>
      <c r="AK498" s="210"/>
      <c r="AL498" s="210"/>
      <c r="AM498" s="214"/>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c r="BU498" s="210"/>
      <c r="BV498" s="210"/>
      <c r="BW498" s="210"/>
      <c r="BX498" s="210"/>
      <c r="BY498" s="210"/>
      <c r="BZ498" s="210"/>
      <c r="CA498" s="210"/>
      <c r="CB498" s="210"/>
      <c r="CC498" s="210"/>
      <c r="CD498" s="210"/>
      <c r="CE498" s="210"/>
      <c r="CF498" s="210"/>
      <c r="CG498" s="210"/>
      <c r="CH498" s="210"/>
      <c r="CI498" s="210"/>
      <c r="CJ498" s="210"/>
      <c r="CK498" s="210"/>
    </row>
    <row r="499">
      <c r="A499" s="232" t="s">
        <v>543</v>
      </c>
      <c r="B499" s="233" t="s">
        <v>544</v>
      </c>
      <c r="C499" s="234" t="s">
        <v>94</v>
      </c>
      <c r="D499" s="234" t="s">
        <v>887</v>
      </c>
      <c r="E499" s="233" t="s">
        <v>21</v>
      </c>
      <c r="F499" s="235" t="s">
        <v>918</v>
      </c>
      <c r="G499" s="233"/>
      <c r="H499" s="219">
        <f>IFERROR(
  MINIFS(ATTENDANCE_LOG!$F:$F,
         ATTENDANCE_LOG!$A:$A, C499,
         ATTENDANCE_LOG!$B:$B, E499),
"")</f>
        <v>46083.625</v>
      </c>
      <c r="I499" s="219">
        <f t="shared" si="2"/>
        <v>46083.625</v>
      </c>
      <c r="J499" s="233">
        <f>IFERROR(VLOOKUP(F499, LEVEL_HELPER!$A:$B, 2, 0), "")</f>
        <v>3</v>
      </c>
      <c r="K499" s="233" t="str">
        <f>IFERROR(VLOOKUP(G499, LEVEL_HELPER!$A:$B, 2, 0), "")</f>
        <v/>
      </c>
      <c r="L499" s="237" t="s">
        <v>943</v>
      </c>
      <c r="M499" s="255" t="s">
        <v>925</v>
      </c>
      <c r="N499" s="190">
        <f t="array" ref="N499">IFERROR(
  INDEX($J$2:$J$543,
    MATCH(A499&amp;TEXT(I499,"yyyy-mm-dd"),
          $A$2:$A$543&amp;TEXT($H$2:$H$543,"yyyy-mm-dd"),
          0)),
"")</f>
        <v>3</v>
      </c>
      <c r="O499" s="238">
        <f t="shared" si="3"/>
        <v>0</v>
      </c>
      <c r="P499" s="210">
        <f t="shared" ref="P499:Q499" si="509">IF(N499="",0,IF(N499&lt;=2,1,IF(N499&lt;=4,2,IF(N499&lt;=5.5,3,4))))</f>
        <v>2</v>
      </c>
      <c r="Q499" s="210">
        <f t="shared" si="509"/>
        <v>1</v>
      </c>
      <c r="R499" s="210" t="str">
        <f t="shared" si="5"/>
        <v>Not tested yet</v>
      </c>
      <c r="S499" s="210">
        <f t="shared" si="6"/>
        <v>1</v>
      </c>
      <c r="T499" s="210"/>
      <c r="U499" s="210"/>
      <c r="V499" s="210"/>
      <c r="W499" s="210"/>
      <c r="X499" s="210"/>
      <c r="Y499" s="210"/>
      <c r="Z499" s="210"/>
      <c r="AA499" s="210"/>
      <c r="AB499" s="210"/>
      <c r="AC499" s="210"/>
      <c r="AD499" s="210"/>
      <c r="AE499" s="210"/>
      <c r="AF499" s="210"/>
      <c r="AG499" s="210"/>
      <c r="AH499" s="210"/>
      <c r="AI499" s="210"/>
      <c r="AJ499" s="210"/>
      <c r="AK499" s="210"/>
      <c r="AL499" s="210"/>
      <c r="AM499" s="214"/>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c r="BU499" s="210"/>
      <c r="BV499" s="210"/>
      <c r="BW499" s="210"/>
      <c r="BX499" s="210"/>
      <c r="BY499" s="210"/>
      <c r="BZ499" s="210"/>
      <c r="CA499" s="210"/>
      <c r="CB499" s="210"/>
      <c r="CC499" s="210"/>
      <c r="CD499" s="210"/>
      <c r="CE499" s="210"/>
      <c r="CF499" s="210"/>
      <c r="CG499" s="210"/>
      <c r="CH499" s="210"/>
      <c r="CI499" s="210"/>
      <c r="CJ499" s="210"/>
      <c r="CK499" s="210"/>
    </row>
    <row r="500">
      <c r="A500" s="232" t="s">
        <v>579</v>
      </c>
      <c r="B500" s="233" t="s">
        <v>580</v>
      </c>
      <c r="C500" s="234" t="s">
        <v>94</v>
      </c>
      <c r="D500" s="234" t="s">
        <v>887</v>
      </c>
      <c r="E500" s="233" t="s">
        <v>21</v>
      </c>
      <c r="F500" s="235" t="s">
        <v>927</v>
      </c>
      <c r="G500" s="233"/>
      <c r="H500" s="219">
        <f>IFERROR(
  MINIFS(ATTENDANCE_LOG!$F:$F,
         ATTENDANCE_LOG!$A:$A, C500,
         ATTENDANCE_LOG!$B:$B, E500),
"")</f>
        <v>46083.625</v>
      </c>
      <c r="I500" s="219">
        <f t="shared" si="2"/>
        <v>46083.625</v>
      </c>
      <c r="J500" s="233">
        <f>IFERROR(VLOOKUP(F500, LEVEL_HELPER!$A:$B, 2, 0), "")</f>
        <v>1</v>
      </c>
      <c r="K500" s="233" t="str">
        <f>IFERROR(VLOOKUP(G500, LEVEL_HELPER!$A:$B, 2, 0), "")</f>
        <v/>
      </c>
      <c r="L500" s="237" t="s">
        <v>943</v>
      </c>
      <c r="M500" s="237" t="s">
        <v>925</v>
      </c>
      <c r="N500" s="190">
        <f t="array" ref="N500">IFERROR(
  INDEX($J$2:$J$543,
    MATCH(A500&amp;TEXT(I500,"yyyy-mm-dd"),
          $A$2:$A$543&amp;TEXT($H$2:$H$543,"yyyy-mm-dd"),
          0)),
"")</f>
        <v>1</v>
      </c>
      <c r="O500" s="238">
        <f t="shared" si="3"/>
        <v>0</v>
      </c>
      <c r="P500" s="210">
        <f t="shared" ref="P500:Q500" si="510">IF(N500="",0,IF(N500&lt;=2,1,IF(N500&lt;=4,2,IF(N500&lt;=5.5,3,4))))</f>
        <v>1</v>
      </c>
      <c r="Q500" s="210">
        <f t="shared" si="510"/>
        <v>1</v>
      </c>
      <c r="R500" s="210" t="str">
        <f t="shared" si="5"/>
        <v>Not tested yet</v>
      </c>
      <c r="S500" s="210">
        <f t="shared" si="6"/>
        <v>1</v>
      </c>
      <c r="T500" s="210"/>
      <c r="U500" s="210"/>
      <c r="V500" s="210"/>
      <c r="W500" s="210"/>
      <c r="X500" s="210"/>
      <c r="Y500" s="210"/>
      <c r="Z500" s="210"/>
      <c r="AA500" s="210"/>
      <c r="AB500" s="210"/>
      <c r="AC500" s="210"/>
      <c r="AD500" s="210"/>
      <c r="AE500" s="210"/>
      <c r="AF500" s="210"/>
      <c r="AG500" s="210"/>
      <c r="AH500" s="210"/>
      <c r="AI500" s="210"/>
      <c r="AJ500" s="210"/>
      <c r="AK500" s="210"/>
      <c r="AL500" s="210"/>
      <c r="AM500" s="214"/>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c r="BU500" s="210"/>
      <c r="BV500" s="210"/>
      <c r="BW500" s="210"/>
      <c r="BX500" s="210"/>
      <c r="BY500" s="210"/>
      <c r="BZ500" s="210"/>
      <c r="CA500" s="210"/>
      <c r="CB500" s="210"/>
      <c r="CC500" s="210"/>
      <c r="CD500" s="210"/>
      <c r="CE500" s="210"/>
      <c r="CF500" s="210"/>
      <c r="CG500" s="210"/>
      <c r="CH500" s="210"/>
      <c r="CI500" s="210"/>
      <c r="CJ500" s="210"/>
      <c r="CK500" s="210"/>
    </row>
    <row r="501">
      <c r="A501" s="232" t="s">
        <v>613</v>
      </c>
      <c r="B501" s="233" t="s">
        <v>614</v>
      </c>
      <c r="C501" s="234" t="s">
        <v>94</v>
      </c>
      <c r="D501" s="234" t="s">
        <v>887</v>
      </c>
      <c r="E501" s="233" t="s">
        <v>21</v>
      </c>
      <c r="F501" s="235" t="s">
        <v>927</v>
      </c>
      <c r="G501" s="233"/>
      <c r="H501" s="219">
        <f>IFERROR(
  MINIFS(ATTENDANCE_LOG!$F:$F,
         ATTENDANCE_LOG!$A:$A, C501,
         ATTENDANCE_LOG!$B:$B, E501),
"")</f>
        <v>46083.625</v>
      </c>
      <c r="I501" s="219">
        <f t="shared" si="2"/>
        <v>46083.625</v>
      </c>
      <c r="J501" s="233">
        <f>IFERROR(VLOOKUP(F501, LEVEL_HELPER!$A:$B, 2, 0), "")</f>
        <v>1</v>
      </c>
      <c r="K501" s="233" t="str">
        <f>IFERROR(VLOOKUP(G501, LEVEL_HELPER!$A:$B, 2, 0), "")</f>
        <v/>
      </c>
      <c r="L501" s="237" t="s">
        <v>943</v>
      </c>
      <c r="M501" s="237" t="s">
        <v>925</v>
      </c>
      <c r="N501" s="190">
        <f t="array" ref="N501">IFERROR(
  INDEX($J$2:$J$543,
    MATCH(A501&amp;TEXT(I501,"yyyy-mm-dd"),
          $A$2:$A$543&amp;TEXT($H$2:$H$543,"yyyy-mm-dd"),
          0)),
"")</f>
        <v>1</v>
      </c>
      <c r="O501" s="238">
        <f t="shared" si="3"/>
        <v>0</v>
      </c>
      <c r="P501" s="210">
        <f t="shared" ref="P501:Q501" si="511">IF(N501="",0,IF(N501&lt;=2,1,IF(N501&lt;=4,2,IF(N501&lt;=5.5,3,4))))</f>
        <v>1</v>
      </c>
      <c r="Q501" s="210">
        <f t="shared" si="511"/>
        <v>1</v>
      </c>
      <c r="R501" s="210" t="str">
        <f t="shared" si="5"/>
        <v>Not tested yet</v>
      </c>
      <c r="S501" s="210">
        <f t="shared" si="6"/>
        <v>1</v>
      </c>
      <c r="T501" s="210"/>
      <c r="U501" s="210"/>
      <c r="V501" s="210"/>
      <c r="W501" s="210"/>
      <c r="X501" s="210"/>
      <c r="Y501" s="210"/>
      <c r="Z501" s="210"/>
      <c r="AA501" s="210"/>
      <c r="AB501" s="210"/>
      <c r="AC501" s="210"/>
      <c r="AD501" s="210"/>
      <c r="AE501" s="210"/>
      <c r="AF501" s="210"/>
      <c r="AG501" s="210"/>
      <c r="AH501" s="210"/>
      <c r="AI501" s="210"/>
      <c r="AJ501" s="210"/>
      <c r="AK501" s="210"/>
      <c r="AL501" s="210"/>
      <c r="AM501" s="214"/>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c r="BU501" s="210"/>
      <c r="BV501" s="210"/>
      <c r="BW501" s="210"/>
      <c r="BX501" s="210"/>
      <c r="BY501" s="210"/>
      <c r="BZ501" s="210"/>
      <c r="CA501" s="210"/>
      <c r="CB501" s="210"/>
      <c r="CC501" s="210"/>
      <c r="CD501" s="210"/>
      <c r="CE501" s="210"/>
      <c r="CF501" s="210"/>
      <c r="CG501" s="210"/>
      <c r="CH501" s="210"/>
      <c r="CI501" s="210"/>
      <c r="CJ501" s="210"/>
      <c r="CK501" s="210"/>
    </row>
    <row r="502">
      <c r="A502" s="256" t="s">
        <v>954</v>
      </c>
      <c r="B502" s="252" t="s">
        <v>724</v>
      </c>
      <c r="C502" s="251" t="s">
        <v>783</v>
      </c>
      <c r="D502" s="251" t="s">
        <v>891</v>
      </c>
      <c r="E502" s="250" t="s">
        <v>21</v>
      </c>
      <c r="F502" s="252" t="s">
        <v>927</v>
      </c>
      <c r="G502" s="250"/>
      <c r="H502" s="219">
        <f>IFERROR(
  MINIFS(ATTENDANCE_LOG!$F:$F,
         ATTENDANCE_LOG!$A:$A, C502,
         ATTENDANCE_LOG!$B:$B, E502),
"")</f>
        <v>46085.58333</v>
      </c>
      <c r="I502" s="219">
        <f t="shared" si="2"/>
        <v>46085.58333</v>
      </c>
      <c r="J502" s="233">
        <f>IFERROR(VLOOKUP(F502, LEVEL_HELPER!$A:$B, 2, 0), "")</f>
        <v>1</v>
      </c>
      <c r="K502" s="233" t="str">
        <f>IFERROR(VLOOKUP(G502, LEVEL_HELPER!$A:$B, 2, 0), "")</f>
        <v/>
      </c>
      <c r="L502" s="257" t="s">
        <v>943</v>
      </c>
      <c r="M502" s="257" t="s">
        <v>925</v>
      </c>
      <c r="N502" s="190">
        <f t="array" ref="N502">IFERROR(
  INDEX($J$2:$J$543,
    MATCH(A502&amp;TEXT(I502,"yyyy-mm-dd"),
          $A$2:$A$543&amp;TEXT($H$2:$H$543,"yyyy-mm-dd"),
          0)),
"")</f>
        <v>1</v>
      </c>
      <c r="O502" s="238">
        <f t="shared" si="3"/>
        <v>0</v>
      </c>
      <c r="P502" s="210">
        <f t="shared" ref="P502:Q502" si="512">IF(N502="",0,IF(N502&lt;=2,1,IF(N502&lt;=4,2,IF(N502&lt;=5.5,3,4))))</f>
        <v>1</v>
      </c>
      <c r="Q502" s="210">
        <f t="shared" si="512"/>
        <v>1</v>
      </c>
      <c r="R502" s="210" t="str">
        <f t="shared" si="5"/>
        <v>Not tested yet</v>
      </c>
      <c r="S502" s="210">
        <f t="shared" si="6"/>
        <v>1</v>
      </c>
      <c r="T502" s="210"/>
      <c r="U502" s="210"/>
      <c r="V502" s="210"/>
      <c r="W502" s="210"/>
      <c r="X502" s="210"/>
      <c r="Y502" s="210"/>
      <c r="Z502" s="210"/>
      <c r="AA502" s="210"/>
      <c r="AB502" s="210"/>
      <c r="AC502" s="210"/>
      <c r="AD502" s="210"/>
      <c r="AE502" s="210"/>
      <c r="AF502" s="210"/>
      <c r="AG502" s="210"/>
      <c r="AH502" s="210"/>
      <c r="AI502" s="210"/>
      <c r="AJ502" s="210"/>
      <c r="AK502" s="210"/>
      <c r="AL502" s="210"/>
      <c r="AM502" s="214"/>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c r="BU502" s="210"/>
      <c r="BV502" s="210"/>
      <c r="BW502" s="210"/>
      <c r="BX502" s="210"/>
      <c r="BY502" s="210"/>
      <c r="BZ502" s="210"/>
      <c r="CA502" s="210"/>
      <c r="CB502" s="210"/>
      <c r="CC502" s="210"/>
      <c r="CD502" s="210"/>
      <c r="CE502" s="210"/>
      <c r="CF502" s="210"/>
      <c r="CG502" s="210"/>
      <c r="CH502" s="210"/>
      <c r="CI502" s="210"/>
      <c r="CJ502" s="210"/>
      <c r="CK502" s="210"/>
    </row>
    <row r="503">
      <c r="A503" s="258" t="s">
        <v>725</v>
      </c>
      <c r="B503" s="233" t="s">
        <v>726</v>
      </c>
      <c r="C503" s="234" t="s">
        <v>783</v>
      </c>
      <c r="D503" s="234" t="s">
        <v>891</v>
      </c>
      <c r="E503" s="233" t="s">
        <v>21</v>
      </c>
      <c r="F503" s="235" t="s">
        <v>927</v>
      </c>
      <c r="G503" s="233"/>
      <c r="H503" s="219">
        <f>IFERROR(
  MINIFS(ATTENDANCE_LOG!$F:$F,
         ATTENDANCE_LOG!$A:$A, C503,
         ATTENDANCE_LOG!$B:$B, E503),
"")</f>
        <v>46085.58333</v>
      </c>
      <c r="I503" s="219">
        <f t="shared" si="2"/>
        <v>46085.58333</v>
      </c>
      <c r="J503" s="233">
        <f>IFERROR(VLOOKUP(F503, LEVEL_HELPER!$A:$B, 2, 0), "")</f>
        <v>1</v>
      </c>
      <c r="K503" s="233" t="str">
        <f>IFERROR(VLOOKUP(G503, LEVEL_HELPER!$A:$B, 2, 0), "")</f>
        <v/>
      </c>
      <c r="L503" s="259" t="s">
        <v>943</v>
      </c>
      <c r="M503" s="259" t="s">
        <v>925</v>
      </c>
      <c r="N503" s="190">
        <f t="array" ref="N503">IFERROR(
  INDEX($J$2:$J$543,
    MATCH(A503&amp;TEXT(I503,"yyyy-mm-dd"),
          $A$2:$A$543&amp;TEXT($H$2:$H$543,"yyyy-mm-dd"),
          0)),
"")</f>
        <v>1</v>
      </c>
      <c r="O503" s="238">
        <f t="shared" si="3"/>
        <v>0</v>
      </c>
      <c r="P503" s="210">
        <f t="shared" ref="P503:Q503" si="513">IF(N503="",0,IF(N503&lt;=2,1,IF(N503&lt;=4,2,IF(N503&lt;=5.5,3,4))))</f>
        <v>1</v>
      </c>
      <c r="Q503" s="210">
        <f t="shared" si="513"/>
        <v>1</v>
      </c>
      <c r="R503" s="210" t="str">
        <f t="shared" si="5"/>
        <v>Not tested yet</v>
      </c>
      <c r="S503" s="210">
        <f t="shared" si="6"/>
        <v>1</v>
      </c>
      <c r="T503" s="210"/>
      <c r="U503" s="210"/>
      <c r="V503" s="210"/>
      <c r="W503" s="210"/>
      <c r="X503" s="210"/>
      <c r="Y503" s="210"/>
      <c r="Z503" s="210"/>
      <c r="AA503" s="210"/>
      <c r="AB503" s="210"/>
      <c r="AC503" s="210"/>
      <c r="AD503" s="210"/>
      <c r="AE503" s="210"/>
      <c r="AF503" s="210"/>
      <c r="AG503" s="210"/>
      <c r="AH503" s="210"/>
      <c r="AI503" s="210"/>
      <c r="AJ503" s="210"/>
      <c r="AK503" s="210"/>
      <c r="AL503" s="210"/>
      <c r="AM503" s="214"/>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c r="BU503" s="210"/>
      <c r="BV503" s="210"/>
      <c r="BW503" s="210"/>
      <c r="BX503" s="210"/>
      <c r="BY503" s="210"/>
      <c r="BZ503" s="210"/>
      <c r="CA503" s="210"/>
      <c r="CB503" s="210"/>
      <c r="CC503" s="210"/>
      <c r="CD503" s="210"/>
      <c r="CE503" s="210"/>
      <c r="CF503" s="210"/>
      <c r="CG503" s="210"/>
      <c r="CH503" s="210"/>
      <c r="CI503" s="210"/>
      <c r="CJ503" s="210"/>
      <c r="CK503" s="210"/>
    </row>
    <row r="504">
      <c r="A504" s="258" t="s">
        <v>727</v>
      </c>
      <c r="B504" s="233" t="s">
        <v>728</v>
      </c>
      <c r="C504" s="234" t="s">
        <v>783</v>
      </c>
      <c r="D504" s="234" t="s">
        <v>891</v>
      </c>
      <c r="E504" s="233" t="s">
        <v>21</v>
      </c>
      <c r="F504" s="235" t="s">
        <v>927</v>
      </c>
      <c r="G504" s="233"/>
      <c r="H504" s="219">
        <f>IFERROR(
  MINIFS(ATTENDANCE_LOG!$F:$F,
         ATTENDANCE_LOG!$A:$A, C504,
         ATTENDANCE_LOG!$B:$B, E504),
"")</f>
        <v>46085.58333</v>
      </c>
      <c r="I504" s="219">
        <f t="shared" si="2"/>
        <v>46085.58333</v>
      </c>
      <c r="J504" s="233">
        <f>IFERROR(VLOOKUP(F504, LEVEL_HELPER!$A:$B, 2, 0), "")</f>
        <v>1</v>
      </c>
      <c r="K504" s="233" t="str">
        <f>IFERROR(VLOOKUP(G504, LEVEL_HELPER!$A:$B, 2, 0), "")</f>
        <v/>
      </c>
      <c r="L504" s="259" t="s">
        <v>943</v>
      </c>
      <c r="M504" s="259" t="s">
        <v>925</v>
      </c>
      <c r="N504" s="190">
        <f t="array" ref="N504">IFERROR(
  INDEX($J$2:$J$543,
    MATCH(A504&amp;TEXT(I504,"yyyy-mm-dd"),
          $A$2:$A$543&amp;TEXT($H$2:$H$543,"yyyy-mm-dd"),
          0)),
"")</f>
        <v>1</v>
      </c>
      <c r="O504" s="238">
        <f t="shared" si="3"/>
        <v>0</v>
      </c>
      <c r="P504" s="210">
        <f t="shared" ref="P504:Q504" si="514">IF(N504="",0,IF(N504&lt;=2,1,IF(N504&lt;=4,2,IF(N504&lt;=5.5,3,4))))</f>
        <v>1</v>
      </c>
      <c r="Q504" s="210">
        <f t="shared" si="514"/>
        <v>1</v>
      </c>
      <c r="R504" s="210" t="str">
        <f t="shared" si="5"/>
        <v>Not tested yet</v>
      </c>
      <c r="S504" s="210">
        <f t="shared" si="6"/>
        <v>1</v>
      </c>
      <c r="T504" s="210"/>
      <c r="U504" s="210"/>
      <c r="V504" s="210"/>
      <c r="W504" s="210"/>
      <c r="X504" s="210"/>
      <c r="Y504" s="210"/>
      <c r="Z504" s="210"/>
      <c r="AA504" s="210"/>
      <c r="AB504" s="210"/>
      <c r="AC504" s="210"/>
      <c r="AD504" s="210"/>
      <c r="AE504" s="210"/>
      <c r="AF504" s="210"/>
      <c r="AG504" s="210"/>
      <c r="AH504" s="210"/>
      <c r="AI504" s="210"/>
      <c r="AJ504" s="210"/>
      <c r="AK504" s="210"/>
      <c r="AL504" s="210"/>
      <c r="AM504" s="214"/>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c r="BU504" s="210"/>
      <c r="BV504" s="210"/>
      <c r="BW504" s="210"/>
      <c r="BX504" s="210"/>
      <c r="BY504" s="210"/>
      <c r="BZ504" s="210"/>
      <c r="CA504" s="210"/>
      <c r="CB504" s="210"/>
      <c r="CC504" s="210"/>
      <c r="CD504" s="210"/>
      <c r="CE504" s="210"/>
      <c r="CF504" s="210"/>
      <c r="CG504" s="210"/>
      <c r="CH504" s="210"/>
      <c r="CI504" s="210"/>
      <c r="CJ504" s="210"/>
      <c r="CK504" s="210"/>
    </row>
    <row r="505">
      <c r="A505" s="258" t="s">
        <v>729</v>
      </c>
      <c r="B505" s="233" t="s">
        <v>730</v>
      </c>
      <c r="C505" s="234" t="s">
        <v>783</v>
      </c>
      <c r="D505" s="234" t="s">
        <v>891</v>
      </c>
      <c r="E505" s="233" t="s">
        <v>21</v>
      </c>
      <c r="F505" s="235" t="s">
        <v>927</v>
      </c>
      <c r="G505" s="233"/>
      <c r="H505" s="219">
        <f>IFERROR(
  MINIFS(ATTENDANCE_LOG!$F:$F,
         ATTENDANCE_LOG!$A:$A, C505,
         ATTENDANCE_LOG!$B:$B, E505),
"")</f>
        <v>46085.58333</v>
      </c>
      <c r="I505" s="219">
        <f t="shared" si="2"/>
        <v>46085.58333</v>
      </c>
      <c r="J505" s="233">
        <f>IFERROR(VLOOKUP(F505, LEVEL_HELPER!$A:$B, 2, 0), "")</f>
        <v>1</v>
      </c>
      <c r="K505" s="233" t="str">
        <f>IFERROR(VLOOKUP(G505, LEVEL_HELPER!$A:$B, 2, 0), "")</f>
        <v/>
      </c>
      <c r="L505" s="259" t="s">
        <v>943</v>
      </c>
      <c r="M505" s="259" t="s">
        <v>925</v>
      </c>
      <c r="N505" s="190">
        <f t="array" ref="N505">IFERROR(
  INDEX($J$2:$J$543,
    MATCH(A505&amp;TEXT(I505,"yyyy-mm-dd"),
          $A$2:$A$543&amp;TEXT($H$2:$H$543,"yyyy-mm-dd"),
          0)),
"")</f>
        <v>1</v>
      </c>
      <c r="O505" s="238">
        <f t="shared" si="3"/>
        <v>0</v>
      </c>
      <c r="P505" s="210">
        <f t="shared" ref="P505:Q505" si="515">IF(N505="",0,IF(N505&lt;=2,1,IF(N505&lt;=4,2,IF(N505&lt;=5.5,3,4))))</f>
        <v>1</v>
      </c>
      <c r="Q505" s="210">
        <f t="shared" si="515"/>
        <v>1</v>
      </c>
      <c r="R505" s="210" t="str">
        <f t="shared" si="5"/>
        <v>Not tested yet</v>
      </c>
      <c r="S505" s="210">
        <f t="shared" si="6"/>
        <v>1</v>
      </c>
      <c r="T505" s="210"/>
      <c r="U505" s="210"/>
      <c r="V505" s="210"/>
      <c r="W505" s="210"/>
      <c r="X505" s="210"/>
      <c r="Y505" s="210"/>
      <c r="Z505" s="210"/>
      <c r="AA505" s="210"/>
      <c r="AB505" s="210"/>
      <c r="AC505" s="210"/>
      <c r="AD505" s="210"/>
      <c r="AE505" s="210"/>
      <c r="AF505" s="210"/>
      <c r="AG505" s="210"/>
      <c r="AH505" s="210"/>
      <c r="AI505" s="210"/>
      <c r="AJ505" s="210"/>
      <c r="AK505" s="210"/>
      <c r="AL505" s="210"/>
      <c r="AM505" s="214"/>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c r="BU505" s="210"/>
      <c r="BV505" s="210"/>
      <c r="BW505" s="210"/>
      <c r="BX505" s="210"/>
      <c r="BY505" s="210"/>
      <c r="BZ505" s="210"/>
      <c r="CA505" s="210"/>
      <c r="CB505" s="210"/>
      <c r="CC505" s="210"/>
      <c r="CD505" s="210"/>
      <c r="CE505" s="210"/>
      <c r="CF505" s="210"/>
      <c r="CG505" s="210"/>
      <c r="CH505" s="210"/>
      <c r="CI505" s="210"/>
      <c r="CJ505" s="210"/>
      <c r="CK505" s="210"/>
    </row>
    <row r="506">
      <c r="A506" s="258" t="s">
        <v>731</v>
      </c>
      <c r="B506" s="233" t="s">
        <v>732</v>
      </c>
      <c r="C506" s="234" t="s">
        <v>783</v>
      </c>
      <c r="D506" s="234" t="s">
        <v>891</v>
      </c>
      <c r="E506" s="233" t="s">
        <v>21</v>
      </c>
      <c r="F506" s="235" t="s">
        <v>927</v>
      </c>
      <c r="G506" s="233"/>
      <c r="H506" s="219">
        <f>IFERROR(
  MINIFS(ATTENDANCE_LOG!$F:$F,
         ATTENDANCE_LOG!$A:$A, C506,
         ATTENDANCE_LOG!$B:$B, E506),
"")</f>
        <v>46085.58333</v>
      </c>
      <c r="I506" s="219">
        <f t="shared" si="2"/>
        <v>46085.58333</v>
      </c>
      <c r="J506" s="233">
        <f>IFERROR(VLOOKUP(F506, LEVEL_HELPER!$A:$B, 2, 0), "")</f>
        <v>1</v>
      </c>
      <c r="K506" s="233" t="str">
        <f>IFERROR(VLOOKUP(G506, LEVEL_HELPER!$A:$B, 2, 0), "")</f>
        <v/>
      </c>
      <c r="L506" s="259" t="s">
        <v>943</v>
      </c>
      <c r="M506" s="259" t="s">
        <v>925</v>
      </c>
      <c r="N506" s="190">
        <f t="array" ref="N506">IFERROR(
  INDEX($J$2:$J$543,
    MATCH(A506&amp;TEXT(I506,"yyyy-mm-dd"),
          $A$2:$A$543&amp;TEXT($H$2:$H$543,"yyyy-mm-dd"),
          0)),
"")</f>
        <v>1</v>
      </c>
      <c r="O506" s="238">
        <f t="shared" si="3"/>
        <v>0</v>
      </c>
      <c r="P506" s="210">
        <f t="shared" ref="P506:Q506" si="516">IF(N506="",0,IF(N506&lt;=2,1,IF(N506&lt;=4,2,IF(N506&lt;=5.5,3,4))))</f>
        <v>1</v>
      </c>
      <c r="Q506" s="210">
        <f t="shared" si="516"/>
        <v>1</v>
      </c>
      <c r="R506" s="210" t="str">
        <f t="shared" si="5"/>
        <v>Not tested yet</v>
      </c>
      <c r="S506" s="210">
        <f t="shared" si="6"/>
        <v>1</v>
      </c>
      <c r="T506" s="210"/>
      <c r="U506" s="210"/>
      <c r="V506" s="210"/>
      <c r="W506" s="210"/>
      <c r="X506" s="210"/>
      <c r="Y506" s="210"/>
      <c r="Z506" s="210"/>
      <c r="AA506" s="210"/>
      <c r="AB506" s="210"/>
      <c r="AC506" s="210"/>
      <c r="AD506" s="210"/>
      <c r="AE506" s="210"/>
      <c r="AF506" s="210"/>
      <c r="AG506" s="210"/>
      <c r="AH506" s="210"/>
      <c r="AI506" s="210"/>
      <c r="AJ506" s="210"/>
      <c r="AK506" s="210"/>
      <c r="AL506" s="210"/>
      <c r="AM506" s="214"/>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c r="BU506" s="210"/>
      <c r="BV506" s="210"/>
      <c r="BW506" s="210"/>
      <c r="BX506" s="210"/>
      <c r="BY506" s="210"/>
      <c r="BZ506" s="210"/>
      <c r="CA506" s="210"/>
      <c r="CB506" s="210"/>
      <c r="CC506" s="210"/>
      <c r="CD506" s="210"/>
      <c r="CE506" s="210"/>
      <c r="CF506" s="210"/>
      <c r="CG506" s="210"/>
      <c r="CH506" s="210"/>
      <c r="CI506" s="210"/>
      <c r="CJ506" s="210"/>
      <c r="CK506" s="210"/>
    </row>
    <row r="507">
      <c r="A507" s="258" t="s">
        <v>733</v>
      </c>
      <c r="B507" s="233" t="s">
        <v>734</v>
      </c>
      <c r="C507" s="234" t="s">
        <v>783</v>
      </c>
      <c r="D507" s="234" t="s">
        <v>891</v>
      </c>
      <c r="E507" s="233" t="s">
        <v>21</v>
      </c>
      <c r="F507" s="235" t="s">
        <v>927</v>
      </c>
      <c r="G507" s="233"/>
      <c r="H507" s="219">
        <f>IFERROR(
  MINIFS(ATTENDANCE_LOG!$F:$F,
         ATTENDANCE_LOG!$A:$A, C507,
         ATTENDANCE_LOG!$B:$B, E507),
"")</f>
        <v>46085.58333</v>
      </c>
      <c r="I507" s="219">
        <f t="shared" si="2"/>
        <v>46085.58333</v>
      </c>
      <c r="J507" s="233">
        <f>IFERROR(VLOOKUP(F507, LEVEL_HELPER!$A:$B, 2, 0), "")</f>
        <v>1</v>
      </c>
      <c r="K507" s="233" t="str">
        <f>IFERROR(VLOOKUP(G507, LEVEL_HELPER!$A:$B, 2, 0), "")</f>
        <v/>
      </c>
      <c r="L507" s="259" t="s">
        <v>943</v>
      </c>
      <c r="M507" s="259" t="s">
        <v>925</v>
      </c>
      <c r="N507" s="190">
        <f t="array" ref="N507">IFERROR(
  INDEX($J$2:$J$543,
    MATCH(A507&amp;TEXT(I507,"yyyy-mm-dd"),
          $A$2:$A$543&amp;TEXT($H$2:$H$543,"yyyy-mm-dd"),
          0)),
"")</f>
        <v>1</v>
      </c>
      <c r="O507" s="238">
        <f t="shared" si="3"/>
        <v>0</v>
      </c>
      <c r="P507" s="210">
        <f t="shared" ref="P507:Q507" si="517">IF(N507="",0,IF(N507&lt;=2,1,IF(N507&lt;=4,2,IF(N507&lt;=5.5,3,4))))</f>
        <v>1</v>
      </c>
      <c r="Q507" s="210">
        <f t="shared" si="517"/>
        <v>1</v>
      </c>
      <c r="R507" s="210" t="str">
        <f t="shared" si="5"/>
        <v>Not tested yet</v>
      </c>
      <c r="S507" s="210">
        <f t="shared" si="6"/>
        <v>1</v>
      </c>
      <c r="T507" s="210"/>
      <c r="U507" s="210"/>
      <c r="V507" s="210"/>
      <c r="W507" s="210"/>
      <c r="X507" s="210"/>
      <c r="Y507" s="210"/>
      <c r="Z507" s="210"/>
      <c r="AA507" s="210"/>
      <c r="AB507" s="210"/>
      <c r="AC507" s="210"/>
      <c r="AD507" s="210"/>
      <c r="AE507" s="210"/>
      <c r="AF507" s="210"/>
      <c r="AG507" s="210"/>
      <c r="AH507" s="210"/>
      <c r="AI507" s="210"/>
      <c r="AJ507" s="210"/>
      <c r="AK507" s="210"/>
      <c r="AL507" s="210"/>
      <c r="AM507" s="214"/>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c r="BU507" s="210"/>
      <c r="BV507" s="210"/>
      <c r="BW507" s="210"/>
      <c r="BX507" s="210"/>
      <c r="BY507" s="210"/>
      <c r="BZ507" s="210"/>
      <c r="CA507" s="210"/>
      <c r="CB507" s="210"/>
      <c r="CC507" s="210"/>
      <c r="CD507" s="210"/>
      <c r="CE507" s="210"/>
      <c r="CF507" s="210"/>
      <c r="CG507" s="210"/>
      <c r="CH507" s="210"/>
      <c r="CI507" s="210"/>
      <c r="CJ507" s="210"/>
      <c r="CK507" s="210"/>
    </row>
    <row r="508">
      <c r="A508" s="256" t="s">
        <v>735</v>
      </c>
      <c r="B508" s="252" t="s">
        <v>736</v>
      </c>
      <c r="C508" s="260" t="s">
        <v>794</v>
      </c>
      <c r="D508" s="260" t="s">
        <v>892</v>
      </c>
      <c r="E508" s="250" t="s">
        <v>21</v>
      </c>
      <c r="F508" s="252" t="s">
        <v>927</v>
      </c>
      <c r="G508" s="250"/>
      <c r="H508" s="219">
        <f>IFERROR(
  MINIFS(ATTENDANCE_LOG!$F:$F,
         ATTENDANCE_LOG!$A:$A, C508,
         ATTENDANCE_LOG!$B:$B, E508),
"")</f>
        <v>46085.625</v>
      </c>
      <c r="I508" s="219">
        <f t="shared" si="2"/>
        <v>46085.625</v>
      </c>
      <c r="J508" s="233">
        <f>IFERROR(VLOOKUP(F508, LEVEL_HELPER!$A:$B, 2, 0), "")</f>
        <v>1</v>
      </c>
      <c r="K508" s="233" t="str">
        <f>IFERROR(VLOOKUP(G508, LEVEL_HELPER!$A:$B, 2, 0), "")</f>
        <v/>
      </c>
      <c r="L508" s="257" t="s">
        <v>943</v>
      </c>
      <c r="M508" s="257" t="s">
        <v>925</v>
      </c>
      <c r="N508" s="190">
        <f t="array" ref="N508">IFERROR(
  INDEX($J$2:$J$543,
    MATCH(A508&amp;TEXT(I508,"yyyy-mm-dd"),
          $A$2:$A$543&amp;TEXT($H$2:$H$543,"yyyy-mm-dd"),
          0)),
"")</f>
        <v>1</v>
      </c>
      <c r="O508" s="238">
        <f t="shared" si="3"/>
        <v>0</v>
      </c>
      <c r="P508" s="210">
        <f t="shared" ref="P508:Q508" si="518">IF(N508="",0,IF(N508&lt;=2,1,IF(N508&lt;=4,2,IF(N508&lt;=5.5,3,4))))</f>
        <v>1</v>
      </c>
      <c r="Q508" s="210">
        <f t="shared" si="518"/>
        <v>1</v>
      </c>
      <c r="R508" s="210" t="str">
        <f t="shared" si="5"/>
        <v>Not tested yet</v>
      </c>
      <c r="S508" s="210">
        <f t="shared" si="6"/>
        <v>1</v>
      </c>
      <c r="T508" s="210"/>
      <c r="U508" s="210"/>
      <c r="V508" s="210"/>
      <c r="W508" s="210"/>
      <c r="X508" s="210"/>
      <c r="Y508" s="210"/>
      <c r="Z508" s="210"/>
      <c r="AA508" s="210"/>
      <c r="AB508" s="210"/>
      <c r="AC508" s="210"/>
      <c r="AD508" s="210"/>
      <c r="AE508" s="210"/>
      <c r="AF508" s="210"/>
      <c r="AG508" s="210"/>
      <c r="AH508" s="210"/>
      <c r="AI508" s="210"/>
      <c r="AJ508" s="210"/>
      <c r="AK508" s="210"/>
      <c r="AL508" s="210"/>
      <c r="AM508" s="214"/>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c r="BU508" s="210"/>
      <c r="BV508" s="210"/>
      <c r="BW508" s="210"/>
      <c r="BX508" s="210"/>
      <c r="BY508" s="210"/>
      <c r="BZ508" s="210"/>
      <c r="CA508" s="210"/>
      <c r="CB508" s="210"/>
      <c r="CC508" s="210"/>
      <c r="CD508" s="210"/>
      <c r="CE508" s="210"/>
      <c r="CF508" s="210"/>
      <c r="CG508" s="210"/>
      <c r="CH508" s="210"/>
      <c r="CI508" s="210"/>
      <c r="CJ508" s="210"/>
      <c r="CK508" s="210"/>
    </row>
    <row r="509">
      <c r="A509" s="258" t="s">
        <v>737</v>
      </c>
      <c r="B509" s="233" t="s">
        <v>738</v>
      </c>
      <c r="C509" s="261" t="s">
        <v>794</v>
      </c>
      <c r="D509" s="261" t="s">
        <v>892</v>
      </c>
      <c r="E509" s="233" t="s">
        <v>21</v>
      </c>
      <c r="F509" s="235" t="s">
        <v>927</v>
      </c>
      <c r="G509" s="233"/>
      <c r="H509" s="219">
        <f>IFERROR(
  MINIFS(ATTENDANCE_LOG!$F:$F,
         ATTENDANCE_LOG!$A:$A, C509,
         ATTENDANCE_LOG!$B:$B, E509),
"")</f>
        <v>46085.625</v>
      </c>
      <c r="I509" s="219">
        <f t="shared" si="2"/>
        <v>46085.625</v>
      </c>
      <c r="J509" s="233">
        <f>IFERROR(VLOOKUP(F509, LEVEL_HELPER!$A:$B, 2, 0), "")</f>
        <v>1</v>
      </c>
      <c r="K509" s="233" t="str">
        <f>IFERROR(VLOOKUP(G509, LEVEL_HELPER!$A:$B, 2, 0), "")</f>
        <v/>
      </c>
      <c r="L509" s="259" t="s">
        <v>943</v>
      </c>
      <c r="M509" s="259" t="s">
        <v>925</v>
      </c>
      <c r="N509" s="190">
        <f t="array" ref="N509">IFERROR(
  INDEX($J$2:$J$543,
    MATCH(A509&amp;TEXT(I509,"yyyy-mm-dd"),
          $A$2:$A$543&amp;TEXT($H$2:$H$543,"yyyy-mm-dd"),
          0)),
"")</f>
        <v>1</v>
      </c>
      <c r="O509" s="238">
        <f t="shared" si="3"/>
        <v>0</v>
      </c>
      <c r="P509" s="210">
        <f t="shared" ref="P509:Q509" si="519">IF(N509="",0,IF(N509&lt;=2,1,IF(N509&lt;=4,2,IF(N509&lt;=5.5,3,4))))</f>
        <v>1</v>
      </c>
      <c r="Q509" s="210">
        <f t="shared" si="519"/>
        <v>1</v>
      </c>
      <c r="R509" s="210" t="str">
        <f t="shared" si="5"/>
        <v>Not tested yet</v>
      </c>
      <c r="S509" s="210">
        <f t="shared" si="6"/>
        <v>1</v>
      </c>
      <c r="T509" s="210"/>
      <c r="U509" s="210"/>
      <c r="V509" s="210"/>
      <c r="W509" s="210"/>
      <c r="X509" s="210"/>
      <c r="Y509" s="210"/>
      <c r="Z509" s="210"/>
      <c r="AA509" s="210"/>
      <c r="AB509" s="210"/>
      <c r="AC509" s="210"/>
      <c r="AD509" s="210"/>
      <c r="AE509" s="210"/>
      <c r="AF509" s="210"/>
      <c r="AG509" s="210"/>
      <c r="AH509" s="210"/>
      <c r="AI509" s="210"/>
      <c r="AJ509" s="210"/>
      <c r="AK509" s="210"/>
      <c r="AL509" s="210"/>
      <c r="AM509" s="214"/>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c r="BU509" s="210"/>
      <c r="BV509" s="210"/>
      <c r="BW509" s="210"/>
      <c r="BX509" s="210"/>
      <c r="BY509" s="210"/>
      <c r="BZ509" s="210"/>
      <c r="CA509" s="210"/>
      <c r="CB509" s="210"/>
      <c r="CC509" s="210"/>
      <c r="CD509" s="210"/>
      <c r="CE509" s="210"/>
      <c r="CF509" s="210"/>
      <c r="CG509" s="210"/>
      <c r="CH509" s="210"/>
      <c r="CI509" s="210"/>
      <c r="CJ509" s="210"/>
      <c r="CK509" s="210"/>
    </row>
    <row r="510">
      <c r="A510" s="258" t="s">
        <v>739</v>
      </c>
      <c r="B510" s="233" t="s">
        <v>740</v>
      </c>
      <c r="C510" s="261" t="s">
        <v>794</v>
      </c>
      <c r="D510" s="261" t="s">
        <v>892</v>
      </c>
      <c r="E510" s="233" t="s">
        <v>21</v>
      </c>
      <c r="F510" s="235" t="s">
        <v>927</v>
      </c>
      <c r="G510" s="233"/>
      <c r="H510" s="219">
        <f>IFERROR(
  MINIFS(ATTENDANCE_LOG!$F:$F,
         ATTENDANCE_LOG!$A:$A, C510,
         ATTENDANCE_LOG!$B:$B, E510),
"")</f>
        <v>46085.625</v>
      </c>
      <c r="I510" s="219">
        <f t="shared" si="2"/>
        <v>46085.625</v>
      </c>
      <c r="J510" s="233">
        <f>IFERROR(VLOOKUP(F510, LEVEL_HELPER!$A:$B, 2, 0), "")</f>
        <v>1</v>
      </c>
      <c r="K510" s="233" t="str">
        <f>IFERROR(VLOOKUP(G510, LEVEL_HELPER!$A:$B, 2, 0), "")</f>
        <v/>
      </c>
      <c r="L510" s="259" t="s">
        <v>943</v>
      </c>
      <c r="M510" s="259" t="s">
        <v>925</v>
      </c>
      <c r="N510" s="190">
        <f t="array" ref="N510">IFERROR(
  INDEX($J$2:$J$543,
    MATCH(A510&amp;TEXT(I510,"yyyy-mm-dd"),
          $A$2:$A$543&amp;TEXT($H$2:$H$543,"yyyy-mm-dd"),
          0)),
"")</f>
        <v>1</v>
      </c>
      <c r="O510" s="238">
        <f t="shared" si="3"/>
        <v>0</v>
      </c>
      <c r="P510" s="210">
        <f t="shared" ref="P510:Q510" si="520">IF(N510="",0,IF(N510&lt;=2,1,IF(N510&lt;=4,2,IF(N510&lt;=5.5,3,4))))</f>
        <v>1</v>
      </c>
      <c r="Q510" s="210">
        <f t="shared" si="520"/>
        <v>1</v>
      </c>
      <c r="R510" s="210" t="str">
        <f t="shared" si="5"/>
        <v>Not tested yet</v>
      </c>
      <c r="S510" s="210">
        <f t="shared" si="6"/>
        <v>1</v>
      </c>
      <c r="T510" s="210"/>
      <c r="U510" s="210"/>
      <c r="V510" s="210"/>
      <c r="W510" s="210"/>
      <c r="X510" s="210"/>
      <c r="Y510" s="210"/>
      <c r="Z510" s="210"/>
      <c r="AA510" s="210"/>
      <c r="AB510" s="210"/>
      <c r="AC510" s="210"/>
      <c r="AD510" s="210"/>
      <c r="AE510" s="210"/>
      <c r="AF510" s="210"/>
      <c r="AG510" s="210"/>
      <c r="AH510" s="210"/>
      <c r="AI510" s="210"/>
      <c r="AJ510" s="210"/>
      <c r="AK510" s="210"/>
      <c r="AL510" s="210"/>
      <c r="AM510" s="214"/>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c r="BU510" s="210"/>
      <c r="BV510" s="210"/>
      <c r="BW510" s="210"/>
      <c r="BX510" s="210"/>
      <c r="BY510" s="210"/>
      <c r="BZ510" s="210"/>
      <c r="CA510" s="210"/>
      <c r="CB510" s="210"/>
      <c r="CC510" s="210"/>
      <c r="CD510" s="210"/>
      <c r="CE510" s="210"/>
      <c r="CF510" s="210"/>
      <c r="CG510" s="210"/>
      <c r="CH510" s="210"/>
      <c r="CI510" s="210"/>
      <c r="CJ510" s="210"/>
      <c r="CK510" s="210"/>
    </row>
    <row r="511">
      <c r="A511" s="258" t="s">
        <v>741</v>
      </c>
      <c r="B511" s="233" t="s">
        <v>742</v>
      </c>
      <c r="C511" s="261" t="s">
        <v>794</v>
      </c>
      <c r="D511" s="261" t="s">
        <v>892</v>
      </c>
      <c r="E511" s="233" t="s">
        <v>21</v>
      </c>
      <c r="F511" s="235" t="s">
        <v>927</v>
      </c>
      <c r="G511" s="233"/>
      <c r="H511" s="219">
        <f>IFERROR(
  MINIFS(ATTENDANCE_LOG!$F:$F,
         ATTENDANCE_LOG!$A:$A, C511,
         ATTENDANCE_LOG!$B:$B, E511),
"")</f>
        <v>46085.625</v>
      </c>
      <c r="I511" s="219">
        <f t="shared" si="2"/>
        <v>46085.625</v>
      </c>
      <c r="J511" s="233">
        <f>IFERROR(VLOOKUP(F511, LEVEL_HELPER!$A:$B, 2, 0), "")</f>
        <v>1</v>
      </c>
      <c r="K511" s="233" t="str">
        <f>IFERROR(VLOOKUP(G511, LEVEL_HELPER!$A:$B, 2, 0), "")</f>
        <v/>
      </c>
      <c r="L511" s="259" t="s">
        <v>943</v>
      </c>
      <c r="M511" s="259" t="s">
        <v>925</v>
      </c>
      <c r="N511" s="190">
        <f t="array" ref="N511">IFERROR(
  INDEX($J$2:$J$543,
    MATCH(A511&amp;TEXT(I511,"yyyy-mm-dd"),
          $A$2:$A$543&amp;TEXT($H$2:$H$543,"yyyy-mm-dd"),
          0)),
"")</f>
        <v>1</v>
      </c>
      <c r="O511" s="238">
        <f t="shared" si="3"/>
        <v>0</v>
      </c>
      <c r="P511" s="210">
        <f t="shared" ref="P511:Q511" si="521">IF(N511="",0,IF(N511&lt;=2,1,IF(N511&lt;=4,2,IF(N511&lt;=5.5,3,4))))</f>
        <v>1</v>
      </c>
      <c r="Q511" s="210">
        <f t="shared" si="521"/>
        <v>1</v>
      </c>
      <c r="R511" s="210" t="str">
        <f t="shared" si="5"/>
        <v>Not tested yet</v>
      </c>
      <c r="S511" s="210">
        <f t="shared" si="6"/>
        <v>1</v>
      </c>
      <c r="T511" s="210"/>
      <c r="U511" s="210"/>
      <c r="V511" s="210"/>
      <c r="W511" s="210"/>
      <c r="X511" s="210"/>
      <c r="Y511" s="210"/>
      <c r="Z511" s="210"/>
      <c r="AA511" s="210"/>
      <c r="AB511" s="210"/>
      <c r="AC511" s="210"/>
      <c r="AD511" s="210"/>
      <c r="AE511" s="210"/>
      <c r="AF511" s="210"/>
      <c r="AG511" s="210"/>
      <c r="AH511" s="210"/>
      <c r="AI511" s="210"/>
      <c r="AJ511" s="210"/>
      <c r="AK511" s="210"/>
      <c r="AL511" s="210"/>
      <c r="AM511" s="214"/>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c r="BU511" s="210"/>
      <c r="BV511" s="210"/>
      <c r="BW511" s="210"/>
      <c r="BX511" s="210"/>
      <c r="BY511" s="210"/>
      <c r="BZ511" s="210"/>
      <c r="CA511" s="210"/>
      <c r="CB511" s="210"/>
      <c r="CC511" s="210"/>
      <c r="CD511" s="210"/>
      <c r="CE511" s="210"/>
      <c r="CF511" s="210"/>
      <c r="CG511" s="210"/>
      <c r="CH511" s="210"/>
      <c r="CI511" s="210"/>
      <c r="CJ511" s="210"/>
      <c r="CK511" s="210"/>
    </row>
    <row r="512">
      <c r="A512" s="258" t="s">
        <v>743</v>
      </c>
      <c r="B512" s="233" t="s">
        <v>744</v>
      </c>
      <c r="C512" s="261" t="s">
        <v>794</v>
      </c>
      <c r="D512" s="261" t="s">
        <v>892</v>
      </c>
      <c r="E512" s="233" t="s">
        <v>21</v>
      </c>
      <c r="F512" s="235" t="s">
        <v>927</v>
      </c>
      <c r="G512" s="233"/>
      <c r="H512" s="219">
        <f>IFERROR(
  MINIFS(ATTENDANCE_LOG!$F:$F,
         ATTENDANCE_LOG!$A:$A, C512,
         ATTENDANCE_LOG!$B:$B, E512),
"")</f>
        <v>46085.625</v>
      </c>
      <c r="I512" s="219">
        <f t="shared" si="2"/>
        <v>46085.625</v>
      </c>
      <c r="J512" s="233">
        <f>IFERROR(VLOOKUP(F512, LEVEL_HELPER!$A:$B, 2, 0), "")</f>
        <v>1</v>
      </c>
      <c r="K512" s="233" t="str">
        <f>IFERROR(VLOOKUP(G512, LEVEL_HELPER!$A:$B, 2, 0), "")</f>
        <v/>
      </c>
      <c r="L512" s="259" t="s">
        <v>943</v>
      </c>
      <c r="M512" s="259" t="s">
        <v>925</v>
      </c>
      <c r="N512" s="190">
        <f t="array" ref="N512">IFERROR(
  INDEX($J$2:$J$543,
    MATCH(A512&amp;TEXT(I512,"yyyy-mm-dd"),
          $A$2:$A$543&amp;TEXT($H$2:$H$543,"yyyy-mm-dd"),
          0)),
"")</f>
        <v>1</v>
      </c>
      <c r="O512" s="238">
        <f t="shared" si="3"/>
        <v>0</v>
      </c>
      <c r="P512" s="210">
        <f t="shared" ref="P512:Q512" si="522">IF(N512="",0,IF(N512&lt;=2,1,IF(N512&lt;=4,2,IF(N512&lt;=5.5,3,4))))</f>
        <v>1</v>
      </c>
      <c r="Q512" s="210">
        <f t="shared" si="522"/>
        <v>1</v>
      </c>
      <c r="R512" s="210" t="str">
        <f t="shared" si="5"/>
        <v>Not tested yet</v>
      </c>
      <c r="S512" s="210">
        <f t="shared" si="6"/>
        <v>1</v>
      </c>
      <c r="T512" s="210"/>
      <c r="U512" s="210"/>
      <c r="V512" s="210"/>
      <c r="W512" s="210"/>
      <c r="X512" s="210"/>
      <c r="Y512" s="210"/>
      <c r="Z512" s="210"/>
      <c r="AA512" s="210"/>
      <c r="AB512" s="210"/>
      <c r="AC512" s="210"/>
      <c r="AD512" s="210"/>
      <c r="AE512" s="210"/>
      <c r="AF512" s="210"/>
      <c r="AG512" s="210"/>
      <c r="AH512" s="210"/>
      <c r="AI512" s="210"/>
      <c r="AJ512" s="210"/>
      <c r="AK512" s="210"/>
      <c r="AL512" s="210"/>
      <c r="AM512" s="214"/>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c r="BU512" s="210"/>
      <c r="BV512" s="210"/>
      <c r="BW512" s="210"/>
      <c r="BX512" s="210"/>
      <c r="BY512" s="210"/>
      <c r="BZ512" s="210"/>
      <c r="CA512" s="210"/>
      <c r="CB512" s="210"/>
      <c r="CC512" s="210"/>
      <c r="CD512" s="210"/>
      <c r="CE512" s="210"/>
      <c r="CF512" s="210"/>
      <c r="CG512" s="210"/>
      <c r="CH512" s="210"/>
      <c r="CI512" s="210"/>
      <c r="CJ512" s="210"/>
      <c r="CK512" s="210"/>
    </row>
    <row r="513">
      <c r="A513" s="258" t="s">
        <v>490</v>
      </c>
      <c r="B513" s="233" t="s">
        <v>819</v>
      </c>
      <c r="C513" s="261" t="s">
        <v>794</v>
      </c>
      <c r="D513" s="261" t="s">
        <v>892</v>
      </c>
      <c r="E513" s="233" t="s">
        <v>21</v>
      </c>
      <c r="F513" s="235" t="s">
        <v>927</v>
      </c>
      <c r="G513" s="235"/>
      <c r="H513" s="219">
        <f>IFERROR(
  MINIFS(ATTENDANCE_LOG!$F:$F,
         ATTENDANCE_LOG!$A:$A, C513,
         ATTENDANCE_LOG!$B:$B, E513),
"")</f>
        <v>46085.625</v>
      </c>
      <c r="I513" s="219">
        <f t="shared" si="2"/>
        <v>45917.58333</v>
      </c>
      <c r="J513" s="233">
        <f>IFERROR(VLOOKUP(F513, LEVEL_HELPER!$A:$B, 2, 0), "")</f>
        <v>1</v>
      </c>
      <c r="K513" s="233" t="str">
        <f>IFERROR(VLOOKUP(G513, LEVEL_HELPER!$A:$B, 2, 0), "")</f>
        <v/>
      </c>
      <c r="L513" s="259" t="s">
        <v>943</v>
      </c>
      <c r="M513" s="259" t="s">
        <v>925</v>
      </c>
      <c r="N513" s="190">
        <f t="array" ref="N513">IFERROR(
  INDEX($J$2:$J$543,
    MATCH(A513&amp;TEXT(I513,"yyyy-mm-dd"),
          $A$2:$A$543&amp;TEXT($H$2:$H$543,"yyyy-mm-dd"),
          0)),
"")</f>
        <v>1</v>
      </c>
      <c r="O513" s="238">
        <f t="shared" si="3"/>
        <v>0</v>
      </c>
      <c r="P513" s="210">
        <f t="shared" ref="P513:Q513" si="523">IF(N513="",0,IF(N513&lt;=2,1,IF(N513&lt;=4,2,IF(N513&lt;=5.5,3,4))))</f>
        <v>1</v>
      </c>
      <c r="Q513" s="210">
        <f t="shared" si="523"/>
        <v>1</v>
      </c>
      <c r="R513" s="210" t="str">
        <f t="shared" si="5"/>
        <v>Not tested yet</v>
      </c>
      <c r="S513" s="210">
        <f t="shared" si="6"/>
        <v>0</v>
      </c>
      <c r="T513" s="210"/>
      <c r="U513" s="210"/>
      <c r="V513" s="210"/>
      <c r="W513" s="210"/>
      <c r="X513" s="210"/>
      <c r="Y513" s="210"/>
      <c r="Z513" s="210"/>
      <c r="AA513" s="210"/>
      <c r="AB513" s="210"/>
      <c r="AC513" s="210"/>
      <c r="AD513" s="210"/>
      <c r="AE513" s="210"/>
      <c r="AF513" s="210"/>
      <c r="AG513" s="210"/>
      <c r="AH513" s="210"/>
      <c r="AI513" s="210"/>
      <c r="AJ513" s="210"/>
      <c r="AK513" s="210"/>
      <c r="AL513" s="210"/>
      <c r="AM513" s="214"/>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c r="BU513" s="210"/>
      <c r="BV513" s="210"/>
      <c r="BW513" s="210"/>
      <c r="BX513" s="210"/>
      <c r="BY513" s="210"/>
      <c r="BZ513" s="210"/>
      <c r="CA513" s="210"/>
      <c r="CB513" s="210"/>
      <c r="CC513" s="210"/>
      <c r="CD513" s="210"/>
      <c r="CE513" s="210"/>
      <c r="CF513" s="210"/>
      <c r="CG513" s="210"/>
      <c r="CH513" s="210"/>
      <c r="CI513" s="210"/>
      <c r="CJ513" s="210"/>
      <c r="CK513" s="210"/>
    </row>
    <row r="514">
      <c r="A514" s="256" t="s">
        <v>745</v>
      </c>
      <c r="B514" s="252" t="s">
        <v>746</v>
      </c>
      <c r="C514" s="260" t="s">
        <v>800</v>
      </c>
      <c r="D514" s="260" t="s">
        <v>890</v>
      </c>
      <c r="E514" s="250" t="s">
        <v>21</v>
      </c>
      <c r="F514" s="252" t="s">
        <v>935</v>
      </c>
      <c r="G514" s="250"/>
      <c r="H514" s="219">
        <f>IFERROR(
  MINIFS(ATTENDANCE_LOG!$F:$F,
         ATTENDANCE_LOG!$A:$A, C514,
         ATTENDANCE_LOG!$B:$B, E514),
"")</f>
        <v>46113.58333</v>
      </c>
      <c r="I514" s="219">
        <f t="shared" si="2"/>
        <v>46113.58333</v>
      </c>
      <c r="J514" s="233">
        <f>IFERROR(VLOOKUP(F514, LEVEL_HELPER!$A:$B, 2, 0), "")</f>
        <v>3.5</v>
      </c>
      <c r="K514" s="233" t="str">
        <f>IFERROR(VLOOKUP(G514, LEVEL_HELPER!$A:$B, 2, 0), "")</f>
        <v/>
      </c>
      <c r="L514" s="257" t="s">
        <v>959</v>
      </c>
      <c r="M514" s="257" t="s">
        <v>922</v>
      </c>
      <c r="N514" s="190">
        <f t="array" ref="N514">IFERROR(
  INDEX($J$2:$J$543,
    MATCH(A514&amp;TEXT(I514,"yyyy-mm-dd"),
          $A$2:$A$543&amp;TEXT($H$2:$H$543,"yyyy-mm-dd"),
          0)),
"")</f>
        <v>3.5</v>
      </c>
      <c r="O514" s="238">
        <f t="shared" si="3"/>
        <v>0</v>
      </c>
      <c r="P514" s="210">
        <f t="shared" ref="P514:Q514" si="524">IF(N514="",0,IF(N514&lt;=2,1,IF(N514&lt;=4,2,IF(N514&lt;=5.5,3,4))))</f>
        <v>2</v>
      </c>
      <c r="Q514" s="210">
        <f t="shared" si="524"/>
        <v>1</v>
      </c>
      <c r="R514" s="210" t="str">
        <f t="shared" si="5"/>
        <v>Not tested yet</v>
      </c>
      <c r="S514" s="210">
        <f t="shared" si="6"/>
        <v>1</v>
      </c>
      <c r="T514" s="210"/>
      <c r="U514" s="210"/>
      <c r="V514" s="210"/>
      <c r="W514" s="210"/>
      <c r="X514" s="210"/>
      <c r="Y514" s="210"/>
      <c r="Z514" s="210"/>
      <c r="AA514" s="210"/>
      <c r="AB514" s="210"/>
      <c r="AC514" s="210"/>
      <c r="AD514" s="210"/>
      <c r="AE514" s="210"/>
      <c r="AF514" s="210"/>
      <c r="AG514" s="210"/>
      <c r="AH514" s="210"/>
      <c r="AI514" s="210"/>
      <c r="AJ514" s="210"/>
      <c r="AK514" s="210"/>
      <c r="AL514" s="210"/>
      <c r="AM514" s="214"/>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c r="BU514" s="210"/>
      <c r="BV514" s="210"/>
      <c r="BW514" s="210"/>
      <c r="BX514" s="210"/>
      <c r="BY514" s="210"/>
      <c r="BZ514" s="210"/>
      <c r="CA514" s="210"/>
      <c r="CB514" s="210"/>
      <c r="CC514" s="210"/>
      <c r="CD514" s="210"/>
      <c r="CE514" s="210"/>
      <c r="CF514" s="210"/>
      <c r="CG514" s="210"/>
      <c r="CH514" s="210"/>
      <c r="CI514" s="210"/>
      <c r="CJ514" s="210"/>
      <c r="CK514" s="210"/>
    </row>
    <row r="515">
      <c r="A515" s="258" t="s">
        <v>747</v>
      </c>
      <c r="B515" s="233" t="s">
        <v>748</v>
      </c>
      <c r="C515" s="261" t="s">
        <v>800</v>
      </c>
      <c r="D515" s="261" t="s">
        <v>890</v>
      </c>
      <c r="E515" s="233" t="s">
        <v>21</v>
      </c>
      <c r="F515" s="235" t="s">
        <v>927</v>
      </c>
      <c r="G515" s="233"/>
      <c r="H515" s="219">
        <f>IFERROR(
  MINIFS(ATTENDANCE_LOG!$F:$F,
         ATTENDANCE_LOG!$A:$A, C515,
         ATTENDANCE_LOG!$B:$B, E515),
"")</f>
        <v>46113.58333</v>
      </c>
      <c r="I515" s="219">
        <f t="shared" si="2"/>
        <v>46113.58333</v>
      </c>
      <c r="J515" s="233">
        <f>IFERROR(VLOOKUP(F515, LEVEL_HELPER!$A:$B, 2, 0), "")</f>
        <v>1</v>
      </c>
      <c r="K515" s="233" t="str">
        <f>IFERROR(VLOOKUP(G515, LEVEL_HELPER!$A:$B, 2, 0), "")</f>
        <v/>
      </c>
      <c r="L515" s="259" t="s">
        <v>943</v>
      </c>
      <c r="M515" s="259" t="s">
        <v>923</v>
      </c>
      <c r="N515" s="190">
        <f t="array" ref="N515">IFERROR(
  INDEX($J$2:$J$543,
    MATCH(A515&amp;TEXT(I515,"yyyy-mm-dd"),
          $A$2:$A$543&amp;TEXT($H$2:$H$543,"yyyy-mm-dd"),
          0)),
"")</f>
        <v>1</v>
      </c>
      <c r="O515" s="238">
        <f t="shared" si="3"/>
        <v>0</v>
      </c>
      <c r="P515" s="210">
        <f t="shared" ref="P515:Q515" si="525">IF(N515="",0,IF(N515&lt;=2,1,IF(N515&lt;=4,2,IF(N515&lt;=5.5,3,4))))</f>
        <v>1</v>
      </c>
      <c r="Q515" s="210">
        <f t="shared" si="525"/>
        <v>1</v>
      </c>
      <c r="R515" s="210" t="str">
        <f t="shared" si="5"/>
        <v>Not tested yet</v>
      </c>
      <c r="S515" s="210">
        <f t="shared" si="6"/>
        <v>1</v>
      </c>
      <c r="T515" s="210"/>
      <c r="U515" s="210"/>
      <c r="V515" s="210"/>
      <c r="W515" s="210"/>
      <c r="X515" s="210"/>
      <c r="Y515" s="210"/>
      <c r="Z515" s="210"/>
      <c r="AA515" s="210"/>
      <c r="AB515" s="210"/>
      <c r="AC515" s="210"/>
      <c r="AD515" s="210"/>
      <c r="AE515" s="210"/>
      <c r="AF515" s="210"/>
      <c r="AG515" s="210"/>
      <c r="AH515" s="210"/>
      <c r="AI515" s="210"/>
      <c r="AJ515" s="210"/>
      <c r="AK515" s="210"/>
      <c r="AL515" s="210"/>
      <c r="AM515" s="214"/>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c r="BU515" s="210"/>
      <c r="BV515" s="210"/>
      <c r="BW515" s="210"/>
      <c r="BX515" s="210"/>
      <c r="BY515" s="210"/>
      <c r="BZ515" s="210"/>
      <c r="CA515" s="210"/>
      <c r="CB515" s="210"/>
      <c r="CC515" s="210"/>
      <c r="CD515" s="210"/>
      <c r="CE515" s="210"/>
      <c r="CF515" s="210"/>
      <c r="CG515" s="210"/>
      <c r="CH515" s="210"/>
      <c r="CI515" s="210"/>
      <c r="CJ515" s="210"/>
      <c r="CK515" s="210"/>
    </row>
    <row r="516">
      <c r="A516" s="258" t="s">
        <v>749</v>
      </c>
      <c r="B516" s="233" t="s">
        <v>750</v>
      </c>
      <c r="C516" s="261" t="s">
        <v>800</v>
      </c>
      <c r="D516" s="261" t="s">
        <v>890</v>
      </c>
      <c r="E516" s="233" t="s">
        <v>21</v>
      </c>
      <c r="F516" s="235" t="s">
        <v>935</v>
      </c>
      <c r="G516" s="233"/>
      <c r="H516" s="219">
        <f>IFERROR(
  MINIFS(ATTENDANCE_LOG!$F:$F,
         ATTENDANCE_LOG!$A:$A, C516,
         ATTENDANCE_LOG!$B:$B, E516),
"")</f>
        <v>46113.58333</v>
      </c>
      <c r="I516" s="219">
        <f t="shared" si="2"/>
        <v>46113.58333</v>
      </c>
      <c r="J516" s="233">
        <f>IFERROR(VLOOKUP(F516, LEVEL_HELPER!$A:$B, 2, 0), "")</f>
        <v>3.5</v>
      </c>
      <c r="K516" s="233" t="str">
        <f>IFERROR(VLOOKUP(G516, LEVEL_HELPER!$A:$B, 2, 0), "")</f>
        <v/>
      </c>
      <c r="L516" s="259" t="s">
        <v>947</v>
      </c>
      <c r="M516" s="259" t="s">
        <v>923</v>
      </c>
      <c r="N516" s="190">
        <f t="array" ref="N516">IFERROR(
  INDEX($J$2:$J$543,
    MATCH(A516&amp;TEXT(I516,"yyyy-mm-dd"),
          $A$2:$A$543&amp;TEXT($H$2:$H$543,"yyyy-mm-dd"),
          0)),
"")</f>
        <v>3.5</v>
      </c>
      <c r="O516" s="238">
        <f t="shared" si="3"/>
        <v>0</v>
      </c>
      <c r="P516" s="210">
        <f t="shared" ref="P516:Q516" si="526">IF(N516="",0,IF(N516&lt;=2,1,IF(N516&lt;=4,2,IF(N516&lt;=5.5,3,4))))</f>
        <v>2</v>
      </c>
      <c r="Q516" s="210">
        <f t="shared" si="526"/>
        <v>1</v>
      </c>
      <c r="R516" s="210" t="str">
        <f t="shared" si="5"/>
        <v>Not tested yet</v>
      </c>
      <c r="S516" s="210">
        <f t="shared" si="6"/>
        <v>1</v>
      </c>
      <c r="T516" s="210"/>
      <c r="U516" s="210"/>
      <c r="V516" s="210"/>
      <c r="W516" s="210"/>
      <c r="X516" s="210"/>
      <c r="Y516" s="210"/>
      <c r="Z516" s="210"/>
      <c r="AA516" s="210"/>
      <c r="AB516" s="210"/>
      <c r="AC516" s="210"/>
      <c r="AD516" s="210"/>
      <c r="AE516" s="210"/>
      <c r="AF516" s="210"/>
      <c r="AG516" s="210"/>
      <c r="AH516" s="210"/>
      <c r="AI516" s="210"/>
      <c r="AJ516" s="210"/>
      <c r="AK516" s="210"/>
      <c r="AL516" s="210"/>
      <c r="AM516" s="214"/>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c r="BU516" s="210"/>
      <c r="BV516" s="210"/>
      <c r="BW516" s="210"/>
      <c r="BX516" s="210"/>
      <c r="BY516" s="210"/>
      <c r="BZ516" s="210"/>
      <c r="CA516" s="210"/>
      <c r="CB516" s="210"/>
      <c r="CC516" s="210"/>
      <c r="CD516" s="210"/>
      <c r="CE516" s="210"/>
      <c r="CF516" s="210"/>
      <c r="CG516" s="210"/>
      <c r="CH516" s="210"/>
      <c r="CI516" s="210"/>
      <c r="CJ516" s="210"/>
      <c r="CK516" s="210"/>
    </row>
    <row r="517">
      <c r="A517" s="258" t="s">
        <v>751</v>
      </c>
      <c r="B517" s="233" t="s">
        <v>752</v>
      </c>
      <c r="C517" s="261" t="s">
        <v>800</v>
      </c>
      <c r="D517" s="261" t="s">
        <v>890</v>
      </c>
      <c r="E517" s="233" t="s">
        <v>21</v>
      </c>
      <c r="F517" s="235" t="s">
        <v>929</v>
      </c>
      <c r="G517" s="233"/>
      <c r="H517" s="219">
        <f>IFERROR(
  MINIFS(ATTENDANCE_LOG!$F:$F,
         ATTENDANCE_LOG!$A:$A, C517,
         ATTENDANCE_LOG!$B:$B, E517),
"")</f>
        <v>46113.58333</v>
      </c>
      <c r="I517" s="219">
        <f t="shared" si="2"/>
        <v>46113.58333</v>
      </c>
      <c r="J517" s="233">
        <f>IFERROR(VLOOKUP(F517, LEVEL_HELPER!$A:$B, 2, 0), "")</f>
        <v>1.5</v>
      </c>
      <c r="K517" s="233" t="str">
        <f>IFERROR(VLOOKUP(G517, LEVEL_HELPER!$A:$B, 2, 0), "")</f>
        <v/>
      </c>
      <c r="L517" s="259" t="s">
        <v>931</v>
      </c>
      <c r="M517" s="259" t="s">
        <v>920</v>
      </c>
      <c r="N517" s="190">
        <f t="array" ref="N517">IFERROR(
  INDEX($J$2:$J$543,
    MATCH(A517&amp;TEXT(I517,"yyyy-mm-dd"),
          $A$2:$A$543&amp;TEXT($H$2:$H$543,"yyyy-mm-dd"),
          0)),
"")</f>
        <v>1.5</v>
      </c>
      <c r="O517" s="238">
        <f t="shared" si="3"/>
        <v>0</v>
      </c>
      <c r="P517" s="210">
        <f t="shared" ref="P517:Q517" si="527">IF(N517="",0,IF(N517&lt;=2,1,IF(N517&lt;=4,2,IF(N517&lt;=5.5,3,4))))</f>
        <v>1</v>
      </c>
      <c r="Q517" s="210">
        <f t="shared" si="527"/>
        <v>1</v>
      </c>
      <c r="R517" s="210" t="str">
        <f t="shared" si="5"/>
        <v>Not tested yet</v>
      </c>
      <c r="S517" s="210">
        <f t="shared" si="6"/>
        <v>1</v>
      </c>
      <c r="T517" s="210"/>
      <c r="U517" s="210"/>
      <c r="V517" s="210"/>
      <c r="W517" s="210"/>
      <c r="X517" s="210"/>
      <c r="Y517" s="210"/>
      <c r="Z517" s="210"/>
      <c r="AA517" s="210"/>
      <c r="AB517" s="210"/>
      <c r="AC517" s="210"/>
      <c r="AD517" s="210"/>
      <c r="AE517" s="210"/>
      <c r="AF517" s="210"/>
      <c r="AG517" s="210"/>
      <c r="AH517" s="210"/>
      <c r="AI517" s="210"/>
      <c r="AJ517" s="210"/>
      <c r="AK517" s="210"/>
      <c r="AL517" s="210"/>
      <c r="AM517" s="214"/>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c r="BU517" s="210"/>
      <c r="BV517" s="210"/>
      <c r="BW517" s="210"/>
      <c r="BX517" s="210"/>
      <c r="BY517" s="210"/>
      <c r="BZ517" s="210"/>
      <c r="CA517" s="210"/>
      <c r="CB517" s="210"/>
      <c r="CC517" s="210"/>
      <c r="CD517" s="210"/>
      <c r="CE517" s="210"/>
      <c r="CF517" s="210"/>
      <c r="CG517" s="210"/>
      <c r="CH517" s="210"/>
      <c r="CI517" s="210"/>
      <c r="CJ517" s="210"/>
      <c r="CK517" s="210"/>
    </row>
    <row r="518">
      <c r="A518" s="258" t="s">
        <v>753</v>
      </c>
      <c r="B518" s="233" t="s">
        <v>754</v>
      </c>
      <c r="C518" s="261" t="s">
        <v>800</v>
      </c>
      <c r="D518" s="261" t="s">
        <v>890</v>
      </c>
      <c r="E518" s="233" t="s">
        <v>21</v>
      </c>
      <c r="F518" s="235" t="s">
        <v>927</v>
      </c>
      <c r="G518" s="233"/>
      <c r="H518" s="219">
        <f>IFERROR(
  MINIFS(ATTENDANCE_LOG!$F:$F,
         ATTENDANCE_LOG!$A:$A, C518,
         ATTENDANCE_LOG!$B:$B, E518),
"")</f>
        <v>46113.58333</v>
      </c>
      <c r="I518" s="219">
        <f t="shared" si="2"/>
        <v>46113.58333</v>
      </c>
      <c r="J518" s="233">
        <f>IFERROR(VLOOKUP(F518, LEVEL_HELPER!$A:$B, 2, 0), "")</f>
        <v>1</v>
      </c>
      <c r="K518" s="233" t="str">
        <f>IFERROR(VLOOKUP(G518, LEVEL_HELPER!$A:$B, 2, 0), "")</f>
        <v/>
      </c>
      <c r="L518" s="259" t="s">
        <v>951</v>
      </c>
      <c r="M518" s="259" t="s">
        <v>923</v>
      </c>
      <c r="N518" s="190">
        <f t="array" ref="N518">IFERROR(
  INDEX($J$2:$J$543,
    MATCH(A518&amp;TEXT(I518,"yyyy-mm-dd"),
          $A$2:$A$543&amp;TEXT($H$2:$H$543,"yyyy-mm-dd"),
          0)),
"")</f>
        <v>1</v>
      </c>
      <c r="O518" s="238">
        <f t="shared" si="3"/>
        <v>0</v>
      </c>
      <c r="P518" s="210">
        <f t="shared" ref="P518:Q518" si="528">IF(N518="",0,IF(N518&lt;=2,1,IF(N518&lt;=4,2,IF(N518&lt;=5.5,3,4))))</f>
        <v>1</v>
      </c>
      <c r="Q518" s="210">
        <f t="shared" si="528"/>
        <v>1</v>
      </c>
      <c r="R518" s="210" t="str">
        <f t="shared" si="5"/>
        <v>Not tested yet</v>
      </c>
      <c r="S518" s="210">
        <f t="shared" si="6"/>
        <v>1</v>
      </c>
      <c r="T518" s="210"/>
      <c r="U518" s="210"/>
      <c r="V518" s="210"/>
      <c r="W518" s="210"/>
      <c r="X518" s="210"/>
      <c r="Y518" s="210"/>
      <c r="Z518" s="210"/>
      <c r="AA518" s="210"/>
      <c r="AB518" s="210"/>
      <c r="AC518" s="210"/>
      <c r="AD518" s="210"/>
      <c r="AE518" s="210"/>
      <c r="AF518" s="210"/>
      <c r="AG518" s="210"/>
      <c r="AH518" s="210"/>
      <c r="AI518" s="210"/>
      <c r="AJ518" s="210"/>
      <c r="AK518" s="210"/>
      <c r="AL518" s="210"/>
      <c r="AM518" s="214"/>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c r="BU518" s="210"/>
      <c r="BV518" s="210"/>
      <c r="BW518" s="210"/>
      <c r="BX518" s="210"/>
      <c r="BY518" s="210"/>
      <c r="BZ518" s="210"/>
      <c r="CA518" s="210"/>
      <c r="CB518" s="210"/>
      <c r="CC518" s="210"/>
      <c r="CD518" s="210"/>
      <c r="CE518" s="210"/>
      <c r="CF518" s="210"/>
      <c r="CG518" s="210"/>
      <c r="CH518" s="210"/>
      <c r="CI518" s="210"/>
      <c r="CJ518" s="210"/>
      <c r="CK518" s="210"/>
    </row>
    <row r="519">
      <c r="A519" s="258" t="s">
        <v>755</v>
      </c>
      <c r="B519" s="233" t="s">
        <v>756</v>
      </c>
      <c r="C519" s="261" t="s">
        <v>800</v>
      </c>
      <c r="D519" s="261" t="s">
        <v>890</v>
      </c>
      <c r="E519" s="233" t="s">
        <v>21</v>
      </c>
      <c r="F519" s="235" t="s">
        <v>927</v>
      </c>
      <c r="G519" s="233"/>
      <c r="H519" s="219">
        <f>IFERROR(
  MINIFS(ATTENDANCE_LOG!$F:$F,
         ATTENDANCE_LOG!$A:$A, C519,
         ATTENDANCE_LOG!$B:$B, E519),
"")</f>
        <v>46113.58333</v>
      </c>
      <c r="I519" s="219">
        <f t="shared" si="2"/>
        <v>46113.58333</v>
      </c>
      <c r="J519" s="233">
        <f>IFERROR(VLOOKUP(F519, LEVEL_HELPER!$A:$B, 2, 0), "")</f>
        <v>1</v>
      </c>
      <c r="K519" s="233" t="str">
        <f>IFERROR(VLOOKUP(G519, LEVEL_HELPER!$A:$B, 2, 0), "")</f>
        <v/>
      </c>
      <c r="L519" s="259" t="s">
        <v>951</v>
      </c>
      <c r="M519" s="259" t="s">
        <v>923</v>
      </c>
      <c r="N519" s="190">
        <f t="array" ref="N519">IFERROR(
  INDEX($J$2:$J$543,
    MATCH(A519&amp;TEXT(I519,"yyyy-mm-dd"),
          $A$2:$A$543&amp;TEXT($H$2:$H$543,"yyyy-mm-dd"),
          0)),
"")</f>
        <v>1</v>
      </c>
      <c r="O519" s="238">
        <f t="shared" si="3"/>
        <v>0</v>
      </c>
      <c r="P519" s="210">
        <f t="shared" ref="P519:Q519" si="529">IF(N519="",0,IF(N519&lt;=2,1,IF(N519&lt;=4,2,IF(N519&lt;=5.5,3,4))))</f>
        <v>1</v>
      </c>
      <c r="Q519" s="210">
        <f t="shared" si="529"/>
        <v>1</v>
      </c>
      <c r="R519" s="210" t="str">
        <f t="shared" si="5"/>
        <v>Not tested yet</v>
      </c>
      <c r="S519" s="210">
        <f t="shared" si="6"/>
        <v>1</v>
      </c>
      <c r="T519" s="210"/>
      <c r="U519" s="210"/>
      <c r="V519" s="210"/>
      <c r="W519" s="210"/>
      <c r="X519" s="210"/>
      <c r="Y519" s="210"/>
      <c r="Z519" s="210"/>
      <c r="AA519" s="210"/>
      <c r="AB519" s="210"/>
      <c r="AC519" s="210"/>
      <c r="AD519" s="210"/>
      <c r="AE519" s="210"/>
      <c r="AF519" s="210"/>
      <c r="AG519" s="210"/>
      <c r="AH519" s="210"/>
      <c r="AI519" s="210"/>
      <c r="AJ519" s="210"/>
      <c r="AK519" s="210"/>
      <c r="AL519" s="210"/>
      <c r="AM519" s="214"/>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c r="BU519" s="210"/>
      <c r="BV519" s="210"/>
      <c r="BW519" s="210"/>
      <c r="BX519" s="210"/>
      <c r="BY519" s="210"/>
      <c r="BZ519" s="210"/>
      <c r="CA519" s="210"/>
      <c r="CB519" s="210"/>
      <c r="CC519" s="210"/>
      <c r="CD519" s="210"/>
      <c r="CE519" s="210"/>
      <c r="CF519" s="210"/>
      <c r="CG519" s="210"/>
      <c r="CH519" s="210"/>
      <c r="CI519" s="210"/>
      <c r="CJ519" s="210"/>
      <c r="CK519" s="210"/>
    </row>
    <row r="520">
      <c r="A520" s="258" t="s">
        <v>478</v>
      </c>
      <c r="B520" s="233" t="s">
        <v>816</v>
      </c>
      <c r="C520" s="261" t="s">
        <v>800</v>
      </c>
      <c r="D520" s="261" t="s">
        <v>890</v>
      </c>
      <c r="E520" s="233" t="s">
        <v>21</v>
      </c>
      <c r="F520" s="235" t="s">
        <v>927</v>
      </c>
      <c r="G520" s="233"/>
      <c r="H520" s="219">
        <f>IFERROR(
  MINIFS(ATTENDANCE_LOG!$F:$F,
         ATTENDANCE_LOG!$A:$A, C520,
         ATTENDANCE_LOG!$B:$B, E520),
"")</f>
        <v>46113.58333</v>
      </c>
      <c r="I520" s="219">
        <f t="shared" si="2"/>
        <v>46086.58333</v>
      </c>
      <c r="J520" s="233">
        <f>IFERROR(VLOOKUP(F520, LEVEL_HELPER!$A:$B, 2, 0), "")</f>
        <v>1</v>
      </c>
      <c r="K520" s="233" t="str">
        <f>IFERROR(VLOOKUP(G520, LEVEL_HELPER!$A:$B, 2, 0), "")</f>
        <v/>
      </c>
      <c r="L520" s="259" t="s">
        <v>945</v>
      </c>
      <c r="M520" s="259" t="s">
        <v>922</v>
      </c>
      <c r="N520" s="190">
        <f t="array" ref="N520">IFERROR(
  INDEX($J$2:$J$543,
    MATCH(A520&amp;TEXT(I520,"yyyy-mm-dd"),
          $A$2:$A$543&amp;TEXT($H$2:$H$543,"yyyy-mm-dd"),
          0)),
"")</f>
        <v>0.5</v>
      </c>
      <c r="O520" s="238">
        <f t="shared" si="3"/>
        <v>0</v>
      </c>
      <c r="P520" s="210">
        <f t="shared" ref="P520:Q520" si="530">IF(N520="",0,IF(N520&lt;=2,1,IF(N520&lt;=4,2,IF(N520&lt;=5.5,3,4))))</f>
        <v>1</v>
      </c>
      <c r="Q520" s="210">
        <f t="shared" si="530"/>
        <v>1</v>
      </c>
      <c r="R520" s="210" t="str">
        <f t="shared" si="5"/>
        <v>Not tested yet</v>
      </c>
      <c r="S520" s="210">
        <f t="shared" si="6"/>
        <v>1</v>
      </c>
      <c r="T520" s="210"/>
      <c r="U520" s="210"/>
      <c r="V520" s="210"/>
      <c r="W520" s="210"/>
      <c r="X520" s="210"/>
      <c r="Y520" s="210"/>
      <c r="Z520" s="210"/>
      <c r="AA520" s="210"/>
      <c r="AB520" s="210"/>
      <c r="AC520" s="210"/>
      <c r="AD520" s="210"/>
      <c r="AE520" s="210"/>
      <c r="AF520" s="210"/>
      <c r="AG520" s="210"/>
      <c r="AH520" s="210"/>
      <c r="AI520" s="210"/>
      <c r="AJ520" s="210"/>
      <c r="AK520" s="210"/>
      <c r="AL520" s="210"/>
      <c r="AM520" s="214"/>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c r="BU520" s="210"/>
      <c r="BV520" s="210"/>
      <c r="BW520" s="210"/>
      <c r="BX520" s="210"/>
      <c r="BY520" s="210"/>
      <c r="BZ520" s="210"/>
      <c r="CA520" s="210"/>
      <c r="CB520" s="210"/>
      <c r="CC520" s="210"/>
      <c r="CD520" s="210"/>
      <c r="CE520" s="210"/>
      <c r="CF520" s="210"/>
      <c r="CG520" s="210"/>
      <c r="CH520" s="210"/>
      <c r="CI520" s="210"/>
      <c r="CJ520" s="210"/>
      <c r="CK520" s="210"/>
    </row>
    <row r="521">
      <c r="A521" s="249" t="s">
        <v>151</v>
      </c>
      <c r="B521" s="250" t="s">
        <v>152</v>
      </c>
      <c r="C521" s="251" t="s">
        <v>95</v>
      </c>
      <c r="D521" s="251" t="s">
        <v>888</v>
      </c>
      <c r="E521" s="250" t="s">
        <v>25</v>
      </c>
      <c r="F521" s="252" t="s">
        <v>25</v>
      </c>
      <c r="G521" s="250"/>
      <c r="H521" s="219">
        <f>IFERROR(
  MINIFS(ATTENDANCE_LOG!$F:$F,
         ATTENDANCE_LOG!$A:$A, C521,
         ATTENDANCE_LOG!$B:$B, E521),
"")</f>
        <v>46086.58333</v>
      </c>
      <c r="I521" s="219">
        <f t="shared" si="2"/>
        <v>46086.58333</v>
      </c>
      <c r="J521" s="250">
        <f>IFERROR(VLOOKUP(F521, LEVEL_HELPER!$A:$B, 2, 0), "")</f>
        <v>0.5</v>
      </c>
      <c r="K521" s="233" t="str">
        <f>IFERROR(VLOOKUP(G521, LEVEL_HELPER!$A:$B, 2, 0), "")</f>
        <v/>
      </c>
      <c r="L521" s="253" t="s">
        <v>943</v>
      </c>
      <c r="M521" s="253" t="s">
        <v>924</v>
      </c>
      <c r="N521" s="190">
        <f t="array" ref="N521">IFERROR(
  INDEX($J$2:$J$543,
    MATCH(A521&amp;TEXT(I521,"yyyy-mm-dd"),
          $A$2:$A$543&amp;TEXT($H$2:$H$543,"yyyy-mm-dd"),
          0)),
"")</f>
        <v>0.5</v>
      </c>
      <c r="O521" s="254">
        <f t="shared" si="3"/>
        <v>0</v>
      </c>
      <c r="P521" s="210">
        <f t="shared" ref="P521:Q521" si="531">IF(N521="",0,IF(N521&lt;=2,1,IF(N521&lt;=4,2,IF(N521&lt;=5.5,3,4))))</f>
        <v>1</v>
      </c>
      <c r="Q521" s="210">
        <f t="shared" si="531"/>
        <v>1</v>
      </c>
      <c r="R521" s="210" t="str">
        <f t="shared" si="5"/>
        <v>Not tested yet</v>
      </c>
      <c r="S521" s="210">
        <f t="shared" si="6"/>
        <v>1</v>
      </c>
      <c r="T521" s="210"/>
      <c r="U521" s="210"/>
      <c r="V521" s="210"/>
      <c r="W521" s="210"/>
      <c r="X521" s="210"/>
      <c r="Y521" s="210"/>
      <c r="Z521" s="210"/>
      <c r="AA521" s="210"/>
      <c r="AB521" s="210"/>
      <c r="AC521" s="210"/>
      <c r="AD521" s="210"/>
      <c r="AE521" s="210"/>
      <c r="AF521" s="210"/>
      <c r="AG521" s="210"/>
      <c r="AH521" s="210"/>
      <c r="AI521" s="210"/>
      <c r="AJ521" s="210"/>
      <c r="AK521" s="210"/>
      <c r="AL521" s="210"/>
      <c r="AM521" s="214"/>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c r="BU521" s="210"/>
      <c r="BV521" s="210"/>
      <c r="BW521" s="210"/>
      <c r="BX521" s="210"/>
      <c r="BY521" s="210"/>
      <c r="BZ521" s="210"/>
      <c r="CA521" s="210"/>
      <c r="CB521" s="210"/>
      <c r="CC521" s="210"/>
      <c r="CD521" s="210"/>
      <c r="CE521" s="210"/>
      <c r="CF521" s="210"/>
      <c r="CG521" s="210"/>
      <c r="CH521" s="210"/>
      <c r="CI521" s="210"/>
      <c r="CJ521" s="210"/>
      <c r="CK521" s="210"/>
    </row>
    <row r="522">
      <c r="A522" s="232" t="s">
        <v>163</v>
      </c>
      <c r="B522" s="233" t="s">
        <v>164</v>
      </c>
      <c r="C522" s="234" t="s">
        <v>95</v>
      </c>
      <c r="D522" s="234" t="s">
        <v>888</v>
      </c>
      <c r="E522" s="233" t="s">
        <v>25</v>
      </c>
      <c r="F522" s="235" t="s">
        <v>25</v>
      </c>
      <c r="G522" s="233"/>
      <c r="H522" s="219">
        <f>IFERROR(
  MINIFS(ATTENDANCE_LOG!$F:$F,
         ATTENDANCE_LOG!$A:$A, C522,
         ATTENDANCE_LOG!$B:$B, E522),
"")</f>
        <v>46086.58333</v>
      </c>
      <c r="I522" s="219">
        <f t="shared" si="2"/>
        <v>46086.58333</v>
      </c>
      <c r="J522" s="233">
        <f>IFERROR(VLOOKUP(F522, LEVEL_HELPER!$A:$B, 2, 0), "")</f>
        <v>0.5</v>
      </c>
      <c r="K522" s="233" t="str">
        <f>IFERROR(VLOOKUP(G522, LEVEL_HELPER!$A:$B, 2, 0), "")</f>
        <v/>
      </c>
      <c r="L522" s="237" t="s">
        <v>951</v>
      </c>
      <c r="M522" s="237" t="s">
        <v>923</v>
      </c>
      <c r="N522" s="190">
        <f t="array" ref="N522">IFERROR(
  INDEX($J$2:$J$543,
    MATCH(A522&amp;TEXT(I522,"yyyy-mm-dd"),
          $A$2:$A$543&amp;TEXT($H$2:$H$543,"yyyy-mm-dd"),
          0)),
"")</f>
        <v>0.5</v>
      </c>
      <c r="O522" s="238">
        <f t="shared" si="3"/>
        <v>0</v>
      </c>
      <c r="P522" s="210">
        <f t="shared" ref="P522:Q522" si="532">IF(N522="",0,IF(N522&lt;=2,1,IF(N522&lt;=4,2,IF(N522&lt;=5.5,3,4))))</f>
        <v>1</v>
      </c>
      <c r="Q522" s="210">
        <f t="shared" si="532"/>
        <v>1</v>
      </c>
      <c r="R522" s="210" t="str">
        <f t="shared" si="5"/>
        <v>Not tested yet</v>
      </c>
      <c r="S522" s="210">
        <f t="shared" si="6"/>
        <v>1</v>
      </c>
      <c r="T522" s="210"/>
      <c r="U522" s="210"/>
      <c r="V522" s="210"/>
      <c r="W522" s="210"/>
      <c r="X522" s="210"/>
      <c r="Y522" s="210"/>
      <c r="Z522" s="210"/>
      <c r="AA522" s="210"/>
      <c r="AB522" s="210"/>
      <c r="AC522" s="210"/>
      <c r="AD522" s="210"/>
      <c r="AE522" s="210"/>
      <c r="AF522" s="210"/>
      <c r="AG522" s="210"/>
      <c r="AH522" s="210"/>
      <c r="AI522" s="210"/>
      <c r="AJ522" s="210"/>
      <c r="AK522" s="210"/>
      <c r="AL522" s="210"/>
      <c r="AM522" s="214"/>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c r="BU522" s="210"/>
      <c r="BV522" s="210"/>
      <c r="BW522" s="210"/>
      <c r="BX522" s="210"/>
      <c r="BY522" s="210"/>
      <c r="BZ522" s="210"/>
      <c r="CA522" s="210"/>
      <c r="CB522" s="210"/>
      <c r="CC522" s="210"/>
      <c r="CD522" s="210"/>
      <c r="CE522" s="210"/>
      <c r="CF522" s="210"/>
      <c r="CG522" s="210"/>
      <c r="CH522" s="210"/>
      <c r="CI522" s="210"/>
      <c r="CJ522" s="210"/>
      <c r="CK522" s="210"/>
    </row>
    <row r="523">
      <c r="A523" s="232" t="s">
        <v>180</v>
      </c>
      <c r="B523" s="233" t="s">
        <v>181</v>
      </c>
      <c r="C523" s="234" t="s">
        <v>95</v>
      </c>
      <c r="D523" s="234" t="s">
        <v>888</v>
      </c>
      <c r="E523" s="233" t="s">
        <v>25</v>
      </c>
      <c r="F523" s="235" t="s">
        <v>25</v>
      </c>
      <c r="G523" s="235"/>
      <c r="H523" s="219">
        <f>IFERROR(
  MINIFS(ATTENDANCE_LOG!$F:$F,
         ATTENDANCE_LOG!$A:$A, C523,
         ATTENDANCE_LOG!$B:$B, E523),
"")</f>
        <v>46086.58333</v>
      </c>
      <c r="I523" s="219">
        <f t="shared" si="2"/>
        <v>46086.58333</v>
      </c>
      <c r="J523" s="233">
        <f>IFERROR(VLOOKUP(F523, LEVEL_HELPER!$A:$B, 2, 0), "")</f>
        <v>0.5</v>
      </c>
      <c r="K523" s="233" t="str">
        <f>IFERROR(VLOOKUP(G523, LEVEL_HELPER!$A:$B, 2, 0), "")</f>
        <v/>
      </c>
      <c r="L523" s="237" t="s">
        <v>943</v>
      </c>
      <c r="M523" s="259" t="s">
        <v>922</v>
      </c>
      <c r="N523" s="190">
        <f t="array" ref="N523">IFERROR(
  INDEX($J$2:$J$543,
    MATCH(A523&amp;TEXT(I523,"yyyy-mm-dd"),
          $A$2:$A$543&amp;TEXT($H$2:$H$543,"yyyy-mm-dd"),
          0)),
"")</f>
        <v>0.5</v>
      </c>
      <c r="O523" s="238">
        <f t="shared" si="3"/>
        <v>0</v>
      </c>
      <c r="P523" s="210">
        <f t="shared" ref="P523:Q523" si="533">IF(N523="",0,IF(N523&lt;=2,1,IF(N523&lt;=4,2,IF(N523&lt;=5.5,3,4))))</f>
        <v>1</v>
      </c>
      <c r="Q523" s="210">
        <f t="shared" si="533"/>
        <v>1</v>
      </c>
      <c r="R523" s="210" t="str">
        <f t="shared" si="5"/>
        <v>Not tested yet</v>
      </c>
      <c r="S523" s="210">
        <f t="shared" si="6"/>
        <v>1</v>
      </c>
      <c r="T523" s="210"/>
      <c r="U523" s="210"/>
      <c r="V523" s="210"/>
      <c r="W523" s="210"/>
      <c r="X523" s="210"/>
      <c r="Y523" s="210"/>
      <c r="Z523" s="210"/>
      <c r="AA523" s="210"/>
      <c r="AB523" s="210"/>
      <c r="AC523" s="210"/>
      <c r="AD523" s="210"/>
      <c r="AE523" s="210"/>
      <c r="AF523" s="210"/>
      <c r="AG523" s="210"/>
      <c r="AH523" s="210"/>
      <c r="AI523" s="210"/>
      <c r="AJ523" s="210"/>
      <c r="AK523" s="210"/>
      <c r="AL523" s="210"/>
      <c r="AM523" s="214"/>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c r="BU523" s="210"/>
      <c r="BV523" s="210"/>
      <c r="BW523" s="210"/>
      <c r="BX523" s="210"/>
      <c r="BY523" s="210"/>
      <c r="BZ523" s="210"/>
      <c r="CA523" s="210"/>
      <c r="CB523" s="210"/>
      <c r="CC523" s="210"/>
      <c r="CD523" s="210"/>
      <c r="CE523" s="210"/>
      <c r="CF523" s="210"/>
      <c r="CG523" s="210"/>
      <c r="CH523" s="210"/>
      <c r="CI523" s="210"/>
      <c r="CJ523" s="210"/>
      <c r="CK523" s="210"/>
    </row>
    <row r="524">
      <c r="A524" s="232" t="s">
        <v>284</v>
      </c>
      <c r="B524" s="233" t="s">
        <v>285</v>
      </c>
      <c r="C524" s="234" t="s">
        <v>95</v>
      </c>
      <c r="D524" s="234" t="s">
        <v>888</v>
      </c>
      <c r="E524" s="233" t="s">
        <v>25</v>
      </c>
      <c r="F524" s="235" t="s">
        <v>25</v>
      </c>
      <c r="G524" s="233"/>
      <c r="H524" s="219">
        <f>IFERROR(
  MINIFS(ATTENDANCE_LOG!$F:$F,
         ATTENDANCE_LOG!$A:$A, C524,
         ATTENDANCE_LOG!$B:$B, E524),
"")</f>
        <v>46086.58333</v>
      </c>
      <c r="I524" s="219">
        <f t="shared" si="2"/>
        <v>46086.58333</v>
      </c>
      <c r="J524" s="233">
        <f>IFERROR(VLOOKUP(F524, LEVEL_HELPER!$A:$B, 2, 0), "")</f>
        <v>0.5</v>
      </c>
      <c r="K524" s="233" t="str">
        <f>IFERROR(VLOOKUP(G524, LEVEL_HELPER!$A:$B, 2, 0), "")</f>
        <v/>
      </c>
      <c r="L524" s="237" t="s">
        <v>943</v>
      </c>
      <c r="M524" s="259" t="s">
        <v>922</v>
      </c>
      <c r="N524" s="190">
        <f t="array" ref="N524">IFERROR(
  INDEX($J$2:$J$543,
    MATCH(A524&amp;TEXT(I524,"yyyy-mm-dd"),
          $A$2:$A$543&amp;TEXT($H$2:$H$543,"yyyy-mm-dd"),
          0)),
"")</f>
        <v>0.5</v>
      </c>
      <c r="O524" s="238">
        <f t="shared" si="3"/>
        <v>0</v>
      </c>
      <c r="P524" s="210">
        <f t="shared" ref="P524:Q524" si="534">IF(N524="",0,IF(N524&lt;=2,1,IF(N524&lt;=4,2,IF(N524&lt;=5.5,3,4))))</f>
        <v>1</v>
      </c>
      <c r="Q524" s="210">
        <f t="shared" si="534"/>
        <v>1</v>
      </c>
      <c r="R524" s="210" t="str">
        <f t="shared" si="5"/>
        <v>Not tested yet</v>
      </c>
      <c r="S524" s="210">
        <f t="shared" si="6"/>
        <v>1</v>
      </c>
      <c r="T524" s="210"/>
      <c r="U524" s="210"/>
      <c r="V524" s="210"/>
      <c r="W524" s="210"/>
      <c r="X524" s="210"/>
      <c r="Y524" s="210"/>
      <c r="Z524" s="210"/>
      <c r="AA524" s="210"/>
      <c r="AB524" s="210"/>
      <c r="AC524" s="210"/>
      <c r="AD524" s="210"/>
      <c r="AE524" s="210"/>
      <c r="AF524" s="210"/>
      <c r="AG524" s="210"/>
      <c r="AH524" s="210"/>
      <c r="AI524" s="210"/>
      <c r="AJ524" s="210"/>
      <c r="AK524" s="210"/>
      <c r="AL524" s="210"/>
      <c r="AM524" s="214"/>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c r="BU524" s="210"/>
      <c r="BV524" s="210"/>
      <c r="BW524" s="210"/>
      <c r="BX524" s="210"/>
      <c r="BY524" s="210"/>
      <c r="BZ524" s="210"/>
      <c r="CA524" s="210"/>
      <c r="CB524" s="210"/>
      <c r="CC524" s="210"/>
      <c r="CD524" s="210"/>
      <c r="CE524" s="210"/>
      <c r="CF524" s="210"/>
      <c r="CG524" s="210"/>
      <c r="CH524" s="210"/>
      <c r="CI524" s="210"/>
      <c r="CJ524" s="210"/>
      <c r="CK524" s="210"/>
    </row>
    <row r="525">
      <c r="A525" s="232" t="s">
        <v>359</v>
      </c>
      <c r="B525" s="233" t="s">
        <v>360</v>
      </c>
      <c r="C525" s="234" t="s">
        <v>95</v>
      </c>
      <c r="D525" s="234" t="s">
        <v>888</v>
      </c>
      <c r="E525" s="233" t="s">
        <v>25</v>
      </c>
      <c r="F525" s="235" t="s">
        <v>25</v>
      </c>
      <c r="G525" s="233"/>
      <c r="H525" s="219">
        <f>IFERROR(
  MINIFS(ATTENDANCE_LOG!$F:$F,
         ATTENDANCE_LOG!$A:$A, C525,
         ATTENDANCE_LOG!$B:$B, E525),
"")</f>
        <v>46086.58333</v>
      </c>
      <c r="I525" s="219">
        <f t="shared" si="2"/>
        <v>46086.58333</v>
      </c>
      <c r="J525" s="233">
        <f>IFERROR(VLOOKUP(F525, LEVEL_HELPER!$A:$B, 2, 0), "")</f>
        <v>0.5</v>
      </c>
      <c r="K525" s="233" t="str">
        <f>IFERROR(VLOOKUP(G525, LEVEL_HELPER!$A:$B, 2, 0), "")</f>
        <v/>
      </c>
      <c r="L525" s="237" t="s">
        <v>943</v>
      </c>
      <c r="M525" s="259" t="s">
        <v>922</v>
      </c>
      <c r="N525" s="190">
        <f t="array" ref="N525">IFERROR(
  INDEX($J$2:$J$543,
    MATCH(A525&amp;TEXT(I525,"yyyy-mm-dd"),
          $A$2:$A$543&amp;TEXT($H$2:$H$543,"yyyy-mm-dd"),
          0)),
"")</f>
        <v>0.5</v>
      </c>
      <c r="O525" s="238">
        <f t="shared" si="3"/>
        <v>0</v>
      </c>
      <c r="P525" s="210">
        <f t="shared" ref="P525:Q525" si="535">IF(N525="",0,IF(N525&lt;=2,1,IF(N525&lt;=4,2,IF(N525&lt;=5.5,3,4))))</f>
        <v>1</v>
      </c>
      <c r="Q525" s="210">
        <f t="shared" si="535"/>
        <v>1</v>
      </c>
      <c r="R525" s="210" t="str">
        <f t="shared" si="5"/>
        <v>Not tested yet</v>
      </c>
      <c r="S525" s="210">
        <f t="shared" si="6"/>
        <v>1</v>
      </c>
      <c r="T525" s="210"/>
      <c r="U525" s="210"/>
      <c r="V525" s="210"/>
      <c r="W525" s="210"/>
      <c r="X525" s="210"/>
      <c r="Y525" s="210"/>
      <c r="Z525" s="210"/>
      <c r="AA525" s="210"/>
      <c r="AB525" s="210"/>
      <c r="AC525" s="210"/>
      <c r="AD525" s="210"/>
      <c r="AE525" s="210"/>
      <c r="AF525" s="210"/>
      <c r="AG525" s="210"/>
      <c r="AH525" s="210"/>
      <c r="AI525" s="210"/>
      <c r="AJ525" s="210"/>
      <c r="AK525" s="210"/>
      <c r="AL525" s="210"/>
      <c r="AM525" s="214"/>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c r="BU525" s="210"/>
      <c r="BV525" s="210"/>
      <c r="BW525" s="210"/>
      <c r="BX525" s="210"/>
      <c r="BY525" s="210"/>
      <c r="BZ525" s="210"/>
      <c r="CA525" s="210"/>
      <c r="CB525" s="210"/>
      <c r="CC525" s="210"/>
      <c r="CD525" s="210"/>
      <c r="CE525" s="210"/>
      <c r="CF525" s="210"/>
      <c r="CG525" s="210"/>
      <c r="CH525" s="210"/>
      <c r="CI525" s="210"/>
      <c r="CJ525" s="210"/>
      <c r="CK525" s="210"/>
    </row>
    <row r="526">
      <c r="A526" s="232" t="s">
        <v>365</v>
      </c>
      <c r="B526" s="233" t="s">
        <v>366</v>
      </c>
      <c r="C526" s="234" t="s">
        <v>95</v>
      </c>
      <c r="D526" s="234" t="s">
        <v>888</v>
      </c>
      <c r="E526" s="233" t="s">
        <v>25</v>
      </c>
      <c r="F526" s="235" t="s">
        <v>25</v>
      </c>
      <c r="G526" s="233"/>
      <c r="H526" s="219">
        <f>IFERROR(
  MINIFS(ATTENDANCE_LOG!$F:$F,
         ATTENDANCE_LOG!$A:$A, C526,
         ATTENDANCE_LOG!$B:$B, E526),
"")</f>
        <v>46086.58333</v>
      </c>
      <c r="I526" s="219">
        <f t="shared" si="2"/>
        <v>46086.58333</v>
      </c>
      <c r="J526" s="233">
        <f>IFERROR(VLOOKUP(F526, LEVEL_HELPER!$A:$B, 2, 0), "")</f>
        <v>0.5</v>
      </c>
      <c r="K526" s="233" t="str">
        <f>IFERROR(VLOOKUP(G526, LEVEL_HELPER!$A:$B, 2, 0), "")</f>
        <v/>
      </c>
      <c r="L526" s="237" t="s">
        <v>943</v>
      </c>
      <c r="M526" s="259" t="s">
        <v>922</v>
      </c>
      <c r="N526" s="190">
        <f t="array" ref="N526">IFERROR(
  INDEX($J$2:$J$543,
    MATCH(A526&amp;TEXT(I526,"yyyy-mm-dd"),
          $A$2:$A$543&amp;TEXT($H$2:$H$543,"yyyy-mm-dd"),
          0)),
"")</f>
        <v>0.5</v>
      </c>
      <c r="O526" s="238">
        <f t="shared" si="3"/>
        <v>0</v>
      </c>
      <c r="P526" s="210">
        <f t="shared" ref="P526:Q526" si="536">IF(N526="",0,IF(N526&lt;=2,1,IF(N526&lt;=4,2,IF(N526&lt;=5.5,3,4))))</f>
        <v>1</v>
      </c>
      <c r="Q526" s="210">
        <f t="shared" si="536"/>
        <v>1</v>
      </c>
      <c r="R526" s="210" t="str">
        <f t="shared" si="5"/>
        <v>Not tested yet</v>
      </c>
      <c r="S526" s="210">
        <f t="shared" si="6"/>
        <v>1</v>
      </c>
      <c r="T526" s="210"/>
      <c r="U526" s="210"/>
      <c r="V526" s="210"/>
      <c r="W526" s="210"/>
      <c r="X526" s="210"/>
      <c r="Y526" s="210"/>
      <c r="Z526" s="210"/>
      <c r="AA526" s="210"/>
      <c r="AB526" s="210"/>
      <c r="AC526" s="210"/>
      <c r="AD526" s="210"/>
      <c r="AE526" s="210"/>
      <c r="AF526" s="210"/>
      <c r="AG526" s="210"/>
      <c r="AH526" s="210"/>
      <c r="AI526" s="210"/>
      <c r="AJ526" s="210"/>
      <c r="AK526" s="210"/>
      <c r="AL526" s="210"/>
      <c r="AM526" s="214"/>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c r="BU526" s="210"/>
      <c r="BV526" s="210"/>
      <c r="BW526" s="210"/>
      <c r="BX526" s="210"/>
      <c r="BY526" s="210"/>
      <c r="BZ526" s="210"/>
      <c r="CA526" s="210"/>
      <c r="CB526" s="210"/>
      <c r="CC526" s="210"/>
      <c r="CD526" s="210"/>
      <c r="CE526" s="210"/>
      <c r="CF526" s="210"/>
      <c r="CG526" s="210"/>
      <c r="CH526" s="210"/>
      <c r="CI526" s="210"/>
      <c r="CJ526" s="210"/>
      <c r="CK526" s="210"/>
    </row>
    <row r="527">
      <c r="A527" s="232" t="s">
        <v>393</v>
      </c>
      <c r="B527" s="233" t="s">
        <v>394</v>
      </c>
      <c r="C527" s="234" t="s">
        <v>95</v>
      </c>
      <c r="D527" s="234" t="s">
        <v>888</v>
      </c>
      <c r="E527" s="233" t="s">
        <v>25</v>
      </c>
      <c r="F527" s="235" t="s">
        <v>25</v>
      </c>
      <c r="G527" s="233"/>
      <c r="H527" s="219">
        <f>IFERROR(
  MINIFS(ATTENDANCE_LOG!$F:$F,
         ATTENDANCE_LOG!$A:$A, C527,
         ATTENDANCE_LOG!$B:$B, E527),
"")</f>
        <v>46086.58333</v>
      </c>
      <c r="I527" s="219">
        <f t="shared" si="2"/>
        <v>46086.58333</v>
      </c>
      <c r="J527" s="233">
        <f>IFERROR(VLOOKUP(F527, LEVEL_HELPER!$A:$B, 2, 0), "")</f>
        <v>0.5</v>
      </c>
      <c r="K527" s="233" t="str">
        <f>IFERROR(VLOOKUP(G527, LEVEL_HELPER!$A:$B, 2, 0), "")</f>
        <v/>
      </c>
      <c r="L527" s="237" t="s">
        <v>943</v>
      </c>
      <c r="M527" s="259" t="s">
        <v>922</v>
      </c>
      <c r="N527" s="190">
        <f t="array" ref="N527">IFERROR(
  INDEX($J$2:$J$543,
    MATCH(A527&amp;TEXT(I527,"yyyy-mm-dd"),
          $A$2:$A$543&amp;TEXT($H$2:$H$543,"yyyy-mm-dd"),
          0)),
"")</f>
        <v>0.5</v>
      </c>
      <c r="O527" s="238">
        <f t="shared" si="3"/>
        <v>0</v>
      </c>
      <c r="P527" s="210">
        <f t="shared" ref="P527:Q527" si="537">IF(N527="",0,IF(N527&lt;=2,1,IF(N527&lt;=4,2,IF(N527&lt;=5.5,3,4))))</f>
        <v>1</v>
      </c>
      <c r="Q527" s="210">
        <f t="shared" si="537"/>
        <v>1</v>
      </c>
      <c r="R527" s="210" t="str">
        <f t="shared" si="5"/>
        <v>Not tested yet</v>
      </c>
      <c r="S527" s="210">
        <f t="shared" si="6"/>
        <v>1</v>
      </c>
      <c r="T527" s="210"/>
      <c r="U527" s="210"/>
      <c r="V527" s="210"/>
      <c r="W527" s="210"/>
      <c r="X527" s="210"/>
      <c r="Y527" s="210"/>
      <c r="Z527" s="210"/>
      <c r="AA527" s="210"/>
      <c r="AB527" s="210"/>
      <c r="AC527" s="210"/>
      <c r="AD527" s="210"/>
      <c r="AE527" s="210"/>
      <c r="AF527" s="210"/>
      <c r="AG527" s="210"/>
      <c r="AH527" s="210"/>
      <c r="AI527" s="210"/>
      <c r="AJ527" s="210"/>
      <c r="AK527" s="210"/>
      <c r="AL527" s="210"/>
      <c r="AM527" s="214"/>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c r="BU527" s="210"/>
      <c r="BV527" s="210"/>
      <c r="BW527" s="210"/>
      <c r="BX527" s="210"/>
      <c r="BY527" s="210"/>
      <c r="BZ527" s="210"/>
      <c r="CA527" s="210"/>
      <c r="CB527" s="210"/>
      <c r="CC527" s="210"/>
      <c r="CD527" s="210"/>
      <c r="CE527" s="210"/>
      <c r="CF527" s="210"/>
      <c r="CG527" s="210"/>
      <c r="CH527" s="210"/>
      <c r="CI527" s="210"/>
      <c r="CJ527" s="210"/>
      <c r="CK527" s="210"/>
    </row>
    <row r="528">
      <c r="A528" s="232" t="s">
        <v>409</v>
      </c>
      <c r="B528" s="233" t="s">
        <v>410</v>
      </c>
      <c r="C528" s="234" t="s">
        <v>95</v>
      </c>
      <c r="D528" s="234" t="s">
        <v>888</v>
      </c>
      <c r="E528" s="233" t="s">
        <v>25</v>
      </c>
      <c r="F528" s="235" t="s">
        <v>25</v>
      </c>
      <c r="G528" s="233"/>
      <c r="H528" s="219">
        <f>IFERROR(
  MINIFS(ATTENDANCE_LOG!$F:$F,
         ATTENDANCE_LOG!$A:$A, C528,
         ATTENDANCE_LOG!$B:$B, E528),
"")</f>
        <v>46086.58333</v>
      </c>
      <c r="I528" s="219">
        <f t="shared" si="2"/>
        <v>46086.58333</v>
      </c>
      <c r="J528" s="233">
        <f>IFERROR(VLOOKUP(F528, LEVEL_HELPER!$A:$B, 2, 0), "")</f>
        <v>0.5</v>
      </c>
      <c r="K528" s="233" t="str">
        <f>IFERROR(VLOOKUP(G528, LEVEL_HELPER!$A:$B, 2, 0), "")</f>
        <v/>
      </c>
      <c r="L528" s="237" t="s">
        <v>919</v>
      </c>
      <c r="M528" s="259" t="s">
        <v>922</v>
      </c>
      <c r="N528" s="190">
        <f t="array" ref="N528">IFERROR(
  INDEX($J$2:$J$543,
    MATCH(A528&amp;TEXT(I528,"yyyy-mm-dd"),
          $A$2:$A$543&amp;TEXT($H$2:$H$543,"yyyy-mm-dd"),
          0)),
"")</f>
        <v>0.5</v>
      </c>
      <c r="O528" s="238">
        <f t="shared" si="3"/>
        <v>0</v>
      </c>
      <c r="P528" s="210">
        <f t="shared" ref="P528:Q528" si="538">IF(N528="",0,IF(N528&lt;=2,1,IF(N528&lt;=4,2,IF(N528&lt;=5.5,3,4))))</f>
        <v>1</v>
      </c>
      <c r="Q528" s="210">
        <f t="shared" si="538"/>
        <v>1</v>
      </c>
      <c r="R528" s="210" t="str">
        <f t="shared" si="5"/>
        <v>Not tested yet</v>
      </c>
      <c r="S528" s="210">
        <f t="shared" si="6"/>
        <v>1</v>
      </c>
      <c r="T528" s="210"/>
      <c r="U528" s="210"/>
      <c r="V528" s="210"/>
      <c r="W528" s="210"/>
      <c r="X528" s="210"/>
      <c r="Y528" s="210"/>
      <c r="Z528" s="210"/>
      <c r="AA528" s="210"/>
      <c r="AB528" s="210"/>
      <c r="AC528" s="210"/>
      <c r="AD528" s="210"/>
      <c r="AE528" s="210"/>
      <c r="AF528" s="210"/>
      <c r="AG528" s="210"/>
      <c r="AH528" s="210"/>
      <c r="AI528" s="210"/>
      <c r="AJ528" s="210"/>
      <c r="AK528" s="210"/>
      <c r="AL528" s="210"/>
      <c r="AM528" s="214"/>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c r="BU528" s="210"/>
      <c r="BV528" s="210"/>
      <c r="BW528" s="210"/>
      <c r="BX528" s="210"/>
      <c r="BY528" s="210"/>
      <c r="BZ528" s="210"/>
      <c r="CA528" s="210"/>
      <c r="CB528" s="210"/>
      <c r="CC528" s="210"/>
      <c r="CD528" s="210"/>
      <c r="CE528" s="210"/>
      <c r="CF528" s="210"/>
      <c r="CG528" s="210"/>
      <c r="CH528" s="210"/>
      <c r="CI528" s="210"/>
      <c r="CJ528" s="210"/>
      <c r="CK528" s="210"/>
    </row>
    <row r="529">
      <c r="A529" s="232" t="s">
        <v>478</v>
      </c>
      <c r="B529" s="233" t="s">
        <v>479</v>
      </c>
      <c r="C529" s="234" t="s">
        <v>95</v>
      </c>
      <c r="D529" s="234" t="s">
        <v>888</v>
      </c>
      <c r="E529" s="233" t="s">
        <v>25</v>
      </c>
      <c r="F529" s="235" t="s">
        <v>25</v>
      </c>
      <c r="G529" s="235"/>
      <c r="H529" s="219">
        <f>IFERROR(
  MINIFS(ATTENDANCE_LOG!$F:$F,
         ATTENDANCE_LOG!$A:$A, C529,
         ATTENDANCE_LOG!$B:$B, E529),
"")</f>
        <v>46086.58333</v>
      </c>
      <c r="I529" s="219">
        <f t="shared" si="2"/>
        <v>46086.58333</v>
      </c>
      <c r="J529" s="233">
        <f>IFERROR(VLOOKUP(F529, LEVEL_HELPER!$A:$B, 2, 0), "")</f>
        <v>0.5</v>
      </c>
      <c r="K529" s="233" t="str">
        <f>IFERROR(VLOOKUP(G529, LEVEL_HELPER!$A:$B, 2, 0), "")</f>
        <v/>
      </c>
      <c r="L529" s="237" t="s">
        <v>945</v>
      </c>
      <c r="M529" s="259" t="s">
        <v>922</v>
      </c>
      <c r="N529" s="190">
        <f t="array" ref="N529">IFERROR(
  INDEX($J$2:$J$543,
    MATCH(A529&amp;TEXT(I529,"yyyy-mm-dd"),
          $A$2:$A$543&amp;TEXT($H$2:$H$543,"yyyy-mm-dd"),
          0)),
"")</f>
        <v>0.5</v>
      </c>
      <c r="O529" s="238">
        <f t="shared" si="3"/>
        <v>0</v>
      </c>
      <c r="P529" s="210">
        <f t="shared" ref="P529:Q529" si="539">IF(N529="",0,IF(N529&lt;=2,1,IF(N529&lt;=4,2,IF(N529&lt;=5.5,3,4))))</f>
        <v>1</v>
      </c>
      <c r="Q529" s="210">
        <f t="shared" si="539"/>
        <v>1</v>
      </c>
      <c r="R529" s="210" t="str">
        <f t="shared" si="5"/>
        <v>Not tested yet</v>
      </c>
      <c r="S529" s="210">
        <f t="shared" si="6"/>
        <v>0</v>
      </c>
      <c r="T529" s="210"/>
      <c r="U529" s="210"/>
      <c r="V529" s="210"/>
      <c r="W529" s="210"/>
      <c r="X529" s="210"/>
      <c r="Y529" s="210"/>
      <c r="Z529" s="210"/>
      <c r="AA529" s="210"/>
      <c r="AB529" s="210"/>
      <c r="AC529" s="210"/>
      <c r="AD529" s="210"/>
      <c r="AE529" s="210"/>
      <c r="AF529" s="210"/>
      <c r="AG529" s="210"/>
      <c r="AH529" s="210"/>
      <c r="AI529" s="210"/>
      <c r="AJ529" s="210"/>
      <c r="AK529" s="210"/>
      <c r="AL529" s="210"/>
      <c r="AM529" s="214"/>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c r="BU529" s="210"/>
      <c r="BV529" s="210"/>
      <c r="BW529" s="210"/>
      <c r="BX529" s="210"/>
      <c r="BY529" s="210"/>
      <c r="BZ529" s="210"/>
      <c r="CA529" s="210"/>
      <c r="CB529" s="210"/>
      <c r="CC529" s="210"/>
      <c r="CD529" s="210"/>
      <c r="CE529" s="210"/>
      <c r="CF529" s="210"/>
      <c r="CG529" s="210"/>
      <c r="CH529" s="210"/>
      <c r="CI529" s="210"/>
      <c r="CJ529" s="210"/>
      <c r="CK529" s="210"/>
    </row>
    <row r="530">
      <c r="A530" s="232" t="s">
        <v>585</v>
      </c>
      <c r="B530" s="233" t="s">
        <v>586</v>
      </c>
      <c r="C530" s="234" t="s">
        <v>95</v>
      </c>
      <c r="D530" s="234" t="s">
        <v>888</v>
      </c>
      <c r="E530" s="233" t="s">
        <v>25</v>
      </c>
      <c r="F530" s="235" t="s">
        <v>25</v>
      </c>
      <c r="G530" s="233"/>
      <c r="H530" s="219">
        <f>IFERROR(
  MINIFS(ATTENDANCE_LOG!$F:$F,
         ATTENDANCE_LOG!$A:$A, C530,
         ATTENDANCE_LOG!$B:$B, E530),
"")</f>
        <v>46086.58333</v>
      </c>
      <c r="I530" s="219">
        <f t="shared" si="2"/>
        <v>46086.58333</v>
      </c>
      <c r="J530" s="233">
        <f>IFERROR(VLOOKUP(F530, LEVEL_HELPER!$A:$B, 2, 0), "")</f>
        <v>0.5</v>
      </c>
      <c r="K530" s="233" t="str">
        <f>IFERROR(VLOOKUP(G530, LEVEL_HELPER!$A:$B, 2, 0), "")</f>
        <v/>
      </c>
      <c r="L530" s="237" t="s">
        <v>943</v>
      </c>
      <c r="M530" s="259" t="s">
        <v>922</v>
      </c>
      <c r="N530" s="190">
        <f t="array" ref="N530">IFERROR(
  INDEX($J$2:$J$543,
    MATCH(A530&amp;TEXT(I530,"yyyy-mm-dd"),
          $A$2:$A$543&amp;TEXT($H$2:$H$543,"yyyy-mm-dd"),
          0)),
"")</f>
        <v>0.5</v>
      </c>
      <c r="O530" s="238">
        <f t="shared" si="3"/>
        <v>0</v>
      </c>
      <c r="P530" s="210">
        <f t="shared" ref="P530:Q530" si="540">IF(N530="",0,IF(N530&lt;=2,1,IF(N530&lt;=4,2,IF(N530&lt;=5.5,3,4))))</f>
        <v>1</v>
      </c>
      <c r="Q530" s="210">
        <f t="shared" si="540"/>
        <v>1</v>
      </c>
      <c r="R530" s="210" t="str">
        <f t="shared" si="5"/>
        <v>Not tested yet</v>
      </c>
      <c r="S530" s="210">
        <f t="shared" si="6"/>
        <v>1</v>
      </c>
      <c r="T530" s="210"/>
      <c r="U530" s="210"/>
      <c r="V530" s="210"/>
      <c r="W530" s="210"/>
      <c r="X530" s="210"/>
      <c r="Y530" s="210"/>
      <c r="Z530" s="210"/>
      <c r="AA530" s="210"/>
      <c r="AB530" s="210"/>
      <c r="AC530" s="210"/>
      <c r="AD530" s="210"/>
      <c r="AE530" s="210"/>
      <c r="AF530" s="210"/>
      <c r="AG530" s="210"/>
      <c r="AH530" s="210"/>
      <c r="AI530" s="210"/>
      <c r="AJ530" s="210"/>
      <c r="AK530" s="210"/>
      <c r="AL530" s="210"/>
      <c r="AM530" s="214"/>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c r="BU530" s="210"/>
      <c r="BV530" s="210"/>
      <c r="BW530" s="210"/>
      <c r="BX530" s="210"/>
      <c r="BY530" s="210"/>
      <c r="BZ530" s="210"/>
      <c r="CA530" s="210"/>
      <c r="CB530" s="210"/>
      <c r="CC530" s="210"/>
      <c r="CD530" s="210"/>
      <c r="CE530" s="210"/>
      <c r="CF530" s="210"/>
      <c r="CG530" s="210"/>
      <c r="CH530" s="210"/>
      <c r="CI530" s="210"/>
      <c r="CJ530" s="210"/>
      <c r="CK530" s="210"/>
    </row>
    <row r="531">
      <c r="A531" s="249" t="s">
        <v>370</v>
      </c>
      <c r="B531" s="250" t="s">
        <v>371</v>
      </c>
      <c r="C531" s="251" t="s">
        <v>96</v>
      </c>
      <c r="D531" s="251" t="s">
        <v>889</v>
      </c>
      <c r="E531" s="250" t="s">
        <v>21</v>
      </c>
      <c r="F531" s="252" t="s">
        <v>25</v>
      </c>
      <c r="G531" s="250"/>
      <c r="H531" s="219">
        <f>IFERROR(
  MINIFS(ATTENDANCE_LOG!$F:$F,
         ATTENDANCE_LOG!$A:$A, C531,
         ATTENDANCE_LOG!$B:$B, E531),
"")</f>
        <v>46120.45833</v>
      </c>
      <c r="I531" s="219">
        <f t="shared" si="2"/>
        <v>45635.4375</v>
      </c>
      <c r="J531" s="250">
        <f>IFERROR(VLOOKUP(F531, LEVEL_HELPER!$A:$B, 2, 0), "")</f>
        <v>0.5</v>
      </c>
      <c r="K531" s="233" t="str">
        <f>IFERROR(VLOOKUP(G531, LEVEL_HELPER!$A:$B, 2, 0), "")</f>
        <v/>
      </c>
      <c r="L531" s="253" t="s">
        <v>919</v>
      </c>
      <c r="M531" s="253" t="s">
        <v>925</v>
      </c>
      <c r="N531" s="190">
        <f t="array" ref="N531">IFERROR(
  INDEX($J$2:$J$543,
    MATCH(A531&amp;TEXT(I531,"yyyy-mm-dd"),
          $A$2:$A$543&amp;TEXT($H$2:$H$543,"yyyy-mm-dd"),
          0)),
"")</f>
        <v>1</v>
      </c>
      <c r="O531" s="254">
        <f t="shared" si="3"/>
        <v>1</v>
      </c>
      <c r="P531" s="210">
        <f t="shared" ref="P531:Q531" si="541">IF(N531="",0,IF(N531&lt;=2,1,IF(N531&lt;=4,2,IF(N531&lt;=5.5,3,4))))</f>
        <v>1</v>
      </c>
      <c r="Q531" s="210">
        <f t="shared" si="541"/>
        <v>1</v>
      </c>
      <c r="R531" s="210" t="str">
        <f t="shared" si="5"/>
        <v>No Progress</v>
      </c>
      <c r="S531" s="210">
        <f t="shared" si="6"/>
        <v>0</v>
      </c>
      <c r="T531" s="210"/>
      <c r="U531" s="210"/>
      <c r="V531" s="210"/>
      <c r="W531" s="210"/>
      <c r="X531" s="210"/>
      <c r="Y531" s="210"/>
      <c r="Z531" s="210"/>
      <c r="AA531" s="210"/>
      <c r="AB531" s="210"/>
      <c r="AC531" s="210"/>
      <c r="AD531" s="210"/>
      <c r="AE531" s="210"/>
      <c r="AF531" s="210"/>
      <c r="AG531" s="210"/>
      <c r="AH531" s="210"/>
      <c r="AI531" s="210"/>
      <c r="AJ531" s="210"/>
      <c r="AK531" s="210"/>
      <c r="AL531" s="210"/>
      <c r="AM531" s="214"/>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c r="BU531" s="210"/>
      <c r="BV531" s="210"/>
      <c r="BW531" s="210"/>
      <c r="BX531" s="210"/>
      <c r="BY531" s="210"/>
      <c r="BZ531" s="210"/>
      <c r="CA531" s="210"/>
      <c r="CB531" s="210"/>
      <c r="CC531" s="210"/>
      <c r="CD531" s="210"/>
      <c r="CE531" s="210"/>
      <c r="CF531" s="210"/>
      <c r="CG531" s="210"/>
      <c r="CH531" s="210"/>
      <c r="CI531" s="210"/>
      <c r="CJ531" s="210"/>
      <c r="CK531" s="210"/>
    </row>
    <row r="532">
      <c r="A532" s="232" t="s">
        <v>138</v>
      </c>
      <c r="B532" s="233" t="s">
        <v>139</v>
      </c>
      <c r="C532" s="234" t="s">
        <v>96</v>
      </c>
      <c r="D532" s="234" t="s">
        <v>889</v>
      </c>
      <c r="E532" s="233" t="s">
        <v>21</v>
      </c>
      <c r="F532" s="235" t="s">
        <v>929</v>
      </c>
      <c r="G532" s="233"/>
      <c r="H532" s="219">
        <f>IFERROR(
  MINIFS(ATTENDANCE_LOG!$F:$F,
         ATTENDANCE_LOG!$A:$A, C532,
         ATTENDANCE_LOG!$B:$B, E532),
"")</f>
        <v>46120.45833</v>
      </c>
      <c r="I532" s="219">
        <f t="shared" si="2"/>
        <v>46120.45833</v>
      </c>
      <c r="J532" s="233">
        <f>IFERROR(VLOOKUP(F532, LEVEL_HELPER!$A:$B, 2, 0), "")</f>
        <v>1.5</v>
      </c>
      <c r="K532" s="233" t="str">
        <f>IFERROR(VLOOKUP(G532, LEVEL_HELPER!$A:$B, 2, 0), "")</f>
        <v/>
      </c>
      <c r="L532" s="237" t="s">
        <v>919</v>
      </c>
      <c r="M532" s="237" t="s">
        <v>925</v>
      </c>
      <c r="N532" s="190">
        <f t="array" ref="N532">IFERROR(
  INDEX($J$2:$J$543,
    MATCH(A532&amp;TEXT(I532,"yyyy-mm-dd"),
          $A$2:$A$543&amp;TEXT($H$2:$H$543,"yyyy-mm-dd"),
          0)),
"")</f>
        <v>1.5</v>
      </c>
      <c r="O532" s="238">
        <f t="shared" si="3"/>
        <v>0</v>
      </c>
      <c r="P532" s="210">
        <f t="shared" ref="P532:Q532" si="542">IF(N532="",0,IF(N532&lt;=2,1,IF(N532&lt;=4,2,IF(N532&lt;=5.5,3,4))))</f>
        <v>1</v>
      </c>
      <c r="Q532" s="210">
        <f t="shared" si="542"/>
        <v>1</v>
      </c>
      <c r="R532" s="210" t="str">
        <f t="shared" si="5"/>
        <v>Not tested yet</v>
      </c>
      <c r="S532" s="210">
        <f t="shared" si="6"/>
        <v>1</v>
      </c>
      <c r="T532" s="210"/>
      <c r="U532" s="210"/>
      <c r="V532" s="210"/>
      <c r="W532" s="210"/>
      <c r="X532" s="210"/>
      <c r="Y532" s="210"/>
      <c r="Z532" s="210"/>
      <c r="AA532" s="210"/>
      <c r="AB532" s="210"/>
      <c r="AC532" s="210"/>
      <c r="AD532" s="210"/>
      <c r="AE532" s="210"/>
      <c r="AF532" s="210"/>
      <c r="AG532" s="210"/>
      <c r="AH532" s="210"/>
      <c r="AI532" s="210"/>
      <c r="AJ532" s="210"/>
      <c r="AK532" s="210"/>
      <c r="AL532" s="210"/>
      <c r="AM532" s="214"/>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c r="BU532" s="210"/>
      <c r="BV532" s="210"/>
      <c r="BW532" s="210"/>
      <c r="BX532" s="210"/>
      <c r="BY532" s="210"/>
      <c r="BZ532" s="210"/>
      <c r="CA532" s="210"/>
      <c r="CB532" s="210"/>
      <c r="CC532" s="210"/>
      <c r="CD532" s="210"/>
      <c r="CE532" s="210"/>
      <c r="CF532" s="210"/>
      <c r="CG532" s="210"/>
      <c r="CH532" s="210"/>
      <c r="CI532" s="210"/>
      <c r="CJ532" s="210"/>
      <c r="CK532" s="210"/>
    </row>
    <row r="533">
      <c r="A533" s="232" t="s">
        <v>267</v>
      </c>
      <c r="B533" s="233" t="s">
        <v>268</v>
      </c>
      <c r="C533" s="234" t="s">
        <v>96</v>
      </c>
      <c r="D533" s="234" t="s">
        <v>889</v>
      </c>
      <c r="E533" s="233" t="s">
        <v>21</v>
      </c>
      <c r="F533" s="235" t="s">
        <v>25</v>
      </c>
      <c r="G533" s="233"/>
      <c r="H533" s="219">
        <f>IFERROR(
  MINIFS(ATTENDANCE_LOG!$F:$F,
         ATTENDANCE_LOG!$A:$A, C533,
         ATTENDANCE_LOG!$B:$B, E533),
"")</f>
        <v>46120.45833</v>
      </c>
      <c r="I533" s="219">
        <f t="shared" si="2"/>
        <v>45637.375</v>
      </c>
      <c r="J533" s="233">
        <f>IFERROR(VLOOKUP(F533, LEVEL_HELPER!$A:$B, 2, 0), "")</f>
        <v>0.5</v>
      </c>
      <c r="K533" s="233" t="str">
        <f>IFERROR(VLOOKUP(G533, LEVEL_HELPER!$A:$B, 2, 0), "")</f>
        <v/>
      </c>
      <c r="L533" s="237" t="s">
        <v>919</v>
      </c>
      <c r="M533" s="237" t="s">
        <v>925</v>
      </c>
      <c r="N533" s="190">
        <f t="array" ref="N533">IFERROR(
  INDEX($J$2:$J$543,
    MATCH(A533&amp;TEXT(I533,"yyyy-mm-dd"),
          $A$2:$A$543&amp;TEXT($H$2:$H$543,"yyyy-mm-dd"),
          0)),
"")</f>
        <v>1</v>
      </c>
      <c r="O533" s="238">
        <f t="shared" si="3"/>
        <v>2.5</v>
      </c>
      <c r="P533" s="210">
        <f t="shared" ref="P533:Q533" si="543">IF(N533="",0,IF(N533&lt;=2,1,IF(N533&lt;=4,2,IF(N533&lt;=5.5,3,4))))</f>
        <v>1</v>
      </c>
      <c r="Q533" s="210">
        <f t="shared" si="543"/>
        <v>2</v>
      </c>
      <c r="R533" s="210" t="str">
        <f t="shared" si="5"/>
        <v>Lv1 → Lv2</v>
      </c>
      <c r="S533" s="210">
        <f t="shared" si="6"/>
        <v>0</v>
      </c>
      <c r="T533" s="210"/>
      <c r="U533" s="210"/>
      <c r="V533" s="210"/>
      <c r="W533" s="210"/>
      <c r="X533" s="210"/>
      <c r="Y533" s="210"/>
      <c r="Z533" s="210"/>
      <c r="AA533" s="210"/>
      <c r="AB533" s="210"/>
      <c r="AC533" s="210"/>
      <c r="AD533" s="210"/>
      <c r="AE533" s="210"/>
      <c r="AF533" s="210"/>
      <c r="AG533" s="210"/>
      <c r="AH533" s="210"/>
      <c r="AI533" s="210"/>
      <c r="AJ533" s="210"/>
      <c r="AK533" s="210"/>
      <c r="AL533" s="210"/>
      <c r="AM533" s="214"/>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c r="BU533" s="210"/>
      <c r="BV533" s="210"/>
      <c r="BW533" s="210"/>
      <c r="BX533" s="210"/>
      <c r="BY533" s="210"/>
      <c r="BZ533" s="210"/>
      <c r="CA533" s="210"/>
      <c r="CB533" s="210"/>
      <c r="CC533" s="210"/>
      <c r="CD533" s="210"/>
      <c r="CE533" s="210"/>
      <c r="CF533" s="210"/>
      <c r="CG533" s="210"/>
      <c r="CH533" s="210"/>
      <c r="CI533" s="210"/>
      <c r="CJ533" s="210"/>
      <c r="CK533" s="210"/>
    </row>
    <row r="534">
      <c r="A534" s="232" t="s">
        <v>286</v>
      </c>
      <c r="B534" s="233" t="s">
        <v>287</v>
      </c>
      <c r="C534" s="234" t="s">
        <v>96</v>
      </c>
      <c r="D534" s="234" t="s">
        <v>889</v>
      </c>
      <c r="E534" s="233" t="s">
        <v>21</v>
      </c>
      <c r="F534" s="235" t="s">
        <v>25</v>
      </c>
      <c r="G534" s="233"/>
      <c r="H534" s="219">
        <f>IFERROR(
  MINIFS(ATTENDANCE_LOG!$F:$F,
         ATTENDANCE_LOG!$A:$A, C534,
         ATTENDANCE_LOG!$B:$B, E534),
"")</f>
        <v>46120.45833</v>
      </c>
      <c r="I534" s="219">
        <f t="shared" si="2"/>
        <v>46120.45833</v>
      </c>
      <c r="J534" s="233">
        <f>IFERROR(VLOOKUP(F534, LEVEL_HELPER!$A:$B, 2, 0), "")</f>
        <v>0.5</v>
      </c>
      <c r="K534" s="233" t="str">
        <f>IFERROR(VLOOKUP(G534, LEVEL_HELPER!$A:$B, 2, 0), "")</f>
        <v/>
      </c>
      <c r="L534" s="237" t="s">
        <v>919</v>
      </c>
      <c r="M534" s="237" t="s">
        <v>925</v>
      </c>
      <c r="N534" s="190">
        <f t="array" ref="N534">IFERROR(
  INDEX($J$2:$J$543,
    MATCH(A534&amp;TEXT(I534,"yyyy-mm-dd"),
          $A$2:$A$543&amp;TEXT($H$2:$H$543,"yyyy-mm-dd"),
          0)),
"")</f>
        <v>0.5</v>
      </c>
      <c r="O534" s="238">
        <f t="shared" si="3"/>
        <v>0</v>
      </c>
      <c r="P534" s="210">
        <f t="shared" ref="P534:Q534" si="544">IF(N534="",0,IF(N534&lt;=2,1,IF(N534&lt;=4,2,IF(N534&lt;=5.5,3,4))))</f>
        <v>1</v>
      </c>
      <c r="Q534" s="210">
        <f t="shared" si="544"/>
        <v>1</v>
      </c>
      <c r="R534" s="210" t="str">
        <f t="shared" si="5"/>
        <v>Not tested yet</v>
      </c>
      <c r="S534" s="210">
        <f t="shared" si="6"/>
        <v>1</v>
      </c>
      <c r="T534" s="210"/>
      <c r="U534" s="210"/>
      <c r="V534" s="210"/>
      <c r="W534" s="210"/>
      <c r="X534" s="210"/>
      <c r="Y534" s="210"/>
      <c r="Z534" s="210"/>
      <c r="AA534" s="210"/>
      <c r="AB534" s="210"/>
      <c r="AC534" s="210"/>
      <c r="AD534" s="210"/>
      <c r="AE534" s="210"/>
      <c r="AF534" s="210"/>
      <c r="AG534" s="210"/>
      <c r="AH534" s="210"/>
      <c r="AI534" s="210"/>
      <c r="AJ534" s="210"/>
      <c r="AK534" s="210"/>
      <c r="AL534" s="210"/>
      <c r="AM534" s="214"/>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c r="BU534" s="210"/>
      <c r="BV534" s="210"/>
      <c r="BW534" s="210"/>
      <c r="BX534" s="210"/>
      <c r="BY534" s="210"/>
      <c r="BZ534" s="210"/>
      <c r="CA534" s="210"/>
      <c r="CB534" s="210"/>
      <c r="CC534" s="210"/>
      <c r="CD534" s="210"/>
      <c r="CE534" s="210"/>
      <c r="CF534" s="210"/>
      <c r="CG534" s="210"/>
      <c r="CH534" s="210"/>
      <c r="CI534" s="210"/>
      <c r="CJ534" s="210"/>
      <c r="CK534" s="210"/>
    </row>
    <row r="535">
      <c r="A535" s="232" t="s">
        <v>413</v>
      </c>
      <c r="B535" s="233" t="s">
        <v>414</v>
      </c>
      <c r="C535" s="234" t="s">
        <v>96</v>
      </c>
      <c r="D535" s="234" t="s">
        <v>889</v>
      </c>
      <c r="E535" s="233" t="s">
        <v>21</v>
      </c>
      <c r="F535" s="235" t="s">
        <v>25</v>
      </c>
      <c r="G535" s="233"/>
      <c r="H535" s="219">
        <f>IFERROR(
  MINIFS(ATTENDANCE_LOG!$F:$F,
         ATTENDANCE_LOG!$A:$A, C535,
         ATTENDANCE_LOG!$B:$B, E535),
"")</f>
        <v>46120.45833</v>
      </c>
      <c r="I535" s="219">
        <f t="shared" si="2"/>
        <v>45637.375</v>
      </c>
      <c r="J535" s="233">
        <f>IFERROR(VLOOKUP(F535, LEVEL_HELPER!$A:$B, 2, 0), "")</f>
        <v>0.5</v>
      </c>
      <c r="K535" s="233" t="str">
        <f>IFERROR(VLOOKUP(G535, LEVEL_HELPER!$A:$B, 2, 0), "")</f>
        <v/>
      </c>
      <c r="L535" s="237" t="s">
        <v>919</v>
      </c>
      <c r="M535" s="237" t="s">
        <v>925</v>
      </c>
      <c r="N535" s="190">
        <f t="array" ref="N535">IFERROR(
  INDEX($J$2:$J$543,
    MATCH(A535&amp;TEXT(I535,"yyyy-mm-dd"),
          $A$2:$A$543&amp;TEXT($H$2:$H$543,"yyyy-mm-dd"),
          0)),
"")</f>
        <v>1</v>
      </c>
      <c r="O535" s="238">
        <f t="shared" si="3"/>
        <v>2.5</v>
      </c>
      <c r="P535" s="210">
        <f t="shared" ref="P535:Q535" si="545">IF(N535="",0,IF(N535&lt;=2,1,IF(N535&lt;=4,2,IF(N535&lt;=5.5,3,4))))</f>
        <v>1</v>
      </c>
      <c r="Q535" s="210">
        <f t="shared" si="545"/>
        <v>2</v>
      </c>
      <c r="R535" s="210" t="str">
        <f t="shared" si="5"/>
        <v>Lv1 → Lv2</v>
      </c>
      <c r="S535" s="210">
        <f t="shared" si="6"/>
        <v>0</v>
      </c>
      <c r="T535" s="210"/>
      <c r="U535" s="210"/>
      <c r="V535" s="210"/>
      <c r="W535" s="210"/>
      <c r="X535" s="210"/>
      <c r="Y535" s="210"/>
      <c r="Z535" s="210"/>
      <c r="AA535" s="210"/>
      <c r="AB535" s="210"/>
      <c r="AC535" s="210"/>
      <c r="AD535" s="210"/>
      <c r="AE535" s="210"/>
      <c r="AF535" s="210"/>
      <c r="AG535" s="210"/>
      <c r="AH535" s="210"/>
      <c r="AI535" s="210"/>
      <c r="AJ535" s="210"/>
      <c r="AK535" s="210"/>
      <c r="AL535" s="210"/>
      <c r="AM535" s="214"/>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c r="BU535" s="210"/>
      <c r="BV535" s="210"/>
      <c r="BW535" s="210"/>
      <c r="BX535" s="210"/>
      <c r="BY535" s="210"/>
      <c r="BZ535" s="210"/>
      <c r="CA535" s="210"/>
      <c r="CB535" s="210"/>
      <c r="CC535" s="210"/>
      <c r="CD535" s="210"/>
      <c r="CE535" s="210"/>
      <c r="CF535" s="210"/>
      <c r="CG535" s="210"/>
      <c r="CH535" s="210"/>
      <c r="CI535" s="210"/>
      <c r="CJ535" s="210"/>
      <c r="CK535" s="210"/>
    </row>
    <row r="536">
      <c r="A536" s="232" t="s">
        <v>653</v>
      </c>
      <c r="B536" s="233" t="s">
        <v>654</v>
      </c>
      <c r="C536" s="234" t="s">
        <v>96</v>
      </c>
      <c r="D536" s="234" t="s">
        <v>889</v>
      </c>
      <c r="E536" s="233" t="s">
        <v>21</v>
      </c>
      <c r="F536" s="235" t="s">
        <v>25</v>
      </c>
      <c r="G536" s="233"/>
      <c r="H536" s="219">
        <f>IFERROR(
  MINIFS(ATTENDANCE_LOG!$F:$F,
         ATTENDANCE_LOG!$A:$A, C536,
         ATTENDANCE_LOG!$B:$B, E536),
"")</f>
        <v>46120.45833</v>
      </c>
      <c r="I536" s="219">
        <f t="shared" si="2"/>
        <v>46120.45833</v>
      </c>
      <c r="J536" s="233">
        <f>IFERROR(VLOOKUP(F536, LEVEL_HELPER!$A:$B, 2, 0), "")</f>
        <v>0.5</v>
      </c>
      <c r="K536" s="233" t="str">
        <f>IFERROR(VLOOKUP(G536, LEVEL_HELPER!$A:$B, 2, 0), "")</f>
        <v/>
      </c>
      <c r="L536" s="237" t="s">
        <v>919</v>
      </c>
      <c r="M536" s="237" t="s">
        <v>925</v>
      </c>
      <c r="N536" s="190">
        <f t="array" ref="N536">IFERROR(
  INDEX($J$2:$J$543,
    MATCH(A536&amp;TEXT(I536,"yyyy-mm-dd"),
          $A$2:$A$543&amp;TEXT($H$2:$H$543,"yyyy-mm-dd"),
          0)),
"")</f>
        <v>0.5</v>
      </c>
      <c r="O536" s="238">
        <f t="shared" si="3"/>
        <v>0</v>
      </c>
      <c r="P536" s="210">
        <f t="shared" ref="P536:Q536" si="546">IF(N536="",0,IF(N536&lt;=2,1,IF(N536&lt;=4,2,IF(N536&lt;=5.5,3,4))))</f>
        <v>1</v>
      </c>
      <c r="Q536" s="210">
        <f t="shared" si="546"/>
        <v>1</v>
      </c>
      <c r="R536" s="210" t="str">
        <f t="shared" si="5"/>
        <v>Not tested yet</v>
      </c>
      <c r="S536" s="210">
        <f t="shared" si="6"/>
        <v>1</v>
      </c>
      <c r="T536" s="210"/>
      <c r="U536" s="210"/>
      <c r="V536" s="210"/>
      <c r="W536" s="210"/>
      <c r="X536" s="210"/>
      <c r="Y536" s="210"/>
      <c r="Z536" s="210"/>
      <c r="AA536" s="210"/>
      <c r="AB536" s="210"/>
      <c r="AC536" s="210"/>
      <c r="AD536" s="210"/>
      <c r="AE536" s="210"/>
      <c r="AF536" s="210"/>
      <c r="AG536" s="210"/>
      <c r="AH536" s="210"/>
      <c r="AI536" s="210"/>
      <c r="AJ536" s="210"/>
      <c r="AK536" s="210"/>
      <c r="AL536" s="210"/>
      <c r="AM536" s="214"/>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c r="BU536" s="210"/>
      <c r="BV536" s="210"/>
      <c r="BW536" s="210"/>
      <c r="BX536" s="210"/>
      <c r="BY536" s="210"/>
      <c r="BZ536" s="210"/>
      <c r="CA536" s="210"/>
      <c r="CB536" s="210"/>
      <c r="CC536" s="210"/>
      <c r="CD536" s="210"/>
      <c r="CE536" s="210"/>
      <c r="CF536" s="210"/>
      <c r="CG536" s="210"/>
      <c r="CH536" s="210"/>
      <c r="CI536" s="210"/>
      <c r="CJ536" s="210"/>
      <c r="CK536" s="210"/>
    </row>
    <row r="537">
      <c r="A537" s="232" t="s">
        <v>673</v>
      </c>
      <c r="B537" s="233" t="s">
        <v>674</v>
      </c>
      <c r="C537" s="234" t="s">
        <v>96</v>
      </c>
      <c r="D537" s="234" t="s">
        <v>889</v>
      </c>
      <c r="E537" s="233" t="s">
        <v>21</v>
      </c>
      <c r="F537" s="235" t="s">
        <v>25</v>
      </c>
      <c r="G537" s="233"/>
      <c r="H537" s="219">
        <f>IFERROR(
  MINIFS(ATTENDANCE_LOG!$F:$F,
         ATTENDANCE_LOG!$A:$A, C537,
         ATTENDANCE_LOG!$B:$B, E537),
"")</f>
        <v>46120.45833</v>
      </c>
      <c r="I537" s="219">
        <f t="shared" si="2"/>
        <v>46120.45833</v>
      </c>
      <c r="J537" s="233">
        <f>IFERROR(VLOOKUP(F537, LEVEL_HELPER!$A:$B, 2, 0), "")</f>
        <v>0.5</v>
      </c>
      <c r="K537" s="233" t="str">
        <f>IFERROR(VLOOKUP(G537, LEVEL_HELPER!$A:$B, 2, 0), "")</f>
        <v/>
      </c>
      <c r="L537" s="237" t="s">
        <v>943</v>
      </c>
      <c r="M537" s="237" t="s">
        <v>925</v>
      </c>
      <c r="N537" s="190">
        <f t="array" ref="N537">IFERROR(
  INDEX($J$2:$J$543,
    MATCH(A537&amp;TEXT(I537,"yyyy-mm-dd"),
          $A$2:$A$543&amp;TEXT($H$2:$H$543,"yyyy-mm-dd"),
          0)),
"")</f>
        <v>0.5</v>
      </c>
      <c r="O537" s="238">
        <f t="shared" si="3"/>
        <v>0</v>
      </c>
      <c r="P537" s="210">
        <f t="shared" ref="P537:Q537" si="547">IF(N537="",0,IF(N537&lt;=2,1,IF(N537&lt;=4,2,IF(N537&lt;=5.5,3,4))))</f>
        <v>1</v>
      </c>
      <c r="Q537" s="210">
        <f t="shared" si="547"/>
        <v>1</v>
      </c>
      <c r="R537" s="210" t="str">
        <f t="shared" si="5"/>
        <v>Not tested yet</v>
      </c>
      <c r="S537" s="210">
        <f t="shared" si="6"/>
        <v>1</v>
      </c>
      <c r="T537" s="210"/>
      <c r="U537" s="210"/>
      <c r="V537" s="210"/>
      <c r="W537" s="210"/>
      <c r="X537" s="210"/>
      <c r="Y537" s="210"/>
      <c r="Z537" s="210"/>
      <c r="AA537" s="210"/>
      <c r="AB537" s="210"/>
      <c r="AC537" s="210"/>
      <c r="AD537" s="210"/>
      <c r="AE537" s="210"/>
      <c r="AF537" s="210"/>
      <c r="AG537" s="210"/>
      <c r="AH537" s="210"/>
      <c r="AI537" s="210"/>
      <c r="AJ537" s="210"/>
      <c r="AK537" s="210"/>
      <c r="AL537" s="210"/>
      <c r="AM537" s="214"/>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c r="BU537" s="210"/>
      <c r="BV537" s="210"/>
      <c r="BW537" s="210"/>
      <c r="BX537" s="210"/>
      <c r="BY537" s="210"/>
      <c r="BZ537" s="210"/>
      <c r="CA537" s="210"/>
      <c r="CB537" s="210"/>
      <c r="CC537" s="210"/>
      <c r="CD537" s="210"/>
      <c r="CE537" s="210"/>
      <c r="CF537" s="210"/>
      <c r="CG537" s="210"/>
      <c r="CH537" s="210"/>
      <c r="CI537" s="210"/>
      <c r="CJ537" s="210"/>
      <c r="CK537" s="210"/>
    </row>
    <row r="538">
      <c r="A538" s="249" t="s">
        <v>470</v>
      </c>
      <c r="B538" s="250" t="s">
        <v>471</v>
      </c>
      <c r="C538" s="251" t="s">
        <v>97</v>
      </c>
      <c r="D538" s="251" t="s">
        <v>890</v>
      </c>
      <c r="E538" s="250" t="s">
        <v>21</v>
      </c>
      <c r="F538" s="252" t="s">
        <v>927</v>
      </c>
      <c r="G538" s="252"/>
      <c r="H538" s="219">
        <f>IFERROR(
  MINIFS(ATTENDANCE_LOG!$F:$F,
         ATTENDANCE_LOG!$A:$A, C538,
         ATTENDANCE_LOG!$B:$B, E538),
"")</f>
        <v>46126.625</v>
      </c>
      <c r="I538" s="219">
        <f t="shared" si="2"/>
        <v>45917.58333</v>
      </c>
      <c r="J538" s="250">
        <f>IFERROR(VLOOKUP(F538, LEVEL_HELPER!$A:$B, 2, 0), "")</f>
        <v>1</v>
      </c>
      <c r="K538" s="233" t="str">
        <f>IFERROR(VLOOKUP(G538, LEVEL_HELPER!$A:$B, 2, 0), "")</f>
        <v/>
      </c>
      <c r="L538" s="253" t="s">
        <v>931</v>
      </c>
      <c r="M538" s="253" t="s">
        <v>926</v>
      </c>
      <c r="N538" s="190">
        <f t="array" ref="N538">IFERROR(
  INDEX($J$2:$J$543,
    MATCH(A538&amp;TEXT(I538,"yyyy-mm-dd"),
          $A$2:$A$543&amp;TEXT($H$2:$H$543,"yyyy-mm-dd"),
          0)),
"")</f>
        <v>0.5</v>
      </c>
      <c r="O538" s="254">
        <f t="shared" si="3"/>
        <v>1</v>
      </c>
      <c r="P538" s="210">
        <f t="shared" ref="P538:Q538" si="548">IF(N538="",0,IF(N538&lt;=2,1,IF(N538&lt;=4,2,IF(N538&lt;=5.5,3,4))))</f>
        <v>1</v>
      </c>
      <c r="Q538" s="210">
        <f t="shared" si="548"/>
        <v>1</v>
      </c>
      <c r="R538" s="210" t="str">
        <f t="shared" si="5"/>
        <v>Progress within level</v>
      </c>
      <c r="S538" s="210">
        <f t="shared" si="6"/>
        <v>0</v>
      </c>
      <c r="T538" s="210"/>
      <c r="U538" s="210"/>
      <c r="V538" s="210"/>
      <c r="W538" s="210"/>
      <c r="X538" s="210"/>
      <c r="Y538" s="210"/>
      <c r="Z538" s="210"/>
      <c r="AA538" s="210"/>
      <c r="AB538" s="210"/>
      <c r="AC538" s="210"/>
      <c r="AD538" s="210"/>
      <c r="AE538" s="210"/>
      <c r="AF538" s="210"/>
      <c r="AG538" s="210"/>
      <c r="AH538" s="210"/>
      <c r="AI538" s="210"/>
      <c r="AJ538" s="210"/>
      <c r="AK538" s="210"/>
      <c r="AL538" s="210"/>
      <c r="AM538" s="214"/>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c r="BU538" s="210"/>
      <c r="BV538" s="210"/>
      <c r="BW538" s="210"/>
      <c r="BX538" s="210"/>
      <c r="BY538" s="210"/>
      <c r="BZ538" s="210"/>
      <c r="CA538" s="210"/>
      <c r="CB538" s="210"/>
      <c r="CC538" s="210"/>
      <c r="CD538" s="210"/>
      <c r="CE538" s="210"/>
      <c r="CF538" s="210"/>
      <c r="CG538" s="210"/>
      <c r="CH538" s="210"/>
      <c r="CI538" s="210"/>
      <c r="CJ538" s="210"/>
      <c r="CK538" s="210"/>
    </row>
    <row r="539">
      <c r="A539" s="232" t="s">
        <v>161</v>
      </c>
      <c r="B539" s="233" t="s">
        <v>162</v>
      </c>
      <c r="C539" s="234" t="s">
        <v>97</v>
      </c>
      <c r="D539" s="234" t="s">
        <v>890</v>
      </c>
      <c r="E539" s="233" t="s">
        <v>21</v>
      </c>
      <c r="F539" s="235" t="s">
        <v>25</v>
      </c>
      <c r="G539" s="233"/>
      <c r="H539" s="219">
        <f>IFERROR(
  MINIFS(ATTENDANCE_LOG!$F:$F,
         ATTENDANCE_LOG!$A:$A, C539,
         ATTENDANCE_LOG!$B:$B, E539),
"")</f>
        <v>46126.625</v>
      </c>
      <c r="I539" s="219">
        <f t="shared" si="2"/>
        <v>45916.45833</v>
      </c>
      <c r="J539" s="233">
        <f>IFERROR(VLOOKUP(F539, LEVEL_HELPER!$A:$B, 2, 0), "")</f>
        <v>0.5</v>
      </c>
      <c r="K539" s="233" t="str">
        <f>IFERROR(VLOOKUP(G539, LEVEL_HELPER!$A:$B, 2, 0), "")</f>
        <v/>
      </c>
      <c r="L539" s="237" t="s">
        <v>943</v>
      </c>
      <c r="M539" s="237" t="s">
        <v>924</v>
      </c>
      <c r="N539" s="190">
        <f t="array" ref="N539">IFERROR(
  INDEX($J$2:$J$543,
    MATCH(A539&amp;TEXT(I539,"yyyy-mm-dd"),
          $A$2:$A$543&amp;TEXT($H$2:$H$543,"yyyy-mm-dd"),
          0)),
"")</f>
        <v>0.5</v>
      </c>
      <c r="O539" s="238">
        <f t="shared" si="3"/>
        <v>0.5</v>
      </c>
      <c r="P539" s="210">
        <f t="shared" ref="P539:Q539" si="549">IF(N539="",0,IF(N539&lt;=2,1,IF(N539&lt;=4,2,IF(N539&lt;=5.5,3,4))))</f>
        <v>1</v>
      </c>
      <c r="Q539" s="210">
        <f t="shared" si="549"/>
        <v>1</v>
      </c>
      <c r="R539" s="210" t="str">
        <f t="shared" si="5"/>
        <v>No Progress</v>
      </c>
      <c r="S539" s="210">
        <f t="shared" si="6"/>
        <v>0</v>
      </c>
      <c r="T539" s="210"/>
      <c r="U539" s="210"/>
      <c r="V539" s="210"/>
      <c r="W539" s="210"/>
      <c r="X539" s="210"/>
      <c r="Y539" s="210"/>
      <c r="Z539" s="210"/>
      <c r="AA539" s="210"/>
      <c r="AB539" s="210"/>
      <c r="AC539" s="210"/>
      <c r="AD539" s="210"/>
      <c r="AE539" s="210"/>
      <c r="AF539" s="210"/>
      <c r="AG539" s="210"/>
      <c r="AH539" s="210"/>
      <c r="AI539" s="210"/>
      <c r="AJ539" s="210"/>
      <c r="AK539" s="210"/>
      <c r="AL539" s="210"/>
      <c r="AM539" s="214"/>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c r="BU539" s="210"/>
      <c r="BV539" s="210"/>
      <c r="BW539" s="210"/>
      <c r="BX539" s="210"/>
      <c r="BY539" s="210"/>
      <c r="BZ539" s="210"/>
      <c r="CA539" s="210"/>
      <c r="CB539" s="210"/>
      <c r="CC539" s="210"/>
      <c r="CD539" s="210"/>
      <c r="CE539" s="210"/>
      <c r="CF539" s="210"/>
      <c r="CG539" s="210"/>
      <c r="CH539" s="210"/>
      <c r="CI539" s="210"/>
      <c r="CJ539" s="210"/>
      <c r="CK539" s="210"/>
    </row>
    <row r="540">
      <c r="A540" s="232" t="s">
        <v>269</v>
      </c>
      <c r="B540" s="233" t="s">
        <v>270</v>
      </c>
      <c r="C540" s="234" t="s">
        <v>97</v>
      </c>
      <c r="D540" s="234" t="s">
        <v>890</v>
      </c>
      <c r="E540" s="233" t="s">
        <v>21</v>
      </c>
      <c r="F540" s="235" t="s">
        <v>25</v>
      </c>
      <c r="G540" s="233"/>
      <c r="H540" s="219">
        <f>IFERROR(
  MINIFS(ATTENDANCE_LOG!$F:$F,
         ATTENDANCE_LOG!$A:$A, C540,
         ATTENDANCE_LOG!$B:$B, E540),
"")</f>
        <v>46126.625</v>
      </c>
      <c r="I540" s="219">
        <f t="shared" si="2"/>
        <v>45917.58333</v>
      </c>
      <c r="J540" s="233">
        <f>IFERROR(VLOOKUP(F540, LEVEL_HELPER!$A:$B, 2, 0), "")</f>
        <v>0.5</v>
      </c>
      <c r="K540" s="233" t="str">
        <f>IFERROR(VLOOKUP(G540, LEVEL_HELPER!$A:$B, 2, 0), "")</f>
        <v/>
      </c>
      <c r="L540" s="237" t="s">
        <v>943</v>
      </c>
      <c r="M540" s="237" t="s">
        <v>924</v>
      </c>
      <c r="N540" s="190">
        <f t="array" ref="N540">IFERROR(
  INDEX($J$2:$J$543,
    MATCH(A540&amp;TEXT(I540,"yyyy-mm-dd"),
          $A$2:$A$543&amp;TEXT($H$2:$H$543,"yyyy-mm-dd"),
          0)),
"")</f>
        <v>0.5</v>
      </c>
      <c r="O540" s="238">
        <f t="shared" si="3"/>
        <v>1</v>
      </c>
      <c r="P540" s="210">
        <f t="shared" ref="P540:Q540" si="550">IF(N540="",0,IF(N540&lt;=2,1,IF(N540&lt;=4,2,IF(N540&lt;=5.5,3,4))))</f>
        <v>1</v>
      </c>
      <c r="Q540" s="210">
        <f t="shared" si="550"/>
        <v>1</v>
      </c>
      <c r="R540" s="210" t="str">
        <f t="shared" si="5"/>
        <v>Progress within level</v>
      </c>
      <c r="S540" s="210">
        <f t="shared" si="6"/>
        <v>0</v>
      </c>
      <c r="T540" s="210"/>
      <c r="U540" s="210"/>
      <c r="V540" s="210"/>
      <c r="W540" s="210"/>
      <c r="X540" s="210"/>
      <c r="Y540" s="210"/>
      <c r="Z540" s="210"/>
      <c r="AA540" s="210"/>
      <c r="AB540" s="210"/>
      <c r="AC540" s="210"/>
      <c r="AD540" s="210"/>
      <c r="AE540" s="210"/>
      <c r="AF540" s="210"/>
      <c r="AG540" s="210"/>
      <c r="AH540" s="210"/>
      <c r="AI540" s="210"/>
      <c r="AJ540" s="210"/>
      <c r="AK540" s="210"/>
      <c r="AL540" s="210"/>
      <c r="AM540" s="214"/>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c r="BU540" s="210"/>
      <c r="BV540" s="210"/>
      <c r="BW540" s="210"/>
      <c r="BX540" s="210"/>
      <c r="BY540" s="210"/>
      <c r="BZ540" s="210"/>
      <c r="CA540" s="210"/>
      <c r="CB540" s="210"/>
      <c r="CC540" s="210"/>
      <c r="CD540" s="210"/>
      <c r="CE540" s="210"/>
      <c r="CF540" s="210"/>
      <c r="CG540" s="210"/>
      <c r="CH540" s="210"/>
      <c r="CI540" s="210"/>
      <c r="CJ540" s="210"/>
      <c r="CK540" s="210"/>
    </row>
    <row r="541">
      <c r="A541" s="232" t="s">
        <v>290</v>
      </c>
      <c r="B541" s="233" t="s">
        <v>291</v>
      </c>
      <c r="C541" s="234" t="s">
        <v>97</v>
      </c>
      <c r="D541" s="234" t="s">
        <v>890</v>
      </c>
      <c r="E541" s="233" t="s">
        <v>21</v>
      </c>
      <c r="F541" s="235" t="s">
        <v>25</v>
      </c>
      <c r="G541" s="233"/>
      <c r="H541" s="219">
        <f>IFERROR(
  MINIFS(ATTENDANCE_LOG!$F:$F,
         ATTENDANCE_LOG!$A:$A, C541,
         ATTENDANCE_LOG!$B:$B, E541),
"")</f>
        <v>46126.625</v>
      </c>
      <c r="I541" s="219">
        <f t="shared" si="2"/>
        <v>45916.45833</v>
      </c>
      <c r="J541" s="233">
        <f>IFERROR(VLOOKUP(F541, LEVEL_HELPER!$A:$B, 2, 0), "")</f>
        <v>0.5</v>
      </c>
      <c r="K541" s="233" t="str">
        <f>IFERROR(VLOOKUP(G541, LEVEL_HELPER!$A:$B, 2, 0), "")</f>
        <v/>
      </c>
      <c r="L541" s="237" t="s">
        <v>931</v>
      </c>
      <c r="M541" s="237" t="s">
        <v>920</v>
      </c>
      <c r="N541" s="190">
        <f t="array" ref="N541">IFERROR(
  INDEX($J$2:$J$543,
    MATCH(A541&amp;TEXT(I541,"yyyy-mm-dd"),
          $A$2:$A$543&amp;TEXT($H$2:$H$543,"yyyy-mm-dd"),
          0)),
"")</f>
        <v>0.5</v>
      </c>
      <c r="O541" s="238">
        <f t="shared" si="3"/>
        <v>0.5</v>
      </c>
      <c r="P541" s="210">
        <f t="shared" ref="P541:Q541" si="551">IF(N541="",0,IF(N541&lt;=2,1,IF(N541&lt;=4,2,IF(N541&lt;=5.5,3,4))))</f>
        <v>1</v>
      </c>
      <c r="Q541" s="210">
        <f t="shared" si="551"/>
        <v>1</v>
      </c>
      <c r="R541" s="210" t="str">
        <f t="shared" si="5"/>
        <v>No Progress</v>
      </c>
      <c r="S541" s="210">
        <f t="shared" si="6"/>
        <v>0</v>
      </c>
      <c r="T541" s="210"/>
      <c r="U541" s="210"/>
      <c r="V541" s="210"/>
      <c r="W541" s="210"/>
      <c r="X541" s="210"/>
      <c r="Y541" s="210"/>
      <c r="Z541" s="210"/>
      <c r="AA541" s="210"/>
      <c r="AB541" s="210"/>
      <c r="AC541" s="210"/>
      <c r="AD541" s="210"/>
      <c r="AE541" s="210"/>
      <c r="AF541" s="210"/>
      <c r="AG541" s="210"/>
      <c r="AH541" s="210"/>
      <c r="AI541" s="210"/>
      <c r="AJ541" s="210"/>
      <c r="AK541" s="210"/>
      <c r="AL541" s="210"/>
      <c r="AM541" s="214"/>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c r="BU541" s="210"/>
      <c r="BV541" s="210"/>
      <c r="BW541" s="210"/>
      <c r="BX541" s="210"/>
      <c r="BY541" s="210"/>
      <c r="BZ541" s="210"/>
      <c r="CA541" s="210"/>
      <c r="CB541" s="210"/>
      <c r="CC541" s="210"/>
      <c r="CD541" s="210"/>
      <c r="CE541" s="210"/>
      <c r="CF541" s="210"/>
      <c r="CG541" s="210"/>
      <c r="CH541" s="210"/>
      <c r="CI541" s="210"/>
      <c r="CJ541" s="210"/>
      <c r="CK541" s="210"/>
    </row>
    <row r="542">
      <c r="A542" s="222" t="s">
        <v>468</v>
      </c>
      <c r="B542" s="190" t="s">
        <v>469</v>
      </c>
      <c r="C542" s="223" t="s">
        <v>97</v>
      </c>
      <c r="D542" s="223" t="s">
        <v>890</v>
      </c>
      <c r="E542" s="190" t="s">
        <v>21</v>
      </c>
      <c r="F542" s="13" t="s">
        <v>25</v>
      </c>
      <c r="G542" s="190"/>
      <c r="H542" s="219">
        <f>IFERROR(
  MINIFS(ATTENDANCE_LOG!$F:$F,
         ATTENDANCE_LOG!$A:$A, C542,
         ATTENDANCE_LOG!$B:$B, E542),
"")</f>
        <v>46126.625</v>
      </c>
      <c r="I542" s="219">
        <f t="shared" si="2"/>
        <v>45916.45833</v>
      </c>
      <c r="J542" s="190">
        <f>IFERROR(VLOOKUP(F542, LEVEL_HELPER!$A:$B, 2, 0), "")</f>
        <v>0.5</v>
      </c>
      <c r="K542" s="233" t="str">
        <f>IFERROR(VLOOKUP(G542, LEVEL_HELPER!$A:$B, 2, 0), "")</f>
        <v/>
      </c>
      <c r="L542" s="220" t="s">
        <v>931</v>
      </c>
      <c r="M542" s="220" t="s">
        <v>920</v>
      </c>
      <c r="N542" s="190">
        <f t="array" ref="N542">IFERROR(
  INDEX($J$2:$J$543,
    MATCH(A542&amp;TEXT(I542,"yyyy-mm-dd"),
          $A$2:$A$543&amp;TEXT($H$2:$H$543,"yyyy-mm-dd"),
          0)),
"")</f>
        <v>0.5</v>
      </c>
      <c r="O542" s="210">
        <f t="shared" si="3"/>
        <v>0.5</v>
      </c>
      <c r="P542" s="210">
        <f t="shared" ref="P542:Q542" si="552">IF(N542="",0,IF(N542&lt;=2,1,IF(N542&lt;=4,2,IF(N542&lt;=5.5,3,4))))</f>
        <v>1</v>
      </c>
      <c r="Q542" s="210">
        <f t="shared" si="552"/>
        <v>1</v>
      </c>
      <c r="R542" s="210" t="str">
        <f t="shared" si="5"/>
        <v>No Progress</v>
      </c>
      <c r="S542" s="210">
        <f t="shared" si="6"/>
        <v>0</v>
      </c>
      <c r="T542" s="210"/>
      <c r="U542" s="210"/>
      <c r="V542" s="210"/>
      <c r="W542" s="210"/>
      <c r="X542" s="210"/>
      <c r="Y542" s="210"/>
      <c r="Z542" s="210"/>
      <c r="AA542" s="210"/>
      <c r="AB542" s="210"/>
      <c r="AC542" s="210"/>
      <c r="AD542" s="210"/>
      <c r="AE542" s="210"/>
      <c r="AF542" s="210"/>
      <c r="AG542" s="210"/>
      <c r="AH542" s="210"/>
      <c r="AI542" s="210"/>
      <c r="AJ542" s="210"/>
      <c r="AK542" s="210"/>
      <c r="AL542" s="210"/>
      <c r="AM542" s="214"/>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c r="BU542" s="210"/>
      <c r="BV542" s="210"/>
      <c r="BW542" s="210"/>
      <c r="BX542" s="210"/>
      <c r="BY542" s="210"/>
      <c r="BZ542" s="210"/>
      <c r="CA542" s="210"/>
      <c r="CB542" s="210"/>
      <c r="CC542" s="210"/>
      <c r="CD542" s="210"/>
      <c r="CE542" s="210"/>
      <c r="CF542" s="210"/>
      <c r="CG542" s="210"/>
      <c r="CH542" s="210"/>
      <c r="CI542" s="210"/>
      <c r="CJ542" s="210"/>
      <c r="CK542" s="210"/>
    </row>
    <row r="543">
      <c r="A543" s="222" t="s">
        <v>516</v>
      </c>
      <c r="B543" s="190" t="s">
        <v>517</v>
      </c>
      <c r="C543" s="223" t="s">
        <v>97</v>
      </c>
      <c r="D543" s="223" t="s">
        <v>890</v>
      </c>
      <c r="E543" s="190" t="s">
        <v>21</v>
      </c>
      <c r="F543" s="13" t="s">
        <v>25</v>
      </c>
      <c r="G543" s="190"/>
      <c r="H543" s="219">
        <f>IFERROR(
  MINIFS(ATTENDANCE_LOG!$F:$F,
         ATTENDANCE_LOG!$A:$A, C543,
         ATTENDANCE_LOG!$B:$B, E543),
"")</f>
        <v>46126.625</v>
      </c>
      <c r="I543" s="219">
        <f t="shared" si="2"/>
        <v>45916.45833</v>
      </c>
      <c r="J543" s="190">
        <f>IFERROR(VLOOKUP(F543, LEVEL_HELPER!$A:$B, 2, 0), "")</f>
        <v>0.5</v>
      </c>
      <c r="K543" s="233" t="str">
        <f>IFERROR(VLOOKUP(G543, LEVEL_HELPER!$A:$B, 2, 0), "")</f>
        <v/>
      </c>
      <c r="L543" s="220" t="s">
        <v>931</v>
      </c>
      <c r="M543" s="220" t="s">
        <v>920</v>
      </c>
      <c r="N543" s="190">
        <f t="array" ref="N543">IFERROR(
  INDEX($J$2:$J$543,
    MATCH(A543&amp;TEXT(I543,"yyyy-mm-dd"),
          $A$2:$A$543&amp;TEXT($H$2:$H$543,"yyyy-mm-dd"),
          0)),
"")</f>
        <v>0.5</v>
      </c>
      <c r="O543" s="210">
        <f t="shared" si="3"/>
        <v>0.5</v>
      </c>
      <c r="P543" s="210">
        <f t="shared" ref="P543:Q543" si="553">IF(N543="",0,IF(N543&lt;=2,1,IF(N543&lt;=4,2,IF(N543&lt;=5.5,3,4))))</f>
        <v>1</v>
      </c>
      <c r="Q543" s="210">
        <f t="shared" si="553"/>
        <v>1</v>
      </c>
      <c r="R543" s="210" t="str">
        <f t="shared" si="5"/>
        <v>No Progress</v>
      </c>
      <c r="S543" s="210">
        <f t="shared" si="6"/>
        <v>0</v>
      </c>
      <c r="T543" s="210"/>
      <c r="U543" s="210"/>
      <c r="V543" s="210"/>
      <c r="W543" s="210"/>
      <c r="X543" s="210"/>
      <c r="Y543" s="210"/>
      <c r="Z543" s="210"/>
      <c r="AA543" s="210"/>
      <c r="AB543" s="210"/>
      <c r="AC543" s="210"/>
      <c r="AD543" s="210"/>
      <c r="AE543" s="210"/>
      <c r="AF543" s="210"/>
      <c r="AG543" s="210"/>
      <c r="AH543" s="210"/>
      <c r="AI543" s="210"/>
      <c r="AJ543" s="210"/>
      <c r="AK543" s="210"/>
      <c r="AL543" s="210"/>
      <c r="AM543" s="214"/>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c r="BU543" s="210"/>
      <c r="BV543" s="210"/>
      <c r="BW543" s="210"/>
      <c r="BX543" s="210"/>
      <c r="BY543" s="210"/>
      <c r="BZ543" s="210"/>
      <c r="CA543" s="210"/>
      <c r="CB543" s="210"/>
      <c r="CC543" s="210"/>
      <c r="CD543" s="210"/>
      <c r="CE543" s="210"/>
      <c r="CF543" s="210"/>
      <c r="CG543" s="210"/>
      <c r="CH543" s="210"/>
      <c r="CI543" s="210"/>
      <c r="CJ543" s="210"/>
      <c r="CK543" s="210"/>
    </row>
    <row r="544">
      <c r="A544" s="222"/>
      <c r="F544" s="190"/>
      <c r="G544" s="190"/>
      <c r="L544" s="220"/>
      <c r="M544" s="22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4"/>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c r="BU544" s="210"/>
      <c r="BV544" s="210"/>
      <c r="BW544" s="210"/>
      <c r="BX544" s="210"/>
      <c r="BY544" s="210"/>
      <c r="BZ544" s="210"/>
      <c r="CA544" s="210"/>
      <c r="CB544" s="210"/>
      <c r="CC544" s="210"/>
      <c r="CD544" s="210"/>
      <c r="CE544" s="210"/>
      <c r="CF544" s="210"/>
      <c r="CG544" s="210"/>
      <c r="CH544" s="210"/>
      <c r="CI544" s="210"/>
      <c r="CJ544" s="210"/>
      <c r="CK544" s="210"/>
    </row>
    <row r="545">
      <c r="A545" s="222"/>
      <c r="F545" s="190"/>
      <c r="G545" s="190"/>
      <c r="L545" s="220"/>
      <c r="M545" s="22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4"/>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c r="BU545" s="210"/>
      <c r="BV545" s="210"/>
      <c r="BW545" s="210"/>
      <c r="BX545" s="210"/>
      <c r="BY545" s="210"/>
      <c r="BZ545" s="210"/>
      <c r="CA545" s="210"/>
      <c r="CB545" s="210"/>
      <c r="CC545" s="210"/>
      <c r="CD545" s="210"/>
      <c r="CE545" s="210"/>
      <c r="CF545" s="210"/>
      <c r="CG545" s="210"/>
      <c r="CH545" s="210"/>
      <c r="CI545" s="210"/>
      <c r="CJ545" s="210"/>
      <c r="CK545" s="210"/>
    </row>
    <row r="546">
      <c r="A546" s="222"/>
      <c r="F546" s="190"/>
      <c r="G546" s="190"/>
      <c r="L546" s="220"/>
      <c r="M546" s="22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4"/>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c r="BU546" s="210"/>
      <c r="BV546" s="210"/>
      <c r="BW546" s="210"/>
      <c r="BX546" s="210"/>
      <c r="BY546" s="210"/>
      <c r="BZ546" s="210"/>
      <c r="CA546" s="210"/>
      <c r="CB546" s="210"/>
      <c r="CC546" s="210"/>
      <c r="CD546" s="210"/>
      <c r="CE546" s="210"/>
      <c r="CF546" s="210"/>
      <c r="CG546" s="210"/>
      <c r="CH546" s="210"/>
      <c r="CI546" s="210"/>
      <c r="CJ546" s="210"/>
      <c r="CK546" s="210"/>
    </row>
    <row r="547">
      <c r="A547" s="222"/>
      <c r="F547" s="190"/>
      <c r="G547" s="190"/>
      <c r="L547" s="220"/>
      <c r="M547" s="22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4"/>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c r="BU547" s="210"/>
      <c r="BV547" s="210"/>
      <c r="BW547" s="210"/>
      <c r="BX547" s="210"/>
      <c r="BY547" s="210"/>
      <c r="BZ547" s="210"/>
      <c r="CA547" s="210"/>
      <c r="CB547" s="210"/>
      <c r="CC547" s="210"/>
      <c r="CD547" s="210"/>
      <c r="CE547" s="210"/>
      <c r="CF547" s="210"/>
      <c r="CG547" s="210"/>
      <c r="CH547" s="210"/>
      <c r="CI547" s="210"/>
      <c r="CJ547" s="210"/>
      <c r="CK547" s="210"/>
    </row>
    <row r="548">
      <c r="A548" s="222"/>
      <c r="F548" s="190"/>
      <c r="G548" s="190"/>
      <c r="L548" s="220"/>
      <c r="M548" s="22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4"/>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c r="BU548" s="210"/>
      <c r="BV548" s="210"/>
      <c r="BW548" s="210"/>
      <c r="BX548" s="210"/>
      <c r="BY548" s="210"/>
      <c r="BZ548" s="210"/>
      <c r="CA548" s="210"/>
      <c r="CB548" s="210"/>
      <c r="CC548" s="210"/>
      <c r="CD548" s="210"/>
      <c r="CE548" s="210"/>
      <c r="CF548" s="210"/>
      <c r="CG548" s="210"/>
      <c r="CH548" s="210"/>
      <c r="CI548" s="210"/>
      <c r="CJ548" s="210"/>
      <c r="CK548" s="210"/>
    </row>
    <row r="549">
      <c r="A549" s="222"/>
      <c r="F549" s="190"/>
      <c r="G549" s="190"/>
      <c r="L549" s="220"/>
      <c r="M549" s="22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4"/>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c r="BU549" s="210"/>
      <c r="BV549" s="210"/>
      <c r="BW549" s="210"/>
      <c r="BX549" s="210"/>
      <c r="BY549" s="210"/>
      <c r="BZ549" s="210"/>
      <c r="CA549" s="210"/>
      <c r="CB549" s="210"/>
      <c r="CC549" s="210"/>
      <c r="CD549" s="210"/>
      <c r="CE549" s="210"/>
      <c r="CF549" s="210"/>
      <c r="CG549" s="210"/>
      <c r="CH549" s="210"/>
      <c r="CI549" s="210"/>
      <c r="CJ549" s="210"/>
      <c r="CK549" s="210"/>
    </row>
    <row r="550">
      <c r="A550" s="222"/>
      <c r="F550" s="190"/>
      <c r="G550" s="190"/>
      <c r="L550" s="220"/>
      <c r="M550" s="22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4"/>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c r="BU550" s="210"/>
      <c r="BV550" s="210"/>
      <c r="BW550" s="210"/>
      <c r="BX550" s="210"/>
      <c r="BY550" s="210"/>
      <c r="BZ550" s="210"/>
      <c r="CA550" s="210"/>
      <c r="CB550" s="210"/>
      <c r="CC550" s="210"/>
      <c r="CD550" s="210"/>
      <c r="CE550" s="210"/>
      <c r="CF550" s="210"/>
      <c r="CG550" s="210"/>
      <c r="CH550" s="210"/>
      <c r="CI550" s="210"/>
      <c r="CJ550" s="210"/>
      <c r="CK550" s="210"/>
    </row>
    <row r="551">
      <c r="A551" s="220"/>
      <c r="F551" s="190"/>
      <c r="G551" s="190"/>
      <c r="L551" s="220"/>
      <c r="M551" s="22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4"/>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c r="BU551" s="210"/>
      <c r="BV551" s="210"/>
      <c r="BW551" s="210"/>
      <c r="BX551" s="210"/>
      <c r="BY551" s="210"/>
      <c r="BZ551" s="210"/>
      <c r="CA551" s="210"/>
      <c r="CB551" s="210"/>
      <c r="CC551" s="210"/>
      <c r="CD551" s="210"/>
      <c r="CE551" s="210"/>
      <c r="CF551" s="210"/>
      <c r="CG551" s="210"/>
      <c r="CH551" s="210"/>
      <c r="CI551" s="210"/>
      <c r="CJ551" s="210"/>
      <c r="CK551" s="210"/>
    </row>
    <row r="552">
      <c r="A552" s="220"/>
      <c r="F552" s="190"/>
      <c r="G552" s="190"/>
      <c r="L552" s="220"/>
      <c r="M552" s="22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4"/>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c r="BU552" s="210"/>
      <c r="BV552" s="210"/>
      <c r="BW552" s="210"/>
      <c r="BX552" s="210"/>
      <c r="BY552" s="210"/>
      <c r="BZ552" s="210"/>
      <c r="CA552" s="210"/>
      <c r="CB552" s="210"/>
      <c r="CC552" s="210"/>
      <c r="CD552" s="210"/>
      <c r="CE552" s="210"/>
      <c r="CF552" s="210"/>
      <c r="CG552" s="210"/>
      <c r="CH552" s="210"/>
      <c r="CI552" s="210"/>
      <c r="CJ552" s="210"/>
      <c r="CK552" s="210"/>
    </row>
    <row r="553">
      <c r="A553" s="220"/>
      <c r="F553" s="190"/>
      <c r="G553" s="190"/>
      <c r="L553" s="220"/>
      <c r="M553" s="22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4"/>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c r="BU553" s="210"/>
      <c r="BV553" s="210"/>
      <c r="BW553" s="210"/>
      <c r="BX553" s="210"/>
      <c r="BY553" s="210"/>
      <c r="BZ553" s="210"/>
      <c r="CA553" s="210"/>
      <c r="CB553" s="210"/>
      <c r="CC553" s="210"/>
      <c r="CD553" s="210"/>
      <c r="CE553" s="210"/>
      <c r="CF553" s="210"/>
      <c r="CG553" s="210"/>
      <c r="CH553" s="210"/>
      <c r="CI553" s="210"/>
      <c r="CJ553" s="210"/>
      <c r="CK553" s="210"/>
    </row>
    <row r="554">
      <c r="A554" s="220"/>
      <c r="F554" s="190"/>
      <c r="G554" s="190"/>
      <c r="L554" s="220"/>
      <c r="M554" s="22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4"/>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c r="BU554" s="210"/>
      <c r="BV554" s="210"/>
      <c r="BW554" s="210"/>
      <c r="BX554" s="210"/>
      <c r="BY554" s="210"/>
      <c r="BZ554" s="210"/>
      <c r="CA554" s="210"/>
      <c r="CB554" s="210"/>
      <c r="CC554" s="210"/>
      <c r="CD554" s="210"/>
      <c r="CE554" s="210"/>
      <c r="CF554" s="210"/>
      <c r="CG554" s="210"/>
      <c r="CH554" s="210"/>
      <c r="CI554" s="210"/>
      <c r="CJ554" s="210"/>
      <c r="CK554" s="210"/>
    </row>
    <row r="555">
      <c r="A555" s="220"/>
      <c r="F555" s="190"/>
      <c r="G555" s="190"/>
      <c r="L555" s="220"/>
      <c r="M555" s="22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4"/>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c r="BU555" s="210"/>
      <c r="BV555" s="210"/>
      <c r="BW555" s="210"/>
      <c r="BX555" s="210"/>
      <c r="BY555" s="210"/>
      <c r="BZ555" s="210"/>
      <c r="CA555" s="210"/>
      <c r="CB555" s="210"/>
      <c r="CC555" s="210"/>
      <c r="CD555" s="210"/>
      <c r="CE555" s="210"/>
      <c r="CF555" s="210"/>
      <c r="CG555" s="210"/>
      <c r="CH555" s="210"/>
      <c r="CI555" s="210"/>
      <c r="CJ555" s="210"/>
      <c r="CK555" s="210"/>
    </row>
    <row r="556">
      <c r="A556" s="220"/>
      <c r="F556" s="190"/>
      <c r="G556" s="190"/>
      <c r="L556" s="220"/>
      <c r="M556" s="22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4"/>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c r="BU556" s="210"/>
      <c r="BV556" s="210"/>
      <c r="BW556" s="210"/>
      <c r="BX556" s="210"/>
      <c r="BY556" s="210"/>
      <c r="BZ556" s="210"/>
      <c r="CA556" s="210"/>
      <c r="CB556" s="210"/>
      <c r="CC556" s="210"/>
      <c r="CD556" s="210"/>
      <c r="CE556" s="210"/>
      <c r="CF556" s="210"/>
      <c r="CG556" s="210"/>
      <c r="CH556" s="210"/>
      <c r="CI556" s="210"/>
      <c r="CJ556" s="210"/>
      <c r="CK556" s="210"/>
    </row>
    <row r="557">
      <c r="A557" s="220"/>
      <c r="F557" s="190"/>
      <c r="G557" s="190"/>
      <c r="L557" s="220"/>
      <c r="M557" s="22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4"/>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c r="BU557" s="210"/>
      <c r="BV557" s="210"/>
      <c r="BW557" s="210"/>
      <c r="BX557" s="210"/>
      <c r="BY557" s="210"/>
      <c r="BZ557" s="210"/>
      <c r="CA557" s="210"/>
      <c r="CB557" s="210"/>
      <c r="CC557" s="210"/>
      <c r="CD557" s="210"/>
      <c r="CE557" s="210"/>
      <c r="CF557" s="210"/>
      <c r="CG557" s="210"/>
      <c r="CH557" s="210"/>
      <c r="CI557" s="210"/>
      <c r="CJ557" s="210"/>
      <c r="CK557" s="210"/>
    </row>
    <row r="558">
      <c r="A558" s="220"/>
      <c r="F558" s="190"/>
      <c r="G558" s="190"/>
      <c r="L558" s="220"/>
      <c r="M558" s="22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4"/>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c r="BU558" s="210"/>
      <c r="BV558" s="210"/>
      <c r="BW558" s="210"/>
      <c r="BX558" s="210"/>
      <c r="BY558" s="210"/>
      <c r="BZ558" s="210"/>
      <c r="CA558" s="210"/>
      <c r="CB558" s="210"/>
      <c r="CC558" s="210"/>
      <c r="CD558" s="210"/>
      <c r="CE558" s="210"/>
      <c r="CF558" s="210"/>
      <c r="CG558" s="210"/>
      <c r="CH558" s="210"/>
      <c r="CI558" s="210"/>
      <c r="CJ558" s="210"/>
      <c r="CK558" s="210"/>
    </row>
    <row r="559">
      <c r="A559" s="220"/>
      <c r="F559" s="190"/>
      <c r="G559" s="190"/>
      <c r="L559" s="220"/>
      <c r="M559" s="22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4"/>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c r="BU559" s="210"/>
      <c r="BV559" s="210"/>
      <c r="BW559" s="210"/>
      <c r="BX559" s="210"/>
      <c r="BY559" s="210"/>
      <c r="BZ559" s="210"/>
      <c r="CA559" s="210"/>
      <c r="CB559" s="210"/>
      <c r="CC559" s="210"/>
      <c r="CD559" s="210"/>
      <c r="CE559" s="210"/>
      <c r="CF559" s="210"/>
      <c r="CG559" s="210"/>
      <c r="CH559" s="210"/>
      <c r="CI559" s="210"/>
      <c r="CJ559" s="210"/>
      <c r="CK559" s="210"/>
    </row>
    <row r="560">
      <c r="A560" s="220"/>
      <c r="F560" s="190"/>
      <c r="G560" s="190"/>
      <c r="L560" s="220"/>
      <c r="M560" s="22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4"/>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c r="BU560" s="210"/>
      <c r="BV560" s="210"/>
      <c r="BW560" s="210"/>
      <c r="BX560" s="210"/>
      <c r="BY560" s="210"/>
      <c r="BZ560" s="210"/>
      <c r="CA560" s="210"/>
      <c r="CB560" s="210"/>
      <c r="CC560" s="210"/>
      <c r="CD560" s="210"/>
      <c r="CE560" s="210"/>
      <c r="CF560" s="210"/>
      <c r="CG560" s="210"/>
      <c r="CH560" s="210"/>
      <c r="CI560" s="210"/>
      <c r="CJ560" s="210"/>
      <c r="CK560" s="210"/>
    </row>
    <row r="561">
      <c r="A561" s="220"/>
      <c r="F561" s="190"/>
      <c r="G561" s="190"/>
      <c r="L561" s="220"/>
      <c r="M561" s="22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4"/>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c r="BU561" s="210"/>
      <c r="BV561" s="210"/>
      <c r="BW561" s="210"/>
      <c r="BX561" s="210"/>
      <c r="BY561" s="210"/>
      <c r="BZ561" s="210"/>
      <c r="CA561" s="210"/>
      <c r="CB561" s="210"/>
      <c r="CC561" s="210"/>
      <c r="CD561" s="210"/>
      <c r="CE561" s="210"/>
      <c r="CF561" s="210"/>
      <c r="CG561" s="210"/>
      <c r="CH561" s="210"/>
      <c r="CI561" s="210"/>
      <c r="CJ561" s="210"/>
      <c r="CK561" s="210"/>
    </row>
    <row r="562">
      <c r="A562" s="220"/>
      <c r="F562" s="190"/>
      <c r="G562" s="190"/>
      <c r="L562" s="220"/>
      <c r="M562" s="22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4"/>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c r="BU562" s="210"/>
      <c r="BV562" s="210"/>
      <c r="BW562" s="210"/>
      <c r="BX562" s="210"/>
      <c r="BY562" s="210"/>
      <c r="BZ562" s="210"/>
      <c r="CA562" s="210"/>
      <c r="CB562" s="210"/>
      <c r="CC562" s="210"/>
      <c r="CD562" s="210"/>
      <c r="CE562" s="210"/>
      <c r="CF562" s="210"/>
      <c r="CG562" s="210"/>
      <c r="CH562" s="210"/>
      <c r="CI562" s="210"/>
      <c r="CJ562" s="210"/>
      <c r="CK562" s="210"/>
    </row>
    <row r="563">
      <c r="A563" s="220"/>
      <c r="F563" s="190"/>
      <c r="G563" s="190"/>
      <c r="L563" s="220"/>
      <c r="M563" s="22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4"/>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c r="BU563" s="210"/>
      <c r="BV563" s="210"/>
      <c r="BW563" s="210"/>
      <c r="BX563" s="210"/>
      <c r="BY563" s="210"/>
      <c r="BZ563" s="210"/>
      <c r="CA563" s="210"/>
      <c r="CB563" s="210"/>
      <c r="CC563" s="210"/>
      <c r="CD563" s="210"/>
      <c r="CE563" s="210"/>
      <c r="CF563" s="210"/>
      <c r="CG563" s="210"/>
      <c r="CH563" s="210"/>
      <c r="CI563" s="210"/>
      <c r="CJ563" s="210"/>
      <c r="CK563" s="210"/>
    </row>
    <row r="564">
      <c r="A564" s="220"/>
      <c r="F564" s="190"/>
      <c r="G564" s="190"/>
      <c r="L564" s="220"/>
      <c r="M564" s="22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4"/>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c r="BU564" s="210"/>
      <c r="BV564" s="210"/>
      <c r="BW564" s="210"/>
      <c r="BX564" s="210"/>
      <c r="BY564" s="210"/>
      <c r="BZ564" s="210"/>
      <c r="CA564" s="210"/>
      <c r="CB564" s="210"/>
      <c r="CC564" s="210"/>
      <c r="CD564" s="210"/>
      <c r="CE564" s="210"/>
      <c r="CF564" s="210"/>
      <c r="CG564" s="210"/>
      <c r="CH564" s="210"/>
      <c r="CI564" s="210"/>
      <c r="CJ564" s="210"/>
      <c r="CK564" s="210"/>
    </row>
    <row r="565">
      <c r="A565" s="220"/>
      <c r="F565" s="190"/>
      <c r="G565" s="190"/>
      <c r="L565" s="220"/>
      <c r="M565" s="22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4"/>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c r="BU565" s="210"/>
      <c r="BV565" s="210"/>
      <c r="BW565" s="210"/>
      <c r="BX565" s="210"/>
      <c r="BY565" s="210"/>
      <c r="BZ565" s="210"/>
      <c r="CA565" s="210"/>
      <c r="CB565" s="210"/>
      <c r="CC565" s="210"/>
      <c r="CD565" s="210"/>
      <c r="CE565" s="210"/>
      <c r="CF565" s="210"/>
      <c r="CG565" s="210"/>
      <c r="CH565" s="210"/>
      <c r="CI565" s="210"/>
      <c r="CJ565" s="210"/>
      <c r="CK565" s="210"/>
    </row>
    <row r="566">
      <c r="A566" s="220"/>
      <c r="F566" s="190"/>
      <c r="G566" s="190"/>
      <c r="L566" s="220"/>
      <c r="M566" s="22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4"/>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c r="BU566" s="210"/>
      <c r="BV566" s="210"/>
      <c r="BW566" s="210"/>
      <c r="BX566" s="210"/>
      <c r="BY566" s="210"/>
      <c r="BZ566" s="210"/>
      <c r="CA566" s="210"/>
      <c r="CB566" s="210"/>
      <c r="CC566" s="210"/>
      <c r="CD566" s="210"/>
      <c r="CE566" s="210"/>
      <c r="CF566" s="210"/>
      <c r="CG566" s="210"/>
      <c r="CH566" s="210"/>
      <c r="CI566" s="210"/>
      <c r="CJ566" s="210"/>
      <c r="CK566" s="210"/>
    </row>
    <row r="567">
      <c r="A567" s="220"/>
      <c r="F567" s="190"/>
      <c r="G567" s="190"/>
      <c r="L567" s="220"/>
      <c r="M567" s="22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4"/>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c r="BU567" s="210"/>
      <c r="BV567" s="210"/>
      <c r="BW567" s="210"/>
      <c r="BX567" s="210"/>
      <c r="BY567" s="210"/>
      <c r="BZ567" s="210"/>
      <c r="CA567" s="210"/>
      <c r="CB567" s="210"/>
      <c r="CC567" s="210"/>
      <c r="CD567" s="210"/>
      <c r="CE567" s="210"/>
      <c r="CF567" s="210"/>
      <c r="CG567" s="210"/>
      <c r="CH567" s="210"/>
      <c r="CI567" s="210"/>
      <c r="CJ567" s="210"/>
      <c r="CK567" s="210"/>
    </row>
    <row r="568">
      <c r="A568" s="220"/>
      <c r="F568" s="190"/>
      <c r="G568" s="190"/>
      <c r="L568" s="220"/>
      <c r="M568" s="22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4"/>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c r="BU568" s="210"/>
      <c r="BV568" s="210"/>
      <c r="BW568" s="210"/>
      <c r="BX568" s="210"/>
      <c r="BY568" s="210"/>
      <c r="BZ568" s="210"/>
      <c r="CA568" s="210"/>
      <c r="CB568" s="210"/>
      <c r="CC568" s="210"/>
      <c r="CD568" s="210"/>
      <c r="CE568" s="210"/>
      <c r="CF568" s="210"/>
      <c r="CG568" s="210"/>
      <c r="CH568" s="210"/>
      <c r="CI568" s="210"/>
      <c r="CJ568" s="210"/>
      <c r="CK568" s="210"/>
    </row>
    <row r="569">
      <c r="A569" s="220"/>
      <c r="F569" s="190"/>
      <c r="G569" s="190"/>
      <c r="L569" s="220"/>
      <c r="M569" s="22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4"/>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c r="BU569" s="210"/>
      <c r="BV569" s="210"/>
      <c r="BW569" s="210"/>
      <c r="BX569" s="210"/>
      <c r="BY569" s="210"/>
      <c r="BZ569" s="210"/>
      <c r="CA569" s="210"/>
      <c r="CB569" s="210"/>
      <c r="CC569" s="210"/>
      <c r="CD569" s="210"/>
      <c r="CE569" s="210"/>
      <c r="CF569" s="210"/>
      <c r="CG569" s="210"/>
      <c r="CH569" s="210"/>
      <c r="CI569" s="210"/>
      <c r="CJ569" s="210"/>
      <c r="CK569" s="210"/>
    </row>
    <row r="570">
      <c r="A570" s="220"/>
      <c r="F570" s="190"/>
      <c r="G570" s="190"/>
      <c r="L570" s="220"/>
      <c r="M570" s="22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4"/>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c r="BU570" s="210"/>
      <c r="BV570" s="210"/>
      <c r="BW570" s="210"/>
      <c r="BX570" s="210"/>
      <c r="BY570" s="210"/>
      <c r="BZ570" s="210"/>
      <c r="CA570" s="210"/>
      <c r="CB570" s="210"/>
      <c r="CC570" s="210"/>
      <c r="CD570" s="210"/>
      <c r="CE570" s="210"/>
      <c r="CF570" s="210"/>
      <c r="CG570" s="210"/>
      <c r="CH570" s="210"/>
      <c r="CI570" s="210"/>
      <c r="CJ570" s="210"/>
      <c r="CK570" s="210"/>
    </row>
    <row r="571">
      <c r="A571" s="220"/>
      <c r="F571" s="190"/>
      <c r="G571" s="190"/>
      <c r="L571" s="220"/>
      <c r="M571" s="22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4"/>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c r="BU571" s="210"/>
      <c r="BV571" s="210"/>
      <c r="BW571" s="210"/>
      <c r="BX571" s="210"/>
      <c r="BY571" s="210"/>
      <c r="BZ571" s="210"/>
      <c r="CA571" s="210"/>
      <c r="CB571" s="210"/>
      <c r="CC571" s="210"/>
      <c r="CD571" s="210"/>
      <c r="CE571" s="210"/>
      <c r="CF571" s="210"/>
      <c r="CG571" s="210"/>
      <c r="CH571" s="210"/>
      <c r="CI571" s="210"/>
      <c r="CJ571" s="210"/>
      <c r="CK571" s="210"/>
    </row>
    <row r="572">
      <c r="A572" s="220"/>
      <c r="F572" s="190"/>
      <c r="G572" s="190"/>
      <c r="L572" s="220"/>
      <c r="M572" s="22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4"/>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c r="BU572" s="210"/>
      <c r="BV572" s="210"/>
      <c r="BW572" s="210"/>
      <c r="BX572" s="210"/>
      <c r="BY572" s="210"/>
      <c r="BZ572" s="210"/>
      <c r="CA572" s="210"/>
      <c r="CB572" s="210"/>
      <c r="CC572" s="210"/>
      <c r="CD572" s="210"/>
      <c r="CE572" s="210"/>
      <c r="CF572" s="210"/>
      <c r="CG572" s="210"/>
      <c r="CH572" s="210"/>
      <c r="CI572" s="210"/>
      <c r="CJ572" s="210"/>
      <c r="CK572" s="210"/>
    </row>
    <row r="573">
      <c r="A573" s="220"/>
      <c r="F573" s="190"/>
      <c r="G573" s="190"/>
      <c r="L573" s="220"/>
      <c r="M573" s="22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4"/>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c r="BU573" s="210"/>
      <c r="BV573" s="210"/>
      <c r="BW573" s="210"/>
      <c r="BX573" s="210"/>
      <c r="BY573" s="210"/>
      <c r="BZ573" s="210"/>
      <c r="CA573" s="210"/>
      <c r="CB573" s="210"/>
      <c r="CC573" s="210"/>
      <c r="CD573" s="210"/>
      <c r="CE573" s="210"/>
      <c r="CF573" s="210"/>
      <c r="CG573" s="210"/>
      <c r="CH573" s="210"/>
      <c r="CI573" s="210"/>
      <c r="CJ573" s="210"/>
      <c r="CK573" s="210"/>
    </row>
    <row r="574">
      <c r="A574" s="220"/>
      <c r="F574" s="190"/>
      <c r="G574" s="190"/>
      <c r="L574" s="220"/>
      <c r="M574" s="22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4"/>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c r="BU574" s="210"/>
      <c r="BV574" s="210"/>
      <c r="BW574" s="210"/>
      <c r="BX574" s="210"/>
      <c r="BY574" s="210"/>
      <c r="BZ574" s="210"/>
      <c r="CA574" s="210"/>
      <c r="CB574" s="210"/>
      <c r="CC574" s="210"/>
      <c r="CD574" s="210"/>
      <c r="CE574" s="210"/>
      <c r="CF574" s="210"/>
      <c r="CG574" s="210"/>
      <c r="CH574" s="210"/>
      <c r="CI574" s="210"/>
      <c r="CJ574" s="210"/>
      <c r="CK574" s="210"/>
    </row>
    <row r="575">
      <c r="A575" s="220"/>
      <c r="F575" s="190"/>
      <c r="G575" s="190"/>
      <c r="L575" s="220"/>
      <c r="M575" s="22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4"/>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c r="BU575" s="210"/>
      <c r="BV575" s="210"/>
      <c r="BW575" s="210"/>
      <c r="BX575" s="210"/>
      <c r="BY575" s="210"/>
      <c r="BZ575" s="210"/>
      <c r="CA575" s="210"/>
      <c r="CB575" s="210"/>
      <c r="CC575" s="210"/>
      <c r="CD575" s="210"/>
      <c r="CE575" s="210"/>
      <c r="CF575" s="210"/>
      <c r="CG575" s="210"/>
      <c r="CH575" s="210"/>
      <c r="CI575" s="210"/>
      <c r="CJ575" s="210"/>
      <c r="CK575" s="210"/>
    </row>
    <row r="576">
      <c r="A576" s="220"/>
      <c r="F576" s="190"/>
      <c r="G576" s="190"/>
      <c r="L576" s="220"/>
      <c r="M576" s="22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4"/>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c r="BU576" s="210"/>
      <c r="BV576" s="210"/>
      <c r="BW576" s="210"/>
      <c r="BX576" s="210"/>
      <c r="BY576" s="210"/>
      <c r="BZ576" s="210"/>
      <c r="CA576" s="210"/>
      <c r="CB576" s="210"/>
      <c r="CC576" s="210"/>
      <c r="CD576" s="210"/>
      <c r="CE576" s="210"/>
      <c r="CF576" s="210"/>
      <c r="CG576" s="210"/>
      <c r="CH576" s="210"/>
      <c r="CI576" s="210"/>
      <c r="CJ576" s="210"/>
      <c r="CK576" s="210"/>
    </row>
    <row r="577">
      <c r="A577" s="220"/>
      <c r="F577" s="190"/>
      <c r="G577" s="190"/>
      <c r="L577" s="220"/>
      <c r="M577" s="22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4"/>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c r="BU577" s="210"/>
      <c r="BV577" s="210"/>
      <c r="BW577" s="210"/>
      <c r="BX577" s="210"/>
      <c r="BY577" s="210"/>
      <c r="BZ577" s="210"/>
      <c r="CA577" s="210"/>
      <c r="CB577" s="210"/>
      <c r="CC577" s="210"/>
      <c r="CD577" s="210"/>
      <c r="CE577" s="210"/>
      <c r="CF577" s="210"/>
      <c r="CG577" s="210"/>
      <c r="CH577" s="210"/>
      <c r="CI577" s="210"/>
      <c r="CJ577" s="210"/>
      <c r="CK577" s="210"/>
    </row>
    <row r="578">
      <c r="A578" s="220"/>
      <c r="F578" s="190"/>
      <c r="G578" s="190"/>
      <c r="L578" s="220"/>
      <c r="M578" s="22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4"/>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c r="BU578" s="210"/>
      <c r="BV578" s="210"/>
      <c r="BW578" s="210"/>
      <c r="BX578" s="210"/>
      <c r="BY578" s="210"/>
      <c r="BZ578" s="210"/>
      <c r="CA578" s="210"/>
      <c r="CB578" s="210"/>
      <c r="CC578" s="210"/>
      <c r="CD578" s="210"/>
      <c r="CE578" s="210"/>
      <c r="CF578" s="210"/>
      <c r="CG578" s="210"/>
      <c r="CH578" s="210"/>
      <c r="CI578" s="210"/>
      <c r="CJ578" s="210"/>
      <c r="CK578" s="210"/>
    </row>
    <row r="579">
      <c r="A579" s="220"/>
      <c r="F579" s="190"/>
      <c r="G579" s="190"/>
      <c r="L579" s="220"/>
      <c r="M579" s="22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4"/>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c r="BU579" s="210"/>
      <c r="BV579" s="210"/>
      <c r="BW579" s="210"/>
      <c r="BX579" s="210"/>
      <c r="BY579" s="210"/>
      <c r="BZ579" s="210"/>
      <c r="CA579" s="210"/>
      <c r="CB579" s="210"/>
      <c r="CC579" s="210"/>
      <c r="CD579" s="210"/>
      <c r="CE579" s="210"/>
      <c r="CF579" s="210"/>
      <c r="CG579" s="210"/>
      <c r="CH579" s="210"/>
      <c r="CI579" s="210"/>
      <c r="CJ579" s="210"/>
      <c r="CK579" s="210"/>
    </row>
    <row r="580">
      <c r="A580" s="220"/>
      <c r="F580" s="190"/>
      <c r="G580" s="190"/>
      <c r="L580" s="220"/>
      <c r="M580" s="22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4"/>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c r="BU580" s="210"/>
      <c r="BV580" s="210"/>
      <c r="BW580" s="210"/>
      <c r="BX580" s="210"/>
      <c r="BY580" s="210"/>
      <c r="BZ580" s="210"/>
      <c r="CA580" s="210"/>
      <c r="CB580" s="210"/>
      <c r="CC580" s="210"/>
      <c r="CD580" s="210"/>
      <c r="CE580" s="210"/>
      <c r="CF580" s="210"/>
      <c r="CG580" s="210"/>
      <c r="CH580" s="210"/>
      <c r="CI580" s="210"/>
      <c r="CJ580" s="210"/>
      <c r="CK580" s="210"/>
    </row>
    <row r="581">
      <c r="A581" s="220"/>
      <c r="F581" s="190"/>
      <c r="G581" s="190"/>
      <c r="L581" s="220"/>
      <c r="M581" s="22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4"/>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c r="BU581" s="210"/>
      <c r="BV581" s="210"/>
      <c r="BW581" s="210"/>
      <c r="BX581" s="210"/>
      <c r="BY581" s="210"/>
      <c r="BZ581" s="210"/>
      <c r="CA581" s="210"/>
      <c r="CB581" s="210"/>
      <c r="CC581" s="210"/>
      <c r="CD581" s="210"/>
      <c r="CE581" s="210"/>
      <c r="CF581" s="210"/>
      <c r="CG581" s="210"/>
      <c r="CH581" s="210"/>
      <c r="CI581" s="210"/>
      <c r="CJ581" s="210"/>
      <c r="CK581" s="210"/>
    </row>
    <row r="582">
      <c r="A582" s="220"/>
      <c r="F582" s="190"/>
      <c r="G582" s="190"/>
      <c r="L582" s="220"/>
      <c r="M582" s="22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4"/>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c r="BU582" s="210"/>
      <c r="BV582" s="210"/>
      <c r="BW582" s="210"/>
      <c r="BX582" s="210"/>
      <c r="BY582" s="210"/>
      <c r="BZ582" s="210"/>
      <c r="CA582" s="210"/>
      <c r="CB582" s="210"/>
      <c r="CC582" s="210"/>
      <c r="CD582" s="210"/>
      <c r="CE582" s="210"/>
      <c r="CF582" s="210"/>
      <c r="CG582" s="210"/>
      <c r="CH582" s="210"/>
      <c r="CI582" s="210"/>
      <c r="CJ582" s="210"/>
      <c r="CK582" s="210"/>
    </row>
    <row r="583">
      <c r="A583" s="220"/>
      <c r="F583" s="190"/>
      <c r="G583" s="190"/>
      <c r="L583" s="220"/>
      <c r="M583" s="22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4"/>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c r="BU583" s="210"/>
      <c r="BV583" s="210"/>
      <c r="BW583" s="210"/>
      <c r="BX583" s="210"/>
      <c r="BY583" s="210"/>
      <c r="BZ583" s="210"/>
      <c r="CA583" s="210"/>
      <c r="CB583" s="210"/>
      <c r="CC583" s="210"/>
      <c r="CD583" s="210"/>
      <c r="CE583" s="210"/>
      <c r="CF583" s="210"/>
      <c r="CG583" s="210"/>
      <c r="CH583" s="210"/>
      <c r="CI583" s="210"/>
      <c r="CJ583" s="210"/>
      <c r="CK583" s="210"/>
    </row>
    <row r="584">
      <c r="A584" s="220"/>
      <c r="F584" s="190"/>
      <c r="G584" s="190"/>
      <c r="L584" s="220"/>
      <c r="M584" s="22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4"/>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c r="BU584" s="210"/>
      <c r="BV584" s="210"/>
      <c r="BW584" s="210"/>
      <c r="BX584" s="210"/>
      <c r="BY584" s="210"/>
      <c r="BZ584" s="210"/>
      <c r="CA584" s="210"/>
      <c r="CB584" s="210"/>
      <c r="CC584" s="210"/>
      <c r="CD584" s="210"/>
      <c r="CE584" s="210"/>
      <c r="CF584" s="210"/>
      <c r="CG584" s="210"/>
      <c r="CH584" s="210"/>
      <c r="CI584" s="210"/>
      <c r="CJ584" s="210"/>
      <c r="CK584" s="210"/>
    </row>
    <row r="585">
      <c r="A585" s="220"/>
      <c r="F585" s="190"/>
      <c r="G585" s="190"/>
      <c r="L585" s="220"/>
      <c r="M585" s="22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4"/>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c r="BU585" s="210"/>
      <c r="BV585" s="210"/>
      <c r="BW585" s="210"/>
      <c r="BX585" s="210"/>
      <c r="BY585" s="210"/>
      <c r="BZ585" s="210"/>
      <c r="CA585" s="210"/>
      <c r="CB585" s="210"/>
      <c r="CC585" s="210"/>
      <c r="CD585" s="210"/>
      <c r="CE585" s="210"/>
      <c r="CF585" s="210"/>
      <c r="CG585" s="210"/>
      <c r="CH585" s="210"/>
      <c r="CI585" s="210"/>
      <c r="CJ585" s="210"/>
      <c r="CK585" s="210"/>
    </row>
    <row r="586">
      <c r="A586" s="220"/>
      <c r="F586" s="190"/>
      <c r="G586" s="190"/>
      <c r="L586" s="220"/>
      <c r="M586" s="22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4"/>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c r="BU586" s="210"/>
      <c r="BV586" s="210"/>
      <c r="BW586" s="210"/>
      <c r="BX586" s="210"/>
      <c r="BY586" s="210"/>
      <c r="BZ586" s="210"/>
      <c r="CA586" s="210"/>
      <c r="CB586" s="210"/>
      <c r="CC586" s="210"/>
      <c r="CD586" s="210"/>
      <c r="CE586" s="210"/>
      <c r="CF586" s="210"/>
      <c r="CG586" s="210"/>
      <c r="CH586" s="210"/>
      <c r="CI586" s="210"/>
      <c r="CJ586" s="210"/>
      <c r="CK586" s="210"/>
    </row>
    <row r="587">
      <c r="A587" s="220"/>
      <c r="F587" s="190"/>
      <c r="G587" s="190"/>
      <c r="L587" s="220"/>
      <c r="M587" s="22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4"/>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c r="BU587" s="210"/>
      <c r="BV587" s="210"/>
      <c r="BW587" s="210"/>
      <c r="BX587" s="210"/>
      <c r="BY587" s="210"/>
      <c r="BZ587" s="210"/>
      <c r="CA587" s="210"/>
      <c r="CB587" s="210"/>
      <c r="CC587" s="210"/>
      <c r="CD587" s="210"/>
      <c r="CE587" s="210"/>
      <c r="CF587" s="210"/>
      <c r="CG587" s="210"/>
      <c r="CH587" s="210"/>
      <c r="CI587" s="210"/>
      <c r="CJ587" s="210"/>
      <c r="CK587" s="210"/>
    </row>
    <row r="588">
      <c r="A588" s="220"/>
      <c r="F588" s="190"/>
      <c r="G588" s="190"/>
      <c r="L588" s="220"/>
      <c r="M588" s="22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4"/>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c r="BU588" s="210"/>
      <c r="BV588" s="210"/>
      <c r="BW588" s="210"/>
      <c r="BX588" s="210"/>
      <c r="BY588" s="210"/>
      <c r="BZ588" s="210"/>
      <c r="CA588" s="210"/>
      <c r="CB588" s="210"/>
      <c r="CC588" s="210"/>
      <c r="CD588" s="210"/>
      <c r="CE588" s="210"/>
      <c r="CF588" s="210"/>
      <c r="CG588" s="210"/>
      <c r="CH588" s="210"/>
      <c r="CI588" s="210"/>
      <c r="CJ588" s="210"/>
      <c r="CK588" s="210"/>
    </row>
    <row r="589">
      <c r="A589" s="220"/>
      <c r="F589" s="190"/>
      <c r="G589" s="190"/>
      <c r="L589" s="220"/>
      <c r="M589" s="22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4"/>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c r="BU589" s="210"/>
      <c r="BV589" s="210"/>
      <c r="BW589" s="210"/>
      <c r="BX589" s="210"/>
      <c r="BY589" s="210"/>
      <c r="BZ589" s="210"/>
      <c r="CA589" s="210"/>
      <c r="CB589" s="210"/>
      <c r="CC589" s="210"/>
      <c r="CD589" s="210"/>
      <c r="CE589" s="210"/>
      <c r="CF589" s="210"/>
      <c r="CG589" s="210"/>
      <c r="CH589" s="210"/>
      <c r="CI589" s="210"/>
      <c r="CJ589" s="210"/>
      <c r="CK589" s="210"/>
    </row>
    <row r="590">
      <c r="A590" s="220"/>
      <c r="F590" s="190"/>
      <c r="G590" s="190"/>
      <c r="L590" s="220"/>
      <c r="M590" s="22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4"/>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c r="BU590" s="210"/>
      <c r="BV590" s="210"/>
      <c r="BW590" s="210"/>
      <c r="BX590" s="210"/>
      <c r="BY590" s="210"/>
      <c r="BZ590" s="210"/>
      <c r="CA590" s="210"/>
      <c r="CB590" s="210"/>
      <c r="CC590" s="210"/>
      <c r="CD590" s="210"/>
      <c r="CE590" s="210"/>
      <c r="CF590" s="210"/>
      <c r="CG590" s="210"/>
      <c r="CH590" s="210"/>
      <c r="CI590" s="210"/>
      <c r="CJ590" s="210"/>
      <c r="CK590" s="210"/>
    </row>
    <row r="591">
      <c r="A591" s="220"/>
      <c r="F591" s="190"/>
      <c r="G591" s="190"/>
      <c r="L591" s="220"/>
      <c r="M591" s="22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4"/>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c r="BU591" s="210"/>
      <c r="BV591" s="210"/>
      <c r="BW591" s="210"/>
      <c r="BX591" s="210"/>
      <c r="BY591" s="210"/>
      <c r="BZ591" s="210"/>
      <c r="CA591" s="210"/>
      <c r="CB591" s="210"/>
      <c r="CC591" s="210"/>
      <c r="CD591" s="210"/>
      <c r="CE591" s="210"/>
      <c r="CF591" s="210"/>
      <c r="CG591" s="210"/>
      <c r="CH591" s="210"/>
      <c r="CI591" s="210"/>
      <c r="CJ591" s="210"/>
      <c r="CK591" s="210"/>
    </row>
    <row r="592">
      <c r="A592" s="220"/>
      <c r="F592" s="190"/>
      <c r="G592" s="190"/>
      <c r="L592" s="220"/>
      <c r="M592" s="22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4"/>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c r="BU592" s="210"/>
      <c r="BV592" s="210"/>
      <c r="BW592" s="210"/>
      <c r="BX592" s="210"/>
      <c r="BY592" s="210"/>
      <c r="BZ592" s="210"/>
      <c r="CA592" s="210"/>
      <c r="CB592" s="210"/>
      <c r="CC592" s="210"/>
      <c r="CD592" s="210"/>
      <c r="CE592" s="210"/>
      <c r="CF592" s="210"/>
      <c r="CG592" s="210"/>
      <c r="CH592" s="210"/>
      <c r="CI592" s="210"/>
      <c r="CJ592" s="210"/>
      <c r="CK592" s="210"/>
    </row>
    <row r="593">
      <c r="A593" s="220"/>
      <c r="F593" s="190"/>
      <c r="G593" s="190"/>
      <c r="L593" s="220"/>
      <c r="M593" s="22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4"/>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c r="BU593" s="210"/>
      <c r="BV593" s="210"/>
      <c r="BW593" s="210"/>
      <c r="BX593" s="210"/>
      <c r="BY593" s="210"/>
      <c r="BZ593" s="210"/>
      <c r="CA593" s="210"/>
      <c r="CB593" s="210"/>
      <c r="CC593" s="210"/>
      <c r="CD593" s="210"/>
      <c r="CE593" s="210"/>
      <c r="CF593" s="210"/>
      <c r="CG593" s="210"/>
      <c r="CH593" s="210"/>
      <c r="CI593" s="210"/>
      <c r="CJ593" s="210"/>
      <c r="CK593" s="210"/>
    </row>
    <row r="594">
      <c r="A594" s="220"/>
      <c r="F594" s="190"/>
      <c r="G594" s="190"/>
      <c r="L594" s="220"/>
      <c r="M594" s="22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4"/>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c r="BU594" s="210"/>
      <c r="BV594" s="210"/>
      <c r="BW594" s="210"/>
      <c r="BX594" s="210"/>
      <c r="BY594" s="210"/>
      <c r="BZ594" s="210"/>
      <c r="CA594" s="210"/>
      <c r="CB594" s="210"/>
      <c r="CC594" s="210"/>
      <c r="CD594" s="210"/>
      <c r="CE594" s="210"/>
      <c r="CF594" s="210"/>
      <c r="CG594" s="210"/>
      <c r="CH594" s="210"/>
      <c r="CI594" s="210"/>
      <c r="CJ594" s="210"/>
      <c r="CK594" s="210"/>
    </row>
    <row r="595">
      <c r="A595" s="220"/>
      <c r="F595" s="190"/>
      <c r="G595" s="190"/>
      <c r="L595" s="220"/>
      <c r="M595" s="22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4"/>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c r="BU595" s="210"/>
      <c r="BV595" s="210"/>
      <c r="BW595" s="210"/>
      <c r="BX595" s="210"/>
      <c r="BY595" s="210"/>
      <c r="BZ595" s="210"/>
      <c r="CA595" s="210"/>
      <c r="CB595" s="210"/>
      <c r="CC595" s="210"/>
      <c r="CD595" s="210"/>
      <c r="CE595" s="210"/>
      <c r="CF595" s="210"/>
      <c r="CG595" s="210"/>
      <c r="CH595" s="210"/>
      <c r="CI595" s="210"/>
      <c r="CJ595" s="210"/>
      <c r="CK595" s="210"/>
    </row>
    <row r="596">
      <c r="A596" s="220"/>
      <c r="F596" s="190"/>
      <c r="G596" s="190"/>
      <c r="L596" s="220"/>
      <c r="M596" s="22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4"/>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c r="BU596" s="210"/>
      <c r="BV596" s="210"/>
      <c r="BW596" s="210"/>
      <c r="BX596" s="210"/>
      <c r="BY596" s="210"/>
      <c r="BZ596" s="210"/>
      <c r="CA596" s="210"/>
      <c r="CB596" s="210"/>
      <c r="CC596" s="210"/>
      <c r="CD596" s="210"/>
      <c r="CE596" s="210"/>
      <c r="CF596" s="210"/>
      <c r="CG596" s="210"/>
      <c r="CH596" s="210"/>
      <c r="CI596" s="210"/>
      <c r="CJ596" s="210"/>
      <c r="CK596" s="210"/>
    </row>
    <row r="597">
      <c r="A597" s="220"/>
      <c r="F597" s="190"/>
      <c r="G597" s="190"/>
      <c r="L597" s="220"/>
      <c r="M597" s="22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4"/>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c r="BU597" s="210"/>
      <c r="BV597" s="210"/>
      <c r="BW597" s="210"/>
      <c r="BX597" s="210"/>
      <c r="BY597" s="210"/>
      <c r="BZ597" s="210"/>
      <c r="CA597" s="210"/>
      <c r="CB597" s="210"/>
      <c r="CC597" s="210"/>
      <c r="CD597" s="210"/>
      <c r="CE597" s="210"/>
      <c r="CF597" s="210"/>
      <c r="CG597" s="210"/>
      <c r="CH597" s="210"/>
      <c r="CI597" s="210"/>
      <c r="CJ597" s="210"/>
      <c r="CK597" s="210"/>
    </row>
    <row r="598">
      <c r="A598" s="220"/>
      <c r="F598" s="190"/>
      <c r="G598" s="190"/>
      <c r="L598" s="220"/>
      <c r="M598" s="22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4"/>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c r="BU598" s="210"/>
      <c r="BV598" s="210"/>
      <c r="BW598" s="210"/>
      <c r="BX598" s="210"/>
      <c r="BY598" s="210"/>
      <c r="BZ598" s="210"/>
      <c r="CA598" s="210"/>
      <c r="CB598" s="210"/>
      <c r="CC598" s="210"/>
      <c r="CD598" s="210"/>
      <c r="CE598" s="210"/>
      <c r="CF598" s="210"/>
      <c r="CG598" s="210"/>
      <c r="CH598" s="210"/>
      <c r="CI598" s="210"/>
      <c r="CJ598" s="210"/>
      <c r="CK598" s="210"/>
    </row>
    <row r="599">
      <c r="A599" s="220"/>
      <c r="F599" s="190"/>
      <c r="G599" s="190"/>
      <c r="L599" s="220"/>
      <c r="M599" s="22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4"/>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c r="BU599" s="210"/>
      <c r="BV599" s="210"/>
      <c r="BW599" s="210"/>
      <c r="BX599" s="210"/>
      <c r="BY599" s="210"/>
      <c r="BZ599" s="210"/>
      <c r="CA599" s="210"/>
      <c r="CB599" s="210"/>
      <c r="CC599" s="210"/>
      <c r="CD599" s="210"/>
      <c r="CE599" s="210"/>
      <c r="CF599" s="210"/>
      <c r="CG599" s="210"/>
      <c r="CH599" s="210"/>
      <c r="CI599" s="210"/>
      <c r="CJ599" s="210"/>
      <c r="CK599" s="210"/>
    </row>
    <row r="600">
      <c r="A600" s="220"/>
      <c r="F600" s="190"/>
      <c r="G600" s="190"/>
      <c r="L600" s="220"/>
      <c r="M600" s="22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4"/>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c r="BU600" s="210"/>
      <c r="BV600" s="210"/>
      <c r="BW600" s="210"/>
      <c r="BX600" s="210"/>
      <c r="BY600" s="210"/>
      <c r="BZ600" s="210"/>
      <c r="CA600" s="210"/>
      <c r="CB600" s="210"/>
      <c r="CC600" s="210"/>
      <c r="CD600" s="210"/>
      <c r="CE600" s="210"/>
      <c r="CF600" s="210"/>
      <c r="CG600" s="210"/>
      <c r="CH600" s="210"/>
      <c r="CI600" s="210"/>
      <c r="CJ600" s="210"/>
      <c r="CK600" s="210"/>
    </row>
    <row r="601">
      <c r="A601" s="220"/>
      <c r="F601" s="190"/>
      <c r="G601" s="190"/>
      <c r="L601" s="220"/>
      <c r="M601" s="22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4"/>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c r="BU601" s="210"/>
      <c r="BV601" s="210"/>
      <c r="BW601" s="210"/>
      <c r="BX601" s="210"/>
      <c r="BY601" s="210"/>
      <c r="BZ601" s="210"/>
      <c r="CA601" s="210"/>
      <c r="CB601" s="210"/>
      <c r="CC601" s="210"/>
      <c r="CD601" s="210"/>
      <c r="CE601" s="210"/>
      <c r="CF601" s="210"/>
      <c r="CG601" s="210"/>
      <c r="CH601" s="210"/>
      <c r="CI601" s="210"/>
      <c r="CJ601" s="210"/>
      <c r="CK601" s="210"/>
    </row>
    <row r="602">
      <c r="A602" s="220"/>
      <c r="F602" s="190"/>
      <c r="G602" s="190"/>
      <c r="L602" s="220"/>
      <c r="M602" s="22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4"/>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c r="BU602" s="210"/>
      <c r="BV602" s="210"/>
      <c r="BW602" s="210"/>
      <c r="BX602" s="210"/>
      <c r="BY602" s="210"/>
      <c r="BZ602" s="210"/>
      <c r="CA602" s="210"/>
      <c r="CB602" s="210"/>
      <c r="CC602" s="210"/>
      <c r="CD602" s="210"/>
      <c r="CE602" s="210"/>
      <c r="CF602" s="210"/>
      <c r="CG602" s="210"/>
      <c r="CH602" s="210"/>
      <c r="CI602" s="210"/>
      <c r="CJ602" s="210"/>
      <c r="CK602" s="210"/>
    </row>
    <row r="603">
      <c r="A603" s="220"/>
      <c r="F603" s="190"/>
      <c r="G603" s="190"/>
      <c r="L603" s="220"/>
      <c r="M603" s="22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4"/>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c r="BU603" s="210"/>
      <c r="BV603" s="210"/>
      <c r="BW603" s="210"/>
      <c r="BX603" s="210"/>
      <c r="BY603" s="210"/>
      <c r="BZ603" s="210"/>
      <c r="CA603" s="210"/>
      <c r="CB603" s="210"/>
      <c r="CC603" s="210"/>
      <c r="CD603" s="210"/>
      <c r="CE603" s="210"/>
      <c r="CF603" s="210"/>
      <c r="CG603" s="210"/>
      <c r="CH603" s="210"/>
      <c r="CI603" s="210"/>
      <c r="CJ603" s="210"/>
      <c r="CK603" s="210"/>
    </row>
    <row r="604">
      <c r="A604" s="220"/>
      <c r="F604" s="190"/>
      <c r="G604" s="190"/>
      <c r="L604" s="220"/>
      <c r="M604" s="22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4"/>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c r="BU604" s="210"/>
      <c r="BV604" s="210"/>
      <c r="BW604" s="210"/>
      <c r="BX604" s="210"/>
      <c r="BY604" s="210"/>
      <c r="BZ604" s="210"/>
      <c r="CA604" s="210"/>
      <c r="CB604" s="210"/>
      <c r="CC604" s="210"/>
      <c r="CD604" s="210"/>
      <c r="CE604" s="210"/>
      <c r="CF604" s="210"/>
      <c r="CG604" s="210"/>
      <c r="CH604" s="210"/>
      <c r="CI604" s="210"/>
      <c r="CJ604" s="210"/>
      <c r="CK604" s="210"/>
    </row>
    <row r="605">
      <c r="A605" s="220"/>
      <c r="F605" s="190"/>
      <c r="G605" s="190"/>
      <c r="L605" s="220"/>
      <c r="M605" s="22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4"/>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c r="BU605" s="210"/>
      <c r="BV605" s="210"/>
      <c r="BW605" s="210"/>
      <c r="BX605" s="210"/>
      <c r="BY605" s="210"/>
      <c r="BZ605" s="210"/>
      <c r="CA605" s="210"/>
      <c r="CB605" s="210"/>
      <c r="CC605" s="210"/>
      <c r="CD605" s="210"/>
      <c r="CE605" s="210"/>
      <c r="CF605" s="210"/>
      <c r="CG605" s="210"/>
      <c r="CH605" s="210"/>
      <c r="CI605" s="210"/>
      <c r="CJ605" s="210"/>
      <c r="CK605" s="210"/>
    </row>
    <row r="606">
      <c r="A606" s="220"/>
      <c r="F606" s="190"/>
      <c r="G606" s="190"/>
      <c r="L606" s="220"/>
      <c r="M606" s="22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4"/>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c r="BU606" s="210"/>
      <c r="BV606" s="210"/>
      <c r="BW606" s="210"/>
      <c r="BX606" s="210"/>
      <c r="BY606" s="210"/>
      <c r="BZ606" s="210"/>
      <c r="CA606" s="210"/>
      <c r="CB606" s="210"/>
      <c r="CC606" s="210"/>
      <c r="CD606" s="210"/>
      <c r="CE606" s="210"/>
      <c r="CF606" s="210"/>
      <c r="CG606" s="210"/>
      <c r="CH606" s="210"/>
      <c r="CI606" s="210"/>
      <c r="CJ606" s="210"/>
      <c r="CK606" s="210"/>
    </row>
    <row r="607">
      <c r="A607" s="220"/>
      <c r="F607" s="190"/>
      <c r="G607" s="190"/>
      <c r="L607" s="220"/>
      <c r="M607" s="22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4"/>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c r="BU607" s="210"/>
      <c r="BV607" s="210"/>
      <c r="BW607" s="210"/>
      <c r="BX607" s="210"/>
      <c r="BY607" s="210"/>
      <c r="BZ607" s="210"/>
      <c r="CA607" s="210"/>
      <c r="CB607" s="210"/>
      <c r="CC607" s="210"/>
      <c r="CD607" s="210"/>
      <c r="CE607" s="210"/>
      <c r="CF607" s="210"/>
      <c r="CG607" s="210"/>
      <c r="CH607" s="210"/>
      <c r="CI607" s="210"/>
      <c r="CJ607" s="210"/>
      <c r="CK607" s="210"/>
    </row>
    <row r="608">
      <c r="A608" s="220"/>
      <c r="F608" s="190"/>
      <c r="G608" s="190"/>
      <c r="L608" s="220"/>
      <c r="M608" s="22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4"/>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c r="BU608" s="210"/>
      <c r="BV608" s="210"/>
      <c r="BW608" s="210"/>
      <c r="BX608" s="210"/>
      <c r="BY608" s="210"/>
      <c r="BZ608" s="210"/>
      <c r="CA608" s="210"/>
      <c r="CB608" s="210"/>
      <c r="CC608" s="210"/>
      <c r="CD608" s="210"/>
      <c r="CE608" s="210"/>
      <c r="CF608" s="210"/>
      <c r="CG608" s="210"/>
      <c r="CH608" s="210"/>
      <c r="CI608" s="210"/>
      <c r="CJ608" s="210"/>
      <c r="CK608" s="210"/>
    </row>
    <row r="609">
      <c r="A609" s="220"/>
      <c r="F609" s="190"/>
      <c r="G609" s="190"/>
      <c r="L609" s="220"/>
      <c r="M609" s="22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4"/>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c r="BU609" s="210"/>
      <c r="BV609" s="210"/>
      <c r="BW609" s="210"/>
      <c r="BX609" s="210"/>
      <c r="BY609" s="210"/>
      <c r="BZ609" s="210"/>
      <c r="CA609" s="210"/>
      <c r="CB609" s="210"/>
      <c r="CC609" s="210"/>
      <c r="CD609" s="210"/>
      <c r="CE609" s="210"/>
      <c r="CF609" s="210"/>
      <c r="CG609" s="210"/>
      <c r="CH609" s="210"/>
      <c r="CI609" s="210"/>
      <c r="CJ609" s="210"/>
      <c r="CK609" s="210"/>
    </row>
    <row r="610">
      <c r="A610" s="220"/>
      <c r="F610" s="190"/>
      <c r="G610" s="190"/>
      <c r="L610" s="220"/>
      <c r="M610" s="22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4"/>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c r="BU610" s="210"/>
      <c r="BV610" s="210"/>
      <c r="BW610" s="210"/>
      <c r="BX610" s="210"/>
      <c r="BY610" s="210"/>
      <c r="BZ610" s="210"/>
      <c r="CA610" s="210"/>
      <c r="CB610" s="210"/>
      <c r="CC610" s="210"/>
      <c r="CD610" s="210"/>
      <c r="CE610" s="210"/>
      <c r="CF610" s="210"/>
      <c r="CG610" s="210"/>
      <c r="CH610" s="210"/>
      <c r="CI610" s="210"/>
      <c r="CJ610" s="210"/>
      <c r="CK610" s="210"/>
    </row>
    <row r="611">
      <c r="A611" s="220"/>
      <c r="F611" s="190"/>
      <c r="G611" s="190"/>
      <c r="L611" s="220"/>
      <c r="M611" s="22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4"/>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c r="BU611" s="210"/>
      <c r="BV611" s="210"/>
      <c r="BW611" s="210"/>
      <c r="BX611" s="210"/>
      <c r="BY611" s="210"/>
      <c r="BZ611" s="210"/>
      <c r="CA611" s="210"/>
      <c r="CB611" s="210"/>
      <c r="CC611" s="210"/>
      <c r="CD611" s="210"/>
      <c r="CE611" s="210"/>
      <c r="CF611" s="210"/>
      <c r="CG611" s="210"/>
      <c r="CH611" s="210"/>
      <c r="CI611" s="210"/>
      <c r="CJ611" s="210"/>
      <c r="CK611" s="210"/>
    </row>
    <row r="612">
      <c r="A612" s="220"/>
      <c r="F612" s="190"/>
      <c r="G612" s="190"/>
      <c r="L612" s="220"/>
      <c r="M612" s="22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4"/>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c r="BU612" s="210"/>
      <c r="BV612" s="210"/>
      <c r="BW612" s="210"/>
      <c r="BX612" s="210"/>
      <c r="BY612" s="210"/>
      <c r="BZ612" s="210"/>
      <c r="CA612" s="210"/>
      <c r="CB612" s="210"/>
      <c r="CC612" s="210"/>
      <c r="CD612" s="210"/>
      <c r="CE612" s="210"/>
      <c r="CF612" s="210"/>
      <c r="CG612" s="210"/>
      <c r="CH612" s="210"/>
      <c r="CI612" s="210"/>
      <c r="CJ612" s="210"/>
      <c r="CK612" s="210"/>
    </row>
    <row r="613">
      <c r="A613" s="220"/>
      <c r="F613" s="190"/>
      <c r="G613" s="190"/>
      <c r="L613" s="220"/>
      <c r="M613" s="22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4"/>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c r="BU613" s="210"/>
      <c r="BV613" s="210"/>
      <c r="BW613" s="210"/>
      <c r="BX613" s="210"/>
      <c r="BY613" s="210"/>
      <c r="BZ613" s="210"/>
      <c r="CA613" s="210"/>
      <c r="CB613" s="210"/>
      <c r="CC613" s="210"/>
      <c r="CD613" s="210"/>
      <c r="CE613" s="210"/>
      <c r="CF613" s="210"/>
      <c r="CG613" s="210"/>
      <c r="CH613" s="210"/>
      <c r="CI613" s="210"/>
      <c r="CJ613" s="210"/>
      <c r="CK613" s="210"/>
    </row>
    <row r="614">
      <c r="A614" s="220"/>
      <c r="F614" s="190"/>
      <c r="G614" s="190"/>
      <c r="L614" s="220"/>
      <c r="M614" s="22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4"/>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c r="BU614" s="210"/>
      <c r="BV614" s="210"/>
      <c r="BW614" s="210"/>
      <c r="BX614" s="210"/>
      <c r="BY614" s="210"/>
      <c r="BZ614" s="210"/>
      <c r="CA614" s="210"/>
      <c r="CB614" s="210"/>
      <c r="CC614" s="210"/>
      <c r="CD614" s="210"/>
      <c r="CE614" s="210"/>
      <c r="CF614" s="210"/>
      <c r="CG614" s="210"/>
      <c r="CH614" s="210"/>
      <c r="CI614" s="210"/>
      <c r="CJ614" s="210"/>
      <c r="CK614" s="210"/>
    </row>
    <row r="615">
      <c r="A615" s="220"/>
      <c r="F615" s="190"/>
      <c r="G615" s="190"/>
      <c r="L615" s="220"/>
      <c r="M615" s="22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4"/>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c r="BU615" s="210"/>
      <c r="BV615" s="210"/>
      <c r="BW615" s="210"/>
      <c r="BX615" s="210"/>
      <c r="BY615" s="210"/>
      <c r="BZ615" s="210"/>
      <c r="CA615" s="210"/>
      <c r="CB615" s="210"/>
      <c r="CC615" s="210"/>
      <c r="CD615" s="210"/>
      <c r="CE615" s="210"/>
      <c r="CF615" s="210"/>
      <c r="CG615" s="210"/>
      <c r="CH615" s="210"/>
      <c r="CI615" s="210"/>
      <c r="CJ615" s="210"/>
      <c r="CK615" s="210"/>
    </row>
    <row r="616">
      <c r="A616" s="220"/>
      <c r="F616" s="190"/>
      <c r="G616" s="190"/>
      <c r="L616" s="220"/>
      <c r="M616" s="22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4"/>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c r="BU616" s="210"/>
      <c r="BV616" s="210"/>
      <c r="BW616" s="210"/>
      <c r="BX616" s="210"/>
      <c r="BY616" s="210"/>
      <c r="BZ616" s="210"/>
      <c r="CA616" s="210"/>
      <c r="CB616" s="210"/>
      <c r="CC616" s="210"/>
      <c r="CD616" s="210"/>
      <c r="CE616" s="210"/>
      <c r="CF616" s="210"/>
      <c r="CG616" s="210"/>
      <c r="CH616" s="210"/>
      <c r="CI616" s="210"/>
      <c r="CJ616" s="210"/>
      <c r="CK616" s="210"/>
    </row>
    <row r="617">
      <c r="A617" s="220"/>
      <c r="F617" s="190"/>
      <c r="G617" s="190"/>
      <c r="L617" s="220"/>
      <c r="M617" s="22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4"/>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c r="BU617" s="210"/>
      <c r="BV617" s="210"/>
      <c r="BW617" s="210"/>
      <c r="BX617" s="210"/>
      <c r="BY617" s="210"/>
      <c r="BZ617" s="210"/>
      <c r="CA617" s="210"/>
      <c r="CB617" s="210"/>
      <c r="CC617" s="210"/>
      <c r="CD617" s="210"/>
      <c r="CE617" s="210"/>
      <c r="CF617" s="210"/>
      <c r="CG617" s="210"/>
      <c r="CH617" s="210"/>
      <c r="CI617" s="210"/>
      <c r="CJ617" s="210"/>
      <c r="CK617" s="210"/>
    </row>
    <row r="618">
      <c r="A618" s="220"/>
      <c r="F618" s="190"/>
      <c r="G618" s="190"/>
      <c r="L618" s="220"/>
      <c r="M618" s="22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4"/>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c r="BU618" s="210"/>
      <c r="BV618" s="210"/>
      <c r="BW618" s="210"/>
      <c r="BX618" s="210"/>
      <c r="BY618" s="210"/>
      <c r="BZ618" s="210"/>
      <c r="CA618" s="210"/>
      <c r="CB618" s="210"/>
      <c r="CC618" s="210"/>
      <c r="CD618" s="210"/>
      <c r="CE618" s="210"/>
      <c r="CF618" s="210"/>
      <c r="CG618" s="210"/>
      <c r="CH618" s="210"/>
      <c r="CI618" s="210"/>
      <c r="CJ618" s="210"/>
      <c r="CK618" s="210"/>
    </row>
    <row r="619">
      <c r="A619" s="220"/>
      <c r="F619" s="190"/>
      <c r="G619" s="190"/>
      <c r="L619" s="220"/>
      <c r="M619" s="22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4"/>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c r="BU619" s="210"/>
      <c r="BV619" s="210"/>
      <c r="BW619" s="210"/>
      <c r="BX619" s="210"/>
      <c r="BY619" s="210"/>
      <c r="BZ619" s="210"/>
      <c r="CA619" s="210"/>
      <c r="CB619" s="210"/>
      <c r="CC619" s="210"/>
      <c r="CD619" s="210"/>
      <c r="CE619" s="210"/>
      <c r="CF619" s="210"/>
      <c r="CG619" s="210"/>
      <c r="CH619" s="210"/>
      <c r="CI619" s="210"/>
      <c r="CJ619" s="210"/>
      <c r="CK619" s="210"/>
    </row>
    <row r="620">
      <c r="A620" s="220"/>
      <c r="F620" s="190"/>
      <c r="G620" s="190"/>
      <c r="L620" s="220"/>
      <c r="M620" s="22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4"/>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c r="BU620" s="210"/>
      <c r="BV620" s="210"/>
      <c r="BW620" s="210"/>
      <c r="BX620" s="210"/>
      <c r="BY620" s="210"/>
      <c r="BZ620" s="210"/>
      <c r="CA620" s="210"/>
      <c r="CB620" s="210"/>
      <c r="CC620" s="210"/>
      <c r="CD620" s="210"/>
      <c r="CE620" s="210"/>
      <c r="CF620" s="210"/>
      <c r="CG620" s="210"/>
      <c r="CH620" s="210"/>
      <c r="CI620" s="210"/>
      <c r="CJ620" s="210"/>
      <c r="CK620" s="210"/>
    </row>
    <row r="621">
      <c r="A621" s="220"/>
      <c r="F621" s="190"/>
      <c r="G621" s="190"/>
      <c r="L621" s="220"/>
      <c r="M621" s="22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4"/>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c r="BU621" s="210"/>
      <c r="BV621" s="210"/>
      <c r="BW621" s="210"/>
      <c r="BX621" s="210"/>
      <c r="BY621" s="210"/>
      <c r="BZ621" s="210"/>
      <c r="CA621" s="210"/>
      <c r="CB621" s="210"/>
      <c r="CC621" s="210"/>
      <c r="CD621" s="210"/>
      <c r="CE621" s="210"/>
      <c r="CF621" s="210"/>
      <c r="CG621" s="210"/>
      <c r="CH621" s="210"/>
      <c r="CI621" s="210"/>
      <c r="CJ621" s="210"/>
      <c r="CK621" s="210"/>
    </row>
    <row r="622">
      <c r="A622" s="220"/>
      <c r="F622" s="190"/>
      <c r="G622" s="190"/>
      <c r="L622" s="220"/>
      <c r="M622" s="22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4"/>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c r="BU622" s="210"/>
      <c r="BV622" s="210"/>
      <c r="BW622" s="210"/>
      <c r="BX622" s="210"/>
      <c r="BY622" s="210"/>
      <c r="BZ622" s="210"/>
      <c r="CA622" s="210"/>
      <c r="CB622" s="210"/>
      <c r="CC622" s="210"/>
      <c r="CD622" s="210"/>
      <c r="CE622" s="210"/>
      <c r="CF622" s="210"/>
      <c r="CG622" s="210"/>
      <c r="CH622" s="210"/>
      <c r="CI622" s="210"/>
      <c r="CJ622" s="210"/>
      <c r="CK622" s="210"/>
    </row>
    <row r="623">
      <c r="A623" s="220"/>
      <c r="F623" s="190"/>
      <c r="G623" s="190"/>
      <c r="L623" s="220"/>
      <c r="M623" s="22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4"/>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c r="BU623" s="210"/>
      <c r="BV623" s="210"/>
      <c r="BW623" s="210"/>
      <c r="BX623" s="210"/>
      <c r="BY623" s="210"/>
      <c r="BZ623" s="210"/>
      <c r="CA623" s="210"/>
      <c r="CB623" s="210"/>
      <c r="CC623" s="210"/>
      <c r="CD623" s="210"/>
      <c r="CE623" s="210"/>
      <c r="CF623" s="210"/>
      <c r="CG623" s="210"/>
      <c r="CH623" s="210"/>
      <c r="CI623" s="210"/>
      <c r="CJ623" s="210"/>
      <c r="CK623" s="210"/>
    </row>
    <row r="624">
      <c r="A624" s="220"/>
      <c r="F624" s="190"/>
      <c r="G624" s="190"/>
      <c r="L624" s="220"/>
      <c r="M624" s="22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4"/>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c r="BU624" s="210"/>
      <c r="BV624" s="210"/>
      <c r="BW624" s="210"/>
      <c r="BX624" s="210"/>
      <c r="BY624" s="210"/>
      <c r="BZ624" s="210"/>
      <c r="CA624" s="210"/>
      <c r="CB624" s="210"/>
      <c r="CC624" s="210"/>
      <c r="CD624" s="210"/>
      <c r="CE624" s="210"/>
      <c r="CF624" s="210"/>
      <c r="CG624" s="210"/>
      <c r="CH624" s="210"/>
      <c r="CI624" s="210"/>
      <c r="CJ624" s="210"/>
      <c r="CK624" s="210"/>
    </row>
    <row r="625">
      <c r="A625" s="220"/>
      <c r="F625" s="190"/>
      <c r="G625" s="190"/>
      <c r="L625" s="220"/>
      <c r="M625" s="22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4"/>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c r="BU625" s="210"/>
      <c r="BV625" s="210"/>
      <c r="BW625" s="210"/>
      <c r="BX625" s="210"/>
      <c r="BY625" s="210"/>
      <c r="BZ625" s="210"/>
      <c r="CA625" s="210"/>
      <c r="CB625" s="210"/>
      <c r="CC625" s="210"/>
      <c r="CD625" s="210"/>
      <c r="CE625" s="210"/>
      <c r="CF625" s="210"/>
      <c r="CG625" s="210"/>
      <c r="CH625" s="210"/>
      <c r="CI625" s="210"/>
      <c r="CJ625" s="210"/>
      <c r="CK625" s="210"/>
    </row>
    <row r="626">
      <c r="A626" s="220"/>
      <c r="F626" s="190"/>
      <c r="G626" s="190"/>
      <c r="L626" s="220"/>
      <c r="M626" s="22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4"/>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c r="BU626" s="210"/>
      <c r="BV626" s="210"/>
      <c r="BW626" s="210"/>
      <c r="BX626" s="210"/>
      <c r="BY626" s="210"/>
      <c r="BZ626" s="210"/>
      <c r="CA626" s="210"/>
      <c r="CB626" s="210"/>
      <c r="CC626" s="210"/>
      <c r="CD626" s="210"/>
      <c r="CE626" s="210"/>
      <c r="CF626" s="210"/>
      <c r="CG626" s="210"/>
      <c r="CH626" s="210"/>
      <c r="CI626" s="210"/>
      <c r="CJ626" s="210"/>
      <c r="CK626" s="210"/>
    </row>
    <row r="627">
      <c r="A627" s="220"/>
      <c r="F627" s="190"/>
      <c r="G627" s="190"/>
      <c r="L627" s="220"/>
      <c r="M627" s="22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4"/>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c r="BU627" s="210"/>
      <c r="BV627" s="210"/>
      <c r="BW627" s="210"/>
      <c r="BX627" s="210"/>
      <c r="BY627" s="210"/>
      <c r="BZ627" s="210"/>
      <c r="CA627" s="210"/>
      <c r="CB627" s="210"/>
      <c r="CC627" s="210"/>
      <c r="CD627" s="210"/>
      <c r="CE627" s="210"/>
      <c r="CF627" s="210"/>
      <c r="CG627" s="210"/>
      <c r="CH627" s="210"/>
      <c r="CI627" s="210"/>
      <c r="CJ627" s="210"/>
      <c r="CK627" s="210"/>
    </row>
    <row r="628">
      <c r="A628" s="220"/>
      <c r="F628" s="190"/>
      <c r="G628" s="190"/>
      <c r="L628" s="220"/>
      <c r="M628" s="22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4"/>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c r="BU628" s="210"/>
      <c r="BV628" s="210"/>
      <c r="BW628" s="210"/>
      <c r="BX628" s="210"/>
      <c r="BY628" s="210"/>
      <c r="BZ628" s="210"/>
      <c r="CA628" s="210"/>
      <c r="CB628" s="210"/>
      <c r="CC628" s="210"/>
      <c r="CD628" s="210"/>
      <c r="CE628" s="210"/>
      <c r="CF628" s="210"/>
      <c r="CG628" s="210"/>
      <c r="CH628" s="210"/>
      <c r="CI628" s="210"/>
      <c r="CJ628" s="210"/>
      <c r="CK628" s="210"/>
    </row>
    <row r="629">
      <c r="A629" s="220"/>
      <c r="F629" s="190"/>
      <c r="G629" s="190"/>
      <c r="L629" s="220"/>
      <c r="M629" s="22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4"/>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c r="BU629" s="210"/>
      <c r="BV629" s="210"/>
      <c r="BW629" s="210"/>
      <c r="BX629" s="210"/>
      <c r="BY629" s="210"/>
      <c r="BZ629" s="210"/>
      <c r="CA629" s="210"/>
      <c r="CB629" s="210"/>
      <c r="CC629" s="210"/>
      <c r="CD629" s="210"/>
      <c r="CE629" s="210"/>
      <c r="CF629" s="210"/>
      <c r="CG629" s="210"/>
      <c r="CH629" s="210"/>
      <c r="CI629" s="210"/>
      <c r="CJ629" s="210"/>
      <c r="CK629" s="210"/>
    </row>
    <row r="630">
      <c r="A630" s="220"/>
      <c r="F630" s="190"/>
      <c r="G630" s="190"/>
      <c r="L630" s="220"/>
      <c r="M630" s="22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4"/>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c r="BU630" s="210"/>
      <c r="BV630" s="210"/>
      <c r="BW630" s="210"/>
      <c r="BX630" s="210"/>
      <c r="BY630" s="210"/>
      <c r="BZ630" s="210"/>
      <c r="CA630" s="210"/>
      <c r="CB630" s="210"/>
      <c r="CC630" s="210"/>
      <c r="CD630" s="210"/>
      <c r="CE630" s="210"/>
      <c r="CF630" s="210"/>
      <c r="CG630" s="210"/>
      <c r="CH630" s="210"/>
      <c r="CI630" s="210"/>
      <c r="CJ630" s="210"/>
      <c r="CK630" s="210"/>
    </row>
    <row r="631">
      <c r="A631" s="220"/>
      <c r="F631" s="190"/>
      <c r="G631" s="190"/>
      <c r="L631" s="220"/>
      <c r="M631" s="22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4"/>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c r="BU631" s="210"/>
      <c r="BV631" s="210"/>
      <c r="BW631" s="210"/>
      <c r="BX631" s="210"/>
      <c r="BY631" s="210"/>
      <c r="BZ631" s="210"/>
      <c r="CA631" s="210"/>
      <c r="CB631" s="210"/>
      <c r="CC631" s="210"/>
      <c r="CD631" s="210"/>
      <c r="CE631" s="210"/>
      <c r="CF631" s="210"/>
      <c r="CG631" s="210"/>
      <c r="CH631" s="210"/>
      <c r="CI631" s="210"/>
      <c r="CJ631" s="210"/>
      <c r="CK631" s="210"/>
    </row>
    <row r="632">
      <c r="A632" s="220"/>
      <c r="F632" s="190"/>
      <c r="G632" s="190"/>
      <c r="L632" s="220"/>
      <c r="M632" s="22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4"/>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c r="BU632" s="210"/>
      <c r="BV632" s="210"/>
      <c r="BW632" s="210"/>
      <c r="BX632" s="210"/>
      <c r="BY632" s="210"/>
      <c r="BZ632" s="210"/>
      <c r="CA632" s="210"/>
      <c r="CB632" s="210"/>
      <c r="CC632" s="210"/>
      <c r="CD632" s="210"/>
      <c r="CE632" s="210"/>
      <c r="CF632" s="210"/>
      <c r="CG632" s="210"/>
      <c r="CH632" s="210"/>
      <c r="CI632" s="210"/>
      <c r="CJ632" s="210"/>
      <c r="CK632" s="210"/>
    </row>
    <row r="633">
      <c r="A633" s="220"/>
      <c r="F633" s="190"/>
      <c r="G633" s="190"/>
      <c r="L633" s="220"/>
      <c r="M633" s="22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4"/>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c r="BU633" s="210"/>
      <c r="BV633" s="210"/>
      <c r="BW633" s="210"/>
      <c r="BX633" s="210"/>
      <c r="BY633" s="210"/>
      <c r="BZ633" s="210"/>
      <c r="CA633" s="210"/>
      <c r="CB633" s="210"/>
      <c r="CC633" s="210"/>
      <c r="CD633" s="210"/>
      <c r="CE633" s="210"/>
      <c r="CF633" s="210"/>
      <c r="CG633" s="210"/>
      <c r="CH633" s="210"/>
      <c r="CI633" s="210"/>
      <c r="CJ633" s="210"/>
      <c r="CK633" s="210"/>
    </row>
    <row r="634">
      <c r="A634" s="220"/>
      <c r="F634" s="190"/>
      <c r="G634" s="190"/>
      <c r="L634" s="220"/>
      <c r="M634" s="22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4"/>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c r="BU634" s="210"/>
      <c r="BV634" s="210"/>
      <c r="BW634" s="210"/>
      <c r="BX634" s="210"/>
      <c r="BY634" s="210"/>
      <c r="BZ634" s="210"/>
      <c r="CA634" s="210"/>
      <c r="CB634" s="210"/>
      <c r="CC634" s="210"/>
      <c r="CD634" s="210"/>
      <c r="CE634" s="210"/>
      <c r="CF634" s="210"/>
      <c r="CG634" s="210"/>
      <c r="CH634" s="210"/>
      <c r="CI634" s="210"/>
      <c r="CJ634" s="210"/>
      <c r="CK634" s="210"/>
    </row>
    <row r="635">
      <c r="A635" s="220"/>
      <c r="F635" s="190"/>
      <c r="G635" s="190"/>
      <c r="L635" s="220"/>
      <c r="M635" s="22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4"/>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c r="BU635" s="210"/>
      <c r="BV635" s="210"/>
      <c r="BW635" s="210"/>
      <c r="BX635" s="210"/>
      <c r="BY635" s="210"/>
      <c r="BZ635" s="210"/>
      <c r="CA635" s="210"/>
      <c r="CB635" s="210"/>
      <c r="CC635" s="210"/>
      <c r="CD635" s="210"/>
      <c r="CE635" s="210"/>
      <c r="CF635" s="210"/>
      <c r="CG635" s="210"/>
      <c r="CH635" s="210"/>
      <c r="CI635" s="210"/>
      <c r="CJ635" s="210"/>
      <c r="CK635" s="210"/>
    </row>
    <row r="636">
      <c r="A636" s="220"/>
      <c r="F636" s="190"/>
      <c r="G636" s="190"/>
      <c r="L636" s="220"/>
      <c r="M636" s="22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4"/>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c r="BU636" s="210"/>
      <c r="BV636" s="210"/>
      <c r="BW636" s="210"/>
      <c r="BX636" s="210"/>
      <c r="BY636" s="210"/>
      <c r="BZ636" s="210"/>
      <c r="CA636" s="210"/>
      <c r="CB636" s="210"/>
      <c r="CC636" s="210"/>
      <c r="CD636" s="210"/>
      <c r="CE636" s="210"/>
      <c r="CF636" s="210"/>
      <c r="CG636" s="210"/>
      <c r="CH636" s="210"/>
      <c r="CI636" s="210"/>
      <c r="CJ636" s="210"/>
      <c r="CK636" s="210"/>
    </row>
    <row r="637">
      <c r="A637" s="220"/>
      <c r="F637" s="190"/>
      <c r="G637" s="190"/>
      <c r="L637" s="220"/>
      <c r="M637" s="22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4"/>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c r="BU637" s="210"/>
      <c r="BV637" s="210"/>
      <c r="BW637" s="210"/>
      <c r="BX637" s="210"/>
      <c r="BY637" s="210"/>
      <c r="BZ637" s="210"/>
      <c r="CA637" s="210"/>
      <c r="CB637" s="210"/>
      <c r="CC637" s="210"/>
      <c r="CD637" s="210"/>
      <c r="CE637" s="210"/>
      <c r="CF637" s="210"/>
      <c r="CG637" s="210"/>
      <c r="CH637" s="210"/>
      <c r="CI637" s="210"/>
      <c r="CJ637" s="210"/>
      <c r="CK637" s="210"/>
    </row>
    <row r="638">
      <c r="A638" s="220"/>
      <c r="F638" s="190"/>
      <c r="G638" s="190"/>
      <c r="L638" s="220"/>
      <c r="M638" s="22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4"/>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c r="BU638" s="210"/>
      <c r="BV638" s="210"/>
      <c r="BW638" s="210"/>
      <c r="BX638" s="210"/>
      <c r="BY638" s="210"/>
      <c r="BZ638" s="210"/>
      <c r="CA638" s="210"/>
      <c r="CB638" s="210"/>
      <c r="CC638" s="210"/>
      <c r="CD638" s="210"/>
      <c r="CE638" s="210"/>
      <c r="CF638" s="210"/>
      <c r="CG638" s="210"/>
      <c r="CH638" s="210"/>
      <c r="CI638" s="210"/>
      <c r="CJ638" s="210"/>
      <c r="CK638" s="210"/>
    </row>
    <row r="639">
      <c r="A639" s="220"/>
      <c r="F639" s="190"/>
      <c r="G639" s="190"/>
      <c r="L639" s="220"/>
      <c r="M639" s="22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4"/>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c r="BU639" s="210"/>
      <c r="BV639" s="210"/>
      <c r="BW639" s="210"/>
      <c r="BX639" s="210"/>
      <c r="BY639" s="210"/>
      <c r="BZ639" s="210"/>
      <c r="CA639" s="210"/>
      <c r="CB639" s="210"/>
      <c r="CC639" s="210"/>
      <c r="CD639" s="210"/>
      <c r="CE639" s="210"/>
      <c r="CF639" s="210"/>
      <c r="CG639" s="210"/>
      <c r="CH639" s="210"/>
      <c r="CI639" s="210"/>
      <c r="CJ639" s="210"/>
      <c r="CK639" s="210"/>
    </row>
    <row r="640">
      <c r="A640" s="220"/>
      <c r="F640" s="190"/>
      <c r="G640" s="190"/>
      <c r="L640" s="220"/>
      <c r="M640" s="22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4"/>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c r="BU640" s="210"/>
      <c r="BV640" s="210"/>
      <c r="BW640" s="210"/>
      <c r="BX640" s="210"/>
      <c r="BY640" s="210"/>
      <c r="BZ640" s="210"/>
      <c r="CA640" s="210"/>
      <c r="CB640" s="210"/>
      <c r="CC640" s="210"/>
      <c r="CD640" s="210"/>
      <c r="CE640" s="210"/>
      <c r="CF640" s="210"/>
      <c r="CG640" s="210"/>
      <c r="CH640" s="210"/>
      <c r="CI640" s="210"/>
      <c r="CJ640" s="210"/>
      <c r="CK640" s="210"/>
    </row>
    <row r="641">
      <c r="A641" s="220"/>
      <c r="F641" s="190"/>
      <c r="G641" s="190"/>
      <c r="L641" s="220"/>
      <c r="M641" s="22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4"/>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c r="BU641" s="210"/>
      <c r="BV641" s="210"/>
      <c r="BW641" s="210"/>
      <c r="BX641" s="210"/>
      <c r="BY641" s="210"/>
      <c r="BZ641" s="210"/>
      <c r="CA641" s="210"/>
      <c r="CB641" s="210"/>
      <c r="CC641" s="210"/>
      <c r="CD641" s="210"/>
      <c r="CE641" s="210"/>
      <c r="CF641" s="210"/>
      <c r="CG641" s="210"/>
      <c r="CH641" s="210"/>
      <c r="CI641" s="210"/>
      <c r="CJ641" s="210"/>
      <c r="CK641" s="210"/>
    </row>
    <row r="642">
      <c r="A642" s="220"/>
      <c r="F642" s="190"/>
      <c r="G642" s="190"/>
      <c r="L642" s="220"/>
      <c r="M642" s="22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4"/>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c r="BU642" s="210"/>
      <c r="BV642" s="210"/>
      <c r="BW642" s="210"/>
      <c r="BX642" s="210"/>
      <c r="BY642" s="210"/>
      <c r="BZ642" s="210"/>
      <c r="CA642" s="210"/>
      <c r="CB642" s="210"/>
      <c r="CC642" s="210"/>
      <c r="CD642" s="210"/>
      <c r="CE642" s="210"/>
      <c r="CF642" s="210"/>
      <c r="CG642" s="210"/>
      <c r="CH642" s="210"/>
      <c r="CI642" s="210"/>
      <c r="CJ642" s="210"/>
      <c r="CK642" s="210"/>
    </row>
    <row r="643">
      <c r="A643" s="220"/>
      <c r="F643" s="190"/>
      <c r="G643" s="190"/>
      <c r="L643" s="220"/>
      <c r="M643" s="22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4"/>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c r="BU643" s="210"/>
      <c r="BV643" s="210"/>
      <c r="BW643" s="210"/>
      <c r="BX643" s="210"/>
      <c r="BY643" s="210"/>
      <c r="BZ643" s="210"/>
      <c r="CA643" s="210"/>
      <c r="CB643" s="210"/>
      <c r="CC643" s="210"/>
      <c r="CD643" s="210"/>
      <c r="CE643" s="210"/>
      <c r="CF643" s="210"/>
      <c r="CG643" s="210"/>
      <c r="CH643" s="210"/>
      <c r="CI643" s="210"/>
      <c r="CJ643" s="210"/>
      <c r="CK643" s="210"/>
    </row>
    <row r="644">
      <c r="A644" s="220"/>
      <c r="F644" s="190"/>
      <c r="G644" s="190"/>
      <c r="L644" s="220"/>
      <c r="M644" s="22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4"/>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c r="BU644" s="210"/>
      <c r="BV644" s="210"/>
      <c r="BW644" s="210"/>
      <c r="BX644" s="210"/>
      <c r="BY644" s="210"/>
      <c r="BZ644" s="210"/>
      <c r="CA644" s="210"/>
      <c r="CB644" s="210"/>
      <c r="CC644" s="210"/>
      <c r="CD644" s="210"/>
      <c r="CE644" s="210"/>
      <c r="CF644" s="210"/>
      <c r="CG644" s="210"/>
      <c r="CH644" s="210"/>
      <c r="CI644" s="210"/>
      <c r="CJ644" s="210"/>
      <c r="CK644" s="210"/>
    </row>
    <row r="645">
      <c r="A645" s="220"/>
      <c r="F645" s="190"/>
      <c r="G645" s="190"/>
      <c r="L645" s="220"/>
      <c r="M645" s="22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4"/>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c r="BU645" s="210"/>
      <c r="BV645" s="210"/>
      <c r="BW645" s="210"/>
      <c r="BX645" s="210"/>
      <c r="BY645" s="210"/>
      <c r="BZ645" s="210"/>
      <c r="CA645" s="210"/>
      <c r="CB645" s="210"/>
      <c r="CC645" s="210"/>
      <c r="CD645" s="210"/>
      <c r="CE645" s="210"/>
      <c r="CF645" s="210"/>
      <c r="CG645" s="210"/>
      <c r="CH645" s="210"/>
      <c r="CI645" s="210"/>
      <c r="CJ645" s="210"/>
      <c r="CK645" s="210"/>
    </row>
    <row r="646">
      <c r="A646" s="220"/>
      <c r="F646" s="190"/>
      <c r="G646" s="190"/>
      <c r="L646" s="220"/>
      <c r="M646" s="22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4"/>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c r="BU646" s="210"/>
      <c r="BV646" s="210"/>
      <c r="BW646" s="210"/>
      <c r="BX646" s="210"/>
      <c r="BY646" s="210"/>
      <c r="BZ646" s="210"/>
      <c r="CA646" s="210"/>
      <c r="CB646" s="210"/>
      <c r="CC646" s="210"/>
      <c r="CD646" s="210"/>
      <c r="CE646" s="210"/>
      <c r="CF646" s="210"/>
      <c r="CG646" s="210"/>
      <c r="CH646" s="210"/>
      <c r="CI646" s="210"/>
      <c r="CJ646" s="210"/>
      <c r="CK646" s="210"/>
    </row>
    <row r="647">
      <c r="A647" s="220"/>
      <c r="F647" s="190"/>
      <c r="G647" s="190"/>
      <c r="L647" s="220"/>
      <c r="M647" s="22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4"/>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c r="BU647" s="210"/>
      <c r="BV647" s="210"/>
      <c r="BW647" s="210"/>
      <c r="BX647" s="210"/>
      <c r="BY647" s="210"/>
      <c r="BZ647" s="210"/>
      <c r="CA647" s="210"/>
      <c r="CB647" s="210"/>
      <c r="CC647" s="210"/>
      <c r="CD647" s="210"/>
      <c r="CE647" s="210"/>
      <c r="CF647" s="210"/>
      <c r="CG647" s="210"/>
      <c r="CH647" s="210"/>
      <c r="CI647" s="210"/>
      <c r="CJ647" s="210"/>
      <c r="CK647" s="210"/>
    </row>
    <row r="648">
      <c r="A648" s="220"/>
      <c r="F648" s="190"/>
      <c r="G648" s="190"/>
      <c r="L648" s="220"/>
      <c r="M648" s="22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4"/>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c r="BU648" s="210"/>
      <c r="BV648" s="210"/>
      <c r="BW648" s="210"/>
      <c r="BX648" s="210"/>
      <c r="BY648" s="210"/>
      <c r="BZ648" s="210"/>
      <c r="CA648" s="210"/>
      <c r="CB648" s="210"/>
      <c r="CC648" s="210"/>
      <c r="CD648" s="210"/>
      <c r="CE648" s="210"/>
      <c r="CF648" s="210"/>
      <c r="CG648" s="210"/>
      <c r="CH648" s="210"/>
      <c r="CI648" s="210"/>
      <c r="CJ648" s="210"/>
      <c r="CK648" s="210"/>
    </row>
    <row r="649">
      <c r="A649" s="220"/>
      <c r="F649" s="190"/>
      <c r="G649" s="190"/>
      <c r="L649" s="220"/>
      <c r="M649" s="22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4"/>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c r="BU649" s="210"/>
      <c r="BV649" s="210"/>
      <c r="BW649" s="210"/>
      <c r="BX649" s="210"/>
      <c r="BY649" s="210"/>
      <c r="BZ649" s="210"/>
      <c r="CA649" s="210"/>
      <c r="CB649" s="210"/>
      <c r="CC649" s="210"/>
      <c r="CD649" s="210"/>
      <c r="CE649" s="210"/>
      <c r="CF649" s="210"/>
      <c r="CG649" s="210"/>
      <c r="CH649" s="210"/>
      <c r="CI649" s="210"/>
      <c r="CJ649" s="210"/>
      <c r="CK649" s="210"/>
    </row>
    <row r="650">
      <c r="A650" s="220"/>
      <c r="F650" s="190"/>
      <c r="G650" s="190"/>
      <c r="L650" s="220"/>
      <c r="M650" s="22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4"/>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c r="BU650" s="210"/>
      <c r="BV650" s="210"/>
      <c r="BW650" s="210"/>
      <c r="BX650" s="210"/>
      <c r="BY650" s="210"/>
      <c r="BZ650" s="210"/>
      <c r="CA650" s="210"/>
      <c r="CB650" s="210"/>
      <c r="CC650" s="210"/>
      <c r="CD650" s="210"/>
      <c r="CE650" s="210"/>
      <c r="CF650" s="210"/>
      <c r="CG650" s="210"/>
      <c r="CH650" s="210"/>
      <c r="CI650" s="210"/>
      <c r="CJ650" s="210"/>
      <c r="CK650" s="210"/>
    </row>
    <row r="651">
      <c r="A651" s="220"/>
      <c r="F651" s="190"/>
      <c r="G651" s="190"/>
      <c r="L651" s="220"/>
      <c r="M651" s="22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4"/>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c r="BU651" s="210"/>
      <c r="BV651" s="210"/>
      <c r="BW651" s="210"/>
      <c r="BX651" s="210"/>
      <c r="BY651" s="210"/>
      <c r="BZ651" s="210"/>
      <c r="CA651" s="210"/>
      <c r="CB651" s="210"/>
      <c r="CC651" s="210"/>
      <c r="CD651" s="210"/>
      <c r="CE651" s="210"/>
      <c r="CF651" s="210"/>
      <c r="CG651" s="210"/>
      <c r="CH651" s="210"/>
      <c r="CI651" s="210"/>
      <c r="CJ651" s="210"/>
      <c r="CK651" s="210"/>
    </row>
    <row r="652">
      <c r="A652" s="220"/>
      <c r="F652" s="190"/>
      <c r="G652" s="190"/>
      <c r="L652" s="220"/>
      <c r="M652" s="22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4"/>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c r="BU652" s="210"/>
      <c r="BV652" s="210"/>
      <c r="BW652" s="210"/>
      <c r="BX652" s="210"/>
      <c r="BY652" s="210"/>
      <c r="BZ652" s="210"/>
      <c r="CA652" s="210"/>
      <c r="CB652" s="210"/>
      <c r="CC652" s="210"/>
      <c r="CD652" s="210"/>
      <c r="CE652" s="210"/>
      <c r="CF652" s="210"/>
      <c r="CG652" s="210"/>
      <c r="CH652" s="210"/>
      <c r="CI652" s="210"/>
      <c r="CJ652" s="210"/>
      <c r="CK652" s="210"/>
    </row>
    <row r="653">
      <c r="A653" s="220"/>
      <c r="F653" s="190"/>
      <c r="G653" s="190"/>
      <c r="L653" s="220"/>
      <c r="M653" s="22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4"/>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c r="BU653" s="210"/>
      <c r="BV653" s="210"/>
      <c r="BW653" s="210"/>
      <c r="BX653" s="210"/>
      <c r="BY653" s="210"/>
      <c r="BZ653" s="210"/>
      <c r="CA653" s="210"/>
      <c r="CB653" s="210"/>
      <c r="CC653" s="210"/>
      <c r="CD653" s="210"/>
      <c r="CE653" s="210"/>
      <c r="CF653" s="210"/>
      <c r="CG653" s="210"/>
      <c r="CH653" s="210"/>
      <c r="CI653" s="210"/>
      <c r="CJ653" s="210"/>
      <c r="CK653" s="210"/>
    </row>
    <row r="654">
      <c r="A654" s="220"/>
      <c r="F654" s="190"/>
      <c r="G654" s="190"/>
      <c r="L654" s="220"/>
      <c r="M654" s="22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4"/>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c r="BU654" s="210"/>
      <c r="BV654" s="210"/>
      <c r="BW654" s="210"/>
      <c r="BX654" s="210"/>
      <c r="BY654" s="210"/>
      <c r="BZ654" s="210"/>
      <c r="CA654" s="210"/>
      <c r="CB654" s="210"/>
      <c r="CC654" s="210"/>
      <c r="CD654" s="210"/>
      <c r="CE654" s="210"/>
      <c r="CF654" s="210"/>
      <c r="CG654" s="210"/>
      <c r="CH654" s="210"/>
      <c r="CI654" s="210"/>
      <c r="CJ654" s="210"/>
      <c r="CK654" s="210"/>
    </row>
    <row r="655">
      <c r="A655" s="220"/>
      <c r="F655" s="190"/>
      <c r="G655" s="190"/>
      <c r="L655" s="220"/>
      <c r="M655" s="22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4"/>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c r="BU655" s="210"/>
      <c r="BV655" s="210"/>
      <c r="BW655" s="210"/>
      <c r="BX655" s="210"/>
      <c r="BY655" s="210"/>
      <c r="BZ655" s="210"/>
      <c r="CA655" s="210"/>
      <c r="CB655" s="210"/>
      <c r="CC655" s="210"/>
      <c r="CD655" s="210"/>
      <c r="CE655" s="210"/>
      <c r="CF655" s="210"/>
      <c r="CG655" s="210"/>
      <c r="CH655" s="210"/>
      <c r="CI655" s="210"/>
      <c r="CJ655" s="210"/>
      <c r="CK655" s="210"/>
    </row>
    <row r="656">
      <c r="A656" s="220"/>
      <c r="F656" s="190"/>
      <c r="G656" s="190"/>
      <c r="L656" s="220"/>
      <c r="M656" s="22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4"/>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c r="BU656" s="210"/>
      <c r="BV656" s="210"/>
      <c r="BW656" s="210"/>
      <c r="BX656" s="210"/>
      <c r="BY656" s="210"/>
      <c r="BZ656" s="210"/>
      <c r="CA656" s="210"/>
      <c r="CB656" s="210"/>
      <c r="CC656" s="210"/>
      <c r="CD656" s="210"/>
      <c r="CE656" s="210"/>
      <c r="CF656" s="210"/>
      <c r="CG656" s="210"/>
      <c r="CH656" s="210"/>
      <c r="CI656" s="210"/>
      <c r="CJ656" s="210"/>
      <c r="CK656" s="210"/>
    </row>
    <row r="657">
      <c r="A657" s="220"/>
      <c r="F657" s="190"/>
      <c r="G657" s="190"/>
      <c r="L657" s="220"/>
      <c r="M657" s="22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4"/>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c r="BU657" s="210"/>
      <c r="BV657" s="210"/>
      <c r="BW657" s="210"/>
      <c r="BX657" s="210"/>
      <c r="BY657" s="210"/>
      <c r="BZ657" s="210"/>
      <c r="CA657" s="210"/>
      <c r="CB657" s="210"/>
      <c r="CC657" s="210"/>
      <c r="CD657" s="210"/>
      <c r="CE657" s="210"/>
      <c r="CF657" s="210"/>
      <c r="CG657" s="210"/>
      <c r="CH657" s="210"/>
      <c r="CI657" s="210"/>
      <c r="CJ657" s="210"/>
      <c r="CK657" s="210"/>
    </row>
    <row r="658">
      <c r="A658" s="220"/>
      <c r="F658" s="190"/>
      <c r="G658" s="190"/>
      <c r="L658" s="220"/>
      <c r="M658" s="22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4"/>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c r="BU658" s="210"/>
      <c r="BV658" s="210"/>
      <c r="BW658" s="210"/>
      <c r="BX658" s="210"/>
      <c r="BY658" s="210"/>
      <c r="BZ658" s="210"/>
      <c r="CA658" s="210"/>
      <c r="CB658" s="210"/>
      <c r="CC658" s="210"/>
      <c r="CD658" s="210"/>
      <c r="CE658" s="210"/>
      <c r="CF658" s="210"/>
      <c r="CG658" s="210"/>
      <c r="CH658" s="210"/>
      <c r="CI658" s="210"/>
      <c r="CJ658" s="210"/>
      <c r="CK658" s="210"/>
    </row>
    <row r="659">
      <c r="A659" s="220"/>
      <c r="F659" s="190"/>
      <c r="G659" s="190"/>
      <c r="L659" s="220"/>
      <c r="M659" s="22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4"/>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c r="BU659" s="210"/>
      <c r="BV659" s="210"/>
      <c r="BW659" s="210"/>
      <c r="BX659" s="210"/>
      <c r="BY659" s="210"/>
      <c r="BZ659" s="210"/>
      <c r="CA659" s="210"/>
      <c r="CB659" s="210"/>
      <c r="CC659" s="210"/>
      <c r="CD659" s="210"/>
      <c r="CE659" s="210"/>
      <c r="CF659" s="210"/>
      <c r="CG659" s="210"/>
      <c r="CH659" s="210"/>
      <c r="CI659" s="210"/>
      <c r="CJ659" s="210"/>
      <c r="CK659" s="210"/>
    </row>
    <row r="660">
      <c r="A660" s="220"/>
      <c r="F660" s="190"/>
      <c r="G660" s="190"/>
      <c r="L660" s="220"/>
      <c r="M660" s="22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4"/>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c r="BU660" s="210"/>
      <c r="BV660" s="210"/>
      <c r="BW660" s="210"/>
      <c r="BX660" s="210"/>
      <c r="BY660" s="210"/>
      <c r="BZ660" s="210"/>
      <c r="CA660" s="210"/>
      <c r="CB660" s="210"/>
      <c r="CC660" s="210"/>
      <c r="CD660" s="210"/>
      <c r="CE660" s="210"/>
      <c r="CF660" s="210"/>
      <c r="CG660" s="210"/>
      <c r="CH660" s="210"/>
      <c r="CI660" s="210"/>
      <c r="CJ660" s="210"/>
      <c r="CK660" s="210"/>
    </row>
    <row r="661">
      <c r="A661" s="220"/>
      <c r="F661" s="190"/>
      <c r="G661" s="190"/>
      <c r="L661" s="220"/>
      <c r="M661" s="22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4"/>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c r="BU661" s="210"/>
      <c r="BV661" s="210"/>
      <c r="BW661" s="210"/>
      <c r="BX661" s="210"/>
      <c r="BY661" s="210"/>
      <c r="BZ661" s="210"/>
      <c r="CA661" s="210"/>
      <c r="CB661" s="210"/>
      <c r="CC661" s="210"/>
      <c r="CD661" s="210"/>
      <c r="CE661" s="210"/>
      <c r="CF661" s="210"/>
      <c r="CG661" s="210"/>
      <c r="CH661" s="210"/>
      <c r="CI661" s="210"/>
      <c r="CJ661" s="210"/>
      <c r="CK661" s="210"/>
    </row>
    <row r="662">
      <c r="A662" s="220"/>
      <c r="F662" s="190"/>
      <c r="G662" s="190"/>
      <c r="L662" s="220"/>
      <c r="M662" s="22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4"/>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c r="BU662" s="210"/>
      <c r="BV662" s="210"/>
      <c r="BW662" s="210"/>
      <c r="BX662" s="210"/>
      <c r="BY662" s="210"/>
      <c r="BZ662" s="210"/>
      <c r="CA662" s="210"/>
      <c r="CB662" s="210"/>
      <c r="CC662" s="210"/>
      <c r="CD662" s="210"/>
      <c r="CE662" s="210"/>
      <c r="CF662" s="210"/>
      <c r="CG662" s="210"/>
      <c r="CH662" s="210"/>
      <c r="CI662" s="210"/>
      <c r="CJ662" s="210"/>
      <c r="CK662" s="210"/>
    </row>
    <row r="663">
      <c r="A663" s="220"/>
      <c r="F663" s="190"/>
      <c r="G663" s="190"/>
      <c r="L663" s="220"/>
      <c r="M663" s="22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4"/>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c r="BU663" s="210"/>
      <c r="BV663" s="210"/>
      <c r="BW663" s="210"/>
      <c r="BX663" s="210"/>
      <c r="BY663" s="210"/>
      <c r="BZ663" s="210"/>
      <c r="CA663" s="210"/>
      <c r="CB663" s="210"/>
      <c r="CC663" s="210"/>
      <c r="CD663" s="210"/>
      <c r="CE663" s="210"/>
      <c r="CF663" s="210"/>
      <c r="CG663" s="210"/>
      <c r="CH663" s="210"/>
      <c r="CI663" s="210"/>
      <c r="CJ663" s="210"/>
      <c r="CK663" s="210"/>
    </row>
    <row r="664">
      <c r="A664" s="220"/>
      <c r="F664" s="190"/>
      <c r="G664" s="190"/>
      <c r="L664" s="220"/>
      <c r="M664" s="22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4"/>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c r="BU664" s="210"/>
      <c r="BV664" s="210"/>
      <c r="BW664" s="210"/>
      <c r="BX664" s="210"/>
      <c r="BY664" s="210"/>
      <c r="BZ664" s="210"/>
      <c r="CA664" s="210"/>
      <c r="CB664" s="210"/>
      <c r="CC664" s="210"/>
      <c r="CD664" s="210"/>
      <c r="CE664" s="210"/>
      <c r="CF664" s="210"/>
      <c r="CG664" s="210"/>
      <c r="CH664" s="210"/>
      <c r="CI664" s="210"/>
      <c r="CJ664" s="210"/>
      <c r="CK664" s="210"/>
    </row>
    <row r="665">
      <c r="A665" s="220"/>
      <c r="F665" s="190"/>
      <c r="G665" s="190"/>
      <c r="L665" s="220"/>
      <c r="M665" s="22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4"/>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c r="BU665" s="210"/>
      <c r="BV665" s="210"/>
      <c r="BW665" s="210"/>
      <c r="BX665" s="210"/>
      <c r="BY665" s="210"/>
      <c r="BZ665" s="210"/>
      <c r="CA665" s="210"/>
      <c r="CB665" s="210"/>
      <c r="CC665" s="210"/>
      <c r="CD665" s="210"/>
      <c r="CE665" s="210"/>
      <c r="CF665" s="210"/>
      <c r="CG665" s="210"/>
      <c r="CH665" s="210"/>
      <c r="CI665" s="210"/>
      <c r="CJ665" s="210"/>
      <c r="CK665" s="210"/>
    </row>
    <row r="666">
      <c r="A666" s="220"/>
      <c r="F666" s="190"/>
      <c r="G666" s="190"/>
      <c r="L666" s="220"/>
      <c r="M666" s="22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4"/>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c r="BU666" s="210"/>
      <c r="BV666" s="210"/>
      <c r="BW666" s="210"/>
      <c r="BX666" s="210"/>
      <c r="BY666" s="210"/>
      <c r="BZ666" s="210"/>
      <c r="CA666" s="210"/>
      <c r="CB666" s="210"/>
      <c r="CC666" s="210"/>
      <c r="CD666" s="210"/>
      <c r="CE666" s="210"/>
      <c r="CF666" s="210"/>
      <c r="CG666" s="210"/>
      <c r="CH666" s="210"/>
      <c r="CI666" s="210"/>
      <c r="CJ666" s="210"/>
      <c r="CK666" s="210"/>
    </row>
    <row r="667">
      <c r="A667" s="220"/>
      <c r="F667" s="190"/>
      <c r="G667" s="190"/>
      <c r="L667" s="220"/>
      <c r="M667" s="22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4"/>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c r="BU667" s="210"/>
      <c r="BV667" s="210"/>
      <c r="BW667" s="210"/>
      <c r="BX667" s="210"/>
      <c r="BY667" s="210"/>
      <c r="BZ667" s="210"/>
      <c r="CA667" s="210"/>
      <c r="CB667" s="210"/>
      <c r="CC667" s="210"/>
      <c r="CD667" s="210"/>
      <c r="CE667" s="210"/>
      <c r="CF667" s="210"/>
      <c r="CG667" s="210"/>
      <c r="CH667" s="210"/>
      <c r="CI667" s="210"/>
      <c r="CJ667" s="210"/>
      <c r="CK667" s="210"/>
    </row>
    <row r="668">
      <c r="A668" s="220"/>
      <c r="F668" s="190"/>
      <c r="G668" s="190"/>
      <c r="L668" s="220"/>
      <c r="M668" s="22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4"/>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c r="BU668" s="210"/>
      <c r="BV668" s="210"/>
      <c r="BW668" s="210"/>
      <c r="BX668" s="210"/>
      <c r="BY668" s="210"/>
      <c r="BZ668" s="210"/>
      <c r="CA668" s="210"/>
      <c r="CB668" s="210"/>
      <c r="CC668" s="210"/>
      <c r="CD668" s="210"/>
      <c r="CE668" s="210"/>
      <c r="CF668" s="210"/>
      <c r="CG668" s="210"/>
      <c r="CH668" s="210"/>
      <c r="CI668" s="210"/>
      <c r="CJ668" s="210"/>
      <c r="CK668" s="210"/>
    </row>
    <row r="669">
      <c r="A669" s="220"/>
      <c r="F669" s="190"/>
      <c r="G669" s="190"/>
      <c r="L669" s="220"/>
      <c r="M669" s="22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4"/>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c r="BU669" s="210"/>
      <c r="BV669" s="210"/>
      <c r="BW669" s="210"/>
      <c r="BX669" s="210"/>
      <c r="BY669" s="210"/>
      <c r="BZ669" s="210"/>
      <c r="CA669" s="210"/>
      <c r="CB669" s="210"/>
      <c r="CC669" s="210"/>
      <c r="CD669" s="210"/>
      <c r="CE669" s="210"/>
      <c r="CF669" s="210"/>
      <c r="CG669" s="210"/>
      <c r="CH669" s="210"/>
      <c r="CI669" s="210"/>
      <c r="CJ669" s="210"/>
      <c r="CK669" s="210"/>
    </row>
    <row r="670">
      <c r="A670" s="220"/>
      <c r="F670" s="190"/>
      <c r="G670" s="190"/>
      <c r="L670" s="220"/>
      <c r="M670" s="22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4"/>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c r="BU670" s="210"/>
      <c r="BV670" s="210"/>
      <c r="BW670" s="210"/>
      <c r="BX670" s="210"/>
      <c r="BY670" s="210"/>
      <c r="BZ670" s="210"/>
      <c r="CA670" s="210"/>
      <c r="CB670" s="210"/>
      <c r="CC670" s="210"/>
      <c r="CD670" s="210"/>
      <c r="CE670" s="210"/>
      <c r="CF670" s="210"/>
      <c r="CG670" s="210"/>
      <c r="CH670" s="210"/>
      <c r="CI670" s="210"/>
      <c r="CJ670" s="210"/>
      <c r="CK670" s="210"/>
    </row>
    <row r="671">
      <c r="A671" s="220"/>
      <c r="F671" s="190"/>
      <c r="G671" s="190"/>
      <c r="L671" s="220"/>
      <c r="M671" s="22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4"/>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c r="BU671" s="210"/>
      <c r="BV671" s="210"/>
      <c r="BW671" s="210"/>
      <c r="BX671" s="210"/>
      <c r="BY671" s="210"/>
      <c r="BZ671" s="210"/>
      <c r="CA671" s="210"/>
      <c r="CB671" s="210"/>
      <c r="CC671" s="210"/>
      <c r="CD671" s="210"/>
      <c r="CE671" s="210"/>
      <c r="CF671" s="210"/>
      <c r="CG671" s="210"/>
      <c r="CH671" s="210"/>
      <c r="CI671" s="210"/>
      <c r="CJ671" s="210"/>
      <c r="CK671" s="210"/>
    </row>
    <row r="672">
      <c r="A672" s="220"/>
      <c r="F672" s="190"/>
      <c r="G672" s="190"/>
      <c r="L672" s="220"/>
      <c r="M672" s="22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4"/>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c r="BU672" s="210"/>
      <c r="BV672" s="210"/>
      <c r="BW672" s="210"/>
      <c r="BX672" s="210"/>
      <c r="BY672" s="210"/>
      <c r="BZ672" s="210"/>
      <c r="CA672" s="210"/>
      <c r="CB672" s="210"/>
      <c r="CC672" s="210"/>
      <c r="CD672" s="210"/>
      <c r="CE672" s="210"/>
      <c r="CF672" s="210"/>
      <c r="CG672" s="210"/>
      <c r="CH672" s="210"/>
      <c r="CI672" s="210"/>
      <c r="CJ672" s="210"/>
      <c r="CK672" s="210"/>
    </row>
    <row r="673">
      <c r="A673" s="220"/>
      <c r="F673" s="190"/>
      <c r="G673" s="190"/>
      <c r="L673" s="220"/>
      <c r="M673" s="22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4"/>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c r="BU673" s="210"/>
      <c r="BV673" s="210"/>
      <c r="BW673" s="210"/>
      <c r="BX673" s="210"/>
      <c r="BY673" s="210"/>
      <c r="BZ673" s="210"/>
      <c r="CA673" s="210"/>
      <c r="CB673" s="210"/>
      <c r="CC673" s="210"/>
      <c r="CD673" s="210"/>
      <c r="CE673" s="210"/>
      <c r="CF673" s="210"/>
      <c r="CG673" s="210"/>
      <c r="CH673" s="210"/>
      <c r="CI673" s="210"/>
      <c r="CJ673" s="210"/>
      <c r="CK673" s="210"/>
    </row>
    <row r="674">
      <c r="A674" s="220"/>
      <c r="F674" s="190"/>
      <c r="G674" s="190"/>
      <c r="L674" s="220"/>
      <c r="M674" s="22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4"/>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c r="BU674" s="210"/>
      <c r="BV674" s="210"/>
      <c r="BW674" s="210"/>
      <c r="BX674" s="210"/>
      <c r="BY674" s="210"/>
      <c r="BZ674" s="210"/>
      <c r="CA674" s="210"/>
      <c r="CB674" s="210"/>
      <c r="CC674" s="210"/>
      <c r="CD674" s="210"/>
      <c r="CE674" s="210"/>
      <c r="CF674" s="210"/>
      <c r="CG674" s="210"/>
      <c r="CH674" s="210"/>
      <c r="CI674" s="210"/>
      <c r="CJ674" s="210"/>
      <c r="CK674" s="210"/>
    </row>
    <row r="675">
      <c r="A675" s="220"/>
      <c r="F675" s="190"/>
      <c r="G675" s="190"/>
      <c r="L675" s="220"/>
      <c r="M675" s="22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4"/>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c r="BU675" s="210"/>
      <c r="BV675" s="210"/>
      <c r="BW675" s="210"/>
      <c r="BX675" s="210"/>
      <c r="BY675" s="210"/>
      <c r="BZ675" s="210"/>
      <c r="CA675" s="210"/>
      <c r="CB675" s="210"/>
      <c r="CC675" s="210"/>
      <c r="CD675" s="210"/>
      <c r="CE675" s="210"/>
      <c r="CF675" s="210"/>
      <c r="CG675" s="210"/>
      <c r="CH675" s="210"/>
      <c r="CI675" s="210"/>
      <c r="CJ675" s="210"/>
      <c r="CK675" s="210"/>
    </row>
    <row r="676">
      <c r="A676" s="220"/>
      <c r="F676" s="190"/>
      <c r="G676" s="190"/>
      <c r="L676" s="220"/>
      <c r="M676" s="22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4"/>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c r="BU676" s="210"/>
      <c r="BV676" s="210"/>
      <c r="BW676" s="210"/>
      <c r="BX676" s="210"/>
      <c r="BY676" s="210"/>
      <c r="BZ676" s="210"/>
      <c r="CA676" s="210"/>
      <c r="CB676" s="210"/>
      <c r="CC676" s="210"/>
      <c r="CD676" s="210"/>
      <c r="CE676" s="210"/>
      <c r="CF676" s="210"/>
      <c r="CG676" s="210"/>
      <c r="CH676" s="210"/>
      <c r="CI676" s="210"/>
      <c r="CJ676" s="210"/>
      <c r="CK676" s="210"/>
    </row>
    <row r="677">
      <c r="A677" s="220"/>
      <c r="F677" s="190"/>
      <c r="G677" s="190"/>
      <c r="L677" s="220"/>
      <c r="M677" s="22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4"/>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c r="BU677" s="210"/>
      <c r="BV677" s="210"/>
      <c r="BW677" s="210"/>
      <c r="BX677" s="210"/>
      <c r="BY677" s="210"/>
      <c r="BZ677" s="210"/>
      <c r="CA677" s="210"/>
      <c r="CB677" s="210"/>
      <c r="CC677" s="210"/>
      <c r="CD677" s="210"/>
      <c r="CE677" s="210"/>
      <c r="CF677" s="210"/>
      <c r="CG677" s="210"/>
      <c r="CH677" s="210"/>
      <c r="CI677" s="210"/>
      <c r="CJ677" s="210"/>
      <c r="CK677" s="210"/>
    </row>
    <row r="678">
      <c r="A678" s="220"/>
      <c r="F678" s="190"/>
      <c r="G678" s="190"/>
      <c r="L678" s="220"/>
      <c r="M678" s="22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4"/>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c r="BU678" s="210"/>
      <c r="BV678" s="210"/>
      <c r="BW678" s="210"/>
      <c r="BX678" s="210"/>
      <c r="BY678" s="210"/>
      <c r="BZ678" s="210"/>
      <c r="CA678" s="210"/>
      <c r="CB678" s="210"/>
      <c r="CC678" s="210"/>
      <c r="CD678" s="210"/>
      <c r="CE678" s="210"/>
      <c r="CF678" s="210"/>
      <c r="CG678" s="210"/>
      <c r="CH678" s="210"/>
      <c r="CI678" s="210"/>
      <c r="CJ678" s="210"/>
      <c r="CK678" s="210"/>
    </row>
    <row r="679">
      <c r="A679" s="220"/>
      <c r="F679" s="190"/>
      <c r="G679" s="190"/>
      <c r="L679" s="220"/>
      <c r="M679" s="22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4"/>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c r="BU679" s="210"/>
      <c r="BV679" s="210"/>
      <c r="BW679" s="210"/>
      <c r="BX679" s="210"/>
      <c r="BY679" s="210"/>
      <c r="BZ679" s="210"/>
      <c r="CA679" s="210"/>
      <c r="CB679" s="210"/>
      <c r="CC679" s="210"/>
      <c r="CD679" s="210"/>
      <c r="CE679" s="210"/>
      <c r="CF679" s="210"/>
      <c r="CG679" s="210"/>
      <c r="CH679" s="210"/>
      <c r="CI679" s="210"/>
      <c r="CJ679" s="210"/>
      <c r="CK679" s="210"/>
    </row>
    <row r="680">
      <c r="A680" s="220"/>
      <c r="F680" s="190"/>
      <c r="G680" s="190"/>
      <c r="L680" s="220"/>
      <c r="M680" s="22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4"/>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c r="BU680" s="210"/>
      <c r="BV680" s="210"/>
      <c r="BW680" s="210"/>
      <c r="BX680" s="210"/>
      <c r="BY680" s="210"/>
      <c r="BZ680" s="210"/>
      <c r="CA680" s="210"/>
      <c r="CB680" s="210"/>
      <c r="CC680" s="210"/>
      <c r="CD680" s="210"/>
      <c r="CE680" s="210"/>
      <c r="CF680" s="210"/>
      <c r="CG680" s="210"/>
      <c r="CH680" s="210"/>
      <c r="CI680" s="210"/>
      <c r="CJ680" s="210"/>
      <c r="CK680" s="210"/>
    </row>
    <row r="681">
      <c r="A681" s="220"/>
      <c r="F681" s="190"/>
      <c r="G681" s="190"/>
      <c r="L681" s="220"/>
      <c r="M681" s="22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4"/>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c r="BU681" s="210"/>
      <c r="BV681" s="210"/>
      <c r="BW681" s="210"/>
      <c r="BX681" s="210"/>
      <c r="BY681" s="210"/>
      <c r="BZ681" s="210"/>
      <c r="CA681" s="210"/>
      <c r="CB681" s="210"/>
      <c r="CC681" s="210"/>
      <c r="CD681" s="210"/>
      <c r="CE681" s="210"/>
      <c r="CF681" s="210"/>
      <c r="CG681" s="210"/>
      <c r="CH681" s="210"/>
      <c r="CI681" s="210"/>
      <c r="CJ681" s="210"/>
      <c r="CK681" s="210"/>
    </row>
    <row r="682">
      <c r="A682" s="220"/>
      <c r="F682" s="190"/>
      <c r="G682" s="190"/>
      <c r="L682" s="220"/>
      <c r="M682" s="22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4"/>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c r="BU682" s="210"/>
      <c r="BV682" s="210"/>
      <c r="BW682" s="210"/>
      <c r="BX682" s="210"/>
      <c r="BY682" s="210"/>
      <c r="BZ682" s="210"/>
      <c r="CA682" s="210"/>
      <c r="CB682" s="210"/>
      <c r="CC682" s="210"/>
      <c r="CD682" s="210"/>
      <c r="CE682" s="210"/>
      <c r="CF682" s="210"/>
      <c r="CG682" s="210"/>
      <c r="CH682" s="210"/>
      <c r="CI682" s="210"/>
      <c r="CJ682" s="210"/>
      <c r="CK682" s="210"/>
    </row>
    <row r="683">
      <c r="A683" s="220"/>
      <c r="F683" s="190"/>
      <c r="G683" s="190"/>
      <c r="L683" s="220"/>
      <c r="M683" s="22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4"/>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c r="BU683" s="210"/>
      <c r="BV683" s="210"/>
      <c r="BW683" s="210"/>
      <c r="BX683" s="210"/>
      <c r="BY683" s="210"/>
      <c r="BZ683" s="210"/>
      <c r="CA683" s="210"/>
      <c r="CB683" s="210"/>
      <c r="CC683" s="210"/>
      <c r="CD683" s="210"/>
      <c r="CE683" s="210"/>
      <c r="CF683" s="210"/>
      <c r="CG683" s="210"/>
      <c r="CH683" s="210"/>
      <c r="CI683" s="210"/>
      <c r="CJ683" s="210"/>
      <c r="CK683" s="210"/>
    </row>
    <row r="684">
      <c r="A684" s="220"/>
      <c r="F684" s="190"/>
      <c r="G684" s="190"/>
      <c r="L684" s="220"/>
      <c r="M684" s="22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4"/>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c r="BU684" s="210"/>
      <c r="BV684" s="210"/>
      <c r="BW684" s="210"/>
      <c r="BX684" s="210"/>
      <c r="BY684" s="210"/>
      <c r="BZ684" s="210"/>
      <c r="CA684" s="210"/>
      <c r="CB684" s="210"/>
      <c r="CC684" s="210"/>
      <c r="CD684" s="210"/>
      <c r="CE684" s="210"/>
      <c r="CF684" s="210"/>
      <c r="CG684" s="210"/>
      <c r="CH684" s="210"/>
      <c r="CI684" s="210"/>
      <c r="CJ684" s="210"/>
      <c r="CK684" s="210"/>
    </row>
    <row r="685">
      <c r="A685" s="220"/>
      <c r="F685" s="190"/>
      <c r="G685" s="190"/>
      <c r="L685" s="220"/>
      <c r="M685" s="22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4"/>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c r="BU685" s="210"/>
      <c r="BV685" s="210"/>
      <c r="BW685" s="210"/>
      <c r="BX685" s="210"/>
      <c r="BY685" s="210"/>
      <c r="BZ685" s="210"/>
      <c r="CA685" s="210"/>
      <c r="CB685" s="210"/>
      <c r="CC685" s="210"/>
      <c r="CD685" s="210"/>
      <c r="CE685" s="210"/>
      <c r="CF685" s="210"/>
      <c r="CG685" s="210"/>
      <c r="CH685" s="210"/>
      <c r="CI685" s="210"/>
      <c r="CJ685" s="210"/>
      <c r="CK685" s="210"/>
    </row>
    <row r="686">
      <c r="A686" s="220"/>
      <c r="F686" s="190"/>
      <c r="G686" s="190"/>
      <c r="L686" s="220"/>
      <c r="M686" s="22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4"/>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c r="BU686" s="210"/>
      <c r="BV686" s="210"/>
      <c r="BW686" s="210"/>
      <c r="BX686" s="210"/>
      <c r="BY686" s="210"/>
      <c r="BZ686" s="210"/>
      <c r="CA686" s="210"/>
      <c r="CB686" s="210"/>
      <c r="CC686" s="210"/>
      <c r="CD686" s="210"/>
      <c r="CE686" s="210"/>
      <c r="CF686" s="210"/>
      <c r="CG686" s="210"/>
      <c r="CH686" s="210"/>
      <c r="CI686" s="210"/>
      <c r="CJ686" s="210"/>
      <c r="CK686" s="210"/>
    </row>
    <row r="687">
      <c r="A687" s="220"/>
      <c r="F687" s="190"/>
      <c r="G687" s="190"/>
      <c r="L687" s="220"/>
      <c r="M687" s="22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4"/>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c r="BU687" s="210"/>
      <c r="BV687" s="210"/>
      <c r="BW687" s="210"/>
      <c r="BX687" s="210"/>
      <c r="BY687" s="210"/>
      <c r="BZ687" s="210"/>
      <c r="CA687" s="210"/>
      <c r="CB687" s="210"/>
      <c r="CC687" s="210"/>
      <c r="CD687" s="210"/>
      <c r="CE687" s="210"/>
      <c r="CF687" s="210"/>
      <c r="CG687" s="210"/>
      <c r="CH687" s="210"/>
      <c r="CI687" s="210"/>
      <c r="CJ687" s="210"/>
      <c r="CK687" s="210"/>
    </row>
    <row r="688">
      <c r="A688" s="220"/>
      <c r="F688" s="190"/>
      <c r="G688" s="190"/>
      <c r="L688" s="220"/>
      <c r="M688" s="22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4"/>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c r="BU688" s="210"/>
      <c r="BV688" s="210"/>
      <c r="BW688" s="210"/>
      <c r="BX688" s="210"/>
      <c r="BY688" s="210"/>
      <c r="BZ688" s="210"/>
      <c r="CA688" s="210"/>
      <c r="CB688" s="210"/>
      <c r="CC688" s="210"/>
      <c r="CD688" s="210"/>
      <c r="CE688" s="210"/>
      <c r="CF688" s="210"/>
      <c r="CG688" s="210"/>
      <c r="CH688" s="210"/>
      <c r="CI688" s="210"/>
      <c r="CJ688" s="210"/>
      <c r="CK688" s="210"/>
    </row>
    <row r="689">
      <c r="A689" s="220"/>
      <c r="F689" s="190"/>
      <c r="G689" s="190"/>
      <c r="L689" s="220"/>
      <c r="M689" s="22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4"/>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c r="BU689" s="210"/>
      <c r="BV689" s="210"/>
      <c r="BW689" s="210"/>
      <c r="BX689" s="210"/>
      <c r="BY689" s="210"/>
      <c r="BZ689" s="210"/>
      <c r="CA689" s="210"/>
      <c r="CB689" s="210"/>
      <c r="CC689" s="210"/>
      <c r="CD689" s="210"/>
      <c r="CE689" s="210"/>
      <c r="CF689" s="210"/>
      <c r="CG689" s="210"/>
      <c r="CH689" s="210"/>
      <c r="CI689" s="210"/>
      <c r="CJ689" s="210"/>
      <c r="CK689" s="210"/>
    </row>
    <row r="690">
      <c r="A690" s="220"/>
      <c r="F690" s="190"/>
      <c r="G690" s="190"/>
      <c r="L690" s="220"/>
      <c r="M690" s="22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4"/>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c r="BU690" s="210"/>
      <c r="BV690" s="210"/>
      <c r="BW690" s="210"/>
      <c r="BX690" s="210"/>
      <c r="BY690" s="210"/>
      <c r="BZ690" s="210"/>
      <c r="CA690" s="210"/>
      <c r="CB690" s="210"/>
      <c r="CC690" s="210"/>
      <c r="CD690" s="210"/>
      <c r="CE690" s="210"/>
      <c r="CF690" s="210"/>
      <c r="CG690" s="210"/>
      <c r="CH690" s="210"/>
      <c r="CI690" s="210"/>
      <c r="CJ690" s="210"/>
      <c r="CK690" s="210"/>
    </row>
    <row r="691">
      <c r="A691" s="220"/>
      <c r="F691" s="190"/>
      <c r="G691" s="190"/>
      <c r="L691" s="220"/>
      <c r="M691" s="22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4"/>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c r="BU691" s="210"/>
      <c r="BV691" s="210"/>
      <c r="BW691" s="210"/>
      <c r="BX691" s="210"/>
      <c r="BY691" s="210"/>
      <c r="BZ691" s="210"/>
      <c r="CA691" s="210"/>
      <c r="CB691" s="210"/>
      <c r="CC691" s="210"/>
      <c r="CD691" s="210"/>
      <c r="CE691" s="210"/>
      <c r="CF691" s="210"/>
      <c r="CG691" s="210"/>
      <c r="CH691" s="210"/>
      <c r="CI691" s="210"/>
      <c r="CJ691" s="210"/>
      <c r="CK691" s="210"/>
    </row>
    <row r="692">
      <c r="A692" s="220"/>
      <c r="F692" s="190"/>
      <c r="G692" s="190"/>
      <c r="L692" s="220"/>
      <c r="M692" s="22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4"/>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c r="BU692" s="210"/>
      <c r="BV692" s="210"/>
      <c r="BW692" s="210"/>
      <c r="BX692" s="210"/>
      <c r="BY692" s="210"/>
      <c r="BZ692" s="210"/>
      <c r="CA692" s="210"/>
      <c r="CB692" s="210"/>
      <c r="CC692" s="210"/>
      <c r="CD692" s="210"/>
      <c r="CE692" s="210"/>
      <c r="CF692" s="210"/>
      <c r="CG692" s="210"/>
      <c r="CH692" s="210"/>
      <c r="CI692" s="210"/>
      <c r="CJ692" s="210"/>
      <c r="CK692" s="210"/>
    </row>
    <row r="693">
      <c r="A693" s="220"/>
      <c r="F693" s="190"/>
      <c r="G693" s="190"/>
      <c r="L693" s="220"/>
      <c r="M693" s="22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4"/>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c r="BU693" s="210"/>
      <c r="BV693" s="210"/>
      <c r="BW693" s="210"/>
      <c r="BX693" s="210"/>
      <c r="BY693" s="210"/>
      <c r="BZ693" s="210"/>
      <c r="CA693" s="210"/>
      <c r="CB693" s="210"/>
      <c r="CC693" s="210"/>
      <c r="CD693" s="210"/>
      <c r="CE693" s="210"/>
      <c r="CF693" s="210"/>
      <c r="CG693" s="210"/>
      <c r="CH693" s="210"/>
      <c r="CI693" s="210"/>
      <c r="CJ693" s="210"/>
      <c r="CK693" s="210"/>
    </row>
    <row r="694">
      <c r="A694" s="220"/>
      <c r="F694" s="190"/>
      <c r="G694" s="190"/>
      <c r="L694" s="220"/>
      <c r="M694" s="22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4"/>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c r="BU694" s="210"/>
      <c r="BV694" s="210"/>
      <c r="BW694" s="210"/>
      <c r="BX694" s="210"/>
      <c r="BY694" s="210"/>
      <c r="BZ694" s="210"/>
      <c r="CA694" s="210"/>
      <c r="CB694" s="210"/>
      <c r="CC694" s="210"/>
      <c r="CD694" s="210"/>
      <c r="CE694" s="210"/>
      <c r="CF694" s="210"/>
      <c r="CG694" s="210"/>
      <c r="CH694" s="210"/>
      <c r="CI694" s="210"/>
      <c r="CJ694" s="210"/>
      <c r="CK694" s="210"/>
    </row>
    <row r="695">
      <c r="A695" s="220"/>
      <c r="F695" s="190"/>
      <c r="G695" s="190"/>
      <c r="L695" s="220"/>
      <c r="M695" s="22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4"/>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c r="BU695" s="210"/>
      <c r="BV695" s="210"/>
      <c r="BW695" s="210"/>
      <c r="BX695" s="210"/>
      <c r="BY695" s="210"/>
      <c r="BZ695" s="210"/>
      <c r="CA695" s="210"/>
      <c r="CB695" s="210"/>
      <c r="CC695" s="210"/>
      <c r="CD695" s="210"/>
      <c r="CE695" s="210"/>
      <c r="CF695" s="210"/>
      <c r="CG695" s="210"/>
      <c r="CH695" s="210"/>
      <c r="CI695" s="210"/>
      <c r="CJ695" s="210"/>
      <c r="CK695" s="210"/>
    </row>
    <row r="696">
      <c r="A696" s="220"/>
      <c r="F696" s="190"/>
      <c r="G696" s="190"/>
      <c r="L696" s="220"/>
      <c r="M696" s="22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4"/>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c r="BU696" s="210"/>
      <c r="BV696" s="210"/>
      <c r="BW696" s="210"/>
      <c r="BX696" s="210"/>
      <c r="BY696" s="210"/>
      <c r="BZ696" s="210"/>
      <c r="CA696" s="210"/>
      <c r="CB696" s="210"/>
      <c r="CC696" s="210"/>
      <c r="CD696" s="210"/>
      <c r="CE696" s="210"/>
      <c r="CF696" s="210"/>
      <c r="CG696" s="210"/>
      <c r="CH696" s="210"/>
      <c r="CI696" s="210"/>
      <c r="CJ696" s="210"/>
      <c r="CK696" s="210"/>
    </row>
    <row r="697">
      <c r="A697" s="220"/>
      <c r="F697" s="190"/>
      <c r="G697" s="190"/>
      <c r="L697" s="220"/>
      <c r="M697" s="22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4"/>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c r="BU697" s="210"/>
      <c r="BV697" s="210"/>
      <c r="BW697" s="210"/>
      <c r="BX697" s="210"/>
      <c r="BY697" s="210"/>
      <c r="BZ697" s="210"/>
      <c r="CA697" s="210"/>
      <c r="CB697" s="210"/>
      <c r="CC697" s="210"/>
      <c r="CD697" s="210"/>
      <c r="CE697" s="210"/>
      <c r="CF697" s="210"/>
      <c r="CG697" s="210"/>
      <c r="CH697" s="210"/>
      <c r="CI697" s="210"/>
      <c r="CJ697" s="210"/>
      <c r="CK697" s="210"/>
    </row>
    <row r="698">
      <c r="A698" s="220"/>
      <c r="F698" s="190"/>
      <c r="G698" s="190"/>
      <c r="L698" s="220"/>
      <c r="M698" s="22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4"/>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c r="BU698" s="210"/>
      <c r="BV698" s="210"/>
      <c r="BW698" s="210"/>
      <c r="BX698" s="210"/>
      <c r="BY698" s="210"/>
      <c r="BZ698" s="210"/>
      <c r="CA698" s="210"/>
      <c r="CB698" s="210"/>
      <c r="CC698" s="210"/>
      <c r="CD698" s="210"/>
      <c r="CE698" s="210"/>
      <c r="CF698" s="210"/>
      <c r="CG698" s="210"/>
      <c r="CH698" s="210"/>
      <c r="CI698" s="210"/>
      <c r="CJ698" s="210"/>
      <c r="CK698" s="210"/>
    </row>
    <row r="699">
      <c r="A699" s="220"/>
      <c r="F699" s="190"/>
      <c r="G699" s="190"/>
      <c r="L699" s="220"/>
      <c r="M699" s="22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4"/>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c r="BU699" s="210"/>
      <c r="BV699" s="210"/>
      <c r="BW699" s="210"/>
      <c r="BX699" s="210"/>
      <c r="BY699" s="210"/>
      <c r="BZ699" s="210"/>
      <c r="CA699" s="210"/>
      <c r="CB699" s="210"/>
      <c r="CC699" s="210"/>
      <c r="CD699" s="210"/>
      <c r="CE699" s="210"/>
      <c r="CF699" s="210"/>
      <c r="CG699" s="210"/>
      <c r="CH699" s="210"/>
      <c r="CI699" s="210"/>
      <c r="CJ699" s="210"/>
      <c r="CK699" s="210"/>
    </row>
    <row r="700">
      <c r="A700" s="220"/>
      <c r="F700" s="190"/>
      <c r="G700" s="190"/>
      <c r="L700" s="220"/>
      <c r="M700" s="22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4"/>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c r="BU700" s="210"/>
      <c r="BV700" s="210"/>
      <c r="BW700" s="210"/>
      <c r="BX700" s="210"/>
      <c r="BY700" s="210"/>
      <c r="BZ700" s="210"/>
      <c r="CA700" s="210"/>
      <c r="CB700" s="210"/>
      <c r="CC700" s="210"/>
      <c r="CD700" s="210"/>
      <c r="CE700" s="210"/>
      <c r="CF700" s="210"/>
      <c r="CG700" s="210"/>
      <c r="CH700" s="210"/>
      <c r="CI700" s="210"/>
      <c r="CJ700" s="210"/>
      <c r="CK700" s="210"/>
    </row>
    <row r="701">
      <c r="A701" s="220"/>
      <c r="F701" s="190"/>
      <c r="G701" s="190"/>
      <c r="L701" s="220"/>
      <c r="M701" s="22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4"/>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c r="BU701" s="210"/>
      <c r="BV701" s="210"/>
      <c r="BW701" s="210"/>
      <c r="BX701" s="210"/>
      <c r="BY701" s="210"/>
      <c r="BZ701" s="210"/>
      <c r="CA701" s="210"/>
      <c r="CB701" s="210"/>
      <c r="CC701" s="210"/>
      <c r="CD701" s="210"/>
      <c r="CE701" s="210"/>
      <c r="CF701" s="210"/>
      <c r="CG701" s="210"/>
      <c r="CH701" s="210"/>
      <c r="CI701" s="210"/>
      <c r="CJ701" s="210"/>
      <c r="CK701" s="210"/>
    </row>
    <row r="702">
      <c r="A702" s="220"/>
      <c r="F702" s="190"/>
      <c r="G702" s="190"/>
      <c r="L702" s="220"/>
      <c r="M702" s="22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4"/>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c r="BU702" s="210"/>
      <c r="BV702" s="210"/>
      <c r="BW702" s="210"/>
      <c r="BX702" s="210"/>
      <c r="BY702" s="210"/>
      <c r="BZ702" s="210"/>
      <c r="CA702" s="210"/>
      <c r="CB702" s="210"/>
      <c r="CC702" s="210"/>
      <c r="CD702" s="210"/>
      <c r="CE702" s="210"/>
      <c r="CF702" s="210"/>
      <c r="CG702" s="210"/>
      <c r="CH702" s="210"/>
      <c r="CI702" s="210"/>
      <c r="CJ702" s="210"/>
      <c r="CK702" s="210"/>
    </row>
    <row r="703">
      <c r="A703" s="220"/>
      <c r="F703" s="190"/>
      <c r="G703" s="190"/>
      <c r="L703" s="220"/>
      <c r="M703" s="22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4"/>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c r="BU703" s="210"/>
      <c r="BV703" s="210"/>
      <c r="BW703" s="210"/>
      <c r="BX703" s="210"/>
      <c r="BY703" s="210"/>
      <c r="BZ703" s="210"/>
      <c r="CA703" s="210"/>
      <c r="CB703" s="210"/>
      <c r="CC703" s="210"/>
      <c r="CD703" s="210"/>
      <c r="CE703" s="210"/>
      <c r="CF703" s="210"/>
      <c r="CG703" s="210"/>
      <c r="CH703" s="210"/>
      <c r="CI703" s="210"/>
      <c r="CJ703" s="210"/>
      <c r="CK703" s="210"/>
    </row>
    <row r="704">
      <c r="A704" s="220"/>
      <c r="F704" s="190"/>
      <c r="G704" s="190"/>
      <c r="L704" s="220"/>
      <c r="M704" s="22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4"/>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c r="BU704" s="210"/>
      <c r="BV704" s="210"/>
      <c r="BW704" s="210"/>
      <c r="BX704" s="210"/>
      <c r="BY704" s="210"/>
      <c r="BZ704" s="210"/>
      <c r="CA704" s="210"/>
      <c r="CB704" s="210"/>
      <c r="CC704" s="210"/>
      <c r="CD704" s="210"/>
      <c r="CE704" s="210"/>
      <c r="CF704" s="210"/>
      <c r="CG704" s="210"/>
      <c r="CH704" s="210"/>
      <c r="CI704" s="210"/>
      <c r="CJ704" s="210"/>
      <c r="CK704" s="210"/>
    </row>
    <row r="705">
      <c r="A705" s="220"/>
      <c r="F705" s="190"/>
      <c r="G705" s="190"/>
      <c r="L705" s="220"/>
      <c r="M705" s="22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4"/>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c r="BU705" s="210"/>
      <c r="BV705" s="210"/>
      <c r="BW705" s="210"/>
      <c r="BX705" s="210"/>
      <c r="BY705" s="210"/>
      <c r="BZ705" s="210"/>
      <c r="CA705" s="210"/>
      <c r="CB705" s="210"/>
      <c r="CC705" s="210"/>
      <c r="CD705" s="210"/>
      <c r="CE705" s="210"/>
      <c r="CF705" s="210"/>
      <c r="CG705" s="210"/>
      <c r="CH705" s="210"/>
      <c r="CI705" s="210"/>
      <c r="CJ705" s="210"/>
      <c r="CK705" s="210"/>
    </row>
    <row r="706">
      <c r="A706" s="220"/>
      <c r="F706" s="190"/>
      <c r="G706" s="190"/>
      <c r="L706" s="220"/>
      <c r="M706" s="22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4"/>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c r="BU706" s="210"/>
      <c r="BV706" s="210"/>
      <c r="BW706" s="210"/>
      <c r="BX706" s="210"/>
      <c r="BY706" s="210"/>
      <c r="BZ706" s="210"/>
      <c r="CA706" s="210"/>
      <c r="CB706" s="210"/>
      <c r="CC706" s="210"/>
      <c r="CD706" s="210"/>
      <c r="CE706" s="210"/>
      <c r="CF706" s="210"/>
      <c r="CG706" s="210"/>
      <c r="CH706" s="210"/>
      <c r="CI706" s="210"/>
      <c r="CJ706" s="210"/>
      <c r="CK706" s="210"/>
    </row>
    <row r="707">
      <c r="A707" s="220"/>
      <c r="F707" s="190"/>
      <c r="G707" s="190"/>
      <c r="L707" s="220"/>
      <c r="M707" s="22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4"/>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c r="BU707" s="210"/>
      <c r="BV707" s="210"/>
      <c r="BW707" s="210"/>
      <c r="BX707" s="210"/>
      <c r="BY707" s="210"/>
      <c r="BZ707" s="210"/>
      <c r="CA707" s="210"/>
      <c r="CB707" s="210"/>
      <c r="CC707" s="210"/>
      <c r="CD707" s="210"/>
      <c r="CE707" s="210"/>
      <c r="CF707" s="210"/>
      <c r="CG707" s="210"/>
      <c r="CH707" s="210"/>
      <c r="CI707" s="210"/>
      <c r="CJ707" s="210"/>
      <c r="CK707" s="210"/>
    </row>
    <row r="708">
      <c r="A708" s="220"/>
      <c r="F708" s="190"/>
      <c r="G708" s="190"/>
      <c r="L708" s="220"/>
      <c r="M708" s="22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4"/>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c r="BU708" s="210"/>
      <c r="BV708" s="210"/>
      <c r="BW708" s="210"/>
      <c r="BX708" s="210"/>
      <c r="BY708" s="210"/>
      <c r="BZ708" s="210"/>
      <c r="CA708" s="210"/>
      <c r="CB708" s="210"/>
      <c r="CC708" s="210"/>
      <c r="CD708" s="210"/>
      <c r="CE708" s="210"/>
      <c r="CF708" s="210"/>
      <c r="CG708" s="210"/>
      <c r="CH708" s="210"/>
      <c r="CI708" s="210"/>
      <c r="CJ708" s="210"/>
      <c r="CK708" s="210"/>
    </row>
    <row r="709">
      <c r="A709" s="220"/>
      <c r="F709" s="190"/>
      <c r="G709" s="190"/>
      <c r="L709" s="220"/>
      <c r="M709" s="22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4"/>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c r="BU709" s="210"/>
      <c r="BV709" s="210"/>
      <c r="BW709" s="210"/>
      <c r="BX709" s="210"/>
      <c r="BY709" s="210"/>
      <c r="BZ709" s="210"/>
      <c r="CA709" s="210"/>
      <c r="CB709" s="210"/>
      <c r="CC709" s="210"/>
      <c r="CD709" s="210"/>
      <c r="CE709" s="210"/>
      <c r="CF709" s="210"/>
      <c r="CG709" s="210"/>
      <c r="CH709" s="210"/>
      <c r="CI709" s="210"/>
      <c r="CJ709" s="210"/>
      <c r="CK709" s="210"/>
    </row>
    <row r="710">
      <c r="A710" s="220"/>
      <c r="F710" s="190"/>
      <c r="G710" s="190"/>
      <c r="L710" s="220"/>
      <c r="M710" s="22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4"/>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c r="BU710" s="210"/>
      <c r="BV710" s="210"/>
      <c r="BW710" s="210"/>
      <c r="BX710" s="210"/>
      <c r="BY710" s="210"/>
      <c r="BZ710" s="210"/>
      <c r="CA710" s="210"/>
      <c r="CB710" s="210"/>
      <c r="CC710" s="210"/>
      <c r="CD710" s="210"/>
      <c r="CE710" s="210"/>
      <c r="CF710" s="210"/>
      <c r="CG710" s="210"/>
      <c r="CH710" s="210"/>
      <c r="CI710" s="210"/>
      <c r="CJ710" s="210"/>
      <c r="CK710" s="210"/>
    </row>
    <row r="711">
      <c r="A711" s="220"/>
      <c r="F711" s="190"/>
      <c r="G711" s="190"/>
      <c r="L711" s="220"/>
      <c r="M711" s="22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4"/>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c r="BU711" s="210"/>
      <c r="BV711" s="210"/>
      <c r="BW711" s="210"/>
      <c r="BX711" s="210"/>
      <c r="BY711" s="210"/>
      <c r="BZ711" s="210"/>
      <c r="CA711" s="210"/>
      <c r="CB711" s="210"/>
      <c r="CC711" s="210"/>
      <c r="CD711" s="210"/>
      <c r="CE711" s="210"/>
      <c r="CF711" s="210"/>
      <c r="CG711" s="210"/>
      <c r="CH711" s="210"/>
      <c r="CI711" s="210"/>
      <c r="CJ711" s="210"/>
      <c r="CK711" s="210"/>
    </row>
    <row r="712">
      <c r="A712" s="220"/>
      <c r="F712" s="190"/>
      <c r="G712" s="190"/>
      <c r="L712" s="220"/>
      <c r="M712" s="22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4"/>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c r="BU712" s="210"/>
      <c r="BV712" s="210"/>
      <c r="BW712" s="210"/>
      <c r="BX712" s="210"/>
      <c r="BY712" s="210"/>
      <c r="BZ712" s="210"/>
      <c r="CA712" s="210"/>
      <c r="CB712" s="210"/>
      <c r="CC712" s="210"/>
      <c r="CD712" s="210"/>
      <c r="CE712" s="210"/>
      <c r="CF712" s="210"/>
      <c r="CG712" s="210"/>
      <c r="CH712" s="210"/>
      <c r="CI712" s="210"/>
      <c r="CJ712" s="210"/>
      <c r="CK712" s="210"/>
    </row>
    <row r="713">
      <c r="A713" s="220"/>
      <c r="F713" s="190"/>
      <c r="G713" s="190"/>
      <c r="L713" s="220"/>
      <c r="M713" s="22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4"/>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c r="BU713" s="210"/>
      <c r="BV713" s="210"/>
      <c r="BW713" s="210"/>
      <c r="BX713" s="210"/>
      <c r="BY713" s="210"/>
      <c r="BZ713" s="210"/>
      <c r="CA713" s="210"/>
      <c r="CB713" s="210"/>
      <c r="CC713" s="210"/>
      <c r="CD713" s="210"/>
      <c r="CE713" s="210"/>
      <c r="CF713" s="210"/>
      <c r="CG713" s="210"/>
      <c r="CH713" s="210"/>
      <c r="CI713" s="210"/>
      <c r="CJ713" s="210"/>
      <c r="CK713" s="210"/>
    </row>
    <row r="714">
      <c r="A714" s="220"/>
      <c r="F714" s="190"/>
      <c r="G714" s="190"/>
      <c r="L714" s="220"/>
      <c r="M714" s="22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4"/>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c r="BU714" s="210"/>
      <c r="BV714" s="210"/>
      <c r="BW714" s="210"/>
      <c r="BX714" s="210"/>
      <c r="BY714" s="210"/>
      <c r="BZ714" s="210"/>
      <c r="CA714" s="210"/>
      <c r="CB714" s="210"/>
      <c r="CC714" s="210"/>
      <c r="CD714" s="210"/>
      <c r="CE714" s="210"/>
      <c r="CF714" s="210"/>
      <c r="CG714" s="210"/>
      <c r="CH714" s="210"/>
      <c r="CI714" s="210"/>
      <c r="CJ714" s="210"/>
      <c r="CK714" s="210"/>
    </row>
    <row r="715">
      <c r="A715" s="220"/>
      <c r="F715" s="190"/>
      <c r="G715" s="190"/>
      <c r="L715" s="220"/>
      <c r="M715" s="22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4"/>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c r="BU715" s="210"/>
      <c r="BV715" s="210"/>
      <c r="BW715" s="210"/>
      <c r="BX715" s="210"/>
      <c r="BY715" s="210"/>
      <c r="BZ715" s="210"/>
      <c r="CA715" s="210"/>
      <c r="CB715" s="210"/>
      <c r="CC715" s="210"/>
      <c r="CD715" s="210"/>
      <c r="CE715" s="210"/>
      <c r="CF715" s="210"/>
      <c r="CG715" s="210"/>
      <c r="CH715" s="210"/>
      <c r="CI715" s="210"/>
      <c r="CJ715" s="210"/>
      <c r="CK715" s="210"/>
    </row>
    <row r="716">
      <c r="A716" s="220"/>
      <c r="F716" s="190"/>
      <c r="G716" s="190"/>
      <c r="L716" s="220"/>
      <c r="M716" s="22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4"/>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c r="BU716" s="210"/>
      <c r="BV716" s="210"/>
      <c r="BW716" s="210"/>
      <c r="BX716" s="210"/>
      <c r="BY716" s="210"/>
      <c r="BZ716" s="210"/>
      <c r="CA716" s="210"/>
      <c r="CB716" s="210"/>
      <c r="CC716" s="210"/>
      <c r="CD716" s="210"/>
      <c r="CE716" s="210"/>
      <c r="CF716" s="210"/>
      <c r="CG716" s="210"/>
      <c r="CH716" s="210"/>
      <c r="CI716" s="210"/>
      <c r="CJ716" s="210"/>
      <c r="CK716" s="210"/>
    </row>
    <row r="717">
      <c r="A717" s="220"/>
      <c r="F717" s="190"/>
      <c r="G717" s="190"/>
      <c r="L717" s="220"/>
      <c r="M717" s="22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4"/>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c r="BU717" s="210"/>
      <c r="BV717" s="210"/>
      <c r="BW717" s="210"/>
      <c r="BX717" s="210"/>
      <c r="BY717" s="210"/>
      <c r="BZ717" s="210"/>
      <c r="CA717" s="210"/>
      <c r="CB717" s="210"/>
      <c r="CC717" s="210"/>
      <c r="CD717" s="210"/>
      <c r="CE717" s="210"/>
      <c r="CF717" s="210"/>
      <c r="CG717" s="210"/>
      <c r="CH717" s="210"/>
      <c r="CI717" s="210"/>
      <c r="CJ717" s="210"/>
      <c r="CK717" s="210"/>
    </row>
    <row r="718">
      <c r="A718" s="220"/>
      <c r="F718" s="190"/>
      <c r="G718" s="190"/>
      <c r="L718" s="220"/>
      <c r="M718" s="22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4"/>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c r="BU718" s="210"/>
      <c r="BV718" s="210"/>
      <c r="BW718" s="210"/>
      <c r="BX718" s="210"/>
      <c r="BY718" s="210"/>
      <c r="BZ718" s="210"/>
      <c r="CA718" s="210"/>
      <c r="CB718" s="210"/>
      <c r="CC718" s="210"/>
      <c r="CD718" s="210"/>
      <c r="CE718" s="210"/>
      <c r="CF718" s="210"/>
      <c r="CG718" s="210"/>
      <c r="CH718" s="210"/>
      <c r="CI718" s="210"/>
      <c r="CJ718" s="210"/>
      <c r="CK718" s="210"/>
    </row>
    <row r="719">
      <c r="A719" s="220"/>
      <c r="F719" s="190"/>
      <c r="G719" s="190"/>
      <c r="L719" s="220"/>
      <c r="M719" s="22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4"/>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c r="BU719" s="210"/>
      <c r="BV719" s="210"/>
      <c r="BW719" s="210"/>
      <c r="BX719" s="210"/>
      <c r="BY719" s="210"/>
      <c r="BZ719" s="210"/>
      <c r="CA719" s="210"/>
      <c r="CB719" s="210"/>
      <c r="CC719" s="210"/>
      <c r="CD719" s="210"/>
      <c r="CE719" s="210"/>
      <c r="CF719" s="210"/>
      <c r="CG719" s="210"/>
      <c r="CH719" s="210"/>
      <c r="CI719" s="210"/>
      <c r="CJ719" s="210"/>
      <c r="CK719" s="210"/>
    </row>
    <row r="720">
      <c r="A720" s="220"/>
      <c r="F720" s="190"/>
      <c r="G720" s="190"/>
      <c r="L720" s="220"/>
      <c r="M720" s="22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4"/>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c r="BU720" s="210"/>
      <c r="BV720" s="210"/>
      <c r="BW720" s="210"/>
      <c r="BX720" s="210"/>
      <c r="BY720" s="210"/>
      <c r="BZ720" s="210"/>
      <c r="CA720" s="210"/>
      <c r="CB720" s="210"/>
      <c r="CC720" s="210"/>
      <c r="CD720" s="210"/>
      <c r="CE720" s="210"/>
      <c r="CF720" s="210"/>
      <c r="CG720" s="210"/>
      <c r="CH720" s="210"/>
      <c r="CI720" s="210"/>
      <c r="CJ720" s="210"/>
      <c r="CK720" s="210"/>
    </row>
    <row r="721">
      <c r="A721" s="220"/>
      <c r="F721" s="190"/>
      <c r="G721" s="190"/>
      <c r="L721" s="220"/>
      <c r="M721" s="22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4"/>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c r="BU721" s="210"/>
      <c r="BV721" s="210"/>
      <c r="BW721" s="210"/>
      <c r="BX721" s="210"/>
      <c r="BY721" s="210"/>
      <c r="BZ721" s="210"/>
      <c r="CA721" s="210"/>
      <c r="CB721" s="210"/>
      <c r="CC721" s="210"/>
      <c r="CD721" s="210"/>
      <c r="CE721" s="210"/>
      <c r="CF721" s="210"/>
      <c r="CG721" s="210"/>
      <c r="CH721" s="210"/>
      <c r="CI721" s="210"/>
      <c r="CJ721" s="210"/>
      <c r="CK721" s="210"/>
    </row>
    <row r="722">
      <c r="A722" s="220"/>
      <c r="F722" s="190"/>
      <c r="G722" s="190"/>
      <c r="L722" s="220"/>
      <c r="M722" s="22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4"/>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c r="BU722" s="210"/>
      <c r="BV722" s="210"/>
      <c r="BW722" s="210"/>
      <c r="BX722" s="210"/>
      <c r="BY722" s="210"/>
      <c r="BZ722" s="210"/>
      <c r="CA722" s="210"/>
      <c r="CB722" s="210"/>
      <c r="CC722" s="210"/>
      <c r="CD722" s="210"/>
      <c r="CE722" s="210"/>
      <c r="CF722" s="210"/>
      <c r="CG722" s="210"/>
      <c r="CH722" s="210"/>
      <c r="CI722" s="210"/>
      <c r="CJ722" s="210"/>
      <c r="CK722" s="210"/>
    </row>
    <row r="723">
      <c r="A723" s="220"/>
      <c r="F723" s="190"/>
      <c r="G723" s="190"/>
      <c r="L723" s="220"/>
      <c r="M723" s="22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4"/>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c r="BU723" s="210"/>
      <c r="BV723" s="210"/>
      <c r="BW723" s="210"/>
      <c r="BX723" s="210"/>
      <c r="BY723" s="210"/>
      <c r="BZ723" s="210"/>
      <c r="CA723" s="210"/>
      <c r="CB723" s="210"/>
      <c r="CC723" s="210"/>
      <c r="CD723" s="210"/>
      <c r="CE723" s="210"/>
      <c r="CF723" s="210"/>
      <c r="CG723" s="210"/>
      <c r="CH723" s="210"/>
      <c r="CI723" s="210"/>
      <c r="CJ723" s="210"/>
      <c r="CK723" s="210"/>
    </row>
    <row r="724">
      <c r="A724" s="220"/>
      <c r="F724" s="190"/>
      <c r="G724" s="190"/>
      <c r="L724" s="220"/>
      <c r="M724" s="22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4"/>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c r="BU724" s="210"/>
      <c r="BV724" s="210"/>
      <c r="BW724" s="210"/>
      <c r="BX724" s="210"/>
      <c r="BY724" s="210"/>
      <c r="BZ724" s="210"/>
      <c r="CA724" s="210"/>
      <c r="CB724" s="210"/>
      <c r="CC724" s="210"/>
      <c r="CD724" s="210"/>
      <c r="CE724" s="210"/>
      <c r="CF724" s="210"/>
      <c r="CG724" s="210"/>
      <c r="CH724" s="210"/>
      <c r="CI724" s="210"/>
      <c r="CJ724" s="210"/>
      <c r="CK724" s="210"/>
    </row>
    <row r="725">
      <c r="A725" s="220"/>
      <c r="F725" s="190"/>
      <c r="G725" s="190"/>
      <c r="L725" s="220"/>
      <c r="M725" s="22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4"/>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c r="BU725" s="210"/>
      <c r="BV725" s="210"/>
      <c r="BW725" s="210"/>
      <c r="BX725" s="210"/>
      <c r="BY725" s="210"/>
      <c r="BZ725" s="210"/>
      <c r="CA725" s="210"/>
      <c r="CB725" s="210"/>
      <c r="CC725" s="210"/>
      <c r="CD725" s="210"/>
      <c r="CE725" s="210"/>
      <c r="CF725" s="210"/>
      <c r="CG725" s="210"/>
      <c r="CH725" s="210"/>
      <c r="CI725" s="210"/>
      <c r="CJ725" s="210"/>
      <c r="CK725" s="210"/>
    </row>
    <row r="726">
      <c r="A726" s="220"/>
      <c r="F726" s="190"/>
      <c r="G726" s="190"/>
      <c r="L726" s="220"/>
      <c r="M726" s="22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4"/>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c r="BU726" s="210"/>
      <c r="BV726" s="210"/>
      <c r="BW726" s="210"/>
      <c r="BX726" s="210"/>
      <c r="BY726" s="210"/>
      <c r="BZ726" s="210"/>
      <c r="CA726" s="210"/>
      <c r="CB726" s="210"/>
      <c r="CC726" s="210"/>
      <c r="CD726" s="210"/>
      <c r="CE726" s="210"/>
      <c r="CF726" s="210"/>
      <c r="CG726" s="210"/>
      <c r="CH726" s="210"/>
      <c r="CI726" s="210"/>
      <c r="CJ726" s="210"/>
      <c r="CK726" s="210"/>
    </row>
    <row r="727">
      <c r="A727" s="220"/>
      <c r="F727" s="190"/>
      <c r="G727" s="190"/>
      <c r="L727" s="220"/>
      <c r="M727" s="22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4"/>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c r="BU727" s="210"/>
      <c r="BV727" s="210"/>
      <c r="BW727" s="210"/>
      <c r="BX727" s="210"/>
      <c r="BY727" s="210"/>
      <c r="BZ727" s="210"/>
      <c r="CA727" s="210"/>
      <c r="CB727" s="210"/>
      <c r="CC727" s="210"/>
      <c r="CD727" s="210"/>
      <c r="CE727" s="210"/>
      <c r="CF727" s="210"/>
      <c r="CG727" s="210"/>
      <c r="CH727" s="210"/>
      <c r="CI727" s="210"/>
      <c r="CJ727" s="210"/>
      <c r="CK727" s="210"/>
    </row>
    <row r="728">
      <c r="A728" s="220"/>
      <c r="F728" s="190"/>
      <c r="G728" s="190"/>
      <c r="L728" s="220"/>
      <c r="M728" s="22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4"/>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c r="BU728" s="210"/>
      <c r="BV728" s="210"/>
      <c r="BW728" s="210"/>
      <c r="BX728" s="210"/>
      <c r="BY728" s="210"/>
      <c r="BZ728" s="210"/>
      <c r="CA728" s="210"/>
      <c r="CB728" s="210"/>
      <c r="CC728" s="210"/>
      <c r="CD728" s="210"/>
      <c r="CE728" s="210"/>
      <c r="CF728" s="210"/>
      <c r="CG728" s="210"/>
      <c r="CH728" s="210"/>
      <c r="CI728" s="210"/>
      <c r="CJ728" s="210"/>
      <c r="CK728" s="210"/>
    </row>
    <row r="729">
      <c r="A729" s="220"/>
      <c r="F729" s="190"/>
      <c r="G729" s="190"/>
      <c r="L729" s="220"/>
      <c r="M729" s="22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4"/>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c r="BU729" s="210"/>
      <c r="BV729" s="210"/>
      <c r="BW729" s="210"/>
      <c r="BX729" s="210"/>
      <c r="BY729" s="210"/>
      <c r="BZ729" s="210"/>
      <c r="CA729" s="210"/>
      <c r="CB729" s="210"/>
      <c r="CC729" s="210"/>
      <c r="CD729" s="210"/>
      <c r="CE729" s="210"/>
      <c r="CF729" s="210"/>
      <c r="CG729" s="210"/>
      <c r="CH729" s="210"/>
      <c r="CI729" s="210"/>
      <c r="CJ729" s="210"/>
      <c r="CK729" s="210"/>
    </row>
    <row r="730">
      <c r="A730" s="220"/>
      <c r="F730" s="190"/>
      <c r="G730" s="190"/>
      <c r="L730" s="220"/>
      <c r="M730" s="22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4"/>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c r="BU730" s="210"/>
      <c r="BV730" s="210"/>
      <c r="BW730" s="210"/>
      <c r="BX730" s="210"/>
      <c r="BY730" s="210"/>
      <c r="BZ730" s="210"/>
      <c r="CA730" s="210"/>
      <c r="CB730" s="210"/>
      <c r="CC730" s="210"/>
      <c r="CD730" s="210"/>
      <c r="CE730" s="210"/>
      <c r="CF730" s="210"/>
      <c r="CG730" s="210"/>
      <c r="CH730" s="210"/>
      <c r="CI730" s="210"/>
      <c r="CJ730" s="210"/>
      <c r="CK730" s="210"/>
    </row>
    <row r="731">
      <c r="A731" s="220"/>
      <c r="F731" s="190"/>
      <c r="G731" s="190"/>
      <c r="L731" s="220"/>
      <c r="M731" s="22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4"/>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c r="BU731" s="210"/>
      <c r="BV731" s="210"/>
      <c r="BW731" s="210"/>
      <c r="BX731" s="210"/>
      <c r="BY731" s="210"/>
      <c r="BZ731" s="210"/>
      <c r="CA731" s="210"/>
      <c r="CB731" s="210"/>
      <c r="CC731" s="210"/>
      <c r="CD731" s="210"/>
      <c r="CE731" s="210"/>
      <c r="CF731" s="210"/>
      <c r="CG731" s="210"/>
      <c r="CH731" s="210"/>
      <c r="CI731" s="210"/>
      <c r="CJ731" s="210"/>
      <c r="CK731" s="210"/>
    </row>
    <row r="732">
      <c r="A732" s="220"/>
      <c r="F732" s="190"/>
      <c r="G732" s="190"/>
      <c r="L732" s="220"/>
      <c r="M732" s="22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4"/>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c r="BU732" s="210"/>
      <c r="BV732" s="210"/>
      <c r="BW732" s="210"/>
      <c r="BX732" s="210"/>
      <c r="BY732" s="210"/>
      <c r="BZ732" s="210"/>
      <c r="CA732" s="210"/>
      <c r="CB732" s="210"/>
      <c r="CC732" s="210"/>
      <c r="CD732" s="210"/>
      <c r="CE732" s="210"/>
      <c r="CF732" s="210"/>
      <c r="CG732" s="210"/>
      <c r="CH732" s="210"/>
      <c r="CI732" s="210"/>
      <c r="CJ732" s="210"/>
      <c r="CK732" s="210"/>
    </row>
    <row r="733">
      <c r="A733" s="220"/>
      <c r="F733" s="190"/>
      <c r="G733" s="190"/>
      <c r="L733" s="220"/>
      <c r="M733" s="22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4"/>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c r="BU733" s="210"/>
      <c r="BV733" s="210"/>
      <c r="BW733" s="210"/>
      <c r="BX733" s="210"/>
      <c r="BY733" s="210"/>
      <c r="BZ733" s="210"/>
      <c r="CA733" s="210"/>
      <c r="CB733" s="210"/>
      <c r="CC733" s="210"/>
      <c r="CD733" s="210"/>
      <c r="CE733" s="210"/>
      <c r="CF733" s="210"/>
      <c r="CG733" s="210"/>
      <c r="CH733" s="210"/>
      <c r="CI733" s="210"/>
      <c r="CJ733" s="210"/>
      <c r="CK733" s="210"/>
    </row>
    <row r="734">
      <c r="A734" s="220"/>
      <c r="F734" s="190"/>
      <c r="G734" s="190"/>
      <c r="L734" s="220"/>
      <c r="M734" s="22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4"/>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c r="BU734" s="210"/>
      <c r="BV734" s="210"/>
      <c r="BW734" s="210"/>
      <c r="BX734" s="210"/>
      <c r="BY734" s="210"/>
      <c r="BZ734" s="210"/>
      <c r="CA734" s="210"/>
      <c r="CB734" s="210"/>
      <c r="CC734" s="210"/>
      <c r="CD734" s="210"/>
      <c r="CE734" s="210"/>
      <c r="CF734" s="210"/>
      <c r="CG734" s="210"/>
      <c r="CH734" s="210"/>
      <c r="CI734" s="210"/>
      <c r="CJ734" s="210"/>
      <c r="CK734" s="210"/>
    </row>
    <row r="735">
      <c r="A735" s="220"/>
      <c r="F735" s="190"/>
      <c r="G735" s="190"/>
      <c r="L735" s="220"/>
      <c r="M735" s="22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4"/>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c r="BU735" s="210"/>
      <c r="BV735" s="210"/>
      <c r="BW735" s="210"/>
      <c r="BX735" s="210"/>
      <c r="BY735" s="210"/>
      <c r="BZ735" s="210"/>
      <c r="CA735" s="210"/>
      <c r="CB735" s="210"/>
      <c r="CC735" s="210"/>
      <c r="CD735" s="210"/>
      <c r="CE735" s="210"/>
      <c r="CF735" s="210"/>
      <c r="CG735" s="210"/>
      <c r="CH735" s="210"/>
      <c r="CI735" s="210"/>
      <c r="CJ735" s="210"/>
      <c r="CK735" s="210"/>
    </row>
    <row r="736">
      <c r="A736" s="220"/>
      <c r="F736" s="190"/>
      <c r="G736" s="190"/>
      <c r="L736" s="220"/>
      <c r="M736" s="22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4"/>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c r="BU736" s="210"/>
      <c r="BV736" s="210"/>
      <c r="BW736" s="210"/>
      <c r="BX736" s="210"/>
      <c r="BY736" s="210"/>
      <c r="BZ736" s="210"/>
      <c r="CA736" s="210"/>
      <c r="CB736" s="210"/>
      <c r="CC736" s="210"/>
      <c r="CD736" s="210"/>
      <c r="CE736" s="210"/>
      <c r="CF736" s="210"/>
      <c r="CG736" s="210"/>
      <c r="CH736" s="210"/>
      <c r="CI736" s="210"/>
      <c r="CJ736" s="210"/>
      <c r="CK736" s="210"/>
    </row>
    <row r="737">
      <c r="A737" s="220"/>
      <c r="F737" s="190"/>
      <c r="G737" s="190"/>
      <c r="L737" s="220"/>
      <c r="M737" s="22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4"/>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c r="BU737" s="210"/>
      <c r="BV737" s="210"/>
      <c r="BW737" s="210"/>
      <c r="BX737" s="210"/>
      <c r="BY737" s="210"/>
      <c r="BZ737" s="210"/>
      <c r="CA737" s="210"/>
      <c r="CB737" s="210"/>
      <c r="CC737" s="210"/>
      <c r="CD737" s="210"/>
      <c r="CE737" s="210"/>
      <c r="CF737" s="210"/>
      <c r="CG737" s="210"/>
      <c r="CH737" s="210"/>
      <c r="CI737" s="210"/>
      <c r="CJ737" s="210"/>
      <c r="CK737" s="210"/>
    </row>
    <row r="738">
      <c r="A738" s="220"/>
      <c r="F738" s="190"/>
      <c r="G738" s="190"/>
      <c r="L738" s="220"/>
      <c r="M738" s="22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4"/>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c r="BU738" s="210"/>
      <c r="BV738" s="210"/>
      <c r="BW738" s="210"/>
      <c r="BX738" s="210"/>
      <c r="BY738" s="210"/>
      <c r="BZ738" s="210"/>
      <c r="CA738" s="210"/>
      <c r="CB738" s="210"/>
      <c r="CC738" s="210"/>
      <c r="CD738" s="210"/>
      <c r="CE738" s="210"/>
      <c r="CF738" s="210"/>
      <c r="CG738" s="210"/>
      <c r="CH738" s="210"/>
      <c r="CI738" s="210"/>
      <c r="CJ738" s="210"/>
      <c r="CK738" s="210"/>
    </row>
    <row r="739">
      <c r="A739" s="220"/>
      <c r="F739" s="190"/>
      <c r="G739" s="190"/>
      <c r="L739" s="220"/>
      <c r="M739" s="22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4"/>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c r="BU739" s="210"/>
      <c r="BV739" s="210"/>
      <c r="BW739" s="210"/>
      <c r="BX739" s="210"/>
      <c r="BY739" s="210"/>
      <c r="BZ739" s="210"/>
      <c r="CA739" s="210"/>
      <c r="CB739" s="210"/>
      <c r="CC739" s="210"/>
      <c r="CD739" s="210"/>
      <c r="CE739" s="210"/>
      <c r="CF739" s="210"/>
      <c r="CG739" s="210"/>
      <c r="CH739" s="210"/>
      <c r="CI739" s="210"/>
      <c r="CJ739" s="210"/>
      <c r="CK739" s="210"/>
    </row>
    <row r="740">
      <c r="A740" s="220"/>
      <c r="F740" s="190"/>
      <c r="G740" s="190"/>
      <c r="L740" s="220"/>
      <c r="M740" s="22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4"/>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c r="BU740" s="210"/>
      <c r="BV740" s="210"/>
      <c r="BW740" s="210"/>
      <c r="BX740" s="210"/>
      <c r="BY740" s="210"/>
      <c r="BZ740" s="210"/>
      <c r="CA740" s="210"/>
      <c r="CB740" s="210"/>
      <c r="CC740" s="210"/>
      <c r="CD740" s="210"/>
      <c r="CE740" s="210"/>
      <c r="CF740" s="210"/>
      <c r="CG740" s="210"/>
      <c r="CH740" s="210"/>
      <c r="CI740" s="210"/>
      <c r="CJ740" s="210"/>
      <c r="CK740" s="210"/>
    </row>
    <row r="741">
      <c r="A741" s="220"/>
      <c r="F741" s="190"/>
      <c r="G741" s="190"/>
      <c r="L741" s="220"/>
      <c r="M741" s="22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4"/>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c r="BU741" s="210"/>
      <c r="BV741" s="210"/>
      <c r="BW741" s="210"/>
      <c r="BX741" s="210"/>
      <c r="BY741" s="210"/>
      <c r="BZ741" s="210"/>
      <c r="CA741" s="210"/>
      <c r="CB741" s="210"/>
      <c r="CC741" s="210"/>
      <c r="CD741" s="210"/>
      <c r="CE741" s="210"/>
      <c r="CF741" s="210"/>
      <c r="CG741" s="210"/>
      <c r="CH741" s="210"/>
      <c r="CI741" s="210"/>
      <c r="CJ741" s="210"/>
      <c r="CK741" s="210"/>
    </row>
    <row r="742">
      <c r="A742" s="220"/>
      <c r="F742" s="190"/>
      <c r="G742" s="190"/>
      <c r="L742" s="220"/>
      <c r="M742" s="22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4"/>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c r="BU742" s="210"/>
      <c r="BV742" s="210"/>
      <c r="BW742" s="210"/>
      <c r="BX742" s="210"/>
      <c r="BY742" s="210"/>
      <c r="BZ742" s="210"/>
      <c r="CA742" s="210"/>
      <c r="CB742" s="210"/>
      <c r="CC742" s="210"/>
      <c r="CD742" s="210"/>
      <c r="CE742" s="210"/>
      <c r="CF742" s="210"/>
      <c r="CG742" s="210"/>
      <c r="CH742" s="210"/>
      <c r="CI742" s="210"/>
      <c r="CJ742" s="210"/>
      <c r="CK742" s="210"/>
    </row>
    <row r="743">
      <c r="A743" s="220"/>
      <c r="F743" s="190"/>
      <c r="G743" s="190"/>
      <c r="L743" s="220"/>
      <c r="M743" s="22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4"/>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c r="BU743" s="210"/>
      <c r="BV743" s="210"/>
      <c r="BW743" s="210"/>
      <c r="BX743" s="210"/>
      <c r="BY743" s="210"/>
      <c r="BZ743" s="210"/>
      <c r="CA743" s="210"/>
      <c r="CB743" s="210"/>
      <c r="CC743" s="210"/>
      <c r="CD743" s="210"/>
      <c r="CE743" s="210"/>
      <c r="CF743" s="210"/>
      <c r="CG743" s="210"/>
      <c r="CH743" s="210"/>
      <c r="CI743" s="210"/>
      <c r="CJ743" s="210"/>
      <c r="CK743" s="210"/>
    </row>
    <row r="744">
      <c r="A744" s="220"/>
      <c r="F744" s="190"/>
      <c r="G744" s="190"/>
      <c r="L744" s="220"/>
      <c r="M744" s="22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4"/>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c r="BU744" s="210"/>
      <c r="BV744" s="210"/>
      <c r="BW744" s="210"/>
      <c r="BX744" s="210"/>
      <c r="BY744" s="210"/>
      <c r="BZ744" s="210"/>
      <c r="CA744" s="210"/>
      <c r="CB744" s="210"/>
      <c r="CC744" s="210"/>
      <c r="CD744" s="210"/>
      <c r="CE744" s="210"/>
      <c r="CF744" s="210"/>
      <c r="CG744" s="210"/>
      <c r="CH744" s="210"/>
      <c r="CI744" s="210"/>
      <c r="CJ744" s="210"/>
      <c r="CK744" s="210"/>
    </row>
    <row r="745">
      <c r="A745" s="220"/>
      <c r="F745" s="190"/>
      <c r="G745" s="190"/>
      <c r="L745" s="220"/>
      <c r="M745" s="22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4"/>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c r="BU745" s="210"/>
      <c r="BV745" s="210"/>
      <c r="BW745" s="210"/>
      <c r="BX745" s="210"/>
      <c r="BY745" s="210"/>
      <c r="BZ745" s="210"/>
      <c r="CA745" s="210"/>
      <c r="CB745" s="210"/>
      <c r="CC745" s="210"/>
      <c r="CD745" s="210"/>
      <c r="CE745" s="210"/>
      <c r="CF745" s="210"/>
      <c r="CG745" s="210"/>
      <c r="CH745" s="210"/>
      <c r="CI745" s="210"/>
      <c r="CJ745" s="210"/>
      <c r="CK745" s="210"/>
    </row>
    <row r="746">
      <c r="A746" s="220"/>
      <c r="F746" s="190"/>
      <c r="G746" s="190"/>
      <c r="L746" s="220"/>
      <c r="M746" s="22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4"/>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c r="BU746" s="210"/>
      <c r="BV746" s="210"/>
      <c r="BW746" s="210"/>
      <c r="BX746" s="210"/>
      <c r="BY746" s="210"/>
      <c r="BZ746" s="210"/>
      <c r="CA746" s="210"/>
      <c r="CB746" s="210"/>
      <c r="CC746" s="210"/>
      <c r="CD746" s="210"/>
      <c r="CE746" s="210"/>
      <c r="CF746" s="210"/>
      <c r="CG746" s="210"/>
      <c r="CH746" s="210"/>
      <c r="CI746" s="210"/>
      <c r="CJ746" s="210"/>
      <c r="CK746" s="210"/>
    </row>
    <row r="747">
      <c r="A747" s="220"/>
      <c r="F747" s="190"/>
      <c r="G747" s="190"/>
      <c r="L747" s="220"/>
      <c r="M747" s="22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4"/>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c r="BU747" s="210"/>
      <c r="BV747" s="210"/>
      <c r="BW747" s="210"/>
      <c r="BX747" s="210"/>
      <c r="BY747" s="210"/>
      <c r="BZ747" s="210"/>
      <c r="CA747" s="210"/>
      <c r="CB747" s="210"/>
      <c r="CC747" s="210"/>
      <c r="CD747" s="210"/>
      <c r="CE747" s="210"/>
      <c r="CF747" s="210"/>
      <c r="CG747" s="210"/>
      <c r="CH747" s="210"/>
      <c r="CI747" s="210"/>
      <c r="CJ747" s="210"/>
      <c r="CK747" s="210"/>
    </row>
    <row r="748">
      <c r="A748" s="220"/>
      <c r="F748" s="190"/>
      <c r="G748" s="190"/>
      <c r="L748" s="220"/>
      <c r="M748" s="22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4"/>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c r="BU748" s="210"/>
      <c r="BV748" s="210"/>
      <c r="BW748" s="210"/>
      <c r="BX748" s="210"/>
      <c r="BY748" s="210"/>
      <c r="BZ748" s="210"/>
      <c r="CA748" s="210"/>
      <c r="CB748" s="210"/>
      <c r="CC748" s="210"/>
      <c r="CD748" s="210"/>
      <c r="CE748" s="210"/>
      <c r="CF748" s="210"/>
      <c r="CG748" s="210"/>
      <c r="CH748" s="210"/>
      <c r="CI748" s="210"/>
      <c r="CJ748" s="210"/>
      <c r="CK748" s="210"/>
    </row>
    <row r="749">
      <c r="A749" s="220"/>
      <c r="F749" s="190"/>
      <c r="G749" s="190"/>
      <c r="L749" s="220"/>
      <c r="M749" s="22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4"/>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c r="BU749" s="210"/>
      <c r="BV749" s="210"/>
      <c r="BW749" s="210"/>
      <c r="BX749" s="210"/>
      <c r="BY749" s="210"/>
      <c r="BZ749" s="210"/>
      <c r="CA749" s="210"/>
      <c r="CB749" s="210"/>
      <c r="CC749" s="210"/>
      <c r="CD749" s="210"/>
      <c r="CE749" s="210"/>
      <c r="CF749" s="210"/>
      <c r="CG749" s="210"/>
      <c r="CH749" s="210"/>
      <c r="CI749" s="210"/>
      <c r="CJ749" s="210"/>
      <c r="CK749" s="210"/>
    </row>
    <row r="750">
      <c r="A750" s="220"/>
      <c r="F750" s="190"/>
      <c r="G750" s="190"/>
      <c r="L750" s="220"/>
      <c r="M750" s="22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4"/>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c r="BU750" s="210"/>
      <c r="BV750" s="210"/>
      <c r="BW750" s="210"/>
      <c r="BX750" s="210"/>
      <c r="BY750" s="210"/>
      <c r="BZ750" s="210"/>
      <c r="CA750" s="210"/>
      <c r="CB750" s="210"/>
      <c r="CC750" s="210"/>
      <c r="CD750" s="210"/>
      <c r="CE750" s="210"/>
      <c r="CF750" s="210"/>
      <c r="CG750" s="210"/>
      <c r="CH750" s="210"/>
      <c r="CI750" s="210"/>
      <c r="CJ750" s="210"/>
      <c r="CK750" s="210"/>
    </row>
    <row r="751">
      <c r="A751" s="220"/>
      <c r="F751" s="190"/>
      <c r="G751" s="190"/>
      <c r="L751" s="220"/>
      <c r="M751" s="22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4"/>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c r="BU751" s="210"/>
      <c r="BV751" s="210"/>
      <c r="BW751" s="210"/>
      <c r="BX751" s="210"/>
      <c r="BY751" s="210"/>
      <c r="BZ751" s="210"/>
      <c r="CA751" s="210"/>
      <c r="CB751" s="210"/>
      <c r="CC751" s="210"/>
      <c r="CD751" s="210"/>
      <c r="CE751" s="210"/>
      <c r="CF751" s="210"/>
      <c r="CG751" s="210"/>
      <c r="CH751" s="210"/>
      <c r="CI751" s="210"/>
      <c r="CJ751" s="210"/>
      <c r="CK751" s="210"/>
    </row>
    <row r="752">
      <c r="A752" s="220"/>
      <c r="F752" s="190"/>
      <c r="G752" s="190"/>
      <c r="L752" s="220"/>
      <c r="M752" s="22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4"/>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c r="BU752" s="210"/>
      <c r="BV752" s="210"/>
      <c r="BW752" s="210"/>
      <c r="BX752" s="210"/>
      <c r="BY752" s="210"/>
      <c r="BZ752" s="210"/>
      <c r="CA752" s="210"/>
      <c r="CB752" s="210"/>
      <c r="CC752" s="210"/>
      <c r="CD752" s="210"/>
      <c r="CE752" s="210"/>
      <c r="CF752" s="210"/>
      <c r="CG752" s="210"/>
      <c r="CH752" s="210"/>
      <c r="CI752" s="210"/>
      <c r="CJ752" s="210"/>
      <c r="CK752" s="210"/>
    </row>
    <row r="753">
      <c r="A753" s="220"/>
      <c r="F753" s="190"/>
      <c r="G753" s="190"/>
      <c r="L753" s="220"/>
      <c r="M753" s="22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4"/>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c r="BU753" s="210"/>
      <c r="BV753" s="210"/>
      <c r="BW753" s="210"/>
      <c r="BX753" s="210"/>
      <c r="BY753" s="210"/>
      <c r="BZ753" s="210"/>
      <c r="CA753" s="210"/>
      <c r="CB753" s="210"/>
      <c r="CC753" s="210"/>
      <c r="CD753" s="210"/>
      <c r="CE753" s="210"/>
      <c r="CF753" s="210"/>
      <c r="CG753" s="210"/>
      <c r="CH753" s="210"/>
      <c r="CI753" s="210"/>
      <c r="CJ753" s="210"/>
      <c r="CK753" s="210"/>
    </row>
    <row r="754">
      <c r="A754" s="220"/>
      <c r="F754" s="190"/>
      <c r="G754" s="190"/>
      <c r="L754" s="220"/>
      <c r="M754" s="22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4"/>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c r="BU754" s="210"/>
      <c r="BV754" s="210"/>
      <c r="BW754" s="210"/>
      <c r="BX754" s="210"/>
      <c r="BY754" s="210"/>
      <c r="BZ754" s="210"/>
      <c r="CA754" s="210"/>
      <c r="CB754" s="210"/>
      <c r="CC754" s="210"/>
      <c r="CD754" s="210"/>
      <c r="CE754" s="210"/>
      <c r="CF754" s="210"/>
      <c r="CG754" s="210"/>
      <c r="CH754" s="210"/>
      <c r="CI754" s="210"/>
      <c r="CJ754" s="210"/>
      <c r="CK754" s="210"/>
    </row>
    <row r="755">
      <c r="A755" s="220"/>
      <c r="F755" s="190"/>
      <c r="G755" s="190"/>
      <c r="L755" s="220"/>
      <c r="M755" s="22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4"/>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c r="BU755" s="210"/>
      <c r="BV755" s="210"/>
      <c r="BW755" s="210"/>
      <c r="BX755" s="210"/>
      <c r="BY755" s="210"/>
      <c r="BZ755" s="210"/>
      <c r="CA755" s="210"/>
      <c r="CB755" s="210"/>
      <c r="CC755" s="210"/>
      <c r="CD755" s="210"/>
      <c r="CE755" s="210"/>
      <c r="CF755" s="210"/>
      <c r="CG755" s="210"/>
      <c r="CH755" s="210"/>
      <c r="CI755" s="210"/>
      <c r="CJ755" s="210"/>
      <c r="CK755" s="210"/>
    </row>
    <row r="756">
      <c r="A756" s="220"/>
      <c r="F756" s="190"/>
      <c r="G756" s="190"/>
      <c r="L756" s="220"/>
      <c r="M756" s="22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4"/>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c r="BU756" s="210"/>
      <c r="BV756" s="210"/>
      <c r="BW756" s="210"/>
      <c r="BX756" s="210"/>
      <c r="BY756" s="210"/>
      <c r="BZ756" s="210"/>
      <c r="CA756" s="210"/>
      <c r="CB756" s="210"/>
      <c r="CC756" s="210"/>
      <c r="CD756" s="210"/>
      <c r="CE756" s="210"/>
      <c r="CF756" s="210"/>
      <c r="CG756" s="210"/>
      <c r="CH756" s="210"/>
      <c r="CI756" s="210"/>
      <c r="CJ756" s="210"/>
      <c r="CK756" s="210"/>
    </row>
    <row r="757">
      <c r="A757" s="220"/>
      <c r="F757" s="190"/>
      <c r="G757" s="190"/>
      <c r="L757" s="220"/>
      <c r="M757" s="22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4"/>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c r="BU757" s="210"/>
      <c r="BV757" s="210"/>
      <c r="BW757" s="210"/>
      <c r="BX757" s="210"/>
      <c r="BY757" s="210"/>
      <c r="BZ757" s="210"/>
      <c r="CA757" s="210"/>
      <c r="CB757" s="210"/>
      <c r="CC757" s="210"/>
      <c r="CD757" s="210"/>
      <c r="CE757" s="210"/>
      <c r="CF757" s="210"/>
      <c r="CG757" s="210"/>
      <c r="CH757" s="210"/>
      <c r="CI757" s="210"/>
      <c r="CJ757" s="210"/>
      <c r="CK757" s="210"/>
    </row>
    <row r="758">
      <c r="A758" s="220"/>
      <c r="F758" s="190"/>
      <c r="G758" s="190"/>
      <c r="L758" s="220"/>
      <c r="M758" s="22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4"/>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c r="BU758" s="210"/>
      <c r="BV758" s="210"/>
      <c r="BW758" s="210"/>
      <c r="BX758" s="210"/>
      <c r="BY758" s="210"/>
      <c r="BZ758" s="210"/>
      <c r="CA758" s="210"/>
      <c r="CB758" s="210"/>
      <c r="CC758" s="210"/>
      <c r="CD758" s="210"/>
      <c r="CE758" s="210"/>
      <c r="CF758" s="210"/>
      <c r="CG758" s="210"/>
      <c r="CH758" s="210"/>
      <c r="CI758" s="210"/>
      <c r="CJ758" s="210"/>
      <c r="CK758" s="210"/>
    </row>
    <row r="759">
      <c r="A759" s="220"/>
      <c r="F759" s="190"/>
      <c r="G759" s="190"/>
      <c r="L759" s="220"/>
      <c r="M759" s="22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4"/>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c r="BU759" s="210"/>
      <c r="BV759" s="210"/>
      <c r="BW759" s="210"/>
      <c r="BX759" s="210"/>
      <c r="BY759" s="210"/>
      <c r="BZ759" s="210"/>
      <c r="CA759" s="210"/>
      <c r="CB759" s="210"/>
      <c r="CC759" s="210"/>
      <c r="CD759" s="210"/>
      <c r="CE759" s="210"/>
      <c r="CF759" s="210"/>
      <c r="CG759" s="210"/>
      <c r="CH759" s="210"/>
      <c r="CI759" s="210"/>
      <c r="CJ759" s="210"/>
      <c r="CK759" s="210"/>
    </row>
    <row r="760">
      <c r="A760" s="220"/>
      <c r="F760" s="190"/>
      <c r="G760" s="190"/>
      <c r="L760" s="220"/>
      <c r="M760" s="22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4"/>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c r="BU760" s="210"/>
      <c r="BV760" s="210"/>
      <c r="BW760" s="210"/>
      <c r="BX760" s="210"/>
      <c r="BY760" s="210"/>
      <c r="BZ760" s="210"/>
      <c r="CA760" s="210"/>
      <c r="CB760" s="210"/>
      <c r="CC760" s="210"/>
      <c r="CD760" s="210"/>
      <c r="CE760" s="210"/>
      <c r="CF760" s="210"/>
      <c r="CG760" s="210"/>
      <c r="CH760" s="210"/>
      <c r="CI760" s="210"/>
      <c r="CJ760" s="210"/>
      <c r="CK760" s="210"/>
    </row>
    <row r="761">
      <c r="A761" s="220"/>
      <c r="F761" s="190"/>
      <c r="G761" s="190"/>
      <c r="L761" s="220"/>
      <c r="M761" s="22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4"/>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c r="BU761" s="210"/>
      <c r="BV761" s="210"/>
      <c r="BW761" s="210"/>
      <c r="BX761" s="210"/>
      <c r="BY761" s="210"/>
      <c r="BZ761" s="210"/>
      <c r="CA761" s="210"/>
      <c r="CB761" s="210"/>
      <c r="CC761" s="210"/>
      <c r="CD761" s="210"/>
      <c r="CE761" s="210"/>
      <c r="CF761" s="210"/>
      <c r="CG761" s="210"/>
      <c r="CH761" s="210"/>
      <c r="CI761" s="210"/>
      <c r="CJ761" s="210"/>
      <c r="CK761" s="210"/>
    </row>
    <row r="762">
      <c r="A762" s="220"/>
      <c r="F762" s="190"/>
      <c r="G762" s="190"/>
      <c r="L762" s="220"/>
      <c r="M762" s="22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4"/>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c r="BU762" s="210"/>
      <c r="BV762" s="210"/>
      <c r="BW762" s="210"/>
      <c r="BX762" s="210"/>
      <c r="BY762" s="210"/>
      <c r="BZ762" s="210"/>
      <c r="CA762" s="210"/>
      <c r="CB762" s="210"/>
      <c r="CC762" s="210"/>
      <c r="CD762" s="210"/>
      <c r="CE762" s="210"/>
      <c r="CF762" s="210"/>
      <c r="CG762" s="210"/>
      <c r="CH762" s="210"/>
      <c r="CI762" s="210"/>
      <c r="CJ762" s="210"/>
      <c r="CK762" s="210"/>
    </row>
    <row r="763">
      <c r="A763" s="220"/>
      <c r="F763" s="190"/>
      <c r="G763" s="190"/>
      <c r="L763" s="220"/>
      <c r="M763" s="22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4"/>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c r="BU763" s="210"/>
      <c r="BV763" s="210"/>
      <c r="BW763" s="210"/>
      <c r="BX763" s="210"/>
      <c r="BY763" s="210"/>
      <c r="BZ763" s="210"/>
      <c r="CA763" s="210"/>
      <c r="CB763" s="210"/>
      <c r="CC763" s="210"/>
      <c r="CD763" s="210"/>
      <c r="CE763" s="210"/>
      <c r="CF763" s="210"/>
      <c r="CG763" s="210"/>
      <c r="CH763" s="210"/>
      <c r="CI763" s="210"/>
      <c r="CJ763" s="210"/>
      <c r="CK763" s="210"/>
    </row>
    <row r="764">
      <c r="A764" s="220"/>
      <c r="F764" s="190"/>
      <c r="G764" s="190"/>
      <c r="L764" s="220"/>
      <c r="M764" s="22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4"/>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c r="BU764" s="210"/>
      <c r="BV764" s="210"/>
      <c r="BW764" s="210"/>
      <c r="BX764" s="210"/>
      <c r="BY764" s="210"/>
      <c r="BZ764" s="210"/>
      <c r="CA764" s="210"/>
      <c r="CB764" s="210"/>
      <c r="CC764" s="210"/>
      <c r="CD764" s="210"/>
      <c r="CE764" s="210"/>
      <c r="CF764" s="210"/>
      <c r="CG764" s="210"/>
      <c r="CH764" s="210"/>
      <c r="CI764" s="210"/>
      <c r="CJ764" s="210"/>
      <c r="CK764" s="210"/>
    </row>
    <row r="765">
      <c r="A765" s="220"/>
      <c r="F765" s="190"/>
      <c r="G765" s="190"/>
      <c r="L765" s="220"/>
      <c r="M765" s="22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4"/>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c r="BU765" s="210"/>
      <c r="BV765" s="210"/>
      <c r="BW765" s="210"/>
      <c r="BX765" s="210"/>
      <c r="BY765" s="210"/>
      <c r="BZ765" s="210"/>
      <c r="CA765" s="210"/>
      <c r="CB765" s="210"/>
      <c r="CC765" s="210"/>
      <c r="CD765" s="210"/>
      <c r="CE765" s="210"/>
      <c r="CF765" s="210"/>
      <c r="CG765" s="210"/>
      <c r="CH765" s="210"/>
      <c r="CI765" s="210"/>
      <c r="CJ765" s="210"/>
      <c r="CK765" s="210"/>
    </row>
    <row r="766">
      <c r="A766" s="220"/>
      <c r="F766" s="190"/>
      <c r="G766" s="190"/>
      <c r="L766" s="220"/>
      <c r="M766" s="22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4"/>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c r="BU766" s="210"/>
      <c r="BV766" s="210"/>
      <c r="BW766" s="210"/>
      <c r="BX766" s="210"/>
      <c r="BY766" s="210"/>
      <c r="BZ766" s="210"/>
      <c r="CA766" s="210"/>
      <c r="CB766" s="210"/>
      <c r="CC766" s="210"/>
      <c r="CD766" s="210"/>
      <c r="CE766" s="210"/>
      <c r="CF766" s="210"/>
      <c r="CG766" s="210"/>
      <c r="CH766" s="210"/>
      <c r="CI766" s="210"/>
      <c r="CJ766" s="210"/>
      <c r="CK766" s="210"/>
    </row>
    <row r="767">
      <c r="A767" s="220"/>
      <c r="F767" s="190"/>
      <c r="G767" s="190"/>
      <c r="L767" s="220"/>
      <c r="M767" s="22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4"/>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c r="BU767" s="210"/>
      <c r="BV767" s="210"/>
      <c r="BW767" s="210"/>
      <c r="BX767" s="210"/>
      <c r="BY767" s="210"/>
      <c r="BZ767" s="210"/>
      <c r="CA767" s="210"/>
      <c r="CB767" s="210"/>
      <c r="CC767" s="210"/>
      <c r="CD767" s="210"/>
      <c r="CE767" s="210"/>
      <c r="CF767" s="210"/>
      <c r="CG767" s="210"/>
      <c r="CH767" s="210"/>
      <c r="CI767" s="210"/>
      <c r="CJ767" s="210"/>
      <c r="CK767" s="210"/>
    </row>
    <row r="768">
      <c r="A768" s="220"/>
      <c r="F768" s="190"/>
      <c r="G768" s="190"/>
      <c r="L768" s="220"/>
      <c r="M768" s="22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4"/>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c r="BU768" s="210"/>
      <c r="BV768" s="210"/>
      <c r="BW768" s="210"/>
      <c r="BX768" s="210"/>
      <c r="BY768" s="210"/>
      <c r="BZ768" s="210"/>
      <c r="CA768" s="210"/>
      <c r="CB768" s="210"/>
      <c r="CC768" s="210"/>
      <c r="CD768" s="210"/>
      <c r="CE768" s="210"/>
      <c r="CF768" s="210"/>
      <c r="CG768" s="210"/>
      <c r="CH768" s="210"/>
      <c r="CI768" s="210"/>
      <c r="CJ768" s="210"/>
      <c r="CK768" s="210"/>
    </row>
    <row r="769">
      <c r="A769" s="220"/>
      <c r="F769" s="190"/>
      <c r="G769" s="190"/>
      <c r="L769" s="220"/>
      <c r="M769" s="22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4"/>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c r="BU769" s="210"/>
      <c r="BV769" s="210"/>
      <c r="BW769" s="210"/>
      <c r="BX769" s="210"/>
      <c r="BY769" s="210"/>
      <c r="BZ769" s="210"/>
      <c r="CA769" s="210"/>
      <c r="CB769" s="210"/>
      <c r="CC769" s="210"/>
      <c r="CD769" s="210"/>
      <c r="CE769" s="210"/>
      <c r="CF769" s="210"/>
      <c r="CG769" s="210"/>
      <c r="CH769" s="210"/>
      <c r="CI769" s="210"/>
      <c r="CJ769" s="210"/>
      <c r="CK769" s="210"/>
    </row>
    <row r="770">
      <c r="A770" s="220"/>
      <c r="F770" s="190"/>
      <c r="G770" s="190"/>
      <c r="L770" s="220"/>
      <c r="M770" s="22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4"/>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c r="BU770" s="210"/>
      <c r="BV770" s="210"/>
      <c r="BW770" s="210"/>
      <c r="BX770" s="210"/>
      <c r="BY770" s="210"/>
      <c r="BZ770" s="210"/>
      <c r="CA770" s="210"/>
      <c r="CB770" s="210"/>
      <c r="CC770" s="210"/>
      <c r="CD770" s="210"/>
      <c r="CE770" s="210"/>
      <c r="CF770" s="210"/>
      <c r="CG770" s="210"/>
      <c r="CH770" s="210"/>
      <c r="CI770" s="210"/>
      <c r="CJ770" s="210"/>
      <c r="CK770" s="210"/>
    </row>
    <row r="771">
      <c r="A771" s="220"/>
      <c r="F771" s="190"/>
      <c r="G771" s="190"/>
      <c r="L771" s="220"/>
      <c r="M771" s="22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4"/>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c r="BU771" s="210"/>
      <c r="BV771" s="210"/>
      <c r="BW771" s="210"/>
      <c r="BX771" s="210"/>
      <c r="BY771" s="210"/>
      <c r="BZ771" s="210"/>
      <c r="CA771" s="210"/>
      <c r="CB771" s="210"/>
      <c r="CC771" s="210"/>
      <c r="CD771" s="210"/>
      <c r="CE771" s="210"/>
      <c r="CF771" s="210"/>
      <c r="CG771" s="210"/>
      <c r="CH771" s="210"/>
      <c r="CI771" s="210"/>
      <c r="CJ771" s="210"/>
      <c r="CK771" s="210"/>
    </row>
    <row r="772">
      <c r="A772" s="220"/>
      <c r="F772" s="190"/>
      <c r="G772" s="190"/>
      <c r="L772" s="220"/>
      <c r="M772" s="22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4"/>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c r="BU772" s="210"/>
      <c r="BV772" s="210"/>
      <c r="BW772" s="210"/>
      <c r="BX772" s="210"/>
      <c r="BY772" s="210"/>
      <c r="BZ772" s="210"/>
      <c r="CA772" s="210"/>
      <c r="CB772" s="210"/>
      <c r="CC772" s="210"/>
      <c r="CD772" s="210"/>
      <c r="CE772" s="210"/>
      <c r="CF772" s="210"/>
      <c r="CG772" s="210"/>
      <c r="CH772" s="210"/>
      <c r="CI772" s="210"/>
      <c r="CJ772" s="210"/>
      <c r="CK772" s="210"/>
    </row>
    <row r="773">
      <c r="A773" s="220"/>
      <c r="F773" s="190"/>
      <c r="G773" s="190"/>
      <c r="L773" s="220"/>
      <c r="M773" s="22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4"/>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c r="BU773" s="210"/>
      <c r="BV773" s="210"/>
      <c r="BW773" s="210"/>
      <c r="BX773" s="210"/>
      <c r="BY773" s="210"/>
      <c r="BZ773" s="210"/>
      <c r="CA773" s="210"/>
      <c r="CB773" s="210"/>
      <c r="CC773" s="210"/>
      <c r="CD773" s="210"/>
      <c r="CE773" s="210"/>
      <c r="CF773" s="210"/>
      <c r="CG773" s="210"/>
      <c r="CH773" s="210"/>
      <c r="CI773" s="210"/>
      <c r="CJ773" s="210"/>
      <c r="CK773" s="210"/>
    </row>
    <row r="774">
      <c r="A774" s="220"/>
      <c r="F774" s="190"/>
      <c r="G774" s="190"/>
      <c r="L774" s="220"/>
      <c r="M774" s="22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4"/>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c r="BU774" s="210"/>
      <c r="BV774" s="210"/>
      <c r="BW774" s="210"/>
      <c r="BX774" s="210"/>
      <c r="BY774" s="210"/>
      <c r="BZ774" s="210"/>
      <c r="CA774" s="210"/>
      <c r="CB774" s="210"/>
      <c r="CC774" s="210"/>
      <c r="CD774" s="210"/>
      <c r="CE774" s="210"/>
      <c r="CF774" s="210"/>
      <c r="CG774" s="210"/>
      <c r="CH774" s="210"/>
      <c r="CI774" s="210"/>
      <c r="CJ774" s="210"/>
      <c r="CK774" s="210"/>
    </row>
    <row r="775">
      <c r="A775" s="220"/>
      <c r="F775" s="190"/>
      <c r="G775" s="190"/>
      <c r="L775" s="220"/>
      <c r="M775" s="22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4"/>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c r="BU775" s="210"/>
      <c r="BV775" s="210"/>
      <c r="BW775" s="210"/>
      <c r="BX775" s="210"/>
      <c r="BY775" s="210"/>
      <c r="BZ775" s="210"/>
      <c r="CA775" s="210"/>
      <c r="CB775" s="210"/>
      <c r="CC775" s="210"/>
      <c r="CD775" s="210"/>
      <c r="CE775" s="210"/>
      <c r="CF775" s="210"/>
      <c r="CG775" s="210"/>
      <c r="CH775" s="210"/>
      <c r="CI775" s="210"/>
      <c r="CJ775" s="210"/>
      <c r="CK775" s="210"/>
    </row>
    <row r="776">
      <c r="A776" s="220"/>
      <c r="F776" s="190"/>
      <c r="G776" s="190"/>
      <c r="L776" s="220"/>
      <c r="M776" s="22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4"/>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c r="BU776" s="210"/>
      <c r="BV776" s="210"/>
      <c r="BW776" s="210"/>
      <c r="BX776" s="210"/>
      <c r="BY776" s="210"/>
      <c r="BZ776" s="210"/>
      <c r="CA776" s="210"/>
      <c r="CB776" s="210"/>
      <c r="CC776" s="210"/>
      <c r="CD776" s="210"/>
      <c r="CE776" s="210"/>
      <c r="CF776" s="210"/>
      <c r="CG776" s="210"/>
      <c r="CH776" s="210"/>
      <c r="CI776" s="210"/>
      <c r="CJ776" s="210"/>
      <c r="CK776" s="210"/>
    </row>
    <row r="777">
      <c r="A777" s="220"/>
      <c r="F777" s="190"/>
      <c r="G777" s="190"/>
      <c r="L777" s="220"/>
      <c r="M777" s="22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4"/>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c r="BU777" s="210"/>
      <c r="BV777" s="210"/>
      <c r="BW777" s="210"/>
      <c r="BX777" s="210"/>
      <c r="BY777" s="210"/>
      <c r="BZ777" s="210"/>
      <c r="CA777" s="210"/>
      <c r="CB777" s="210"/>
      <c r="CC777" s="210"/>
      <c r="CD777" s="210"/>
      <c r="CE777" s="210"/>
      <c r="CF777" s="210"/>
      <c r="CG777" s="210"/>
      <c r="CH777" s="210"/>
      <c r="CI777" s="210"/>
      <c r="CJ777" s="210"/>
      <c r="CK777" s="210"/>
    </row>
    <row r="778">
      <c r="A778" s="220"/>
      <c r="F778" s="190"/>
      <c r="G778" s="190"/>
      <c r="L778" s="220"/>
      <c r="M778" s="22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4"/>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c r="BU778" s="210"/>
      <c r="BV778" s="210"/>
      <c r="BW778" s="210"/>
      <c r="BX778" s="210"/>
      <c r="BY778" s="210"/>
      <c r="BZ778" s="210"/>
      <c r="CA778" s="210"/>
      <c r="CB778" s="210"/>
      <c r="CC778" s="210"/>
      <c r="CD778" s="210"/>
      <c r="CE778" s="210"/>
      <c r="CF778" s="210"/>
      <c r="CG778" s="210"/>
      <c r="CH778" s="210"/>
      <c r="CI778" s="210"/>
      <c r="CJ778" s="210"/>
      <c r="CK778" s="210"/>
    </row>
    <row r="779">
      <c r="A779" s="220"/>
      <c r="F779" s="190"/>
      <c r="G779" s="190"/>
      <c r="L779" s="220"/>
      <c r="M779" s="22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4"/>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c r="BU779" s="210"/>
      <c r="BV779" s="210"/>
      <c r="BW779" s="210"/>
      <c r="BX779" s="210"/>
      <c r="BY779" s="210"/>
      <c r="BZ779" s="210"/>
      <c r="CA779" s="210"/>
      <c r="CB779" s="210"/>
      <c r="CC779" s="210"/>
      <c r="CD779" s="210"/>
      <c r="CE779" s="210"/>
      <c r="CF779" s="210"/>
      <c r="CG779" s="210"/>
      <c r="CH779" s="210"/>
      <c r="CI779" s="210"/>
      <c r="CJ779" s="210"/>
      <c r="CK779" s="210"/>
    </row>
    <row r="780">
      <c r="A780" s="220"/>
      <c r="F780" s="190"/>
      <c r="G780" s="190"/>
      <c r="L780" s="220"/>
      <c r="M780" s="22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4"/>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c r="BU780" s="210"/>
      <c r="BV780" s="210"/>
      <c r="BW780" s="210"/>
      <c r="BX780" s="210"/>
      <c r="BY780" s="210"/>
      <c r="BZ780" s="210"/>
      <c r="CA780" s="210"/>
      <c r="CB780" s="210"/>
      <c r="CC780" s="210"/>
      <c r="CD780" s="210"/>
      <c r="CE780" s="210"/>
      <c r="CF780" s="210"/>
      <c r="CG780" s="210"/>
      <c r="CH780" s="210"/>
      <c r="CI780" s="210"/>
      <c r="CJ780" s="210"/>
      <c r="CK780" s="210"/>
    </row>
    <row r="781">
      <c r="A781" s="220"/>
      <c r="F781" s="190"/>
      <c r="G781" s="190"/>
      <c r="L781" s="220"/>
      <c r="M781" s="22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4"/>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c r="BU781" s="210"/>
      <c r="BV781" s="210"/>
      <c r="BW781" s="210"/>
      <c r="BX781" s="210"/>
      <c r="BY781" s="210"/>
      <c r="BZ781" s="210"/>
      <c r="CA781" s="210"/>
      <c r="CB781" s="210"/>
      <c r="CC781" s="210"/>
      <c r="CD781" s="210"/>
      <c r="CE781" s="210"/>
      <c r="CF781" s="210"/>
      <c r="CG781" s="210"/>
      <c r="CH781" s="210"/>
      <c r="CI781" s="210"/>
      <c r="CJ781" s="210"/>
      <c r="CK781" s="210"/>
    </row>
    <row r="782">
      <c r="A782" s="220"/>
      <c r="F782" s="190"/>
      <c r="G782" s="190"/>
      <c r="L782" s="220"/>
      <c r="M782" s="22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4"/>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c r="BU782" s="210"/>
      <c r="BV782" s="210"/>
      <c r="BW782" s="210"/>
      <c r="BX782" s="210"/>
      <c r="BY782" s="210"/>
      <c r="BZ782" s="210"/>
      <c r="CA782" s="210"/>
      <c r="CB782" s="210"/>
      <c r="CC782" s="210"/>
      <c r="CD782" s="210"/>
      <c r="CE782" s="210"/>
      <c r="CF782" s="210"/>
      <c r="CG782" s="210"/>
      <c r="CH782" s="210"/>
      <c r="CI782" s="210"/>
      <c r="CJ782" s="210"/>
      <c r="CK782" s="210"/>
    </row>
    <row r="783">
      <c r="A783" s="220"/>
      <c r="F783" s="190"/>
      <c r="G783" s="190"/>
      <c r="L783" s="220"/>
      <c r="M783" s="22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4"/>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c r="BU783" s="210"/>
      <c r="BV783" s="210"/>
      <c r="BW783" s="210"/>
      <c r="BX783" s="210"/>
      <c r="BY783" s="210"/>
      <c r="BZ783" s="210"/>
      <c r="CA783" s="210"/>
      <c r="CB783" s="210"/>
      <c r="CC783" s="210"/>
      <c r="CD783" s="210"/>
      <c r="CE783" s="210"/>
      <c r="CF783" s="210"/>
      <c r="CG783" s="210"/>
      <c r="CH783" s="210"/>
      <c r="CI783" s="210"/>
      <c r="CJ783" s="210"/>
      <c r="CK783" s="210"/>
    </row>
    <row r="784">
      <c r="A784" s="220"/>
      <c r="F784" s="190"/>
      <c r="G784" s="190"/>
      <c r="L784" s="220"/>
      <c r="M784" s="22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4"/>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c r="BU784" s="210"/>
      <c r="BV784" s="210"/>
      <c r="BW784" s="210"/>
      <c r="BX784" s="210"/>
      <c r="BY784" s="210"/>
      <c r="BZ784" s="210"/>
      <c r="CA784" s="210"/>
      <c r="CB784" s="210"/>
      <c r="CC784" s="210"/>
      <c r="CD784" s="210"/>
      <c r="CE784" s="210"/>
      <c r="CF784" s="210"/>
      <c r="CG784" s="210"/>
      <c r="CH784" s="210"/>
      <c r="CI784" s="210"/>
      <c r="CJ784" s="210"/>
      <c r="CK784" s="210"/>
    </row>
    <row r="785">
      <c r="A785" s="220"/>
      <c r="F785" s="190"/>
      <c r="G785" s="190"/>
      <c r="L785" s="220"/>
      <c r="M785" s="22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4"/>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c r="BU785" s="210"/>
      <c r="BV785" s="210"/>
      <c r="BW785" s="210"/>
      <c r="BX785" s="210"/>
      <c r="BY785" s="210"/>
      <c r="BZ785" s="210"/>
      <c r="CA785" s="210"/>
      <c r="CB785" s="210"/>
      <c r="CC785" s="210"/>
      <c r="CD785" s="210"/>
      <c r="CE785" s="210"/>
      <c r="CF785" s="210"/>
      <c r="CG785" s="210"/>
      <c r="CH785" s="210"/>
      <c r="CI785" s="210"/>
      <c r="CJ785" s="210"/>
      <c r="CK785" s="210"/>
    </row>
    <row r="786">
      <c r="A786" s="220"/>
      <c r="F786" s="190"/>
      <c r="G786" s="190"/>
      <c r="L786" s="220"/>
      <c r="M786" s="22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4"/>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c r="BU786" s="210"/>
      <c r="BV786" s="210"/>
      <c r="BW786" s="210"/>
      <c r="BX786" s="210"/>
      <c r="BY786" s="210"/>
      <c r="BZ786" s="210"/>
      <c r="CA786" s="210"/>
      <c r="CB786" s="210"/>
      <c r="CC786" s="210"/>
      <c r="CD786" s="210"/>
      <c r="CE786" s="210"/>
      <c r="CF786" s="210"/>
      <c r="CG786" s="210"/>
      <c r="CH786" s="210"/>
      <c r="CI786" s="210"/>
      <c r="CJ786" s="210"/>
      <c r="CK786" s="210"/>
    </row>
    <row r="787">
      <c r="A787" s="220"/>
      <c r="F787" s="190"/>
      <c r="G787" s="190"/>
      <c r="L787" s="220"/>
      <c r="M787" s="22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4"/>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c r="BU787" s="210"/>
      <c r="BV787" s="210"/>
      <c r="BW787" s="210"/>
      <c r="BX787" s="210"/>
      <c r="BY787" s="210"/>
      <c r="BZ787" s="210"/>
      <c r="CA787" s="210"/>
      <c r="CB787" s="210"/>
      <c r="CC787" s="210"/>
      <c r="CD787" s="210"/>
      <c r="CE787" s="210"/>
      <c r="CF787" s="210"/>
      <c r="CG787" s="210"/>
      <c r="CH787" s="210"/>
      <c r="CI787" s="210"/>
      <c r="CJ787" s="210"/>
      <c r="CK787" s="210"/>
    </row>
    <row r="788">
      <c r="A788" s="220"/>
      <c r="F788" s="190"/>
      <c r="G788" s="190"/>
      <c r="L788" s="220"/>
      <c r="M788" s="22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4"/>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c r="BU788" s="210"/>
      <c r="BV788" s="210"/>
      <c r="BW788" s="210"/>
      <c r="BX788" s="210"/>
      <c r="BY788" s="210"/>
      <c r="BZ788" s="210"/>
      <c r="CA788" s="210"/>
      <c r="CB788" s="210"/>
      <c r="CC788" s="210"/>
      <c r="CD788" s="210"/>
      <c r="CE788" s="210"/>
      <c r="CF788" s="210"/>
      <c r="CG788" s="210"/>
      <c r="CH788" s="210"/>
      <c r="CI788" s="210"/>
      <c r="CJ788" s="210"/>
      <c r="CK788" s="210"/>
    </row>
    <row r="789">
      <c r="A789" s="220"/>
      <c r="F789" s="190"/>
      <c r="G789" s="190"/>
      <c r="L789" s="220"/>
      <c r="M789" s="22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4"/>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c r="BU789" s="210"/>
      <c r="BV789" s="210"/>
      <c r="BW789" s="210"/>
      <c r="BX789" s="210"/>
      <c r="BY789" s="210"/>
      <c r="BZ789" s="210"/>
      <c r="CA789" s="210"/>
      <c r="CB789" s="210"/>
      <c r="CC789" s="210"/>
      <c r="CD789" s="210"/>
      <c r="CE789" s="210"/>
      <c r="CF789" s="210"/>
      <c r="CG789" s="210"/>
      <c r="CH789" s="210"/>
      <c r="CI789" s="210"/>
      <c r="CJ789" s="210"/>
      <c r="CK789" s="210"/>
    </row>
    <row r="790">
      <c r="A790" s="220"/>
      <c r="F790" s="190"/>
      <c r="G790" s="190"/>
      <c r="L790" s="220"/>
      <c r="M790" s="22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4"/>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c r="BU790" s="210"/>
      <c r="BV790" s="210"/>
      <c r="BW790" s="210"/>
      <c r="BX790" s="210"/>
      <c r="BY790" s="210"/>
      <c r="BZ790" s="210"/>
      <c r="CA790" s="210"/>
      <c r="CB790" s="210"/>
      <c r="CC790" s="210"/>
      <c r="CD790" s="210"/>
      <c r="CE790" s="210"/>
      <c r="CF790" s="210"/>
      <c r="CG790" s="210"/>
      <c r="CH790" s="210"/>
      <c r="CI790" s="210"/>
      <c r="CJ790" s="210"/>
      <c r="CK790" s="210"/>
    </row>
    <row r="791">
      <c r="A791" s="220"/>
      <c r="F791" s="190"/>
      <c r="G791" s="190"/>
      <c r="L791" s="220"/>
      <c r="M791" s="22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4"/>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c r="BU791" s="210"/>
      <c r="BV791" s="210"/>
      <c r="BW791" s="210"/>
      <c r="BX791" s="210"/>
      <c r="BY791" s="210"/>
      <c r="BZ791" s="210"/>
      <c r="CA791" s="210"/>
      <c r="CB791" s="210"/>
      <c r="CC791" s="210"/>
      <c r="CD791" s="210"/>
      <c r="CE791" s="210"/>
      <c r="CF791" s="210"/>
      <c r="CG791" s="210"/>
      <c r="CH791" s="210"/>
      <c r="CI791" s="210"/>
      <c r="CJ791" s="210"/>
      <c r="CK791" s="210"/>
    </row>
    <row r="792">
      <c r="A792" s="220"/>
      <c r="F792" s="190"/>
      <c r="G792" s="190"/>
      <c r="L792" s="220"/>
      <c r="M792" s="22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4"/>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c r="BU792" s="210"/>
      <c r="BV792" s="210"/>
      <c r="BW792" s="210"/>
      <c r="BX792" s="210"/>
      <c r="BY792" s="210"/>
      <c r="BZ792" s="210"/>
      <c r="CA792" s="210"/>
      <c r="CB792" s="210"/>
      <c r="CC792" s="210"/>
      <c r="CD792" s="210"/>
      <c r="CE792" s="210"/>
      <c r="CF792" s="210"/>
      <c r="CG792" s="210"/>
      <c r="CH792" s="210"/>
      <c r="CI792" s="210"/>
      <c r="CJ792" s="210"/>
      <c r="CK792" s="210"/>
    </row>
    <row r="793">
      <c r="A793" s="220"/>
      <c r="F793" s="190"/>
      <c r="G793" s="190"/>
      <c r="L793" s="220"/>
      <c r="M793" s="22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4"/>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c r="BU793" s="210"/>
      <c r="BV793" s="210"/>
      <c r="BW793" s="210"/>
      <c r="BX793" s="210"/>
      <c r="BY793" s="210"/>
      <c r="BZ793" s="210"/>
      <c r="CA793" s="210"/>
      <c r="CB793" s="210"/>
      <c r="CC793" s="210"/>
      <c r="CD793" s="210"/>
      <c r="CE793" s="210"/>
      <c r="CF793" s="210"/>
      <c r="CG793" s="210"/>
      <c r="CH793" s="210"/>
      <c r="CI793" s="210"/>
      <c r="CJ793" s="210"/>
      <c r="CK793" s="210"/>
    </row>
    <row r="794">
      <c r="A794" s="220"/>
      <c r="F794" s="190"/>
      <c r="G794" s="190"/>
      <c r="L794" s="220"/>
      <c r="M794" s="22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4"/>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c r="BU794" s="210"/>
      <c r="BV794" s="210"/>
      <c r="BW794" s="210"/>
      <c r="BX794" s="210"/>
      <c r="BY794" s="210"/>
      <c r="BZ794" s="210"/>
      <c r="CA794" s="210"/>
      <c r="CB794" s="210"/>
      <c r="CC794" s="210"/>
      <c r="CD794" s="210"/>
      <c r="CE794" s="210"/>
      <c r="CF794" s="210"/>
      <c r="CG794" s="210"/>
      <c r="CH794" s="210"/>
      <c r="CI794" s="210"/>
      <c r="CJ794" s="210"/>
      <c r="CK794" s="210"/>
    </row>
    <row r="795">
      <c r="A795" s="220"/>
      <c r="F795" s="190"/>
      <c r="G795" s="190"/>
      <c r="L795" s="220"/>
      <c r="M795" s="22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4"/>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c r="BU795" s="210"/>
      <c r="BV795" s="210"/>
      <c r="BW795" s="210"/>
      <c r="BX795" s="210"/>
      <c r="BY795" s="210"/>
      <c r="BZ795" s="210"/>
      <c r="CA795" s="210"/>
      <c r="CB795" s="210"/>
      <c r="CC795" s="210"/>
      <c r="CD795" s="210"/>
      <c r="CE795" s="210"/>
      <c r="CF795" s="210"/>
      <c r="CG795" s="210"/>
      <c r="CH795" s="210"/>
      <c r="CI795" s="210"/>
      <c r="CJ795" s="210"/>
      <c r="CK795" s="210"/>
    </row>
    <row r="796">
      <c r="A796" s="220"/>
      <c r="F796" s="190"/>
      <c r="G796" s="190"/>
      <c r="L796" s="220"/>
      <c r="M796" s="22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4"/>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c r="BU796" s="210"/>
      <c r="BV796" s="210"/>
      <c r="BW796" s="210"/>
      <c r="BX796" s="210"/>
      <c r="BY796" s="210"/>
      <c r="BZ796" s="210"/>
      <c r="CA796" s="210"/>
      <c r="CB796" s="210"/>
      <c r="CC796" s="210"/>
      <c r="CD796" s="210"/>
      <c r="CE796" s="210"/>
      <c r="CF796" s="210"/>
      <c r="CG796" s="210"/>
      <c r="CH796" s="210"/>
      <c r="CI796" s="210"/>
      <c r="CJ796" s="210"/>
      <c r="CK796" s="210"/>
    </row>
    <row r="797">
      <c r="A797" s="220"/>
      <c r="F797" s="190"/>
      <c r="G797" s="190"/>
      <c r="L797" s="220"/>
      <c r="M797" s="22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4"/>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c r="BU797" s="210"/>
      <c r="BV797" s="210"/>
      <c r="BW797" s="210"/>
      <c r="BX797" s="210"/>
      <c r="BY797" s="210"/>
      <c r="BZ797" s="210"/>
      <c r="CA797" s="210"/>
      <c r="CB797" s="210"/>
      <c r="CC797" s="210"/>
      <c r="CD797" s="210"/>
      <c r="CE797" s="210"/>
      <c r="CF797" s="210"/>
      <c r="CG797" s="210"/>
      <c r="CH797" s="210"/>
      <c r="CI797" s="210"/>
      <c r="CJ797" s="210"/>
      <c r="CK797" s="210"/>
    </row>
    <row r="798">
      <c r="A798" s="220"/>
      <c r="F798" s="190"/>
      <c r="G798" s="190"/>
      <c r="L798" s="220"/>
      <c r="M798" s="22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4"/>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c r="BU798" s="210"/>
      <c r="BV798" s="210"/>
      <c r="BW798" s="210"/>
      <c r="BX798" s="210"/>
      <c r="BY798" s="210"/>
      <c r="BZ798" s="210"/>
      <c r="CA798" s="210"/>
      <c r="CB798" s="210"/>
      <c r="CC798" s="210"/>
      <c r="CD798" s="210"/>
      <c r="CE798" s="210"/>
      <c r="CF798" s="210"/>
      <c r="CG798" s="210"/>
      <c r="CH798" s="210"/>
      <c r="CI798" s="210"/>
      <c r="CJ798" s="210"/>
      <c r="CK798" s="210"/>
    </row>
    <row r="799">
      <c r="A799" s="220"/>
      <c r="F799" s="190"/>
      <c r="G799" s="190"/>
      <c r="L799" s="220"/>
      <c r="M799" s="22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4"/>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c r="BU799" s="210"/>
      <c r="BV799" s="210"/>
      <c r="BW799" s="210"/>
      <c r="BX799" s="210"/>
      <c r="BY799" s="210"/>
      <c r="BZ799" s="210"/>
      <c r="CA799" s="210"/>
      <c r="CB799" s="210"/>
      <c r="CC799" s="210"/>
      <c r="CD799" s="210"/>
      <c r="CE799" s="210"/>
      <c r="CF799" s="210"/>
      <c r="CG799" s="210"/>
      <c r="CH799" s="210"/>
      <c r="CI799" s="210"/>
      <c r="CJ799" s="210"/>
      <c r="CK799" s="210"/>
    </row>
    <row r="800">
      <c r="A800" s="220"/>
      <c r="F800" s="190"/>
      <c r="G800" s="190"/>
      <c r="L800" s="220"/>
      <c r="M800" s="22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4"/>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c r="BU800" s="210"/>
      <c r="BV800" s="210"/>
      <c r="BW800" s="210"/>
      <c r="BX800" s="210"/>
      <c r="BY800" s="210"/>
      <c r="BZ800" s="210"/>
      <c r="CA800" s="210"/>
      <c r="CB800" s="210"/>
      <c r="CC800" s="210"/>
      <c r="CD800" s="210"/>
      <c r="CE800" s="210"/>
      <c r="CF800" s="210"/>
      <c r="CG800" s="210"/>
      <c r="CH800" s="210"/>
      <c r="CI800" s="210"/>
      <c r="CJ800" s="210"/>
      <c r="CK800" s="210"/>
    </row>
    <row r="801">
      <c r="A801" s="220"/>
      <c r="F801" s="190"/>
      <c r="G801" s="190"/>
      <c r="L801" s="220"/>
      <c r="M801" s="22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4"/>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c r="BU801" s="210"/>
      <c r="BV801" s="210"/>
      <c r="BW801" s="210"/>
      <c r="BX801" s="210"/>
      <c r="BY801" s="210"/>
      <c r="BZ801" s="210"/>
      <c r="CA801" s="210"/>
      <c r="CB801" s="210"/>
      <c r="CC801" s="210"/>
      <c r="CD801" s="210"/>
      <c r="CE801" s="210"/>
      <c r="CF801" s="210"/>
      <c r="CG801" s="210"/>
      <c r="CH801" s="210"/>
      <c r="CI801" s="210"/>
      <c r="CJ801" s="210"/>
      <c r="CK801" s="210"/>
    </row>
    <row r="802">
      <c r="A802" s="220"/>
      <c r="F802" s="190"/>
      <c r="G802" s="190"/>
      <c r="L802" s="220"/>
      <c r="M802" s="22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4"/>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c r="BU802" s="210"/>
      <c r="BV802" s="210"/>
      <c r="BW802" s="210"/>
      <c r="BX802" s="210"/>
      <c r="BY802" s="210"/>
      <c r="BZ802" s="210"/>
      <c r="CA802" s="210"/>
      <c r="CB802" s="210"/>
      <c r="CC802" s="210"/>
      <c r="CD802" s="210"/>
      <c r="CE802" s="210"/>
      <c r="CF802" s="210"/>
      <c r="CG802" s="210"/>
      <c r="CH802" s="210"/>
      <c r="CI802" s="210"/>
      <c r="CJ802" s="210"/>
      <c r="CK802" s="210"/>
    </row>
    <row r="803">
      <c r="A803" s="220"/>
      <c r="F803" s="190"/>
      <c r="G803" s="190"/>
      <c r="L803" s="220"/>
      <c r="M803" s="22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4"/>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c r="BU803" s="210"/>
      <c r="BV803" s="210"/>
      <c r="BW803" s="210"/>
      <c r="BX803" s="210"/>
      <c r="BY803" s="210"/>
      <c r="BZ803" s="210"/>
      <c r="CA803" s="210"/>
      <c r="CB803" s="210"/>
      <c r="CC803" s="210"/>
      <c r="CD803" s="210"/>
      <c r="CE803" s="210"/>
      <c r="CF803" s="210"/>
      <c r="CG803" s="210"/>
      <c r="CH803" s="210"/>
      <c r="CI803" s="210"/>
      <c r="CJ803" s="210"/>
      <c r="CK803" s="210"/>
    </row>
    <row r="804">
      <c r="A804" s="220"/>
      <c r="F804" s="190"/>
      <c r="G804" s="190"/>
      <c r="L804" s="220"/>
      <c r="M804" s="22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4"/>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c r="BU804" s="210"/>
      <c r="BV804" s="210"/>
      <c r="BW804" s="210"/>
      <c r="BX804" s="210"/>
      <c r="BY804" s="210"/>
      <c r="BZ804" s="210"/>
      <c r="CA804" s="210"/>
      <c r="CB804" s="210"/>
      <c r="CC804" s="210"/>
      <c r="CD804" s="210"/>
      <c r="CE804" s="210"/>
      <c r="CF804" s="210"/>
      <c r="CG804" s="210"/>
      <c r="CH804" s="210"/>
      <c r="CI804" s="210"/>
      <c r="CJ804" s="210"/>
      <c r="CK804" s="210"/>
    </row>
    <row r="805">
      <c r="A805" s="220"/>
      <c r="F805" s="190"/>
      <c r="G805" s="190"/>
      <c r="L805" s="220"/>
      <c r="M805" s="22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4"/>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c r="BU805" s="210"/>
      <c r="BV805" s="210"/>
      <c r="BW805" s="210"/>
      <c r="BX805" s="210"/>
      <c r="BY805" s="210"/>
      <c r="BZ805" s="210"/>
      <c r="CA805" s="210"/>
      <c r="CB805" s="210"/>
      <c r="CC805" s="210"/>
      <c r="CD805" s="210"/>
      <c r="CE805" s="210"/>
      <c r="CF805" s="210"/>
      <c r="CG805" s="210"/>
      <c r="CH805" s="210"/>
      <c r="CI805" s="210"/>
      <c r="CJ805" s="210"/>
      <c r="CK805" s="210"/>
    </row>
    <row r="806">
      <c r="A806" s="220"/>
      <c r="F806" s="190"/>
      <c r="G806" s="190"/>
      <c r="L806" s="220"/>
      <c r="M806" s="22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4"/>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c r="BU806" s="210"/>
      <c r="BV806" s="210"/>
      <c r="BW806" s="210"/>
      <c r="BX806" s="210"/>
      <c r="BY806" s="210"/>
      <c r="BZ806" s="210"/>
      <c r="CA806" s="210"/>
      <c r="CB806" s="210"/>
      <c r="CC806" s="210"/>
      <c r="CD806" s="210"/>
      <c r="CE806" s="210"/>
      <c r="CF806" s="210"/>
      <c r="CG806" s="210"/>
      <c r="CH806" s="210"/>
      <c r="CI806" s="210"/>
      <c r="CJ806" s="210"/>
      <c r="CK806" s="210"/>
    </row>
    <row r="807">
      <c r="A807" s="220"/>
      <c r="F807" s="190"/>
      <c r="G807" s="190"/>
      <c r="L807" s="220"/>
      <c r="M807" s="22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4"/>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c r="BU807" s="210"/>
      <c r="BV807" s="210"/>
      <c r="BW807" s="210"/>
      <c r="BX807" s="210"/>
      <c r="BY807" s="210"/>
      <c r="BZ807" s="210"/>
      <c r="CA807" s="210"/>
      <c r="CB807" s="210"/>
      <c r="CC807" s="210"/>
      <c r="CD807" s="210"/>
      <c r="CE807" s="210"/>
      <c r="CF807" s="210"/>
      <c r="CG807" s="210"/>
      <c r="CH807" s="210"/>
      <c r="CI807" s="210"/>
      <c r="CJ807" s="210"/>
      <c r="CK807" s="210"/>
    </row>
    <row r="808">
      <c r="A808" s="220"/>
      <c r="F808" s="190"/>
      <c r="G808" s="190"/>
      <c r="L808" s="220"/>
      <c r="M808" s="22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4"/>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c r="BU808" s="210"/>
      <c r="BV808" s="210"/>
      <c r="BW808" s="210"/>
      <c r="BX808" s="210"/>
      <c r="BY808" s="210"/>
      <c r="BZ808" s="210"/>
      <c r="CA808" s="210"/>
      <c r="CB808" s="210"/>
      <c r="CC808" s="210"/>
      <c r="CD808" s="210"/>
      <c r="CE808" s="210"/>
      <c r="CF808" s="210"/>
      <c r="CG808" s="210"/>
      <c r="CH808" s="210"/>
      <c r="CI808" s="210"/>
      <c r="CJ808" s="210"/>
      <c r="CK808" s="210"/>
    </row>
    <row r="809">
      <c r="A809" s="220"/>
      <c r="F809" s="190"/>
      <c r="G809" s="190"/>
      <c r="L809" s="220"/>
      <c r="M809" s="22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4"/>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c r="BU809" s="210"/>
      <c r="BV809" s="210"/>
      <c r="BW809" s="210"/>
      <c r="BX809" s="210"/>
      <c r="BY809" s="210"/>
      <c r="BZ809" s="210"/>
      <c r="CA809" s="210"/>
      <c r="CB809" s="210"/>
      <c r="CC809" s="210"/>
      <c r="CD809" s="210"/>
      <c r="CE809" s="210"/>
      <c r="CF809" s="210"/>
      <c r="CG809" s="210"/>
      <c r="CH809" s="210"/>
      <c r="CI809" s="210"/>
      <c r="CJ809" s="210"/>
      <c r="CK809" s="210"/>
    </row>
    <row r="810">
      <c r="A810" s="220"/>
      <c r="F810" s="190"/>
      <c r="G810" s="190"/>
      <c r="L810" s="220"/>
      <c r="M810" s="22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4"/>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c r="BU810" s="210"/>
      <c r="BV810" s="210"/>
      <c r="BW810" s="210"/>
      <c r="BX810" s="210"/>
      <c r="BY810" s="210"/>
      <c r="BZ810" s="210"/>
      <c r="CA810" s="210"/>
      <c r="CB810" s="210"/>
      <c r="CC810" s="210"/>
      <c r="CD810" s="210"/>
      <c r="CE810" s="210"/>
      <c r="CF810" s="210"/>
      <c r="CG810" s="210"/>
      <c r="CH810" s="210"/>
      <c r="CI810" s="210"/>
      <c r="CJ810" s="210"/>
      <c r="CK810" s="210"/>
    </row>
    <row r="811">
      <c r="A811" s="220"/>
      <c r="F811" s="190"/>
      <c r="G811" s="190"/>
      <c r="L811" s="220"/>
      <c r="M811" s="22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4"/>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c r="BU811" s="210"/>
      <c r="BV811" s="210"/>
      <c r="BW811" s="210"/>
      <c r="BX811" s="210"/>
      <c r="BY811" s="210"/>
      <c r="BZ811" s="210"/>
      <c r="CA811" s="210"/>
      <c r="CB811" s="210"/>
      <c r="CC811" s="210"/>
      <c r="CD811" s="210"/>
      <c r="CE811" s="210"/>
      <c r="CF811" s="210"/>
      <c r="CG811" s="210"/>
      <c r="CH811" s="210"/>
      <c r="CI811" s="210"/>
      <c r="CJ811" s="210"/>
      <c r="CK811" s="210"/>
    </row>
    <row r="812">
      <c r="A812" s="220"/>
      <c r="F812" s="190"/>
      <c r="G812" s="190"/>
      <c r="L812" s="220"/>
      <c r="M812" s="22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4"/>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c r="BU812" s="210"/>
      <c r="BV812" s="210"/>
      <c r="BW812" s="210"/>
      <c r="BX812" s="210"/>
      <c r="BY812" s="210"/>
      <c r="BZ812" s="210"/>
      <c r="CA812" s="210"/>
      <c r="CB812" s="210"/>
      <c r="CC812" s="210"/>
      <c r="CD812" s="210"/>
      <c r="CE812" s="210"/>
      <c r="CF812" s="210"/>
      <c r="CG812" s="210"/>
      <c r="CH812" s="210"/>
      <c r="CI812" s="210"/>
      <c r="CJ812" s="210"/>
      <c r="CK812" s="210"/>
    </row>
    <row r="813">
      <c r="A813" s="220"/>
      <c r="F813" s="190"/>
      <c r="G813" s="190"/>
      <c r="L813" s="220"/>
      <c r="M813" s="22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4"/>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c r="BU813" s="210"/>
      <c r="BV813" s="210"/>
      <c r="BW813" s="210"/>
      <c r="BX813" s="210"/>
      <c r="BY813" s="210"/>
      <c r="BZ813" s="210"/>
      <c r="CA813" s="210"/>
      <c r="CB813" s="210"/>
      <c r="CC813" s="210"/>
      <c r="CD813" s="210"/>
      <c r="CE813" s="210"/>
      <c r="CF813" s="210"/>
      <c r="CG813" s="210"/>
      <c r="CH813" s="210"/>
      <c r="CI813" s="210"/>
      <c r="CJ813" s="210"/>
      <c r="CK813" s="210"/>
    </row>
    <row r="814">
      <c r="A814" s="220"/>
      <c r="F814" s="190"/>
      <c r="G814" s="190"/>
      <c r="L814" s="220"/>
      <c r="M814" s="22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4"/>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c r="BU814" s="210"/>
      <c r="BV814" s="210"/>
      <c r="BW814" s="210"/>
      <c r="BX814" s="210"/>
      <c r="BY814" s="210"/>
      <c r="BZ814" s="210"/>
      <c r="CA814" s="210"/>
      <c r="CB814" s="210"/>
      <c r="CC814" s="210"/>
      <c r="CD814" s="210"/>
      <c r="CE814" s="210"/>
      <c r="CF814" s="210"/>
      <c r="CG814" s="210"/>
      <c r="CH814" s="210"/>
      <c r="CI814" s="210"/>
      <c r="CJ814" s="210"/>
      <c r="CK814" s="210"/>
    </row>
    <row r="815">
      <c r="A815" s="220"/>
      <c r="F815" s="190"/>
      <c r="G815" s="190"/>
      <c r="L815" s="220"/>
      <c r="M815" s="22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4"/>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c r="BU815" s="210"/>
      <c r="BV815" s="210"/>
      <c r="BW815" s="210"/>
      <c r="BX815" s="210"/>
      <c r="BY815" s="210"/>
      <c r="BZ815" s="210"/>
      <c r="CA815" s="210"/>
      <c r="CB815" s="210"/>
      <c r="CC815" s="210"/>
      <c r="CD815" s="210"/>
      <c r="CE815" s="210"/>
      <c r="CF815" s="210"/>
      <c r="CG815" s="210"/>
      <c r="CH815" s="210"/>
      <c r="CI815" s="210"/>
      <c r="CJ815" s="210"/>
      <c r="CK815" s="210"/>
    </row>
    <row r="816">
      <c r="A816" s="220"/>
      <c r="F816" s="190"/>
      <c r="G816" s="190"/>
      <c r="L816" s="220"/>
      <c r="M816" s="22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4"/>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c r="BU816" s="210"/>
      <c r="BV816" s="210"/>
      <c r="BW816" s="210"/>
      <c r="BX816" s="210"/>
      <c r="BY816" s="210"/>
      <c r="BZ816" s="210"/>
      <c r="CA816" s="210"/>
      <c r="CB816" s="210"/>
      <c r="CC816" s="210"/>
      <c r="CD816" s="210"/>
      <c r="CE816" s="210"/>
      <c r="CF816" s="210"/>
      <c r="CG816" s="210"/>
      <c r="CH816" s="210"/>
      <c r="CI816" s="210"/>
      <c r="CJ816" s="210"/>
      <c r="CK816" s="210"/>
    </row>
    <row r="817">
      <c r="A817" s="220"/>
      <c r="F817" s="190"/>
      <c r="G817" s="190"/>
      <c r="L817" s="220"/>
      <c r="M817" s="22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4"/>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c r="BU817" s="210"/>
      <c r="BV817" s="210"/>
      <c r="BW817" s="210"/>
      <c r="BX817" s="210"/>
      <c r="BY817" s="210"/>
      <c r="BZ817" s="210"/>
      <c r="CA817" s="210"/>
      <c r="CB817" s="210"/>
      <c r="CC817" s="210"/>
      <c r="CD817" s="210"/>
      <c r="CE817" s="210"/>
      <c r="CF817" s="210"/>
      <c r="CG817" s="210"/>
      <c r="CH817" s="210"/>
      <c r="CI817" s="210"/>
      <c r="CJ817" s="210"/>
      <c r="CK817" s="210"/>
    </row>
    <row r="818">
      <c r="A818" s="220"/>
      <c r="F818" s="190"/>
      <c r="G818" s="190"/>
      <c r="L818" s="220"/>
      <c r="M818" s="22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4"/>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c r="BU818" s="210"/>
      <c r="BV818" s="210"/>
      <c r="BW818" s="210"/>
      <c r="BX818" s="210"/>
      <c r="BY818" s="210"/>
      <c r="BZ818" s="210"/>
      <c r="CA818" s="210"/>
      <c r="CB818" s="210"/>
      <c r="CC818" s="210"/>
      <c r="CD818" s="210"/>
      <c r="CE818" s="210"/>
      <c r="CF818" s="210"/>
      <c r="CG818" s="210"/>
      <c r="CH818" s="210"/>
      <c r="CI818" s="210"/>
      <c r="CJ818" s="210"/>
      <c r="CK818" s="210"/>
    </row>
    <row r="819">
      <c r="A819" s="220"/>
      <c r="F819" s="190"/>
      <c r="G819" s="190"/>
      <c r="L819" s="220"/>
      <c r="M819" s="22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4"/>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c r="BU819" s="210"/>
      <c r="BV819" s="210"/>
      <c r="BW819" s="210"/>
      <c r="BX819" s="210"/>
      <c r="BY819" s="210"/>
      <c r="BZ819" s="210"/>
      <c r="CA819" s="210"/>
      <c r="CB819" s="210"/>
      <c r="CC819" s="210"/>
      <c r="CD819" s="210"/>
      <c r="CE819" s="210"/>
      <c r="CF819" s="210"/>
      <c r="CG819" s="210"/>
      <c r="CH819" s="210"/>
      <c r="CI819" s="210"/>
      <c r="CJ819" s="210"/>
      <c r="CK819" s="210"/>
    </row>
    <row r="820">
      <c r="A820" s="220"/>
      <c r="F820" s="190"/>
      <c r="G820" s="190"/>
      <c r="L820" s="220"/>
      <c r="M820" s="22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4"/>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c r="BU820" s="210"/>
      <c r="BV820" s="210"/>
      <c r="BW820" s="210"/>
      <c r="BX820" s="210"/>
      <c r="BY820" s="210"/>
      <c r="BZ820" s="210"/>
      <c r="CA820" s="210"/>
      <c r="CB820" s="210"/>
      <c r="CC820" s="210"/>
      <c r="CD820" s="210"/>
      <c r="CE820" s="210"/>
      <c r="CF820" s="210"/>
      <c r="CG820" s="210"/>
      <c r="CH820" s="210"/>
      <c r="CI820" s="210"/>
      <c r="CJ820" s="210"/>
      <c r="CK820" s="210"/>
    </row>
    <row r="821">
      <c r="A821" s="220"/>
      <c r="F821" s="190"/>
      <c r="G821" s="190"/>
      <c r="L821" s="220"/>
      <c r="M821" s="22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4"/>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c r="BU821" s="210"/>
      <c r="BV821" s="210"/>
      <c r="BW821" s="210"/>
      <c r="BX821" s="210"/>
      <c r="BY821" s="210"/>
      <c r="BZ821" s="210"/>
      <c r="CA821" s="210"/>
      <c r="CB821" s="210"/>
      <c r="CC821" s="210"/>
      <c r="CD821" s="210"/>
      <c r="CE821" s="210"/>
      <c r="CF821" s="210"/>
      <c r="CG821" s="210"/>
      <c r="CH821" s="210"/>
      <c r="CI821" s="210"/>
      <c r="CJ821" s="210"/>
      <c r="CK821" s="210"/>
    </row>
    <row r="822">
      <c r="A822" s="220"/>
      <c r="F822" s="190"/>
      <c r="G822" s="190"/>
      <c r="L822" s="220"/>
      <c r="M822" s="22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4"/>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c r="BU822" s="210"/>
      <c r="BV822" s="210"/>
      <c r="BW822" s="210"/>
      <c r="BX822" s="210"/>
      <c r="BY822" s="210"/>
      <c r="BZ822" s="210"/>
      <c r="CA822" s="210"/>
      <c r="CB822" s="210"/>
      <c r="CC822" s="210"/>
      <c r="CD822" s="210"/>
      <c r="CE822" s="210"/>
      <c r="CF822" s="210"/>
      <c r="CG822" s="210"/>
      <c r="CH822" s="210"/>
      <c r="CI822" s="210"/>
      <c r="CJ822" s="210"/>
      <c r="CK822" s="210"/>
    </row>
    <row r="823">
      <c r="A823" s="220"/>
      <c r="F823" s="190"/>
      <c r="G823" s="190"/>
      <c r="L823" s="220"/>
      <c r="M823" s="22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4"/>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c r="BU823" s="210"/>
      <c r="BV823" s="210"/>
      <c r="BW823" s="210"/>
      <c r="BX823" s="210"/>
      <c r="BY823" s="210"/>
      <c r="BZ823" s="210"/>
      <c r="CA823" s="210"/>
      <c r="CB823" s="210"/>
      <c r="CC823" s="210"/>
      <c r="CD823" s="210"/>
      <c r="CE823" s="210"/>
      <c r="CF823" s="210"/>
      <c r="CG823" s="210"/>
      <c r="CH823" s="210"/>
      <c r="CI823" s="210"/>
      <c r="CJ823" s="210"/>
      <c r="CK823" s="210"/>
    </row>
    <row r="824">
      <c r="A824" s="220"/>
      <c r="F824" s="190"/>
      <c r="G824" s="190"/>
      <c r="L824" s="220"/>
      <c r="M824" s="22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4"/>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c r="BU824" s="210"/>
      <c r="BV824" s="210"/>
      <c r="BW824" s="210"/>
      <c r="BX824" s="210"/>
      <c r="BY824" s="210"/>
      <c r="BZ824" s="210"/>
      <c r="CA824" s="210"/>
      <c r="CB824" s="210"/>
      <c r="CC824" s="210"/>
      <c r="CD824" s="210"/>
      <c r="CE824" s="210"/>
      <c r="CF824" s="210"/>
      <c r="CG824" s="210"/>
      <c r="CH824" s="210"/>
      <c r="CI824" s="210"/>
      <c r="CJ824" s="210"/>
      <c r="CK824" s="210"/>
    </row>
    <row r="825">
      <c r="A825" s="220"/>
      <c r="F825" s="190"/>
      <c r="G825" s="190"/>
      <c r="L825" s="220"/>
      <c r="M825" s="22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4"/>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c r="BU825" s="210"/>
      <c r="BV825" s="210"/>
      <c r="BW825" s="210"/>
      <c r="BX825" s="210"/>
      <c r="BY825" s="210"/>
      <c r="BZ825" s="210"/>
      <c r="CA825" s="210"/>
      <c r="CB825" s="210"/>
      <c r="CC825" s="210"/>
      <c r="CD825" s="210"/>
      <c r="CE825" s="210"/>
      <c r="CF825" s="210"/>
      <c r="CG825" s="210"/>
      <c r="CH825" s="210"/>
      <c r="CI825" s="210"/>
      <c r="CJ825" s="210"/>
      <c r="CK825" s="210"/>
    </row>
    <row r="826">
      <c r="A826" s="220"/>
      <c r="F826" s="190"/>
      <c r="G826" s="190"/>
      <c r="L826" s="220"/>
      <c r="M826" s="22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4"/>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c r="BU826" s="210"/>
      <c r="BV826" s="210"/>
      <c r="BW826" s="210"/>
      <c r="BX826" s="210"/>
      <c r="BY826" s="210"/>
      <c r="BZ826" s="210"/>
      <c r="CA826" s="210"/>
      <c r="CB826" s="210"/>
      <c r="CC826" s="210"/>
      <c r="CD826" s="210"/>
      <c r="CE826" s="210"/>
      <c r="CF826" s="210"/>
      <c r="CG826" s="210"/>
      <c r="CH826" s="210"/>
      <c r="CI826" s="210"/>
      <c r="CJ826" s="210"/>
      <c r="CK826" s="210"/>
    </row>
    <row r="827">
      <c r="A827" s="220"/>
      <c r="F827" s="190"/>
      <c r="G827" s="190"/>
      <c r="L827" s="220"/>
      <c r="M827" s="22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4"/>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c r="BU827" s="210"/>
      <c r="BV827" s="210"/>
      <c r="BW827" s="210"/>
      <c r="BX827" s="210"/>
      <c r="BY827" s="210"/>
      <c r="BZ827" s="210"/>
      <c r="CA827" s="210"/>
      <c r="CB827" s="210"/>
      <c r="CC827" s="210"/>
      <c r="CD827" s="210"/>
      <c r="CE827" s="210"/>
      <c r="CF827" s="210"/>
      <c r="CG827" s="210"/>
      <c r="CH827" s="210"/>
      <c r="CI827" s="210"/>
      <c r="CJ827" s="210"/>
      <c r="CK827" s="210"/>
    </row>
    <row r="828">
      <c r="A828" s="220"/>
      <c r="F828" s="190"/>
      <c r="G828" s="190"/>
      <c r="L828" s="220"/>
      <c r="M828" s="22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4"/>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c r="BU828" s="210"/>
      <c r="BV828" s="210"/>
      <c r="BW828" s="210"/>
      <c r="BX828" s="210"/>
      <c r="BY828" s="210"/>
      <c r="BZ828" s="210"/>
      <c r="CA828" s="210"/>
      <c r="CB828" s="210"/>
      <c r="CC828" s="210"/>
      <c r="CD828" s="210"/>
      <c r="CE828" s="210"/>
      <c r="CF828" s="210"/>
      <c r="CG828" s="210"/>
      <c r="CH828" s="210"/>
      <c r="CI828" s="210"/>
      <c r="CJ828" s="210"/>
      <c r="CK828" s="210"/>
    </row>
    <row r="829">
      <c r="A829" s="220"/>
      <c r="F829" s="190"/>
      <c r="G829" s="190"/>
      <c r="L829" s="220"/>
      <c r="M829" s="22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4"/>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c r="BU829" s="210"/>
      <c r="BV829" s="210"/>
      <c r="BW829" s="210"/>
      <c r="BX829" s="210"/>
      <c r="BY829" s="210"/>
      <c r="BZ829" s="210"/>
      <c r="CA829" s="210"/>
      <c r="CB829" s="210"/>
      <c r="CC829" s="210"/>
      <c r="CD829" s="210"/>
      <c r="CE829" s="210"/>
      <c r="CF829" s="210"/>
      <c r="CG829" s="210"/>
      <c r="CH829" s="210"/>
      <c r="CI829" s="210"/>
      <c r="CJ829" s="210"/>
      <c r="CK829" s="210"/>
    </row>
    <row r="830">
      <c r="A830" s="220"/>
      <c r="F830" s="190"/>
      <c r="G830" s="190"/>
      <c r="L830" s="220"/>
      <c r="M830" s="22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4"/>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c r="BU830" s="210"/>
      <c r="BV830" s="210"/>
      <c r="BW830" s="210"/>
      <c r="BX830" s="210"/>
      <c r="BY830" s="210"/>
      <c r="BZ830" s="210"/>
      <c r="CA830" s="210"/>
      <c r="CB830" s="210"/>
      <c r="CC830" s="210"/>
      <c r="CD830" s="210"/>
      <c r="CE830" s="210"/>
      <c r="CF830" s="210"/>
      <c r="CG830" s="210"/>
      <c r="CH830" s="210"/>
      <c r="CI830" s="210"/>
      <c r="CJ830" s="210"/>
      <c r="CK830" s="210"/>
    </row>
    <row r="831">
      <c r="A831" s="220"/>
      <c r="F831" s="190"/>
      <c r="G831" s="190"/>
      <c r="L831" s="220"/>
      <c r="M831" s="22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4"/>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c r="BU831" s="210"/>
      <c r="BV831" s="210"/>
      <c r="BW831" s="210"/>
      <c r="BX831" s="210"/>
      <c r="BY831" s="210"/>
      <c r="BZ831" s="210"/>
      <c r="CA831" s="210"/>
      <c r="CB831" s="210"/>
      <c r="CC831" s="210"/>
      <c r="CD831" s="210"/>
      <c r="CE831" s="210"/>
      <c r="CF831" s="210"/>
      <c r="CG831" s="210"/>
      <c r="CH831" s="210"/>
      <c r="CI831" s="210"/>
      <c r="CJ831" s="210"/>
      <c r="CK831" s="210"/>
    </row>
    <row r="832">
      <c r="A832" s="220"/>
      <c r="F832" s="190"/>
      <c r="G832" s="190"/>
      <c r="L832" s="220"/>
      <c r="M832" s="22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4"/>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c r="BU832" s="210"/>
      <c r="BV832" s="210"/>
      <c r="BW832" s="210"/>
      <c r="BX832" s="210"/>
      <c r="BY832" s="210"/>
      <c r="BZ832" s="210"/>
      <c r="CA832" s="210"/>
      <c r="CB832" s="210"/>
      <c r="CC832" s="210"/>
      <c r="CD832" s="210"/>
      <c r="CE832" s="210"/>
      <c r="CF832" s="210"/>
      <c r="CG832" s="210"/>
      <c r="CH832" s="210"/>
      <c r="CI832" s="210"/>
      <c r="CJ832" s="210"/>
      <c r="CK832" s="210"/>
    </row>
    <row r="833">
      <c r="A833" s="220"/>
      <c r="F833" s="190"/>
      <c r="G833" s="190"/>
      <c r="L833" s="220"/>
      <c r="M833" s="22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4"/>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c r="BU833" s="210"/>
      <c r="BV833" s="210"/>
      <c r="BW833" s="210"/>
      <c r="BX833" s="210"/>
      <c r="BY833" s="210"/>
      <c r="BZ833" s="210"/>
      <c r="CA833" s="210"/>
      <c r="CB833" s="210"/>
      <c r="CC833" s="210"/>
      <c r="CD833" s="210"/>
      <c r="CE833" s="210"/>
      <c r="CF833" s="210"/>
      <c r="CG833" s="210"/>
      <c r="CH833" s="210"/>
      <c r="CI833" s="210"/>
      <c r="CJ833" s="210"/>
      <c r="CK833" s="210"/>
    </row>
    <row r="834">
      <c r="A834" s="220"/>
      <c r="F834" s="190"/>
      <c r="G834" s="190"/>
      <c r="L834" s="220"/>
      <c r="M834" s="22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4"/>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c r="BU834" s="210"/>
      <c r="BV834" s="210"/>
      <c r="BW834" s="210"/>
      <c r="BX834" s="210"/>
      <c r="BY834" s="210"/>
      <c r="BZ834" s="210"/>
      <c r="CA834" s="210"/>
      <c r="CB834" s="210"/>
      <c r="CC834" s="210"/>
      <c r="CD834" s="210"/>
      <c r="CE834" s="210"/>
      <c r="CF834" s="210"/>
      <c r="CG834" s="210"/>
      <c r="CH834" s="210"/>
      <c r="CI834" s="210"/>
      <c r="CJ834" s="210"/>
      <c r="CK834" s="210"/>
    </row>
    <row r="835">
      <c r="A835" s="220"/>
      <c r="F835" s="190"/>
      <c r="G835" s="190"/>
      <c r="L835" s="220"/>
      <c r="M835" s="22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4"/>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c r="BU835" s="210"/>
      <c r="BV835" s="210"/>
      <c r="BW835" s="210"/>
      <c r="BX835" s="210"/>
      <c r="BY835" s="210"/>
      <c r="BZ835" s="210"/>
      <c r="CA835" s="210"/>
      <c r="CB835" s="210"/>
      <c r="CC835" s="210"/>
      <c r="CD835" s="210"/>
      <c r="CE835" s="210"/>
      <c r="CF835" s="210"/>
      <c r="CG835" s="210"/>
      <c r="CH835" s="210"/>
      <c r="CI835" s="210"/>
      <c r="CJ835" s="210"/>
      <c r="CK835" s="210"/>
    </row>
    <row r="836">
      <c r="A836" s="220"/>
      <c r="F836" s="190"/>
      <c r="G836" s="190"/>
      <c r="L836" s="220"/>
      <c r="M836" s="22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4"/>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c r="BU836" s="210"/>
      <c r="BV836" s="210"/>
      <c r="BW836" s="210"/>
      <c r="BX836" s="210"/>
      <c r="BY836" s="210"/>
      <c r="BZ836" s="210"/>
      <c r="CA836" s="210"/>
      <c r="CB836" s="210"/>
      <c r="CC836" s="210"/>
      <c r="CD836" s="210"/>
      <c r="CE836" s="210"/>
      <c r="CF836" s="210"/>
      <c r="CG836" s="210"/>
      <c r="CH836" s="210"/>
      <c r="CI836" s="210"/>
      <c r="CJ836" s="210"/>
      <c r="CK836" s="210"/>
    </row>
    <row r="837">
      <c r="A837" s="220"/>
      <c r="F837" s="190"/>
      <c r="G837" s="190"/>
      <c r="L837" s="220"/>
      <c r="M837" s="22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4"/>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c r="BU837" s="210"/>
      <c r="BV837" s="210"/>
      <c r="BW837" s="210"/>
      <c r="BX837" s="210"/>
      <c r="BY837" s="210"/>
      <c r="BZ837" s="210"/>
      <c r="CA837" s="210"/>
      <c r="CB837" s="210"/>
      <c r="CC837" s="210"/>
      <c r="CD837" s="210"/>
      <c r="CE837" s="210"/>
      <c r="CF837" s="210"/>
      <c r="CG837" s="210"/>
      <c r="CH837" s="210"/>
      <c r="CI837" s="210"/>
      <c r="CJ837" s="210"/>
      <c r="CK837" s="210"/>
    </row>
    <row r="838">
      <c r="A838" s="220"/>
      <c r="F838" s="190"/>
      <c r="G838" s="190"/>
      <c r="L838" s="220"/>
      <c r="M838" s="22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4"/>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c r="BU838" s="210"/>
      <c r="BV838" s="210"/>
      <c r="BW838" s="210"/>
      <c r="BX838" s="210"/>
      <c r="BY838" s="210"/>
      <c r="BZ838" s="210"/>
      <c r="CA838" s="210"/>
      <c r="CB838" s="210"/>
      <c r="CC838" s="210"/>
      <c r="CD838" s="210"/>
      <c r="CE838" s="210"/>
      <c r="CF838" s="210"/>
      <c r="CG838" s="210"/>
      <c r="CH838" s="210"/>
      <c r="CI838" s="210"/>
      <c r="CJ838" s="210"/>
      <c r="CK838" s="210"/>
    </row>
    <row r="839">
      <c r="A839" s="220"/>
      <c r="F839" s="190"/>
      <c r="G839" s="190"/>
      <c r="L839" s="220"/>
      <c r="M839" s="22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4"/>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c r="BU839" s="210"/>
      <c r="BV839" s="210"/>
      <c r="BW839" s="210"/>
      <c r="BX839" s="210"/>
      <c r="BY839" s="210"/>
      <c r="BZ839" s="210"/>
      <c r="CA839" s="210"/>
      <c r="CB839" s="210"/>
      <c r="CC839" s="210"/>
      <c r="CD839" s="210"/>
      <c r="CE839" s="210"/>
      <c r="CF839" s="210"/>
      <c r="CG839" s="210"/>
      <c r="CH839" s="210"/>
      <c r="CI839" s="210"/>
      <c r="CJ839" s="210"/>
      <c r="CK839" s="210"/>
    </row>
    <row r="840">
      <c r="A840" s="220"/>
      <c r="F840" s="190"/>
      <c r="G840" s="190"/>
      <c r="L840" s="220"/>
      <c r="M840" s="22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4"/>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c r="BU840" s="210"/>
      <c r="BV840" s="210"/>
      <c r="BW840" s="210"/>
      <c r="BX840" s="210"/>
      <c r="BY840" s="210"/>
      <c r="BZ840" s="210"/>
      <c r="CA840" s="210"/>
      <c r="CB840" s="210"/>
      <c r="CC840" s="210"/>
      <c r="CD840" s="210"/>
      <c r="CE840" s="210"/>
      <c r="CF840" s="210"/>
      <c r="CG840" s="210"/>
      <c r="CH840" s="210"/>
      <c r="CI840" s="210"/>
      <c r="CJ840" s="210"/>
      <c r="CK840" s="210"/>
    </row>
    <row r="841">
      <c r="A841" s="220"/>
      <c r="F841" s="190"/>
      <c r="G841" s="190"/>
      <c r="L841" s="220"/>
      <c r="M841" s="22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4"/>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c r="BU841" s="210"/>
      <c r="BV841" s="210"/>
      <c r="BW841" s="210"/>
      <c r="BX841" s="210"/>
      <c r="BY841" s="210"/>
      <c r="BZ841" s="210"/>
      <c r="CA841" s="210"/>
      <c r="CB841" s="210"/>
      <c r="CC841" s="210"/>
      <c r="CD841" s="210"/>
      <c r="CE841" s="210"/>
      <c r="CF841" s="210"/>
      <c r="CG841" s="210"/>
      <c r="CH841" s="210"/>
      <c r="CI841" s="210"/>
      <c r="CJ841" s="210"/>
      <c r="CK841" s="210"/>
    </row>
    <row r="842">
      <c r="A842" s="220"/>
      <c r="F842" s="190"/>
      <c r="G842" s="190"/>
      <c r="L842" s="220"/>
      <c r="M842" s="22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4"/>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c r="BU842" s="210"/>
      <c r="BV842" s="210"/>
      <c r="BW842" s="210"/>
      <c r="BX842" s="210"/>
      <c r="BY842" s="210"/>
      <c r="BZ842" s="210"/>
      <c r="CA842" s="210"/>
      <c r="CB842" s="210"/>
      <c r="CC842" s="210"/>
      <c r="CD842" s="210"/>
      <c r="CE842" s="210"/>
      <c r="CF842" s="210"/>
      <c r="CG842" s="210"/>
      <c r="CH842" s="210"/>
      <c r="CI842" s="210"/>
      <c r="CJ842" s="210"/>
      <c r="CK842" s="210"/>
    </row>
    <row r="843">
      <c r="A843" s="220"/>
      <c r="F843" s="190"/>
      <c r="G843" s="190"/>
      <c r="L843" s="220"/>
      <c r="M843" s="22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4"/>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c r="BU843" s="210"/>
      <c r="BV843" s="210"/>
      <c r="BW843" s="210"/>
      <c r="BX843" s="210"/>
      <c r="BY843" s="210"/>
      <c r="BZ843" s="210"/>
      <c r="CA843" s="210"/>
      <c r="CB843" s="210"/>
      <c r="CC843" s="210"/>
      <c r="CD843" s="210"/>
      <c r="CE843" s="210"/>
      <c r="CF843" s="210"/>
      <c r="CG843" s="210"/>
      <c r="CH843" s="210"/>
      <c r="CI843" s="210"/>
      <c r="CJ843" s="210"/>
      <c r="CK843" s="210"/>
    </row>
    <row r="844">
      <c r="A844" s="220"/>
      <c r="F844" s="190"/>
      <c r="G844" s="190"/>
      <c r="L844" s="220"/>
      <c r="M844" s="22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4"/>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c r="BU844" s="210"/>
      <c r="BV844" s="210"/>
      <c r="BW844" s="210"/>
      <c r="BX844" s="210"/>
      <c r="BY844" s="210"/>
      <c r="BZ844" s="210"/>
      <c r="CA844" s="210"/>
      <c r="CB844" s="210"/>
      <c r="CC844" s="210"/>
      <c r="CD844" s="210"/>
      <c r="CE844" s="210"/>
      <c r="CF844" s="210"/>
      <c r="CG844" s="210"/>
      <c r="CH844" s="210"/>
      <c r="CI844" s="210"/>
      <c r="CJ844" s="210"/>
      <c r="CK844" s="210"/>
    </row>
    <row r="845">
      <c r="A845" s="220"/>
      <c r="F845" s="190"/>
      <c r="G845" s="190"/>
      <c r="L845" s="220"/>
      <c r="M845" s="22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4"/>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c r="BU845" s="210"/>
      <c r="BV845" s="210"/>
      <c r="BW845" s="210"/>
      <c r="BX845" s="210"/>
      <c r="BY845" s="210"/>
      <c r="BZ845" s="210"/>
      <c r="CA845" s="210"/>
      <c r="CB845" s="210"/>
      <c r="CC845" s="210"/>
      <c r="CD845" s="210"/>
      <c r="CE845" s="210"/>
      <c r="CF845" s="210"/>
      <c r="CG845" s="210"/>
      <c r="CH845" s="210"/>
      <c r="CI845" s="210"/>
      <c r="CJ845" s="210"/>
      <c r="CK845" s="210"/>
    </row>
    <row r="846">
      <c r="A846" s="220"/>
      <c r="F846" s="190"/>
      <c r="G846" s="190"/>
      <c r="L846" s="220"/>
      <c r="M846" s="22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4"/>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c r="BU846" s="210"/>
      <c r="BV846" s="210"/>
      <c r="BW846" s="210"/>
      <c r="BX846" s="210"/>
      <c r="BY846" s="210"/>
      <c r="BZ846" s="210"/>
      <c r="CA846" s="210"/>
      <c r="CB846" s="210"/>
      <c r="CC846" s="210"/>
      <c r="CD846" s="210"/>
      <c r="CE846" s="210"/>
      <c r="CF846" s="210"/>
      <c r="CG846" s="210"/>
      <c r="CH846" s="210"/>
      <c r="CI846" s="210"/>
      <c r="CJ846" s="210"/>
      <c r="CK846" s="210"/>
    </row>
    <row r="847">
      <c r="A847" s="220"/>
      <c r="F847" s="190"/>
      <c r="G847" s="190"/>
      <c r="L847" s="220"/>
      <c r="M847" s="22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4"/>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c r="BU847" s="210"/>
      <c r="BV847" s="210"/>
      <c r="BW847" s="210"/>
      <c r="BX847" s="210"/>
      <c r="BY847" s="210"/>
      <c r="BZ847" s="210"/>
      <c r="CA847" s="210"/>
      <c r="CB847" s="210"/>
      <c r="CC847" s="210"/>
      <c r="CD847" s="210"/>
      <c r="CE847" s="210"/>
      <c r="CF847" s="210"/>
      <c r="CG847" s="210"/>
      <c r="CH847" s="210"/>
      <c r="CI847" s="210"/>
      <c r="CJ847" s="210"/>
      <c r="CK847" s="210"/>
    </row>
    <row r="848">
      <c r="A848" s="220"/>
      <c r="F848" s="190"/>
      <c r="G848" s="190"/>
      <c r="L848" s="220"/>
      <c r="M848" s="22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4"/>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c r="BU848" s="210"/>
      <c r="BV848" s="210"/>
      <c r="BW848" s="210"/>
      <c r="BX848" s="210"/>
      <c r="BY848" s="210"/>
      <c r="BZ848" s="210"/>
      <c r="CA848" s="210"/>
      <c r="CB848" s="210"/>
      <c r="CC848" s="210"/>
      <c r="CD848" s="210"/>
      <c r="CE848" s="210"/>
      <c r="CF848" s="210"/>
      <c r="CG848" s="210"/>
      <c r="CH848" s="210"/>
      <c r="CI848" s="210"/>
      <c r="CJ848" s="210"/>
      <c r="CK848" s="210"/>
    </row>
    <row r="849">
      <c r="A849" s="220"/>
      <c r="F849" s="190"/>
      <c r="G849" s="190"/>
      <c r="L849" s="220"/>
      <c r="M849" s="22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4"/>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c r="BU849" s="210"/>
      <c r="BV849" s="210"/>
      <c r="BW849" s="210"/>
      <c r="BX849" s="210"/>
      <c r="BY849" s="210"/>
      <c r="BZ849" s="210"/>
      <c r="CA849" s="210"/>
      <c r="CB849" s="210"/>
      <c r="CC849" s="210"/>
      <c r="CD849" s="210"/>
      <c r="CE849" s="210"/>
      <c r="CF849" s="210"/>
      <c r="CG849" s="210"/>
      <c r="CH849" s="210"/>
      <c r="CI849" s="210"/>
      <c r="CJ849" s="210"/>
      <c r="CK849" s="210"/>
    </row>
    <row r="850">
      <c r="A850" s="220"/>
      <c r="F850" s="190"/>
      <c r="G850" s="190"/>
      <c r="L850" s="220"/>
      <c r="M850" s="22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4"/>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c r="BU850" s="210"/>
      <c r="BV850" s="210"/>
      <c r="BW850" s="210"/>
      <c r="BX850" s="210"/>
      <c r="BY850" s="210"/>
      <c r="BZ850" s="210"/>
      <c r="CA850" s="210"/>
      <c r="CB850" s="210"/>
      <c r="CC850" s="210"/>
      <c r="CD850" s="210"/>
      <c r="CE850" s="210"/>
      <c r="CF850" s="210"/>
      <c r="CG850" s="210"/>
      <c r="CH850" s="210"/>
      <c r="CI850" s="210"/>
      <c r="CJ850" s="210"/>
      <c r="CK850" s="210"/>
    </row>
    <row r="851">
      <c r="A851" s="220"/>
      <c r="F851" s="190"/>
      <c r="G851" s="190"/>
      <c r="L851" s="220"/>
      <c r="M851" s="22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4"/>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c r="BU851" s="210"/>
      <c r="BV851" s="210"/>
      <c r="BW851" s="210"/>
      <c r="BX851" s="210"/>
      <c r="BY851" s="210"/>
      <c r="BZ851" s="210"/>
      <c r="CA851" s="210"/>
      <c r="CB851" s="210"/>
      <c r="CC851" s="210"/>
      <c r="CD851" s="210"/>
      <c r="CE851" s="210"/>
      <c r="CF851" s="210"/>
      <c r="CG851" s="210"/>
      <c r="CH851" s="210"/>
      <c r="CI851" s="210"/>
      <c r="CJ851" s="210"/>
      <c r="CK851" s="210"/>
    </row>
    <row r="852">
      <c r="A852" s="220"/>
      <c r="F852" s="190"/>
      <c r="G852" s="190"/>
      <c r="L852" s="220"/>
      <c r="M852" s="22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4"/>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c r="BU852" s="210"/>
      <c r="BV852" s="210"/>
      <c r="BW852" s="210"/>
      <c r="BX852" s="210"/>
      <c r="BY852" s="210"/>
      <c r="BZ852" s="210"/>
      <c r="CA852" s="210"/>
      <c r="CB852" s="210"/>
      <c r="CC852" s="210"/>
      <c r="CD852" s="210"/>
      <c r="CE852" s="210"/>
      <c r="CF852" s="210"/>
      <c r="CG852" s="210"/>
      <c r="CH852" s="210"/>
      <c r="CI852" s="210"/>
      <c r="CJ852" s="210"/>
      <c r="CK852" s="210"/>
    </row>
    <row r="853">
      <c r="A853" s="220"/>
      <c r="F853" s="190"/>
      <c r="G853" s="190"/>
      <c r="L853" s="220"/>
      <c r="M853" s="22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4"/>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c r="BU853" s="210"/>
      <c r="BV853" s="210"/>
      <c r="BW853" s="210"/>
      <c r="BX853" s="210"/>
      <c r="BY853" s="210"/>
      <c r="BZ853" s="210"/>
      <c r="CA853" s="210"/>
      <c r="CB853" s="210"/>
      <c r="CC853" s="210"/>
      <c r="CD853" s="210"/>
      <c r="CE853" s="210"/>
      <c r="CF853" s="210"/>
      <c r="CG853" s="210"/>
      <c r="CH853" s="210"/>
      <c r="CI853" s="210"/>
      <c r="CJ853" s="210"/>
      <c r="CK853" s="210"/>
    </row>
    <row r="854">
      <c r="A854" s="220"/>
      <c r="F854" s="190"/>
      <c r="G854" s="190"/>
      <c r="L854" s="220"/>
      <c r="M854" s="22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4"/>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c r="BU854" s="210"/>
      <c r="BV854" s="210"/>
      <c r="BW854" s="210"/>
      <c r="BX854" s="210"/>
      <c r="BY854" s="210"/>
      <c r="BZ854" s="210"/>
      <c r="CA854" s="210"/>
      <c r="CB854" s="210"/>
      <c r="CC854" s="210"/>
      <c r="CD854" s="210"/>
      <c r="CE854" s="210"/>
      <c r="CF854" s="210"/>
      <c r="CG854" s="210"/>
      <c r="CH854" s="210"/>
      <c r="CI854" s="210"/>
      <c r="CJ854" s="210"/>
      <c r="CK854" s="210"/>
    </row>
    <row r="855">
      <c r="A855" s="220"/>
      <c r="F855" s="190"/>
      <c r="G855" s="190"/>
      <c r="L855" s="220"/>
      <c r="M855" s="22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4"/>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c r="BU855" s="210"/>
      <c r="BV855" s="210"/>
      <c r="BW855" s="210"/>
      <c r="BX855" s="210"/>
      <c r="BY855" s="210"/>
      <c r="BZ855" s="210"/>
      <c r="CA855" s="210"/>
      <c r="CB855" s="210"/>
      <c r="CC855" s="210"/>
      <c r="CD855" s="210"/>
      <c r="CE855" s="210"/>
      <c r="CF855" s="210"/>
      <c r="CG855" s="210"/>
      <c r="CH855" s="210"/>
      <c r="CI855" s="210"/>
      <c r="CJ855" s="210"/>
      <c r="CK855" s="210"/>
    </row>
    <row r="856">
      <c r="A856" s="220"/>
      <c r="F856" s="190"/>
      <c r="G856" s="190"/>
      <c r="L856" s="220"/>
      <c r="M856" s="22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4"/>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c r="BU856" s="210"/>
      <c r="BV856" s="210"/>
      <c r="BW856" s="210"/>
      <c r="BX856" s="210"/>
      <c r="BY856" s="210"/>
      <c r="BZ856" s="210"/>
      <c r="CA856" s="210"/>
      <c r="CB856" s="210"/>
      <c r="CC856" s="210"/>
      <c r="CD856" s="210"/>
      <c r="CE856" s="210"/>
      <c r="CF856" s="210"/>
      <c r="CG856" s="210"/>
      <c r="CH856" s="210"/>
      <c r="CI856" s="210"/>
      <c r="CJ856" s="210"/>
      <c r="CK856" s="210"/>
    </row>
    <row r="857">
      <c r="A857" s="220"/>
      <c r="F857" s="190"/>
      <c r="G857" s="190"/>
      <c r="L857" s="220"/>
      <c r="M857" s="22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4"/>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c r="BU857" s="210"/>
      <c r="BV857" s="210"/>
      <c r="BW857" s="210"/>
      <c r="BX857" s="210"/>
      <c r="BY857" s="210"/>
      <c r="BZ857" s="210"/>
      <c r="CA857" s="210"/>
      <c r="CB857" s="210"/>
      <c r="CC857" s="210"/>
      <c r="CD857" s="210"/>
      <c r="CE857" s="210"/>
      <c r="CF857" s="210"/>
      <c r="CG857" s="210"/>
      <c r="CH857" s="210"/>
      <c r="CI857" s="210"/>
      <c r="CJ857" s="210"/>
      <c r="CK857" s="210"/>
    </row>
    <row r="858">
      <c r="A858" s="220"/>
      <c r="F858" s="190"/>
      <c r="G858" s="190"/>
      <c r="L858" s="220"/>
      <c r="M858" s="22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4"/>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c r="BU858" s="210"/>
      <c r="BV858" s="210"/>
      <c r="BW858" s="210"/>
      <c r="BX858" s="210"/>
      <c r="BY858" s="210"/>
      <c r="BZ858" s="210"/>
      <c r="CA858" s="210"/>
      <c r="CB858" s="210"/>
      <c r="CC858" s="210"/>
      <c r="CD858" s="210"/>
      <c r="CE858" s="210"/>
      <c r="CF858" s="210"/>
      <c r="CG858" s="210"/>
      <c r="CH858" s="210"/>
      <c r="CI858" s="210"/>
      <c r="CJ858" s="210"/>
      <c r="CK858" s="210"/>
    </row>
    <row r="859">
      <c r="A859" s="220"/>
      <c r="F859" s="190"/>
      <c r="G859" s="190"/>
      <c r="L859" s="220"/>
      <c r="M859" s="22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4"/>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c r="BU859" s="210"/>
      <c r="BV859" s="210"/>
      <c r="BW859" s="210"/>
      <c r="BX859" s="210"/>
      <c r="BY859" s="210"/>
      <c r="BZ859" s="210"/>
      <c r="CA859" s="210"/>
      <c r="CB859" s="210"/>
      <c r="CC859" s="210"/>
      <c r="CD859" s="210"/>
      <c r="CE859" s="210"/>
      <c r="CF859" s="210"/>
      <c r="CG859" s="210"/>
      <c r="CH859" s="210"/>
      <c r="CI859" s="210"/>
      <c r="CJ859" s="210"/>
      <c r="CK859" s="210"/>
    </row>
    <row r="860">
      <c r="A860" s="220"/>
      <c r="F860" s="190"/>
      <c r="G860" s="190"/>
      <c r="L860" s="220"/>
      <c r="M860" s="22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4"/>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c r="BU860" s="210"/>
      <c r="BV860" s="210"/>
      <c r="BW860" s="210"/>
      <c r="BX860" s="210"/>
      <c r="BY860" s="210"/>
      <c r="BZ860" s="210"/>
      <c r="CA860" s="210"/>
      <c r="CB860" s="210"/>
      <c r="CC860" s="210"/>
      <c r="CD860" s="210"/>
      <c r="CE860" s="210"/>
      <c r="CF860" s="210"/>
      <c r="CG860" s="210"/>
      <c r="CH860" s="210"/>
      <c r="CI860" s="210"/>
      <c r="CJ860" s="210"/>
      <c r="CK860" s="210"/>
    </row>
    <row r="861">
      <c r="A861" s="220"/>
      <c r="F861" s="190"/>
      <c r="G861" s="190"/>
      <c r="L861" s="220"/>
      <c r="M861" s="22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4"/>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c r="BU861" s="210"/>
      <c r="BV861" s="210"/>
      <c r="BW861" s="210"/>
      <c r="BX861" s="210"/>
      <c r="BY861" s="210"/>
      <c r="BZ861" s="210"/>
      <c r="CA861" s="210"/>
      <c r="CB861" s="210"/>
      <c r="CC861" s="210"/>
      <c r="CD861" s="210"/>
      <c r="CE861" s="210"/>
      <c r="CF861" s="210"/>
      <c r="CG861" s="210"/>
      <c r="CH861" s="210"/>
      <c r="CI861" s="210"/>
      <c r="CJ861" s="210"/>
      <c r="CK861" s="210"/>
    </row>
    <row r="862">
      <c r="A862" s="220"/>
      <c r="F862" s="190"/>
      <c r="G862" s="190"/>
      <c r="L862" s="220"/>
      <c r="M862" s="22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4"/>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c r="BU862" s="210"/>
      <c r="BV862" s="210"/>
      <c r="BW862" s="210"/>
      <c r="BX862" s="210"/>
      <c r="BY862" s="210"/>
      <c r="BZ862" s="210"/>
      <c r="CA862" s="210"/>
      <c r="CB862" s="210"/>
      <c r="CC862" s="210"/>
      <c r="CD862" s="210"/>
      <c r="CE862" s="210"/>
      <c r="CF862" s="210"/>
      <c r="CG862" s="210"/>
      <c r="CH862" s="210"/>
      <c r="CI862" s="210"/>
      <c r="CJ862" s="210"/>
      <c r="CK862" s="210"/>
    </row>
    <row r="863">
      <c r="A863" s="220"/>
      <c r="F863" s="190"/>
      <c r="G863" s="190"/>
      <c r="L863" s="220"/>
      <c r="M863" s="22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4"/>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c r="BU863" s="210"/>
      <c r="BV863" s="210"/>
      <c r="BW863" s="210"/>
      <c r="BX863" s="210"/>
      <c r="BY863" s="210"/>
      <c r="BZ863" s="210"/>
      <c r="CA863" s="210"/>
      <c r="CB863" s="210"/>
      <c r="CC863" s="210"/>
      <c r="CD863" s="210"/>
      <c r="CE863" s="210"/>
      <c r="CF863" s="210"/>
      <c r="CG863" s="210"/>
      <c r="CH863" s="210"/>
      <c r="CI863" s="210"/>
      <c r="CJ863" s="210"/>
      <c r="CK863" s="210"/>
    </row>
    <row r="864">
      <c r="A864" s="220"/>
      <c r="F864" s="190"/>
      <c r="G864" s="190"/>
      <c r="L864" s="220"/>
      <c r="M864" s="22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4"/>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c r="BU864" s="210"/>
      <c r="BV864" s="210"/>
      <c r="BW864" s="210"/>
      <c r="BX864" s="210"/>
      <c r="BY864" s="210"/>
      <c r="BZ864" s="210"/>
      <c r="CA864" s="210"/>
      <c r="CB864" s="210"/>
      <c r="CC864" s="210"/>
      <c r="CD864" s="210"/>
      <c r="CE864" s="210"/>
      <c r="CF864" s="210"/>
      <c r="CG864" s="210"/>
      <c r="CH864" s="210"/>
      <c r="CI864" s="210"/>
      <c r="CJ864" s="210"/>
      <c r="CK864" s="210"/>
    </row>
    <row r="865">
      <c r="A865" s="220"/>
      <c r="F865" s="190"/>
      <c r="G865" s="190"/>
      <c r="L865" s="220"/>
      <c r="M865" s="22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4"/>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c r="BU865" s="210"/>
      <c r="BV865" s="210"/>
      <c r="BW865" s="210"/>
      <c r="BX865" s="210"/>
      <c r="BY865" s="210"/>
      <c r="BZ865" s="210"/>
      <c r="CA865" s="210"/>
      <c r="CB865" s="210"/>
      <c r="CC865" s="210"/>
      <c r="CD865" s="210"/>
      <c r="CE865" s="210"/>
      <c r="CF865" s="210"/>
      <c r="CG865" s="210"/>
      <c r="CH865" s="210"/>
      <c r="CI865" s="210"/>
      <c r="CJ865" s="210"/>
      <c r="CK865" s="210"/>
    </row>
    <row r="866">
      <c r="A866" s="220"/>
      <c r="F866" s="190"/>
      <c r="G866" s="190"/>
      <c r="L866" s="220"/>
      <c r="M866" s="22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4"/>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c r="BU866" s="210"/>
      <c r="BV866" s="210"/>
      <c r="BW866" s="210"/>
      <c r="BX866" s="210"/>
      <c r="BY866" s="210"/>
      <c r="BZ866" s="210"/>
      <c r="CA866" s="210"/>
      <c r="CB866" s="210"/>
      <c r="CC866" s="210"/>
      <c r="CD866" s="210"/>
      <c r="CE866" s="210"/>
      <c r="CF866" s="210"/>
      <c r="CG866" s="210"/>
      <c r="CH866" s="210"/>
      <c r="CI866" s="210"/>
      <c r="CJ866" s="210"/>
      <c r="CK866" s="210"/>
    </row>
    <row r="867">
      <c r="A867" s="220"/>
      <c r="F867" s="190"/>
      <c r="G867" s="190"/>
      <c r="L867" s="220"/>
      <c r="M867" s="22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4"/>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c r="BU867" s="210"/>
      <c r="BV867" s="210"/>
      <c r="BW867" s="210"/>
      <c r="BX867" s="210"/>
      <c r="BY867" s="210"/>
      <c r="BZ867" s="210"/>
      <c r="CA867" s="210"/>
      <c r="CB867" s="210"/>
      <c r="CC867" s="210"/>
      <c r="CD867" s="210"/>
      <c r="CE867" s="210"/>
      <c r="CF867" s="210"/>
      <c r="CG867" s="210"/>
      <c r="CH867" s="210"/>
      <c r="CI867" s="210"/>
      <c r="CJ867" s="210"/>
      <c r="CK867" s="210"/>
    </row>
    <row r="868">
      <c r="A868" s="220"/>
      <c r="F868" s="190"/>
      <c r="G868" s="190"/>
      <c r="L868" s="220"/>
      <c r="M868" s="22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4"/>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c r="BU868" s="210"/>
      <c r="BV868" s="210"/>
      <c r="BW868" s="210"/>
      <c r="BX868" s="210"/>
      <c r="BY868" s="210"/>
      <c r="BZ868" s="210"/>
      <c r="CA868" s="210"/>
      <c r="CB868" s="210"/>
      <c r="CC868" s="210"/>
      <c r="CD868" s="210"/>
      <c r="CE868" s="210"/>
      <c r="CF868" s="210"/>
      <c r="CG868" s="210"/>
      <c r="CH868" s="210"/>
      <c r="CI868" s="210"/>
      <c r="CJ868" s="210"/>
      <c r="CK868" s="210"/>
    </row>
    <row r="869">
      <c r="A869" s="220"/>
      <c r="F869" s="190"/>
      <c r="G869" s="190"/>
      <c r="L869" s="220"/>
      <c r="M869" s="22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4"/>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c r="BU869" s="210"/>
      <c r="BV869" s="210"/>
      <c r="BW869" s="210"/>
      <c r="BX869" s="210"/>
      <c r="BY869" s="210"/>
      <c r="BZ869" s="210"/>
      <c r="CA869" s="210"/>
      <c r="CB869" s="210"/>
      <c r="CC869" s="210"/>
      <c r="CD869" s="210"/>
      <c r="CE869" s="210"/>
      <c r="CF869" s="210"/>
      <c r="CG869" s="210"/>
      <c r="CH869" s="210"/>
      <c r="CI869" s="210"/>
      <c r="CJ869" s="210"/>
      <c r="CK869" s="210"/>
    </row>
    <row r="870">
      <c r="A870" s="220"/>
      <c r="F870" s="190"/>
      <c r="G870" s="190"/>
      <c r="L870" s="220"/>
      <c r="M870" s="22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4"/>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c r="BU870" s="210"/>
      <c r="BV870" s="210"/>
      <c r="BW870" s="210"/>
      <c r="BX870" s="210"/>
      <c r="BY870" s="210"/>
      <c r="BZ870" s="210"/>
      <c r="CA870" s="210"/>
      <c r="CB870" s="210"/>
      <c r="CC870" s="210"/>
      <c r="CD870" s="210"/>
      <c r="CE870" s="210"/>
      <c r="CF870" s="210"/>
      <c r="CG870" s="210"/>
      <c r="CH870" s="210"/>
      <c r="CI870" s="210"/>
      <c r="CJ870" s="210"/>
      <c r="CK870" s="210"/>
    </row>
    <row r="871">
      <c r="A871" s="220"/>
      <c r="F871" s="190"/>
      <c r="G871" s="190"/>
      <c r="L871" s="220"/>
      <c r="M871" s="22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4"/>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c r="BU871" s="210"/>
      <c r="BV871" s="210"/>
      <c r="BW871" s="210"/>
      <c r="BX871" s="210"/>
      <c r="BY871" s="210"/>
      <c r="BZ871" s="210"/>
      <c r="CA871" s="210"/>
      <c r="CB871" s="210"/>
      <c r="CC871" s="210"/>
      <c r="CD871" s="210"/>
      <c r="CE871" s="210"/>
      <c r="CF871" s="210"/>
      <c r="CG871" s="210"/>
      <c r="CH871" s="210"/>
      <c r="CI871" s="210"/>
      <c r="CJ871" s="210"/>
      <c r="CK871" s="210"/>
    </row>
    <row r="872">
      <c r="A872" s="220"/>
      <c r="F872" s="190"/>
      <c r="G872" s="190"/>
      <c r="L872" s="220"/>
      <c r="M872" s="22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4"/>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c r="BU872" s="210"/>
      <c r="BV872" s="210"/>
      <c r="BW872" s="210"/>
      <c r="BX872" s="210"/>
      <c r="BY872" s="210"/>
      <c r="BZ872" s="210"/>
      <c r="CA872" s="210"/>
      <c r="CB872" s="210"/>
      <c r="CC872" s="210"/>
      <c r="CD872" s="210"/>
      <c r="CE872" s="210"/>
      <c r="CF872" s="210"/>
      <c r="CG872" s="210"/>
      <c r="CH872" s="210"/>
      <c r="CI872" s="210"/>
      <c r="CJ872" s="210"/>
      <c r="CK872" s="210"/>
    </row>
    <row r="873">
      <c r="A873" s="220"/>
      <c r="F873" s="190"/>
      <c r="G873" s="190"/>
      <c r="L873" s="220"/>
      <c r="M873" s="22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4"/>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c r="BU873" s="210"/>
      <c r="BV873" s="210"/>
      <c r="BW873" s="210"/>
      <c r="BX873" s="210"/>
      <c r="BY873" s="210"/>
      <c r="BZ873" s="210"/>
      <c r="CA873" s="210"/>
      <c r="CB873" s="210"/>
      <c r="CC873" s="210"/>
      <c r="CD873" s="210"/>
      <c r="CE873" s="210"/>
      <c r="CF873" s="210"/>
      <c r="CG873" s="210"/>
      <c r="CH873" s="210"/>
      <c r="CI873" s="210"/>
      <c r="CJ873" s="210"/>
      <c r="CK873" s="210"/>
    </row>
    <row r="874">
      <c r="A874" s="220"/>
      <c r="F874" s="190"/>
      <c r="G874" s="190"/>
      <c r="L874" s="220"/>
      <c r="M874" s="22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4"/>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c r="BU874" s="210"/>
      <c r="BV874" s="210"/>
      <c r="BW874" s="210"/>
      <c r="BX874" s="210"/>
      <c r="BY874" s="210"/>
      <c r="BZ874" s="210"/>
      <c r="CA874" s="210"/>
      <c r="CB874" s="210"/>
      <c r="CC874" s="210"/>
      <c r="CD874" s="210"/>
      <c r="CE874" s="210"/>
      <c r="CF874" s="210"/>
      <c r="CG874" s="210"/>
      <c r="CH874" s="210"/>
      <c r="CI874" s="210"/>
      <c r="CJ874" s="210"/>
      <c r="CK874" s="210"/>
    </row>
    <row r="875">
      <c r="A875" s="220"/>
      <c r="F875" s="190"/>
      <c r="G875" s="190"/>
      <c r="L875" s="220"/>
      <c r="M875" s="22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4"/>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c r="BU875" s="210"/>
      <c r="BV875" s="210"/>
      <c r="BW875" s="210"/>
      <c r="BX875" s="210"/>
      <c r="BY875" s="210"/>
      <c r="BZ875" s="210"/>
      <c r="CA875" s="210"/>
      <c r="CB875" s="210"/>
      <c r="CC875" s="210"/>
      <c r="CD875" s="210"/>
      <c r="CE875" s="210"/>
      <c r="CF875" s="210"/>
      <c r="CG875" s="210"/>
      <c r="CH875" s="210"/>
      <c r="CI875" s="210"/>
      <c r="CJ875" s="210"/>
      <c r="CK875" s="210"/>
    </row>
    <row r="876">
      <c r="A876" s="220"/>
      <c r="F876" s="190"/>
      <c r="G876" s="190"/>
      <c r="L876" s="220"/>
      <c r="M876" s="22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4"/>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c r="BU876" s="210"/>
      <c r="BV876" s="210"/>
      <c r="BW876" s="210"/>
      <c r="BX876" s="210"/>
      <c r="BY876" s="210"/>
      <c r="BZ876" s="210"/>
      <c r="CA876" s="210"/>
      <c r="CB876" s="210"/>
      <c r="CC876" s="210"/>
      <c r="CD876" s="210"/>
      <c r="CE876" s="210"/>
      <c r="CF876" s="210"/>
      <c r="CG876" s="210"/>
      <c r="CH876" s="210"/>
      <c r="CI876" s="210"/>
      <c r="CJ876" s="210"/>
      <c r="CK876" s="210"/>
    </row>
    <row r="877">
      <c r="A877" s="220"/>
      <c r="F877" s="190"/>
      <c r="G877" s="190"/>
      <c r="L877" s="220"/>
      <c r="M877" s="22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4"/>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c r="BU877" s="210"/>
      <c r="BV877" s="210"/>
      <c r="BW877" s="210"/>
      <c r="BX877" s="210"/>
      <c r="BY877" s="210"/>
      <c r="BZ877" s="210"/>
      <c r="CA877" s="210"/>
      <c r="CB877" s="210"/>
      <c r="CC877" s="210"/>
      <c r="CD877" s="210"/>
      <c r="CE877" s="210"/>
      <c r="CF877" s="210"/>
      <c r="CG877" s="210"/>
      <c r="CH877" s="210"/>
      <c r="CI877" s="210"/>
      <c r="CJ877" s="210"/>
      <c r="CK877" s="210"/>
    </row>
    <row r="878">
      <c r="A878" s="220"/>
      <c r="F878" s="190"/>
      <c r="G878" s="190"/>
      <c r="L878" s="220"/>
      <c r="M878" s="22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4"/>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c r="BU878" s="210"/>
      <c r="BV878" s="210"/>
      <c r="BW878" s="210"/>
      <c r="BX878" s="210"/>
      <c r="BY878" s="210"/>
      <c r="BZ878" s="210"/>
      <c r="CA878" s="210"/>
      <c r="CB878" s="210"/>
      <c r="CC878" s="210"/>
      <c r="CD878" s="210"/>
      <c r="CE878" s="210"/>
      <c r="CF878" s="210"/>
      <c r="CG878" s="210"/>
      <c r="CH878" s="210"/>
      <c r="CI878" s="210"/>
      <c r="CJ878" s="210"/>
      <c r="CK878" s="210"/>
    </row>
    <row r="879">
      <c r="A879" s="220"/>
      <c r="F879" s="190"/>
      <c r="G879" s="190"/>
      <c r="L879" s="220"/>
      <c r="M879" s="22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4"/>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c r="BU879" s="210"/>
      <c r="BV879" s="210"/>
      <c r="BW879" s="210"/>
      <c r="BX879" s="210"/>
      <c r="BY879" s="210"/>
      <c r="BZ879" s="210"/>
      <c r="CA879" s="210"/>
      <c r="CB879" s="210"/>
      <c r="CC879" s="210"/>
      <c r="CD879" s="210"/>
      <c r="CE879" s="210"/>
      <c r="CF879" s="210"/>
      <c r="CG879" s="210"/>
      <c r="CH879" s="210"/>
      <c r="CI879" s="210"/>
      <c r="CJ879" s="210"/>
      <c r="CK879" s="210"/>
    </row>
    <row r="880">
      <c r="A880" s="220"/>
      <c r="F880" s="190"/>
      <c r="G880" s="190"/>
      <c r="L880" s="220"/>
      <c r="M880" s="22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4"/>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c r="BU880" s="210"/>
      <c r="BV880" s="210"/>
      <c r="BW880" s="210"/>
      <c r="BX880" s="210"/>
      <c r="BY880" s="210"/>
      <c r="BZ880" s="210"/>
      <c r="CA880" s="210"/>
      <c r="CB880" s="210"/>
      <c r="CC880" s="210"/>
      <c r="CD880" s="210"/>
      <c r="CE880" s="210"/>
      <c r="CF880" s="210"/>
      <c r="CG880" s="210"/>
      <c r="CH880" s="210"/>
      <c r="CI880" s="210"/>
      <c r="CJ880" s="210"/>
      <c r="CK880" s="210"/>
    </row>
    <row r="881">
      <c r="A881" s="220"/>
      <c r="F881" s="190"/>
      <c r="G881" s="190"/>
      <c r="L881" s="220"/>
      <c r="M881" s="22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4"/>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c r="BU881" s="210"/>
      <c r="BV881" s="210"/>
      <c r="BW881" s="210"/>
      <c r="BX881" s="210"/>
      <c r="BY881" s="210"/>
      <c r="BZ881" s="210"/>
      <c r="CA881" s="210"/>
      <c r="CB881" s="210"/>
      <c r="CC881" s="210"/>
      <c r="CD881" s="210"/>
      <c r="CE881" s="210"/>
      <c r="CF881" s="210"/>
      <c r="CG881" s="210"/>
      <c r="CH881" s="210"/>
      <c r="CI881" s="210"/>
      <c r="CJ881" s="210"/>
      <c r="CK881" s="210"/>
    </row>
    <row r="882">
      <c r="A882" s="220"/>
      <c r="F882" s="190"/>
      <c r="G882" s="190"/>
      <c r="L882" s="220"/>
      <c r="M882" s="22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4"/>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c r="BU882" s="210"/>
      <c r="BV882" s="210"/>
      <c r="BW882" s="210"/>
      <c r="BX882" s="210"/>
      <c r="BY882" s="210"/>
      <c r="BZ882" s="210"/>
      <c r="CA882" s="210"/>
      <c r="CB882" s="210"/>
      <c r="CC882" s="210"/>
      <c r="CD882" s="210"/>
      <c r="CE882" s="210"/>
      <c r="CF882" s="210"/>
      <c r="CG882" s="210"/>
      <c r="CH882" s="210"/>
      <c r="CI882" s="210"/>
      <c r="CJ882" s="210"/>
      <c r="CK882" s="210"/>
    </row>
    <row r="883">
      <c r="A883" s="220"/>
      <c r="F883" s="190"/>
      <c r="G883" s="190"/>
      <c r="L883" s="220"/>
      <c r="M883" s="22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4"/>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c r="BU883" s="210"/>
      <c r="BV883" s="210"/>
      <c r="BW883" s="210"/>
      <c r="BX883" s="210"/>
      <c r="BY883" s="210"/>
      <c r="BZ883" s="210"/>
      <c r="CA883" s="210"/>
      <c r="CB883" s="210"/>
      <c r="CC883" s="210"/>
      <c r="CD883" s="210"/>
      <c r="CE883" s="210"/>
      <c r="CF883" s="210"/>
      <c r="CG883" s="210"/>
      <c r="CH883" s="210"/>
      <c r="CI883" s="210"/>
      <c r="CJ883" s="210"/>
      <c r="CK883" s="210"/>
    </row>
    <row r="884">
      <c r="A884" s="220"/>
      <c r="F884" s="190"/>
      <c r="G884" s="190"/>
      <c r="L884" s="220"/>
      <c r="M884" s="22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4"/>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c r="BU884" s="210"/>
      <c r="BV884" s="210"/>
      <c r="BW884" s="210"/>
      <c r="BX884" s="210"/>
      <c r="BY884" s="210"/>
      <c r="BZ884" s="210"/>
      <c r="CA884" s="210"/>
      <c r="CB884" s="210"/>
      <c r="CC884" s="210"/>
      <c r="CD884" s="210"/>
      <c r="CE884" s="210"/>
      <c r="CF884" s="210"/>
      <c r="CG884" s="210"/>
      <c r="CH884" s="210"/>
      <c r="CI884" s="210"/>
      <c r="CJ884" s="210"/>
      <c r="CK884" s="210"/>
    </row>
    <row r="885">
      <c r="A885" s="220"/>
      <c r="F885" s="190"/>
      <c r="G885" s="190"/>
      <c r="L885" s="220"/>
      <c r="M885" s="22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4"/>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c r="BU885" s="210"/>
      <c r="BV885" s="210"/>
      <c r="BW885" s="210"/>
      <c r="BX885" s="210"/>
      <c r="BY885" s="210"/>
      <c r="BZ885" s="210"/>
      <c r="CA885" s="210"/>
      <c r="CB885" s="210"/>
      <c r="CC885" s="210"/>
      <c r="CD885" s="210"/>
      <c r="CE885" s="210"/>
      <c r="CF885" s="210"/>
      <c r="CG885" s="210"/>
      <c r="CH885" s="210"/>
      <c r="CI885" s="210"/>
      <c r="CJ885" s="210"/>
      <c r="CK885" s="210"/>
    </row>
    <row r="886">
      <c r="A886" s="220"/>
      <c r="F886" s="190"/>
      <c r="G886" s="190"/>
      <c r="L886" s="220"/>
      <c r="M886" s="22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4"/>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c r="BU886" s="210"/>
      <c r="BV886" s="210"/>
      <c r="BW886" s="210"/>
      <c r="BX886" s="210"/>
      <c r="BY886" s="210"/>
      <c r="BZ886" s="210"/>
      <c r="CA886" s="210"/>
      <c r="CB886" s="210"/>
      <c r="CC886" s="210"/>
      <c r="CD886" s="210"/>
      <c r="CE886" s="210"/>
      <c r="CF886" s="210"/>
      <c r="CG886" s="210"/>
      <c r="CH886" s="210"/>
      <c r="CI886" s="210"/>
      <c r="CJ886" s="210"/>
      <c r="CK886" s="210"/>
    </row>
    <row r="887">
      <c r="A887" s="220"/>
      <c r="F887" s="190"/>
      <c r="G887" s="190"/>
      <c r="L887" s="220"/>
      <c r="M887" s="22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4"/>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c r="BU887" s="210"/>
      <c r="BV887" s="210"/>
      <c r="BW887" s="210"/>
      <c r="BX887" s="210"/>
      <c r="BY887" s="210"/>
      <c r="BZ887" s="210"/>
      <c r="CA887" s="210"/>
      <c r="CB887" s="210"/>
      <c r="CC887" s="210"/>
      <c r="CD887" s="210"/>
      <c r="CE887" s="210"/>
      <c r="CF887" s="210"/>
      <c r="CG887" s="210"/>
      <c r="CH887" s="210"/>
      <c r="CI887" s="210"/>
      <c r="CJ887" s="210"/>
      <c r="CK887" s="210"/>
    </row>
    <row r="888">
      <c r="A888" s="220"/>
      <c r="F888" s="190"/>
      <c r="G888" s="190"/>
      <c r="L888" s="220"/>
      <c r="M888" s="22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4"/>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c r="BU888" s="210"/>
      <c r="BV888" s="210"/>
      <c r="BW888" s="210"/>
      <c r="BX888" s="210"/>
      <c r="BY888" s="210"/>
      <c r="BZ888" s="210"/>
      <c r="CA888" s="210"/>
      <c r="CB888" s="210"/>
      <c r="CC888" s="210"/>
      <c r="CD888" s="210"/>
      <c r="CE888" s="210"/>
      <c r="CF888" s="210"/>
      <c r="CG888" s="210"/>
      <c r="CH888" s="210"/>
      <c r="CI888" s="210"/>
      <c r="CJ888" s="210"/>
      <c r="CK888" s="210"/>
    </row>
    <row r="889">
      <c r="A889" s="220"/>
      <c r="F889" s="190"/>
      <c r="G889" s="190"/>
      <c r="L889" s="220"/>
      <c r="M889" s="22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4"/>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c r="BU889" s="210"/>
      <c r="BV889" s="210"/>
      <c r="BW889" s="210"/>
      <c r="BX889" s="210"/>
      <c r="BY889" s="210"/>
      <c r="BZ889" s="210"/>
      <c r="CA889" s="210"/>
      <c r="CB889" s="210"/>
      <c r="CC889" s="210"/>
      <c r="CD889" s="210"/>
      <c r="CE889" s="210"/>
      <c r="CF889" s="210"/>
      <c r="CG889" s="210"/>
      <c r="CH889" s="210"/>
      <c r="CI889" s="210"/>
      <c r="CJ889" s="210"/>
      <c r="CK889" s="210"/>
    </row>
    <row r="890">
      <c r="A890" s="220"/>
      <c r="F890" s="190"/>
      <c r="G890" s="190"/>
      <c r="L890" s="220"/>
      <c r="M890" s="22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4"/>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c r="BU890" s="210"/>
      <c r="BV890" s="210"/>
      <c r="BW890" s="210"/>
      <c r="BX890" s="210"/>
      <c r="BY890" s="210"/>
      <c r="BZ890" s="210"/>
      <c r="CA890" s="210"/>
      <c r="CB890" s="210"/>
      <c r="CC890" s="210"/>
      <c r="CD890" s="210"/>
      <c r="CE890" s="210"/>
      <c r="CF890" s="210"/>
      <c r="CG890" s="210"/>
      <c r="CH890" s="210"/>
      <c r="CI890" s="210"/>
      <c r="CJ890" s="210"/>
      <c r="CK890" s="210"/>
    </row>
    <row r="891">
      <c r="A891" s="220"/>
      <c r="F891" s="190"/>
      <c r="G891" s="190"/>
      <c r="L891" s="220"/>
      <c r="M891" s="22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4"/>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c r="BU891" s="210"/>
      <c r="BV891" s="210"/>
      <c r="BW891" s="210"/>
      <c r="BX891" s="210"/>
      <c r="BY891" s="210"/>
      <c r="BZ891" s="210"/>
      <c r="CA891" s="210"/>
      <c r="CB891" s="210"/>
      <c r="CC891" s="210"/>
      <c r="CD891" s="210"/>
      <c r="CE891" s="210"/>
      <c r="CF891" s="210"/>
      <c r="CG891" s="210"/>
      <c r="CH891" s="210"/>
      <c r="CI891" s="210"/>
      <c r="CJ891" s="210"/>
      <c r="CK891" s="210"/>
    </row>
    <row r="892">
      <c r="A892" s="220"/>
      <c r="F892" s="190"/>
      <c r="G892" s="190"/>
      <c r="L892" s="220"/>
      <c r="M892" s="22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4"/>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c r="BU892" s="210"/>
      <c r="BV892" s="210"/>
      <c r="BW892" s="210"/>
      <c r="BX892" s="210"/>
      <c r="BY892" s="210"/>
      <c r="BZ892" s="210"/>
      <c r="CA892" s="210"/>
      <c r="CB892" s="210"/>
      <c r="CC892" s="210"/>
      <c r="CD892" s="210"/>
      <c r="CE892" s="210"/>
      <c r="CF892" s="210"/>
      <c r="CG892" s="210"/>
      <c r="CH892" s="210"/>
      <c r="CI892" s="210"/>
      <c r="CJ892" s="210"/>
      <c r="CK892" s="210"/>
    </row>
    <row r="893">
      <c r="A893" s="220"/>
      <c r="F893" s="190"/>
      <c r="G893" s="190"/>
      <c r="L893" s="220"/>
      <c r="M893" s="22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4"/>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c r="BU893" s="210"/>
      <c r="BV893" s="210"/>
      <c r="BW893" s="210"/>
      <c r="BX893" s="210"/>
      <c r="BY893" s="210"/>
      <c r="BZ893" s="210"/>
      <c r="CA893" s="210"/>
      <c r="CB893" s="210"/>
      <c r="CC893" s="210"/>
      <c r="CD893" s="210"/>
      <c r="CE893" s="210"/>
      <c r="CF893" s="210"/>
      <c r="CG893" s="210"/>
      <c r="CH893" s="210"/>
      <c r="CI893" s="210"/>
      <c r="CJ893" s="210"/>
      <c r="CK893" s="210"/>
    </row>
    <row r="894">
      <c r="A894" s="220"/>
      <c r="F894" s="190"/>
      <c r="G894" s="190"/>
      <c r="L894" s="220"/>
      <c r="M894" s="22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4"/>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c r="BU894" s="210"/>
      <c r="BV894" s="210"/>
      <c r="BW894" s="210"/>
      <c r="BX894" s="210"/>
      <c r="BY894" s="210"/>
      <c r="BZ894" s="210"/>
      <c r="CA894" s="210"/>
      <c r="CB894" s="210"/>
      <c r="CC894" s="210"/>
      <c r="CD894" s="210"/>
      <c r="CE894" s="210"/>
      <c r="CF894" s="210"/>
      <c r="CG894" s="210"/>
      <c r="CH894" s="210"/>
      <c r="CI894" s="210"/>
      <c r="CJ894" s="210"/>
      <c r="CK894" s="210"/>
    </row>
    <row r="895">
      <c r="A895" s="220"/>
      <c r="F895" s="190"/>
      <c r="G895" s="190"/>
      <c r="L895" s="220"/>
      <c r="M895" s="22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4"/>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c r="BU895" s="210"/>
      <c r="BV895" s="210"/>
      <c r="BW895" s="210"/>
      <c r="BX895" s="210"/>
      <c r="BY895" s="210"/>
      <c r="BZ895" s="210"/>
      <c r="CA895" s="210"/>
      <c r="CB895" s="210"/>
      <c r="CC895" s="210"/>
      <c r="CD895" s="210"/>
      <c r="CE895" s="210"/>
      <c r="CF895" s="210"/>
      <c r="CG895" s="210"/>
      <c r="CH895" s="210"/>
      <c r="CI895" s="210"/>
      <c r="CJ895" s="210"/>
      <c r="CK895" s="210"/>
    </row>
    <row r="896">
      <c r="A896" s="220"/>
      <c r="F896" s="190"/>
      <c r="G896" s="190"/>
      <c r="L896" s="220"/>
      <c r="M896" s="22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4"/>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c r="BU896" s="210"/>
      <c r="BV896" s="210"/>
      <c r="BW896" s="210"/>
      <c r="BX896" s="210"/>
      <c r="BY896" s="210"/>
      <c r="BZ896" s="210"/>
      <c r="CA896" s="210"/>
      <c r="CB896" s="210"/>
      <c r="CC896" s="210"/>
      <c r="CD896" s="210"/>
      <c r="CE896" s="210"/>
      <c r="CF896" s="210"/>
      <c r="CG896" s="210"/>
      <c r="CH896" s="210"/>
      <c r="CI896" s="210"/>
      <c r="CJ896" s="210"/>
      <c r="CK896" s="210"/>
    </row>
    <row r="897">
      <c r="A897" s="220"/>
      <c r="F897" s="190"/>
      <c r="G897" s="190"/>
      <c r="L897" s="220"/>
      <c r="M897" s="22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4"/>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c r="BU897" s="210"/>
      <c r="BV897" s="210"/>
      <c r="BW897" s="210"/>
      <c r="BX897" s="210"/>
      <c r="BY897" s="210"/>
      <c r="BZ897" s="210"/>
      <c r="CA897" s="210"/>
      <c r="CB897" s="210"/>
      <c r="CC897" s="210"/>
      <c r="CD897" s="210"/>
      <c r="CE897" s="210"/>
      <c r="CF897" s="210"/>
      <c r="CG897" s="210"/>
      <c r="CH897" s="210"/>
      <c r="CI897" s="210"/>
      <c r="CJ897" s="210"/>
      <c r="CK897" s="210"/>
    </row>
    <row r="898">
      <c r="A898" s="220"/>
      <c r="F898" s="190"/>
      <c r="G898" s="190"/>
      <c r="L898" s="220"/>
      <c r="M898" s="22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4"/>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c r="BU898" s="210"/>
      <c r="BV898" s="210"/>
      <c r="BW898" s="210"/>
      <c r="BX898" s="210"/>
      <c r="BY898" s="210"/>
      <c r="BZ898" s="210"/>
      <c r="CA898" s="210"/>
      <c r="CB898" s="210"/>
      <c r="CC898" s="210"/>
      <c r="CD898" s="210"/>
      <c r="CE898" s="210"/>
      <c r="CF898" s="210"/>
      <c r="CG898" s="210"/>
      <c r="CH898" s="210"/>
      <c r="CI898" s="210"/>
      <c r="CJ898" s="210"/>
      <c r="CK898" s="210"/>
    </row>
    <row r="899">
      <c r="A899" s="220"/>
      <c r="F899" s="190"/>
      <c r="G899" s="190"/>
      <c r="L899" s="220"/>
      <c r="M899" s="22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4"/>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c r="BU899" s="210"/>
      <c r="BV899" s="210"/>
      <c r="BW899" s="210"/>
      <c r="BX899" s="210"/>
      <c r="BY899" s="210"/>
      <c r="BZ899" s="210"/>
      <c r="CA899" s="210"/>
      <c r="CB899" s="210"/>
      <c r="CC899" s="210"/>
      <c r="CD899" s="210"/>
      <c r="CE899" s="210"/>
      <c r="CF899" s="210"/>
      <c r="CG899" s="210"/>
      <c r="CH899" s="210"/>
      <c r="CI899" s="210"/>
      <c r="CJ899" s="210"/>
      <c r="CK899" s="210"/>
    </row>
    <row r="900">
      <c r="A900" s="220"/>
      <c r="F900" s="190"/>
      <c r="G900" s="190"/>
      <c r="L900" s="220"/>
      <c r="M900" s="22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4"/>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c r="BU900" s="210"/>
      <c r="BV900" s="210"/>
      <c r="BW900" s="210"/>
      <c r="BX900" s="210"/>
      <c r="BY900" s="210"/>
      <c r="BZ900" s="210"/>
      <c r="CA900" s="210"/>
      <c r="CB900" s="210"/>
      <c r="CC900" s="210"/>
      <c r="CD900" s="210"/>
      <c r="CE900" s="210"/>
      <c r="CF900" s="210"/>
      <c r="CG900" s="210"/>
      <c r="CH900" s="210"/>
      <c r="CI900" s="210"/>
      <c r="CJ900" s="210"/>
      <c r="CK900" s="210"/>
    </row>
    <row r="901">
      <c r="A901" s="220"/>
      <c r="F901" s="190"/>
      <c r="G901" s="190"/>
      <c r="L901" s="220"/>
      <c r="M901" s="22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4"/>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c r="BU901" s="210"/>
      <c r="BV901" s="210"/>
      <c r="BW901" s="210"/>
      <c r="BX901" s="210"/>
      <c r="BY901" s="210"/>
      <c r="BZ901" s="210"/>
      <c r="CA901" s="210"/>
      <c r="CB901" s="210"/>
      <c r="CC901" s="210"/>
      <c r="CD901" s="210"/>
      <c r="CE901" s="210"/>
      <c r="CF901" s="210"/>
      <c r="CG901" s="210"/>
      <c r="CH901" s="210"/>
      <c r="CI901" s="210"/>
      <c r="CJ901" s="210"/>
      <c r="CK901" s="210"/>
    </row>
    <row r="902">
      <c r="A902" s="220"/>
      <c r="F902" s="190"/>
      <c r="G902" s="190"/>
      <c r="L902" s="220"/>
      <c r="M902" s="22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4"/>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c r="BU902" s="210"/>
      <c r="BV902" s="210"/>
      <c r="BW902" s="210"/>
      <c r="BX902" s="210"/>
      <c r="BY902" s="210"/>
      <c r="BZ902" s="210"/>
      <c r="CA902" s="210"/>
      <c r="CB902" s="210"/>
      <c r="CC902" s="210"/>
      <c r="CD902" s="210"/>
      <c r="CE902" s="210"/>
      <c r="CF902" s="210"/>
      <c r="CG902" s="210"/>
      <c r="CH902" s="210"/>
      <c r="CI902" s="210"/>
      <c r="CJ902" s="210"/>
      <c r="CK902" s="210"/>
    </row>
    <row r="903">
      <c r="A903" s="220"/>
      <c r="F903" s="190"/>
      <c r="G903" s="190"/>
      <c r="L903" s="220"/>
      <c r="M903" s="22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4"/>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c r="BU903" s="210"/>
      <c r="BV903" s="210"/>
      <c r="BW903" s="210"/>
      <c r="BX903" s="210"/>
      <c r="BY903" s="210"/>
      <c r="BZ903" s="210"/>
      <c r="CA903" s="210"/>
      <c r="CB903" s="210"/>
      <c r="CC903" s="210"/>
      <c r="CD903" s="210"/>
      <c r="CE903" s="210"/>
      <c r="CF903" s="210"/>
      <c r="CG903" s="210"/>
      <c r="CH903" s="210"/>
      <c r="CI903" s="210"/>
      <c r="CJ903" s="210"/>
      <c r="CK903" s="210"/>
    </row>
    <row r="904">
      <c r="A904" s="220"/>
      <c r="F904" s="190"/>
      <c r="G904" s="190"/>
      <c r="L904" s="220"/>
      <c r="M904" s="22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4"/>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c r="BU904" s="210"/>
      <c r="BV904" s="210"/>
      <c r="BW904" s="210"/>
      <c r="BX904" s="210"/>
      <c r="BY904" s="210"/>
      <c r="BZ904" s="210"/>
      <c r="CA904" s="210"/>
      <c r="CB904" s="210"/>
      <c r="CC904" s="210"/>
      <c r="CD904" s="210"/>
      <c r="CE904" s="210"/>
      <c r="CF904" s="210"/>
      <c r="CG904" s="210"/>
      <c r="CH904" s="210"/>
      <c r="CI904" s="210"/>
      <c r="CJ904" s="210"/>
      <c r="CK904" s="210"/>
    </row>
    <row r="905">
      <c r="A905" s="220"/>
      <c r="F905" s="190"/>
      <c r="G905" s="190"/>
      <c r="L905" s="220"/>
      <c r="M905" s="22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4"/>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c r="BU905" s="210"/>
      <c r="BV905" s="210"/>
      <c r="BW905" s="210"/>
      <c r="BX905" s="210"/>
      <c r="BY905" s="210"/>
      <c r="BZ905" s="210"/>
      <c r="CA905" s="210"/>
      <c r="CB905" s="210"/>
      <c r="CC905" s="210"/>
      <c r="CD905" s="210"/>
      <c r="CE905" s="210"/>
      <c r="CF905" s="210"/>
      <c r="CG905" s="210"/>
      <c r="CH905" s="210"/>
      <c r="CI905" s="210"/>
      <c r="CJ905" s="210"/>
      <c r="CK905" s="210"/>
    </row>
    <row r="906">
      <c r="A906" s="220"/>
      <c r="F906" s="190"/>
      <c r="G906" s="190"/>
      <c r="L906" s="220"/>
      <c r="M906" s="22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4"/>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c r="BU906" s="210"/>
      <c r="BV906" s="210"/>
      <c r="BW906" s="210"/>
      <c r="BX906" s="210"/>
      <c r="BY906" s="210"/>
      <c r="BZ906" s="210"/>
      <c r="CA906" s="210"/>
      <c r="CB906" s="210"/>
      <c r="CC906" s="210"/>
      <c r="CD906" s="210"/>
      <c r="CE906" s="210"/>
      <c r="CF906" s="210"/>
      <c r="CG906" s="210"/>
      <c r="CH906" s="210"/>
      <c r="CI906" s="210"/>
      <c r="CJ906" s="210"/>
      <c r="CK906" s="210"/>
    </row>
    <row r="907">
      <c r="A907" s="220"/>
      <c r="F907" s="190"/>
      <c r="G907" s="190"/>
      <c r="L907" s="220"/>
      <c r="M907" s="22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4"/>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c r="BU907" s="210"/>
      <c r="BV907" s="210"/>
      <c r="BW907" s="210"/>
      <c r="BX907" s="210"/>
      <c r="BY907" s="210"/>
      <c r="BZ907" s="210"/>
      <c r="CA907" s="210"/>
      <c r="CB907" s="210"/>
      <c r="CC907" s="210"/>
      <c r="CD907" s="210"/>
      <c r="CE907" s="210"/>
      <c r="CF907" s="210"/>
      <c r="CG907" s="210"/>
      <c r="CH907" s="210"/>
      <c r="CI907" s="210"/>
      <c r="CJ907" s="210"/>
      <c r="CK907" s="210"/>
    </row>
    <row r="908">
      <c r="A908" s="220"/>
      <c r="F908" s="190"/>
      <c r="G908" s="190"/>
      <c r="L908" s="220"/>
      <c r="M908" s="22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4"/>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c r="BU908" s="210"/>
      <c r="BV908" s="210"/>
      <c r="BW908" s="210"/>
      <c r="BX908" s="210"/>
      <c r="BY908" s="210"/>
      <c r="BZ908" s="210"/>
      <c r="CA908" s="210"/>
      <c r="CB908" s="210"/>
      <c r="CC908" s="210"/>
      <c r="CD908" s="210"/>
      <c r="CE908" s="210"/>
      <c r="CF908" s="210"/>
      <c r="CG908" s="210"/>
      <c r="CH908" s="210"/>
      <c r="CI908" s="210"/>
      <c r="CJ908" s="210"/>
      <c r="CK908" s="210"/>
    </row>
    <row r="909">
      <c r="A909" s="220"/>
      <c r="F909" s="190"/>
      <c r="G909" s="190"/>
      <c r="L909" s="220"/>
      <c r="M909" s="22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4"/>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c r="BU909" s="210"/>
      <c r="BV909" s="210"/>
      <c r="BW909" s="210"/>
      <c r="BX909" s="210"/>
      <c r="BY909" s="210"/>
      <c r="BZ909" s="210"/>
      <c r="CA909" s="210"/>
      <c r="CB909" s="210"/>
      <c r="CC909" s="210"/>
      <c r="CD909" s="210"/>
      <c r="CE909" s="210"/>
      <c r="CF909" s="210"/>
      <c r="CG909" s="210"/>
      <c r="CH909" s="210"/>
      <c r="CI909" s="210"/>
      <c r="CJ909" s="210"/>
      <c r="CK909" s="210"/>
    </row>
    <row r="910">
      <c r="A910" s="220"/>
      <c r="F910" s="190"/>
      <c r="G910" s="190"/>
      <c r="L910" s="220"/>
      <c r="M910" s="22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4"/>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c r="BU910" s="210"/>
      <c r="BV910" s="210"/>
      <c r="BW910" s="210"/>
      <c r="BX910" s="210"/>
      <c r="BY910" s="210"/>
      <c r="BZ910" s="210"/>
      <c r="CA910" s="210"/>
      <c r="CB910" s="210"/>
      <c r="CC910" s="210"/>
      <c r="CD910" s="210"/>
      <c r="CE910" s="210"/>
      <c r="CF910" s="210"/>
      <c r="CG910" s="210"/>
      <c r="CH910" s="210"/>
      <c r="CI910" s="210"/>
      <c r="CJ910" s="210"/>
      <c r="CK910" s="210"/>
    </row>
    <row r="911">
      <c r="A911" s="220"/>
      <c r="F911" s="190"/>
      <c r="G911" s="190"/>
      <c r="L911" s="220"/>
      <c r="M911" s="22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4"/>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c r="BU911" s="210"/>
      <c r="BV911" s="210"/>
      <c r="BW911" s="210"/>
      <c r="BX911" s="210"/>
      <c r="BY911" s="210"/>
      <c r="BZ911" s="210"/>
      <c r="CA911" s="210"/>
      <c r="CB911" s="210"/>
      <c r="CC911" s="210"/>
      <c r="CD911" s="210"/>
      <c r="CE911" s="210"/>
      <c r="CF911" s="210"/>
      <c r="CG911" s="210"/>
      <c r="CH911" s="210"/>
      <c r="CI911" s="210"/>
      <c r="CJ911" s="210"/>
      <c r="CK911" s="210"/>
    </row>
    <row r="912">
      <c r="A912" s="220"/>
      <c r="F912" s="190"/>
      <c r="G912" s="190"/>
      <c r="L912" s="220"/>
      <c r="M912" s="22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4"/>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c r="BU912" s="210"/>
      <c r="BV912" s="210"/>
      <c r="BW912" s="210"/>
      <c r="BX912" s="210"/>
      <c r="BY912" s="210"/>
      <c r="BZ912" s="210"/>
      <c r="CA912" s="210"/>
      <c r="CB912" s="210"/>
      <c r="CC912" s="210"/>
      <c r="CD912" s="210"/>
      <c r="CE912" s="210"/>
      <c r="CF912" s="210"/>
      <c r="CG912" s="210"/>
      <c r="CH912" s="210"/>
      <c r="CI912" s="210"/>
      <c r="CJ912" s="210"/>
      <c r="CK912" s="210"/>
    </row>
    <row r="913">
      <c r="A913" s="220"/>
      <c r="F913" s="190"/>
      <c r="G913" s="190"/>
      <c r="L913" s="220"/>
      <c r="M913" s="22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4"/>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c r="BU913" s="210"/>
      <c r="BV913" s="210"/>
      <c r="BW913" s="210"/>
      <c r="BX913" s="210"/>
      <c r="BY913" s="210"/>
      <c r="BZ913" s="210"/>
      <c r="CA913" s="210"/>
      <c r="CB913" s="210"/>
      <c r="CC913" s="210"/>
      <c r="CD913" s="210"/>
      <c r="CE913" s="210"/>
      <c r="CF913" s="210"/>
      <c r="CG913" s="210"/>
      <c r="CH913" s="210"/>
      <c r="CI913" s="210"/>
      <c r="CJ913" s="210"/>
      <c r="CK913" s="210"/>
    </row>
    <row r="914">
      <c r="A914" s="220"/>
      <c r="F914" s="190"/>
      <c r="G914" s="190"/>
      <c r="L914" s="220"/>
      <c r="M914" s="22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4"/>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c r="BU914" s="210"/>
      <c r="BV914" s="210"/>
      <c r="BW914" s="210"/>
      <c r="BX914" s="210"/>
      <c r="BY914" s="210"/>
      <c r="BZ914" s="210"/>
      <c r="CA914" s="210"/>
      <c r="CB914" s="210"/>
      <c r="CC914" s="210"/>
      <c r="CD914" s="210"/>
      <c r="CE914" s="210"/>
      <c r="CF914" s="210"/>
      <c r="CG914" s="210"/>
      <c r="CH914" s="210"/>
      <c r="CI914" s="210"/>
      <c r="CJ914" s="210"/>
      <c r="CK914" s="210"/>
    </row>
    <row r="915">
      <c r="A915" s="220"/>
      <c r="F915" s="190"/>
      <c r="G915" s="190"/>
      <c r="L915" s="220"/>
      <c r="M915" s="22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4"/>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c r="BU915" s="210"/>
      <c r="BV915" s="210"/>
      <c r="BW915" s="210"/>
      <c r="BX915" s="210"/>
      <c r="BY915" s="210"/>
      <c r="BZ915" s="210"/>
      <c r="CA915" s="210"/>
      <c r="CB915" s="210"/>
      <c r="CC915" s="210"/>
      <c r="CD915" s="210"/>
      <c r="CE915" s="210"/>
      <c r="CF915" s="210"/>
      <c r="CG915" s="210"/>
      <c r="CH915" s="210"/>
      <c r="CI915" s="210"/>
      <c r="CJ915" s="210"/>
      <c r="CK915" s="210"/>
    </row>
    <row r="916">
      <c r="A916" s="220"/>
      <c r="F916" s="190"/>
      <c r="G916" s="190"/>
      <c r="L916" s="220"/>
      <c r="M916" s="22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4"/>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c r="BU916" s="210"/>
      <c r="BV916" s="210"/>
      <c r="BW916" s="210"/>
      <c r="BX916" s="210"/>
      <c r="BY916" s="210"/>
      <c r="BZ916" s="210"/>
      <c r="CA916" s="210"/>
      <c r="CB916" s="210"/>
      <c r="CC916" s="210"/>
      <c r="CD916" s="210"/>
      <c r="CE916" s="210"/>
      <c r="CF916" s="210"/>
      <c r="CG916" s="210"/>
      <c r="CH916" s="210"/>
      <c r="CI916" s="210"/>
      <c r="CJ916" s="210"/>
      <c r="CK916" s="210"/>
    </row>
    <row r="917">
      <c r="A917" s="220"/>
      <c r="F917" s="190"/>
      <c r="G917" s="190"/>
      <c r="L917" s="220"/>
      <c r="M917" s="22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4"/>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c r="BU917" s="210"/>
      <c r="BV917" s="210"/>
      <c r="BW917" s="210"/>
      <c r="BX917" s="210"/>
      <c r="BY917" s="210"/>
      <c r="BZ917" s="210"/>
      <c r="CA917" s="210"/>
      <c r="CB917" s="210"/>
      <c r="CC917" s="210"/>
      <c r="CD917" s="210"/>
      <c r="CE917" s="210"/>
      <c r="CF917" s="210"/>
      <c r="CG917" s="210"/>
      <c r="CH917" s="210"/>
      <c r="CI917" s="210"/>
      <c r="CJ917" s="210"/>
      <c r="CK917" s="210"/>
    </row>
    <row r="918">
      <c r="A918" s="220"/>
      <c r="F918" s="190"/>
      <c r="G918" s="190"/>
      <c r="L918" s="220"/>
      <c r="M918" s="22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4"/>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c r="BU918" s="210"/>
      <c r="BV918" s="210"/>
      <c r="BW918" s="210"/>
      <c r="BX918" s="210"/>
      <c r="BY918" s="210"/>
      <c r="BZ918" s="210"/>
      <c r="CA918" s="210"/>
      <c r="CB918" s="210"/>
      <c r="CC918" s="210"/>
      <c r="CD918" s="210"/>
      <c r="CE918" s="210"/>
      <c r="CF918" s="210"/>
      <c r="CG918" s="210"/>
      <c r="CH918" s="210"/>
      <c r="CI918" s="210"/>
      <c r="CJ918" s="210"/>
      <c r="CK918" s="210"/>
    </row>
    <row r="919">
      <c r="A919" s="220"/>
      <c r="F919" s="190"/>
      <c r="G919" s="190"/>
      <c r="L919" s="220"/>
      <c r="M919" s="22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4"/>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c r="BU919" s="210"/>
      <c r="BV919" s="210"/>
      <c r="BW919" s="210"/>
      <c r="BX919" s="210"/>
      <c r="BY919" s="210"/>
      <c r="BZ919" s="210"/>
      <c r="CA919" s="210"/>
      <c r="CB919" s="210"/>
      <c r="CC919" s="210"/>
      <c r="CD919" s="210"/>
      <c r="CE919" s="210"/>
      <c r="CF919" s="210"/>
      <c r="CG919" s="210"/>
      <c r="CH919" s="210"/>
      <c r="CI919" s="210"/>
      <c r="CJ919" s="210"/>
      <c r="CK919" s="210"/>
    </row>
    <row r="920">
      <c r="A920" s="220"/>
      <c r="F920" s="190"/>
      <c r="G920" s="190"/>
      <c r="L920" s="220"/>
      <c r="M920" s="22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4"/>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c r="BU920" s="210"/>
      <c r="BV920" s="210"/>
      <c r="BW920" s="210"/>
      <c r="BX920" s="210"/>
      <c r="BY920" s="210"/>
      <c r="BZ920" s="210"/>
      <c r="CA920" s="210"/>
      <c r="CB920" s="210"/>
      <c r="CC920" s="210"/>
      <c r="CD920" s="210"/>
      <c r="CE920" s="210"/>
      <c r="CF920" s="210"/>
      <c r="CG920" s="210"/>
      <c r="CH920" s="210"/>
      <c r="CI920" s="210"/>
      <c r="CJ920" s="210"/>
      <c r="CK920" s="210"/>
    </row>
    <row r="921">
      <c r="A921" s="220"/>
      <c r="F921" s="190"/>
      <c r="G921" s="190"/>
      <c r="L921" s="220"/>
      <c r="M921" s="22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4"/>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c r="BU921" s="210"/>
      <c r="BV921" s="210"/>
      <c r="BW921" s="210"/>
      <c r="BX921" s="210"/>
      <c r="BY921" s="210"/>
      <c r="BZ921" s="210"/>
      <c r="CA921" s="210"/>
      <c r="CB921" s="210"/>
      <c r="CC921" s="210"/>
      <c r="CD921" s="210"/>
      <c r="CE921" s="210"/>
      <c r="CF921" s="210"/>
      <c r="CG921" s="210"/>
      <c r="CH921" s="210"/>
      <c r="CI921" s="210"/>
      <c r="CJ921" s="210"/>
      <c r="CK921" s="210"/>
    </row>
    <row r="922">
      <c r="A922" s="220"/>
      <c r="F922" s="190"/>
      <c r="G922" s="190"/>
      <c r="L922" s="220"/>
      <c r="M922" s="22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4"/>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c r="BU922" s="210"/>
      <c r="BV922" s="210"/>
      <c r="BW922" s="210"/>
      <c r="BX922" s="210"/>
      <c r="BY922" s="210"/>
      <c r="BZ922" s="210"/>
      <c r="CA922" s="210"/>
      <c r="CB922" s="210"/>
      <c r="CC922" s="210"/>
      <c r="CD922" s="210"/>
      <c r="CE922" s="210"/>
      <c r="CF922" s="210"/>
      <c r="CG922" s="210"/>
      <c r="CH922" s="210"/>
      <c r="CI922" s="210"/>
      <c r="CJ922" s="210"/>
      <c r="CK922" s="210"/>
    </row>
    <row r="923">
      <c r="A923" s="220"/>
      <c r="F923" s="190"/>
      <c r="G923" s="190"/>
      <c r="L923" s="220"/>
      <c r="M923" s="22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4"/>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c r="BU923" s="210"/>
      <c r="BV923" s="210"/>
      <c r="BW923" s="210"/>
      <c r="BX923" s="210"/>
      <c r="BY923" s="210"/>
      <c r="BZ923" s="210"/>
      <c r="CA923" s="210"/>
      <c r="CB923" s="210"/>
      <c r="CC923" s="210"/>
      <c r="CD923" s="210"/>
      <c r="CE923" s="210"/>
      <c r="CF923" s="210"/>
      <c r="CG923" s="210"/>
      <c r="CH923" s="210"/>
      <c r="CI923" s="210"/>
      <c r="CJ923" s="210"/>
      <c r="CK923" s="210"/>
    </row>
    <row r="924">
      <c r="A924" s="220"/>
      <c r="F924" s="190"/>
      <c r="G924" s="190"/>
      <c r="L924" s="220"/>
      <c r="M924" s="22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4"/>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c r="BU924" s="210"/>
      <c r="BV924" s="210"/>
      <c r="BW924" s="210"/>
      <c r="BX924" s="210"/>
      <c r="BY924" s="210"/>
      <c r="BZ924" s="210"/>
      <c r="CA924" s="210"/>
      <c r="CB924" s="210"/>
      <c r="CC924" s="210"/>
      <c r="CD924" s="210"/>
      <c r="CE924" s="210"/>
      <c r="CF924" s="210"/>
      <c r="CG924" s="210"/>
      <c r="CH924" s="210"/>
      <c r="CI924" s="210"/>
      <c r="CJ924" s="210"/>
      <c r="CK924" s="210"/>
    </row>
    <row r="925">
      <c r="A925" s="220"/>
      <c r="F925" s="190"/>
      <c r="G925" s="190"/>
      <c r="L925" s="220"/>
      <c r="M925" s="22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4"/>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c r="BU925" s="210"/>
      <c r="BV925" s="210"/>
      <c r="BW925" s="210"/>
      <c r="BX925" s="210"/>
      <c r="BY925" s="210"/>
      <c r="BZ925" s="210"/>
      <c r="CA925" s="210"/>
      <c r="CB925" s="210"/>
      <c r="CC925" s="210"/>
      <c r="CD925" s="210"/>
      <c r="CE925" s="210"/>
      <c r="CF925" s="210"/>
      <c r="CG925" s="210"/>
      <c r="CH925" s="210"/>
      <c r="CI925" s="210"/>
      <c r="CJ925" s="210"/>
      <c r="CK925" s="210"/>
    </row>
    <row r="926">
      <c r="A926" s="220"/>
      <c r="F926" s="190"/>
      <c r="G926" s="190"/>
      <c r="L926" s="220"/>
      <c r="M926" s="22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4"/>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c r="BU926" s="210"/>
      <c r="BV926" s="210"/>
      <c r="BW926" s="210"/>
      <c r="BX926" s="210"/>
      <c r="BY926" s="210"/>
      <c r="BZ926" s="210"/>
      <c r="CA926" s="210"/>
      <c r="CB926" s="210"/>
      <c r="CC926" s="210"/>
      <c r="CD926" s="210"/>
      <c r="CE926" s="210"/>
      <c r="CF926" s="210"/>
      <c r="CG926" s="210"/>
      <c r="CH926" s="210"/>
      <c r="CI926" s="210"/>
      <c r="CJ926" s="210"/>
      <c r="CK926" s="210"/>
    </row>
    <row r="927">
      <c r="A927" s="220"/>
      <c r="F927" s="190"/>
      <c r="G927" s="190"/>
      <c r="L927" s="220"/>
      <c r="M927" s="22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4"/>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c r="BU927" s="210"/>
      <c r="BV927" s="210"/>
      <c r="BW927" s="210"/>
      <c r="BX927" s="210"/>
      <c r="BY927" s="210"/>
      <c r="BZ927" s="210"/>
      <c r="CA927" s="210"/>
      <c r="CB927" s="210"/>
      <c r="CC927" s="210"/>
      <c r="CD927" s="210"/>
      <c r="CE927" s="210"/>
      <c r="CF927" s="210"/>
      <c r="CG927" s="210"/>
      <c r="CH927" s="210"/>
      <c r="CI927" s="210"/>
      <c r="CJ927" s="210"/>
      <c r="CK927" s="210"/>
    </row>
    <row r="928">
      <c r="A928" s="220"/>
      <c r="F928" s="190"/>
      <c r="G928" s="190"/>
      <c r="L928" s="220"/>
      <c r="M928" s="22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4"/>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c r="BU928" s="210"/>
      <c r="BV928" s="210"/>
      <c r="BW928" s="210"/>
      <c r="BX928" s="210"/>
      <c r="BY928" s="210"/>
      <c r="BZ928" s="210"/>
      <c r="CA928" s="210"/>
      <c r="CB928" s="210"/>
      <c r="CC928" s="210"/>
      <c r="CD928" s="210"/>
      <c r="CE928" s="210"/>
      <c r="CF928" s="210"/>
      <c r="CG928" s="210"/>
      <c r="CH928" s="210"/>
      <c r="CI928" s="210"/>
      <c r="CJ928" s="210"/>
      <c r="CK928" s="210"/>
    </row>
    <row r="929">
      <c r="A929" s="220"/>
      <c r="F929" s="190"/>
      <c r="G929" s="190"/>
      <c r="L929" s="220"/>
      <c r="M929" s="22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4"/>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c r="BU929" s="210"/>
      <c r="BV929" s="210"/>
      <c r="BW929" s="210"/>
      <c r="BX929" s="210"/>
      <c r="BY929" s="210"/>
      <c r="BZ929" s="210"/>
      <c r="CA929" s="210"/>
      <c r="CB929" s="210"/>
      <c r="CC929" s="210"/>
      <c r="CD929" s="210"/>
      <c r="CE929" s="210"/>
      <c r="CF929" s="210"/>
      <c r="CG929" s="210"/>
      <c r="CH929" s="210"/>
      <c r="CI929" s="210"/>
      <c r="CJ929" s="210"/>
      <c r="CK929" s="210"/>
    </row>
    <row r="930">
      <c r="A930" s="220"/>
      <c r="F930" s="190"/>
      <c r="G930" s="190"/>
      <c r="L930" s="220"/>
      <c r="M930" s="22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4"/>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c r="BU930" s="210"/>
      <c r="BV930" s="210"/>
      <c r="BW930" s="210"/>
      <c r="BX930" s="210"/>
      <c r="BY930" s="210"/>
      <c r="BZ930" s="210"/>
      <c r="CA930" s="210"/>
      <c r="CB930" s="210"/>
      <c r="CC930" s="210"/>
      <c r="CD930" s="210"/>
      <c r="CE930" s="210"/>
      <c r="CF930" s="210"/>
      <c r="CG930" s="210"/>
      <c r="CH930" s="210"/>
      <c r="CI930" s="210"/>
      <c r="CJ930" s="210"/>
      <c r="CK930" s="210"/>
    </row>
    <row r="931">
      <c r="A931" s="220"/>
      <c r="F931" s="190"/>
      <c r="G931" s="190"/>
      <c r="L931" s="220"/>
      <c r="M931" s="22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4"/>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c r="BU931" s="210"/>
      <c r="BV931" s="210"/>
      <c r="BW931" s="210"/>
      <c r="BX931" s="210"/>
      <c r="BY931" s="210"/>
      <c r="BZ931" s="210"/>
      <c r="CA931" s="210"/>
      <c r="CB931" s="210"/>
      <c r="CC931" s="210"/>
      <c r="CD931" s="210"/>
      <c r="CE931" s="210"/>
      <c r="CF931" s="210"/>
      <c r="CG931" s="210"/>
      <c r="CH931" s="210"/>
      <c r="CI931" s="210"/>
      <c r="CJ931" s="210"/>
      <c r="CK931" s="210"/>
    </row>
    <row r="932">
      <c r="A932" s="220"/>
      <c r="F932" s="190"/>
      <c r="G932" s="190"/>
      <c r="L932" s="220"/>
      <c r="M932" s="22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4"/>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c r="BU932" s="210"/>
      <c r="BV932" s="210"/>
      <c r="BW932" s="210"/>
      <c r="BX932" s="210"/>
      <c r="BY932" s="210"/>
      <c r="BZ932" s="210"/>
      <c r="CA932" s="210"/>
      <c r="CB932" s="210"/>
      <c r="CC932" s="210"/>
      <c r="CD932" s="210"/>
      <c r="CE932" s="210"/>
      <c r="CF932" s="210"/>
      <c r="CG932" s="210"/>
      <c r="CH932" s="210"/>
      <c r="CI932" s="210"/>
      <c r="CJ932" s="210"/>
      <c r="CK932" s="210"/>
    </row>
    <row r="933">
      <c r="A933" s="220"/>
      <c r="F933" s="190"/>
      <c r="G933" s="190"/>
      <c r="L933" s="220"/>
      <c r="M933" s="22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4"/>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c r="BU933" s="210"/>
      <c r="BV933" s="210"/>
      <c r="BW933" s="210"/>
      <c r="BX933" s="210"/>
      <c r="BY933" s="210"/>
      <c r="BZ933" s="210"/>
      <c r="CA933" s="210"/>
      <c r="CB933" s="210"/>
      <c r="CC933" s="210"/>
      <c r="CD933" s="210"/>
      <c r="CE933" s="210"/>
      <c r="CF933" s="210"/>
      <c r="CG933" s="210"/>
      <c r="CH933" s="210"/>
      <c r="CI933" s="210"/>
      <c r="CJ933" s="210"/>
      <c r="CK933" s="210"/>
    </row>
    <row r="934">
      <c r="A934" s="220"/>
      <c r="F934" s="190"/>
      <c r="G934" s="190"/>
      <c r="L934" s="220"/>
      <c r="M934" s="22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4"/>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c r="BU934" s="210"/>
      <c r="BV934" s="210"/>
      <c r="BW934" s="210"/>
      <c r="BX934" s="210"/>
      <c r="BY934" s="210"/>
      <c r="BZ934" s="210"/>
      <c r="CA934" s="210"/>
      <c r="CB934" s="210"/>
      <c r="CC934" s="210"/>
      <c r="CD934" s="210"/>
      <c r="CE934" s="210"/>
      <c r="CF934" s="210"/>
      <c r="CG934" s="210"/>
      <c r="CH934" s="210"/>
      <c r="CI934" s="210"/>
      <c r="CJ934" s="210"/>
      <c r="CK934" s="210"/>
    </row>
    <row r="935">
      <c r="A935" s="220"/>
      <c r="F935" s="190"/>
      <c r="G935" s="190"/>
      <c r="L935" s="220"/>
      <c r="M935" s="22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4"/>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c r="BU935" s="210"/>
      <c r="BV935" s="210"/>
      <c r="BW935" s="210"/>
      <c r="BX935" s="210"/>
      <c r="BY935" s="210"/>
      <c r="BZ935" s="210"/>
      <c r="CA935" s="210"/>
      <c r="CB935" s="210"/>
      <c r="CC935" s="210"/>
      <c r="CD935" s="210"/>
      <c r="CE935" s="210"/>
      <c r="CF935" s="210"/>
      <c r="CG935" s="210"/>
      <c r="CH935" s="210"/>
      <c r="CI935" s="210"/>
      <c r="CJ935" s="210"/>
      <c r="CK935" s="210"/>
    </row>
    <row r="936">
      <c r="A936" s="220"/>
      <c r="F936" s="190"/>
      <c r="G936" s="190"/>
      <c r="L936" s="220"/>
      <c r="M936" s="22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4"/>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c r="BU936" s="210"/>
      <c r="BV936" s="210"/>
      <c r="BW936" s="210"/>
      <c r="BX936" s="210"/>
      <c r="BY936" s="210"/>
      <c r="BZ936" s="210"/>
      <c r="CA936" s="210"/>
      <c r="CB936" s="210"/>
      <c r="CC936" s="210"/>
      <c r="CD936" s="210"/>
      <c r="CE936" s="210"/>
      <c r="CF936" s="210"/>
      <c r="CG936" s="210"/>
      <c r="CH936" s="210"/>
      <c r="CI936" s="210"/>
      <c r="CJ936" s="210"/>
      <c r="CK936" s="210"/>
    </row>
    <row r="937">
      <c r="A937" s="220"/>
      <c r="F937" s="190"/>
      <c r="G937" s="190"/>
      <c r="L937" s="220"/>
      <c r="M937" s="22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4"/>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c r="BU937" s="210"/>
      <c r="BV937" s="210"/>
      <c r="BW937" s="210"/>
      <c r="BX937" s="210"/>
      <c r="BY937" s="210"/>
      <c r="BZ937" s="210"/>
      <c r="CA937" s="210"/>
      <c r="CB937" s="210"/>
      <c r="CC937" s="210"/>
      <c r="CD937" s="210"/>
      <c r="CE937" s="210"/>
      <c r="CF937" s="210"/>
      <c r="CG937" s="210"/>
      <c r="CH937" s="210"/>
      <c r="CI937" s="210"/>
      <c r="CJ937" s="210"/>
      <c r="CK937" s="210"/>
    </row>
    <row r="938">
      <c r="A938" s="220"/>
      <c r="F938" s="190"/>
      <c r="G938" s="190"/>
      <c r="L938" s="220"/>
      <c r="M938" s="22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4"/>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c r="BU938" s="210"/>
      <c r="BV938" s="210"/>
      <c r="BW938" s="210"/>
      <c r="BX938" s="210"/>
      <c r="BY938" s="210"/>
      <c r="BZ938" s="210"/>
      <c r="CA938" s="210"/>
      <c r="CB938" s="210"/>
      <c r="CC938" s="210"/>
      <c r="CD938" s="210"/>
      <c r="CE938" s="210"/>
      <c r="CF938" s="210"/>
      <c r="CG938" s="210"/>
      <c r="CH938" s="210"/>
      <c r="CI938" s="210"/>
      <c r="CJ938" s="210"/>
      <c r="CK938" s="210"/>
    </row>
    <row r="939">
      <c r="A939" s="220"/>
      <c r="F939" s="190"/>
      <c r="G939" s="190"/>
      <c r="L939" s="220"/>
      <c r="M939" s="22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4"/>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c r="BU939" s="210"/>
      <c r="BV939" s="210"/>
      <c r="BW939" s="210"/>
      <c r="BX939" s="210"/>
      <c r="BY939" s="210"/>
      <c r="BZ939" s="210"/>
      <c r="CA939" s="210"/>
      <c r="CB939" s="210"/>
      <c r="CC939" s="210"/>
      <c r="CD939" s="210"/>
      <c r="CE939" s="210"/>
      <c r="CF939" s="210"/>
      <c r="CG939" s="210"/>
      <c r="CH939" s="210"/>
      <c r="CI939" s="210"/>
      <c r="CJ939" s="210"/>
      <c r="CK939" s="210"/>
    </row>
    <row r="940">
      <c r="A940" s="220"/>
      <c r="F940" s="190"/>
      <c r="G940" s="190"/>
      <c r="L940" s="220"/>
      <c r="M940" s="22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4"/>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c r="BU940" s="210"/>
      <c r="BV940" s="210"/>
      <c r="BW940" s="210"/>
      <c r="BX940" s="210"/>
      <c r="BY940" s="210"/>
      <c r="BZ940" s="210"/>
      <c r="CA940" s="210"/>
      <c r="CB940" s="210"/>
      <c r="CC940" s="210"/>
      <c r="CD940" s="210"/>
      <c r="CE940" s="210"/>
      <c r="CF940" s="210"/>
      <c r="CG940" s="210"/>
      <c r="CH940" s="210"/>
      <c r="CI940" s="210"/>
      <c r="CJ940" s="210"/>
      <c r="CK940" s="210"/>
    </row>
    <row r="941">
      <c r="A941" s="220"/>
      <c r="F941" s="190"/>
      <c r="G941" s="190"/>
      <c r="L941" s="220"/>
      <c r="M941" s="22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4"/>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c r="BU941" s="210"/>
      <c r="BV941" s="210"/>
      <c r="BW941" s="210"/>
      <c r="BX941" s="210"/>
      <c r="BY941" s="210"/>
      <c r="BZ941" s="210"/>
      <c r="CA941" s="210"/>
      <c r="CB941" s="210"/>
      <c r="CC941" s="210"/>
      <c r="CD941" s="210"/>
      <c r="CE941" s="210"/>
      <c r="CF941" s="210"/>
      <c r="CG941" s="210"/>
      <c r="CH941" s="210"/>
      <c r="CI941" s="210"/>
      <c r="CJ941" s="210"/>
      <c r="CK941" s="210"/>
    </row>
    <row r="942">
      <c r="A942" s="220"/>
      <c r="F942" s="190"/>
      <c r="G942" s="190"/>
      <c r="L942" s="220"/>
      <c r="M942" s="22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4"/>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c r="BU942" s="210"/>
      <c r="BV942" s="210"/>
      <c r="BW942" s="210"/>
      <c r="BX942" s="210"/>
      <c r="BY942" s="210"/>
      <c r="BZ942" s="210"/>
      <c r="CA942" s="210"/>
      <c r="CB942" s="210"/>
      <c r="CC942" s="210"/>
      <c r="CD942" s="210"/>
      <c r="CE942" s="210"/>
      <c r="CF942" s="210"/>
      <c r="CG942" s="210"/>
      <c r="CH942" s="210"/>
      <c r="CI942" s="210"/>
      <c r="CJ942" s="210"/>
      <c r="CK942" s="210"/>
    </row>
    <row r="943">
      <c r="A943" s="220"/>
      <c r="F943" s="190"/>
      <c r="G943" s="190"/>
      <c r="L943" s="220"/>
      <c r="M943" s="22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4"/>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c r="BU943" s="210"/>
      <c r="BV943" s="210"/>
      <c r="BW943" s="210"/>
      <c r="BX943" s="210"/>
      <c r="BY943" s="210"/>
      <c r="BZ943" s="210"/>
      <c r="CA943" s="210"/>
      <c r="CB943" s="210"/>
      <c r="CC943" s="210"/>
      <c r="CD943" s="210"/>
      <c r="CE943" s="210"/>
      <c r="CF943" s="210"/>
      <c r="CG943" s="210"/>
      <c r="CH943" s="210"/>
      <c r="CI943" s="210"/>
      <c r="CJ943" s="210"/>
      <c r="CK943" s="210"/>
    </row>
    <row r="944">
      <c r="A944" s="220"/>
      <c r="F944" s="190"/>
      <c r="G944" s="190"/>
      <c r="L944" s="220"/>
      <c r="M944" s="22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4"/>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c r="BU944" s="210"/>
      <c r="BV944" s="210"/>
      <c r="BW944" s="210"/>
      <c r="BX944" s="210"/>
      <c r="BY944" s="210"/>
      <c r="BZ944" s="210"/>
      <c r="CA944" s="210"/>
      <c r="CB944" s="210"/>
      <c r="CC944" s="210"/>
      <c r="CD944" s="210"/>
      <c r="CE944" s="210"/>
      <c r="CF944" s="210"/>
      <c r="CG944" s="210"/>
      <c r="CH944" s="210"/>
      <c r="CI944" s="210"/>
      <c r="CJ944" s="210"/>
      <c r="CK944" s="210"/>
    </row>
    <row r="945">
      <c r="A945" s="220"/>
      <c r="F945" s="190"/>
      <c r="G945" s="190"/>
      <c r="L945" s="220"/>
      <c r="M945" s="22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4"/>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c r="BU945" s="210"/>
      <c r="BV945" s="210"/>
      <c r="BW945" s="210"/>
      <c r="BX945" s="210"/>
      <c r="BY945" s="210"/>
      <c r="BZ945" s="210"/>
      <c r="CA945" s="210"/>
      <c r="CB945" s="210"/>
      <c r="CC945" s="210"/>
      <c r="CD945" s="210"/>
      <c r="CE945" s="210"/>
      <c r="CF945" s="210"/>
      <c r="CG945" s="210"/>
      <c r="CH945" s="210"/>
      <c r="CI945" s="210"/>
      <c r="CJ945" s="210"/>
      <c r="CK945" s="210"/>
    </row>
    <row r="946">
      <c r="A946" s="220"/>
      <c r="F946" s="190"/>
      <c r="G946" s="190"/>
      <c r="L946" s="220"/>
      <c r="M946" s="22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4"/>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c r="BU946" s="210"/>
      <c r="BV946" s="210"/>
      <c r="BW946" s="210"/>
      <c r="BX946" s="210"/>
      <c r="BY946" s="210"/>
      <c r="BZ946" s="210"/>
      <c r="CA946" s="210"/>
      <c r="CB946" s="210"/>
      <c r="CC946" s="210"/>
      <c r="CD946" s="210"/>
      <c r="CE946" s="210"/>
      <c r="CF946" s="210"/>
      <c r="CG946" s="210"/>
      <c r="CH946" s="210"/>
      <c r="CI946" s="210"/>
      <c r="CJ946" s="210"/>
      <c r="CK946" s="210"/>
    </row>
    <row r="947">
      <c r="A947" s="220"/>
      <c r="F947" s="190"/>
      <c r="G947" s="190"/>
      <c r="L947" s="220"/>
      <c r="M947" s="22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4"/>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c r="BU947" s="210"/>
      <c r="BV947" s="210"/>
      <c r="BW947" s="210"/>
      <c r="BX947" s="210"/>
      <c r="BY947" s="210"/>
      <c r="BZ947" s="210"/>
      <c r="CA947" s="210"/>
      <c r="CB947" s="210"/>
      <c r="CC947" s="210"/>
      <c r="CD947" s="210"/>
      <c r="CE947" s="210"/>
      <c r="CF947" s="210"/>
      <c r="CG947" s="210"/>
      <c r="CH947" s="210"/>
      <c r="CI947" s="210"/>
      <c r="CJ947" s="210"/>
      <c r="CK947" s="210"/>
    </row>
    <row r="948">
      <c r="A948" s="220"/>
      <c r="F948" s="190"/>
      <c r="G948" s="190"/>
      <c r="L948" s="220"/>
      <c r="M948" s="22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4"/>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c r="BU948" s="210"/>
      <c r="BV948" s="210"/>
      <c r="BW948" s="210"/>
      <c r="BX948" s="210"/>
      <c r="BY948" s="210"/>
      <c r="BZ948" s="210"/>
      <c r="CA948" s="210"/>
      <c r="CB948" s="210"/>
      <c r="CC948" s="210"/>
      <c r="CD948" s="210"/>
      <c r="CE948" s="210"/>
      <c r="CF948" s="210"/>
      <c r="CG948" s="210"/>
      <c r="CH948" s="210"/>
      <c r="CI948" s="210"/>
      <c r="CJ948" s="210"/>
      <c r="CK948" s="210"/>
    </row>
    <row r="949">
      <c r="A949" s="220"/>
      <c r="F949" s="190"/>
      <c r="G949" s="190"/>
      <c r="L949" s="220"/>
      <c r="M949" s="22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4"/>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c r="BU949" s="210"/>
      <c r="BV949" s="210"/>
      <c r="BW949" s="210"/>
      <c r="BX949" s="210"/>
      <c r="BY949" s="210"/>
      <c r="BZ949" s="210"/>
      <c r="CA949" s="210"/>
      <c r="CB949" s="210"/>
      <c r="CC949" s="210"/>
      <c r="CD949" s="210"/>
      <c r="CE949" s="210"/>
      <c r="CF949" s="210"/>
      <c r="CG949" s="210"/>
      <c r="CH949" s="210"/>
      <c r="CI949" s="210"/>
      <c r="CJ949" s="210"/>
      <c r="CK949" s="210"/>
    </row>
    <row r="950">
      <c r="A950" s="220"/>
      <c r="F950" s="190"/>
      <c r="G950" s="190"/>
      <c r="L950" s="220"/>
      <c r="M950" s="22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4"/>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c r="BU950" s="210"/>
      <c r="BV950" s="210"/>
      <c r="BW950" s="210"/>
      <c r="BX950" s="210"/>
      <c r="BY950" s="210"/>
      <c r="BZ950" s="210"/>
      <c r="CA950" s="210"/>
      <c r="CB950" s="210"/>
      <c r="CC950" s="210"/>
      <c r="CD950" s="210"/>
      <c r="CE950" s="210"/>
      <c r="CF950" s="210"/>
      <c r="CG950" s="210"/>
      <c r="CH950" s="210"/>
      <c r="CI950" s="210"/>
      <c r="CJ950" s="210"/>
      <c r="CK950" s="210"/>
    </row>
    <row r="951">
      <c r="A951" s="220"/>
      <c r="F951" s="190"/>
      <c r="G951" s="190"/>
      <c r="L951" s="220"/>
      <c r="M951" s="22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4"/>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c r="BU951" s="210"/>
      <c r="BV951" s="210"/>
      <c r="BW951" s="210"/>
      <c r="BX951" s="210"/>
      <c r="BY951" s="210"/>
      <c r="BZ951" s="210"/>
      <c r="CA951" s="210"/>
      <c r="CB951" s="210"/>
      <c r="CC951" s="210"/>
      <c r="CD951" s="210"/>
      <c r="CE951" s="210"/>
      <c r="CF951" s="210"/>
      <c r="CG951" s="210"/>
      <c r="CH951" s="210"/>
      <c r="CI951" s="210"/>
      <c r="CJ951" s="210"/>
      <c r="CK951" s="210"/>
    </row>
    <row r="952">
      <c r="A952" s="220"/>
      <c r="F952" s="190"/>
      <c r="G952" s="190"/>
      <c r="L952" s="220"/>
      <c r="M952" s="22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4"/>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c r="BU952" s="210"/>
      <c r="BV952" s="210"/>
      <c r="BW952" s="210"/>
      <c r="BX952" s="210"/>
      <c r="BY952" s="210"/>
      <c r="BZ952" s="210"/>
      <c r="CA952" s="210"/>
      <c r="CB952" s="210"/>
      <c r="CC952" s="210"/>
      <c r="CD952" s="210"/>
      <c r="CE952" s="210"/>
      <c r="CF952" s="210"/>
      <c r="CG952" s="210"/>
      <c r="CH952" s="210"/>
      <c r="CI952" s="210"/>
      <c r="CJ952" s="210"/>
      <c r="CK952" s="210"/>
    </row>
    <row r="953">
      <c r="A953" s="220"/>
      <c r="F953" s="190"/>
      <c r="G953" s="190"/>
      <c r="L953" s="220"/>
      <c r="M953" s="22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4"/>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c r="BU953" s="210"/>
      <c r="BV953" s="210"/>
      <c r="BW953" s="210"/>
      <c r="BX953" s="210"/>
      <c r="BY953" s="210"/>
      <c r="BZ953" s="210"/>
      <c r="CA953" s="210"/>
      <c r="CB953" s="210"/>
      <c r="CC953" s="210"/>
      <c r="CD953" s="210"/>
      <c r="CE953" s="210"/>
      <c r="CF953" s="210"/>
      <c r="CG953" s="210"/>
      <c r="CH953" s="210"/>
      <c r="CI953" s="210"/>
      <c r="CJ953" s="210"/>
      <c r="CK953" s="210"/>
    </row>
    <row r="954">
      <c r="A954" s="220"/>
      <c r="F954" s="190"/>
      <c r="G954" s="190"/>
      <c r="L954" s="220"/>
      <c r="M954" s="22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4"/>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c r="BU954" s="210"/>
      <c r="BV954" s="210"/>
      <c r="BW954" s="210"/>
      <c r="BX954" s="210"/>
      <c r="BY954" s="210"/>
      <c r="BZ954" s="210"/>
      <c r="CA954" s="210"/>
      <c r="CB954" s="210"/>
      <c r="CC954" s="210"/>
      <c r="CD954" s="210"/>
      <c r="CE954" s="210"/>
      <c r="CF954" s="210"/>
      <c r="CG954" s="210"/>
      <c r="CH954" s="210"/>
      <c r="CI954" s="210"/>
      <c r="CJ954" s="210"/>
      <c r="CK954" s="210"/>
    </row>
    <row r="955">
      <c r="A955" s="220"/>
      <c r="F955" s="190"/>
      <c r="G955" s="190"/>
      <c r="L955" s="220"/>
      <c r="M955" s="22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4"/>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c r="BU955" s="210"/>
      <c r="BV955" s="210"/>
      <c r="BW955" s="210"/>
      <c r="BX955" s="210"/>
      <c r="BY955" s="210"/>
      <c r="BZ955" s="210"/>
      <c r="CA955" s="210"/>
      <c r="CB955" s="210"/>
      <c r="CC955" s="210"/>
      <c r="CD955" s="210"/>
      <c r="CE955" s="210"/>
      <c r="CF955" s="210"/>
      <c r="CG955" s="210"/>
      <c r="CH955" s="210"/>
      <c r="CI955" s="210"/>
      <c r="CJ955" s="210"/>
      <c r="CK955" s="210"/>
    </row>
    <row r="956">
      <c r="A956" s="220"/>
      <c r="F956" s="190"/>
      <c r="G956" s="190"/>
      <c r="L956" s="220"/>
      <c r="M956" s="22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4"/>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c r="BU956" s="210"/>
      <c r="BV956" s="210"/>
      <c r="BW956" s="210"/>
      <c r="BX956" s="210"/>
      <c r="BY956" s="210"/>
      <c r="BZ956" s="210"/>
      <c r="CA956" s="210"/>
      <c r="CB956" s="210"/>
      <c r="CC956" s="210"/>
      <c r="CD956" s="210"/>
      <c r="CE956" s="210"/>
      <c r="CF956" s="210"/>
      <c r="CG956" s="210"/>
      <c r="CH956" s="210"/>
      <c r="CI956" s="210"/>
      <c r="CJ956" s="210"/>
      <c r="CK956" s="210"/>
    </row>
    <row r="957">
      <c r="A957" s="220"/>
      <c r="F957" s="190"/>
      <c r="G957" s="190"/>
      <c r="L957" s="220"/>
      <c r="M957" s="22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4"/>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c r="BU957" s="210"/>
      <c r="BV957" s="210"/>
      <c r="BW957" s="210"/>
      <c r="BX957" s="210"/>
      <c r="BY957" s="210"/>
      <c r="BZ957" s="210"/>
      <c r="CA957" s="210"/>
      <c r="CB957" s="210"/>
      <c r="CC957" s="210"/>
      <c r="CD957" s="210"/>
      <c r="CE957" s="210"/>
      <c r="CF957" s="210"/>
      <c r="CG957" s="210"/>
      <c r="CH957" s="210"/>
      <c r="CI957" s="210"/>
      <c r="CJ957" s="210"/>
      <c r="CK957" s="210"/>
    </row>
    <row r="958">
      <c r="A958" s="220"/>
      <c r="F958" s="190"/>
      <c r="G958" s="190"/>
      <c r="L958" s="220"/>
      <c r="M958" s="22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4"/>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c r="BU958" s="210"/>
      <c r="BV958" s="210"/>
      <c r="BW958" s="210"/>
      <c r="BX958" s="210"/>
      <c r="BY958" s="210"/>
      <c r="BZ958" s="210"/>
      <c r="CA958" s="210"/>
      <c r="CB958" s="210"/>
      <c r="CC958" s="210"/>
      <c r="CD958" s="210"/>
      <c r="CE958" s="210"/>
      <c r="CF958" s="210"/>
      <c r="CG958" s="210"/>
      <c r="CH958" s="210"/>
      <c r="CI958" s="210"/>
      <c r="CJ958" s="210"/>
      <c r="CK958" s="210"/>
    </row>
    <row r="959">
      <c r="A959" s="220"/>
      <c r="F959" s="190"/>
      <c r="G959" s="190"/>
      <c r="L959" s="220"/>
      <c r="M959" s="22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4"/>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c r="BU959" s="210"/>
      <c r="BV959" s="210"/>
      <c r="BW959" s="210"/>
      <c r="BX959" s="210"/>
      <c r="BY959" s="210"/>
      <c r="BZ959" s="210"/>
      <c r="CA959" s="210"/>
      <c r="CB959" s="210"/>
      <c r="CC959" s="210"/>
      <c r="CD959" s="210"/>
      <c r="CE959" s="210"/>
      <c r="CF959" s="210"/>
      <c r="CG959" s="210"/>
      <c r="CH959" s="210"/>
      <c r="CI959" s="210"/>
      <c r="CJ959" s="210"/>
      <c r="CK959" s="210"/>
    </row>
    <row r="960">
      <c r="A960" s="220"/>
      <c r="F960" s="190"/>
      <c r="G960" s="190"/>
      <c r="L960" s="220"/>
      <c r="M960" s="22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4"/>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c r="BU960" s="210"/>
      <c r="BV960" s="210"/>
      <c r="BW960" s="210"/>
      <c r="BX960" s="210"/>
      <c r="BY960" s="210"/>
      <c r="BZ960" s="210"/>
      <c r="CA960" s="210"/>
      <c r="CB960" s="210"/>
      <c r="CC960" s="210"/>
      <c r="CD960" s="210"/>
      <c r="CE960" s="210"/>
      <c r="CF960" s="210"/>
      <c r="CG960" s="210"/>
      <c r="CH960" s="210"/>
      <c r="CI960" s="210"/>
      <c r="CJ960" s="210"/>
      <c r="CK960" s="210"/>
    </row>
    <row r="961">
      <c r="A961" s="220"/>
      <c r="F961" s="190"/>
      <c r="G961" s="190"/>
      <c r="L961" s="220"/>
      <c r="M961" s="22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4"/>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c r="BU961" s="210"/>
      <c r="BV961" s="210"/>
      <c r="BW961" s="210"/>
      <c r="BX961" s="210"/>
      <c r="BY961" s="210"/>
      <c r="BZ961" s="210"/>
      <c r="CA961" s="210"/>
      <c r="CB961" s="210"/>
      <c r="CC961" s="210"/>
      <c r="CD961" s="210"/>
      <c r="CE961" s="210"/>
      <c r="CF961" s="210"/>
      <c r="CG961" s="210"/>
      <c r="CH961" s="210"/>
      <c r="CI961" s="210"/>
      <c r="CJ961" s="210"/>
      <c r="CK961" s="210"/>
    </row>
    <row r="962">
      <c r="A962" s="220"/>
      <c r="F962" s="190"/>
      <c r="G962" s="190"/>
      <c r="L962" s="220"/>
      <c r="M962" s="22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4"/>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c r="BU962" s="210"/>
      <c r="BV962" s="210"/>
      <c r="BW962" s="210"/>
      <c r="BX962" s="210"/>
      <c r="BY962" s="210"/>
      <c r="BZ962" s="210"/>
      <c r="CA962" s="210"/>
      <c r="CB962" s="210"/>
      <c r="CC962" s="210"/>
      <c r="CD962" s="210"/>
      <c r="CE962" s="210"/>
      <c r="CF962" s="210"/>
      <c r="CG962" s="210"/>
      <c r="CH962" s="210"/>
      <c r="CI962" s="210"/>
      <c r="CJ962" s="210"/>
      <c r="CK962" s="210"/>
    </row>
    <row r="963">
      <c r="A963" s="220"/>
      <c r="F963" s="190"/>
      <c r="G963" s="190"/>
      <c r="L963" s="220"/>
      <c r="M963" s="22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4"/>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c r="BU963" s="210"/>
      <c r="BV963" s="210"/>
      <c r="BW963" s="210"/>
      <c r="BX963" s="210"/>
      <c r="BY963" s="210"/>
      <c r="BZ963" s="210"/>
      <c r="CA963" s="210"/>
      <c r="CB963" s="210"/>
      <c r="CC963" s="210"/>
      <c r="CD963" s="210"/>
      <c r="CE963" s="210"/>
      <c r="CF963" s="210"/>
      <c r="CG963" s="210"/>
      <c r="CH963" s="210"/>
      <c r="CI963" s="210"/>
      <c r="CJ963" s="210"/>
      <c r="CK963" s="210"/>
    </row>
    <row r="964">
      <c r="A964" s="220"/>
      <c r="F964" s="190"/>
      <c r="G964" s="190"/>
      <c r="L964" s="220"/>
      <c r="M964" s="22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4"/>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c r="BU964" s="210"/>
      <c r="BV964" s="210"/>
      <c r="BW964" s="210"/>
      <c r="BX964" s="210"/>
      <c r="BY964" s="210"/>
      <c r="BZ964" s="210"/>
      <c r="CA964" s="210"/>
      <c r="CB964" s="210"/>
      <c r="CC964" s="210"/>
      <c r="CD964" s="210"/>
      <c r="CE964" s="210"/>
      <c r="CF964" s="210"/>
      <c r="CG964" s="210"/>
      <c r="CH964" s="210"/>
      <c r="CI964" s="210"/>
      <c r="CJ964" s="210"/>
      <c r="CK964" s="210"/>
    </row>
    <row r="965">
      <c r="A965" s="220"/>
      <c r="F965" s="190"/>
      <c r="G965" s="190"/>
      <c r="L965" s="220"/>
      <c r="M965" s="22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4"/>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c r="BU965" s="210"/>
      <c r="BV965" s="210"/>
      <c r="BW965" s="210"/>
      <c r="BX965" s="210"/>
      <c r="BY965" s="210"/>
      <c r="BZ965" s="210"/>
      <c r="CA965" s="210"/>
      <c r="CB965" s="210"/>
      <c r="CC965" s="210"/>
      <c r="CD965" s="210"/>
      <c r="CE965" s="210"/>
      <c r="CF965" s="210"/>
      <c r="CG965" s="210"/>
      <c r="CH965" s="210"/>
      <c r="CI965" s="210"/>
      <c r="CJ965" s="210"/>
      <c r="CK965" s="210"/>
    </row>
    <row r="966">
      <c r="A966" s="220"/>
      <c r="F966" s="190"/>
      <c r="G966" s="190"/>
      <c r="L966" s="220"/>
      <c r="M966" s="22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4"/>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c r="BU966" s="210"/>
      <c r="BV966" s="210"/>
      <c r="BW966" s="210"/>
      <c r="BX966" s="210"/>
      <c r="BY966" s="210"/>
      <c r="BZ966" s="210"/>
      <c r="CA966" s="210"/>
      <c r="CB966" s="210"/>
      <c r="CC966" s="210"/>
      <c r="CD966" s="210"/>
      <c r="CE966" s="210"/>
      <c r="CF966" s="210"/>
      <c r="CG966" s="210"/>
      <c r="CH966" s="210"/>
      <c r="CI966" s="210"/>
      <c r="CJ966" s="210"/>
      <c r="CK966" s="210"/>
    </row>
    <row r="967">
      <c r="A967" s="220"/>
      <c r="F967" s="190"/>
      <c r="G967" s="190"/>
      <c r="L967" s="220"/>
      <c r="M967" s="22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4"/>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c r="BU967" s="210"/>
      <c r="BV967" s="210"/>
      <c r="BW967" s="210"/>
      <c r="BX967" s="210"/>
      <c r="BY967" s="210"/>
      <c r="BZ967" s="210"/>
      <c r="CA967" s="210"/>
      <c r="CB967" s="210"/>
      <c r="CC967" s="210"/>
      <c r="CD967" s="210"/>
      <c r="CE967" s="210"/>
      <c r="CF967" s="210"/>
      <c r="CG967" s="210"/>
      <c r="CH967" s="210"/>
      <c r="CI967" s="210"/>
      <c r="CJ967" s="210"/>
      <c r="CK967" s="210"/>
    </row>
    <row r="968">
      <c r="A968" s="220"/>
      <c r="F968" s="190"/>
      <c r="G968" s="190"/>
      <c r="L968" s="220"/>
      <c r="M968" s="22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4"/>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c r="BU968" s="210"/>
      <c r="BV968" s="210"/>
      <c r="BW968" s="210"/>
      <c r="BX968" s="210"/>
      <c r="BY968" s="210"/>
      <c r="BZ968" s="210"/>
      <c r="CA968" s="210"/>
      <c r="CB968" s="210"/>
      <c r="CC968" s="210"/>
      <c r="CD968" s="210"/>
      <c r="CE968" s="210"/>
      <c r="CF968" s="210"/>
      <c r="CG968" s="210"/>
      <c r="CH968" s="210"/>
      <c r="CI968" s="210"/>
      <c r="CJ968" s="210"/>
      <c r="CK968" s="210"/>
    </row>
    <row r="969">
      <c r="A969" s="220"/>
      <c r="F969" s="190"/>
      <c r="G969" s="190"/>
      <c r="L969" s="220"/>
      <c r="M969" s="22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4"/>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c r="BU969" s="210"/>
      <c r="BV969" s="210"/>
      <c r="BW969" s="210"/>
      <c r="BX969" s="210"/>
      <c r="BY969" s="210"/>
      <c r="BZ969" s="210"/>
      <c r="CA969" s="210"/>
      <c r="CB969" s="210"/>
      <c r="CC969" s="210"/>
      <c r="CD969" s="210"/>
      <c r="CE969" s="210"/>
      <c r="CF969" s="210"/>
      <c r="CG969" s="210"/>
      <c r="CH969" s="210"/>
      <c r="CI969" s="210"/>
      <c r="CJ969" s="210"/>
      <c r="CK969" s="210"/>
    </row>
    <row r="970">
      <c r="A970" s="220"/>
      <c r="F970" s="190"/>
      <c r="G970" s="190"/>
      <c r="L970" s="220"/>
      <c r="M970" s="22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4"/>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c r="BU970" s="210"/>
      <c r="BV970" s="210"/>
      <c r="BW970" s="210"/>
      <c r="BX970" s="210"/>
      <c r="BY970" s="210"/>
      <c r="BZ970" s="210"/>
      <c r="CA970" s="210"/>
      <c r="CB970" s="210"/>
      <c r="CC970" s="210"/>
      <c r="CD970" s="210"/>
      <c r="CE970" s="210"/>
      <c r="CF970" s="210"/>
      <c r="CG970" s="210"/>
      <c r="CH970" s="210"/>
      <c r="CI970" s="210"/>
      <c r="CJ970" s="210"/>
      <c r="CK970" s="210"/>
    </row>
    <row r="971">
      <c r="A971" s="220"/>
      <c r="F971" s="190"/>
      <c r="G971" s="190"/>
      <c r="L971" s="220"/>
      <c r="M971" s="22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4"/>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c r="BU971" s="210"/>
      <c r="BV971" s="210"/>
      <c r="BW971" s="210"/>
      <c r="BX971" s="210"/>
      <c r="BY971" s="210"/>
      <c r="BZ971" s="210"/>
      <c r="CA971" s="210"/>
      <c r="CB971" s="210"/>
      <c r="CC971" s="210"/>
      <c r="CD971" s="210"/>
      <c r="CE971" s="210"/>
      <c r="CF971" s="210"/>
      <c r="CG971" s="210"/>
      <c r="CH971" s="210"/>
      <c r="CI971" s="210"/>
      <c r="CJ971" s="210"/>
      <c r="CK971" s="210"/>
    </row>
    <row r="972">
      <c r="A972" s="220"/>
      <c r="F972" s="190"/>
      <c r="G972" s="190"/>
      <c r="L972" s="220"/>
      <c r="M972" s="22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4"/>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c r="BU972" s="210"/>
      <c r="BV972" s="210"/>
      <c r="BW972" s="210"/>
      <c r="BX972" s="210"/>
      <c r="BY972" s="210"/>
      <c r="BZ972" s="210"/>
      <c r="CA972" s="210"/>
      <c r="CB972" s="210"/>
      <c r="CC972" s="210"/>
      <c r="CD972" s="210"/>
      <c r="CE972" s="210"/>
      <c r="CF972" s="210"/>
      <c r="CG972" s="210"/>
      <c r="CH972" s="210"/>
      <c r="CI972" s="210"/>
      <c r="CJ972" s="210"/>
      <c r="CK972" s="210"/>
    </row>
    <row r="973">
      <c r="A973" s="220"/>
      <c r="F973" s="190"/>
      <c r="G973" s="190"/>
      <c r="L973" s="220"/>
      <c r="M973" s="22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4"/>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c r="BU973" s="210"/>
      <c r="BV973" s="210"/>
      <c r="BW973" s="210"/>
      <c r="BX973" s="210"/>
      <c r="BY973" s="210"/>
      <c r="BZ973" s="210"/>
      <c r="CA973" s="210"/>
      <c r="CB973" s="210"/>
      <c r="CC973" s="210"/>
      <c r="CD973" s="210"/>
      <c r="CE973" s="210"/>
      <c r="CF973" s="210"/>
      <c r="CG973" s="210"/>
      <c r="CH973" s="210"/>
      <c r="CI973" s="210"/>
      <c r="CJ973" s="210"/>
      <c r="CK973" s="210"/>
    </row>
    <row r="974">
      <c r="A974" s="220"/>
      <c r="F974" s="190"/>
      <c r="G974" s="190"/>
      <c r="L974" s="220"/>
      <c r="M974" s="22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4"/>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c r="BU974" s="210"/>
      <c r="BV974" s="210"/>
      <c r="BW974" s="210"/>
      <c r="BX974" s="210"/>
      <c r="BY974" s="210"/>
      <c r="BZ974" s="210"/>
      <c r="CA974" s="210"/>
      <c r="CB974" s="210"/>
      <c r="CC974" s="210"/>
      <c r="CD974" s="210"/>
      <c r="CE974" s="210"/>
      <c r="CF974" s="210"/>
      <c r="CG974" s="210"/>
      <c r="CH974" s="210"/>
      <c r="CI974" s="210"/>
      <c r="CJ974" s="210"/>
      <c r="CK974" s="210"/>
    </row>
    <row r="975">
      <c r="A975" s="220"/>
      <c r="F975" s="190"/>
      <c r="G975" s="190"/>
      <c r="L975" s="220"/>
      <c r="M975" s="22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4"/>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c r="BU975" s="210"/>
      <c r="BV975" s="210"/>
      <c r="BW975" s="210"/>
      <c r="BX975" s="210"/>
      <c r="BY975" s="210"/>
      <c r="BZ975" s="210"/>
      <c r="CA975" s="210"/>
      <c r="CB975" s="210"/>
      <c r="CC975" s="210"/>
      <c r="CD975" s="210"/>
      <c r="CE975" s="210"/>
      <c r="CF975" s="210"/>
      <c r="CG975" s="210"/>
      <c r="CH975" s="210"/>
      <c r="CI975" s="210"/>
      <c r="CJ975" s="210"/>
      <c r="CK975" s="210"/>
    </row>
    <row r="976">
      <c r="A976" s="220"/>
      <c r="F976" s="190"/>
      <c r="G976" s="190"/>
      <c r="L976" s="220"/>
      <c r="M976" s="22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4"/>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c r="BU976" s="210"/>
      <c r="BV976" s="210"/>
      <c r="BW976" s="210"/>
      <c r="BX976" s="210"/>
      <c r="BY976" s="210"/>
      <c r="BZ976" s="210"/>
      <c r="CA976" s="210"/>
      <c r="CB976" s="210"/>
      <c r="CC976" s="210"/>
      <c r="CD976" s="210"/>
      <c r="CE976" s="210"/>
      <c r="CF976" s="210"/>
      <c r="CG976" s="210"/>
      <c r="CH976" s="210"/>
      <c r="CI976" s="210"/>
      <c r="CJ976" s="210"/>
      <c r="CK976" s="210"/>
    </row>
    <row r="977">
      <c r="A977" s="220"/>
      <c r="F977" s="190"/>
      <c r="G977" s="190"/>
      <c r="L977" s="220"/>
      <c r="M977" s="22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4"/>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c r="BU977" s="210"/>
      <c r="BV977" s="210"/>
      <c r="BW977" s="210"/>
      <c r="BX977" s="210"/>
      <c r="BY977" s="210"/>
      <c r="BZ977" s="210"/>
      <c r="CA977" s="210"/>
      <c r="CB977" s="210"/>
      <c r="CC977" s="210"/>
      <c r="CD977" s="210"/>
      <c r="CE977" s="210"/>
      <c r="CF977" s="210"/>
      <c r="CG977" s="210"/>
      <c r="CH977" s="210"/>
      <c r="CI977" s="210"/>
      <c r="CJ977" s="210"/>
      <c r="CK977" s="210"/>
    </row>
    <row r="978">
      <c r="A978" s="220"/>
      <c r="F978" s="190"/>
      <c r="G978" s="190"/>
      <c r="L978" s="220"/>
      <c r="M978" s="22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4"/>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c r="BU978" s="210"/>
      <c r="BV978" s="210"/>
      <c r="BW978" s="210"/>
      <c r="BX978" s="210"/>
      <c r="BY978" s="210"/>
      <c r="BZ978" s="210"/>
      <c r="CA978" s="210"/>
      <c r="CB978" s="210"/>
      <c r="CC978" s="210"/>
      <c r="CD978" s="210"/>
      <c r="CE978" s="210"/>
      <c r="CF978" s="210"/>
      <c r="CG978" s="210"/>
      <c r="CH978" s="210"/>
      <c r="CI978" s="210"/>
      <c r="CJ978" s="210"/>
      <c r="CK978" s="210"/>
    </row>
    <row r="979">
      <c r="A979" s="220"/>
      <c r="F979" s="190"/>
      <c r="G979" s="190"/>
      <c r="L979" s="220"/>
      <c r="M979" s="22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4"/>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c r="BU979" s="210"/>
      <c r="BV979" s="210"/>
      <c r="BW979" s="210"/>
      <c r="BX979" s="210"/>
      <c r="BY979" s="210"/>
      <c r="BZ979" s="210"/>
      <c r="CA979" s="210"/>
      <c r="CB979" s="210"/>
      <c r="CC979" s="210"/>
      <c r="CD979" s="210"/>
      <c r="CE979" s="210"/>
      <c r="CF979" s="210"/>
      <c r="CG979" s="210"/>
      <c r="CH979" s="210"/>
      <c r="CI979" s="210"/>
      <c r="CJ979" s="210"/>
      <c r="CK979" s="210"/>
    </row>
    <row r="980">
      <c r="A980" s="220"/>
      <c r="F980" s="190"/>
      <c r="G980" s="190"/>
      <c r="L980" s="220"/>
      <c r="M980" s="22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4"/>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c r="BU980" s="210"/>
      <c r="BV980" s="210"/>
      <c r="BW980" s="210"/>
      <c r="BX980" s="210"/>
      <c r="BY980" s="210"/>
      <c r="BZ980" s="210"/>
      <c r="CA980" s="210"/>
      <c r="CB980" s="210"/>
      <c r="CC980" s="210"/>
      <c r="CD980" s="210"/>
      <c r="CE980" s="210"/>
      <c r="CF980" s="210"/>
      <c r="CG980" s="210"/>
      <c r="CH980" s="210"/>
      <c r="CI980" s="210"/>
      <c r="CJ980" s="210"/>
      <c r="CK980" s="210"/>
    </row>
    <row r="981">
      <c r="A981" s="220"/>
      <c r="F981" s="190"/>
      <c r="G981" s="190"/>
      <c r="L981" s="220"/>
      <c r="M981" s="22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4"/>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c r="BU981" s="210"/>
      <c r="BV981" s="210"/>
      <c r="BW981" s="210"/>
      <c r="BX981" s="210"/>
      <c r="BY981" s="210"/>
      <c r="BZ981" s="210"/>
      <c r="CA981" s="210"/>
      <c r="CB981" s="210"/>
      <c r="CC981" s="210"/>
      <c r="CD981" s="210"/>
      <c r="CE981" s="210"/>
      <c r="CF981" s="210"/>
      <c r="CG981" s="210"/>
      <c r="CH981" s="210"/>
      <c r="CI981" s="210"/>
      <c r="CJ981" s="210"/>
      <c r="CK981" s="210"/>
    </row>
    <row r="982">
      <c r="A982" s="220"/>
      <c r="F982" s="190"/>
      <c r="G982" s="190"/>
      <c r="L982" s="220"/>
      <c r="M982" s="22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4"/>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c r="BU982" s="210"/>
      <c r="BV982" s="210"/>
      <c r="BW982" s="210"/>
      <c r="BX982" s="210"/>
      <c r="BY982" s="210"/>
      <c r="BZ982" s="210"/>
      <c r="CA982" s="210"/>
      <c r="CB982" s="210"/>
      <c r="CC982" s="210"/>
      <c r="CD982" s="210"/>
      <c r="CE982" s="210"/>
      <c r="CF982" s="210"/>
      <c r="CG982" s="210"/>
      <c r="CH982" s="210"/>
      <c r="CI982" s="210"/>
      <c r="CJ982" s="210"/>
      <c r="CK982" s="210"/>
    </row>
    <row r="983">
      <c r="A983" s="220"/>
      <c r="F983" s="190"/>
      <c r="G983" s="190"/>
      <c r="L983" s="220"/>
      <c r="M983" s="22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M983" s="214"/>
      <c r="AN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c r="BU983" s="210"/>
      <c r="BV983" s="210"/>
      <c r="BW983" s="210"/>
      <c r="BX983" s="210"/>
      <c r="BY983" s="210"/>
      <c r="BZ983" s="210"/>
      <c r="CA983" s="210"/>
      <c r="CB983" s="210"/>
      <c r="CC983" s="210"/>
      <c r="CD983" s="210"/>
      <c r="CE983" s="210"/>
      <c r="CF983" s="210"/>
      <c r="CG983" s="210"/>
      <c r="CH983" s="210"/>
      <c r="CI983" s="210"/>
      <c r="CJ983" s="210"/>
      <c r="CK983" s="210"/>
    </row>
    <row r="984">
      <c r="A984" s="220"/>
      <c r="F984" s="190"/>
      <c r="G984" s="190"/>
      <c r="L984" s="220"/>
      <c r="M984" s="22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M984" s="214"/>
      <c r="AN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c r="BU984" s="210"/>
      <c r="BV984" s="210"/>
      <c r="BW984" s="210"/>
      <c r="BX984" s="210"/>
      <c r="BY984" s="210"/>
      <c r="BZ984" s="210"/>
      <c r="CA984" s="210"/>
      <c r="CB984" s="210"/>
      <c r="CC984" s="210"/>
      <c r="CD984" s="210"/>
      <c r="CE984" s="210"/>
      <c r="CF984" s="210"/>
      <c r="CG984" s="210"/>
      <c r="CH984" s="210"/>
      <c r="CI984" s="210"/>
      <c r="CJ984" s="210"/>
      <c r="CK984" s="210"/>
    </row>
    <row r="985">
      <c r="A985" s="220"/>
      <c r="F985" s="190"/>
      <c r="G985" s="190"/>
      <c r="L985" s="220"/>
      <c r="M985" s="22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M985" s="214"/>
      <c r="AN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c r="BU985" s="210"/>
      <c r="BV985" s="210"/>
      <c r="BW985" s="210"/>
      <c r="BX985" s="210"/>
      <c r="BY985" s="210"/>
      <c r="BZ985" s="210"/>
      <c r="CA985" s="210"/>
      <c r="CB985" s="210"/>
      <c r="CC985" s="210"/>
      <c r="CD985" s="210"/>
      <c r="CE985" s="210"/>
      <c r="CF985" s="210"/>
      <c r="CG985" s="210"/>
      <c r="CH985" s="210"/>
      <c r="CI985" s="210"/>
      <c r="CJ985" s="210"/>
      <c r="CK985" s="210"/>
    </row>
    <row r="986">
      <c r="A986" s="220"/>
      <c r="F986" s="190"/>
      <c r="G986" s="190"/>
      <c r="L986" s="220"/>
      <c r="M986" s="22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M986" s="214"/>
      <c r="AN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c r="BU986" s="210"/>
      <c r="BV986" s="210"/>
      <c r="BW986" s="210"/>
      <c r="BX986" s="210"/>
      <c r="BY986" s="210"/>
      <c r="BZ986" s="210"/>
      <c r="CA986" s="210"/>
      <c r="CB986" s="210"/>
      <c r="CC986" s="210"/>
      <c r="CD986" s="210"/>
      <c r="CE986" s="210"/>
      <c r="CF986" s="210"/>
      <c r="CG986" s="210"/>
      <c r="CH986" s="210"/>
      <c r="CI986" s="210"/>
      <c r="CJ986" s="210"/>
      <c r="CK986" s="210"/>
    </row>
    <row r="987">
      <c r="A987" s="220"/>
      <c r="F987" s="190"/>
      <c r="G987" s="190"/>
      <c r="L987" s="220"/>
      <c r="M987" s="22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M987" s="214"/>
      <c r="AN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c r="BU987" s="210"/>
      <c r="BV987" s="210"/>
      <c r="BW987" s="210"/>
      <c r="BX987" s="210"/>
      <c r="BY987" s="210"/>
      <c r="BZ987" s="210"/>
      <c r="CA987" s="210"/>
      <c r="CB987" s="210"/>
      <c r="CC987" s="210"/>
      <c r="CD987" s="210"/>
      <c r="CE987" s="210"/>
      <c r="CF987" s="210"/>
      <c r="CG987" s="210"/>
      <c r="CH987" s="210"/>
      <c r="CI987" s="210"/>
      <c r="CJ987" s="210"/>
      <c r="CK987" s="210"/>
    </row>
    <row r="988">
      <c r="A988" s="220"/>
      <c r="F988" s="190"/>
      <c r="G988" s="190"/>
      <c r="L988" s="220"/>
      <c r="M988" s="22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M988" s="214"/>
      <c r="AN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c r="BU988" s="210"/>
      <c r="BV988" s="210"/>
      <c r="BW988" s="210"/>
      <c r="BX988" s="210"/>
      <c r="BY988" s="210"/>
      <c r="BZ988" s="210"/>
      <c r="CA988" s="210"/>
      <c r="CB988" s="210"/>
      <c r="CC988" s="210"/>
      <c r="CD988" s="210"/>
      <c r="CE988" s="210"/>
      <c r="CF988" s="210"/>
      <c r="CG988" s="210"/>
      <c r="CH988" s="210"/>
      <c r="CI988" s="210"/>
      <c r="CJ988" s="210"/>
      <c r="CK988" s="210"/>
    </row>
    <row r="989">
      <c r="A989" s="220"/>
      <c r="F989" s="190"/>
      <c r="G989" s="190"/>
      <c r="L989" s="220"/>
      <c r="M989" s="22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M989" s="214"/>
      <c r="AN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c r="BU989" s="210"/>
      <c r="BV989" s="210"/>
      <c r="BW989" s="210"/>
      <c r="BX989" s="210"/>
      <c r="BY989" s="210"/>
      <c r="BZ989" s="210"/>
      <c r="CA989" s="210"/>
      <c r="CB989" s="210"/>
      <c r="CC989" s="210"/>
      <c r="CD989" s="210"/>
      <c r="CE989" s="210"/>
      <c r="CF989" s="210"/>
      <c r="CG989" s="210"/>
      <c r="CH989" s="210"/>
      <c r="CI989" s="210"/>
      <c r="CJ989" s="210"/>
      <c r="CK989" s="210"/>
    </row>
    <row r="990">
      <c r="A990" s="220"/>
      <c r="F990" s="190"/>
      <c r="G990" s="190"/>
      <c r="L990" s="220"/>
      <c r="M990" s="22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M990" s="214"/>
      <c r="AN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c r="BU990" s="210"/>
      <c r="BV990" s="210"/>
      <c r="BW990" s="210"/>
      <c r="BX990" s="210"/>
      <c r="BY990" s="210"/>
      <c r="BZ990" s="210"/>
      <c r="CA990" s="210"/>
      <c r="CB990" s="210"/>
      <c r="CC990" s="210"/>
      <c r="CD990" s="210"/>
      <c r="CE990" s="210"/>
      <c r="CF990" s="210"/>
      <c r="CG990" s="210"/>
      <c r="CH990" s="210"/>
      <c r="CI990" s="210"/>
      <c r="CJ990" s="210"/>
      <c r="CK990" s="210"/>
    </row>
    <row r="991">
      <c r="A991" s="220"/>
      <c r="F991" s="190"/>
      <c r="G991" s="190"/>
      <c r="L991" s="220"/>
      <c r="M991" s="22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M991" s="214"/>
      <c r="AN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c r="BU991" s="210"/>
      <c r="BV991" s="210"/>
      <c r="BW991" s="210"/>
      <c r="BX991" s="210"/>
      <c r="BY991" s="210"/>
      <c r="BZ991" s="210"/>
      <c r="CA991" s="210"/>
      <c r="CB991" s="210"/>
      <c r="CC991" s="210"/>
      <c r="CD991" s="210"/>
      <c r="CE991" s="210"/>
      <c r="CF991" s="210"/>
      <c r="CG991" s="210"/>
      <c r="CH991" s="210"/>
      <c r="CI991" s="210"/>
      <c r="CJ991" s="210"/>
      <c r="CK991" s="210"/>
    </row>
    <row r="992">
      <c r="A992" s="220"/>
      <c r="F992" s="190"/>
      <c r="G992" s="190"/>
      <c r="L992" s="220"/>
      <c r="M992" s="22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M992" s="214"/>
      <c r="AN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c r="BU992" s="210"/>
      <c r="BV992" s="210"/>
      <c r="BW992" s="210"/>
      <c r="BX992" s="210"/>
      <c r="BY992" s="210"/>
      <c r="BZ992" s="210"/>
      <c r="CA992" s="210"/>
      <c r="CB992" s="210"/>
      <c r="CC992" s="210"/>
      <c r="CD992" s="210"/>
      <c r="CE992" s="210"/>
      <c r="CF992" s="210"/>
      <c r="CG992" s="210"/>
      <c r="CH992" s="210"/>
      <c r="CI992" s="210"/>
      <c r="CJ992" s="210"/>
      <c r="CK992" s="210"/>
    </row>
    <row r="993">
      <c r="A993" s="220"/>
      <c r="F993" s="190"/>
      <c r="G993" s="190"/>
      <c r="L993" s="220"/>
      <c r="M993" s="22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M993" s="214"/>
      <c r="AN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c r="BU993" s="210"/>
      <c r="BV993" s="210"/>
      <c r="BW993" s="210"/>
      <c r="BX993" s="210"/>
      <c r="BY993" s="210"/>
      <c r="BZ993" s="210"/>
      <c r="CA993" s="210"/>
      <c r="CB993" s="210"/>
      <c r="CC993" s="210"/>
      <c r="CD993" s="210"/>
      <c r="CE993" s="210"/>
      <c r="CF993" s="210"/>
      <c r="CG993" s="210"/>
      <c r="CH993" s="210"/>
      <c r="CI993" s="210"/>
      <c r="CJ993" s="210"/>
      <c r="CK993" s="210"/>
    </row>
    <row r="994">
      <c r="A994" s="220"/>
      <c r="F994" s="190"/>
      <c r="G994" s="190"/>
      <c r="L994" s="220"/>
      <c r="M994" s="22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M994" s="214"/>
      <c r="AN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c r="BU994" s="210"/>
      <c r="BV994" s="210"/>
      <c r="BW994" s="210"/>
      <c r="BX994" s="210"/>
      <c r="BY994" s="210"/>
      <c r="BZ994" s="210"/>
      <c r="CA994" s="210"/>
      <c r="CB994" s="210"/>
      <c r="CC994" s="210"/>
      <c r="CD994" s="210"/>
      <c r="CE994" s="210"/>
      <c r="CF994" s="210"/>
      <c r="CG994" s="210"/>
      <c r="CH994" s="210"/>
      <c r="CI994" s="210"/>
      <c r="CJ994" s="210"/>
      <c r="CK994" s="210"/>
    </row>
    <row r="995">
      <c r="A995" s="220"/>
      <c r="F995" s="190"/>
      <c r="G995" s="190"/>
      <c r="L995" s="220"/>
      <c r="M995" s="22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M995" s="214"/>
      <c r="AN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c r="BU995" s="210"/>
      <c r="BV995" s="210"/>
      <c r="BW995" s="210"/>
      <c r="BX995" s="210"/>
      <c r="BY995" s="210"/>
      <c r="BZ995" s="210"/>
      <c r="CA995" s="210"/>
      <c r="CB995" s="210"/>
      <c r="CC995" s="210"/>
      <c r="CD995" s="210"/>
      <c r="CE995" s="210"/>
      <c r="CF995" s="210"/>
      <c r="CG995" s="210"/>
      <c r="CH995" s="210"/>
      <c r="CI995" s="210"/>
      <c r="CJ995" s="210"/>
      <c r="CK995" s="210"/>
    </row>
    <row r="996">
      <c r="A996" s="220"/>
      <c r="F996" s="190"/>
      <c r="G996" s="190"/>
      <c r="L996" s="220"/>
      <c r="M996" s="22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M996" s="214"/>
      <c r="AN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c r="BU996" s="210"/>
      <c r="BV996" s="210"/>
      <c r="BW996" s="210"/>
      <c r="BX996" s="210"/>
      <c r="BY996" s="210"/>
      <c r="BZ996" s="210"/>
      <c r="CA996" s="210"/>
      <c r="CB996" s="210"/>
      <c r="CC996" s="210"/>
      <c r="CD996" s="210"/>
      <c r="CE996" s="210"/>
      <c r="CF996" s="210"/>
      <c r="CG996" s="210"/>
      <c r="CH996" s="210"/>
      <c r="CI996" s="210"/>
      <c r="CJ996" s="210"/>
      <c r="CK996" s="210"/>
    </row>
    <row r="997">
      <c r="A997" s="220"/>
      <c r="F997" s="190"/>
      <c r="G997" s="190"/>
      <c r="L997" s="220"/>
      <c r="M997" s="22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M997" s="214"/>
      <c r="AN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c r="BU997" s="210"/>
      <c r="BV997" s="210"/>
      <c r="BW997" s="210"/>
      <c r="BX997" s="210"/>
      <c r="BY997" s="210"/>
      <c r="BZ997" s="210"/>
      <c r="CA997" s="210"/>
      <c r="CB997" s="210"/>
      <c r="CC997" s="210"/>
      <c r="CD997" s="210"/>
      <c r="CE997" s="210"/>
      <c r="CF997" s="210"/>
      <c r="CG997" s="210"/>
      <c r="CH997" s="210"/>
      <c r="CI997" s="210"/>
      <c r="CJ997" s="210"/>
      <c r="CK997" s="210"/>
    </row>
    <row r="998">
      <c r="A998" s="220"/>
      <c r="F998" s="190"/>
      <c r="G998" s="190"/>
      <c r="L998" s="220"/>
      <c r="M998" s="22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M998" s="214"/>
      <c r="AN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c r="BU998" s="210"/>
      <c r="BV998" s="210"/>
      <c r="BW998" s="210"/>
      <c r="BX998" s="210"/>
      <c r="BY998" s="210"/>
      <c r="BZ998" s="210"/>
      <c r="CA998" s="210"/>
      <c r="CB998" s="210"/>
      <c r="CC998" s="210"/>
      <c r="CD998" s="210"/>
      <c r="CE998" s="210"/>
      <c r="CF998" s="210"/>
      <c r="CG998" s="210"/>
      <c r="CH998" s="210"/>
      <c r="CI998" s="210"/>
      <c r="CJ998" s="210"/>
      <c r="CK998" s="210"/>
    </row>
    <row r="999">
      <c r="A999" s="220"/>
      <c r="F999" s="190"/>
      <c r="G999" s="190"/>
      <c r="L999" s="220"/>
      <c r="M999" s="22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M999" s="214"/>
      <c r="AN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c r="BU999" s="210"/>
      <c r="BV999" s="210"/>
      <c r="BW999" s="210"/>
      <c r="BX999" s="210"/>
      <c r="BY999" s="210"/>
      <c r="BZ999" s="210"/>
      <c r="CA999" s="210"/>
      <c r="CB999" s="210"/>
      <c r="CC999" s="210"/>
      <c r="CD999" s="210"/>
      <c r="CE999" s="210"/>
      <c r="CF999" s="210"/>
      <c r="CG999" s="210"/>
      <c r="CH999" s="210"/>
      <c r="CI999" s="210"/>
      <c r="CJ999" s="210"/>
      <c r="CK999" s="210"/>
    </row>
    <row r="1000">
      <c r="A1000" s="220"/>
      <c r="F1000" s="190"/>
      <c r="G1000" s="190"/>
      <c r="L1000" s="220"/>
      <c r="M1000" s="22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M1000" s="214"/>
      <c r="AN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c r="BU1000" s="210"/>
      <c r="BV1000" s="210"/>
      <c r="BW1000" s="210"/>
      <c r="BX1000" s="210"/>
      <c r="BY1000" s="210"/>
      <c r="BZ1000" s="210"/>
      <c r="CA1000" s="210"/>
      <c r="CB1000" s="210"/>
      <c r="CC1000" s="210"/>
      <c r="CD1000" s="210"/>
      <c r="CE1000" s="210"/>
      <c r="CF1000" s="210"/>
      <c r="CG1000" s="210"/>
      <c r="CH1000" s="210"/>
      <c r="CI1000" s="210"/>
      <c r="CJ1000" s="210"/>
      <c r="CK1000" s="210"/>
    </row>
    <row r="1001">
      <c r="A1001" s="220"/>
      <c r="F1001" s="190"/>
      <c r="G1001" s="190"/>
      <c r="L1001" s="220"/>
      <c r="M1001" s="22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M1001" s="214"/>
      <c r="AN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c r="BU1001" s="210"/>
      <c r="BV1001" s="210"/>
      <c r="BW1001" s="210"/>
      <c r="BX1001" s="210"/>
      <c r="BY1001" s="210"/>
      <c r="BZ1001" s="210"/>
      <c r="CA1001" s="210"/>
      <c r="CB1001" s="210"/>
      <c r="CC1001" s="210"/>
      <c r="CD1001" s="210"/>
      <c r="CE1001" s="210"/>
      <c r="CF1001" s="210"/>
      <c r="CG1001" s="210"/>
      <c r="CH1001" s="210"/>
      <c r="CI1001" s="210"/>
      <c r="CJ1001" s="210"/>
      <c r="CK1001" s="210"/>
    </row>
    <row r="1002">
      <c r="A1002" s="220"/>
      <c r="F1002" s="190"/>
      <c r="G1002" s="190"/>
      <c r="L1002" s="220"/>
      <c r="M1002" s="22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M1002" s="214"/>
      <c r="AN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c r="BU1002" s="210"/>
      <c r="BV1002" s="210"/>
      <c r="BW1002" s="210"/>
      <c r="BX1002" s="210"/>
      <c r="BY1002" s="210"/>
      <c r="BZ1002" s="210"/>
      <c r="CA1002" s="210"/>
      <c r="CB1002" s="210"/>
      <c r="CC1002" s="210"/>
      <c r="CD1002" s="210"/>
      <c r="CE1002" s="210"/>
      <c r="CF1002" s="210"/>
      <c r="CG1002" s="210"/>
      <c r="CH1002" s="210"/>
      <c r="CI1002" s="210"/>
      <c r="CJ1002" s="210"/>
      <c r="CK1002" s="210"/>
    </row>
    <row r="1003">
      <c r="A1003" s="220"/>
      <c r="F1003" s="190"/>
      <c r="G1003" s="190"/>
      <c r="L1003" s="220"/>
      <c r="M1003" s="22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M1003" s="214"/>
      <c r="AN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c r="BU1003" s="210"/>
      <c r="BV1003" s="210"/>
      <c r="BW1003" s="210"/>
      <c r="BX1003" s="210"/>
      <c r="BY1003" s="210"/>
      <c r="BZ1003" s="210"/>
      <c r="CA1003" s="210"/>
      <c r="CB1003" s="210"/>
      <c r="CC1003" s="210"/>
      <c r="CD1003" s="210"/>
      <c r="CE1003" s="210"/>
      <c r="CF1003" s="210"/>
      <c r="CG1003" s="210"/>
      <c r="CH1003" s="210"/>
      <c r="CI1003" s="210"/>
      <c r="CJ1003" s="210"/>
      <c r="CK1003" s="210"/>
    </row>
    <row r="1004">
      <c r="A1004" s="220"/>
      <c r="F1004" s="190"/>
      <c r="G1004" s="190"/>
      <c r="L1004" s="220"/>
      <c r="M1004" s="22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M1004" s="214"/>
      <c r="AN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c r="BU1004" s="210"/>
      <c r="BV1004" s="210"/>
      <c r="BW1004" s="210"/>
      <c r="BX1004" s="210"/>
      <c r="BY1004" s="210"/>
      <c r="BZ1004" s="210"/>
      <c r="CA1004" s="210"/>
      <c r="CB1004" s="210"/>
      <c r="CC1004" s="210"/>
      <c r="CD1004" s="210"/>
      <c r="CE1004" s="210"/>
      <c r="CF1004" s="210"/>
      <c r="CG1004" s="210"/>
      <c r="CH1004" s="210"/>
      <c r="CI1004" s="210"/>
      <c r="CJ1004" s="210"/>
      <c r="CK1004" s="210"/>
    </row>
    <row r="1005">
      <c r="A1005" s="220"/>
      <c r="F1005" s="190"/>
      <c r="G1005" s="190"/>
      <c r="L1005" s="220"/>
      <c r="M1005" s="22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M1005" s="214"/>
      <c r="AN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c r="BU1005" s="210"/>
      <c r="BV1005" s="210"/>
      <c r="BW1005" s="210"/>
      <c r="BX1005" s="210"/>
      <c r="BY1005" s="210"/>
      <c r="BZ1005" s="210"/>
      <c r="CA1005" s="210"/>
      <c r="CB1005" s="210"/>
      <c r="CC1005" s="210"/>
      <c r="CD1005" s="210"/>
      <c r="CE1005" s="210"/>
      <c r="CF1005" s="210"/>
      <c r="CG1005" s="210"/>
      <c r="CH1005" s="210"/>
      <c r="CI1005" s="210"/>
      <c r="CJ1005" s="210"/>
      <c r="CK1005" s="210"/>
    </row>
    <row r="1006">
      <c r="A1006" s="220"/>
      <c r="F1006" s="190"/>
      <c r="G1006" s="190"/>
      <c r="L1006" s="220"/>
      <c r="M1006" s="22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M1006" s="214"/>
      <c r="AN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c r="BU1006" s="210"/>
      <c r="BV1006" s="210"/>
      <c r="BW1006" s="210"/>
      <c r="BX1006" s="210"/>
      <c r="BY1006" s="210"/>
      <c r="BZ1006" s="210"/>
      <c r="CA1006" s="210"/>
      <c r="CB1006" s="210"/>
      <c r="CC1006" s="210"/>
      <c r="CD1006" s="210"/>
      <c r="CE1006" s="210"/>
      <c r="CF1006" s="210"/>
      <c r="CG1006" s="210"/>
      <c r="CH1006" s="210"/>
      <c r="CI1006" s="210"/>
      <c r="CJ1006" s="210"/>
      <c r="CK1006" s="210"/>
    </row>
    <row r="1007">
      <c r="A1007" s="220"/>
      <c r="F1007" s="190"/>
      <c r="G1007" s="190"/>
      <c r="L1007" s="220"/>
      <c r="M1007" s="22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M1007" s="214"/>
      <c r="AN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c r="BU1007" s="210"/>
      <c r="BV1007" s="210"/>
      <c r="BW1007" s="210"/>
      <c r="BX1007" s="210"/>
      <c r="BY1007" s="210"/>
      <c r="BZ1007" s="210"/>
      <c r="CA1007" s="210"/>
      <c r="CB1007" s="210"/>
      <c r="CC1007" s="210"/>
      <c r="CD1007" s="210"/>
      <c r="CE1007" s="210"/>
      <c r="CF1007" s="210"/>
      <c r="CG1007" s="210"/>
      <c r="CH1007" s="210"/>
      <c r="CI1007" s="210"/>
      <c r="CJ1007" s="210"/>
      <c r="CK1007" s="210"/>
    </row>
    <row r="1008">
      <c r="A1008" s="220"/>
      <c r="F1008" s="190"/>
      <c r="G1008" s="190"/>
      <c r="L1008" s="220"/>
      <c r="M1008" s="22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M1008" s="214"/>
      <c r="AN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c r="BU1008" s="210"/>
      <c r="BV1008" s="210"/>
      <c r="BW1008" s="210"/>
      <c r="BX1008" s="210"/>
      <c r="BY1008" s="210"/>
      <c r="BZ1008" s="210"/>
      <c r="CA1008" s="210"/>
      <c r="CB1008" s="210"/>
      <c r="CC1008" s="210"/>
      <c r="CD1008" s="210"/>
      <c r="CE1008" s="210"/>
      <c r="CF1008" s="210"/>
      <c r="CG1008" s="210"/>
      <c r="CH1008" s="210"/>
      <c r="CI1008" s="210"/>
      <c r="CJ1008" s="210"/>
      <c r="CK1008" s="210"/>
    </row>
    <row r="1009">
      <c r="A1009" s="220"/>
      <c r="F1009" s="190"/>
      <c r="G1009" s="190"/>
      <c r="L1009" s="220"/>
      <c r="M1009" s="22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M1009" s="214"/>
      <c r="AN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c r="BU1009" s="210"/>
      <c r="BV1009" s="210"/>
      <c r="BW1009" s="210"/>
      <c r="BX1009" s="210"/>
      <c r="BY1009" s="210"/>
      <c r="BZ1009" s="210"/>
      <c r="CA1009" s="210"/>
      <c r="CB1009" s="210"/>
      <c r="CC1009" s="210"/>
      <c r="CD1009" s="210"/>
      <c r="CE1009" s="210"/>
      <c r="CF1009" s="210"/>
      <c r="CG1009" s="210"/>
      <c r="CH1009" s="210"/>
      <c r="CI1009" s="210"/>
      <c r="CJ1009" s="210"/>
      <c r="CK1009" s="210"/>
    </row>
    <row r="1010">
      <c r="A1010" s="220"/>
      <c r="F1010" s="190"/>
      <c r="G1010" s="190"/>
      <c r="L1010" s="220"/>
      <c r="M1010" s="22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M1010" s="214"/>
      <c r="AN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c r="BU1010" s="210"/>
      <c r="BV1010" s="210"/>
      <c r="BW1010" s="210"/>
      <c r="BX1010" s="210"/>
      <c r="BY1010" s="210"/>
      <c r="BZ1010" s="210"/>
      <c r="CA1010" s="210"/>
      <c r="CB1010" s="210"/>
      <c r="CC1010" s="210"/>
      <c r="CD1010" s="210"/>
      <c r="CE1010" s="210"/>
      <c r="CF1010" s="210"/>
      <c r="CG1010" s="210"/>
      <c r="CH1010" s="210"/>
      <c r="CI1010" s="210"/>
      <c r="CJ1010" s="210"/>
      <c r="CK1010" s="210"/>
    </row>
    <row r="1011">
      <c r="A1011" s="220"/>
      <c r="F1011" s="190"/>
      <c r="G1011" s="190"/>
      <c r="L1011" s="220"/>
      <c r="M1011" s="22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M1011" s="214"/>
      <c r="AN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c r="BU1011" s="210"/>
      <c r="BV1011" s="210"/>
      <c r="BW1011" s="210"/>
      <c r="BX1011" s="210"/>
      <c r="BY1011" s="210"/>
      <c r="BZ1011" s="210"/>
      <c r="CA1011" s="210"/>
      <c r="CB1011" s="210"/>
      <c r="CC1011" s="210"/>
      <c r="CD1011" s="210"/>
      <c r="CE1011" s="210"/>
      <c r="CF1011" s="210"/>
      <c r="CG1011" s="210"/>
      <c r="CH1011" s="210"/>
      <c r="CI1011" s="210"/>
      <c r="CJ1011" s="210"/>
      <c r="CK1011" s="210"/>
    </row>
    <row r="1012">
      <c r="A1012" s="220"/>
      <c r="F1012" s="190"/>
      <c r="G1012" s="190"/>
      <c r="L1012" s="220"/>
      <c r="M1012" s="22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M1012" s="214"/>
      <c r="AN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c r="BU1012" s="210"/>
      <c r="BV1012" s="210"/>
      <c r="BW1012" s="210"/>
      <c r="BX1012" s="210"/>
      <c r="BY1012" s="210"/>
      <c r="BZ1012" s="210"/>
      <c r="CA1012" s="210"/>
      <c r="CB1012" s="210"/>
      <c r="CC1012" s="210"/>
      <c r="CD1012" s="210"/>
      <c r="CE1012" s="210"/>
      <c r="CF1012" s="210"/>
      <c r="CG1012" s="210"/>
      <c r="CH1012" s="210"/>
      <c r="CI1012" s="210"/>
      <c r="CJ1012" s="210"/>
      <c r="CK1012" s="210"/>
    </row>
    <row r="1013">
      <c r="A1013" s="220"/>
      <c r="F1013" s="190"/>
      <c r="G1013" s="190"/>
      <c r="L1013" s="220"/>
      <c r="M1013" s="22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M1013" s="214"/>
      <c r="AN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c r="BU1013" s="210"/>
      <c r="BV1013" s="210"/>
      <c r="BW1013" s="210"/>
      <c r="BX1013" s="210"/>
      <c r="BY1013" s="210"/>
      <c r="BZ1013" s="210"/>
      <c r="CA1013" s="210"/>
      <c r="CB1013" s="210"/>
      <c r="CC1013" s="210"/>
      <c r="CD1013" s="210"/>
      <c r="CE1013" s="210"/>
      <c r="CF1013" s="210"/>
      <c r="CG1013" s="210"/>
      <c r="CH1013" s="210"/>
      <c r="CI1013" s="210"/>
      <c r="CJ1013" s="210"/>
      <c r="CK1013" s="210"/>
    </row>
    <row r="1014">
      <c r="A1014" s="220"/>
      <c r="F1014" s="190"/>
      <c r="G1014" s="190"/>
      <c r="L1014" s="220"/>
      <c r="M1014" s="22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M1014" s="214"/>
      <c r="AN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c r="BU1014" s="210"/>
      <c r="BV1014" s="210"/>
      <c r="BW1014" s="210"/>
      <c r="BX1014" s="210"/>
      <c r="BY1014" s="210"/>
      <c r="BZ1014" s="210"/>
      <c r="CA1014" s="210"/>
      <c r="CB1014" s="210"/>
      <c r="CC1014" s="210"/>
      <c r="CD1014" s="210"/>
      <c r="CE1014" s="210"/>
      <c r="CF1014" s="210"/>
      <c r="CG1014" s="210"/>
      <c r="CH1014" s="210"/>
      <c r="CI1014" s="210"/>
      <c r="CJ1014" s="210"/>
      <c r="CK1014" s="210"/>
    </row>
    <row r="1015">
      <c r="A1015" s="220"/>
      <c r="F1015" s="190"/>
      <c r="G1015" s="190"/>
      <c r="L1015" s="220"/>
      <c r="M1015" s="22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M1015" s="214"/>
      <c r="AN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c r="BU1015" s="210"/>
      <c r="BV1015" s="210"/>
      <c r="BW1015" s="210"/>
      <c r="BX1015" s="210"/>
      <c r="BY1015" s="210"/>
      <c r="BZ1015" s="210"/>
      <c r="CA1015" s="210"/>
      <c r="CB1015" s="210"/>
      <c r="CC1015" s="210"/>
      <c r="CD1015" s="210"/>
      <c r="CE1015" s="210"/>
      <c r="CF1015" s="210"/>
      <c r="CG1015" s="210"/>
      <c r="CH1015" s="210"/>
      <c r="CI1015" s="210"/>
      <c r="CJ1015" s="210"/>
      <c r="CK1015" s="210"/>
    </row>
    <row r="1016">
      <c r="A1016" s="220"/>
      <c r="F1016" s="190"/>
      <c r="G1016" s="190"/>
      <c r="L1016" s="220"/>
      <c r="M1016" s="22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M1016" s="214"/>
      <c r="AN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c r="BU1016" s="210"/>
      <c r="BV1016" s="210"/>
      <c r="BW1016" s="210"/>
      <c r="BX1016" s="210"/>
      <c r="BY1016" s="210"/>
      <c r="BZ1016" s="210"/>
      <c r="CA1016" s="210"/>
      <c r="CB1016" s="210"/>
      <c r="CC1016" s="210"/>
      <c r="CD1016" s="210"/>
      <c r="CE1016" s="210"/>
      <c r="CF1016" s="210"/>
      <c r="CG1016" s="210"/>
      <c r="CH1016" s="210"/>
      <c r="CI1016" s="210"/>
      <c r="CJ1016" s="210"/>
      <c r="CK1016" s="210"/>
    </row>
    <row r="1017">
      <c r="A1017" s="220"/>
      <c r="F1017" s="190"/>
      <c r="G1017" s="190"/>
      <c r="L1017" s="220"/>
      <c r="M1017" s="22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M1017" s="214"/>
      <c r="AN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c r="BU1017" s="210"/>
      <c r="BV1017" s="210"/>
      <c r="BW1017" s="210"/>
      <c r="BX1017" s="210"/>
      <c r="BY1017" s="210"/>
      <c r="BZ1017" s="210"/>
      <c r="CA1017" s="210"/>
      <c r="CB1017" s="210"/>
      <c r="CC1017" s="210"/>
      <c r="CD1017" s="210"/>
      <c r="CE1017" s="210"/>
      <c r="CF1017" s="210"/>
      <c r="CG1017" s="210"/>
      <c r="CH1017" s="210"/>
      <c r="CI1017" s="210"/>
      <c r="CJ1017" s="210"/>
      <c r="CK1017" s="210"/>
    </row>
    <row r="1018">
      <c r="A1018" s="220"/>
      <c r="F1018" s="190"/>
      <c r="G1018" s="190"/>
      <c r="L1018" s="220"/>
      <c r="M1018" s="22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M1018" s="214"/>
      <c r="AN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c r="BU1018" s="210"/>
      <c r="BV1018" s="210"/>
      <c r="BW1018" s="210"/>
      <c r="BX1018" s="210"/>
      <c r="BY1018" s="210"/>
      <c r="BZ1018" s="210"/>
      <c r="CA1018" s="210"/>
      <c r="CB1018" s="210"/>
      <c r="CC1018" s="210"/>
      <c r="CD1018" s="210"/>
      <c r="CE1018" s="210"/>
      <c r="CF1018" s="210"/>
      <c r="CG1018" s="210"/>
      <c r="CH1018" s="210"/>
      <c r="CI1018" s="210"/>
      <c r="CJ1018" s="210"/>
      <c r="CK1018" s="210"/>
    </row>
    <row r="1019">
      <c r="A1019" s="220"/>
      <c r="F1019" s="190"/>
      <c r="G1019" s="190"/>
      <c r="L1019" s="220"/>
      <c r="M1019" s="22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M1019" s="214"/>
      <c r="AN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c r="BU1019" s="210"/>
      <c r="BV1019" s="210"/>
      <c r="BW1019" s="210"/>
      <c r="BX1019" s="210"/>
      <c r="BY1019" s="210"/>
      <c r="BZ1019" s="210"/>
      <c r="CA1019" s="210"/>
      <c r="CB1019" s="210"/>
      <c r="CC1019" s="210"/>
      <c r="CD1019" s="210"/>
      <c r="CE1019" s="210"/>
      <c r="CF1019" s="210"/>
      <c r="CG1019" s="210"/>
      <c r="CH1019" s="210"/>
      <c r="CI1019" s="210"/>
      <c r="CJ1019" s="210"/>
      <c r="CK1019" s="210"/>
    </row>
    <row r="1020">
      <c r="A1020" s="220"/>
      <c r="F1020" s="190"/>
      <c r="G1020" s="190"/>
      <c r="L1020" s="220"/>
      <c r="M1020" s="22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M1020" s="214"/>
      <c r="AN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c r="BU1020" s="210"/>
      <c r="BV1020" s="210"/>
      <c r="BW1020" s="210"/>
      <c r="BX1020" s="210"/>
      <c r="BY1020" s="210"/>
      <c r="BZ1020" s="210"/>
      <c r="CA1020" s="210"/>
      <c r="CB1020" s="210"/>
      <c r="CC1020" s="210"/>
      <c r="CD1020" s="210"/>
      <c r="CE1020" s="210"/>
      <c r="CF1020" s="210"/>
      <c r="CG1020" s="210"/>
      <c r="CH1020" s="210"/>
      <c r="CI1020" s="210"/>
      <c r="CJ1020" s="210"/>
      <c r="CK1020" s="210"/>
    </row>
    <row r="1021">
      <c r="A1021" s="220"/>
      <c r="F1021" s="190"/>
      <c r="G1021" s="190"/>
      <c r="L1021" s="220"/>
      <c r="M1021" s="22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M1021" s="214"/>
      <c r="AN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c r="BU1021" s="210"/>
      <c r="BV1021" s="210"/>
      <c r="BW1021" s="210"/>
      <c r="BX1021" s="210"/>
      <c r="BY1021" s="210"/>
      <c r="BZ1021" s="210"/>
      <c r="CA1021" s="210"/>
      <c r="CB1021" s="210"/>
      <c r="CC1021" s="210"/>
      <c r="CD1021" s="210"/>
      <c r="CE1021" s="210"/>
      <c r="CF1021" s="210"/>
      <c r="CG1021" s="210"/>
      <c r="CH1021" s="210"/>
      <c r="CI1021" s="210"/>
      <c r="CJ1021" s="210"/>
      <c r="CK1021" s="210"/>
    </row>
    <row r="1022">
      <c r="A1022" s="220"/>
      <c r="F1022" s="190"/>
      <c r="G1022" s="190"/>
      <c r="L1022" s="220"/>
      <c r="M1022" s="22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M1022" s="214"/>
      <c r="AN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c r="BU1022" s="210"/>
      <c r="BV1022" s="210"/>
      <c r="BW1022" s="210"/>
      <c r="BX1022" s="210"/>
      <c r="BY1022" s="210"/>
      <c r="BZ1022" s="210"/>
      <c r="CA1022" s="210"/>
      <c r="CB1022" s="210"/>
      <c r="CC1022" s="210"/>
      <c r="CD1022" s="210"/>
      <c r="CE1022" s="210"/>
      <c r="CF1022" s="210"/>
      <c r="CG1022" s="210"/>
      <c r="CH1022" s="210"/>
      <c r="CI1022" s="210"/>
      <c r="CJ1022" s="210"/>
      <c r="CK1022" s="210"/>
    </row>
    <row r="1023">
      <c r="A1023" s="220"/>
      <c r="F1023" s="190"/>
      <c r="G1023" s="190"/>
      <c r="L1023" s="220"/>
      <c r="M1023" s="22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M1023" s="214"/>
      <c r="AN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c r="BU1023" s="210"/>
      <c r="BV1023" s="210"/>
      <c r="BW1023" s="210"/>
      <c r="BX1023" s="210"/>
      <c r="BY1023" s="210"/>
      <c r="BZ1023" s="210"/>
      <c r="CA1023" s="210"/>
      <c r="CB1023" s="210"/>
      <c r="CC1023" s="210"/>
      <c r="CD1023" s="210"/>
      <c r="CE1023" s="210"/>
      <c r="CF1023" s="210"/>
      <c r="CG1023" s="210"/>
      <c r="CH1023" s="210"/>
      <c r="CI1023" s="210"/>
      <c r="CJ1023" s="210"/>
      <c r="CK1023" s="210"/>
    </row>
    <row r="1024">
      <c r="A1024" s="220"/>
      <c r="F1024" s="190"/>
      <c r="G1024" s="190"/>
      <c r="L1024" s="220"/>
      <c r="M1024" s="22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M1024" s="214"/>
      <c r="AN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c r="BU1024" s="210"/>
      <c r="BV1024" s="210"/>
      <c r="BW1024" s="210"/>
      <c r="BX1024" s="210"/>
      <c r="BY1024" s="210"/>
      <c r="BZ1024" s="210"/>
      <c r="CA1024" s="210"/>
      <c r="CB1024" s="210"/>
      <c r="CC1024" s="210"/>
      <c r="CD1024" s="210"/>
      <c r="CE1024" s="210"/>
      <c r="CF1024" s="210"/>
      <c r="CG1024" s="210"/>
      <c r="CH1024" s="210"/>
      <c r="CI1024" s="210"/>
      <c r="CJ1024" s="210"/>
      <c r="CK1024" s="210"/>
    </row>
    <row r="1025">
      <c r="A1025" s="220"/>
      <c r="F1025" s="190"/>
      <c r="G1025" s="190"/>
      <c r="L1025" s="220"/>
      <c r="M1025" s="22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M1025" s="214"/>
      <c r="AN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c r="BU1025" s="210"/>
      <c r="BV1025" s="210"/>
      <c r="BW1025" s="210"/>
      <c r="BX1025" s="210"/>
      <c r="BY1025" s="210"/>
      <c r="BZ1025" s="210"/>
      <c r="CA1025" s="210"/>
      <c r="CB1025" s="210"/>
      <c r="CC1025" s="210"/>
      <c r="CD1025" s="210"/>
      <c r="CE1025" s="210"/>
      <c r="CF1025" s="210"/>
      <c r="CG1025" s="210"/>
      <c r="CH1025" s="210"/>
      <c r="CI1025" s="210"/>
      <c r="CJ1025" s="210"/>
      <c r="CK1025" s="210"/>
    </row>
    <row r="1026">
      <c r="A1026" s="220"/>
      <c r="F1026" s="190"/>
      <c r="G1026" s="190"/>
      <c r="L1026" s="220"/>
      <c r="M1026" s="22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M1026" s="214"/>
      <c r="AN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c r="BU1026" s="210"/>
      <c r="BV1026" s="210"/>
      <c r="BW1026" s="210"/>
      <c r="BX1026" s="210"/>
      <c r="BY1026" s="210"/>
      <c r="BZ1026" s="210"/>
      <c r="CA1026" s="210"/>
      <c r="CB1026" s="210"/>
      <c r="CC1026" s="210"/>
      <c r="CD1026" s="210"/>
      <c r="CE1026" s="210"/>
      <c r="CF1026" s="210"/>
      <c r="CG1026" s="210"/>
      <c r="CH1026" s="210"/>
      <c r="CI1026" s="210"/>
      <c r="CJ1026" s="210"/>
      <c r="CK1026" s="210"/>
    </row>
    <row r="1027">
      <c r="A1027" s="220"/>
      <c r="F1027" s="190"/>
      <c r="G1027" s="190"/>
      <c r="L1027" s="220"/>
      <c r="M1027" s="22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M1027" s="214"/>
      <c r="AN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c r="BU1027" s="210"/>
      <c r="BV1027" s="210"/>
      <c r="BW1027" s="210"/>
      <c r="BX1027" s="210"/>
      <c r="BY1027" s="210"/>
      <c r="BZ1027" s="210"/>
      <c r="CA1027" s="210"/>
      <c r="CB1027" s="210"/>
      <c r="CC1027" s="210"/>
      <c r="CD1027" s="210"/>
      <c r="CE1027" s="210"/>
      <c r="CF1027" s="210"/>
      <c r="CG1027" s="210"/>
      <c r="CH1027" s="210"/>
      <c r="CI1027" s="210"/>
      <c r="CJ1027" s="210"/>
      <c r="CK1027" s="210"/>
    </row>
    <row r="1028">
      <c r="A1028" s="220"/>
      <c r="F1028" s="190"/>
      <c r="G1028" s="190"/>
      <c r="L1028" s="220"/>
      <c r="M1028" s="22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M1028" s="214"/>
      <c r="AN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c r="BU1028" s="210"/>
      <c r="BV1028" s="210"/>
      <c r="BW1028" s="210"/>
      <c r="BX1028" s="210"/>
      <c r="BY1028" s="210"/>
      <c r="BZ1028" s="210"/>
      <c r="CA1028" s="210"/>
      <c r="CB1028" s="210"/>
      <c r="CC1028" s="210"/>
      <c r="CD1028" s="210"/>
      <c r="CE1028" s="210"/>
      <c r="CF1028" s="210"/>
      <c r="CG1028" s="210"/>
      <c r="CH1028" s="210"/>
      <c r="CI1028" s="210"/>
      <c r="CJ1028" s="210"/>
      <c r="CK1028" s="210"/>
    </row>
    <row r="1029">
      <c r="A1029" s="220"/>
      <c r="F1029" s="190"/>
      <c r="G1029" s="190"/>
      <c r="L1029" s="220"/>
      <c r="M1029" s="22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M1029" s="214"/>
      <c r="AN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c r="BU1029" s="210"/>
      <c r="BV1029" s="210"/>
      <c r="BW1029" s="210"/>
      <c r="BX1029" s="210"/>
      <c r="BY1029" s="210"/>
      <c r="BZ1029" s="210"/>
      <c r="CA1029" s="210"/>
      <c r="CB1029" s="210"/>
      <c r="CC1029" s="210"/>
      <c r="CD1029" s="210"/>
      <c r="CE1029" s="210"/>
      <c r="CF1029" s="210"/>
      <c r="CG1029" s="210"/>
      <c r="CH1029" s="210"/>
      <c r="CI1029" s="210"/>
      <c r="CJ1029" s="210"/>
      <c r="CK1029" s="210"/>
    </row>
    <row r="1030">
      <c r="A1030" s="220"/>
      <c r="F1030" s="190"/>
      <c r="G1030" s="190"/>
      <c r="L1030" s="220"/>
      <c r="M1030" s="22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M1030" s="214"/>
      <c r="AN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c r="BU1030" s="210"/>
      <c r="BV1030" s="210"/>
      <c r="BW1030" s="210"/>
      <c r="BX1030" s="210"/>
      <c r="BY1030" s="210"/>
      <c r="BZ1030" s="210"/>
      <c r="CA1030" s="210"/>
      <c r="CB1030" s="210"/>
      <c r="CC1030" s="210"/>
      <c r="CD1030" s="210"/>
      <c r="CE1030" s="210"/>
      <c r="CF1030" s="210"/>
      <c r="CG1030" s="210"/>
      <c r="CH1030" s="210"/>
      <c r="CI1030" s="210"/>
      <c r="CJ1030" s="210"/>
      <c r="CK1030" s="210"/>
    </row>
    <row r="1031">
      <c r="A1031" s="220"/>
      <c r="F1031" s="190"/>
      <c r="G1031" s="190"/>
      <c r="L1031" s="220"/>
      <c r="M1031" s="22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M1031" s="214"/>
      <c r="AN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c r="BU1031" s="210"/>
      <c r="BV1031" s="210"/>
      <c r="BW1031" s="210"/>
      <c r="BX1031" s="210"/>
      <c r="BY1031" s="210"/>
      <c r="BZ1031" s="210"/>
      <c r="CA1031" s="210"/>
      <c r="CB1031" s="210"/>
      <c r="CC1031" s="210"/>
      <c r="CD1031" s="210"/>
      <c r="CE1031" s="210"/>
      <c r="CF1031" s="210"/>
      <c r="CG1031" s="210"/>
      <c r="CH1031" s="210"/>
      <c r="CI1031" s="210"/>
      <c r="CJ1031" s="210"/>
      <c r="CK1031" s="210"/>
    </row>
    <row r="1032">
      <c r="A1032" s="220"/>
      <c r="F1032" s="190"/>
      <c r="G1032" s="190"/>
      <c r="L1032" s="220"/>
      <c r="M1032" s="22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M1032" s="214"/>
      <c r="AN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c r="BU1032" s="210"/>
      <c r="BV1032" s="210"/>
      <c r="BW1032" s="210"/>
      <c r="BX1032" s="210"/>
      <c r="BY1032" s="210"/>
      <c r="BZ1032" s="210"/>
      <c r="CA1032" s="210"/>
      <c r="CB1032" s="210"/>
      <c r="CC1032" s="210"/>
      <c r="CD1032" s="210"/>
      <c r="CE1032" s="210"/>
      <c r="CF1032" s="210"/>
      <c r="CG1032" s="210"/>
      <c r="CH1032" s="210"/>
      <c r="CI1032" s="210"/>
      <c r="CJ1032" s="210"/>
      <c r="CK1032" s="210"/>
    </row>
    <row r="1033">
      <c r="A1033" s="220"/>
      <c r="F1033" s="190"/>
      <c r="G1033" s="190"/>
      <c r="L1033" s="220"/>
      <c r="M1033" s="22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M1033" s="214"/>
      <c r="AN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c r="BU1033" s="210"/>
      <c r="BV1033" s="210"/>
      <c r="BW1033" s="210"/>
      <c r="BX1033" s="210"/>
      <c r="BY1033" s="210"/>
      <c r="BZ1033" s="210"/>
      <c r="CA1033" s="210"/>
      <c r="CB1033" s="210"/>
      <c r="CC1033" s="210"/>
      <c r="CD1033" s="210"/>
      <c r="CE1033" s="210"/>
      <c r="CF1033" s="210"/>
      <c r="CG1033" s="210"/>
      <c r="CH1033" s="210"/>
      <c r="CI1033" s="210"/>
      <c r="CJ1033" s="210"/>
      <c r="CK1033" s="210"/>
    </row>
    <row r="1034">
      <c r="A1034" s="220"/>
      <c r="F1034" s="190"/>
      <c r="G1034" s="190"/>
      <c r="L1034" s="220"/>
      <c r="M1034" s="22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M1034" s="214"/>
      <c r="AN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c r="BU1034" s="210"/>
      <c r="BV1034" s="210"/>
      <c r="BW1034" s="210"/>
      <c r="BX1034" s="210"/>
      <c r="BY1034" s="210"/>
      <c r="BZ1034" s="210"/>
      <c r="CA1034" s="210"/>
      <c r="CB1034" s="210"/>
      <c r="CC1034" s="210"/>
      <c r="CD1034" s="210"/>
      <c r="CE1034" s="210"/>
      <c r="CF1034" s="210"/>
      <c r="CG1034" s="210"/>
      <c r="CH1034" s="210"/>
      <c r="CI1034" s="210"/>
      <c r="CJ1034" s="210"/>
      <c r="CK1034" s="210"/>
    </row>
    <row r="1035">
      <c r="A1035" s="220"/>
      <c r="F1035" s="190"/>
      <c r="G1035" s="190"/>
      <c r="L1035" s="220"/>
      <c r="M1035" s="22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M1035" s="214"/>
      <c r="AN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c r="BU1035" s="210"/>
      <c r="BV1035" s="210"/>
      <c r="BW1035" s="210"/>
      <c r="BX1035" s="210"/>
      <c r="BY1035" s="210"/>
      <c r="BZ1035" s="210"/>
      <c r="CA1035" s="210"/>
      <c r="CB1035" s="210"/>
      <c r="CC1035" s="210"/>
      <c r="CD1035" s="210"/>
      <c r="CE1035" s="210"/>
      <c r="CF1035" s="210"/>
      <c r="CG1035" s="210"/>
      <c r="CH1035" s="210"/>
      <c r="CI1035" s="210"/>
      <c r="CJ1035" s="210"/>
      <c r="CK1035" s="210"/>
    </row>
    <row r="1036">
      <c r="A1036" s="220"/>
      <c r="F1036" s="190"/>
      <c r="G1036" s="190"/>
      <c r="L1036" s="220"/>
      <c r="M1036" s="22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M1036" s="214"/>
      <c r="AN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c r="BU1036" s="210"/>
      <c r="BV1036" s="210"/>
      <c r="BW1036" s="210"/>
      <c r="BX1036" s="210"/>
      <c r="BY1036" s="210"/>
      <c r="BZ1036" s="210"/>
      <c r="CA1036" s="210"/>
      <c r="CB1036" s="210"/>
      <c r="CC1036" s="210"/>
      <c r="CD1036" s="210"/>
      <c r="CE1036" s="210"/>
      <c r="CF1036" s="210"/>
      <c r="CG1036" s="210"/>
      <c r="CH1036" s="210"/>
      <c r="CI1036" s="210"/>
      <c r="CJ1036" s="210"/>
      <c r="CK1036" s="210"/>
    </row>
    <row r="1037">
      <c r="A1037" s="220"/>
      <c r="F1037" s="190"/>
      <c r="G1037" s="190"/>
      <c r="L1037" s="220"/>
      <c r="M1037" s="22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M1037" s="214"/>
      <c r="AN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c r="BU1037" s="210"/>
      <c r="BV1037" s="210"/>
      <c r="BW1037" s="210"/>
      <c r="BX1037" s="210"/>
      <c r="BY1037" s="210"/>
      <c r="BZ1037" s="210"/>
      <c r="CA1037" s="210"/>
      <c r="CB1037" s="210"/>
      <c r="CC1037" s="210"/>
      <c r="CD1037" s="210"/>
      <c r="CE1037" s="210"/>
      <c r="CF1037" s="210"/>
      <c r="CG1037" s="210"/>
      <c r="CH1037" s="210"/>
      <c r="CI1037" s="210"/>
      <c r="CJ1037" s="210"/>
      <c r="CK1037" s="210"/>
    </row>
    <row r="1038">
      <c r="A1038" s="220"/>
      <c r="F1038" s="190"/>
      <c r="G1038" s="190"/>
      <c r="L1038" s="220"/>
      <c r="M1038" s="22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M1038" s="214"/>
      <c r="AN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c r="BU1038" s="210"/>
      <c r="BV1038" s="210"/>
      <c r="BW1038" s="210"/>
      <c r="BX1038" s="210"/>
      <c r="BY1038" s="210"/>
      <c r="BZ1038" s="210"/>
      <c r="CA1038" s="210"/>
      <c r="CB1038" s="210"/>
      <c r="CC1038" s="210"/>
      <c r="CD1038" s="210"/>
      <c r="CE1038" s="210"/>
      <c r="CF1038" s="210"/>
      <c r="CG1038" s="210"/>
      <c r="CH1038" s="210"/>
      <c r="CI1038" s="210"/>
      <c r="CJ1038" s="210"/>
      <c r="CK1038" s="210"/>
    </row>
    <row r="1039">
      <c r="A1039" s="220"/>
      <c r="F1039" s="190"/>
      <c r="G1039" s="190"/>
      <c r="L1039" s="220"/>
      <c r="M1039" s="22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M1039" s="214"/>
      <c r="AN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c r="BU1039" s="210"/>
      <c r="BV1039" s="210"/>
      <c r="BW1039" s="210"/>
      <c r="BX1039" s="210"/>
      <c r="BY1039" s="210"/>
      <c r="BZ1039" s="210"/>
      <c r="CA1039" s="210"/>
      <c r="CB1039" s="210"/>
      <c r="CC1039" s="210"/>
      <c r="CD1039" s="210"/>
      <c r="CE1039" s="210"/>
      <c r="CF1039" s="210"/>
      <c r="CG1039" s="210"/>
      <c r="CH1039" s="210"/>
      <c r="CI1039" s="210"/>
      <c r="CJ1039" s="210"/>
      <c r="CK1039" s="210"/>
    </row>
    <row r="1040">
      <c r="A1040" s="220"/>
      <c r="F1040" s="190"/>
      <c r="G1040" s="190"/>
      <c r="L1040" s="220"/>
      <c r="M1040" s="22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M1040" s="214"/>
      <c r="AN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c r="BU1040" s="210"/>
      <c r="BV1040" s="210"/>
      <c r="BW1040" s="210"/>
      <c r="BX1040" s="210"/>
      <c r="BY1040" s="210"/>
      <c r="BZ1040" s="210"/>
      <c r="CA1040" s="210"/>
      <c r="CB1040" s="210"/>
      <c r="CC1040" s="210"/>
      <c r="CD1040" s="210"/>
      <c r="CE1040" s="210"/>
      <c r="CF1040" s="210"/>
      <c r="CG1040" s="210"/>
      <c r="CH1040" s="210"/>
      <c r="CI1040" s="210"/>
      <c r="CJ1040" s="210"/>
      <c r="CK1040" s="210"/>
    </row>
    <row r="1041">
      <c r="A1041" s="220"/>
      <c r="F1041" s="190"/>
      <c r="G1041" s="190"/>
      <c r="L1041" s="220"/>
      <c r="M1041" s="22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M1041" s="214"/>
      <c r="AN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c r="BU1041" s="210"/>
      <c r="BV1041" s="210"/>
      <c r="BW1041" s="210"/>
      <c r="BX1041" s="210"/>
      <c r="BY1041" s="210"/>
      <c r="BZ1041" s="210"/>
      <c r="CA1041" s="210"/>
      <c r="CB1041" s="210"/>
      <c r="CC1041" s="210"/>
      <c r="CD1041" s="210"/>
      <c r="CE1041" s="210"/>
      <c r="CF1041" s="210"/>
      <c r="CG1041" s="210"/>
      <c r="CH1041" s="210"/>
      <c r="CI1041" s="210"/>
      <c r="CJ1041" s="210"/>
      <c r="CK1041" s="210"/>
    </row>
    <row r="1042">
      <c r="A1042" s="220"/>
      <c r="F1042" s="190"/>
      <c r="G1042" s="190"/>
      <c r="L1042" s="220"/>
      <c r="M1042" s="22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M1042" s="214"/>
      <c r="AN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c r="BU1042" s="210"/>
      <c r="BV1042" s="210"/>
      <c r="BW1042" s="210"/>
      <c r="BX1042" s="210"/>
      <c r="BY1042" s="210"/>
      <c r="BZ1042" s="210"/>
      <c r="CA1042" s="210"/>
      <c r="CB1042" s="210"/>
      <c r="CC1042" s="210"/>
      <c r="CD1042" s="210"/>
      <c r="CE1042" s="210"/>
      <c r="CF1042" s="210"/>
      <c r="CG1042" s="210"/>
      <c r="CH1042" s="210"/>
      <c r="CI1042" s="210"/>
      <c r="CJ1042" s="210"/>
      <c r="CK1042" s="210"/>
    </row>
    <row r="1043">
      <c r="A1043" s="220"/>
      <c r="F1043" s="190"/>
      <c r="G1043" s="190"/>
      <c r="L1043" s="220"/>
      <c r="M1043" s="22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M1043" s="214"/>
      <c r="AN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c r="BU1043" s="210"/>
      <c r="BV1043" s="210"/>
      <c r="BW1043" s="210"/>
      <c r="BX1043" s="210"/>
      <c r="BY1043" s="210"/>
      <c r="BZ1043" s="210"/>
      <c r="CA1043" s="210"/>
      <c r="CB1043" s="210"/>
      <c r="CC1043" s="210"/>
      <c r="CD1043" s="210"/>
      <c r="CE1043" s="210"/>
      <c r="CF1043" s="210"/>
      <c r="CG1043" s="210"/>
      <c r="CH1043" s="210"/>
      <c r="CI1043" s="210"/>
      <c r="CJ1043" s="210"/>
      <c r="CK1043" s="210"/>
    </row>
    <row r="1044">
      <c r="A1044" s="220"/>
      <c r="F1044" s="190"/>
      <c r="G1044" s="190"/>
      <c r="L1044" s="220"/>
      <c r="M1044" s="22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M1044" s="214"/>
      <c r="AN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c r="BU1044" s="210"/>
      <c r="BV1044" s="210"/>
      <c r="BW1044" s="210"/>
      <c r="BX1044" s="210"/>
      <c r="BY1044" s="210"/>
      <c r="BZ1044" s="210"/>
      <c r="CA1044" s="210"/>
      <c r="CB1044" s="210"/>
      <c r="CC1044" s="210"/>
      <c r="CD1044" s="210"/>
      <c r="CE1044" s="210"/>
      <c r="CF1044" s="210"/>
      <c r="CG1044" s="210"/>
      <c r="CH1044" s="210"/>
      <c r="CI1044" s="210"/>
      <c r="CJ1044" s="210"/>
      <c r="CK1044" s="210"/>
    </row>
    <row r="1045">
      <c r="A1045" s="220"/>
      <c r="F1045" s="190"/>
      <c r="G1045" s="190"/>
      <c r="L1045" s="220"/>
      <c r="M1045" s="22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M1045" s="214"/>
      <c r="AN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c r="BU1045" s="210"/>
      <c r="BV1045" s="210"/>
      <c r="BW1045" s="210"/>
      <c r="BX1045" s="210"/>
      <c r="BY1045" s="210"/>
      <c r="BZ1045" s="210"/>
      <c r="CA1045" s="210"/>
      <c r="CB1045" s="210"/>
      <c r="CC1045" s="210"/>
      <c r="CD1045" s="210"/>
      <c r="CE1045" s="210"/>
      <c r="CF1045" s="210"/>
      <c r="CG1045" s="210"/>
      <c r="CH1045" s="210"/>
      <c r="CI1045" s="210"/>
      <c r="CJ1045" s="210"/>
      <c r="CK1045" s="210"/>
    </row>
    <row r="1046">
      <c r="A1046" s="220"/>
      <c r="F1046" s="190"/>
      <c r="G1046" s="190"/>
      <c r="L1046" s="220"/>
      <c r="M1046" s="22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M1046" s="214"/>
      <c r="AN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c r="BU1046" s="210"/>
      <c r="BV1046" s="210"/>
      <c r="BW1046" s="210"/>
      <c r="BX1046" s="210"/>
      <c r="BY1046" s="210"/>
      <c r="BZ1046" s="210"/>
      <c r="CA1046" s="210"/>
      <c r="CB1046" s="210"/>
      <c r="CC1046" s="210"/>
      <c r="CD1046" s="210"/>
      <c r="CE1046" s="210"/>
      <c r="CF1046" s="210"/>
      <c r="CG1046" s="210"/>
      <c r="CH1046" s="210"/>
      <c r="CI1046" s="210"/>
      <c r="CJ1046" s="210"/>
      <c r="CK1046" s="210"/>
    </row>
    <row r="1047">
      <c r="A1047" s="220"/>
      <c r="F1047" s="190"/>
      <c r="G1047" s="190"/>
      <c r="L1047" s="220"/>
      <c r="M1047" s="22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M1047" s="214"/>
      <c r="AN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c r="BU1047" s="210"/>
      <c r="BV1047" s="210"/>
      <c r="BW1047" s="210"/>
      <c r="BX1047" s="210"/>
      <c r="BY1047" s="210"/>
      <c r="BZ1047" s="210"/>
      <c r="CA1047" s="210"/>
      <c r="CB1047" s="210"/>
      <c r="CC1047" s="210"/>
      <c r="CD1047" s="210"/>
      <c r="CE1047" s="210"/>
      <c r="CF1047" s="210"/>
      <c r="CG1047" s="210"/>
      <c r="CH1047" s="210"/>
      <c r="CI1047" s="210"/>
      <c r="CJ1047" s="210"/>
      <c r="CK1047" s="210"/>
    </row>
    <row r="1048">
      <c r="A1048" s="220"/>
      <c r="F1048" s="190"/>
      <c r="G1048" s="190"/>
      <c r="L1048" s="220"/>
      <c r="M1048" s="22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M1048" s="214"/>
      <c r="AN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c r="BU1048" s="210"/>
      <c r="BV1048" s="210"/>
      <c r="BW1048" s="210"/>
      <c r="BX1048" s="210"/>
      <c r="BY1048" s="210"/>
      <c r="BZ1048" s="210"/>
      <c r="CA1048" s="210"/>
      <c r="CB1048" s="210"/>
      <c r="CC1048" s="210"/>
      <c r="CD1048" s="210"/>
      <c r="CE1048" s="210"/>
      <c r="CF1048" s="210"/>
      <c r="CG1048" s="210"/>
      <c r="CH1048" s="210"/>
      <c r="CI1048" s="210"/>
      <c r="CJ1048" s="210"/>
      <c r="CK1048" s="210"/>
    </row>
    <row r="1049">
      <c r="A1049" s="220"/>
      <c r="F1049" s="190"/>
      <c r="G1049" s="190"/>
      <c r="L1049" s="220"/>
      <c r="M1049" s="22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M1049" s="214"/>
      <c r="AN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c r="BU1049" s="210"/>
      <c r="BV1049" s="210"/>
      <c r="BW1049" s="210"/>
      <c r="BX1049" s="210"/>
      <c r="BY1049" s="210"/>
      <c r="BZ1049" s="210"/>
      <c r="CA1049" s="210"/>
      <c r="CB1049" s="210"/>
      <c r="CC1049" s="210"/>
      <c r="CD1049" s="210"/>
      <c r="CE1049" s="210"/>
      <c r="CF1049" s="210"/>
      <c r="CG1049" s="210"/>
      <c r="CH1049" s="210"/>
      <c r="CI1049" s="210"/>
      <c r="CJ1049" s="210"/>
      <c r="CK1049" s="210"/>
    </row>
    <row r="1050">
      <c r="A1050" s="220"/>
      <c r="F1050" s="190"/>
      <c r="G1050" s="190"/>
      <c r="L1050" s="220"/>
      <c r="M1050" s="22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M1050" s="214"/>
      <c r="AN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c r="BU1050" s="210"/>
      <c r="BV1050" s="210"/>
      <c r="BW1050" s="210"/>
      <c r="BX1050" s="210"/>
      <c r="BY1050" s="210"/>
      <c r="BZ1050" s="210"/>
      <c r="CA1050" s="210"/>
      <c r="CB1050" s="210"/>
      <c r="CC1050" s="210"/>
      <c r="CD1050" s="210"/>
      <c r="CE1050" s="210"/>
      <c r="CF1050" s="210"/>
      <c r="CG1050" s="210"/>
      <c r="CH1050" s="210"/>
      <c r="CI1050" s="210"/>
      <c r="CJ1050" s="210"/>
      <c r="CK1050" s="210"/>
    </row>
    <row r="1051">
      <c r="A1051" s="220"/>
      <c r="F1051" s="190"/>
      <c r="G1051" s="190"/>
      <c r="L1051" s="220"/>
      <c r="M1051" s="22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M1051" s="214"/>
      <c r="AN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c r="BU1051" s="210"/>
      <c r="BV1051" s="210"/>
      <c r="BW1051" s="210"/>
      <c r="BX1051" s="210"/>
      <c r="BY1051" s="210"/>
      <c r="BZ1051" s="210"/>
      <c r="CA1051" s="210"/>
      <c r="CB1051" s="210"/>
      <c r="CC1051" s="210"/>
      <c r="CD1051" s="210"/>
      <c r="CE1051" s="210"/>
      <c r="CF1051" s="210"/>
      <c r="CG1051" s="210"/>
      <c r="CH1051" s="210"/>
      <c r="CI1051" s="210"/>
      <c r="CJ1051" s="210"/>
      <c r="CK1051" s="210"/>
    </row>
    <row r="1052">
      <c r="A1052" s="220"/>
      <c r="F1052" s="190"/>
      <c r="G1052" s="190"/>
      <c r="L1052" s="220"/>
      <c r="M1052" s="22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M1052" s="214"/>
      <c r="AN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c r="BU1052" s="210"/>
      <c r="BV1052" s="210"/>
      <c r="BW1052" s="210"/>
      <c r="BX1052" s="210"/>
      <c r="BY1052" s="210"/>
      <c r="BZ1052" s="210"/>
      <c r="CA1052" s="210"/>
      <c r="CB1052" s="210"/>
      <c r="CC1052" s="210"/>
      <c r="CD1052" s="210"/>
      <c r="CE1052" s="210"/>
      <c r="CF1052" s="210"/>
      <c r="CG1052" s="210"/>
      <c r="CH1052" s="210"/>
      <c r="CI1052" s="210"/>
      <c r="CJ1052" s="210"/>
      <c r="CK1052" s="210"/>
    </row>
    <row r="1053">
      <c r="A1053" s="220"/>
      <c r="F1053" s="190"/>
      <c r="G1053" s="190"/>
      <c r="L1053" s="220"/>
      <c r="M1053" s="22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M1053" s="214"/>
      <c r="AN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c r="BU1053" s="210"/>
      <c r="BV1053" s="210"/>
      <c r="BW1053" s="210"/>
      <c r="BX1053" s="210"/>
      <c r="BY1053" s="210"/>
      <c r="BZ1053" s="210"/>
      <c r="CA1053" s="210"/>
      <c r="CB1053" s="210"/>
      <c r="CC1053" s="210"/>
      <c r="CD1053" s="210"/>
      <c r="CE1053" s="210"/>
      <c r="CF1053" s="210"/>
      <c r="CG1053" s="210"/>
      <c r="CH1053" s="210"/>
      <c r="CI1053" s="210"/>
      <c r="CJ1053" s="210"/>
      <c r="CK1053" s="210"/>
    </row>
    <row r="1054">
      <c r="A1054" s="220"/>
      <c r="F1054" s="190"/>
      <c r="G1054" s="190"/>
      <c r="L1054" s="220"/>
      <c r="M1054" s="22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M1054" s="214"/>
      <c r="AN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c r="BU1054" s="210"/>
      <c r="BV1054" s="210"/>
      <c r="BW1054" s="210"/>
      <c r="BX1054" s="210"/>
      <c r="BY1054" s="210"/>
      <c r="BZ1054" s="210"/>
      <c r="CA1054" s="210"/>
      <c r="CB1054" s="210"/>
      <c r="CC1054" s="210"/>
      <c r="CD1054" s="210"/>
      <c r="CE1054" s="210"/>
      <c r="CF1054" s="210"/>
      <c r="CG1054" s="210"/>
      <c r="CH1054" s="210"/>
      <c r="CI1054" s="210"/>
      <c r="CJ1054" s="210"/>
      <c r="CK1054" s="210"/>
    </row>
    <row r="1055">
      <c r="A1055" s="220"/>
      <c r="F1055" s="190"/>
      <c r="G1055" s="190"/>
      <c r="L1055" s="220"/>
      <c r="M1055" s="22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M1055" s="214"/>
      <c r="AN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c r="BU1055" s="210"/>
      <c r="BV1055" s="210"/>
      <c r="BW1055" s="210"/>
      <c r="BX1055" s="210"/>
      <c r="BY1055" s="210"/>
      <c r="BZ1055" s="210"/>
      <c r="CA1055" s="210"/>
      <c r="CB1055" s="210"/>
      <c r="CC1055" s="210"/>
      <c r="CD1055" s="210"/>
      <c r="CE1055" s="210"/>
      <c r="CF1055" s="210"/>
      <c r="CG1055" s="210"/>
      <c r="CH1055" s="210"/>
      <c r="CI1055" s="210"/>
      <c r="CJ1055" s="210"/>
      <c r="CK1055" s="210"/>
    </row>
    <row r="1056">
      <c r="A1056" s="220"/>
      <c r="F1056" s="190"/>
      <c r="G1056" s="190"/>
      <c r="L1056" s="220"/>
      <c r="M1056" s="22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M1056" s="214"/>
      <c r="AN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c r="BU1056" s="210"/>
      <c r="BV1056" s="210"/>
      <c r="BW1056" s="210"/>
      <c r="BX1056" s="210"/>
      <c r="BY1056" s="210"/>
      <c r="BZ1056" s="210"/>
      <c r="CA1056" s="210"/>
      <c r="CB1056" s="210"/>
      <c r="CC1056" s="210"/>
      <c r="CD1056" s="210"/>
      <c r="CE1056" s="210"/>
      <c r="CF1056" s="210"/>
      <c r="CG1056" s="210"/>
      <c r="CH1056" s="210"/>
      <c r="CI1056" s="210"/>
      <c r="CJ1056" s="210"/>
      <c r="CK1056" s="210"/>
    </row>
    <row r="1057">
      <c r="A1057" s="220"/>
      <c r="F1057" s="190"/>
      <c r="G1057" s="190"/>
      <c r="L1057" s="220"/>
      <c r="M1057" s="22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M1057" s="214"/>
      <c r="AN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c r="BU1057" s="210"/>
      <c r="BV1057" s="210"/>
      <c r="BW1057" s="210"/>
      <c r="BX1057" s="210"/>
      <c r="BY1057" s="210"/>
      <c r="BZ1057" s="210"/>
      <c r="CA1057" s="210"/>
      <c r="CB1057" s="210"/>
      <c r="CC1057" s="210"/>
      <c r="CD1057" s="210"/>
      <c r="CE1057" s="210"/>
      <c r="CF1057" s="210"/>
      <c r="CG1057" s="210"/>
      <c r="CH1057" s="210"/>
      <c r="CI1057" s="210"/>
      <c r="CJ1057" s="210"/>
      <c r="CK1057" s="210"/>
    </row>
    <row r="1058">
      <c r="A1058" s="220"/>
      <c r="F1058" s="190"/>
      <c r="G1058" s="190"/>
      <c r="L1058" s="220"/>
      <c r="M1058" s="22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M1058" s="214"/>
      <c r="AN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c r="BU1058" s="210"/>
      <c r="BV1058" s="210"/>
      <c r="BW1058" s="210"/>
      <c r="BX1058" s="210"/>
      <c r="BY1058" s="210"/>
      <c r="BZ1058" s="210"/>
      <c r="CA1058" s="210"/>
      <c r="CB1058" s="210"/>
      <c r="CC1058" s="210"/>
      <c r="CD1058" s="210"/>
      <c r="CE1058" s="210"/>
      <c r="CF1058" s="210"/>
      <c r="CG1058" s="210"/>
      <c r="CH1058" s="210"/>
      <c r="CI1058" s="210"/>
      <c r="CJ1058" s="210"/>
      <c r="CK1058" s="210"/>
    </row>
    <row r="1059">
      <c r="A1059" s="220"/>
      <c r="F1059" s="190"/>
      <c r="G1059" s="190"/>
      <c r="L1059" s="220"/>
      <c r="M1059" s="22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M1059" s="214"/>
      <c r="AN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c r="BU1059" s="210"/>
      <c r="BV1059" s="210"/>
      <c r="BW1059" s="210"/>
      <c r="BX1059" s="210"/>
      <c r="BY1059" s="210"/>
      <c r="BZ1059" s="210"/>
      <c r="CA1059" s="210"/>
      <c r="CB1059" s="210"/>
      <c r="CC1059" s="210"/>
      <c r="CD1059" s="210"/>
      <c r="CE1059" s="210"/>
      <c r="CF1059" s="210"/>
      <c r="CG1059" s="210"/>
      <c r="CH1059" s="210"/>
      <c r="CI1059" s="210"/>
      <c r="CJ1059" s="210"/>
      <c r="CK1059" s="210"/>
    </row>
    <row r="1060">
      <c r="A1060" s="220"/>
      <c r="F1060" s="190"/>
      <c r="G1060" s="190"/>
      <c r="L1060" s="220"/>
      <c r="M1060" s="22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M1060" s="214"/>
      <c r="AN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c r="BU1060" s="210"/>
      <c r="BV1060" s="210"/>
      <c r="BW1060" s="210"/>
      <c r="BX1060" s="210"/>
      <c r="BY1060" s="210"/>
      <c r="BZ1060" s="210"/>
      <c r="CA1060" s="210"/>
      <c r="CB1060" s="210"/>
      <c r="CC1060" s="210"/>
      <c r="CD1060" s="210"/>
      <c r="CE1060" s="210"/>
      <c r="CF1060" s="210"/>
      <c r="CG1060" s="210"/>
      <c r="CH1060" s="210"/>
      <c r="CI1060" s="210"/>
      <c r="CJ1060" s="210"/>
      <c r="CK1060" s="210"/>
    </row>
    <row r="1061">
      <c r="A1061" s="220"/>
      <c r="F1061" s="190"/>
      <c r="G1061" s="190"/>
      <c r="L1061" s="220"/>
      <c r="M1061" s="22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M1061" s="214"/>
      <c r="AN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c r="BU1061" s="210"/>
      <c r="BV1061" s="210"/>
      <c r="BW1061" s="210"/>
      <c r="BX1061" s="210"/>
      <c r="BY1061" s="210"/>
      <c r="BZ1061" s="210"/>
      <c r="CA1061" s="210"/>
      <c r="CB1061" s="210"/>
      <c r="CC1061" s="210"/>
      <c r="CD1061" s="210"/>
      <c r="CE1061" s="210"/>
      <c r="CF1061" s="210"/>
      <c r="CG1061" s="210"/>
      <c r="CH1061" s="210"/>
      <c r="CI1061" s="210"/>
      <c r="CJ1061" s="210"/>
      <c r="CK1061" s="210"/>
    </row>
    <row r="1062">
      <c r="A1062" s="220"/>
      <c r="F1062" s="190"/>
      <c r="G1062" s="190"/>
      <c r="L1062" s="220"/>
      <c r="M1062" s="22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M1062" s="214"/>
      <c r="AN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c r="BU1062" s="210"/>
      <c r="BV1062" s="210"/>
      <c r="BW1062" s="210"/>
      <c r="BX1062" s="210"/>
      <c r="BY1062" s="210"/>
      <c r="BZ1062" s="210"/>
      <c r="CA1062" s="210"/>
      <c r="CB1062" s="210"/>
      <c r="CC1062" s="210"/>
      <c r="CD1062" s="210"/>
      <c r="CE1062" s="210"/>
      <c r="CF1062" s="210"/>
      <c r="CG1062" s="210"/>
      <c r="CH1062" s="210"/>
      <c r="CI1062" s="210"/>
      <c r="CJ1062" s="210"/>
      <c r="CK1062" s="210"/>
    </row>
    <row r="1063">
      <c r="A1063" s="220"/>
      <c r="F1063" s="190"/>
      <c r="G1063" s="190"/>
      <c r="L1063" s="220"/>
      <c r="M1063" s="22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M1063" s="214"/>
      <c r="AN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c r="BU1063" s="210"/>
      <c r="BV1063" s="210"/>
      <c r="BW1063" s="210"/>
      <c r="BX1063" s="210"/>
      <c r="BY1063" s="210"/>
      <c r="BZ1063" s="210"/>
      <c r="CA1063" s="210"/>
      <c r="CB1063" s="210"/>
      <c r="CC1063" s="210"/>
      <c r="CD1063" s="210"/>
      <c r="CE1063" s="210"/>
      <c r="CF1063" s="210"/>
      <c r="CG1063" s="210"/>
      <c r="CH1063" s="210"/>
      <c r="CI1063" s="210"/>
      <c r="CJ1063" s="210"/>
      <c r="CK1063" s="210"/>
    </row>
    <row r="1064">
      <c r="A1064" s="220"/>
      <c r="F1064" s="190"/>
      <c r="G1064" s="190"/>
      <c r="L1064" s="220"/>
      <c r="M1064" s="22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M1064" s="214"/>
      <c r="AN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c r="BU1064" s="210"/>
      <c r="BV1064" s="210"/>
      <c r="BW1064" s="210"/>
      <c r="BX1064" s="210"/>
      <c r="BY1064" s="210"/>
      <c r="BZ1064" s="210"/>
      <c r="CA1064" s="210"/>
      <c r="CB1064" s="210"/>
      <c r="CC1064" s="210"/>
      <c r="CD1064" s="210"/>
      <c r="CE1064" s="210"/>
      <c r="CF1064" s="210"/>
      <c r="CG1064" s="210"/>
      <c r="CH1064" s="210"/>
      <c r="CI1064" s="210"/>
      <c r="CJ1064" s="210"/>
      <c r="CK1064" s="210"/>
    </row>
    <row r="1065">
      <c r="A1065" s="220"/>
      <c r="F1065" s="190"/>
      <c r="G1065" s="190"/>
      <c r="L1065" s="220"/>
      <c r="M1065" s="22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M1065" s="214"/>
      <c r="AN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c r="BU1065" s="210"/>
      <c r="BV1065" s="210"/>
      <c r="BW1065" s="210"/>
      <c r="BX1065" s="210"/>
      <c r="BY1065" s="210"/>
      <c r="BZ1065" s="210"/>
      <c r="CA1065" s="210"/>
      <c r="CB1065" s="210"/>
      <c r="CC1065" s="210"/>
      <c r="CD1065" s="210"/>
      <c r="CE1065" s="210"/>
      <c r="CF1065" s="210"/>
      <c r="CG1065" s="210"/>
      <c r="CH1065" s="210"/>
      <c r="CI1065" s="210"/>
      <c r="CJ1065" s="210"/>
      <c r="CK1065" s="210"/>
    </row>
    <row r="1066">
      <c r="A1066" s="220"/>
      <c r="F1066" s="190"/>
      <c r="G1066" s="190"/>
      <c r="L1066" s="220"/>
      <c r="M1066" s="22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M1066" s="214"/>
      <c r="AN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c r="BU1066" s="210"/>
      <c r="BV1066" s="210"/>
      <c r="BW1066" s="210"/>
      <c r="BX1066" s="210"/>
      <c r="BY1066" s="210"/>
      <c r="BZ1066" s="210"/>
      <c r="CA1066" s="210"/>
      <c r="CB1066" s="210"/>
      <c r="CC1066" s="210"/>
      <c r="CD1066" s="210"/>
      <c r="CE1066" s="210"/>
      <c r="CF1066" s="210"/>
      <c r="CG1066" s="210"/>
      <c r="CH1066" s="210"/>
      <c r="CI1066" s="210"/>
      <c r="CJ1066" s="210"/>
      <c r="CK1066" s="210"/>
    </row>
    <row r="1067">
      <c r="A1067" s="220"/>
      <c r="F1067" s="190"/>
      <c r="G1067" s="190"/>
      <c r="L1067" s="220"/>
      <c r="M1067" s="22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M1067" s="214"/>
      <c r="AN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c r="BU1067" s="210"/>
      <c r="BV1067" s="210"/>
      <c r="BW1067" s="210"/>
      <c r="BX1067" s="210"/>
      <c r="BY1067" s="210"/>
      <c r="BZ1067" s="210"/>
      <c r="CA1067" s="210"/>
      <c r="CB1067" s="210"/>
      <c r="CC1067" s="210"/>
      <c r="CD1067" s="210"/>
      <c r="CE1067" s="210"/>
      <c r="CF1067" s="210"/>
      <c r="CG1067" s="210"/>
      <c r="CH1067" s="210"/>
      <c r="CI1067" s="210"/>
      <c r="CJ1067" s="210"/>
      <c r="CK1067" s="210"/>
    </row>
    <row r="1068">
      <c r="A1068" s="220"/>
      <c r="F1068" s="190"/>
      <c r="G1068" s="190"/>
      <c r="L1068" s="220"/>
      <c r="M1068" s="22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M1068" s="214"/>
      <c r="AN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c r="BU1068" s="210"/>
      <c r="BV1068" s="210"/>
      <c r="BW1068" s="210"/>
      <c r="BX1068" s="210"/>
      <c r="BY1068" s="210"/>
      <c r="BZ1068" s="210"/>
      <c r="CA1068" s="210"/>
      <c r="CB1068" s="210"/>
      <c r="CC1068" s="210"/>
      <c r="CD1068" s="210"/>
      <c r="CE1068" s="210"/>
      <c r="CF1068" s="210"/>
      <c r="CG1068" s="210"/>
      <c r="CH1068" s="210"/>
      <c r="CI1068" s="210"/>
      <c r="CJ1068" s="210"/>
      <c r="CK1068" s="210"/>
    </row>
    <row r="1069">
      <c r="A1069" s="220"/>
      <c r="F1069" s="190"/>
      <c r="G1069" s="190"/>
      <c r="L1069" s="220"/>
      <c r="M1069" s="22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M1069" s="214"/>
      <c r="AN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c r="BU1069" s="210"/>
      <c r="BV1069" s="210"/>
      <c r="BW1069" s="210"/>
      <c r="BX1069" s="210"/>
      <c r="BY1069" s="210"/>
      <c r="BZ1069" s="210"/>
      <c r="CA1069" s="210"/>
      <c r="CB1069" s="210"/>
      <c r="CC1069" s="210"/>
      <c r="CD1069" s="210"/>
      <c r="CE1069" s="210"/>
      <c r="CF1069" s="210"/>
      <c r="CG1069" s="210"/>
      <c r="CH1069" s="210"/>
      <c r="CI1069" s="210"/>
      <c r="CJ1069" s="210"/>
      <c r="CK1069" s="210"/>
    </row>
    <row r="1070">
      <c r="A1070" s="220"/>
      <c r="F1070" s="190"/>
      <c r="G1070" s="190"/>
      <c r="L1070" s="220"/>
      <c r="M1070" s="22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M1070" s="214"/>
      <c r="AN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c r="BU1070" s="210"/>
      <c r="BV1070" s="210"/>
      <c r="BW1070" s="210"/>
      <c r="BX1070" s="210"/>
      <c r="BY1070" s="210"/>
      <c r="BZ1070" s="210"/>
      <c r="CA1070" s="210"/>
      <c r="CB1070" s="210"/>
      <c r="CC1070" s="210"/>
      <c r="CD1070" s="210"/>
      <c r="CE1070" s="210"/>
      <c r="CF1070" s="210"/>
      <c r="CG1070" s="210"/>
      <c r="CH1070" s="210"/>
      <c r="CI1070" s="210"/>
      <c r="CJ1070" s="210"/>
      <c r="CK1070" s="210"/>
    </row>
    <row r="1071">
      <c r="A1071" s="220"/>
      <c r="F1071" s="190"/>
      <c r="G1071" s="190"/>
      <c r="L1071" s="220"/>
      <c r="M1071" s="22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M1071" s="214"/>
      <c r="AN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c r="BU1071" s="210"/>
      <c r="BV1071" s="210"/>
      <c r="BW1071" s="210"/>
      <c r="BX1071" s="210"/>
      <c r="BY1071" s="210"/>
      <c r="BZ1071" s="210"/>
      <c r="CA1071" s="210"/>
      <c r="CB1071" s="210"/>
      <c r="CC1071" s="210"/>
      <c r="CD1071" s="210"/>
      <c r="CE1071" s="210"/>
      <c r="CF1071" s="210"/>
      <c r="CG1071" s="210"/>
      <c r="CH1071" s="210"/>
      <c r="CI1071" s="210"/>
      <c r="CJ1071" s="210"/>
      <c r="CK1071" s="210"/>
    </row>
    <row r="1072">
      <c r="A1072" s="220"/>
      <c r="F1072" s="190"/>
      <c r="G1072" s="190"/>
      <c r="L1072" s="220"/>
      <c r="M1072" s="22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M1072" s="214"/>
      <c r="AN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c r="BU1072" s="210"/>
      <c r="BV1072" s="210"/>
      <c r="BW1072" s="210"/>
      <c r="BX1072" s="210"/>
      <c r="BY1072" s="210"/>
      <c r="BZ1072" s="210"/>
      <c r="CA1072" s="210"/>
      <c r="CB1072" s="210"/>
      <c r="CC1072" s="210"/>
      <c r="CD1072" s="210"/>
      <c r="CE1072" s="210"/>
      <c r="CF1072" s="210"/>
      <c r="CG1072" s="210"/>
      <c r="CH1072" s="210"/>
      <c r="CI1072" s="210"/>
      <c r="CJ1072" s="210"/>
      <c r="CK1072" s="210"/>
    </row>
    <row r="1073">
      <c r="A1073" s="220"/>
      <c r="F1073" s="190"/>
      <c r="G1073" s="190"/>
      <c r="L1073" s="220"/>
      <c r="M1073" s="22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M1073" s="214"/>
      <c r="AN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c r="BU1073" s="210"/>
      <c r="BV1073" s="210"/>
      <c r="BW1073" s="210"/>
      <c r="BX1073" s="210"/>
      <c r="BY1073" s="210"/>
      <c r="BZ1073" s="210"/>
      <c r="CA1073" s="210"/>
      <c r="CB1073" s="210"/>
      <c r="CC1073" s="210"/>
      <c r="CD1073" s="210"/>
      <c r="CE1073" s="210"/>
      <c r="CF1073" s="210"/>
      <c r="CG1073" s="210"/>
      <c r="CH1073" s="210"/>
      <c r="CI1073" s="210"/>
      <c r="CJ1073" s="210"/>
      <c r="CK1073" s="210"/>
    </row>
    <row r="1074">
      <c r="A1074" s="220"/>
      <c r="F1074" s="190"/>
      <c r="G1074" s="190"/>
      <c r="L1074" s="220"/>
      <c r="M1074" s="22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M1074" s="214"/>
      <c r="AN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c r="BU1074" s="210"/>
      <c r="BV1074" s="210"/>
      <c r="BW1074" s="210"/>
      <c r="BX1074" s="210"/>
      <c r="BY1074" s="210"/>
      <c r="BZ1074" s="210"/>
      <c r="CA1074" s="210"/>
      <c r="CB1074" s="210"/>
      <c r="CC1074" s="210"/>
      <c r="CD1074" s="210"/>
      <c r="CE1074" s="210"/>
      <c r="CF1074" s="210"/>
      <c r="CG1074" s="210"/>
      <c r="CH1074" s="210"/>
      <c r="CI1074" s="210"/>
      <c r="CJ1074" s="210"/>
      <c r="CK1074" s="210"/>
    </row>
    <row r="1075">
      <c r="A1075" s="220"/>
      <c r="F1075" s="190"/>
      <c r="G1075" s="190"/>
      <c r="L1075" s="220"/>
      <c r="M1075" s="22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M1075" s="214"/>
      <c r="AN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c r="BU1075" s="210"/>
      <c r="BV1075" s="210"/>
      <c r="BW1075" s="210"/>
      <c r="BX1075" s="210"/>
      <c r="BY1075" s="210"/>
      <c r="BZ1075" s="210"/>
      <c r="CA1075" s="210"/>
      <c r="CB1075" s="210"/>
      <c r="CC1075" s="210"/>
      <c r="CD1075" s="210"/>
      <c r="CE1075" s="210"/>
      <c r="CF1075" s="210"/>
      <c r="CG1075" s="210"/>
      <c r="CH1075" s="210"/>
      <c r="CI1075" s="210"/>
      <c r="CJ1075" s="210"/>
      <c r="CK1075" s="210"/>
    </row>
    <row r="1076">
      <c r="A1076" s="220"/>
      <c r="F1076" s="190"/>
      <c r="G1076" s="190"/>
      <c r="L1076" s="220"/>
      <c r="M1076" s="22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M1076" s="214"/>
      <c r="AN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c r="BU1076" s="210"/>
      <c r="BV1076" s="210"/>
      <c r="BW1076" s="210"/>
      <c r="BX1076" s="210"/>
      <c r="BY1076" s="210"/>
      <c r="BZ1076" s="210"/>
      <c r="CA1076" s="210"/>
      <c r="CB1076" s="210"/>
      <c r="CC1076" s="210"/>
      <c r="CD1076" s="210"/>
      <c r="CE1076" s="210"/>
      <c r="CF1076" s="210"/>
      <c r="CG1076" s="210"/>
      <c r="CH1076" s="210"/>
      <c r="CI1076" s="210"/>
      <c r="CJ1076" s="210"/>
      <c r="CK1076" s="210"/>
    </row>
    <row r="1077">
      <c r="A1077" s="220"/>
      <c r="F1077" s="190"/>
      <c r="G1077" s="190"/>
      <c r="L1077" s="220"/>
      <c r="M1077" s="22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M1077" s="214"/>
      <c r="AN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c r="BU1077" s="210"/>
      <c r="BV1077" s="210"/>
      <c r="BW1077" s="210"/>
      <c r="BX1077" s="210"/>
      <c r="BY1077" s="210"/>
      <c r="BZ1077" s="210"/>
      <c r="CA1077" s="210"/>
      <c r="CB1077" s="210"/>
      <c r="CC1077" s="210"/>
      <c r="CD1077" s="210"/>
      <c r="CE1077" s="210"/>
      <c r="CF1077" s="210"/>
      <c r="CG1077" s="210"/>
      <c r="CH1077" s="210"/>
      <c r="CI1077" s="210"/>
      <c r="CJ1077" s="210"/>
      <c r="CK1077" s="210"/>
    </row>
    <row r="1078">
      <c r="A1078" s="220"/>
      <c r="F1078" s="190"/>
      <c r="G1078" s="190"/>
      <c r="L1078" s="220"/>
      <c r="M1078" s="22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M1078" s="214"/>
      <c r="AN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c r="BU1078" s="210"/>
      <c r="BV1078" s="210"/>
      <c r="BW1078" s="210"/>
      <c r="BX1078" s="210"/>
      <c r="BY1078" s="210"/>
      <c r="BZ1078" s="210"/>
      <c r="CA1078" s="210"/>
      <c r="CB1078" s="210"/>
      <c r="CC1078" s="210"/>
      <c r="CD1078" s="210"/>
      <c r="CE1078" s="210"/>
      <c r="CF1078" s="210"/>
      <c r="CG1078" s="210"/>
      <c r="CH1078" s="210"/>
      <c r="CI1078" s="210"/>
      <c r="CJ1078" s="210"/>
      <c r="CK1078" s="210"/>
    </row>
    <row r="1079">
      <c r="A1079" s="220"/>
      <c r="F1079" s="190"/>
      <c r="G1079" s="190"/>
      <c r="L1079" s="220"/>
      <c r="M1079" s="22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M1079" s="214"/>
      <c r="AN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c r="BU1079" s="210"/>
      <c r="BV1079" s="210"/>
      <c r="BW1079" s="210"/>
      <c r="BX1079" s="210"/>
      <c r="BY1079" s="210"/>
      <c r="BZ1079" s="210"/>
      <c r="CA1079" s="210"/>
      <c r="CB1079" s="210"/>
      <c r="CC1079" s="210"/>
      <c r="CD1079" s="210"/>
      <c r="CE1079" s="210"/>
      <c r="CF1079" s="210"/>
      <c r="CG1079" s="210"/>
      <c r="CH1079" s="210"/>
      <c r="CI1079" s="210"/>
      <c r="CJ1079" s="210"/>
      <c r="CK1079" s="210"/>
    </row>
    <row r="1080">
      <c r="A1080" s="220"/>
      <c r="F1080" s="190"/>
      <c r="G1080" s="190"/>
      <c r="L1080" s="220"/>
      <c r="M1080" s="22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M1080" s="214"/>
      <c r="AN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c r="BU1080" s="210"/>
      <c r="BV1080" s="210"/>
      <c r="BW1080" s="210"/>
      <c r="BX1080" s="210"/>
      <c r="BY1080" s="210"/>
      <c r="BZ1080" s="210"/>
      <c r="CA1080" s="210"/>
      <c r="CB1080" s="210"/>
      <c r="CC1080" s="210"/>
      <c r="CD1080" s="210"/>
      <c r="CE1080" s="210"/>
      <c r="CF1080" s="210"/>
      <c r="CG1080" s="210"/>
      <c r="CH1080" s="210"/>
      <c r="CI1080" s="210"/>
      <c r="CJ1080" s="210"/>
      <c r="CK1080" s="210"/>
    </row>
    <row r="1081">
      <c r="A1081" s="220"/>
      <c r="F1081" s="190"/>
      <c r="G1081" s="190"/>
      <c r="L1081" s="220"/>
      <c r="M1081" s="22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M1081" s="214"/>
      <c r="AN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c r="BU1081" s="210"/>
      <c r="BV1081" s="210"/>
      <c r="BW1081" s="210"/>
      <c r="BX1081" s="210"/>
      <c r="BY1081" s="210"/>
      <c r="BZ1081" s="210"/>
      <c r="CA1081" s="210"/>
      <c r="CB1081" s="210"/>
      <c r="CC1081" s="210"/>
      <c r="CD1081" s="210"/>
      <c r="CE1081" s="210"/>
      <c r="CF1081" s="210"/>
      <c r="CG1081" s="210"/>
      <c r="CH1081" s="210"/>
      <c r="CI1081" s="210"/>
      <c r="CJ1081" s="210"/>
      <c r="CK1081" s="210"/>
    </row>
    <row r="1082">
      <c r="A1082" s="220"/>
      <c r="F1082" s="190"/>
      <c r="G1082" s="190"/>
      <c r="L1082" s="220"/>
      <c r="M1082" s="22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M1082" s="214"/>
      <c r="AN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c r="BU1082" s="210"/>
      <c r="BV1082" s="210"/>
      <c r="BW1082" s="210"/>
      <c r="BX1082" s="210"/>
      <c r="BY1082" s="210"/>
      <c r="BZ1082" s="210"/>
      <c r="CA1082" s="210"/>
      <c r="CB1082" s="210"/>
      <c r="CC1082" s="210"/>
      <c r="CD1082" s="210"/>
      <c r="CE1082" s="210"/>
      <c r="CF1082" s="210"/>
      <c r="CG1082" s="210"/>
      <c r="CH1082" s="210"/>
      <c r="CI1082" s="210"/>
      <c r="CJ1082" s="210"/>
      <c r="CK1082" s="210"/>
    </row>
    <row r="1083">
      <c r="A1083" s="220"/>
      <c r="F1083" s="190"/>
      <c r="G1083" s="190"/>
      <c r="L1083" s="220"/>
      <c r="M1083" s="22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M1083" s="214"/>
      <c r="AN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c r="BU1083" s="210"/>
      <c r="BV1083" s="210"/>
      <c r="BW1083" s="210"/>
      <c r="BX1083" s="210"/>
      <c r="BY1083" s="210"/>
      <c r="BZ1083" s="210"/>
      <c r="CA1083" s="210"/>
      <c r="CB1083" s="210"/>
      <c r="CC1083" s="210"/>
      <c r="CD1083" s="210"/>
      <c r="CE1083" s="210"/>
      <c r="CF1083" s="210"/>
      <c r="CG1083" s="210"/>
      <c r="CH1083" s="210"/>
      <c r="CI1083" s="210"/>
      <c r="CJ1083" s="210"/>
      <c r="CK1083" s="210"/>
    </row>
    <row r="1084">
      <c r="A1084" s="220"/>
      <c r="F1084" s="190"/>
      <c r="G1084" s="190"/>
      <c r="L1084" s="220"/>
      <c r="M1084" s="22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M1084" s="214"/>
      <c r="AN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c r="BU1084" s="210"/>
      <c r="BV1084" s="210"/>
      <c r="BW1084" s="210"/>
      <c r="BX1084" s="210"/>
      <c r="BY1084" s="210"/>
      <c r="BZ1084" s="210"/>
      <c r="CA1084" s="210"/>
      <c r="CB1084" s="210"/>
      <c r="CC1084" s="210"/>
      <c r="CD1084" s="210"/>
      <c r="CE1084" s="210"/>
      <c r="CF1084" s="210"/>
      <c r="CG1084" s="210"/>
      <c r="CH1084" s="210"/>
      <c r="CI1084" s="210"/>
      <c r="CJ1084" s="210"/>
      <c r="CK1084" s="210"/>
    </row>
    <row r="1085">
      <c r="A1085" s="220"/>
      <c r="F1085" s="190"/>
      <c r="G1085" s="190"/>
      <c r="L1085" s="220"/>
      <c r="M1085" s="22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M1085" s="214"/>
      <c r="AN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c r="BU1085" s="210"/>
      <c r="BV1085" s="210"/>
      <c r="BW1085" s="210"/>
      <c r="BX1085" s="210"/>
      <c r="BY1085" s="210"/>
      <c r="BZ1085" s="210"/>
      <c r="CA1085" s="210"/>
      <c r="CB1085" s="210"/>
      <c r="CC1085" s="210"/>
      <c r="CD1085" s="210"/>
      <c r="CE1085" s="210"/>
      <c r="CF1085" s="210"/>
      <c r="CG1085" s="210"/>
      <c r="CH1085" s="210"/>
      <c r="CI1085" s="210"/>
      <c r="CJ1085" s="210"/>
      <c r="CK1085" s="210"/>
    </row>
    <row r="1086">
      <c r="A1086" s="220"/>
      <c r="F1086" s="190"/>
      <c r="G1086" s="190"/>
      <c r="L1086" s="220"/>
      <c r="M1086" s="22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M1086" s="214"/>
      <c r="AN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c r="BU1086" s="210"/>
      <c r="BV1086" s="210"/>
      <c r="BW1086" s="210"/>
      <c r="BX1086" s="210"/>
      <c r="BY1086" s="210"/>
      <c r="BZ1086" s="210"/>
      <c r="CA1086" s="210"/>
      <c r="CB1086" s="210"/>
      <c r="CC1086" s="210"/>
      <c r="CD1086" s="210"/>
      <c r="CE1086" s="210"/>
      <c r="CF1086" s="210"/>
      <c r="CG1086" s="210"/>
      <c r="CH1086" s="210"/>
      <c r="CI1086" s="210"/>
      <c r="CJ1086" s="210"/>
      <c r="CK1086" s="210"/>
    </row>
    <row r="1087">
      <c r="A1087" s="220"/>
      <c r="F1087" s="190"/>
      <c r="G1087" s="190"/>
      <c r="L1087" s="220"/>
      <c r="M1087" s="22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M1087" s="214"/>
      <c r="AN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c r="BU1087" s="210"/>
      <c r="BV1087" s="210"/>
      <c r="BW1087" s="210"/>
      <c r="BX1087" s="210"/>
      <c r="BY1087" s="210"/>
      <c r="BZ1087" s="210"/>
      <c r="CA1087" s="210"/>
      <c r="CB1087" s="210"/>
      <c r="CC1087" s="210"/>
      <c r="CD1087" s="210"/>
      <c r="CE1087" s="210"/>
      <c r="CF1087" s="210"/>
      <c r="CG1087" s="210"/>
      <c r="CH1087" s="210"/>
      <c r="CI1087" s="210"/>
      <c r="CJ1087" s="210"/>
      <c r="CK1087" s="210"/>
    </row>
    <row r="1088">
      <c r="A1088" s="220"/>
      <c r="F1088" s="190"/>
      <c r="G1088" s="190"/>
      <c r="L1088" s="220"/>
      <c r="M1088" s="22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M1088" s="214"/>
      <c r="AN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c r="BU1088" s="210"/>
      <c r="BV1088" s="210"/>
      <c r="BW1088" s="210"/>
      <c r="BX1088" s="210"/>
      <c r="BY1088" s="210"/>
      <c r="BZ1088" s="210"/>
      <c r="CA1088" s="210"/>
      <c r="CB1088" s="210"/>
      <c r="CC1088" s="210"/>
      <c r="CD1088" s="210"/>
      <c r="CE1088" s="210"/>
      <c r="CF1088" s="210"/>
      <c r="CG1088" s="210"/>
      <c r="CH1088" s="210"/>
      <c r="CI1088" s="210"/>
      <c r="CJ1088" s="210"/>
      <c r="CK1088" s="210"/>
    </row>
    <row r="1089">
      <c r="A1089" s="220"/>
      <c r="F1089" s="190"/>
      <c r="G1089" s="190"/>
      <c r="L1089" s="220"/>
      <c r="M1089" s="22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M1089" s="214"/>
      <c r="AN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c r="BU1089" s="210"/>
      <c r="BV1089" s="210"/>
      <c r="BW1089" s="210"/>
      <c r="BX1089" s="210"/>
      <c r="BY1089" s="210"/>
      <c r="BZ1089" s="210"/>
      <c r="CA1089" s="210"/>
      <c r="CB1089" s="210"/>
      <c r="CC1089" s="210"/>
      <c r="CD1089" s="210"/>
      <c r="CE1089" s="210"/>
      <c r="CF1089" s="210"/>
      <c r="CG1089" s="210"/>
      <c r="CH1089" s="210"/>
      <c r="CI1089" s="210"/>
      <c r="CJ1089" s="210"/>
      <c r="CK1089" s="210"/>
    </row>
    <row r="1090">
      <c r="A1090" s="220"/>
      <c r="F1090" s="190"/>
      <c r="G1090" s="190"/>
      <c r="L1090" s="220"/>
      <c r="M1090" s="22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M1090" s="214"/>
      <c r="AN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c r="BU1090" s="210"/>
      <c r="BV1090" s="210"/>
      <c r="BW1090" s="210"/>
      <c r="BX1090" s="210"/>
      <c r="BY1090" s="210"/>
      <c r="BZ1090" s="210"/>
      <c r="CA1090" s="210"/>
      <c r="CB1090" s="210"/>
      <c r="CC1090" s="210"/>
      <c r="CD1090" s="210"/>
      <c r="CE1090" s="210"/>
      <c r="CF1090" s="210"/>
      <c r="CG1090" s="210"/>
      <c r="CH1090" s="210"/>
      <c r="CI1090" s="210"/>
      <c r="CJ1090" s="210"/>
      <c r="CK1090" s="210"/>
    </row>
    <row r="1091">
      <c r="A1091" s="220"/>
      <c r="F1091" s="190"/>
      <c r="G1091" s="190"/>
      <c r="L1091" s="220"/>
      <c r="M1091" s="22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M1091" s="214"/>
      <c r="AN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c r="BU1091" s="210"/>
      <c r="BV1091" s="210"/>
      <c r="BW1091" s="210"/>
      <c r="BX1091" s="210"/>
      <c r="BY1091" s="210"/>
      <c r="BZ1091" s="210"/>
      <c r="CA1091" s="210"/>
      <c r="CB1091" s="210"/>
      <c r="CC1091" s="210"/>
      <c r="CD1091" s="210"/>
      <c r="CE1091" s="210"/>
      <c r="CF1091" s="210"/>
      <c r="CG1091" s="210"/>
      <c r="CH1091" s="210"/>
      <c r="CI1091" s="210"/>
      <c r="CJ1091" s="210"/>
      <c r="CK1091" s="210"/>
    </row>
    <row r="1092">
      <c r="A1092" s="220"/>
      <c r="F1092" s="190"/>
      <c r="G1092" s="190"/>
      <c r="L1092" s="220"/>
      <c r="M1092" s="22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M1092" s="214"/>
      <c r="AN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c r="BU1092" s="210"/>
      <c r="BV1092" s="210"/>
      <c r="BW1092" s="210"/>
      <c r="BX1092" s="210"/>
      <c r="BY1092" s="210"/>
      <c r="BZ1092" s="210"/>
      <c r="CA1092" s="210"/>
      <c r="CB1092" s="210"/>
      <c r="CC1092" s="210"/>
      <c r="CD1092" s="210"/>
      <c r="CE1092" s="210"/>
      <c r="CF1092" s="210"/>
      <c r="CG1092" s="210"/>
      <c r="CH1092" s="210"/>
      <c r="CI1092" s="210"/>
      <c r="CJ1092" s="210"/>
      <c r="CK1092" s="210"/>
    </row>
    <row r="1093">
      <c r="A1093" s="220"/>
      <c r="F1093" s="190"/>
      <c r="G1093" s="190"/>
      <c r="L1093" s="220"/>
      <c r="M1093" s="22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M1093" s="214"/>
      <c r="AN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c r="BU1093" s="210"/>
      <c r="BV1093" s="210"/>
      <c r="BW1093" s="210"/>
      <c r="BX1093" s="210"/>
      <c r="BY1093" s="210"/>
      <c r="BZ1093" s="210"/>
      <c r="CA1093" s="210"/>
      <c r="CB1093" s="210"/>
      <c r="CC1093" s="210"/>
      <c r="CD1093" s="210"/>
      <c r="CE1093" s="210"/>
      <c r="CF1093" s="210"/>
      <c r="CG1093" s="210"/>
      <c r="CH1093" s="210"/>
      <c r="CI1093" s="210"/>
      <c r="CJ1093" s="210"/>
      <c r="CK1093" s="210"/>
    </row>
    <row r="1094">
      <c r="A1094" s="220"/>
      <c r="F1094" s="190"/>
      <c r="G1094" s="190"/>
      <c r="L1094" s="220"/>
      <c r="M1094" s="22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M1094" s="214"/>
      <c r="AN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c r="BU1094" s="210"/>
      <c r="BV1094" s="210"/>
      <c r="BW1094" s="210"/>
      <c r="BX1094" s="210"/>
      <c r="BY1094" s="210"/>
      <c r="BZ1094" s="210"/>
      <c r="CA1094" s="210"/>
      <c r="CB1094" s="210"/>
      <c r="CC1094" s="210"/>
      <c r="CD1094" s="210"/>
      <c r="CE1094" s="210"/>
      <c r="CF1094" s="210"/>
      <c r="CG1094" s="210"/>
      <c r="CH1094" s="210"/>
      <c r="CI1094" s="210"/>
      <c r="CJ1094" s="210"/>
      <c r="CK1094" s="210"/>
    </row>
    <row r="1095">
      <c r="A1095" s="220"/>
      <c r="F1095" s="190"/>
      <c r="G1095" s="190"/>
      <c r="L1095" s="220"/>
      <c r="M1095" s="22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M1095" s="214"/>
      <c r="AN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c r="BU1095" s="210"/>
      <c r="BV1095" s="210"/>
      <c r="BW1095" s="210"/>
      <c r="BX1095" s="210"/>
      <c r="BY1095" s="210"/>
      <c r="BZ1095" s="210"/>
      <c r="CA1095" s="210"/>
      <c r="CB1095" s="210"/>
      <c r="CC1095" s="210"/>
      <c r="CD1095" s="210"/>
      <c r="CE1095" s="210"/>
      <c r="CF1095" s="210"/>
      <c r="CG1095" s="210"/>
      <c r="CH1095" s="210"/>
      <c r="CI1095" s="210"/>
      <c r="CJ1095" s="210"/>
      <c r="CK1095" s="210"/>
    </row>
    <row r="1096">
      <c r="A1096" s="220"/>
      <c r="F1096" s="190"/>
      <c r="G1096" s="190"/>
      <c r="L1096" s="220"/>
      <c r="M1096" s="22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M1096" s="214"/>
      <c r="AN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c r="BU1096" s="210"/>
      <c r="BV1096" s="210"/>
      <c r="BW1096" s="210"/>
      <c r="BX1096" s="210"/>
      <c r="BY1096" s="210"/>
      <c r="BZ1096" s="210"/>
      <c r="CA1096" s="210"/>
      <c r="CB1096" s="210"/>
      <c r="CC1096" s="210"/>
      <c r="CD1096" s="210"/>
      <c r="CE1096" s="210"/>
      <c r="CF1096" s="210"/>
      <c r="CG1096" s="210"/>
      <c r="CH1096" s="210"/>
      <c r="CI1096" s="210"/>
      <c r="CJ1096" s="210"/>
      <c r="CK1096" s="210"/>
    </row>
    <row r="1097">
      <c r="A1097" s="220"/>
      <c r="F1097" s="190"/>
      <c r="G1097" s="190"/>
      <c r="L1097" s="220"/>
      <c r="M1097" s="22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M1097" s="214"/>
      <c r="AN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c r="BU1097" s="210"/>
      <c r="BV1097" s="210"/>
      <c r="BW1097" s="210"/>
      <c r="BX1097" s="210"/>
      <c r="BY1097" s="210"/>
      <c r="BZ1097" s="210"/>
      <c r="CA1097" s="210"/>
      <c r="CB1097" s="210"/>
      <c r="CC1097" s="210"/>
      <c r="CD1097" s="210"/>
      <c r="CE1097" s="210"/>
      <c r="CF1097" s="210"/>
      <c r="CG1097" s="210"/>
      <c r="CH1097" s="210"/>
      <c r="CI1097" s="210"/>
      <c r="CJ1097" s="210"/>
      <c r="CK1097" s="210"/>
    </row>
    <row r="1098">
      <c r="A1098" s="220"/>
      <c r="F1098" s="190"/>
      <c r="G1098" s="190"/>
      <c r="L1098" s="220"/>
      <c r="M1098" s="22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M1098" s="214"/>
      <c r="AN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c r="BU1098" s="210"/>
      <c r="BV1098" s="210"/>
      <c r="BW1098" s="210"/>
      <c r="BX1098" s="210"/>
      <c r="BY1098" s="210"/>
      <c r="BZ1098" s="210"/>
      <c r="CA1098" s="210"/>
      <c r="CB1098" s="210"/>
      <c r="CC1098" s="210"/>
      <c r="CD1098" s="210"/>
      <c r="CE1098" s="210"/>
      <c r="CF1098" s="210"/>
      <c r="CG1098" s="210"/>
      <c r="CH1098" s="210"/>
      <c r="CI1098" s="210"/>
      <c r="CJ1098" s="210"/>
      <c r="CK1098" s="210"/>
    </row>
    <row r="1099">
      <c r="A1099" s="220"/>
      <c r="F1099" s="190"/>
      <c r="G1099" s="190"/>
      <c r="L1099" s="220"/>
      <c r="M1099" s="22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M1099" s="214"/>
      <c r="AN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c r="BU1099" s="210"/>
      <c r="BV1099" s="210"/>
      <c r="BW1099" s="210"/>
      <c r="BX1099" s="210"/>
      <c r="BY1099" s="210"/>
      <c r="BZ1099" s="210"/>
      <c r="CA1099" s="210"/>
      <c r="CB1099" s="210"/>
      <c r="CC1099" s="210"/>
      <c r="CD1099" s="210"/>
      <c r="CE1099" s="210"/>
      <c r="CF1099" s="210"/>
      <c r="CG1099" s="210"/>
      <c r="CH1099" s="210"/>
      <c r="CI1099" s="210"/>
      <c r="CJ1099" s="210"/>
      <c r="CK1099" s="210"/>
    </row>
    <row r="1100">
      <c r="A1100" s="220"/>
      <c r="F1100" s="190"/>
      <c r="G1100" s="190"/>
      <c r="L1100" s="220"/>
      <c r="M1100" s="22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M1100" s="214"/>
      <c r="AN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c r="BU1100" s="210"/>
      <c r="BV1100" s="210"/>
      <c r="BW1100" s="210"/>
      <c r="BX1100" s="210"/>
      <c r="BY1100" s="210"/>
      <c r="BZ1100" s="210"/>
      <c r="CA1100" s="210"/>
      <c r="CB1100" s="210"/>
      <c r="CC1100" s="210"/>
      <c r="CD1100" s="210"/>
      <c r="CE1100" s="210"/>
      <c r="CF1100" s="210"/>
      <c r="CG1100" s="210"/>
      <c r="CH1100" s="210"/>
      <c r="CI1100" s="210"/>
      <c r="CJ1100" s="210"/>
      <c r="CK1100" s="210"/>
    </row>
    <row r="1101">
      <c r="A1101" s="220"/>
      <c r="F1101" s="190"/>
      <c r="G1101" s="190"/>
      <c r="L1101" s="220"/>
      <c r="M1101" s="22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M1101" s="214"/>
      <c r="AN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c r="BU1101" s="210"/>
      <c r="BV1101" s="210"/>
      <c r="BW1101" s="210"/>
      <c r="BX1101" s="210"/>
      <c r="BY1101" s="210"/>
      <c r="BZ1101" s="210"/>
      <c r="CA1101" s="210"/>
      <c r="CB1101" s="210"/>
      <c r="CC1101" s="210"/>
      <c r="CD1101" s="210"/>
      <c r="CE1101" s="210"/>
      <c r="CF1101" s="210"/>
      <c r="CG1101" s="210"/>
      <c r="CH1101" s="210"/>
      <c r="CI1101" s="210"/>
      <c r="CJ1101" s="210"/>
      <c r="CK1101" s="210"/>
    </row>
    <row r="1102">
      <c r="A1102" s="220"/>
      <c r="F1102" s="190"/>
      <c r="G1102" s="190"/>
      <c r="L1102" s="220"/>
      <c r="M1102" s="22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M1102" s="214"/>
      <c r="AN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c r="BU1102" s="210"/>
      <c r="BV1102" s="210"/>
      <c r="BW1102" s="210"/>
      <c r="BX1102" s="210"/>
      <c r="BY1102" s="210"/>
      <c r="BZ1102" s="210"/>
      <c r="CA1102" s="210"/>
      <c r="CB1102" s="210"/>
      <c r="CC1102" s="210"/>
      <c r="CD1102" s="210"/>
      <c r="CE1102" s="210"/>
      <c r="CF1102" s="210"/>
      <c r="CG1102" s="210"/>
      <c r="CH1102" s="210"/>
      <c r="CI1102" s="210"/>
      <c r="CJ1102" s="210"/>
      <c r="CK1102" s="210"/>
    </row>
    <row r="1103">
      <c r="A1103" s="220"/>
      <c r="F1103" s="190"/>
      <c r="G1103" s="190"/>
      <c r="L1103" s="220"/>
      <c r="M1103" s="22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M1103" s="214"/>
      <c r="AN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c r="BU1103" s="210"/>
      <c r="BV1103" s="210"/>
      <c r="BW1103" s="210"/>
      <c r="BX1103" s="210"/>
      <c r="BY1103" s="210"/>
      <c r="BZ1103" s="210"/>
      <c r="CA1103" s="210"/>
      <c r="CB1103" s="210"/>
      <c r="CC1103" s="210"/>
      <c r="CD1103" s="210"/>
      <c r="CE1103" s="210"/>
      <c r="CF1103" s="210"/>
      <c r="CG1103" s="210"/>
      <c r="CH1103" s="210"/>
      <c r="CI1103" s="210"/>
      <c r="CJ1103" s="210"/>
      <c r="CK1103" s="210"/>
    </row>
    <row r="1104">
      <c r="A1104" s="220"/>
      <c r="F1104" s="190"/>
      <c r="G1104" s="190"/>
      <c r="L1104" s="220"/>
      <c r="M1104" s="22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M1104" s="214"/>
      <c r="AN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c r="BU1104" s="210"/>
      <c r="BV1104" s="210"/>
      <c r="BW1104" s="210"/>
      <c r="BX1104" s="210"/>
      <c r="BY1104" s="210"/>
      <c r="BZ1104" s="210"/>
      <c r="CA1104" s="210"/>
      <c r="CB1104" s="210"/>
      <c r="CC1104" s="210"/>
      <c r="CD1104" s="210"/>
      <c r="CE1104" s="210"/>
      <c r="CF1104" s="210"/>
      <c r="CG1104" s="210"/>
      <c r="CH1104" s="210"/>
      <c r="CI1104" s="210"/>
      <c r="CJ1104" s="210"/>
      <c r="CK1104" s="210"/>
    </row>
    <row r="1105">
      <c r="A1105" s="220"/>
      <c r="F1105" s="190"/>
      <c r="G1105" s="190"/>
      <c r="L1105" s="220"/>
      <c r="M1105" s="22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M1105" s="214"/>
      <c r="AN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c r="BU1105" s="210"/>
      <c r="BV1105" s="210"/>
      <c r="BW1105" s="210"/>
      <c r="BX1105" s="210"/>
      <c r="BY1105" s="210"/>
      <c r="BZ1105" s="210"/>
      <c r="CA1105" s="210"/>
      <c r="CB1105" s="210"/>
      <c r="CC1105" s="210"/>
      <c r="CD1105" s="210"/>
      <c r="CE1105" s="210"/>
      <c r="CF1105" s="210"/>
      <c r="CG1105" s="210"/>
      <c r="CH1105" s="210"/>
      <c r="CI1105" s="210"/>
      <c r="CJ1105" s="210"/>
      <c r="CK1105" s="210"/>
    </row>
    <row r="1106">
      <c r="A1106" s="220"/>
      <c r="F1106" s="190"/>
      <c r="G1106" s="190"/>
      <c r="L1106" s="220"/>
      <c r="M1106" s="22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M1106" s="214"/>
      <c r="AN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c r="BU1106" s="210"/>
      <c r="BV1106" s="210"/>
      <c r="BW1106" s="210"/>
      <c r="BX1106" s="210"/>
      <c r="BY1106" s="210"/>
      <c r="BZ1106" s="210"/>
      <c r="CA1106" s="210"/>
      <c r="CB1106" s="210"/>
      <c r="CC1106" s="210"/>
      <c r="CD1106" s="210"/>
      <c r="CE1106" s="210"/>
      <c r="CF1106" s="210"/>
      <c r="CG1106" s="210"/>
      <c r="CH1106" s="210"/>
      <c r="CI1106" s="210"/>
      <c r="CJ1106" s="210"/>
      <c r="CK1106" s="210"/>
    </row>
    <row r="1107">
      <c r="A1107" s="220"/>
      <c r="F1107" s="190"/>
      <c r="G1107" s="190"/>
      <c r="L1107" s="220"/>
      <c r="M1107" s="22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M1107" s="214"/>
      <c r="AN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c r="BU1107" s="210"/>
      <c r="BV1107" s="210"/>
      <c r="BW1107" s="210"/>
      <c r="BX1107" s="210"/>
      <c r="BY1107" s="210"/>
      <c r="BZ1107" s="210"/>
      <c r="CA1107" s="210"/>
      <c r="CB1107" s="210"/>
      <c r="CC1107" s="210"/>
      <c r="CD1107" s="210"/>
      <c r="CE1107" s="210"/>
      <c r="CF1107" s="210"/>
      <c r="CG1107" s="210"/>
      <c r="CH1107" s="210"/>
      <c r="CI1107" s="210"/>
      <c r="CJ1107" s="210"/>
      <c r="CK1107" s="210"/>
    </row>
    <row r="1108">
      <c r="A1108" s="220"/>
      <c r="F1108" s="190"/>
      <c r="G1108" s="190"/>
      <c r="L1108" s="220"/>
      <c r="M1108" s="22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M1108" s="214"/>
      <c r="AN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c r="BU1108" s="210"/>
      <c r="BV1108" s="210"/>
      <c r="BW1108" s="210"/>
      <c r="BX1108" s="210"/>
      <c r="BY1108" s="210"/>
      <c r="BZ1108" s="210"/>
      <c r="CA1108" s="210"/>
      <c r="CB1108" s="210"/>
      <c r="CC1108" s="210"/>
      <c r="CD1108" s="210"/>
      <c r="CE1108" s="210"/>
      <c r="CF1108" s="210"/>
      <c r="CG1108" s="210"/>
      <c r="CH1108" s="210"/>
      <c r="CI1108" s="210"/>
      <c r="CJ1108" s="210"/>
      <c r="CK1108" s="210"/>
    </row>
    <row r="1109">
      <c r="A1109" s="220"/>
      <c r="F1109" s="190"/>
      <c r="G1109" s="190"/>
      <c r="L1109" s="220"/>
      <c r="M1109" s="22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M1109" s="214"/>
      <c r="AN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c r="BU1109" s="210"/>
      <c r="BV1109" s="210"/>
      <c r="BW1109" s="210"/>
      <c r="BX1109" s="210"/>
      <c r="BY1109" s="210"/>
      <c r="BZ1109" s="210"/>
      <c r="CA1109" s="210"/>
      <c r="CB1109" s="210"/>
      <c r="CC1109" s="210"/>
      <c r="CD1109" s="210"/>
      <c r="CE1109" s="210"/>
      <c r="CF1109" s="210"/>
      <c r="CG1109" s="210"/>
      <c r="CH1109" s="210"/>
      <c r="CI1109" s="210"/>
      <c r="CJ1109" s="210"/>
      <c r="CK1109" s="210"/>
    </row>
    <row r="1110">
      <c r="A1110" s="220"/>
      <c r="F1110" s="190"/>
      <c r="G1110" s="190"/>
      <c r="L1110" s="220"/>
      <c r="M1110" s="22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M1110" s="214"/>
      <c r="AN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c r="BU1110" s="210"/>
      <c r="BV1110" s="210"/>
      <c r="BW1110" s="210"/>
      <c r="BX1110" s="210"/>
      <c r="BY1110" s="210"/>
      <c r="BZ1110" s="210"/>
      <c r="CA1110" s="210"/>
      <c r="CB1110" s="210"/>
      <c r="CC1110" s="210"/>
      <c r="CD1110" s="210"/>
      <c r="CE1110" s="210"/>
      <c r="CF1110" s="210"/>
      <c r="CG1110" s="210"/>
      <c r="CH1110" s="210"/>
      <c r="CI1110" s="210"/>
      <c r="CJ1110" s="210"/>
      <c r="CK1110" s="210"/>
    </row>
    <row r="1111">
      <c r="A1111" s="220"/>
      <c r="F1111" s="190"/>
      <c r="G1111" s="190"/>
      <c r="L1111" s="220"/>
      <c r="M1111" s="22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M1111" s="214"/>
      <c r="AN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c r="BU1111" s="210"/>
      <c r="BV1111" s="210"/>
      <c r="BW1111" s="210"/>
      <c r="BX1111" s="210"/>
      <c r="BY1111" s="210"/>
      <c r="BZ1111" s="210"/>
      <c r="CA1111" s="210"/>
      <c r="CB1111" s="210"/>
      <c r="CC1111" s="210"/>
      <c r="CD1111" s="210"/>
      <c r="CE1111" s="210"/>
      <c r="CF1111" s="210"/>
      <c r="CG1111" s="210"/>
      <c r="CH1111" s="210"/>
      <c r="CI1111" s="210"/>
      <c r="CJ1111" s="210"/>
      <c r="CK1111" s="210"/>
    </row>
    <row r="1112">
      <c r="A1112" s="220"/>
      <c r="F1112" s="190"/>
      <c r="G1112" s="190"/>
      <c r="L1112" s="220"/>
      <c r="M1112" s="22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M1112" s="214"/>
      <c r="AN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c r="BU1112" s="210"/>
      <c r="BV1112" s="210"/>
      <c r="BW1112" s="210"/>
      <c r="BX1112" s="210"/>
      <c r="BY1112" s="210"/>
      <c r="BZ1112" s="210"/>
      <c r="CA1112" s="210"/>
      <c r="CB1112" s="210"/>
      <c r="CC1112" s="210"/>
      <c r="CD1112" s="210"/>
      <c r="CE1112" s="210"/>
      <c r="CF1112" s="210"/>
      <c r="CG1112" s="210"/>
      <c r="CH1112" s="210"/>
      <c r="CI1112" s="210"/>
      <c r="CJ1112" s="210"/>
      <c r="CK1112" s="210"/>
    </row>
    <row r="1113">
      <c r="A1113" s="220"/>
      <c r="F1113" s="190"/>
      <c r="G1113" s="190"/>
      <c r="L1113" s="220"/>
      <c r="M1113" s="22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M1113" s="214"/>
      <c r="AN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c r="BU1113" s="210"/>
      <c r="BV1113" s="210"/>
      <c r="BW1113" s="210"/>
      <c r="BX1113" s="210"/>
      <c r="BY1113" s="210"/>
      <c r="BZ1113" s="210"/>
      <c r="CA1113" s="210"/>
      <c r="CB1113" s="210"/>
      <c r="CC1113" s="210"/>
      <c r="CD1113" s="210"/>
      <c r="CE1113" s="210"/>
      <c r="CF1113" s="210"/>
      <c r="CG1113" s="210"/>
      <c r="CH1113" s="210"/>
      <c r="CI1113" s="210"/>
      <c r="CJ1113" s="210"/>
      <c r="CK1113" s="210"/>
    </row>
    <row r="1114">
      <c r="A1114" s="220"/>
      <c r="F1114" s="190"/>
      <c r="G1114" s="190"/>
      <c r="L1114" s="220"/>
      <c r="M1114" s="22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M1114" s="214"/>
      <c r="AN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c r="BU1114" s="210"/>
      <c r="BV1114" s="210"/>
      <c r="BW1114" s="210"/>
      <c r="BX1114" s="210"/>
      <c r="BY1114" s="210"/>
      <c r="BZ1114" s="210"/>
      <c r="CA1114" s="210"/>
      <c r="CB1114" s="210"/>
      <c r="CC1114" s="210"/>
      <c r="CD1114" s="210"/>
      <c r="CE1114" s="210"/>
      <c r="CF1114" s="210"/>
      <c r="CG1114" s="210"/>
      <c r="CH1114" s="210"/>
      <c r="CI1114" s="210"/>
      <c r="CJ1114" s="210"/>
      <c r="CK1114" s="210"/>
    </row>
    <row r="1115">
      <c r="A1115" s="220"/>
      <c r="F1115" s="190"/>
      <c r="G1115" s="190"/>
      <c r="L1115" s="220"/>
      <c r="M1115" s="22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M1115" s="214"/>
      <c r="AN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c r="BU1115" s="210"/>
      <c r="BV1115" s="210"/>
      <c r="BW1115" s="210"/>
      <c r="BX1115" s="210"/>
      <c r="BY1115" s="210"/>
      <c r="BZ1115" s="210"/>
      <c r="CA1115" s="210"/>
      <c r="CB1115" s="210"/>
      <c r="CC1115" s="210"/>
      <c r="CD1115" s="210"/>
      <c r="CE1115" s="210"/>
      <c r="CF1115" s="210"/>
      <c r="CG1115" s="210"/>
      <c r="CH1115" s="210"/>
      <c r="CI1115" s="210"/>
      <c r="CJ1115" s="210"/>
      <c r="CK1115" s="210"/>
    </row>
    <row r="1116">
      <c r="A1116" s="220"/>
      <c r="F1116" s="190"/>
      <c r="G1116" s="190"/>
      <c r="L1116" s="220"/>
      <c r="M1116" s="22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M1116" s="214"/>
      <c r="AN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c r="BU1116" s="210"/>
      <c r="BV1116" s="210"/>
      <c r="BW1116" s="210"/>
      <c r="BX1116" s="210"/>
      <c r="BY1116" s="210"/>
      <c r="BZ1116" s="210"/>
      <c r="CA1116" s="210"/>
      <c r="CB1116" s="210"/>
      <c r="CC1116" s="210"/>
      <c r="CD1116" s="210"/>
      <c r="CE1116" s="210"/>
      <c r="CF1116" s="210"/>
      <c r="CG1116" s="210"/>
      <c r="CH1116" s="210"/>
      <c r="CI1116" s="210"/>
      <c r="CJ1116" s="210"/>
      <c r="CK1116" s="210"/>
    </row>
    <row r="1117">
      <c r="A1117" s="220"/>
      <c r="F1117" s="190"/>
      <c r="G1117" s="190"/>
      <c r="L1117" s="220"/>
      <c r="M1117" s="22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M1117" s="214"/>
      <c r="AN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c r="BU1117" s="210"/>
      <c r="BV1117" s="210"/>
      <c r="BW1117" s="210"/>
      <c r="BX1117" s="210"/>
      <c r="BY1117" s="210"/>
      <c r="BZ1117" s="210"/>
      <c r="CA1117" s="210"/>
      <c r="CB1117" s="210"/>
      <c r="CC1117" s="210"/>
      <c r="CD1117" s="210"/>
      <c r="CE1117" s="210"/>
      <c r="CF1117" s="210"/>
      <c r="CG1117" s="210"/>
      <c r="CH1117" s="210"/>
      <c r="CI1117" s="210"/>
      <c r="CJ1117" s="210"/>
      <c r="CK1117" s="210"/>
    </row>
    <row r="1118">
      <c r="A1118" s="220"/>
      <c r="F1118" s="190"/>
      <c r="G1118" s="190"/>
      <c r="L1118" s="220"/>
      <c r="M1118" s="22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M1118" s="214"/>
      <c r="AN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c r="BU1118" s="210"/>
      <c r="BV1118" s="210"/>
      <c r="BW1118" s="210"/>
      <c r="BX1118" s="210"/>
      <c r="BY1118" s="210"/>
      <c r="BZ1118" s="210"/>
      <c r="CA1118" s="210"/>
      <c r="CB1118" s="210"/>
      <c r="CC1118" s="210"/>
      <c r="CD1118" s="210"/>
      <c r="CE1118" s="210"/>
      <c r="CF1118" s="210"/>
      <c r="CG1118" s="210"/>
      <c r="CH1118" s="210"/>
      <c r="CI1118" s="210"/>
      <c r="CJ1118" s="210"/>
      <c r="CK1118" s="210"/>
    </row>
    <row r="1119">
      <c r="A1119" s="220"/>
      <c r="F1119" s="190"/>
      <c r="G1119" s="190"/>
      <c r="L1119" s="220"/>
      <c r="M1119" s="22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M1119" s="214"/>
      <c r="AN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c r="BU1119" s="210"/>
      <c r="BV1119" s="210"/>
      <c r="BW1119" s="210"/>
      <c r="BX1119" s="210"/>
      <c r="BY1119" s="210"/>
      <c r="BZ1119" s="210"/>
      <c r="CA1119" s="210"/>
      <c r="CB1119" s="210"/>
      <c r="CC1119" s="210"/>
      <c r="CD1119" s="210"/>
      <c r="CE1119" s="210"/>
      <c r="CF1119" s="210"/>
      <c r="CG1119" s="210"/>
      <c r="CH1119" s="210"/>
      <c r="CI1119" s="210"/>
      <c r="CJ1119" s="210"/>
      <c r="CK1119" s="210"/>
    </row>
    <row r="1120">
      <c r="A1120" s="220"/>
      <c r="F1120" s="190"/>
      <c r="G1120" s="190"/>
      <c r="L1120" s="220"/>
      <c r="M1120" s="22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M1120" s="214"/>
      <c r="AN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c r="BU1120" s="210"/>
      <c r="BV1120" s="210"/>
      <c r="BW1120" s="210"/>
      <c r="BX1120" s="210"/>
      <c r="BY1120" s="210"/>
      <c r="BZ1120" s="210"/>
      <c r="CA1120" s="210"/>
      <c r="CB1120" s="210"/>
      <c r="CC1120" s="210"/>
      <c r="CD1120" s="210"/>
      <c r="CE1120" s="210"/>
      <c r="CF1120" s="210"/>
      <c r="CG1120" s="210"/>
      <c r="CH1120" s="210"/>
      <c r="CI1120" s="210"/>
      <c r="CJ1120" s="210"/>
      <c r="CK1120" s="210"/>
    </row>
    <row r="1121">
      <c r="A1121" s="220"/>
      <c r="F1121" s="190"/>
      <c r="G1121" s="190"/>
      <c r="L1121" s="220"/>
      <c r="M1121" s="22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M1121" s="214"/>
      <c r="AN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c r="BU1121" s="210"/>
      <c r="BV1121" s="210"/>
      <c r="BW1121" s="210"/>
      <c r="BX1121" s="210"/>
      <c r="BY1121" s="210"/>
      <c r="BZ1121" s="210"/>
      <c r="CA1121" s="210"/>
      <c r="CB1121" s="210"/>
      <c r="CC1121" s="210"/>
      <c r="CD1121" s="210"/>
      <c r="CE1121" s="210"/>
      <c r="CF1121" s="210"/>
      <c r="CG1121" s="210"/>
      <c r="CH1121" s="210"/>
      <c r="CI1121" s="210"/>
      <c r="CJ1121" s="210"/>
      <c r="CK1121" s="210"/>
    </row>
    <row r="1122">
      <c r="A1122" s="220"/>
      <c r="F1122" s="190"/>
      <c r="G1122" s="190"/>
      <c r="L1122" s="220"/>
      <c r="M1122" s="22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M1122" s="214"/>
      <c r="AN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c r="BU1122" s="210"/>
      <c r="BV1122" s="210"/>
      <c r="BW1122" s="210"/>
      <c r="BX1122" s="210"/>
      <c r="BY1122" s="210"/>
      <c r="BZ1122" s="210"/>
      <c r="CA1122" s="210"/>
      <c r="CB1122" s="210"/>
      <c r="CC1122" s="210"/>
      <c r="CD1122" s="210"/>
      <c r="CE1122" s="210"/>
      <c r="CF1122" s="210"/>
      <c r="CG1122" s="210"/>
      <c r="CH1122" s="210"/>
      <c r="CI1122" s="210"/>
      <c r="CJ1122" s="210"/>
      <c r="CK1122" s="210"/>
    </row>
    <row r="1123">
      <c r="A1123" s="220"/>
      <c r="F1123" s="190"/>
      <c r="G1123" s="190"/>
      <c r="L1123" s="220"/>
      <c r="M1123" s="22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M1123" s="214"/>
      <c r="AN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c r="BU1123" s="210"/>
      <c r="BV1123" s="210"/>
      <c r="BW1123" s="210"/>
      <c r="BX1123" s="210"/>
      <c r="BY1123" s="210"/>
      <c r="BZ1123" s="210"/>
      <c r="CA1123" s="210"/>
      <c r="CB1123" s="210"/>
      <c r="CC1123" s="210"/>
      <c r="CD1123" s="210"/>
      <c r="CE1123" s="210"/>
      <c r="CF1123" s="210"/>
      <c r="CG1123" s="210"/>
      <c r="CH1123" s="210"/>
      <c r="CI1123" s="210"/>
      <c r="CJ1123" s="210"/>
      <c r="CK1123" s="210"/>
    </row>
    <row r="1124">
      <c r="A1124" s="220"/>
      <c r="F1124" s="190"/>
      <c r="G1124" s="190"/>
      <c r="L1124" s="220"/>
      <c r="M1124" s="220"/>
      <c r="O1124" s="210"/>
      <c r="P1124" s="210"/>
      <c r="Q1124" s="210"/>
      <c r="R1124" s="210"/>
      <c r="S1124" s="210"/>
      <c r="T1124" s="210"/>
      <c r="U1124" s="210"/>
      <c r="V1124" s="210"/>
      <c r="W1124" s="210"/>
      <c r="X1124" s="210"/>
      <c r="Y1124" s="210"/>
      <c r="Z1124" s="210"/>
      <c r="AA1124" s="210"/>
      <c r="AB1124" s="210"/>
      <c r="AC1124" s="210"/>
      <c r="AD1124" s="210"/>
      <c r="AE1124" s="210"/>
      <c r="AF1124" s="210"/>
      <c r="AG1124" s="210"/>
      <c r="AH1124" s="210"/>
      <c r="AI1124" s="210"/>
      <c r="AJ1124" s="210"/>
      <c r="AK1124" s="210"/>
      <c r="AL1124" s="210"/>
      <c r="AM1124" s="214"/>
      <c r="AN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c r="BU1124" s="210"/>
      <c r="BV1124" s="210"/>
      <c r="BW1124" s="210"/>
      <c r="BX1124" s="210"/>
      <c r="BY1124" s="210"/>
      <c r="BZ1124" s="210"/>
      <c r="CA1124" s="210"/>
      <c r="CB1124" s="210"/>
      <c r="CC1124" s="210"/>
      <c r="CD1124" s="210"/>
      <c r="CE1124" s="210"/>
      <c r="CF1124" s="210"/>
      <c r="CG1124" s="210"/>
      <c r="CH1124" s="210"/>
      <c r="CI1124" s="210"/>
      <c r="CJ1124" s="210"/>
      <c r="CK1124" s="210"/>
    </row>
    <row r="1125">
      <c r="A1125" s="220"/>
      <c r="F1125" s="190"/>
      <c r="G1125" s="190"/>
      <c r="L1125" s="220"/>
      <c r="M1125" s="220"/>
      <c r="O1125" s="210"/>
      <c r="P1125" s="210"/>
      <c r="Q1125" s="210"/>
      <c r="R1125" s="210"/>
      <c r="S1125" s="210"/>
      <c r="T1125" s="210"/>
      <c r="U1125" s="210"/>
      <c r="V1125" s="210"/>
      <c r="W1125" s="210"/>
      <c r="X1125" s="210"/>
      <c r="Y1125" s="210"/>
      <c r="Z1125" s="210"/>
      <c r="AA1125" s="210"/>
      <c r="AB1125" s="210"/>
      <c r="AC1125" s="210"/>
      <c r="AD1125" s="210"/>
      <c r="AE1125" s="210"/>
      <c r="AF1125" s="210"/>
      <c r="AG1125" s="210"/>
      <c r="AH1125" s="210"/>
      <c r="AI1125" s="210"/>
      <c r="AJ1125" s="210"/>
      <c r="AK1125" s="210"/>
      <c r="AL1125" s="210"/>
      <c r="AM1125" s="214"/>
      <c r="AN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c r="BU1125" s="210"/>
      <c r="BV1125" s="210"/>
      <c r="BW1125" s="210"/>
      <c r="BX1125" s="210"/>
      <c r="BY1125" s="210"/>
      <c r="BZ1125" s="210"/>
      <c r="CA1125" s="210"/>
      <c r="CB1125" s="210"/>
      <c r="CC1125" s="210"/>
      <c r="CD1125" s="210"/>
      <c r="CE1125" s="210"/>
      <c r="CF1125" s="210"/>
      <c r="CG1125" s="210"/>
      <c r="CH1125" s="210"/>
      <c r="CI1125" s="210"/>
      <c r="CJ1125" s="210"/>
      <c r="CK1125" s="210"/>
    </row>
    <row r="1126">
      <c r="A1126" s="220"/>
      <c r="F1126" s="190"/>
      <c r="G1126" s="190"/>
      <c r="L1126" s="220"/>
      <c r="M1126" s="220"/>
      <c r="O1126" s="210"/>
      <c r="P1126" s="210"/>
      <c r="Q1126" s="210"/>
      <c r="R1126" s="210"/>
      <c r="S1126" s="210"/>
      <c r="T1126" s="210"/>
      <c r="U1126" s="210"/>
      <c r="V1126" s="210"/>
      <c r="W1126" s="210"/>
      <c r="X1126" s="210"/>
      <c r="Y1126" s="210"/>
      <c r="Z1126" s="210"/>
      <c r="AA1126" s="210"/>
      <c r="AB1126" s="210"/>
      <c r="AC1126" s="210"/>
      <c r="AD1126" s="210"/>
      <c r="AE1126" s="210"/>
      <c r="AF1126" s="210"/>
      <c r="AG1126" s="210"/>
      <c r="AH1126" s="210"/>
      <c r="AI1126" s="210"/>
      <c r="AJ1126" s="210"/>
      <c r="AK1126" s="210"/>
      <c r="AL1126" s="210"/>
      <c r="AM1126" s="214"/>
      <c r="AN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c r="BU1126" s="210"/>
      <c r="BV1126" s="210"/>
      <c r="BW1126" s="210"/>
      <c r="BX1126" s="210"/>
      <c r="BY1126" s="210"/>
      <c r="BZ1126" s="210"/>
      <c r="CA1126" s="210"/>
      <c r="CB1126" s="210"/>
      <c r="CC1126" s="210"/>
      <c r="CD1126" s="210"/>
      <c r="CE1126" s="210"/>
      <c r="CF1126" s="210"/>
      <c r="CG1126" s="210"/>
      <c r="CH1126" s="210"/>
      <c r="CI1126" s="210"/>
      <c r="CJ1126" s="210"/>
      <c r="CK1126" s="210"/>
    </row>
    <row r="1127">
      <c r="A1127" s="220"/>
      <c r="F1127" s="190"/>
      <c r="G1127" s="190"/>
      <c r="L1127" s="220"/>
      <c r="M1127" s="220"/>
      <c r="O1127" s="210"/>
      <c r="P1127" s="210"/>
      <c r="Q1127" s="210"/>
      <c r="R1127" s="210"/>
      <c r="S1127" s="210"/>
      <c r="T1127" s="210"/>
      <c r="U1127" s="210"/>
      <c r="V1127" s="210"/>
      <c r="W1127" s="210"/>
      <c r="X1127" s="210"/>
      <c r="Y1127" s="210"/>
      <c r="Z1127" s="210"/>
      <c r="AA1127" s="210"/>
      <c r="AB1127" s="210"/>
      <c r="AC1127" s="210"/>
      <c r="AD1127" s="210"/>
      <c r="AE1127" s="210"/>
      <c r="AF1127" s="210"/>
      <c r="AG1127" s="210"/>
      <c r="AH1127" s="210"/>
      <c r="AI1127" s="210"/>
      <c r="AJ1127" s="210"/>
      <c r="AK1127" s="210"/>
      <c r="AL1127" s="210"/>
      <c r="AM1127" s="214"/>
      <c r="AN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c r="BU1127" s="210"/>
      <c r="BV1127" s="210"/>
      <c r="BW1127" s="210"/>
      <c r="BX1127" s="210"/>
      <c r="BY1127" s="210"/>
      <c r="BZ1127" s="210"/>
      <c r="CA1127" s="210"/>
      <c r="CB1127" s="210"/>
      <c r="CC1127" s="210"/>
      <c r="CD1127" s="210"/>
      <c r="CE1127" s="210"/>
      <c r="CF1127" s="210"/>
      <c r="CG1127" s="210"/>
      <c r="CH1127" s="210"/>
      <c r="CI1127" s="210"/>
      <c r="CJ1127" s="210"/>
      <c r="CK1127" s="210"/>
    </row>
    <row r="1128">
      <c r="A1128" s="220"/>
      <c r="F1128" s="190"/>
      <c r="G1128" s="190"/>
      <c r="L1128" s="220"/>
      <c r="M1128" s="220"/>
      <c r="O1128" s="210"/>
      <c r="P1128" s="210"/>
      <c r="Q1128" s="210"/>
      <c r="R1128" s="210"/>
      <c r="S1128" s="210"/>
      <c r="T1128" s="210"/>
      <c r="U1128" s="210"/>
      <c r="V1128" s="210"/>
      <c r="W1128" s="210"/>
      <c r="X1128" s="210"/>
      <c r="Y1128" s="210"/>
      <c r="Z1128" s="210"/>
      <c r="AA1128" s="210"/>
      <c r="AB1128" s="210"/>
      <c r="AC1128" s="210"/>
      <c r="AD1128" s="210"/>
      <c r="AE1128" s="210"/>
      <c r="AF1128" s="210"/>
      <c r="AG1128" s="210"/>
      <c r="AH1128" s="210"/>
      <c r="AI1128" s="210"/>
      <c r="AJ1128" s="210"/>
      <c r="AK1128" s="210"/>
      <c r="AL1128" s="210"/>
      <c r="AM1128" s="214"/>
      <c r="AN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c r="BU1128" s="210"/>
      <c r="BV1128" s="210"/>
      <c r="BW1128" s="210"/>
      <c r="BX1128" s="210"/>
      <c r="BY1128" s="210"/>
      <c r="BZ1128" s="210"/>
      <c r="CA1128" s="210"/>
      <c r="CB1128" s="210"/>
      <c r="CC1128" s="210"/>
      <c r="CD1128" s="210"/>
      <c r="CE1128" s="210"/>
      <c r="CF1128" s="210"/>
      <c r="CG1128" s="210"/>
      <c r="CH1128" s="210"/>
      <c r="CI1128" s="210"/>
      <c r="CJ1128" s="210"/>
      <c r="CK1128" s="210"/>
    </row>
    <row r="1129">
      <c r="A1129" s="220"/>
      <c r="F1129" s="190"/>
      <c r="G1129" s="190"/>
      <c r="L1129" s="220"/>
      <c r="M1129" s="220"/>
      <c r="O1129" s="210"/>
      <c r="P1129" s="210"/>
      <c r="Q1129" s="210"/>
      <c r="R1129" s="210"/>
      <c r="S1129" s="210"/>
      <c r="T1129" s="210"/>
      <c r="U1129" s="210"/>
      <c r="V1129" s="210"/>
      <c r="W1129" s="210"/>
      <c r="X1129" s="210"/>
      <c r="Y1129" s="210"/>
      <c r="Z1129" s="210"/>
      <c r="AA1129" s="210"/>
      <c r="AB1129" s="210"/>
      <c r="AC1129" s="210"/>
      <c r="AD1129" s="210"/>
      <c r="AE1129" s="210"/>
      <c r="AF1129" s="210"/>
      <c r="AG1129" s="210"/>
      <c r="AH1129" s="210"/>
      <c r="AI1129" s="210"/>
      <c r="AJ1129" s="210"/>
      <c r="AK1129" s="210"/>
      <c r="AL1129" s="210"/>
      <c r="AM1129" s="214"/>
      <c r="AN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c r="BU1129" s="210"/>
      <c r="BV1129" s="210"/>
      <c r="BW1129" s="210"/>
      <c r="BX1129" s="210"/>
      <c r="BY1129" s="210"/>
      <c r="BZ1129" s="210"/>
      <c r="CA1129" s="210"/>
      <c r="CB1129" s="210"/>
      <c r="CC1129" s="210"/>
      <c r="CD1129" s="210"/>
      <c r="CE1129" s="210"/>
      <c r="CF1129" s="210"/>
      <c r="CG1129" s="210"/>
      <c r="CH1129" s="210"/>
      <c r="CI1129" s="210"/>
      <c r="CJ1129" s="210"/>
      <c r="CK1129" s="210"/>
    </row>
    <row r="1130">
      <c r="A1130" s="220"/>
      <c r="F1130" s="190"/>
      <c r="G1130" s="190"/>
      <c r="L1130" s="220"/>
      <c r="M1130" s="220"/>
      <c r="O1130" s="210"/>
      <c r="P1130" s="210"/>
      <c r="Q1130" s="210"/>
      <c r="R1130" s="210"/>
      <c r="S1130" s="210"/>
      <c r="T1130" s="210"/>
      <c r="U1130" s="210"/>
      <c r="V1130" s="210"/>
      <c r="W1130" s="210"/>
      <c r="X1130" s="210"/>
      <c r="Y1130" s="210"/>
      <c r="Z1130" s="210"/>
      <c r="AA1130" s="210"/>
      <c r="AB1130" s="210"/>
      <c r="AC1130" s="210"/>
      <c r="AD1130" s="210"/>
      <c r="AE1130" s="210"/>
      <c r="AF1130" s="210"/>
      <c r="AG1130" s="210"/>
      <c r="AH1130" s="210"/>
      <c r="AI1130" s="210"/>
      <c r="AJ1130" s="210"/>
      <c r="AK1130" s="210"/>
      <c r="AL1130" s="210"/>
      <c r="AM1130" s="214"/>
      <c r="AN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c r="BU1130" s="210"/>
      <c r="BV1130" s="210"/>
      <c r="BW1130" s="210"/>
      <c r="BX1130" s="210"/>
      <c r="BY1130" s="210"/>
      <c r="BZ1130" s="210"/>
      <c r="CA1130" s="210"/>
      <c r="CB1130" s="210"/>
      <c r="CC1130" s="210"/>
      <c r="CD1130" s="210"/>
      <c r="CE1130" s="210"/>
      <c r="CF1130" s="210"/>
      <c r="CG1130" s="210"/>
      <c r="CH1130" s="210"/>
      <c r="CI1130" s="210"/>
      <c r="CJ1130" s="210"/>
      <c r="CK1130" s="210"/>
    </row>
    <row r="1131">
      <c r="A1131" s="220"/>
      <c r="F1131" s="190"/>
      <c r="G1131" s="190"/>
      <c r="L1131" s="220"/>
      <c r="M1131" s="220"/>
      <c r="O1131" s="210"/>
      <c r="P1131" s="210"/>
      <c r="Q1131" s="210"/>
      <c r="R1131" s="210"/>
      <c r="S1131" s="210"/>
      <c r="T1131" s="210"/>
      <c r="U1131" s="210"/>
      <c r="V1131" s="210"/>
      <c r="W1131" s="210"/>
      <c r="X1131" s="210"/>
      <c r="Y1131" s="210"/>
      <c r="Z1131" s="210"/>
      <c r="AA1131" s="210"/>
      <c r="AB1131" s="210"/>
      <c r="AC1131" s="210"/>
      <c r="AD1131" s="210"/>
      <c r="AE1131" s="210"/>
      <c r="AF1131" s="210"/>
      <c r="AG1131" s="210"/>
      <c r="AH1131" s="210"/>
      <c r="AI1131" s="210"/>
      <c r="AJ1131" s="210"/>
      <c r="AK1131" s="210"/>
      <c r="AL1131" s="210"/>
      <c r="AM1131" s="214"/>
      <c r="AN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c r="BU1131" s="210"/>
      <c r="BV1131" s="210"/>
      <c r="BW1131" s="210"/>
      <c r="BX1131" s="210"/>
      <c r="BY1131" s="210"/>
      <c r="BZ1131" s="210"/>
      <c r="CA1131" s="210"/>
      <c r="CB1131" s="210"/>
      <c r="CC1131" s="210"/>
      <c r="CD1131" s="210"/>
      <c r="CE1131" s="210"/>
      <c r="CF1131" s="210"/>
      <c r="CG1131" s="210"/>
      <c r="CH1131" s="210"/>
      <c r="CI1131" s="210"/>
      <c r="CJ1131" s="210"/>
      <c r="CK1131" s="210"/>
    </row>
    <row r="1132">
      <c r="A1132" s="220"/>
      <c r="F1132" s="190"/>
      <c r="G1132" s="190"/>
      <c r="L1132" s="220"/>
      <c r="M1132" s="220"/>
      <c r="O1132" s="210"/>
      <c r="P1132" s="210"/>
      <c r="Q1132" s="210"/>
      <c r="R1132" s="210"/>
      <c r="S1132" s="210"/>
      <c r="T1132" s="210"/>
      <c r="U1132" s="210"/>
      <c r="V1132" s="210"/>
      <c r="W1132" s="210"/>
      <c r="X1132" s="210"/>
      <c r="Y1132" s="210"/>
      <c r="Z1132" s="210"/>
      <c r="AA1132" s="210"/>
      <c r="AB1132" s="210"/>
      <c r="AC1132" s="210"/>
      <c r="AD1132" s="210"/>
      <c r="AE1132" s="210"/>
      <c r="AF1132" s="210"/>
      <c r="AG1132" s="210"/>
      <c r="AH1132" s="210"/>
      <c r="AI1132" s="210"/>
      <c r="AJ1132" s="210"/>
      <c r="AK1132" s="210"/>
      <c r="AL1132" s="210"/>
      <c r="AM1132" s="214"/>
      <c r="AN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c r="BU1132" s="210"/>
      <c r="BV1132" s="210"/>
      <c r="BW1132" s="210"/>
      <c r="BX1132" s="210"/>
      <c r="BY1132" s="210"/>
      <c r="BZ1132" s="210"/>
      <c r="CA1132" s="210"/>
      <c r="CB1132" s="210"/>
      <c r="CC1132" s="210"/>
      <c r="CD1132" s="210"/>
      <c r="CE1132" s="210"/>
      <c r="CF1132" s="210"/>
      <c r="CG1132" s="210"/>
      <c r="CH1132" s="210"/>
      <c r="CI1132" s="210"/>
      <c r="CJ1132" s="210"/>
      <c r="CK1132" s="210"/>
    </row>
    <row r="1133">
      <c r="A1133" s="220"/>
      <c r="F1133" s="190"/>
      <c r="G1133" s="190"/>
      <c r="L1133" s="220"/>
      <c r="M1133" s="220"/>
      <c r="O1133" s="210"/>
      <c r="P1133" s="210"/>
      <c r="Q1133" s="210"/>
      <c r="R1133" s="210"/>
      <c r="S1133" s="210"/>
      <c r="T1133" s="210"/>
      <c r="U1133" s="210"/>
      <c r="V1133" s="210"/>
      <c r="W1133" s="210"/>
      <c r="X1133" s="210"/>
      <c r="Y1133" s="210"/>
      <c r="Z1133" s="210"/>
      <c r="AA1133" s="210"/>
      <c r="AB1133" s="210"/>
      <c r="AC1133" s="210"/>
      <c r="AD1133" s="210"/>
      <c r="AE1133" s="210"/>
      <c r="AF1133" s="210"/>
      <c r="AG1133" s="210"/>
      <c r="AH1133" s="210"/>
      <c r="AI1133" s="210"/>
      <c r="AJ1133" s="210"/>
      <c r="AK1133" s="210"/>
      <c r="AL1133" s="210"/>
      <c r="AM1133" s="214"/>
      <c r="AN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c r="BU1133" s="210"/>
      <c r="BV1133" s="210"/>
      <c r="BW1133" s="210"/>
      <c r="BX1133" s="210"/>
      <c r="BY1133" s="210"/>
      <c r="BZ1133" s="210"/>
      <c r="CA1133" s="210"/>
      <c r="CB1133" s="210"/>
      <c r="CC1133" s="210"/>
      <c r="CD1133" s="210"/>
      <c r="CE1133" s="210"/>
      <c r="CF1133" s="210"/>
      <c r="CG1133" s="210"/>
      <c r="CH1133" s="210"/>
      <c r="CI1133" s="210"/>
      <c r="CJ1133" s="210"/>
      <c r="CK1133" s="210"/>
    </row>
    <row r="1134">
      <c r="A1134" s="220"/>
      <c r="F1134" s="190"/>
      <c r="G1134" s="190"/>
      <c r="L1134" s="220"/>
      <c r="M1134" s="220"/>
      <c r="O1134" s="210"/>
      <c r="P1134" s="210"/>
      <c r="Q1134" s="210"/>
      <c r="R1134" s="210"/>
      <c r="S1134" s="210"/>
      <c r="T1134" s="210"/>
      <c r="U1134" s="210"/>
      <c r="V1134" s="210"/>
      <c r="W1134" s="210"/>
      <c r="X1134" s="210"/>
      <c r="Y1134" s="210"/>
      <c r="Z1134" s="210"/>
      <c r="AA1134" s="210"/>
      <c r="AB1134" s="210"/>
      <c r="AC1134" s="210"/>
      <c r="AD1134" s="210"/>
      <c r="AE1134" s="210"/>
      <c r="AF1134" s="210"/>
      <c r="AG1134" s="210"/>
      <c r="AH1134" s="210"/>
      <c r="AI1134" s="210"/>
      <c r="AJ1134" s="210"/>
      <c r="AK1134" s="210"/>
      <c r="AL1134" s="210"/>
      <c r="AM1134" s="214"/>
      <c r="AN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c r="BU1134" s="210"/>
      <c r="BV1134" s="210"/>
      <c r="BW1134" s="210"/>
      <c r="BX1134" s="210"/>
      <c r="BY1134" s="210"/>
      <c r="BZ1134" s="210"/>
      <c r="CA1134" s="210"/>
      <c r="CB1134" s="210"/>
      <c r="CC1134" s="210"/>
      <c r="CD1134" s="210"/>
      <c r="CE1134" s="210"/>
      <c r="CF1134" s="210"/>
      <c r="CG1134" s="210"/>
      <c r="CH1134" s="210"/>
      <c r="CI1134" s="210"/>
      <c r="CJ1134" s="210"/>
      <c r="CK1134" s="210"/>
    </row>
    <row r="1135">
      <c r="A1135" s="220"/>
      <c r="F1135" s="190"/>
      <c r="G1135" s="190"/>
      <c r="L1135" s="220"/>
      <c r="M1135" s="220"/>
      <c r="O1135" s="210"/>
      <c r="P1135" s="210"/>
      <c r="Q1135" s="210"/>
      <c r="R1135" s="210"/>
      <c r="S1135" s="210"/>
      <c r="T1135" s="210"/>
      <c r="U1135" s="210"/>
      <c r="V1135" s="210"/>
      <c r="W1135" s="210"/>
      <c r="X1135" s="210"/>
      <c r="Y1135" s="210"/>
      <c r="Z1135" s="210"/>
      <c r="AA1135" s="210"/>
      <c r="AB1135" s="210"/>
      <c r="AC1135" s="210"/>
      <c r="AD1135" s="210"/>
      <c r="AE1135" s="210"/>
      <c r="AF1135" s="210"/>
      <c r="AG1135" s="210"/>
      <c r="AH1135" s="210"/>
      <c r="AI1135" s="210"/>
      <c r="AJ1135" s="210"/>
      <c r="AK1135" s="210"/>
      <c r="AL1135" s="210"/>
      <c r="AM1135" s="214"/>
      <c r="AN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c r="BU1135" s="210"/>
      <c r="BV1135" s="210"/>
      <c r="BW1135" s="210"/>
      <c r="BX1135" s="210"/>
      <c r="BY1135" s="210"/>
      <c r="BZ1135" s="210"/>
      <c r="CA1135" s="210"/>
      <c r="CB1135" s="210"/>
      <c r="CC1135" s="210"/>
      <c r="CD1135" s="210"/>
      <c r="CE1135" s="210"/>
      <c r="CF1135" s="210"/>
      <c r="CG1135" s="210"/>
      <c r="CH1135" s="210"/>
      <c r="CI1135" s="210"/>
      <c r="CJ1135" s="210"/>
      <c r="CK1135" s="210"/>
    </row>
    <row r="1136">
      <c r="A1136" s="220"/>
      <c r="F1136" s="190"/>
      <c r="G1136" s="190"/>
      <c r="L1136" s="220"/>
      <c r="M1136" s="220"/>
      <c r="O1136" s="210"/>
      <c r="P1136" s="210"/>
      <c r="Q1136" s="210"/>
      <c r="R1136" s="210"/>
      <c r="S1136" s="210"/>
      <c r="T1136" s="210"/>
      <c r="U1136" s="210"/>
      <c r="V1136" s="210"/>
      <c r="W1136" s="210"/>
      <c r="X1136" s="210"/>
      <c r="Y1136" s="210"/>
      <c r="Z1136" s="210"/>
      <c r="AA1136" s="210"/>
      <c r="AB1136" s="210"/>
      <c r="AC1136" s="210"/>
      <c r="AD1136" s="210"/>
      <c r="AE1136" s="210"/>
      <c r="AF1136" s="210"/>
      <c r="AG1136" s="210"/>
      <c r="AH1136" s="210"/>
      <c r="AI1136" s="210"/>
      <c r="AJ1136" s="210"/>
      <c r="AK1136" s="210"/>
      <c r="AL1136" s="210"/>
      <c r="AM1136" s="214"/>
      <c r="AN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c r="BU1136" s="210"/>
      <c r="BV1136" s="210"/>
      <c r="BW1136" s="210"/>
      <c r="BX1136" s="210"/>
      <c r="BY1136" s="210"/>
      <c r="BZ1136" s="210"/>
      <c r="CA1136" s="210"/>
      <c r="CB1136" s="210"/>
      <c r="CC1136" s="210"/>
      <c r="CD1136" s="210"/>
      <c r="CE1136" s="210"/>
      <c r="CF1136" s="210"/>
      <c r="CG1136" s="210"/>
      <c r="CH1136" s="210"/>
      <c r="CI1136" s="210"/>
      <c r="CJ1136" s="210"/>
      <c r="CK1136" s="210"/>
    </row>
    <row r="1137">
      <c r="A1137" s="220"/>
      <c r="F1137" s="190"/>
      <c r="G1137" s="190"/>
      <c r="L1137" s="220"/>
      <c r="M1137" s="220"/>
      <c r="O1137" s="210"/>
      <c r="P1137" s="210"/>
      <c r="Q1137" s="210"/>
      <c r="R1137" s="210"/>
      <c r="S1137" s="210"/>
      <c r="T1137" s="210"/>
      <c r="U1137" s="210"/>
      <c r="V1137" s="210"/>
      <c r="W1137" s="210"/>
      <c r="X1137" s="210"/>
      <c r="Y1137" s="210"/>
      <c r="Z1137" s="210"/>
      <c r="AA1137" s="210"/>
      <c r="AB1137" s="210"/>
      <c r="AC1137" s="210"/>
      <c r="AD1137" s="210"/>
      <c r="AE1137" s="210"/>
      <c r="AF1137" s="210"/>
      <c r="AG1137" s="210"/>
      <c r="AH1137" s="210"/>
      <c r="AI1137" s="210"/>
      <c r="AJ1137" s="210"/>
      <c r="AK1137" s="210"/>
      <c r="AL1137" s="210"/>
      <c r="AM1137" s="214"/>
      <c r="AN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c r="BU1137" s="210"/>
      <c r="BV1137" s="210"/>
      <c r="BW1137" s="210"/>
      <c r="BX1137" s="210"/>
      <c r="BY1137" s="210"/>
      <c r="BZ1137" s="210"/>
      <c r="CA1137" s="210"/>
      <c r="CB1137" s="210"/>
      <c r="CC1137" s="210"/>
      <c r="CD1137" s="210"/>
      <c r="CE1137" s="210"/>
      <c r="CF1137" s="210"/>
      <c r="CG1137" s="210"/>
      <c r="CH1137" s="210"/>
      <c r="CI1137" s="210"/>
      <c r="CJ1137" s="210"/>
      <c r="CK1137" s="210"/>
    </row>
    <row r="1138">
      <c r="A1138" s="220"/>
      <c r="F1138" s="190"/>
      <c r="G1138" s="190"/>
      <c r="L1138" s="220"/>
      <c r="M1138" s="220"/>
      <c r="O1138" s="210"/>
      <c r="P1138" s="210"/>
      <c r="Q1138" s="210"/>
      <c r="R1138" s="210"/>
      <c r="S1138" s="210"/>
      <c r="T1138" s="210"/>
      <c r="U1138" s="210"/>
      <c r="V1138" s="210"/>
      <c r="W1138" s="210"/>
      <c r="X1138" s="210"/>
      <c r="Y1138" s="210"/>
      <c r="Z1138" s="210"/>
      <c r="AA1138" s="210"/>
      <c r="AB1138" s="210"/>
      <c r="AC1138" s="210"/>
      <c r="AD1138" s="210"/>
      <c r="AE1138" s="210"/>
      <c r="AF1138" s="210"/>
      <c r="AG1138" s="210"/>
      <c r="AH1138" s="210"/>
      <c r="AI1138" s="210"/>
      <c r="AJ1138" s="210"/>
      <c r="AK1138" s="210"/>
      <c r="AL1138" s="210"/>
      <c r="AM1138" s="214"/>
      <c r="AN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c r="BU1138" s="210"/>
      <c r="BV1138" s="210"/>
      <c r="BW1138" s="210"/>
      <c r="BX1138" s="210"/>
      <c r="BY1138" s="210"/>
      <c r="BZ1138" s="210"/>
      <c r="CA1138" s="210"/>
      <c r="CB1138" s="210"/>
      <c r="CC1138" s="210"/>
      <c r="CD1138" s="210"/>
      <c r="CE1138" s="210"/>
      <c r="CF1138" s="210"/>
      <c r="CG1138" s="210"/>
      <c r="CH1138" s="210"/>
      <c r="CI1138" s="210"/>
      <c r="CJ1138" s="210"/>
      <c r="CK1138" s="210"/>
    </row>
    <row r="1139">
      <c r="A1139" s="220"/>
      <c r="F1139" s="190"/>
      <c r="G1139" s="190"/>
      <c r="L1139" s="220"/>
      <c r="M1139" s="220"/>
      <c r="O1139" s="210"/>
      <c r="P1139" s="210"/>
      <c r="Q1139" s="210"/>
      <c r="R1139" s="210"/>
      <c r="S1139" s="210"/>
      <c r="T1139" s="210"/>
      <c r="U1139" s="210"/>
      <c r="V1139" s="210"/>
      <c r="W1139" s="210"/>
      <c r="X1139" s="210"/>
      <c r="Y1139" s="210"/>
      <c r="Z1139" s="210"/>
      <c r="AA1139" s="210"/>
      <c r="AB1139" s="210"/>
      <c r="AC1139" s="210"/>
      <c r="AD1139" s="210"/>
      <c r="AE1139" s="210"/>
      <c r="AF1139" s="210"/>
      <c r="AG1139" s="210"/>
      <c r="AH1139" s="210"/>
      <c r="AI1139" s="210"/>
      <c r="AJ1139" s="210"/>
      <c r="AK1139" s="210"/>
      <c r="AL1139" s="210"/>
      <c r="AM1139" s="214"/>
      <c r="AN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c r="BU1139" s="210"/>
      <c r="BV1139" s="210"/>
      <c r="BW1139" s="210"/>
      <c r="BX1139" s="210"/>
      <c r="BY1139" s="210"/>
      <c r="BZ1139" s="210"/>
      <c r="CA1139" s="210"/>
      <c r="CB1139" s="210"/>
      <c r="CC1139" s="210"/>
      <c r="CD1139" s="210"/>
      <c r="CE1139" s="210"/>
      <c r="CF1139" s="210"/>
      <c r="CG1139" s="210"/>
      <c r="CH1139" s="210"/>
      <c r="CI1139" s="210"/>
      <c r="CJ1139" s="210"/>
      <c r="CK1139" s="210"/>
    </row>
    <row r="1140">
      <c r="A1140" s="220"/>
      <c r="F1140" s="190"/>
      <c r="G1140" s="190"/>
      <c r="L1140" s="220"/>
      <c r="M1140" s="220"/>
      <c r="O1140" s="210"/>
      <c r="P1140" s="210"/>
      <c r="Q1140" s="210"/>
      <c r="R1140" s="210"/>
      <c r="S1140" s="210"/>
      <c r="T1140" s="210"/>
      <c r="U1140" s="210"/>
      <c r="V1140" s="210"/>
      <c r="W1140" s="210"/>
      <c r="X1140" s="210"/>
      <c r="Y1140" s="210"/>
      <c r="Z1140" s="210"/>
      <c r="AA1140" s="210"/>
      <c r="AB1140" s="210"/>
      <c r="AC1140" s="210"/>
      <c r="AD1140" s="210"/>
      <c r="AE1140" s="210"/>
      <c r="AF1140" s="210"/>
      <c r="AG1140" s="210"/>
      <c r="AH1140" s="210"/>
      <c r="AI1140" s="210"/>
      <c r="AJ1140" s="210"/>
      <c r="AK1140" s="210"/>
      <c r="AL1140" s="210"/>
      <c r="AM1140" s="214"/>
      <c r="AN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c r="BU1140" s="210"/>
      <c r="BV1140" s="210"/>
      <c r="BW1140" s="210"/>
      <c r="BX1140" s="210"/>
      <c r="BY1140" s="210"/>
      <c r="BZ1140" s="210"/>
      <c r="CA1140" s="210"/>
      <c r="CB1140" s="210"/>
      <c r="CC1140" s="210"/>
      <c r="CD1140" s="210"/>
      <c r="CE1140" s="210"/>
      <c r="CF1140" s="210"/>
      <c r="CG1140" s="210"/>
      <c r="CH1140" s="210"/>
      <c r="CI1140" s="210"/>
      <c r="CJ1140" s="210"/>
      <c r="CK1140" s="210"/>
    </row>
    <row r="1141">
      <c r="A1141" s="220"/>
      <c r="F1141" s="190"/>
      <c r="G1141" s="190"/>
      <c r="L1141" s="220"/>
      <c r="M1141" s="220"/>
      <c r="O1141" s="210"/>
      <c r="P1141" s="210"/>
      <c r="Q1141" s="210"/>
      <c r="R1141" s="210"/>
      <c r="S1141" s="210"/>
      <c r="T1141" s="210"/>
      <c r="U1141" s="210"/>
      <c r="V1141" s="210"/>
      <c r="W1141" s="210"/>
      <c r="X1141" s="210"/>
      <c r="Y1141" s="210"/>
      <c r="Z1141" s="210"/>
      <c r="AA1141" s="210"/>
      <c r="AB1141" s="210"/>
      <c r="AC1141" s="210"/>
      <c r="AD1141" s="210"/>
      <c r="AE1141" s="210"/>
      <c r="AF1141" s="210"/>
      <c r="AG1141" s="210"/>
      <c r="AH1141" s="210"/>
      <c r="AI1141" s="210"/>
      <c r="AJ1141" s="210"/>
      <c r="AK1141" s="210"/>
      <c r="AL1141" s="210"/>
      <c r="AM1141" s="214"/>
      <c r="AN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c r="BU1141" s="210"/>
      <c r="BV1141" s="210"/>
      <c r="BW1141" s="210"/>
      <c r="BX1141" s="210"/>
      <c r="BY1141" s="210"/>
      <c r="BZ1141" s="210"/>
      <c r="CA1141" s="210"/>
      <c r="CB1141" s="210"/>
      <c r="CC1141" s="210"/>
      <c r="CD1141" s="210"/>
      <c r="CE1141" s="210"/>
      <c r="CF1141" s="210"/>
      <c r="CG1141" s="210"/>
      <c r="CH1141" s="210"/>
      <c r="CI1141" s="210"/>
      <c r="CJ1141" s="210"/>
      <c r="CK1141" s="210"/>
    </row>
    <row r="1142">
      <c r="A1142" s="220"/>
      <c r="F1142" s="190"/>
      <c r="G1142" s="190"/>
      <c r="L1142" s="220"/>
      <c r="M1142" s="220"/>
      <c r="O1142" s="210"/>
      <c r="P1142" s="210"/>
      <c r="Q1142" s="210"/>
      <c r="R1142" s="210"/>
      <c r="S1142" s="210"/>
      <c r="T1142" s="210"/>
      <c r="U1142" s="210"/>
      <c r="V1142" s="210"/>
      <c r="W1142" s="210"/>
      <c r="X1142" s="210"/>
      <c r="Y1142" s="210"/>
      <c r="Z1142" s="210"/>
      <c r="AA1142" s="210"/>
      <c r="AB1142" s="210"/>
      <c r="AC1142" s="210"/>
      <c r="AD1142" s="210"/>
      <c r="AE1142" s="210"/>
      <c r="AF1142" s="210"/>
      <c r="AG1142" s="210"/>
      <c r="AH1142" s="210"/>
      <c r="AI1142" s="210"/>
      <c r="AJ1142" s="210"/>
      <c r="AK1142" s="210"/>
      <c r="AL1142" s="210"/>
      <c r="AM1142" s="214"/>
      <c r="AN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c r="BU1142" s="210"/>
      <c r="BV1142" s="210"/>
      <c r="BW1142" s="210"/>
      <c r="BX1142" s="210"/>
      <c r="BY1142" s="210"/>
      <c r="BZ1142" s="210"/>
      <c r="CA1142" s="210"/>
      <c r="CB1142" s="210"/>
      <c r="CC1142" s="210"/>
      <c r="CD1142" s="210"/>
      <c r="CE1142" s="210"/>
      <c r="CF1142" s="210"/>
      <c r="CG1142" s="210"/>
      <c r="CH1142" s="210"/>
      <c r="CI1142" s="210"/>
      <c r="CJ1142" s="210"/>
      <c r="CK1142" s="210"/>
    </row>
    <row r="1143">
      <c r="A1143" s="220"/>
      <c r="F1143" s="190"/>
      <c r="G1143" s="190"/>
      <c r="L1143" s="220"/>
      <c r="M1143" s="220"/>
      <c r="O1143" s="210"/>
      <c r="P1143" s="210"/>
      <c r="Q1143" s="210"/>
      <c r="R1143" s="210"/>
      <c r="S1143" s="210"/>
      <c r="T1143" s="210"/>
      <c r="U1143" s="210"/>
      <c r="V1143" s="210"/>
      <c r="W1143" s="210"/>
      <c r="X1143" s="210"/>
      <c r="Y1143" s="210"/>
      <c r="Z1143" s="210"/>
      <c r="AA1143" s="210"/>
      <c r="AB1143" s="210"/>
      <c r="AC1143" s="210"/>
      <c r="AD1143" s="210"/>
      <c r="AE1143" s="210"/>
      <c r="AF1143" s="210"/>
      <c r="AG1143" s="210"/>
      <c r="AH1143" s="210"/>
      <c r="AI1143" s="210"/>
      <c r="AJ1143" s="210"/>
      <c r="AK1143" s="210"/>
      <c r="AL1143" s="210"/>
      <c r="AM1143" s="214"/>
      <c r="AN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c r="BU1143" s="210"/>
      <c r="BV1143" s="210"/>
      <c r="BW1143" s="210"/>
      <c r="BX1143" s="210"/>
      <c r="BY1143" s="210"/>
      <c r="BZ1143" s="210"/>
      <c r="CA1143" s="210"/>
      <c r="CB1143" s="210"/>
      <c r="CC1143" s="210"/>
      <c r="CD1143" s="210"/>
      <c r="CE1143" s="210"/>
      <c r="CF1143" s="210"/>
      <c r="CG1143" s="210"/>
      <c r="CH1143" s="210"/>
      <c r="CI1143" s="210"/>
      <c r="CJ1143" s="210"/>
      <c r="CK1143" s="210"/>
    </row>
    <row r="1144">
      <c r="A1144" s="220"/>
      <c r="F1144" s="190"/>
      <c r="G1144" s="190"/>
      <c r="L1144" s="220"/>
      <c r="M1144" s="220"/>
      <c r="O1144" s="210"/>
      <c r="P1144" s="210"/>
      <c r="Q1144" s="210"/>
      <c r="R1144" s="210"/>
      <c r="S1144" s="210"/>
      <c r="T1144" s="210"/>
      <c r="U1144" s="210"/>
      <c r="V1144" s="210"/>
      <c r="W1144" s="210"/>
      <c r="X1144" s="210"/>
      <c r="Y1144" s="210"/>
      <c r="Z1144" s="210"/>
      <c r="AA1144" s="210"/>
      <c r="AB1144" s="210"/>
      <c r="AC1144" s="210"/>
      <c r="AD1144" s="210"/>
      <c r="AE1144" s="210"/>
      <c r="AF1144" s="210"/>
      <c r="AG1144" s="210"/>
      <c r="AH1144" s="210"/>
      <c r="AI1144" s="210"/>
      <c r="AJ1144" s="210"/>
      <c r="AK1144" s="210"/>
      <c r="AL1144" s="210"/>
      <c r="AM1144" s="214"/>
      <c r="AN1144" s="210"/>
      <c r="AO1144" s="210"/>
      <c r="AP1144" s="210"/>
      <c r="AQ1144" s="210"/>
      <c r="AR1144" s="210"/>
      <c r="AS1144" s="210"/>
      <c r="AT1144" s="210"/>
      <c r="AU1144" s="210"/>
      <c r="AV1144" s="210"/>
      <c r="AW1144" s="210"/>
      <c r="AX1144" s="210"/>
      <c r="AY1144" s="210"/>
      <c r="AZ1144" s="210"/>
      <c r="BA1144" s="210"/>
      <c r="BB1144" s="210"/>
      <c r="BC1144" s="210"/>
      <c r="BD1144" s="210"/>
      <c r="BE1144" s="210"/>
      <c r="BF1144" s="210"/>
      <c r="BG1144" s="210"/>
      <c r="BH1144" s="210"/>
      <c r="BI1144" s="210"/>
      <c r="BJ1144" s="210"/>
      <c r="BK1144" s="210"/>
      <c r="BL1144" s="210"/>
      <c r="BM1144" s="210"/>
      <c r="BN1144" s="210"/>
      <c r="BO1144" s="210"/>
      <c r="BP1144" s="210"/>
      <c r="BQ1144" s="210"/>
      <c r="BR1144" s="210"/>
      <c r="BS1144" s="210"/>
      <c r="BT1144" s="210"/>
      <c r="BU1144" s="210"/>
      <c r="BV1144" s="210"/>
      <c r="BW1144" s="210"/>
      <c r="BX1144" s="210"/>
      <c r="BY1144" s="210"/>
      <c r="BZ1144" s="210"/>
      <c r="CA1144" s="210"/>
      <c r="CB1144" s="210"/>
      <c r="CC1144" s="210"/>
      <c r="CD1144" s="210"/>
      <c r="CE1144" s="210"/>
      <c r="CF1144" s="210"/>
      <c r="CG1144" s="210"/>
      <c r="CH1144" s="210"/>
      <c r="CI1144" s="210"/>
      <c r="CJ1144" s="210"/>
      <c r="CK1144" s="210"/>
    </row>
    <row r="1145">
      <c r="A1145" s="220"/>
      <c r="F1145" s="190"/>
      <c r="G1145" s="190"/>
      <c r="L1145" s="220"/>
      <c r="M1145" s="220"/>
      <c r="O1145" s="210"/>
      <c r="P1145" s="210"/>
      <c r="Q1145" s="210"/>
      <c r="R1145" s="210"/>
      <c r="S1145" s="210"/>
      <c r="T1145" s="210"/>
      <c r="U1145" s="210"/>
      <c r="V1145" s="210"/>
      <c r="W1145" s="210"/>
      <c r="X1145" s="210"/>
      <c r="Y1145" s="210"/>
      <c r="Z1145" s="210"/>
      <c r="AA1145" s="210"/>
      <c r="AB1145" s="210"/>
      <c r="AC1145" s="210"/>
      <c r="AD1145" s="210"/>
      <c r="AE1145" s="210"/>
      <c r="AF1145" s="210"/>
      <c r="AG1145" s="210"/>
      <c r="AH1145" s="210"/>
      <c r="AI1145" s="210"/>
      <c r="AJ1145" s="210"/>
      <c r="AK1145" s="210"/>
      <c r="AL1145" s="210"/>
      <c r="AM1145" s="214"/>
      <c r="AN1145" s="210"/>
      <c r="AO1145" s="210"/>
      <c r="AP1145" s="210"/>
      <c r="AQ1145" s="210"/>
      <c r="AR1145" s="210"/>
      <c r="AS1145" s="210"/>
      <c r="AT1145" s="210"/>
      <c r="AU1145" s="210"/>
      <c r="AV1145" s="210"/>
      <c r="AW1145" s="210"/>
      <c r="AX1145" s="210"/>
      <c r="AY1145" s="210"/>
      <c r="AZ1145" s="210"/>
      <c r="BA1145" s="210"/>
      <c r="BB1145" s="210"/>
      <c r="BC1145" s="210"/>
      <c r="BD1145" s="210"/>
      <c r="BE1145" s="210"/>
      <c r="BF1145" s="210"/>
      <c r="BG1145" s="210"/>
      <c r="BH1145" s="210"/>
      <c r="BI1145" s="210"/>
      <c r="BJ1145" s="210"/>
      <c r="BK1145" s="210"/>
      <c r="BL1145" s="210"/>
      <c r="BM1145" s="210"/>
      <c r="BN1145" s="210"/>
      <c r="BO1145" s="210"/>
      <c r="BP1145" s="210"/>
      <c r="BQ1145" s="210"/>
      <c r="BR1145" s="210"/>
      <c r="BS1145" s="210"/>
      <c r="BT1145" s="210"/>
      <c r="BU1145" s="210"/>
      <c r="BV1145" s="210"/>
      <c r="BW1145" s="210"/>
      <c r="BX1145" s="210"/>
      <c r="BY1145" s="210"/>
      <c r="BZ1145" s="210"/>
      <c r="CA1145" s="210"/>
      <c r="CB1145" s="210"/>
      <c r="CC1145" s="210"/>
      <c r="CD1145" s="210"/>
      <c r="CE1145" s="210"/>
      <c r="CF1145" s="210"/>
      <c r="CG1145" s="210"/>
      <c r="CH1145" s="210"/>
      <c r="CI1145" s="210"/>
      <c r="CJ1145" s="210"/>
      <c r="CK1145" s="210"/>
    </row>
    <row r="1146">
      <c r="A1146" s="220"/>
      <c r="F1146" s="190"/>
      <c r="G1146" s="190"/>
      <c r="L1146" s="220"/>
      <c r="M1146" s="220"/>
      <c r="O1146" s="210"/>
      <c r="P1146" s="210"/>
      <c r="Q1146" s="210"/>
      <c r="R1146" s="210"/>
      <c r="S1146" s="210"/>
      <c r="T1146" s="210"/>
      <c r="U1146" s="210"/>
      <c r="V1146" s="210"/>
      <c r="W1146" s="210"/>
      <c r="X1146" s="210"/>
      <c r="Y1146" s="210"/>
      <c r="Z1146" s="210"/>
      <c r="AA1146" s="210"/>
      <c r="AB1146" s="210"/>
      <c r="AC1146" s="210"/>
      <c r="AD1146" s="210"/>
      <c r="AE1146" s="210"/>
      <c r="AF1146" s="210"/>
      <c r="AG1146" s="210"/>
      <c r="AH1146" s="210"/>
      <c r="AI1146" s="210"/>
      <c r="AJ1146" s="210"/>
      <c r="AK1146" s="210"/>
      <c r="AL1146" s="210"/>
      <c r="AM1146" s="214"/>
      <c r="AN1146" s="210"/>
      <c r="AO1146" s="210"/>
      <c r="AP1146" s="210"/>
      <c r="AQ1146" s="210"/>
      <c r="AR1146" s="210"/>
      <c r="AS1146" s="210"/>
      <c r="AT1146" s="210"/>
      <c r="AU1146" s="210"/>
      <c r="AV1146" s="210"/>
      <c r="AW1146" s="210"/>
      <c r="AX1146" s="210"/>
      <c r="AY1146" s="210"/>
      <c r="AZ1146" s="210"/>
      <c r="BA1146" s="210"/>
      <c r="BB1146" s="210"/>
      <c r="BC1146" s="210"/>
      <c r="BD1146" s="210"/>
      <c r="BE1146" s="210"/>
      <c r="BF1146" s="210"/>
      <c r="BG1146" s="210"/>
      <c r="BH1146" s="210"/>
      <c r="BI1146" s="210"/>
      <c r="BJ1146" s="210"/>
      <c r="BK1146" s="210"/>
      <c r="BL1146" s="210"/>
      <c r="BM1146" s="210"/>
      <c r="BN1146" s="210"/>
      <c r="BO1146" s="210"/>
      <c r="BP1146" s="210"/>
      <c r="BQ1146" s="210"/>
      <c r="BR1146" s="210"/>
      <c r="BS1146" s="210"/>
      <c r="BT1146" s="210"/>
      <c r="BU1146" s="210"/>
      <c r="BV1146" s="210"/>
      <c r="BW1146" s="210"/>
      <c r="BX1146" s="210"/>
      <c r="BY1146" s="210"/>
      <c r="BZ1146" s="210"/>
      <c r="CA1146" s="210"/>
      <c r="CB1146" s="210"/>
      <c r="CC1146" s="210"/>
      <c r="CD1146" s="210"/>
      <c r="CE1146" s="210"/>
      <c r="CF1146" s="210"/>
      <c r="CG1146" s="210"/>
      <c r="CH1146" s="210"/>
      <c r="CI1146" s="210"/>
      <c r="CJ1146" s="210"/>
      <c r="CK1146" s="210"/>
    </row>
    <row r="1147">
      <c r="A1147" s="220"/>
      <c r="F1147" s="190"/>
      <c r="G1147" s="190"/>
      <c r="L1147" s="220"/>
      <c r="M1147" s="220"/>
      <c r="O1147" s="210"/>
      <c r="P1147" s="210"/>
      <c r="Q1147" s="210"/>
      <c r="R1147" s="210"/>
      <c r="S1147" s="210"/>
      <c r="T1147" s="210"/>
      <c r="U1147" s="210"/>
      <c r="V1147" s="210"/>
      <c r="W1147" s="210"/>
      <c r="X1147" s="210"/>
      <c r="Y1147" s="210"/>
      <c r="Z1147" s="210"/>
      <c r="AA1147" s="210"/>
      <c r="AB1147" s="210"/>
      <c r="AC1147" s="210"/>
      <c r="AD1147" s="210"/>
      <c r="AE1147" s="210"/>
      <c r="AF1147" s="210"/>
      <c r="AG1147" s="210"/>
      <c r="AH1147" s="210"/>
      <c r="AI1147" s="210"/>
      <c r="AJ1147" s="210"/>
      <c r="AK1147" s="210"/>
      <c r="AL1147" s="210"/>
      <c r="AM1147" s="214"/>
      <c r="AN1147" s="210"/>
      <c r="AO1147" s="210"/>
      <c r="AP1147" s="210"/>
      <c r="AQ1147" s="210"/>
      <c r="AR1147" s="210"/>
      <c r="AS1147" s="210"/>
      <c r="AT1147" s="210"/>
      <c r="AU1147" s="210"/>
      <c r="AV1147" s="210"/>
      <c r="AW1147" s="210"/>
      <c r="AX1147" s="210"/>
      <c r="AY1147" s="210"/>
      <c r="AZ1147" s="210"/>
      <c r="BA1147" s="210"/>
      <c r="BB1147" s="210"/>
      <c r="BC1147" s="210"/>
      <c r="BD1147" s="210"/>
      <c r="BE1147" s="210"/>
      <c r="BF1147" s="210"/>
      <c r="BG1147" s="210"/>
      <c r="BH1147" s="210"/>
      <c r="BI1147" s="210"/>
      <c r="BJ1147" s="210"/>
      <c r="BK1147" s="210"/>
      <c r="BL1147" s="210"/>
      <c r="BM1147" s="210"/>
      <c r="BN1147" s="210"/>
      <c r="BO1147" s="210"/>
      <c r="BP1147" s="210"/>
      <c r="BQ1147" s="210"/>
      <c r="BR1147" s="210"/>
      <c r="BS1147" s="210"/>
      <c r="BT1147" s="210"/>
      <c r="BU1147" s="210"/>
      <c r="BV1147" s="210"/>
      <c r="BW1147" s="210"/>
      <c r="BX1147" s="210"/>
      <c r="BY1147" s="210"/>
      <c r="BZ1147" s="210"/>
      <c r="CA1147" s="210"/>
      <c r="CB1147" s="210"/>
      <c r="CC1147" s="210"/>
      <c r="CD1147" s="210"/>
      <c r="CE1147" s="210"/>
      <c r="CF1147" s="210"/>
      <c r="CG1147" s="210"/>
      <c r="CH1147" s="210"/>
      <c r="CI1147" s="210"/>
      <c r="CJ1147" s="210"/>
      <c r="CK1147" s="210"/>
    </row>
    <row r="1148">
      <c r="A1148" s="220"/>
      <c r="F1148" s="190"/>
      <c r="G1148" s="190"/>
      <c r="L1148" s="220"/>
      <c r="M1148" s="220"/>
      <c r="O1148" s="210"/>
      <c r="P1148" s="210"/>
      <c r="Q1148" s="210"/>
      <c r="R1148" s="210"/>
      <c r="S1148" s="210"/>
      <c r="T1148" s="210"/>
      <c r="U1148" s="210"/>
      <c r="V1148" s="210"/>
      <c r="W1148" s="210"/>
      <c r="X1148" s="210"/>
      <c r="Y1148" s="210"/>
      <c r="Z1148" s="210"/>
      <c r="AA1148" s="210"/>
      <c r="AB1148" s="210"/>
      <c r="AC1148" s="210"/>
      <c r="AD1148" s="210"/>
      <c r="AE1148" s="210"/>
      <c r="AF1148" s="210"/>
      <c r="AG1148" s="210"/>
      <c r="AH1148" s="210"/>
      <c r="AI1148" s="210"/>
      <c r="AJ1148" s="210"/>
      <c r="AK1148" s="210"/>
      <c r="AL1148" s="210"/>
      <c r="AM1148" s="214"/>
      <c r="AN1148" s="210"/>
      <c r="AO1148" s="210"/>
      <c r="AP1148" s="210"/>
      <c r="AQ1148" s="210"/>
      <c r="AR1148" s="210"/>
      <c r="AS1148" s="210"/>
      <c r="AT1148" s="210"/>
      <c r="AU1148" s="210"/>
      <c r="AV1148" s="210"/>
      <c r="AW1148" s="210"/>
      <c r="AX1148" s="210"/>
      <c r="AY1148" s="210"/>
      <c r="AZ1148" s="210"/>
      <c r="BA1148" s="210"/>
      <c r="BB1148" s="210"/>
      <c r="BC1148" s="210"/>
      <c r="BD1148" s="210"/>
      <c r="BE1148" s="210"/>
      <c r="BF1148" s="210"/>
      <c r="BG1148" s="210"/>
      <c r="BH1148" s="210"/>
      <c r="BI1148" s="210"/>
      <c r="BJ1148" s="210"/>
      <c r="BK1148" s="210"/>
      <c r="BL1148" s="210"/>
      <c r="BM1148" s="210"/>
      <c r="BN1148" s="210"/>
      <c r="BO1148" s="210"/>
      <c r="BP1148" s="210"/>
      <c r="BQ1148" s="210"/>
      <c r="BR1148" s="210"/>
      <c r="BS1148" s="210"/>
      <c r="BT1148" s="210"/>
      <c r="BU1148" s="210"/>
      <c r="BV1148" s="210"/>
      <c r="BW1148" s="210"/>
      <c r="BX1148" s="210"/>
      <c r="BY1148" s="210"/>
      <c r="BZ1148" s="210"/>
      <c r="CA1148" s="210"/>
      <c r="CB1148" s="210"/>
      <c r="CC1148" s="210"/>
      <c r="CD1148" s="210"/>
      <c r="CE1148" s="210"/>
      <c r="CF1148" s="210"/>
      <c r="CG1148" s="210"/>
      <c r="CH1148" s="210"/>
      <c r="CI1148" s="210"/>
      <c r="CJ1148" s="210"/>
      <c r="CK1148" s="210"/>
    </row>
    <row r="1149">
      <c r="A1149" s="220"/>
      <c r="F1149" s="190"/>
      <c r="G1149" s="190"/>
      <c r="L1149" s="220"/>
      <c r="M1149" s="220"/>
      <c r="O1149" s="210"/>
      <c r="P1149" s="210"/>
      <c r="Q1149" s="210"/>
      <c r="R1149" s="210"/>
      <c r="S1149" s="210"/>
      <c r="T1149" s="210"/>
      <c r="U1149" s="210"/>
      <c r="V1149" s="210"/>
      <c r="W1149" s="210"/>
      <c r="X1149" s="210"/>
      <c r="Y1149" s="210"/>
      <c r="Z1149" s="210"/>
      <c r="AA1149" s="210"/>
      <c r="AB1149" s="210"/>
      <c r="AC1149" s="210"/>
      <c r="AD1149" s="210"/>
      <c r="AE1149" s="210"/>
      <c r="AF1149" s="210"/>
      <c r="AG1149" s="210"/>
      <c r="AH1149" s="210"/>
      <c r="AI1149" s="210"/>
      <c r="AJ1149" s="210"/>
      <c r="AK1149" s="210"/>
      <c r="AL1149" s="210"/>
      <c r="AM1149" s="214"/>
      <c r="AN1149" s="210"/>
      <c r="AO1149" s="210"/>
      <c r="AP1149" s="210"/>
      <c r="AQ1149" s="210"/>
      <c r="AR1149" s="210"/>
      <c r="AS1149" s="210"/>
      <c r="AT1149" s="210"/>
      <c r="AU1149" s="210"/>
      <c r="AV1149" s="210"/>
      <c r="AW1149" s="210"/>
      <c r="AX1149" s="210"/>
      <c r="AY1149" s="210"/>
      <c r="AZ1149" s="210"/>
      <c r="BA1149" s="210"/>
      <c r="BB1149" s="210"/>
      <c r="BC1149" s="210"/>
      <c r="BD1149" s="210"/>
      <c r="BE1149" s="210"/>
      <c r="BF1149" s="210"/>
      <c r="BG1149" s="210"/>
      <c r="BH1149" s="210"/>
      <c r="BI1149" s="210"/>
      <c r="BJ1149" s="210"/>
      <c r="BK1149" s="210"/>
      <c r="BL1149" s="210"/>
      <c r="BM1149" s="210"/>
      <c r="BN1149" s="210"/>
      <c r="BO1149" s="210"/>
      <c r="BP1149" s="210"/>
      <c r="BQ1149" s="210"/>
      <c r="BR1149" s="210"/>
      <c r="BS1149" s="210"/>
      <c r="BT1149" s="210"/>
      <c r="BU1149" s="210"/>
      <c r="BV1149" s="210"/>
      <c r="BW1149" s="210"/>
      <c r="BX1149" s="210"/>
      <c r="BY1149" s="210"/>
      <c r="BZ1149" s="210"/>
      <c r="CA1149" s="210"/>
      <c r="CB1149" s="210"/>
      <c r="CC1149" s="210"/>
      <c r="CD1149" s="210"/>
      <c r="CE1149" s="210"/>
      <c r="CF1149" s="210"/>
      <c r="CG1149" s="210"/>
      <c r="CH1149" s="210"/>
      <c r="CI1149" s="210"/>
      <c r="CJ1149" s="210"/>
      <c r="CK1149" s="210"/>
    </row>
    <row r="1150">
      <c r="A1150" s="220"/>
      <c r="F1150" s="190"/>
      <c r="G1150" s="190"/>
      <c r="L1150" s="220"/>
      <c r="M1150" s="220"/>
      <c r="O1150" s="210"/>
      <c r="P1150" s="210"/>
      <c r="Q1150" s="210"/>
      <c r="R1150" s="210"/>
      <c r="S1150" s="210"/>
      <c r="T1150" s="210"/>
      <c r="U1150" s="210"/>
      <c r="V1150" s="210"/>
      <c r="W1150" s="210"/>
      <c r="X1150" s="210"/>
      <c r="Y1150" s="210"/>
      <c r="Z1150" s="210"/>
      <c r="AA1150" s="210"/>
      <c r="AB1150" s="210"/>
      <c r="AC1150" s="210"/>
      <c r="AD1150" s="210"/>
      <c r="AE1150" s="210"/>
      <c r="AF1150" s="210"/>
      <c r="AG1150" s="210"/>
      <c r="AH1150" s="210"/>
      <c r="AI1150" s="210"/>
      <c r="AJ1150" s="210"/>
      <c r="AK1150" s="210"/>
      <c r="AL1150" s="210"/>
      <c r="AM1150" s="214"/>
      <c r="AN1150" s="210"/>
      <c r="AO1150" s="210"/>
      <c r="AP1150" s="210"/>
      <c r="AQ1150" s="210"/>
      <c r="AR1150" s="210"/>
      <c r="AS1150" s="210"/>
      <c r="AT1150" s="210"/>
      <c r="AU1150" s="210"/>
      <c r="AV1150" s="210"/>
      <c r="AW1150" s="210"/>
      <c r="AX1150" s="210"/>
      <c r="AY1150" s="210"/>
      <c r="AZ1150" s="210"/>
      <c r="BA1150" s="210"/>
      <c r="BB1150" s="210"/>
      <c r="BC1150" s="210"/>
      <c r="BD1150" s="210"/>
      <c r="BE1150" s="210"/>
      <c r="BF1150" s="210"/>
      <c r="BG1150" s="210"/>
      <c r="BH1150" s="210"/>
      <c r="BI1150" s="210"/>
      <c r="BJ1150" s="210"/>
      <c r="BK1150" s="210"/>
      <c r="BL1150" s="210"/>
      <c r="BM1150" s="210"/>
      <c r="BN1150" s="210"/>
      <c r="BO1150" s="210"/>
      <c r="BP1150" s="210"/>
      <c r="BQ1150" s="210"/>
      <c r="BR1150" s="210"/>
      <c r="BS1150" s="210"/>
      <c r="BT1150" s="210"/>
      <c r="BU1150" s="210"/>
      <c r="BV1150" s="210"/>
      <c r="BW1150" s="210"/>
      <c r="BX1150" s="210"/>
      <c r="BY1150" s="210"/>
      <c r="BZ1150" s="210"/>
      <c r="CA1150" s="210"/>
      <c r="CB1150" s="210"/>
      <c r="CC1150" s="210"/>
      <c r="CD1150" s="210"/>
      <c r="CE1150" s="210"/>
      <c r="CF1150" s="210"/>
      <c r="CG1150" s="210"/>
      <c r="CH1150" s="210"/>
      <c r="CI1150" s="210"/>
      <c r="CJ1150" s="210"/>
      <c r="CK1150" s="210"/>
    </row>
    <row r="1151">
      <c r="A1151" s="220"/>
      <c r="F1151" s="190"/>
      <c r="G1151" s="190"/>
      <c r="L1151" s="220"/>
      <c r="M1151" s="220"/>
      <c r="O1151" s="210"/>
      <c r="P1151" s="210"/>
      <c r="Q1151" s="210"/>
      <c r="R1151" s="210"/>
      <c r="S1151" s="210"/>
      <c r="T1151" s="210"/>
      <c r="U1151" s="210"/>
      <c r="V1151" s="210"/>
      <c r="W1151" s="210"/>
      <c r="X1151" s="210"/>
      <c r="Y1151" s="210"/>
      <c r="Z1151" s="210"/>
      <c r="AA1151" s="210"/>
      <c r="AB1151" s="210"/>
      <c r="AC1151" s="210"/>
      <c r="AD1151" s="210"/>
      <c r="AE1151" s="210"/>
      <c r="AF1151" s="210"/>
      <c r="AG1151" s="210"/>
      <c r="AH1151" s="210"/>
      <c r="AI1151" s="210"/>
      <c r="AJ1151" s="210"/>
      <c r="AK1151" s="210"/>
      <c r="AL1151" s="210"/>
      <c r="AM1151" s="214"/>
      <c r="AN1151" s="210"/>
      <c r="AO1151" s="210"/>
      <c r="AP1151" s="210"/>
      <c r="AQ1151" s="210"/>
      <c r="AR1151" s="210"/>
      <c r="AS1151" s="210"/>
      <c r="AT1151" s="210"/>
      <c r="AU1151" s="210"/>
      <c r="AV1151" s="210"/>
      <c r="AW1151" s="210"/>
      <c r="AX1151" s="210"/>
      <c r="AY1151" s="210"/>
      <c r="AZ1151" s="210"/>
      <c r="BA1151" s="210"/>
      <c r="BB1151" s="210"/>
      <c r="BC1151" s="210"/>
      <c r="BD1151" s="210"/>
      <c r="BE1151" s="210"/>
      <c r="BF1151" s="210"/>
      <c r="BG1151" s="210"/>
      <c r="BH1151" s="210"/>
      <c r="BI1151" s="210"/>
      <c r="BJ1151" s="210"/>
      <c r="BK1151" s="210"/>
      <c r="BL1151" s="210"/>
      <c r="BM1151" s="210"/>
      <c r="BN1151" s="210"/>
      <c r="BO1151" s="210"/>
      <c r="BP1151" s="210"/>
      <c r="BQ1151" s="210"/>
      <c r="BR1151" s="210"/>
      <c r="BS1151" s="210"/>
      <c r="BT1151" s="210"/>
      <c r="BU1151" s="210"/>
      <c r="BV1151" s="210"/>
      <c r="BW1151" s="210"/>
      <c r="BX1151" s="210"/>
      <c r="BY1151" s="210"/>
      <c r="BZ1151" s="210"/>
      <c r="CA1151" s="210"/>
      <c r="CB1151" s="210"/>
      <c r="CC1151" s="210"/>
      <c r="CD1151" s="210"/>
      <c r="CE1151" s="210"/>
      <c r="CF1151" s="210"/>
      <c r="CG1151" s="210"/>
      <c r="CH1151" s="210"/>
      <c r="CI1151" s="210"/>
      <c r="CJ1151" s="210"/>
      <c r="CK1151" s="210"/>
    </row>
    <row r="1152">
      <c r="A1152" s="220"/>
      <c r="F1152" s="190"/>
      <c r="G1152" s="190"/>
      <c r="L1152" s="220"/>
      <c r="M1152" s="220"/>
      <c r="O1152" s="210"/>
      <c r="P1152" s="210"/>
      <c r="Q1152" s="210"/>
      <c r="R1152" s="210"/>
      <c r="S1152" s="210"/>
      <c r="T1152" s="210"/>
      <c r="U1152" s="210"/>
      <c r="V1152" s="210"/>
      <c r="W1152" s="210"/>
      <c r="X1152" s="210"/>
      <c r="Y1152" s="210"/>
      <c r="Z1152" s="210"/>
      <c r="AA1152" s="210"/>
      <c r="AB1152" s="210"/>
      <c r="AC1152" s="210"/>
      <c r="AD1152" s="210"/>
      <c r="AE1152" s="210"/>
      <c r="AF1152" s="210"/>
      <c r="AG1152" s="210"/>
      <c r="AH1152" s="210"/>
      <c r="AI1152" s="210"/>
      <c r="AJ1152" s="210"/>
      <c r="AK1152" s="210"/>
      <c r="AL1152" s="210"/>
      <c r="AM1152" s="214"/>
      <c r="AN1152" s="210"/>
      <c r="AO1152" s="210"/>
      <c r="AP1152" s="210"/>
      <c r="AQ1152" s="210"/>
      <c r="AR1152" s="210"/>
      <c r="AS1152" s="210"/>
      <c r="AT1152" s="210"/>
      <c r="AU1152" s="210"/>
      <c r="AV1152" s="210"/>
      <c r="AW1152" s="210"/>
      <c r="AX1152" s="210"/>
      <c r="AY1152" s="210"/>
      <c r="AZ1152" s="210"/>
      <c r="BA1152" s="210"/>
      <c r="BB1152" s="210"/>
      <c r="BC1152" s="210"/>
      <c r="BD1152" s="210"/>
      <c r="BE1152" s="210"/>
      <c r="BF1152" s="210"/>
      <c r="BG1152" s="210"/>
      <c r="BH1152" s="210"/>
      <c r="BI1152" s="210"/>
      <c r="BJ1152" s="210"/>
      <c r="BK1152" s="210"/>
      <c r="BL1152" s="210"/>
      <c r="BM1152" s="210"/>
      <c r="BN1152" s="210"/>
      <c r="BO1152" s="210"/>
      <c r="BP1152" s="210"/>
      <c r="BQ1152" s="210"/>
      <c r="BR1152" s="210"/>
      <c r="BS1152" s="210"/>
      <c r="BT1152" s="210"/>
      <c r="BU1152" s="210"/>
      <c r="BV1152" s="210"/>
      <c r="BW1152" s="210"/>
      <c r="BX1152" s="210"/>
      <c r="BY1152" s="210"/>
      <c r="BZ1152" s="210"/>
      <c r="CA1152" s="210"/>
      <c r="CB1152" s="210"/>
      <c r="CC1152" s="210"/>
      <c r="CD1152" s="210"/>
      <c r="CE1152" s="210"/>
      <c r="CF1152" s="210"/>
      <c r="CG1152" s="210"/>
      <c r="CH1152" s="210"/>
      <c r="CI1152" s="210"/>
      <c r="CJ1152" s="210"/>
      <c r="CK1152" s="210"/>
    </row>
    <row r="1153">
      <c r="A1153" s="220"/>
      <c r="F1153" s="190"/>
      <c r="G1153" s="190"/>
      <c r="L1153" s="220"/>
      <c r="M1153" s="220"/>
      <c r="O1153" s="210"/>
      <c r="P1153" s="210"/>
      <c r="Q1153" s="210"/>
      <c r="R1153" s="210"/>
      <c r="S1153" s="210"/>
      <c r="T1153" s="210"/>
      <c r="U1153" s="210"/>
      <c r="V1153" s="210"/>
      <c r="W1153" s="210"/>
      <c r="X1153" s="210"/>
      <c r="Y1153" s="210"/>
      <c r="Z1153" s="210"/>
      <c r="AA1153" s="210"/>
      <c r="AB1153" s="210"/>
      <c r="AC1153" s="210"/>
      <c r="AD1153" s="210"/>
      <c r="AE1153" s="210"/>
      <c r="AF1153" s="210"/>
      <c r="AG1153" s="210"/>
      <c r="AH1153" s="210"/>
      <c r="AI1153" s="210"/>
      <c r="AJ1153" s="210"/>
      <c r="AK1153" s="210"/>
      <c r="AL1153" s="210"/>
      <c r="AM1153" s="214"/>
      <c r="AN1153" s="210"/>
      <c r="AO1153" s="210"/>
      <c r="AP1153" s="210"/>
      <c r="AQ1153" s="210"/>
      <c r="AR1153" s="210"/>
      <c r="AS1153" s="210"/>
      <c r="AT1153" s="210"/>
      <c r="AU1153" s="210"/>
      <c r="AV1153" s="210"/>
      <c r="AW1153" s="210"/>
      <c r="AX1153" s="210"/>
      <c r="AY1153" s="210"/>
      <c r="AZ1153" s="210"/>
      <c r="BA1153" s="210"/>
      <c r="BB1153" s="210"/>
      <c r="BC1153" s="210"/>
      <c r="BD1153" s="210"/>
      <c r="BE1153" s="210"/>
      <c r="BF1153" s="210"/>
      <c r="BG1153" s="210"/>
      <c r="BH1153" s="210"/>
      <c r="BI1153" s="210"/>
      <c r="BJ1153" s="210"/>
      <c r="BK1153" s="210"/>
      <c r="BL1153" s="210"/>
      <c r="BM1153" s="210"/>
      <c r="BN1153" s="210"/>
      <c r="BO1153" s="210"/>
      <c r="BP1153" s="210"/>
      <c r="BQ1153" s="210"/>
      <c r="BR1153" s="210"/>
      <c r="BS1153" s="210"/>
      <c r="BT1153" s="210"/>
      <c r="BU1153" s="210"/>
      <c r="BV1153" s="210"/>
      <c r="BW1153" s="210"/>
      <c r="BX1153" s="210"/>
      <c r="BY1153" s="210"/>
      <c r="BZ1153" s="210"/>
      <c r="CA1153" s="210"/>
      <c r="CB1153" s="210"/>
      <c r="CC1153" s="210"/>
      <c r="CD1153" s="210"/>
      <c r="CE1153" s="210"/>
      <c r="CF1153" s="210"/>
      <c r="CG1153" s="210"/>
      <c r="CH1153" s="210"/>
      <c r="CI1153" s="210"/>
      <c r="CJ1153" s="210"/>
      <c r="CK1153" s="210"/>
    </row>
    <row r="1154">
      <c r="A1154" s="220"/>
      <c r="F1154" s="190"/>
      <c r="G1154" s="190"/>
      <c r="L1154" s="220"/>
      <c r="M1154" s="220"/>
      <c r="O1154" s="210"/>
      <c r="P1154" s="210"/>
      <c r="Q1154" s="210"/>
      <c r="R1154" s="210"/>
      <c r="S1154" s="210"/>
      <c r="T1154" s="210"/>
      <c r="U1154" s="210"/>
      <c r="V1154" s="210"/>
      <c r="W1154" s="210"/>
      <c r="X1154" s="210"/>
      <c r="Y1154" s="210"/>
      <c r="Z1154" s="210"/>
      <c r="AA1154" s="210"/>
      <c r="AB1154" s="210"/>
      <c r="AC1154" s="210"/>
      <c r="AD1154" s="210"/>
      <c r="AE1154" s="210"/>
      <c r="AF1154" s="210"/>
      <c r="AG1154" s="210"/>
      <c r="AH1154" s="210"/>
      <c r="AI1154" s="210"/>
      <c r="AJ1154" s="210"/>
      <c r="AK1154" s="210"/>
      <c r="AL1154" s="210"/>
      <c r="AM1154" s="214"/>
      <c r="AN1154" s="210"/>
      <c r="AO1154" s="210"/>
      <c r="AP1154" s="210"/>
      <c r="AQ1154" s="210"/>
      <c r="AR1154" s="210"/>
      <c r="AS1154" s="210"/>
      <c r="AT1154" s="210"/>
      <c r="AU1154" s="210"/>
      <c r="AV1154" s="210"/>
      <c r="AW1154" s="210"/>
      <c r="AX1154" s="210"/>
      <c r="AY1154" s="210"/>
      <c r="AZ1154" s="210"/>
      <c r="BA1154" s="210"/>
      <c r="BB1154" s="210"/>
      <c r="BC1154" s="210"/>
      <c r="BD1154" s="210"/>
      <c r="BE1154" s="210"/>
      <c r="BF1154" s="210"/>
      <c r="BG1154" s="210"/>
      <c r="BH1154" s="210"/>
      <c r="BI1154" s="210"/>
      <c r="BJ1154" s="210"/>
      <c r="BK1154" s="210"/>
      <c r="BL1154" s="210"/>
      <c r="BM1154" s="210"/>
      <c r="BN1154" s="210"/>
      <c r="BO1154" s="210"/>
      <c r="BP1154" s="210"/>
      <c r="BQ1154" s="210"/>
      <c r="BR1154" s="210"/>
      <c r="BS1154" s="210"/>
      <c r="BT1154" s="210"/>
      <c r="BU1154" s="210"/>
      <c r="BV1154" s="210"/>
      <c r="BW1154" s="210"/>
      <c r="BX1154" s="210"/>
      <c r="BY1154" s="210"/>
      <c r="BZ1154" s="210"/>
      <c r="CA1154" s="210"/>
      <c r="CB1154" s="210"/>
      <c r="CC1154" s="210"/>
      <c r="CD1154" s="210"/>
      <c r="CE1154" s="210"/>
      <c r="CF1154" s="210"/>
      <c r="CG1154" s="210"/>
      <c r="CH1154" s="210"/>
      <c r="CI1154" s="210"/>
      <c r="CJ1154" s="210"/>
      <c r="CK1154" s="210"/>
    </row>
    <row r="1155">
      <c r="A1155" s="220"/>
      <c r="F1155" s="190"/>
      <c r="G1155" s="190"/>
      <c r="L1155" s="220"/>
      <c r="M1155" s="220"/>
      <c r="O1155" s="210"/>
      <c r="P1155" s="210"/>
      <c r="Q1155" s="210"/>
      <c r="R1155" s="210"/>
      <c r="S1155" s="210"/>
      <c r="T1155" s="210"/>
      <c r="U1155" s="210"/>
      <c r="V1155" s="210"/>
      <c r="W1155" s="210"/>
      <c r="X1155" s="210"/>
      <c r="Y1155" s="210"/>
      <c r="Z1155" s="210"/>
      <c r="AA1155" s="210"/>
      <c r="AB1155" s="210"/>
      <c r="AC1155" s="210"/>
      <c r="AD1155" s="210"/>
      <c r="AE1155" s="210"/>
      <c r="AF1155" s="210"/>
      <c r="AG1155" s="210"/>
      <c r="AH1155" s="210"/>
      <c r="AI1155" s="210"/>
      <c r="AJ1155" s="210"/>
      <c r="AK1155" s="210"/>
      <c r="AL1155" s="210"/>
      <c r="AM1155" s="214"/>
      <c r="AN1155" s="210"/>
      <c r="AO1155" s="210"/>
      <c r="AP1155" s="210"/>
      <c r="AQ1155" s="210"/>
      <c r="AR1155" s="210"/>
      <c r="AS1155" s="210"/>
      <c r="AT1155" s="210"/>
      <c r="AU1155" s="210"/>
      <c r="AV1155" s="210"/>
      <c r="AW1155" s="210"/>
      <c r="AX1155" s="210"/>
      <c r="AY1155" s="210"/>
      <c r="AZ1155" s="210"/>
      <c r="BA1155" s="210"/>
      <c r="BB1155" s="210"/>
      <c r="BC1155" s="210"/>
      <c r="BD1155" s="210"/>
      <c r="BE1155" s="210"/>
      <c r="BF1155" s="210"/>
      <c r="BG1155" s="210"/>
      <c r="BH1155" s="210"/>
      <c r="BI1155" s="210"/>
      <c r="BJ1155" s="210"/>
      <c r="BK1155" s="210"/>
      <c r="BL1155" s="210"/>
      <c r="BM1155" s="210"/>
      <c r="BN1155" s="210"/>
      <c r="BO1155" s="210"/>
      <c r="BP1155" s="210"/>
      <c r="BQ1155" s="210"/>
      <c r="BR1155" s="210"/>
      <c r="BS1155" s="210"/>
      <c r="BT1155" s="210"/>
      <c r="BU1155" s="210"/>
      <c r="BV1155" s="210"/>
      <c r="BW1155" s="210"/>
      <c r="BX1155" s="210"/>
      <c r="BY1155" s="210"/>
      <c r="BZ1155" s="210"/>
      <c r="CA1155" s="210"/>
      <c r="CB1155" s="210"/>
      <c r="CC1155" s="210"/>
      <c r="CD1155" s="210"/>
      <c r="CE1155" s="210"/>
      <c r="CF1155" s="210"/>
      <c r="CG1155" s="210"/>
      <c r="CH1155" s="210"/>
      <c r="CI1155" s="210"/>
      <c r="CJ1155" s="210"/>
      <c r="CK1155" s="210"/>
    </row>
    <row r="1156">
      <c r="A1156" s="220"/>
      <c r="F1156" s="190"/>
      <c r="G1156" s="190"/>
      <c r="L1156" s="220"/>
      <c r="M1156" s="220"/>
      <c r="O1156" s="210"/>
      <c r="P1156" s="210"/>
      <c r="Q1156" s="210"/>
      <c r="R1156" s="210"/>
      <c r="S1156" s="210"/>
      <c r="T1156" s="210"/>
      <c r="U1156" s="210"/>
      <c r="V1156" s="210"/>
      <c r="W1156" s="210"/>
      <c r="X1156" s="210"/>
      <c r="Y1156" s="210"/>
      <c r="Z1156" s="210"/>
      <c r="AA1156" s="210"/>
      <c r="AB1156" s="210"/>
      <c r="AC1156" s="210"/>
      <c r="AD1156" s="210"/>
      <c r="AE1156" s="210"/>
      <c r="AF1156" s="210"/>
      <c r="AG1156" s="210"/>
      <c r="AH1156" s="210"/>
      <c r="AI1156" s="210"/>
      <c r="AJ1156" s="210"/>
      <c r="AK1156" s="210"/>
      <c r="AL1156" s="210"/>
      <c r="AM1156" s="214"/>
      <c r="AN1156" s="210"/>
      <c r="AO1156" s="210"/>
      <c r="AP1156" s="210"/>
      <c r="AQ1156" s="210"/>
      <c r="AR1156" s="210"/>
      <c r="AS1156" s="210"/>
      <c r="AT1156" s="210"/>
      <c r="AU1156" s="210"/>
      <c r="AV1156" s="210"/>
      <c r="AW1156" s="210"/>
      <c r="AX1156" s="210"/>
      <c r="AY1156" s="210"/>
      <c r="AZ1156" s="210"/>
      <c r="BA1156" s="210"/>
      <c r="BB1156" s="210"/>
      <c r="BC1156" s="210"/>
      <c r="BD1156" s="210"/>
      <c r="BE1156" s="210"/>
      <c r="BF1156" s="210"/>
      <c r="BG1156" s="210"/>
      <c r="BH1156" s="210"/>
      <c r="BI1156" s="210"/>
      <c r="BJ1156" s="210"/>
      <c r="BK1156" s="210"/>
      <c r="BL1156" s="210"/>
      <c r="BM1156" s="210"/>
      <c r="BN1156" s="210"/>
      <c r="BO1156" s="210"/>
      <c r="BP1156" s="210"/>
      <c r="BQ1156" s="210"/>
      <c r="BR1156" s="210"/>
      <c r="BS1156" s="210"/>
      <c r="BT1156" s="210"/>
      <c r="BU1156" s="210"/>
      <c r="BV1156" s="210"/>
      <c r="BW1156" s="210"/>
      <c r="BX1156" s="210"/>
      <c r="BY1156" s="210"/>
      <c r="BZ1156" s="210"/>
      <c r="CA1156" s="210"/>
      <c r="CB1156" s="210"/>
      <c r="CC1156" s="210"/>
      <c r="CD1156" s="210"/>
      <c r="CE1156" s="210"/>
      <c r="CF1156" s="210"/>
      <c r="CG1156" s="210"/>
      <c r="CH1156" s="210"/>
      <c r="CI1156" s="210"/>
      <c r="CJ1156" s="210"/>
      <c r="CK1156" s="210"/>
    </row>
    <row r="1157">
      <c r="A1157" s="220"/>
      <c r="F1157" s="190"/>
      <c r="G1157" s="190"/>
      <c r="L1157" s="220"/>
      <c r="M1157" s="220"/>
      <c r="O1157" s="210"/>
      <c r="P1157" s="210"/>
      <c r="Q1157" s="210"/>
      <c r="R1157" s="210"/>
      <c r="S1157" s="210"/>
      <c r="T1157" s="210"/>
      <c r="U1157" s="210"/>
      <c r="V1157" s="210"/>
      <c r="W1157" s="210"/>
      <c r="X1157" s="210"/>
      <c r="Y1157" s="210"/>
      <c r="Z1157" s="210"/>
      <c r="AA1157" s="210"/>
      <c r="AB1157" s="210"/>
      <c r="AC1157" s="210"/>
      <c r="AD1157" s="210"/>
      <c r="AE1157" s="210"/>
      <c r="AF1157" s="210"/>
      <c r="AG1157" s="210"/>
      <c r="AH1157" s="210"/>
      <c r="AI1157" s="210"/>
      <c r="AJ1157" s="210"/>
      <c r="AK1157" s="210"/>
      <c r="AL1157" s="210"/>
      <c r="AM1157" s="214"/>
      <c r="AN1157" s="210"/>
      <c r="AO1157" s="210"/>
      <c r="AP1157" s="210"/>
      <c r="AQ1157" s="210"/>
      <c r="AR1157" s="210"/>
      <c r="AS1157" s="210"/>
      <c r="AT1157" s="210"/>
      <c r="AU1157" s="210"/>
      <c r="AV1157" s="210"/>
      <c r="AW1157" s="210"/>
      <c r="AX1157" s="210"/>
      <c r="AY1157" s="210"/>
      <c r="AZ1157" s="210"/>
      <c r="BA1157" s="210"/>
      <c r="BB1157" s="210"/>
      <c r="BC1157" s="210"/>
      <c r="BD1157" s="210"/>
      <c r="BE1157" s="210"/>
      <c r="BF1157" s="210"/>
      <c r="BG1157" s="210"/>
      <c r="BH1157" s="210"/>
      <c r="BI1157" s="210"/>
      <c r="BJ1157" s="210"/>
      <c r="BK1157" s="210"/>
      <c r="BL1157" s="210"/>
      <c r="BM1157" s="210"/>
      <c r="BN1157" s="210"/>
      <c r="BO1157" s="210"/>
      <c r="BP1157" s="210"/>
      <c r="BQ1157" s="210"/>
      <c r="BR1157" s="210"/>
      <c r="BS1157" s="210"/>
      <c r="BT1157" s="210"/>
      <c r="BU1157" s="210"/>
      <c r="BV1157" s="210"/>
      <c r="BW1157" s="210"/>
      <c r="BX1157" s="210"/>
      <c r="BY1157" s="210"/>
      <c r="BZ1157" s="210"/>
      <c r="CA1157" s="210"/>
      <c r="CB1157" s="210"/>
      <c r="CC1157" s="210"/>
      <c r="CD1157" s="210"/>
      <c r="CE1157" s="210"/>
      <c r="CF1157" s="210"/>
      <c r="CG1157" s="210"/>
      <c r="CH1157" s="210"/>
      <c r="CI1157" s="210"/>
      <c r="CJ1157" s="210"/>
      <c r="CK1157" s="210"/>
    </row>
    <row r="1158">
      <c r="A1158" s="220"/>
      <c r="F1158" s="190"/>
      <c r="G1158" s="190"/>
      <c r="L1158" s="220"/>
      <c r="M1158" s="220"/>
      <c r="O1158" s="210"/>
      <c r="P1158" s="210"/>
      <c r="Q1158" s="210"/>
      <c r="R1158" s="210"/>
      <c r="S1158" s="210"/>
      <c r="T1158" s="210"/>
      <c r="U1158" s="210"/>
      <c r="V1158" s="210"/>
      <c r="W1158" s="210"/>
      <c r="X1158" s="210"/>
      <c r="Y1158" s="210"/>
      <c r="Z1158" s="210"/>
      <c r="AA1158" s="210"/>
      <c r="AB1158" s="210"/>
      <c r="AC1158" s="210"/>
      <c r="AD1158" s="210"/>
      <c r="AE1158" s="210"/>
      <c r="AF1158" s="210"/>
      <c r="AG1158" s="210"/>
      <c r="AH1158" s="210"/>
      <c r="AI1158" s="210"/>
      <c r="AJ1158" s="210"/>
      <c r="AK1158" s="210"/>
      <c r="AL1158" s="210"/>
      <c r="AM1158" s="214"/>
      <c r="AN1158" s="210"/>
      <c r="AO1158" s="210"/>
      <c r="AP1158" s="210"/>
      <c r="AQ1158" s="210"/>
      <c r="AR1158" s="210"/>
      <c r="AS1158" s="210"/>
      <c r="AT1158" s="210"/>
      <c r="AU1158" s="210"/>
      <c r="AV1158" s="210"/>
      <c r="AW1158" s="210"/>
      <c r="AX1158" s="210"/>
      <c r="AY1158" s="210"/>
      <c r="AZ1158" s="210"/>
      <c r="BA1158" s="210"/>
      <c r="BB1158" s="210"/>
      <c r="BC1158" s="210"/>
      <c r="BD1158" s="210"/>
      <c r="BE1158" s="210"/>
      <c r="BF1158" s="210"/>
      <c r="BG1158" s="210"/>
      <c r="BH1158" s="210"/>
      <c r="BI1158" s="210"/>
      <c r="BJ1158" s="210"/>
      <c r="BK1158" s="210"/>
      <c r="BL1158" s="210"/>
      <c r="BM1158" s="210"/>
      <c r="BN1158" s="210"/>
      <c r="BO1158" s="210"/>
      <c r="BP1158" s="210"/>
      <c r="BQ1158" s="210"/>
      <c r="BR1158" s="210"/>
      <c r="BS1158" s="210"/>
      <c r="BT1158" s="210"/>
      <c r="BU1158" s="210"/>
      <c r="BV1158" s="210"/>
      <c r="BW1158" s="210"/>
      <c r="BX1158" s="210"/>
      <c r="BY1158" s="210"/>
      <c r="BZ1158" s="210"/>
      <c r="CA1158" s="210"/>
      <c r="CB1158" s="210"/>
      <c r="CC1158" s="210"/>
      <c r="CD1158" s="210"/>
      <c r="CE1158" s="210"/>
      <c r="CF1158" s="210"/>
      <c r="CG1158" s="210"/>
      <c r="CH1158" s="210"/>
      <c r="CI1158" s="210"/>
      <c r="CJ1158" s="210"/>
      <c r="CK1158" s="210"/>
    </row>
    <row r="1159">
      <c r="A1159" s="220"/>
      <c r="F1159" s="190"/>
      <c r="G1159" s="190"/>
      <c r="L1159" s="220"/>
      <c r="M1159" s="220"/>
      <c r="O1159" s="210"/>
      <c r="P1159" s="210"/>
      <c r="Q1159" s="210"/>
      <c r="R1159" s="210"/>
      <c r="S1159" s="210"/>
      <c r="T1159" s="210"/>
      <c r="U1159" s="210"/>
      <c r="V1159" s="210"/>
      <c r="W1159" s="210"/>
      <c r="X1159" s="210"/>
      <c r="Y1159" s="210"/>
      <c r="Z1159" s="210"/>
      <c r="AA1159" s="210"/>
      <c r="AB1159" s="210"/>
      <c r="AC1159" s="210"/>
      <c r="AD1159" s="210"/>
      <c r="AE1159" s="210"/>
      <c r="AF1159" s="210"/>
      <c r="AG1159" s="210"/>
      <c r="AH1159" s="210"/>
      <c r="AI1159" s="210"/>
      <c r="AJ1159" s="210"/>
      <c r="AK1159" s="210"/>
      <c r="AL1159" s="210"/>
      <c r="AM1159" s="214"/>
      <c r="AN1159" s="210"/>
      <c r="AO1159" s="210"/>
      <c r="AP1159" s="210"/>
      <c r="AQ1159" s="210"/>
      <c r="AR1159" s="210"/>
      <c r="AS1159" s="210"/>
      <c r="AT1159" s="210"/>
      <c r="AU1159" s="210"/>
      <c r="AV1159" s="210"/>
      <c r="AW1159" s="210"/>
      <c r="AX1159" s="210"/>
      <c r="AY1159" s="210"/>
      <c r="AZ1159" s="210"/>
      <c r="BA1159" s="210"/>
      <c r="BB1159" s="210"/>
      <c r="BC1159" s="210"/>
      <c r="BD1159" s="210"/>
      <c r="BE1159" s="210"/>
      <c r="BF1159" s="210"/>
      <c r="BG1159" s="210"/>
      <c r="BH1159" s="210"/>
      <c r="BI1159" s="210"/>
      <c r="BJ1159" s="210"/>
      <c r="BK1159" s="210"/>
      <c r="BL1159" s="210"/>
      <c r="BM1159" s="210"/>
      <c r="BN1159" s="210"/>
      <c r="BO1159" s="210"/>
      <c r="BP1159" s="210"/>
      <c r="BQ1159" s="210"/>
      <c r="BR1159" s="210"/>
      <c r="BS1159" s="210"/>
      <c r="BT1159" s="210"/>
      <c r="BU1159" s="210"/>
      <c r="BV1159" s="210"/>
      <c r="BW1159" s="210"/>
      <c r="BX1159" s="210"/>
      <c r="BY1159" s="210"/>
      <c r="BZ1159" s="210"/>
      <c r="CA1159" s="210"/>
      <c r="CB1159" s="210"/>
      <c r="CC1159" s="210"/>
      <c r="CD1159" s="210"/>
      <c r="CE1159" s="210"/>
      <c r="CF1159" s="210"/>
      <c r="CG1159" s="210"/>
      <c r="CH1159" s="210"/>
      <c r="CI1159" s="210"/>
      <c r="CJ1159" s="210"/>
      <c r="CK1159" s="210"/>
    </row>
    <row r="1160">
      <c r="A1160" s="220"/>
      <c r="F1160" s="190"/>
      <c r="G1160" s="190"/>
      <c r="L1160" s="220"/>
      <c r="M1160" s="220"/>
      <c r="O1160" s="210"/>
      <c r="P1160" s="210"/>
      <c r="Q1160" s="210"/>
      <c r="R1160" s="210"/>
      <c r="S1160" s="210"/>
      <c r="T1160" s="210"/>
      <c r="U1160" s="210"/>
      <c r="V1160" s="210"/>
      <c r="W1160" s="210"/>
      <c r="X1160" s="210"/>
      <c r="Y1160" s="210"/>
      <c r="Z1160" s="210"/>
      <c r="AA1160" s="210"/>
      <c r="AB1160" s="210"/>
      <c r="AC1160" s="210"/>
      <c r="AD1160" s="210"/>
      <c r="AE1160" s="210"/>
      <c r="AF1160" s="210"/>
      <c r="AG1160" s="210"/>
      <c r="AH1160" s="210"/>
      <c r="AI1160" s="210"/>
      <c r="AJ1160" s="210"/>
      <c r="AK1160" s="210"/>
      <c r="AL1160" s="210"/>
      <c r="AM1160" s="214"/>
      <c r="AN1160" s="210"/>
      <c r="AO1160" s="210"/>
      <c r="AP1160" s="210"/>
      <c r="AQ1160" s="210"/>
      <c r="AR1160" s="210"/>
      <c r="AS1160" s="210"/>
      <c r="AT1160" s="210"/>
      <c r="AU1160" s="210"/>
      <c r="AV1160" s="210"/>
      <c r="AW1160" s="210"/>
      <c r="AX1160" s="210"/>
      <c r="AY1160" s="210"/>
      <c r="AZ1160" s="210"/>
      <c r="BA1160" s="210"/>
      <c r="BB1160" s="210"/>
      <c r="BC1160" s="210"/>
      <c r="BD1160" s="210"/>
      <c r="BE1160" s="210"/>
      <c r="BF1160" s="210"/>
      <c r="BG1160" s="210"/>
      <c r="BH1160" s="210"/>
      <c r="BI1160" s="210"/>
      <c r="BJ1160" s="210"/>
      <c r="BK1160" s="210"/>
      <c r="BL1160" s="210"/>
      <c r="BM1160" s="210"/>
      <c r="BN1160" s="210"/>
      <c r="BO1160" s="210"/>
      <c r="BP1160" s="210"/>
      <c r="BQ1160" s="210"/>
      <c r="BR1160" s="210"/>
      <c r="BS1160" s="210"/>
      <c r="BT1160" s="210"/>
      <c r="BU1160" s="210"/>
      <c r="BV1160" s="210"/>
      <c r="BW1160" s="210"/>
      <c r="BX1160" s="210"/>
      <c r="BY1160" s="210"/>
      <c r="BZ1160" s="210"/>
      <c r="CA1160" s="210"/>
      <c r="CB1160" s="210"/>
      <c r="CC1160" s="210"/>
      <c r="CD1160" s="210"/>
      <c r="CE1160" s="210"/>
      <c r="CF1160" s="210"/>
      <c r="CG1160" s="210"/>
      <c r="CH1160" s="210"/>
      <c r="CI1160" s="210"/>
      <c r="CJ1160" s="210"/>
      <c r="CK1160" s="210"/>
    </row>
    <row r="1161">
      <c r="A1161" s="220"/>
      <c r="F1161" s="190"/>
      <c r="G1161" s="190"/>
      <c r="L1161" s="220"/>
      <c r="M1161" s="220"/>
      <c r="O1161" s="210"/>
      <c r="P1161" s="210"/>
      <c r="Q1161" s="210"/>
      <c r="R1161" s="210"/>
      <c r="S1161" s="210"/>
      <c r="T1161" s="210"/>
      <c r="U1161" s="210"/>
      <c r="V1161" s="210"/>
      <c r="W1161" s="210"/>
      <c r="X1161" s="210"/>
      <c r="Y1161" s="210"/>
      <c r="Z1161" s="210"/>
      <c r="AA1161" s="210"/>
      <c r="AB1161" s="210"/>
      <c r="AC1161" s="210"/>
      <c r="AD1161" s="210"/>
      <c r="AE1161" s="210"/>
      <c r="AF1161" s="210"/>
      <c r="AG1161" s="210"/>
      <c r="AH1161" s="210"/>
      <c r="AI1161" s="210"/>
      <c r="AJ1161" s="210"/>
      <c r="AK1161" s="210"/>
      <c r="AL1161" s="210"/>
      <c r="AM1161" s="214"/>
      <c r="AN1161" s="210"/>
      <c r="AO1161" s="210"/>
      <c r="AP1161" s="210"/>
      <c r="AQ1161" s="210"/>
      <c r="AR1161" s="210"/>
      <c r="AS1161" s="210"/>
      <c r="AT1161" s="210"/>
      <c r="AU1161" s="210"/>
      <c r="AV1161" s="210"/>
      <c r="AW1161" s="210"/>
      <c r="AX1161" s="210"/>
      <c r="AY1161" s="210"/>
      <c r="AZ1161" s="210"/>
      <c r="BA1161" s="210"/>
      <c r="BB1161" s="210"/>
      <c r="BC1161" s="210"/>
      <c r="BD1161" s="210"/>
      <c r="BE1161" s="210"/>
      <c r="BF1161" s="210"/>
      <c r="BG1161" s="210"/>
      <c r="BH1161" s="210"/>
      <c r="BI1161" s="210"/>
      <c r="BJ1161" s="210"/>
      <c r="BK1161" s="210"/>
      <c r="BL1161" s="210"/>
      <c r="BM1161" s="210"/>
      <c r="BN1161" s="210"/>
      <c r="BO1161" s="210"/>
      <c r="BP1161" s="210"/>
      <c r="BQ1161" s="210"/>
      <c r="BR1161" s="210"/>
      <c r="BS1161" s="210"/>
      <c r="BT1161" s="210"/>
      <c r="BU1161" s="210"/>
      <c r="BV1161" s="210"/>
      <c r="BW1161" s="210"/>
      <c r="BX1161" s="210"/>
      <c r="BY1161" s="210"/>
      <c r="BZ1161" s="210"/>
      <c r="CA1161" s="210"/>
      <c r="CB1161" s="210"/>
      <c r="CC1161" s="210"/>
      <c r="CD1161" s="210"/>
      <c r="CE1161" s="210"/>
      <c r="CF1161" s="210"/>
      <c r="CG1161" s="210"/>
      <c r="CH1161" s="210"/>
      <c r="CI1161" s="210"/>
      <c r="CJ1161" s="210"/>
      <c r="CK1161" s="210"/>
    </row>
    <row r="1162">
      <c r="A1162" s="220"/>
      <c r="F1162" s="190"/>
      <c r="G1162" s="190"/>
      <c r="L1162" s="220"/>
      <c r="M1162" s="220"/>
      <c r="O1162" s="210"/>
      <c r="P1162" s="210"/>
      <c r="Q1162" s="210"/>
      <c r="R1162" s="210"/>
      <c r="S1162" s="210"/>
      <c r="T1162" s="210"/>
      <c r="U1162" s="210"/>
      <c r="V1162" s="210"/>
      <c r="W1162" s="210"/>
      <c r="X1162" s="210"/>
      <c r="Y1162" s="210"/>
      <c r="Z1162" s="210"/>
      <c r="AA1162" s="210"/>
      <c r="AB1162" s="210"/>
      <c r="AC1162" s="210"/>
      <c r="AD1162" s="210"/>
      <c r="AE1162" s="210"/>
      <c r="AF1162" s="210"/>
      <c r="AG1162" s="210"/>
      <c r="AH1162" s="210"/>
      <c r="AI1162" s="210"/>
      <c r="AJ1162" s="210"/>
      <c r="AK1162" s="210"/>
      <c r="AL1162" s="210"/>
      <c r="AM1162" s="214"/>
      <c r="AN1162" s="210"/>
      <c r="AO1162" s="210"/>
      <c r="AP1162" s="210"/>
      <c r="AQ1162" s="210"/>
      <c r="AR1162" s="210"/>
      <c r="AS1162" s="210"/>
      <c r="AT1162" s="210"/>
      <c r="AU1162" s="210"/>
      <c r="AV1162" s="210"/>
      <c r="AW1162" s="210"/>
      <c r="AX1162" s="210"/>
      <c r="AY1162" s="210"/>
      <c r="AZ1162" s="210"/>
      <c r="BA1162" s="210"/>
      <c r="BB1162" s="210"/>
      <c r="BC1162" s="210"/>
      <c r="BD1162" s="210"/>
      <c r="BE1162" s="210"/>
      <c r="BF1162" s="210"/>
      <c r="BG1162" s="210"/>
      <c r="BH1162" s="210"/>
      <c r="BI1162" s="210"/>
      <c r="BJ1162" s="210"/>
      <c r="BK1162" s="210"/>
      <c r="BL1162" s="210"/>
      <c r="BM1162" s="210"/>
      <c r="BN1162" s="210"/>
      <c r="BO1162" s="210"/>
      <c r="BP1162" s="210"/>
      <c r="BQ1162" s="210"/>
      <c r="BR1162" s="210"/>
      <c r="BS1162" s="210"/>
      <c r="BT1162" s="210"/>
      <c r="BU1162" s="210"/>
      <c r="BV1162" s="210"/>
      <c r="BW1162" s="210"/>
      <c r="BX1162" s="210"/>
      <c r="BY1162" s="210"/>
      <c r="BZ1162" s="210"/>
      <c r="CA1162" s="210"/>
      <c r="CB1162" s="210"/>
      <c r="CC1162" s="210"/>
      <c r="CD1162" s="210"/>
      <c r="CE1162" s="210"/>
      <c r="CF1162" s="210"/>
      <c r="CG1162" s="210"/>
      <c r="CH1162" s="210"/>
      <c r="CI1162" s="210"/>
      <c r="CJ1162" s="210"/>
      <c r="CK1162" s="210"/>
    </row>
    <row r="1163">
      <c r="A1163" s="220"/>
      <c r="F1163" s="190"/>
      <c r="G1163" s="190"/>
      <c r="L1163" s="220"/>
      <c r="M1163" s="220"/>
      <c r="O1163" s="210"/>
      <c r="P1163" s="210"/>
      <c r="Q1163" s="210"/>
      <c r="R1163" s="210"/>
      <c r="S1163" s="210"/>
      <c r="T1163" s="210"/>
      <c r="U1163" s="210"/>
      <c r="V1163" s="210"/>
      <c r="W1163" s="210"/>
      <c r="X1163" s="210"/>
      <c r="Y1163" s="210"/>
      <c r="Z1163" s="210"/>
      <c r="AA1163" s="210"/>
      <c r="AB1163" s="210"/>
      <c r="AC1163" s="210"/>
      <c r="AD1163" s="210"/>
      <c r="AE1163" s="210"/>
      <c r="AF1163" s="210"/>
      <c r="AG1163" s="210"/>
      <c r="AH1163" s="210"/>
      <c r="AI1163" s="210"/>
      <c r="AJ1163" s="210"/>
      <c r="AK1163" s="210"/>
      <c r="AL1163" s="210"/>
      <c r="AM1163" s="214"/>
      <c r="AN1163" s="210"/>
      <c r="AO1163" s="210"/>
      <c r="AP1163" s="210"/>
      <c r="AQ1163" s="210"/>
      <c r="AR1163" s="210"/>
      <c r="AS1163" s="210"/>
      <c r="AT1163" s="210"/>
      <c r="AU1163" s="210"/>
      <c r="AV1163" s="210"/>
      <c r="AW1163" s="210"/>
      <c r="AX1163" s="210"/>
      <c r="AY1163" s="210"/>
      <c r="AZ1163" s="210"/>
      <c r="BA1163" s="210"/>
      <c r="BB1163" s="210"/>
      <c r="BC1163" s="210"/>
      <c r="BD1163" s="210"/>
      <c r="BE1163" s="210"/>
      <c r="BF1163" s="210"/>
      <c r="BG1163" s="210"/>
      <c r="BH1163" s="210"/>
      <c r="BI1163" s="210"/>
      <c r="BJ1163" s="210"/>
      <c r="BK1163" s="210"/>
      <c r="BL1163" s="210"/>
      <c r="BM1163" s="210"/>
      <c r="BN1163" s="210"/>
      <c r="BO1163" s="210"/>
      <c r="BP1163" s="210"/>
      <c r="BQ1163" s="210"/>
      <c r="BR1163" s="210"/>
      <c r="BS1163" s="210"/>
      <c r="BT1163" s="210"/>
      <c r="BU1163" s="210"/>
      <c r="BV1163" s="210"/>
      <c r="BW1163" s="210"/>
      <c r="BX1163" s="210"/>
      <c r="BY1163" s="210"/>
      <c r="BZ1163" s="210"/>
      <c r="CA1163" s="210"/>
      <c r="CB1163" s="210"/>
      <c r="CC1163" s="210"/>
      <c r="CD1163" s="210"/>
      <c r="CE1163" s="210"/>
      <c r="CF1163" s="210"/>
      <c r="CG1163" s="210"/>
      <c r="CH1163" s="210"/>
      <c r="CI1163" s="210"/>
      <c r="CJ1163" s="210"/>
      <c r="CK1163" s="210"/>
    </row>
    <row r="1164">
      <c r="A1164" s="220"/>
      <c r="F1164" s="190"/>
      <c r="G1164" s="190"/>
      <c r="L1164" s="220"/>
      <c r="M1164" s="220"/>
      <c r="O1164" s="210"/>
      <c r="P1164" s="210"/>
      <c r="Q1164" s="210"/>
      <c r="R1164" s="210"/>
      <c r="S1164" s="210"/>
      <c r="T1164" s="210"/>
      <c r="U1164" s="210"/>
      <c r="V1164" s="210"/>
      <c r="W1164" s="210"/>
      <c r="X1164" s="210"/>
      <c r="Y1164" s="210"/>
      <c r="Z1164" s="210"/>
      <c r="AA1164" s="210"/>
      <c r="AB1164" s="210"/>
      <c r="AC1164" s="210"/>
      <c r="AD1164" s="210"/>
      <c r="AE1164" s="210"/>
      <c r="AF1164" s="210"/>
      <c r="AG1164" s="210"/>
      <c r="AH1164" s="210"/>
      <c r="AI1164" s="210"/>
      <c r="AJ1164" s="210"/>
      <c r="AK1164" s="210"/>
      <c r="AL1164" s="210"/>
      <c r="AM1164" s="214"/>
      <c r="AN1164" s="210"/>
      <c r="AO1164" s="210"/>
      <c r="AP1164" s="210"/>
      <c r="AQ1164" s="210"/>
      <c r="AR1164" s="210"/>
      <c r="AS1164" s="210"/>
      <c r="AT1164" s="210"/>
      <c r="AU1164" s="210"/>
      <c r="AV1164" s="210"/>
      <c r="AW1164" s="210"/>
      <c r="AX1164" s="210"/>
      <c r="AY1164" s="210"/>
      <c r="AZ1164" s="210"/>
      <c r="BA1164" s="210"/>
      <c r="BB1164" s="210"/>
      <c r="BC1164" s="210"/>
      <c r="BD1164" s="210"/>
      <c r="BE1164" s="210"/>
      <c r="BF1164" s="210"/>
      <c r="BG1164" s="210"/>
      <c r="BH1164" s="210"/>
      <c r="BI1164" s="210"/>
      <c r="BJ1164" s="210"/>
      <c r="BK1164" s="210"/>
      <c r="BL1164" s="210"/>
      <c r="BM1164" s="210"/>
      <c r="BN1164" s="210"/>
      <c r="BO1164" s="210"/>
      <c r="BP1164" s="210"/>
      <c r="BQ1164" s="210"/>
      <c r="BR1164" s="210"/>
      <c r="BS1164" s="210"/>
      <c r="BT1164" s="210"/>
      <c r="BU1164" s="210"/>
      <c r="BV1164" s="210"/>
      <c r="BW1164" s="210"/>
      <c r="BX1164" s="210"/>
      <c r="BY1164" s="210"/>
      <c r="BZ1164" s="210"/>
      <c r="CA1164" s="210"/>
      <c r="CB1164" s="210"/>
      <c r="CC1164" s="210"/>
      <c r="CD1164" s="210"/>
      <c r="CE1164" s="210"/>
      <c r="CF1164" s="210"/>
      <c r="CG1164" s="210"/>
      <c r="CH1164" s="210"/>
      <c r="CI1164" s="210"/>
      <c r="CJ1164" s="210"/>
      <c r="CK1164" s="210"/>
    </row>
    <row r="1165">
      <c r="A1165" s="220"/>
      <c r="F1165" s="190"/>
      <c r="G1165" s="190"/>
      <c r="L1165" s="220"/>
      <c r="M1165" s="220"/>
      <c r="O1165" s="210"/>
      <c r="P1165" s="210"/>
      <c r="Q1165" s="210"/>
      <c r="R1165" s="210"/>
      <c r="S1165" s="210"/>
      <c r="T1165" s="210"/>
      <c r="U1165" s="210"/>
      <c r="V1165" s="210"/>
      <c r="W1165" s="210"/>
      <c r="X1165" s="210"/>
      <c r="Y1165" s="210"/>
      <c r="Z1165" s="210"/>
      <c r="AA1165" s="210"/>
      <c r="AB1165" s="210"/>
      <c r="AC1165" s="210"/>
      <c r="AD1165" s="210"/>
      <c r="AE1165" s="210"/>
      <c r="AF1165" s="210"/>
      <c r="AG1165" s="210"/>
      <c r="AH1165" s="210"/>
      <c r="AI1165" s="210"/>
      <c r="AJ1165" s="210"/>
      <c r="AK1165" s="210"/>
      <c r="AL1165" s="210"/>
      <c r="AM1165" s="214"/>
      <c r="AN1165" s="210"/>
      <c r="AO1165" s="210"/>
      <c r="AP1165" s="210"/>
      <c r="AQ1165" s="210"/>
      <c r="AR1165" s="210"/>
      <c r="AS1165" s="210"/>
      <c r="AT1165" s="210"/>
      <c r="AU1165" s="210"/>
      <c r="AV1165" s="210"/>
      <c r="AW1165" s="210"/>
      <c r="AX1165" s="210"/>
      <c r="AY1165" s="210"/>
      <c r="AZ1165" s="210"/>
      <c r="BA1165" s="210"/>
      <c r="BB1165" s="210"/>
      <c r="BC1165" s="210"/>
      <c r="BD1165" s="210"/>
      <c r="BE1165" s="210"/>
      <c r="BF1165" s="210"/>
      <c r="BG1165" s="210"/>
      <c r="BH1165" s="210"/>
      <c r="BI1165" s="210"/>
      <c r="BJ1165" s="210"/>
      <c r="BK1165" s="210"/>
      <c r="BL1165" s="210"/>
      <c r="BM1165" s="210"/>
      <c r="BN1165" s="210"/>
      <c r="BO1165" s="210"/>
      <c r="BP1165" s="210"/>
      <c r="BQ1165" s="210"/>
      <c r="BR1165" s="210"/>
      <c r="BS1165" s="210"/>
      <c r="BT1165" s="210"/>
      <c r="BU1165" s="210"/>
      <c r="BV1165" s="210"/>
      <c r="BW1165" s="210"/>
      <c r="BX1165" s="210"/>
      <c r="BY1165" s="210"/>
      <c r="BZ1165" s="210"/>
      <c r="CA1165" s="210"/>
      <c r="CB1165" s="210"/>
      <c r="CC1165" s="210"/>
      <c r="CD1165" s="210"/>
      <c r="CE1165" s="210"/>
      <c r="CF1165" s="210"/>
      <c r="CG1165" s="210"/>
      <c r="CH1165" s="210"/>
      <c r="CI1165" s="210"/>
      <c r="CJ1165" s="210"/>
      <c r="CK1165" s="210"/>
    </row>
    <row r="1166">
      <c r="A1166" s="220"/>
      <c r="F1166" s="190"/>
      <c r="G1166" s="190"/>
      <c r="L1166" s="220"/>
      <c r="M1166" s="220"/>
      <c r="O1166" s="210"/>
      <c r="P1166" s="210"/>
      <c r="Q1166" s="210"/>
      <c r="R1166" s="210"/>
      <c r="S1166" s="210"/>
      <c r="T1166" s="210"/>
      <c r="U1166" s="210"/>
      <c r="V1166" s="210"/>
      <c r="W1166" s="210"/>
      <c r="X1166" s="210"/>
      <c r="Y1166" s="210"/>
      <c r="Z1166" s="210"/>
      <c r="AA1166" s="210"/>
      <c r="AB1166" s="210"/>
      <c r="AC1166" s="210"/>
      <c r="AD1166" s="210"/>
      <c r="AE1166" s="210"/>
      <c r="AF1166" s="210"/>
      <c r="AG1166" s="210"/>
      <c r="AH1166" s="210"/>
      <c r="AI1166" s="210"/>
      <c r="AJ1166" s="210"/>
      <c r="AK1166" s="210"/>
      <c r="AL1166" s="210"/>
      <c r="AM1166" s="214"/>
      <c r="AN1166" s="210"/>
      <c r="AO1166" s="210"/>
      <c r="AP1166" s="210"/>
      <c r="AQ1166" s="210"/>
      <c r="AR1166" s="210"/>
      <c r="AS1166" s="210"/>
      <c r="AT1166" s="210"/>
      <c r="AU1166" s="210"/>
      <c r="AV1166" s="210"/>
      <c r="AW1166" s="210"/>
      <c r="AX1166" s="210"/>
      <c r="AY1166" s="210"/>
      <c r="AZ1166" s="210"/>
      <c r="BA1166" s="210"/>
      <c r="BB1166" s="210"/>
      <c r="BC1166" s="210"/>
      <c r="BD1166" s="210"/>
      <c r="BE1166" s="210"/>
      <c r="BF1166" s="210"/>
      <c r="BG1166" s="210"/>
      <c r="BH1166" s="210"/>
      <c r="BI1166" s="210"/>
      <c r="BJ1166" s="210"/>
      <c r="BK1166" s="210"/>
      <c r="BL1166" s="210"/>
      <c r="BM1166" s="210"/>
      <c r="BN1166" s="210"/>
      <c r="BO1166" s="210"/>
      <c r="BP1166" s="210"/>
      <c r="BQ1166" s="210"/>
      <c r="BR1166" s="210"/>
      <c r="BS1166" s="210"/>
      <c r="BT1166" s="210"/>
      <c r="BU1166" s="210"/>
      <c r="BV1166" s="210"/>
      <c r="BW1166" s="210"/>
      <c r="BX1166" s="210"/>
      <c r="BY1166" s="210"/>
      <c r="BZ1166" s="210"/>
      <c r="CA1166" s="210"/>
      <c r="CB1166" s="210"/>
      <c r="CC1166" s="210"/>
      <c r="CD1166" s="210"/>
      <c r="CE1166" s="210"/>
      <c r="CF1166" s="210"/>
      <c r="CG1166" s="210"/>
      <c r="CH1166" s="210"/>
      <c r="CI1166" s="210"/>
      <c r="CJ1166" s="210"/>
      <c r="CK1166" s="210"/>
    </row>
    <row r="1167">
      <c r="A1167" s="220"/>
      <c r="F1167" s="190"/>
      <c r="G1167" s="190"/>
      <c r="L1167" s="220"/>
      <c r="M1167" s="220"/>
      <c r="O1167" s="210"/>
      <c r="P1167" s="210"/>
      <c r="Q1167" s="210"/>
      <c r="R1167" s="210"/>
      <c r="S1167" s="210"/>
      <c r="T1167" s="210"/>
      <c r="U1167" s="210"/>
      <c r="V1167" s="210"/>
      <c r="W1167" s="210"/>
      <c r="X1167" s="210"/>
      <c r="Y1167" s="210"/>
      <c r="Z1167" s="210"/>
      <c r="AA1167" s="210"/>
      <c r="AB1167" s="210"/>
      <c r="AC1167" s="210"/>
      <c r="AD1167" s="210"/>
      <c r="AE1167" s="210"/>
      <c r="AF1167" s="210"/>
      <c r="AG1167" s="210"/>
      <c r="AH1167" s="210"/>
      <c r="AI1167" s="210"/>
      <c r="AJ1167" s="210"/>
      <c r="AK1167" s="210"/>
      <c r="AL1167" s="210"/>
      <c r="AM1167" s="214"/>
      <c r="AN1167" s="210"/>
      <c r="AO1167" s="210"/>
      <c r="AP1167" s="210"/>
      <c r="AQ1167" s="210"/>
      <c r="AR1167" s="210"/>
      <c r="AS1167" s="210"/>
      <c r="AT1167" s="210"/>
      <c r="AU1167" s="210"/>
      <c r="AV1167" s="210"/>
      <c r="AW1167" s="210"/>
      <c r="AX1167" s="210"/>
      <c r="AY1167" s="210"/>
      <c r="AZ1167" s="210"/>
      <c r="BA1167" s="210"/>
      <c r="BB1167" s="210"/>
      <c r="BC1167" s="210"/>
      <c r="BD1167" s="210"/>
      <c r="BE1167" s="210"/>
      <c r="BF1167" s="210"/>
      <c r="BG1167" s="210"/>
      <c r="BH1167" s="210"/>
      <c r="BI1167" s="210"/>
      <c r="BJ1167" s="210"/>
      <c r="BK1167" s="210"/>
      <c r="BL1167" s="210"/>
      <c r="BM1167" s="210"/>
      <c r="BN1167" s="210"/>
      <c r="BO1167" s="210"/>
      <c r="BP1167" s="210"/>
      <c r="BQ1167" s="210"/>
      <c r="BR1167" s="210"/>
      <c r="BS1167" s="210"/>
      <c r="BT1167" s="210"/>
      <c r="BU1167" s="210"/>
      <c r="BV1167" s="210"/>
      <c r="BW1167" s="210"/>
      <c r="BX1167" s="210"/>
      <c r="BY1167" s="210"/>
      <c r="BZ1167" s="210"/>
      <c r="CA1167" s="210"/>
      <c r="CB1167" s="210"/>
      <c r="CC1167" s="210"/>
      <c r="CD1167" s="210"/>
      <c r="CE1167" s="210"/>
      <c r="CF1167" s="210"/>
      <c r="CG1167" s="210"/>
      <c r="CH1167" s="210"/>
      <c r="CI1167" s="210"/>
      <c r="CJ1167" s="210"/>
      <c r="CK1167" s="210"/>
    </row>
    <row r="1168">
      <c r="A1168" s="220"/>
      <c r="F1168" s="190"/>
      <c r="G1168" s="190"/>
      <c r="L1168" s="220"/>
      <c r="M1168" s="220"/>
      <c r="O1168" s="210"/>
      <c r="P1168" s="210"/>
      <c r="Q1168" s="210"/>
      <c r="R1168" s="210"/>
      <c r="S1168" s="210"/>
      <c r="T1168" s="210"/>
      <c r="U1168" s="210"/>
      <c r="V1168" s="210"/>
      <c r="W1168" s="210"/>
      <c r="X1168" s="210"/>
      <c r="Y1168" s="210"/>
      <c r="Z1168" s="210"/>
      <c r="AA1168" s="210"/>
      <c r="AB1168" s="210"/>
      <c r="AC1168" s="210"/>
      <c r="AD1168" s="210"/>
      <c r="AE1168" s="210"/>
      <c r="AF1168" s="210"/>
      <c r="AG1168" s="210"/>
      <c r="AH1168" s="210"/>
      <c r="AI1168" s="210"/>
      <c r="AJ1168" s="210"/>
      <c r="AK1168" s="210"/>
      <c r="AL1168" s="210"/>
      <c r="AM1168" s="214"/>
      <c r="AN1168" s="210"/>
      <c r="AO1168" s="210"/>
      <c r="AP1168" s="210"/>
      <c r="AQ1168" s="210"/>
      <c r="AR1168" s="210"/>
      <c r="AS1168" s="210"/>
      <c r="AT1168" s="210"/>
      <c r="AU1168" s="210"/>
      <c r="AV1168" s="210"/>
      <c r="AW1168" s="210"/>
      <c r="AX1168" s="210"/>
      <c r="AY1168" s="210"/>
      <c r="AZ1168" s="210"/>
      <c r="BA1168" s="210"/>
      <c r="BB1168" s="210"/>
      <c r="BC1168" s="210"/>
      <c r="BD1168" s="210"/>
      <c r="BE1168" s="210"/>
      <c r="BF1168" s="210"/>
      <c r="BG1168" s="210"/>
      <c r="BH1168" s="210"/>
      <c r="BI1168" s="210"/>
      <c r="BJ1168" s="210"/>
      <c r="BK1168" s="210"/>
      <c r="BL1168" s="210"/>
      <c r="BM1168" s="210"/>
      <c r="BN1168" s="210"/>
      <c r="BO1168" s="210"/>
      <c r="BP1168" s="210"/>
      <c r="BQ1168" s="210"/>
      <c r="BR1168" s="210"/>
      <c r="BS1168" s="210"/>
      <c r="BT1168" s="210"/>
      <c r="BU1168" s="210"/>
      <c r="BV1168" s="210"/>
      <c r="BW1168" s="210"/>
      <c r="BX1168" s="210"/>
      <c r="BY1168" s="210"/>
      <c r="BZ1168" s="210"/>
      <c r="CA1168" s="210"/>
      <c r="CB1168" s="210"/>
      <c r="CC1168" s="210"/>
      <c r="CD1168" s="210"/>
      <c r="CE1168" s="210"/>
      <c r="CF1168" s="210"/>
      <c r="CG1168" s="210"/>
      <c r="CH1168" s="210"/>
      <c r="CI1168" s="210"/>
      <c r="CJ1168" s="210"/>
      <c r="CK1168" s="210"/>
    </row>
    <row r="1169">
      <c r="A1169" s="220"/>
      <c r="F1169" s="190"/>
      <c r="G1169" s="190"/>
      <c r="L1169" s="220"/>
      <c r="M1169" s="220"/>
      <c r="O1169" s="210"/>
      <c r="P1169" s="210"/>
      <c r="Q1169" s="210"/>
      <c r="R1169" s="210"/>
      <c r="S1169" s="210"/>
      <c r="T1169" s="210"/>
      <c r="U1169" s="210"/>
      <c r="V1169" s="210"/>
      <c r="W1169" s="210"/>
      <c r="X1169" s="210"/>
      <c r="Y1169" s="210"/>
      <c r="Z1169" s="210"/>
      <c r="AA1169" s="210"/>
      <c r="AB1169" s="210"/>
      <c r="AC1169" s="210"/>
      <c r="AD1169" s="210"/>
      <c r="AE1169" s="210"/>
      <c r="AF1169" s="210"/>
      <c r="AG1169" s="210"/>
      <c r="AH1169" s="210"/>
      <c r="AI1169" s="210"/>
      <c r="AJ1169" s="210"/>
      <c r="AK1169" s="210"/>
      <c r="AL1169" s="210"/>
      <c r="AM1169" s="214"/>
      <c r="AN1169" s="210"/>
      <c r="AO1169" s="210"/>
      <c r="AP1169" s="210"/>
      <c r="AQ1169" s="210"/>
      <c r="AR1169" s="210"/>
      <c r="AS1169" s="210"/>
      <c r="AT1169" s="210"/>
      <c r="AU1169" s="210"/>
      <c r="AV1169" s="210"/>
      <c r="AW1169" s="210"/>
      <c r="AX1169" s="210"/>
      <c r="AY1169" s="210"/>
      <c r="AZ1169" s="210"/>
      <c r="BA1169" s="210"/>
      <c r="BB1169" s="210"/>
      <c r="BC1169" s="210"/>
      <c r="BD1169" s="210"/>
      <c r="BE1169" s="210"/>
      <c r="BF1169" s="210"/>
      <c r="BG1169" s="210"/>
      <c r="BH1169" s="210"/>
      <c r="BI1169" s="210"/>
      <c r="BJ1169" s="210"/>
      <c r="BK1169" s="210"/>
      <c r="BL1169" s="210"/>
      <c r="BM1169" s="210"/>
      <c r="BN1169" s="210"/>
      <c r="BO1169" s="210"/>
      <c r="BP1169" s="210"/>
      <c r="BQ1169" s="210"/>
      <c r="BR1169" s="210"/>
      <c r="BS1169" s="210"/>
      <c r="BT1169" s="210"/>
      <c r="BU1169" s="210"/>
      <c r="BV1169" s="210"/>
      <c r="BW1169" s="210"/>
      <c r="BX1169" s="210"/>
      <c r="BY1169" s="210"/>
      <c r="BZ1169" s="210"/>
      <c r="CA1169" s="210"/>
      <c r="CB1169" s="210"/>
      <c r="CC1169" s="210"/>
      <c r="CD1169" s="210"/>
      <c r="CE1169" s="210"/>
      <c r="CF1169" s="210"/>
      <c r="CG1169" s="210"/>
      <c r="CH1169" s="210"/>
      <c r="CI1169" s="210"/>
      <c r="CJ1169" s="210"/>
      <c r="CK1169" s="210"/>
    </row>
    <row r="1170">
      <c r="A1170" s="220"/>
      <c r="F1170" s="190"/>
      <c r="G1170" s="190"/>
      <c r="L1170" s="220"/>
      <c r="M1170" s="220"/>
      <c r="O1170" s="210"/>
      <c r="P1170" s="210"/>
      <c r="Q1170" s="210"/>
      <c r="R1170" s="210"/>
      <c r="S1170" s="210"/>
      <c r="T1170" s="210"/>
      <c r="U1170" s="210"/>
      <c r="V1170" s="210"/>
      <c r="W1170" s="210"/>
      <c r="X1170" s="210"/>
      <c r="Y1170" s="210"/>
      <c r="Z1170" s="210"/>
      <c r="AA1170" s="210"/>
      <c r="AB1170" s="210"/>
      <c r="AC1170" s="210"/>
      <c r="AD1170" s="210"/>
      <c r="AE1170" s="210"/>
      <c r="AF1170" s="210"/>
      <c r="AG1170" s="210"/>
      <c r="AH1170" s="210"/>
      <c r="AI1170" s="210"/>
      <c r="AJ1170" s="210"/>
      <c r="AK1170" s="210"/>
      <c r="AL1170" s="210"/>
      <c r="AM1170" s="214"/>
      <c r="AN1170" s="210"/>
      <c r="AO1170" s="210"/>
      <c r="AP1170" s="210"/>
      <c r="AQ1170" s="210"/>
      <c r="AR1170" s="210"/>
      <c r="AS1170" s="210"/>
      <c r="AT1170" s="210"/>
      <c r="AU1170" s="210"/>
      <c r="AV1170" s="210"/>
      <c r="AW1170" s="210"/>
      <c r="AX1170" s="210"/>
      <c r="AY1170" s="210"/>
      <c r="AZ1170" s="210"/>
      <c r="BA1170" s="210"/>
      <c r="BB1170" s="210"/>
      <c r="BC1170" s="210"/>
      <c r="BD1170" s="210"/>
      <c r="BE1170" s="210"/>
      <c r="BF1170" s="210"/>
      <c r="BG1170" s="210"/>
      <c r="BH1170" s="210"/>
      <c r="BI1170" s="210"/>
      <c r="BJ1170" s="210"/>
      <c r="BK1170" s="210"/>
      <c r="BL1170" s="210"/>
      <c r="BM1170" s="210"/>
      <c r="BN1170" s="210"/>
      <c r="BO1170" s="210"/>
      <c r="BP1170" s="210"/>
      <c r="BQ1170" s="210"/>
      <c r="BR1170" s="210"/>
      <c r="BS1170" s="210"/>
      <c r="BT1170" s="210"/>
      <c r="BU1170" s="210"/>
      <c r="BV1170" s="210"/>
      <c r="BW1170" s="210"/>
      <c r="BX1170" s="210"/>
      <c r="BY1170" s="210"/>
      <c r="BZ1170" s="210"/>
      <c r="CA1170" s="210"/>
      <c r="CB1170" s="210"/>
      <c r="CC1170" s="210"/>
      <c r="CD1170" s="210"/>
      <c r="CE1170" s="210"/>
      <c r="CF1170" s="210"/>
      <c r="CG1170" s="210"/>
      <c r="CH1170" s="210"/>
      <c r="CI1170" s="210"/>
      <c r="CJ1170" s="210"/>
      <c r="CK1170" s="210"/>
    </row>
    <row r="1171">
      <c r="A1171" s="220"/>
      <c r="F1171" s="190"/>
      <c r="G1171" s="190"/>
      <c r="L1171" s="220"/>
      <c r="M1171" s="220"/>
      <c r="O1171" s="210"/>
      <c r="P1171" s="210"/>
      <c r="Q1171" s="210"/>
      <c r="R1171" s="210"/>
      <c r="S1171" s="210"/>
      <c r="T1171" s="210"/>
      <c r="U1171" s="210"/>
      <c r="V1171" s="210"/>
      <c r="W1171" s="210"/>
      <c r="X1171" s="210"/>
      <c r="Y1171" s="210"/>
      <c r="Z1171" s="210"/>
      <c r="AA1171" s="210"/>
      <c r="AB1171" s="210"/>
      <c r="AC1171" s="210"/>
      <c r="AD1171" s="210"/>
      <c r="AE1171" s="210"/>
      <c r="AF1171" s="210"/>
      <c r="AG1171" s="210"/>
      <c r="AH1171" s="210"/>
      <c r="AI1171" s="210"/>
      <c r="AJ1171" s="210"/>
      <c r="AK1171" s="210"/>
      <c r="AL1171" s="210"/>
      <c r="AM1171" s="214"/>
      <c r="AN1171" s="210"/>
      <c r="AO1171" s="210"/>
      <c r="AP1171" s="210"/>
      <c r="AQ1171" s="210"/>
      <c r="AR1171" s="210"/>
      <c r="AS1171" s="210"/>
      <c r="AT1171" s="210"/>
      <c r="AU1171" s="210"/>
      <c r="AV1171" s="210"/>
      <c r="AW1171" s="210"/>
      <c r="AX1171" s="210"/>
      <c r="AY1171" s="210"/>
      <c r="AZ1171" s="210"/>
      <c r="BA1171" s="210"/>
      <c r="BB1171" s="210"/>
      <c r="BC1171" s="210"/>
      <c r="BD1171" s="210"/>
      <c r="BE1171" s="210"/>
      <c r="BF1171" s="210"/>
      <c r="BG1171" s="210"/>
      <c r="BH1171" s="210"/>
      <c r="BI1171" s="210"/>
      <c r="BJ1171" s="210"/>
      <c r="BK1171" s="210"/>
      <c r="BL1171" s="210"/>
      <c r="BM1171" s="210"/>
      <c r="BN1171" s="210"/>
      <c r="BO1171" s="210"/>
      <c r="BP1171" s="210"/>
      <c r="BQ1171" s="210"/>
      <c r="BR1171" s="210"/>
      <c r="BS1171" s="210"/>
      <c r="BT1171" s="210"/>
      <c r="BU1171" s="210"/>
      <c r="BV1171" s="210"/>
      <c r="BW1171" s="210"/>
      <c r="BX1171" s="210"/>
      <c r="BY1171" s="210"/>
      <c r="BZ1171" s="210"/>
      <c r="CA1171" s="210"/>
      <c r="CB1171" s="210"/>
      <c r="CC1171" s="210"/>
      <c r="CD1171" s="210"/>
      <c r="CE1171" s="210"/>
      <c r="CF1171" s="210"/>
      <c r="CG1171" s="210"/>
      <c r="CH1171" s="210"/>
      <c r="CI1171" s="210"/>
      <c r="CJ1171" s="210"/>
      <c r="CK1171" s="210"/>
    </row>
    <row r="1172">
      <c r="A1172" s="220"/>
      <c r="F1172" s="190"/>
      <c r="G1172" s="190"/>
      <c r="L1172" s="220"/>
      <c r="M1172" s="220"/>
      <c r="O1172" s="210"/>
      <c r="P1172" s="210"/>
      <c r="Q1172" s="210"/>
      <c r="R1172" s="210"/>
      <c r="S1172" s="210"/>
      <c r="T1172" s="210"/>
      <c r="U1172" s="210"/>
      <c r="V1172" s="210"/>
      <c r="W1172" s="210"/>
      <c r="X1172" s="210"/>
      <c r="Y1172" s="210"/>
      <c r="Z1172" s="210"/>
      <c r="AA1172" s="210"/>
      <c r="AB1172" s="210"/>
      <c r="AC1172" s="210"/>
      <c r="AD1172" s="210"/>
      <c r="AE1172" s="210"/>
      <c r="AF1172" s="210"/>
      <c r="AG1172" s="210"/>
      <c r="AH1172" s="210"/>
      <c r="AI1172" s="210"/>
      <c r="AJ1172" s="210"/>
      <c r="AK1172" s="210"/>
      <c r="AL1172" s="210"/>
      <c r="AM1172" s="214"/>
      <c r="AN1172" s="210"/>
      <c r="AO1172" s="210"/>
      <c r="AP1172" s="210"/>
      <c r="AQ1172" s="210"/>
      <c r="AR1172" s="210"/>
      <c r="AS1172" s="210"/>
      <c r="AT1172" s="210"/>
      <c r="AU1172" s="210"/>
      <c r="AV1172" s="210"/>
      <c r="AW1172" s="210"/>
      <c r="AX1172" s="210"/>
      <c r="AY1172" s="210"/>
      <c r="AZ1172" s="210"/>
      <c r="BA1172" s="210"/>
      <c r="BB1172" s="210"/>
      <c r="BC1172" s="210"/>
      <c r="BD1172" s="210"/>
      <c r="BE1172" s="210"/>
      <c r="BF1172" s="210"/>
      <c r="BG1172" s="210"/>
      <c r="BH1172" s="210"/>
      <c r="BI1172" s="210"/>
      <c r="BJ1172" s="210"/>
      <c r="BK1172" s="210"/>
      <c r="BL1172" s="210"/>
      <c r="BM1172" s="210"/>
      <c r="BN1172" s="210"/>
      <c r="BO1172" s="210"/>
      <c r="BP1172" s="210"/>
      <c r="BQ1172" s="210"/>
      <c r="BR1172" s="210"/>
      <c r="BS1172" s="210"/>
      <c r="BT1172" s="210"/>
      <c r="BU1172" s="210"/>
      <c r="BV1172" s="210"/>
      <c r="BW1172" s="210"/>
      <c r="BX1172" s="210"/>
      <c r="BY1172" s="210"/>
      <c r="BZ1172" s="210"/>
      <c r="CA1172" s="210"/>
      <c r="CB1172" s="210"/>
      <c r="CC1172" s="210"/>
      <c r="CD1172" s="210"/>
      <c r="CE1172" s="210"/>
      <c r="CF1172" s="210"/>
      <c r="CG1172" s="210"/>
      <c r="CH1172" s="210"/>
      <c r="CI1172" s="210"/>
      <c r="CJ1172" s="210"/>
      <c r="CK1172" s="210"/>
    </row>
    <row r="1173">
      <c r="A1173" s="220"/>
      <c r="F1173" s="190"/>
      <c r="G1173" s="190"/>
      <c r="L1173" s="220"/>
      <c r="M1173" s="220"/>
      <c r="O1173" s="210"/>
      <c r="P1173" s="210"/>
      <c r="Q1173" s="210"/>
      <c r="R1173" s="210"/>
      <c r="S1173" s="210"/>
      <c r="T1173" s="210"/>
      <c r="U1173" s="210"/>
      <c r="V1173" s="210"/>
      <c r="W1173" s="210"/>
      <c r="X1173" s="210"/>
      <c r="Y1173" s="210"/>
      <c r="Z1173" s="210"/>
      <c r="AA1173" s="210"/>
      <c r="AB1173" s="210"/>
      <c r="AC1173" s="210"/>
      <c r="AD1173" s="210"/>
      <c r="AE1173" s="210"/>
      <c r="AF1173" s="210"/>
      <c r="AG1173" s="210"/>
      <c r="AH1173" s="210"/>
      <c r="AI1173" s="210"/>
      <c r="AJ1173" s="210"/>
      <c r="AK1173" s="210"/>
      <c r="AL1173" s="210"/>
      <c r="AM1173" s="214"/>
      <c r="AN1173" s="210"/>
      <c r="AO1173" s="210"/>
      <c r="AP1173" s="210"/>
      <c r="AQ1173" s="210"/>
      <c r="AR1173" s="210"/>
      <c r="AS1173" s="210"/>
      <c r="AT1173" s="210"/>
      <c r="AU1173" s="210"/>
      <c r="AV1173" s="210"/>
      <c r="AW1173" s="210"/>
      <c r="AX1173" s="210"/>
      <c r="AY1173" s="210"/>
      <c r="AZ1173" s="210"/>
      <c r="BA1173" s="210"/>
      <c r="BB1173" s="210"/>
      <c r="BC1173" s="210"/>
      <c r="BD1173" s="210"/>
      <c r="BE1173" s="210"/>
      <c r="BF1173" s="210"/>
      <c r="BG1173" s="210"/>
      <c r="BH1173" s="210"/>
      <c r="BI1173" s="210"/>
      <c r="BJ1173" s="210"/>
      <c r="BK1173" s="210"/>
      <c r="BL1173" s="210"/>
      <c r="BM1173" s="210"/>
      <c r="BN1173" s="210"/>
      <c r="BO1173" s="210"/>
      <c r="BP1173" s="210"/>
      <c r="BQ1173" s="210"/>
      <c r="BR1173" s="210"/>
      <c r="BS1173" s="210"/>
      <c r="BT1173" s="210"/>
      <c r="BU1173" s="210"/>
      <c r="BV1173" s="210"/>
      <c r="BW1173" s="210"/>
      <c r="BX1173" s="210"/>
      <c r="BY1173" s="210"/>
      <c r="BZ1173" s="210"/>
      <c r="CA1173" s="210"/>
      <c r="CB1173" s="210"/>
      <c r="CC1173" s="210"/>
      <c r="CD1173" s="210"/>
      <c r="CE1173" s="210"/>
      <c r="CF1173" s="210"/>
      <c r="CG1173" s="210"/>
      <c r="CH1173" s="210"/>
      <c r="CI1173" s="210"/>
      <c r="CJ1173" s="210"/>
      <c r="CK1173" s="210"/>
    </row>
    <row r="1174">
      <c r="A1174" s="220"/>
      <c r="F1174" s="190"/>
      <c r="G1174" s="190"/>
      <c r="L1174" s="220"/>
      <c r="M1174" s="220"/>
      <c r="O1174" s="210"/>
      <c r="P1174" s="210"/>
      <c r="Q1174" s="210"/>
      <c r="R1174" s="210"/>
      <c r="S1174" s="210"/>
      <c r="T1174" s="210"/>
      <c r="U1174" s="210"/>
      <c r="V1174" s="210"/>
      <c r="W1174" s="210"/>
      <c r="X1174" s="210"/>
      <c r="Y1174" s="210"/>
      <c r="Z1174" s="210"/>
      <c r="AA1174" s="210"/>
      <c r="AB1174" s="210"/>
      <c r="AC1174" s="210"/>
      <c r="AD1174" s="210"/>
      <c r="AE1174" s="210"/>
      <c r="AF1174" s="210"/>
      <c r="AG1174" s="210"/>
      <c r="AH1174" s="210"/>
      <c r="AI1174" s="210"/>
      <c r="AJ1174" s="210"/>
      <c r="AK1174" s="210"/>
      <c r="AL1174" s="210"/>
      <c r="AM1174" s="214"/>
      <c r="AN1174" s="210"/>
      <c r="AO1174" s="210"/>
      <c r="AP1174" s="210"/>
      <c r="AQ1174" s="210"/>
      <c r="AR1174" s="210"/>
      <c r="AS1174" s="210"/>
      <c r="AT1174" s="210"/>
      <c r="AU1174" s="210"/>
      <c r="AV1174" s="210"/>
      <c r="AW1174" s="210"/>
      <c r="AX1174" s="210"/>
      <c r="AY1174" s="210"/>
      <c r="AZ1174" s="210"/>
      <c r="BA1174" s="210"/>
      <c r="BB1174" s="210"/>
      <c r="BC1174" s="210"/>
      <c r="BD1174" s="210"/>
      <c r="BE1174" s="210"/>
      <c r="BF1174" s="210"/>
      <c r="BG1174" s="210"/>
      <c r="BH1174" s="210"/>
      <c r="BI1174" s="210"/>
      <c r="BJ1174" s="210"/>
      <c r="BK1174" s="210"/>
      <c r="BL1174" s="210"/>
      <c r="BM1174" s="210"/>
      <c r="BN1174" s="210"/>
      <c r="BO1174" s="210"/>
      <c r="BP1174" s="210"/>
      <c r="BQ1174" s="210"/>
      <c r="BR1174" s="210"/>
      <c r="BS1174" s="210"/>
      <c r="BT1174" s="210"/>
      <c r="BU1174" s="210"/>
      <c r="BV1174" s="210"/>
      <c r="BW1174" s="210"/>
      <c r="BX1174" s="210"/>
      <c r="BY1174" s="210"/>
      <c r="BZ1174" s="210"/>
      <c r="CA1174" s="210"/>
      <c r="CB1174" s="210"/>
      <c r="CC1174" s="210"/>
      <c r="CD1174" s="210"/>
      <c r="CE1174" s="210"/>
      <c r="CF1174" s="210"/>
      <c r="CG1174" s="210"/>
      <c r="CH1174" s="210"/>
      <c r="CI1174" s="210"/>
      <c r="CJ1174" s="210"/>
      <c r="CK1174" s="210"/>
    </row>
    <row r="1175">
      <c r="A1175" s="220"/>
      <c r="F1175" s="190"/>
      <c r="G1175" s="190"/>
      <c r="L1175" s="220"/>
      <c r="M1175" s="220"/>
      <c r="O1175" s="210"/>
      <c r="P1175" s="210"/>
      <c r="Q1175" s="210"/>
      <c r="R1175" s="210"/>
      <c r="S1175" s="210"/>
      <c r="T1175" s="210"/>
      <c r="U1175" s="210"/>
      <c r="V1175" s="210"/>
      <c r="W1175" s="210"/>
      <c r="X1175" s="210"/>
      <c r="Y1175" s="210"/>
      <c r="Z1175" s="210"/>
      <c r="AA1175" s="210"/>
      <c r="AB1175" s="210"/>
      <c r="AC1175" s="210"/>
      <c r="AD1175" s="210"/>
      <c r="AE1175" s="210"/>
      <c r="AF1175" s="210"/>
      <c r="AG1175" s="210"/>
      <c r="AH1175" s="210"/>
      <c r="AI1175" s="210"/>
      <c r="AJ1175" s="210"/>
      <c r="AK1175" s="210"/>
      <c r="AL1175" s="210"/>
      <c r="AM1175" s="214"/>
      <c r="AN1175" s="210"/>
      <c r="AO1175" s="210"/>
      <c r="AP1175" s="210"/>
      <c r="AQ1175" s="210"/>
      <c r="AR1175" s="210"/>
      <c r="AS1175" s="210"/>
      <c r="AT1175" s="210"/>
      <c r="AU1175" s="210"/>
      <c r="AV1175" s="210"/>
      <c r="AW1175" s="210"/>
      <c r="AX1175" s="210"/>
      <c r="AY1175" s="210"/>
      <c r="AZ1175" s="210"/>
      <c r="BA1175" s="210"/>
      <c r="BB1175" s="210"/>
      <c r="BC1175" s="210"/>
      <c r="BD1175" s="210"/>
      <c r="BE1175" s="210"/>
      <c r="BF1175" s="210"/>
      <c r="BG1175" s="210"/>
      <c r="BH1175" s="210"/>
      <c r="BI1175" s="210"/>
      <c r="BJ1175" s="210"/>
      <c r="BK1175" s="210"/>
      <c r="BL1175" s="210"/>
      <c r="BM1175" s="210"/>
      <c r="BN1175" s="210"/>
      <c r="BO1175" s="210"/>
      <c r="BP1175" s="210"/>
      <c r="BQ1175" s="210"/>
      <c r="BR1175" s="210"/>
      <c r="BS1175" s="210"/>
      <c r="BT1175" s="210"/>
      <c r="BU1175" s="210"/>
      <c r="BV1175" s="210"/>
      <c r="BW1175" s="210"/>
      <c r="BX1175" s="210"/>
      <c r="BY1175" s="210"/>
      <c r="BZ1175" s="210"/>
      <c r="CA1175" s="210"/>
      <c r="CB1175" s="210"/>
      <c r="CC1175" s="210"/>
      <c r="CD1175" s="210"/>
      <c r="CE1175" s="210"/>
      <c r="CF1175" s="210"/>
      <c r="CG1175" s="210"/>
      <c r="CH1175" s="210"/>
      <c r="CI1175" s="210"/>
      <c r="CJ1175" s="210"/>
      <c r="CK1175" s="210"/>
    </row>
    <row r="1176">
      <c r="A1176" s="220"/>
      <c r="F1176" s="190"/>
      <c r="G1176" s="190"/>
      <c r="L1176" s="220"/>
      <c r="M1176" s="220"/>
      <c r="O1176" s="210"/>
      <c r="P1176" s="210"/>
      <c r="Q1176" s="210"/>
      <c r="R1176" s="210"/>
      <c r="S1176" s="210"/>
      <c r="T1176" s="210"/>
      <c r="U1176" s="210"/>
      <c r="V1176" s="210"/>
      <c r="W1176" s="210"/>
      <c r="X1176" s="210"/>
      <c r="Y1176" s="210"/>
      <c r="Z1176" s="210"/>
      <c r="AA1176" s="210"/>
      <c r="AB1176" s="210"/>
      <c r="AC1176" s="210"/>
      <c r="AD1176" s="210"/>
      <c r="AE1176" s="210"/>
      <c r="AF1176" s="210"/>
      <c r="AG1176" s="210"/>
      <c r="AH1176" s="210"/>
      <c r="AI1176" s="210"/>
      <c r="AJ1176" s="210"/>
      <c r="AK1176" s="210"/>
      <c r="AL1176" s="210"/>
      <c r="AM1176" s="214"/>
      <c r="AN1176" s="210"/>
      <c r="AO1176" s="210"/>
      <c r="AP1176" s="210"/>
      <c r="AQ1176" s="210"/>
      <c r="AR1176" s="210"/>
      <c r="AS1176" s="210"/>
      <c r="AT1176" s="210"/>
      <c r="AU1176" s="210"/>
      <c r="AV1176" s="210"/>
      <c r="AW1176" s="210"/>
      <c r="AX1176" s="210"/>
      <c r="AY1176" s="210"/>
      <c r="AZ1176" s="210"/>
      <c r="BA1176" s="210"/>
      <c r="BB1176" s="210"/>
      <c r="BC1176" s="210"/>
      <c r="BD1176" s="210"/>
      <c r="BE1176" s="210"/>
      <c r="BF1176" s="210"/>
      <c r="BG1176" s="210"/>
      <c r="BH1176" s="210"/>
      <c r="BI1176" s="210"/>
      <c r="BJ1176" s="210"/>
      <c r="BK1176" s="210"/>
      <c r="BL1176" s="210"/>
      <c r="BM1176" s="210"/>
      <c r="BN1176" s="210"/>
      <c r="BO1176" s="210"/>
      <c r="BP1176" s="210"/>
      <c r="BQ1176" s="210"/>
      <c r="BR1176" s="210"/>
      <c r="BS1176" s="210"/>
      <c r="BT1176" s="210"/>
      <c r="BU1176" s="210"/>
      <c r="BV1176" s="210"/>
      <c r="BW1176" s="210"/>
      <c r="BX1176" s="210"/>
      <c r="BY1176" s="210"/>
      <c r="BZ1176" s="210"/>
      <c r="CA1176" s="210"/>
      <c r="CB1176" s="210"/>
      <c r="CC1176" s="210"/>
      <c r="CD1176" s="210"/>
      <c r="CE1176" s="210"/>
      <c r="CF1176" s="210"/>
      <c r="CG1176" s="210"/>
      <c r="CH1176" s="210"/>
      <c r="CI1176" s="210"/>
      <c r="CJ1176" s="210"/>
      <c r="CK1176" s="210"/>
    </row>
    <row r="1177">
      <c r="A1177" s="220"/>
      <c r="F1177" s="190"/>
      <c r="G1177" s="190"/>
      <c r="L1177" s="220"/>
      <c r="M1177" s="220"/>
      <c r="O1177" s="210"/>
      <c r="P1177" s="210"/>
      <c r="Q1177" s="210"/>
      <c r="R1177" s="210"/>
      <c r="S1177" s="210"/>
      <c r="T1177" s="210"/>
      <c r="U1177" s="210"/>
      <c r="V1177" s="210"/>
      <c r="W1177" s="210"/>
      <c r="X1177" s="210"/>
      <c r="Y1177" s="210"/>
      <c r="Z1177" s="210"/>
      <c r="AA1177" s="210"/>
      <c r="AB1177" s="210"/>
      <c r="AC1177" s="210"/>
      <c r="AD1177" s="210"/>
      <c r="AE1177" s="210"/>
      <c r="AF1177" s="210"/>
      <c r="AG1177" s="210"/>
      <c r="AH1177" s="210"/>
      <c r="AI1177" s="210"/>
      <c r="AJ1177" s="210"/>
      <c r="AK1177" s="210"/>
      <c r="AL1177" s="210"/>
      <c r="AM1177" s="214"/>
      <c r="AN1177" s="210"/>
      <c r="AO1177" s="210"/>
      <c r="AP1177" s="210"/>
      <c r="AQ1177" s="210"/>
      <c r="AR1177" s="210"/>
      <c r="AS1177" s="210"/>
      <c r="AT1177" s="210"/>
      <c r="AU1177" s="210"/>
      <c r="AV1177" s="210"/>
      <c r="AW1177" s="210"/>
      <c r="AX1177" s="210"/>
      <c r="AY1177" s="210"/>
      <c r="AZ1177" s="210"/>
      <c r="BA1177" s="210"/>
      <c r="BB1177" s="210"/>
      <c r="BC1177" s="210"/>
      <c r="BD1177" s="210"/>
      <c r="BE1177" s="210"/>
      <c r="BF1177" s="210"/>
      <c r="BG1177" s="210"/>
      <c r="BH1177" s="210"/>
      <c r="BI1177" s="210"/>
      <c r="BJ1177" s="210"/>
      <c r="BK1177" s="210"/>
      <c r="BL1177" s="210"/>
      <c r="BM1177" s="210"/>
      <c r="BN1177" s="210"/>
      <c r="BO1177" s="210"/>
      <c r="BP1177" s="210"/>
      <c r="BQ1177" s="210"/>
      <c r="BR1177" s="210"/>
      <c r="BS1177" s="210"/>
      <c r="BT1177" s="210"/>
      <c r="BU1177" s="210"/>
      <c r="BV1177" s="210"/>
      <c r="BW1177" s="210"/>
      <c r="BX1177" s="210"/>
      <c r="BY1177" s="210"/>
      <c r="BZ1177" s="210"/>
      <c r="CA1177" s="210"/>
      <c r="CB1177" s="210"/>
      <c r="CC1177" s="210"/>
      <c r="CD1177" s="210"/>
      <c r="CE1177" s="210"/>
      <c r="CF1177" s="210"/>
      <c r="CG1177" s="210"/>
      <c r="CH1177" s="210"/>
      <c r="CI1177" s="210"/>
      <c r="CJ1177" s="210"/>
      <c r="CK1177" s="210"/>
    </row>
    <row r="1178">
      <c r="A1178" s="220"/>
      <c r="F1178" s="190"/>
      <c r="G1178" s="190"/>
      <c r="L1178" s="220"/>
      <c r="M1178" s="220"/>
      <c r="O1178" s="210"/>
      <c r="P1178" s="210"/>
      <c r="Q1178" s="210"/>
      <c r="R1178" s="210"/>
      <c r="S1178" s="210"/>
      <c r="T1178" s="210"/>
      <c r="U1178" s="210"/>
      <c r="V1178" s="210"/>
      <c r="W1178" s="210"/>
      <c r="X1178" s="210"/>
      <c r="Y1178" s="210"/>
      <c r="Z1178" s="210"/>
      <c r="AA1178" s="210"/>
      <c r="AB1178" s="210"/>
      <c r="AC1178" s="210"/>
      <c r="AD1178" s="210"/>
      <c r="AE1178" s="210"/>
      <c r="AF1178" s="210"/>
      <c r="AG1178" s="210"/>
      <c r="AH1178" s="210"/>
      <c r="AI1178" s="210"/>
      <c r="AJ1178" s="210"/>
      <c r="AK1178" s="210"/>
      <c r="AL1178" s="210"/>
      <c r="AM1178" s="214"/>
      <c r="AN1178" s="210"/>
      <c r="AO1178" s="210"/>
      <c r="AP1178" s="210"/>
      <c r="AQ1178" s="210"/>
      <c r="AR1178" s="210"/>
      <c r="AS1178" s="210"/>
      <c r="AT1178" s="210"/>
      <c r="AU1178" s="210"/>
      <c r="AV1178" s="210"/>
      <c r="AW1178" s="210"/>
      <c r="AX1178" s="210"/>
      <c r="AY1178" s="210"/>
      <c r="AZ1178" s="210"/>
      <c r="BA1178" s="210"/>
      <c r="BB1178" s="210"/>
      <c r="BC1178" s="210"/>
      <c r="BD1178" s="210"/>
      <c r="BE1178" s="210"/>
      <c r="BF1178" s="210"/>
      <c r="BG1178" s="210"/>
      <c r="BH1178" s="210"/>
      <c r="BI1178" s="210"/>
      <c r="BJ1178" s="210"/>
      <c r="BK1178" s="210"/>
      <c r="BL1178" s="210"/>
      <c r="BM1178" s="210"/>
      <c r="BN1178" s="210"/>
      <c r="BO1178" s="210"/>
      <c r="BP1178" s="210"/>
      <c r="BQ1178" s="210"/>
      <c r="BR1178" s="210"/>
      <c r="BS1178" s="210"/>
      <c r="BT1178" s="210"/>
      <c r="BU1178" s="210"/>
      <c r="BV1178" s="210"/>
      <c r="BW1178" s="210"/>
      <c r="BX1178" s="210"/>
      <c r="BY1178" s="210"/>
      <c r="BZ1178" s="210"/>
      <c r="CA1178" s="210"/>
      <c r="CB1178" s="210"/>
      <c r="CC1178" s="210"/>
      <c r="CD1178" s="210"/>
      <c r="CE1178" s="210"/>
      <c r="CF1178" s="210"/>
      <c r="CG1178" s="210"/>
      <c r="CH1178" s="210"/>
      <c r="CI1178" s="210"/>
      <c r="CJ1178" s="210"/>
      <c r="CK1178" s="210"/>
    </row>
    <row r="1179">
      <c r="A1179" s="220"/>
      <c r="F1179" s="190"/>
      <c r="G1179" s="190"/>
      <c r="L1179" s="220"/>
      <c r="M1179" s="220"/>
      <c r="O1179" s="210"/>
      <c r="P1179" s="210"/>
      <c r="Q1179" s="210"/>
      <c r="R1179" s="210"/>
      <c r="S1179" s="210"/>
      <c r="T1179" s="210"/>
      <c r="U1179" s="210"/>
      <c r="V1179" s="210"/>
      <c r="W1179" s="210"/>
      <c r="X1179" s="210"/>
      <c r="Y1179" s="210"/>
      <c r="Z1179" s="210"/>
      <c r="AA1179" s="210"/>
      <c r="AB1179" s="210"/>
      <c r="AC1179" s="210"/>
      <c r="AD1179" s="210"/>
      <c r="AE1179" s="210"/>
      <c r="AF1179" s="210"/>
      <c r="AG1179" s="210"/>
      <c r="AH1179" s="210"/>
      <c r="AI1179" s="210"/>
      <c r="AJ1179" s="210"/>
      <c r="AK1179" s="210"/>
      <c r="AL1179" s="210"/>
      <c r="AM1179" s="214"/>
      <c r="AN1179" s="210"/>
      <c r="AO1179" s="210"/>
      <c r="AP1179" s="210"/>
      <c r="AQ1179" s="210"/>
      <c r="AR1179" s="210"/>
      <c r="AS1179" s="210"/>
      <c r="AT1179" s="210"/>
      <c r="AU1179" s="210"/>
      <c r="AV1179" s="210"/>
      <c r="AW1179" s="210"/>
      <c r="AX1179" s="210"/>
      <c r="AY1179" s="210"/>
      <c r="AZ1179" s="210"/>
      <c r="BA1179" s="210"/>
      <c r="BB1179" s="210"/>
      <c r="BC1179" s="210"/>
      <c r="BD1179" s="210"/>
      <c r="BE1179" s="210"/>
      <c r="BF1179" s="210"/>
      <c r="BG1179" s="210"/>
      <c r="BH1179" s="210"/>
      <c r="BI1179" s="210"/>
      <c r="BJ1179" s="210"/>
      <c r="BK1179" s="210"/>
      <c r="BL1179" s="210"/>
      <c r="BM1179" s="210"/>
      <c r="BN1179" s="210"/>
      <c r="BO1179" s="210"/>
      <c r="BP1179" s="210"/>
      <c r="BQ1179" s="210"/>
      <c r="BR1179" s="210"/>
      <c r="BS1179" s="210"/>
      <c r="BT1179" s="210"/>
      <c r="BU1179" s="210"/>
      <c r="BV1179" s="210"/>
      <c r="BW1179" s="210"/>
      <c r="BX1179" s="210"/>
      <c r="BY1179" s="210"/>
      <c r="BZ1179" s="210"/>
      <c r="CA1179" s="210"/>
      <c r="CB1179" s="210"/>
      <c r="CC1179" s="210"/>
      <c r="CD1179" s="210"/>
      <c r="CE1179" s="210"/>
      <c r="CF1179" s="210"/>
      <c r="CG1179" s="210"/>
      <c r="CH1179" s="210"/>
      <c r="CI1179" s="210"/>
      <c r="CJ1179" s="210"/>
      <c r="CK1179" s="210"/>
    </row>
    <row r="1180">
      <c r="A1180" s="220"/>
      <c r="F1180" s="190"/>
      <c r="G1180" s="190"/>
      <c r="L1180" s="220"/>
      <c r="M1180" s="220"/>
      <c r="O1180" s="210"/>
      <c r="P1180" s="210"/>
      <c r="Q1180" s="210"/>
      <c r="R1180" s="210"/>
      <c r="S1180" s="210"/>
      <c r="T1180" s="210"/>
      <c r="U1180" s="210"/>
      <c r="V1180" s="210"/>
      <c r="W1180" s="210"/>
      <c r="X1180" s="210"/>
      <c r="Y1180" s="210"/>
      <c r="Z1180" s="210"/>
      <c r="AA1180" s="210"/>
      <c r="AB1180" s="210"/>
      <c r="AC1180" s="210"/>
      <c r="AD1180" s="210"/>
      <c r="AE1180" s="210"/>
      <c r="AF1180" s="210"/>
      <c r="AG1180" s="210"/>
      <c r="AH1180" s="210"/>
      <c r="AI1180" s="210"/>
      <c r="AJ1180" s="210"/>
      <c r="AK1180" s="210"/>
      <c r="AL1180" s="210"/>
      <c r="AM1180" s="214"/>
      <c r="AN1180" s="210"/>
      <c r="AO1180" s="210"/>
      <c r="AP1180" s="210"/>
      <c r="AQ1180" s="210"/>
      <c r="AR1180" s="210"/>
      <c r="AS1180" s="210"/>
      <c r="AT1180" s="210"/>
      <c r="AU1180" s="210"/>
      <c r="AV1180" s="210"/>
      <c r="AW1180" s="210"/>
      <c r="AX1180" s="210"/>
      <c r="AY1180" s="210"/>
      <c r="AZ1180" s="210"/>
      <c r="BA1180" s="210"/>
      <c r="BB1180" s="210"/>
      <c r="BC1180" s="210"/>
      <c r="BD1180" s="210"/>
      <c r="BE1180" s="210"/>
      <c r="BF1180" s="210"/>
      <c r="BG1180" s="210"/>
      <c r="BH1180" s="210"/>
      <c r="BI1180" s="210"/>
      <c r="BJ1180" s="210"/>
      <c r="BK1180" s="210"/>
      <c r="BL1180" s="210"/>
      <c r="BM1180" s="210"/>
      <c r="BN1180" s="210"/>
      <c r="BO1180" s="210"/>
      <c r="BP1180" s="210"/>
      <c r="BQ1180" s="210"/>
      <c r="BR1180" s="210"/>
      <c r="BS1180" s="210"/>
      <c r="BT1180" s="210"/>
      <c r="BU1180" s="210"/>
      <c r="BV1180" s="210"/>
      <c r="BW1180" s="210"/>
      <c r="BX1180" s="210"/>
      <c r="BY1180" s="210"/>
      <c r="BZ1180" s="210"/>
      <c r="CA1180" s="210"/>
      <c r="CB1180" s="210"/>
      <c r="CC1180" s="210"/>
      <c r="CD1180" s="210"/>
      <c r="CE1180" s="210"/>
      <c r="CF1180" s="210"/>
      <c r="CG1180" s="210"/>
      <c r="CH1180" s="210"/>
      <c r="CI1180" s="210"/>
      <c r="CJ1180" s="210"/>
      <c r="CK1180" s="210"/>
    </row>
    <row r="1181">
      <c r="A1181" s="220"/>
      <c r="F1181" s="190"/>
      <c r="G1181" s="190"/>
      <c r="L1181" s="220"/>
      <c r="M1181" s="220"/>
      <c r="O1181" s="210"/>
      <c r="P1181" s="210"/>
      <c r="Q1181" s="210"/>
      <c r="R1181" s="210"/>
      <c r="S1181" s="210"/>
      <c r="T1181" s="210"/>
      <c r="U1181" s="210"/>
      <c r="V1181" s="210"/>
      <c r="W1181" s="210"/>
      <c r="X1181" s="210"/>
      <c r="Y1181" s="210"/>
      <c r="Z1181" s="210"/>
      <c r="AA1181" s="210"/>
      <c r="AB1181" s="210"/>
      <c r="AC1181" s="210"/>
      <c r="AD1181" s="210"/>
      <c r="AE1181" s="210"/>
      <c r="AF1181" s="210"/>
      <c r="AG1181" s="210"/>
      <c r="AH1181" s="210"/>
      <c r="AI1181" s="210"/>
      <c r="AJ1181" s="210"/>
      <c r="AK1181" s="210"/>
      <c r="AL1181" s="210"/>
      <c r="AM1181" s="214"/>
      <c r="AN1181" s="210"/>
      <c r="AO1181" s="210"/>
      <c r="AP1181" s="210"/>
      <c r="AQ1181" s="210"/>
      <c r="AR1181" s="210"/>
      <c r="AS1181" s="210"/>
      <c r="AT1181" s="210"/>
      <c r="AU1181" s="210"/>
      <c r="AV1181" s="210"/>
      <c r="AW1181" s="210"/>
      <c r="AX1181" s="210"/>
      <c r="AY1181" s="210"/>
      <c r="AZ1181" s="210"/>
      <c r="BA1181" s="210"/>
      <c r="BB1181" s="210"/>
      <c r="BC1181" s="210"/>
      <c r="BD1181" s="210"/>
      <c r="BE1181" s="210"/>
      <c r="BF1181" s="210"/>
      <c r="BG1181" s="210"/>
      <c r="BH1181" s="210"/>
      <c r="BI1181" s="210"/>
      <c r="BJ1181" s="210"/>
      <c r="BK1181" s="210"/>
      <c r="BL1181" s="210"/>
      <c r="BM1181" s="210"/>
      <c r="BN1181" s="210"/>
      <c r="BO1181" s="210"/>
      <c r="BP1181" s="210"/>
      <c r="BQ1181" s="210"/>
      <c r="BR1181" s="210"/>
      <c r="BS1181" s="210"/>
      <c r="BT1181" s="210"/>
      <c r="BU1181" s="210"/>
      <c r="BV1181" s="210"/>
      <c r="BW1181" s="210"/>
      <c r="BX1181" s="210"/>
      <c r="BY1181" s="210"/>
      <c r="BZ1181" s="210"/>
      <c r="CA1181" s="210"/>
      <c r="CB1181" s="210"/>
      <c r="CC1181" s="210"/>
      <c r="CD1181" s="210"/>
      <c r="CE1181" s="210"/>
      <c r="CF1181" s="210"/>
      <c r="CG1181" s="210"/>
      <c r="CH1181" s="210"/>
      <c r="CI1181" s="210"/>
      <c r="CJ1181" s="210"/>
      <c r="CK1181" s="210"/>
    </row>
    <row r="1182">
      <c r="A1182" s="220"/>
      <c r="F1182" s="190"/>
      <c r="G1182" s="190"/>
      <c r="L1182" s="220"/>
      <c r="M1182" s="220"/>
      <c r="O1182" s="210"/>
      <c r="P1182" s="210"/>
      <c r="Q1182" s="210"/>
      <c r="R1182" s="210"/>
      <c r="S1182" s="210"/>
      <c r="T1182" s="210"/>
      <c r="U1182" s="210"/>
      <c r="V1182" s="210"/>
      <c r="W1182" s="210"/>
      <c r="X1182" s="210"/>
      <c r="Y1182" s="210"/>
      <c r="Z1182" s="210"/>
      <c r="AA1182" s="210"/>
      <c r="AB1182" s="210"/>
      <c r="AC1182" s="210"/>
      <c r="AD1182" s="210"/>
      <c r="AE1182" s="210"/>
      <c r="AF1182" s="210"/>
      <c r="AG1182" s="210"/>
      <c r="AH1182" s="210"/>
      <c r="AI1182" s="210"/>
      <c r="AJ1182" s="210"/>
      <c r="AK1182" s="210"/>
      <c r="AL1182" s="210"/>
      <c r="AM1182" s="214"/>
      <c r="AN1182" s="210"/>
      <c r="AO1182" s="210"/>
      <c r="AP1182" s="210"/>
      <c r="AQ1182" s="210"/>
      <c r="AR1182" s="210"/>
      <c r="AS1182" s="210"/>
      <c r="AT1182" s="210"/>
      <c r="AU1182" s="210"/>
      <c r="AV1182" s="210"/>
      <c r="AW1182" s="210"/>
      <c r="AX1182" s="210"/>
      <c r="AY1182" s="210"/>
      <c r="AZ1182" s="210"/>
      <c r="BA1182" s="210"/>
      <c r="BB1182" s="210"/>
      <c r="BC1182" s="210"/>
      <c r="BD1182" s="210"/>
      <c r="BE1182" s="210"/>
      <c r="BF1182" s="210"/>
      <c r="BG1182" s="210"/>
      <c r="BH1182" s="210"/>
      <c r="BI1182" s="210"/>
      <c r="BJ1182" s="210"/>
      <c r="BK1182" s="210"/>
      <c r="BL1182" s="210"/>
      <c r="BM1182" s="210"/>
      <c r="BN1182" s="210"/>
      <c r="BO1182" s="210"/>
      <c r="BP1182" s="210"/>
      <c r="BQ1182" s="210"/>
      <c r="BR1182" s="210"/>
      <c r="BS1182" s="210"/>
      <c r="BT1182" s="210"/>
      <c r="BU1182" s="210"/>
      <c r="BV1182" s="210"/>
      <c r="BW1182" s="210"/>
      <c r="BX1182" s="210"/>
      <c r="BY1182" s="210"/>
      <c r="BZ1182" s="210"/>
      <c r="CA1182" s="210"/>
      <c r="CB1182" s="210"/>
      <c r="CC1182" s="210"/>
      <c r="CD1182" s="210"/>
      <c r="CE1182" s="210"/>
      <c r="CF1182" s="210"/>
      <c r="CG1182" s="210"/>
      <c r="CH1182" s="210"/>
      <c r="CI1182" s="210"/>
      <c r="CJ1182" s="210"/>
      <c r="CK1182" s="210"/>
    </row>
    <row r="1183">
      <c r="A1183" s="220"/>
      <c r="F1183" s="190"/>
      <c r="G1183" s="190"/>
      <c r="L1183" s="220"/>
      <c r="M1183" s="220"/>
      <c r="O1183" s="210"/>
      <c r="P1183" s="210"/>
      <c r="Q1183" s="210"/>
      <c r="R1183" s="210"/>
      <c r="S1183" s="210"/>
      <c r="T1183" s="210"/>
      <c r="U1183" s="210"/>
      <c r="V1183" s="210"/>
      <c r="W1183" s="210"/>
      <c r="X1183" s="210"/>
      <c r="Y1183" s="210"/>
      <c r="Z1183" s="210"/>
      <c r="AA1183" s="210"/>
      <c r="AB1183" s="210"/>
      <c r="AC1183" s="210"/>
      <c r="AD1183" s="210"/>
      <c r="AE1183" s="210"/>
      <c r="AF1183" s="210"/>
      <c r="AG1183" s="210"/>
      <c r="AH1183" s="210"/>
      <c r="AI1183" s="210"/>
      <c r="AJ1183" s="210"/>
      <c r="AK1183" s="210"/>
      <c r="AL1183" s="210"/>
      <c r="AM1183" s="214"/>
      <c r="AN1183" s="210"/>
      <c r="AO1183" s="210"/>
      <c r="AP1183" s="210"/>
      <c r="AQ1183" s="210"/>
      <c r="AR1183" s="210"/>
      <c r="AS1183" s="210"/>
      <c r="AT1183" s="210"/>
      <c r="AU1183" s="210"/>
      <c r="AV1183" s="210"/>
      <c r="AW1183" s="210"/>
      <c r="AX1183" s="210"/>
      <c r="AY1183" s="210"/>
      <c r="AZ1183" s="210"/>
      <c r="BA1183" s="210"/>
      <c r="BB1183" s="210"/>
      <c r="BC1183" s="210"/>
      <c r="BD1183" s="210"/>
      <c r="BE1183" s="210"/>
      <c r="BF1183" s="210"/>
      <c r="BG1183" s="210"/>
      <c r="BH1183" s="210"/>
      <c r="BI1183" s="210"/>
      <c r="BJ1183" s="210"/>
      <c r="BK1183" s="210"/>
      <c r="BL1183" s="210"/>
      <c r="BM1183" s="210"/>
      <c r="BN1183" s="210"/>
      <c r="BO1183" s="210"/>
      <c r="BP1183" s="210"/>
      <c r="BQ1183" s="210"/>
      <c r="BR1183" s="210"/>
      <c r="BS1183" s="210"/>
      <c r="BT1183" s="210"/>
      <c r="BU1183" s="210"/>
      <c r="BV1183" s="210"/>
      <c r="BW1183" s="210"/>
      <c r="BX1183" s="210"/>
      <c r="BY1183" s="210"/>
      <c r="BZ1183" s="210"/>
      <c r="CA1183" s="210"/>
      <c r="CB1183" s="210"/>
      <c r="CC1183" s="210"/>
      <c r="CD1183" s="210"/>
      <c r="CE1183" s="210"/>
      <c r="CF1183" s="210"/>
      <c r="CG1183" s="210"/>
      <c r="CH1183" s="210"/>
      <c r="CI1183" s="210"/>
      <c r="CJ1183" s="210"/>
      <c r="CK1183" s="210"/>
    </row>
    <row r="1184">
      <c r="A1184" s="220"/>
      <c r="F1184" s="190"/>
      <c r="G1184" s="190"/>
      <c r="L1184" s="220"/>
      <c r="M1184" s="220"/>
      <c r="O1184" s="210"/>
      <c r="P1184" s="210"/>
      <c r="Q1184" s="210"/>
      <c r="R1184" s="210"/>
      <c r="S1184" s="210"/>
      <c r="T1184" s="210"/>
      <c r="U1184" s="210"/>
      <c r="V1184" s="210"/>
      <c r="W1184" s="210"/>
      <c r="X1184" s="210"/>
      <c r="Y1184" s="210"/>
      <c r="Z1184" s="210"/>
      <c r="AA1184" s="210"/>
      <c r="AB1184" s="210"/>
      <c r="AC1184" s="210"/>
      <c r="AD1184" s="210"/>
      <c r="AE1184" s="210"/>
      <c r="AF1184" s="210"/>
      <c r="AG1184" s="210"/>
      <c r="AH1184" s="210"/>
      <c r="AI1184" s="210"/>
      <c r="AJ1184" s="210"/>
      <c r="AK1184" s="210"/>
      <c r="AL1184" s="210"/>
      <c r="AM1184" s="214"/>
      <c r="AN1184" s="210"/>
      <c r="AO1184" s="210"/>
      <c r="AP1184" s="210"/>
      <c r="AQ1184" s="210"/>
      <c r="AR1184" s="210"/>
      <c r="AS1184" s="210"/>
      <c r="AT1184" s="210"/>
      <c r="AU1184" s="210"/>
      <c r="AV1184" s="210"/>
      <c r="AW1184" s="210"/>
      <c r="AX1184" s="210"/>
      <c r="AY1184" s="210"/>
      <c r="AZ1184" s="210"/>
      <c r="BA1184" s="210"/>
      <c r="BB1184" s="210"/>
      <c r="BC1184" s="210"/>
      <c r="BD1184" s="210"/>
      <c r="BE1184" s="210"/>
      <c r="BF1184" s="210"/>
      <c r="BG1184" s="210"/>
      <c r="BH1184" s="210"/>
      <c r="BI1184" s="210"/>
      <c r="BJ1184" s="210"/>
      <c r="BK1184" s="210"/>
      <c r="BL1184" s="210"/>
      <c r="BM1184" s="210"/>
      <c r="BN1184" s="210"/>
      <c r="BO1184" s="210"/>
      <c r="BP1184" s="210"/>
      <c r="BQ1184" s="210"/>
      <c r="BR1184" s="210"/>
      <c r="BS1184" s="210"/>
      <c r="BT1184" s="210"/>
      <c r="BU1184" s="210"/>
      <c r="BV1184" s="210"/>
      <c r="BW1184" s="210"/>
      <c r="BX1184" s="210"/>
      <c r="BY1184" s="210"/>
      <c r="BZ1184" s="210"/>
      <c r="CA1184" s="210"/>
      <c r="CB1184" s="210"/>
      <c r="CC1184" s="210"/>
      <c r="CD1184" s="210"/>
      <c r="CE1184" s="210"/>
      <c r="CF1184" s="210"/>
      <c r="CG1184" s="210"/>
      <c r="CH1184" s="210"/>
      <c r="CI1184" s="210"/>
      <c r="CJ1184" s="210"/>
      <c r="CK1184" s="210"/>
    </row>
    <row r="1185">
      <c r="A1185" s="220"/>
      <c r="F1185" s="190"/>
      <c r="G1185" s="190"/>
      <c r="L1185" s="220"/>
      <c r="M1185" s="220"/>
      <c r="O1185" s="210"/>
      <c r="P1185" s="210"/>
      <c r="Q1185" s="210"/>
      <c r="R1185" s="210"/>
      <c r="S1185" s="210"/>
      <c r="T1185" s="210"/>
      <c r="U1185" s="210"/>
      <c r="V1185" s="210"/>
      <c r="W1185" s="210"/>
      <c r="X1185" s="210"/>
      <c r="Y1185" s="210"/>
      <c r="Z1185" s="210"/>
      <c r="AA1185" s="210"/>
      <c r="AB1185" s="210"/>
      <c r="AC1185" s="210"/>
      <c r="AD1185" s="210"/>
      <c r="AE1185" s="210"/>
      <c r="AF1185" s="210"/>
      <c r="AG1185" s="210"/>
      <c r="AH1185" s="210"/>
      <c r="AI1185" s="210"/>
      <c r="AJ1185" s="210"/>
      <c r="AK1185" s="210"/>
      <c r="AL1185" s="210"/>
      <c r="AM1185" s="214"/>
      <c r="AN1185" s="210"/>
      <c r="AO1185" s="210"/>
      <c r="AP1185" s="210"/>
      <c r="AQ1185" s="210"/>
      <c r="AR1185" s="210"/>
      <c r="AS1185" s="210"/>
      <c r="AT1185" s="210"/>
      <c r="AU1185" s="210"/>
      <c r="AV1185" s="210"/>
      <c r="AW1185" s="210"/>
      <c r="AX1185" s="210"/>
      <c r="AY1185" s="210"/>
      <c r="AZ1185" s="210"/>
      <c r="BA1185" s="210"/>
      <c r="BB1185" s="210"/>
      <c r="BC1185" s="210"/>
      <c r="BD1185" s="210"/>
      <c r="BE1185" s="210"/>
      <c r="BF1185" s="210"/>
      <c r="BG1185" s="210"/>
      <c r="BH1185" s="210"/>
      <c r="BI1185" s="210"/>
      <c r="BJ1185" s="210"/>
      <c r="BK1185" s="210"/>
      <c r="BL1185" s="210"/>
      <c r="BM1185" s="210"/>
      <c r="BN1185" s="210"/>
      <c r="BO1185" s="210"/>
      <c r="BP1185" s="210"/>
      <c r="BQ1185" s="210"/>
      <c r="BR1185" s="210"/>
      <c r="BS1185" s="210"/>
      <c r="BT1185" s="210"/>
      <c r="BU1185" s="210"/>
      <c r="BV1185" s="210"/>
      <c r="BW1185" s="210"/>
      <c r="BX1185" s="210"/>
      <c r="BY1185" s="210"/>
      <c r="BZ1185" s="210"/>
      <c r="CA1185" s="210"/>
      <c r="CB1185" s="210"/>
      <c r="CC1185" s="210"/>
      <c r="CD1185" s="210"/>
      <c r="CE1185" s="210"/>
      <c r="CF1185" s="210"/>
      <c r="CG1185" s="210"/>
      <c r="CH1185" s="210"/>
      <c r="CI1185" s="210"/>
      <c r="CJ1185" s="210"/>
      <c r="CK1185" s="210"/>
    </row>
    <row r="1186">
      <c r="A1186" s="220"/>
      <c r="F1186" s="190"/>
      <c r="G1186" s="190"/>
      <c r="L1186" s="220"/>
      <c r="M1186" s="220"/>
      <c r="O1186" s="210"/>
      <c r="P1186" s="210"/>
      <c r="Q1186" s="210"/>
      <c r="R1186" s="210"/>
      <c r="S1186" s="210"/>
      <c r="T1186" s="210"/>
      <c r="U1186" s="210"/>
      <c r="V1186" s="210"/>
      <c r="W1186" s="210"/>
      <c r="X1186" s="210"/>
      <c r="Y1186" s="210"/>
      <c r="Z1186" s="210"/>
      <c r="AA1186" s="210"/>
      <c r="AB1186" s="210"/>
      <c r="AC1186" s="210"/>
      <c r="AD1186" s="210"/>
      <c r="AE1186" s="210"/>
      <c r="AF1186" s="210"/>
      <c r="AG1186" s="210"/>
      <c r="AH1186" s="210"/>
      <c r="AI1186" s="210"/>
      <c r="AJ1186" s="210"/>
      <c r="AK1186" s="210"/>
      <c r="AL1186" s="210"/>
      <c r="AM1186" s="214"/>
      <c r="AN1186" s="210"/>
      <c r="AO1186" s="210"/>
      <c r="AP1186" s="210"/>
      <c r="AQ1186" s="210"/>
      <c r="AR1186" s="210"/>
      <c r="AS1186" s="210"/>
      <c r="AT1186" s="210"/>
      <c r="AU1186" s="210"/>
      <c r="AV1186" s="210"/>
      <c r="AW1186" s="210"/>
      <c r="AX1186" s="210"/>
      <c r="AY1186" s="210"/>
      <c r="AZ1186" s="210"/>
      <c r="BA1186" s="210"/>
      <c r="BB1186" s="210"/>
      <c r="BC1186" s="210"/>
      <c r="BD1186" s="210"/>
      <c r="BE1186" s="210"/>
      <c r="BF1186" s="210"/>
      <c r="BG1186" s="210"/>
      <c r="BH1186" s="210"/>
      <c r="BI1186" s="210"/>
      <c r="BJ1186" s="210"/>
      <c r="BK1186" s="210"/>
      <c r="BL1186" s="210"/>
      <c r="BM1186" s="210"/>
      <c r="BN1186" s="210"/>
      <c r="BO1186" s="210"/>
      <c r="BP1186" s="210"/>
      <c r="BQ1186" s="210"/>
      <c r="BR1186" s="210"/>
      <c r="BS1186" s="210"/>
      <c r="BT1186" s="210"/>
      <c r="BU1186" s="210"/>
      <c r="BV1186" s="210"/>
      <c r="BW1186" s="210"/>
      <c r="BX1186" s="210"/>
      <c r="BY1186" s="210"/>
      <c r="BZ1186" s="210"/>
      <c r="CA1186" s="210"/>
      <c r="CB1186" s="210"/>
      <c r="CC1186" s="210"/>
      <c r="CD1186" s="210"/>
      <c r="CE1186" s="210"/>
      <c r="CF1186" s="210"/>
      <c r="CG1186" s="210"/>
      <c r="CH1186" s="210"/>
      <c r="CI1186" s="210"/>
      <c r="CJ1186" s="210"/>
      <c r="CK1186" s="210"/>
    </row>
    <row r="1187">
      <c r="A1187" s="220"/>
      <c r="F1187" s="190"/>
      <c r="G1187" s="190"/>
      <c r="L1187" s="220"/>
      <c r="M1187" s="220"/>
      <c r="O1187" s="210"/>
      <c r="P1187" s="210"/>
      <c r="Q1187" s="210"/>
      <c r="R1187" s="210"/>
      <c r="S1187" s="210"/>
      <c r="T1187" s="210"/>
      <c r="U1187" s="210"/>
      <c r="V1187" s="210"/>
      <c r="W1187" s="210"/>
      <c r="X1187" s="210"/>
      <c r="Y1187" s="210"/>
      <c r="Z1187" s="210"/>
      <c r="AA1187" s="210"/>
      <c r="AB1187" s="210"/>
      <c r="AC1187" s="210"/>
      <c r="AD1187" s="210"/>
      <c r="AE1187" s="210"/>
      <c r="AF1187" s="210"/>
      <c r="AG1187" s="210"/>
      <c r="AH1187" s="210"/>
      <c r="AI1187" s="210"/>
      <c r="AJ1187" s="210"/>
      <c r="AK1187" s="210"/>
      <c r="AL1187" s="210"/>
      <c r="AM1187" s="214"/>
      <c r="AN1187" s="210"/>
      <c r="AO1187" s="210"/>
      <c r="AP1187" s="210"/>
      <c r="AQ1187" s="210"/>
      <c r="AR1187" s="210"/>
      <c r="AS1187" s="210"/>
      <c r="AT1187" s="210"/>
      <c r="AU1187" s="210"/>
      <c r="AV1187" s="210"/>
      <c r="AW1187" s="210"/>
      <c r="AX1187" s="210"/>
      <c r="AY1187" s="210"/>
      <c r="AZ1187" s="210"/>
      <c r="BA1187" s="210"/>
      <c r="BB1187" s="210"/>
      <c r="BC1187" s="210"/>
      <c r="BD1187" s="210"/>
      <c r="BE1187" s="210"/>
      <c r="BF1187" s="210"/>
      <c r="BG1187" s="210"/>
      <c r="BH1187" s="210"/>
      <c r="BI1187" s="210"/>
      <c r="BJ1187" s="210"/>
      <c r="BK1187" s="210"/>
      <c r="BL1187" s="210"/>
      <c r="BM1187" s="210"/>
      <c r="BN1187" s="210"/>
      <c r="BO1187" s="210"/>
      <c r="BP1187" s="210"/>
      <c r="BQ1187" s="210"/>
      <c r="BR1187" s="210"/>
      <c r="BS1187" s="210"/>
      <c r="BT1187" s="210"/>
      <c r="BU1187" s="210"/>
      <c r="BV1187" s="210"/>
      <c r="BW1187" s="210"/>
      <c r="BX1187" s="210"/>
      <c r="BY1187" s="210"/>
      <c r="BZ1187" s="210"/>
      <c r="CA1187" s="210"/>
      <c r="CB1187" s="210"/>
      <c r="CC1187" s="210"/>
      <c r="CD1187" s="210"/>
      <c r="CE1187" s="210"/>
      <c r="CF1187" s="210"/>
      <c r="CG1187" s="210"/>
      <c r="CH1187" s="210"/>
      <c r="CI1187" s="210"/>
      <c r="CJ1187" s="210"/>
      <c r="CK1187" s="210"/>
    </row>
    <row r="1188">
      <c r="A1188" s="220"/>
      <c r="F1188" s="190"/>
      <c r="G1188" s="190"/>
      <c r="L1188" s="220"/>
      <c r="M1188" s="220"/>
      <c r="O1188" s="210"/>
      <c r="P1188" s="210"/>
      <c r="Q1188" s="210"/>
      <c r="R1188" s="210"/>
      <c r="S1188" s="210"/>
      <c r="T1188" s="210"/>
      <c r="U1188" s="210"/>
      <c r="V1188" s="210"/>
      <c r="W1188" s="210"/>
      <c r="X1188" s="210"/>
      <c r="Y1188" s="210"/>
      <c r="Z1188" s="210"/>
      <c r="AA1188" s="210"/>
      <c r="AB1188" s="210"/>
      <c r="AC1188" s="210"/>
      <c r="AD1188" s="210"/>
      <c r="AE1188" s="210"/>
      <c r="AF1188" s="210"/>
      <c r="AG1188" s="210"/>
      <c r="AH1188" s="210"/>
      <c r="AI1188" s="210"/>
      <c r="AJ1188" s="210"/>
      <c r="AK1188" s="210"/>
      <c r="AL1188" s="210"/>
      <c r="AM1188" s="214"/>
      <c r="AN1188" s="210"/>
      <c r="AO1188" s="210"/>
      <c r="AP1188" s="210"/>
      <c r="AQ1188" s="210"/>
      <c r="AR1188" s="210"/>
      <c r="AS1188" s="210"/>
      <c r="AT1188" s="210"/>
      <c r="AU1188" s="210"/>
      <c r="AV1188" s="210"/>
      <c r="AW1188" s="210"/>
      <c r="AX1188" s="210"/>
      <c r="AY1188" s="210"/>
      <c r="AZ1188" s="210"/>
      <c r="BA1188" s="210"/>
      <c r="BB1188" s="210"/>
      <c r="BC1188" s="210"/>
      <c r="BD1188" s="210"/>
      <c r="BE1188" s="210"/>
      <c r="BF1188" s="210"/>
      <c r="BG1188" s="210"/>
      <c r="BH1188" s="210"/>
      <c r="BI1188" s="210"/>
      <c r="BJ1188" s="210"/>
      <c r="BK1188" s="210"/>
      <c r="BL1188" s="210"/>
      <c r="BM1188" s="210"/>
      <c r="BN1188" s="210"/>
      <c r="BO1188" s="210"/>
      <c r="BP1188" s="210"/>
      <c r="BQ1188" s="210"/>
      <c r="BR1188" s="210"/>
      <c r="BS1188" s="210"/>
      <c r="BT1188" s="210"/>
      <c r="BU1188" s="210"/>
      <c r="BV1188" s="210"/>
      <c r="BW1188" s="210"/>
      <c r="BX1188" s="210"/>
      <c r="BY1188" s="210"/>
      <c r="BZ1188" s="210"/>
      <c r="CA1188" s="210"/>
      <c r="CB1188" s="210"/>
      <c r="CC1188" s="210"/>
      <c r="CD1188" s="210"/>
      <c r="CE1188" s="210"/>
      <c r="CF1188" s="210"/>
      <c r="CG1188" s="210"/>
      <c r="CH1188" s="210"/>
      <c r="CI1188" s="210"/>
      <c r="CJ1188" s="210"/>
      <c r="CK1188" s="210"/>
    </row>
    <row r="1189">
      <c r="A1189" s="220"/>
      <c r="F1189" s="190"/>
      <c r="G1189" s="190"/>
      <c r="L1189" s="220"/>
      <c r="M1189" s="220"/>
      <c r="O1189" s="210"/>
      <c r="P1189" s="210"/>
      <c r="Q1189" s="210"/>
      <c r="R1189" s="210"/>
      <c r="S1189" s="210"/>
      <c r="T1189" s="210"/>
      <c r="U1189" s="210"/>
      <c r="V1189" s="210"/>
      <c r="W1189" s="210"/>
      <c r="X1189" s="210"/>
      <c r="Y1189" s="210"/>
      <c r="Z1189" s="210"/>
      <c r="AA1189" s="210"/>
      <c r="AB1189" s="210"/>
      <c r="AC1189" s="210"/>
      <c r="AD1189" s="210"/>
      <c r="AE1189" s="210"/>
      <c r="AF1189" s="210"/>
      <c r="AG1189" s="210"/>
      <c r="AH1189" s="210"/>
      <c r="AI1189" s="210"/>
      <c r="AJ1189" s="210"/>
      <c r="AK1189" s="210"/>
      <c r="AL1189" s="210"/>
      <c r="AM1189" s="214"/>
      <c r="AN1189" s="210"/>
      <c r="AO1189" s="210"/>
      <c r="AP1189" s="210"/>
      <c r="AQ1189" s="210"/>
      <c r="AR1189" s="210"/>
      <c r="AS1189" s="210"/>
      <c r="AT1189" s="210"/>
      <c r="AU1189" s="210"/>
      <c r="AV1189" s="210"/>
      <c r="AW1189" s="210"/>
      <c r="AX1189" s="210"/>
      <c r="AY1189" s="210"/>
      <c r="AZ1189" s="210"/>
      <c r="BA1189" s="210"/>
      <c r="BB1189" s="210"/>
      <c r="BC1189" s="210"/>
      <c r="BD1189" s="210"/>
      <c r="BE1189" s="210"/>
      <c r="BF1189" s="210"/>
      <c r="BG1189" s="210"/>
      <c r="BH1189" s="210"/>
      <c r="BI1189" s="210"/>
      <c r="BJ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c r="CC1189" s="210"/>
      <c r="CD1189" s="210"/>
      <c r="CE1189" s="210"/>
      <c r="CF1189" s="210"/>
      <c r="CG1189" s="210"/>
      <c r="CH1189" s="210"/>
      <c r="CI1189" s="210"/>
      <c r="CJ1189" s="210"/>
      <c r="CK1189" s="210"/>
    </row>
    <row r="1190">
      <c r="A1190" s="220"/>
      <c r="F1190" s="190"/>
      <c r="G1190" s="190"/>
      <c r="L1190" s="220"/>
      <c r="M1190" s="220"/>
      <c r="O1190" s="210"/>
      <c r="P1190" s="210"/>
      <c r="Q1190" s="210"/>
      <c r="R1190" s="210"/>
      <c r="S1190" s="210"/>
      <c r="T1190" s="210"/>
      <c r="U1190" s="210"/>
      <c r="V1190" s="210"/>
      <c r="W1190" s="210"/>
      <c r="X1190" s="210"/>
      <c r="Y1190" s="210"/>
      <c r="Z1190" s="210"/>
      <c r="AA1190" s="210"/>
      <c r="AB1190" s="210"/>
      <c r="AC1190" s="210"/>
      <c r="AD1190" s="210"/>
      <c r="AE1190" s="210"/>
      <c r="AF1190" s="210"/>
      <c r="AG1190" s="210"/>
      <c r="AH1190" s="210"/>
      <c r="AI1190" s="210"/>
      <c r="AJ1190" s="210"/>
      <c r="AK1190" s="210"/>
      <c r="AL1190" s="210"/>
      <c r="AM1190" s="214"/>
      <c r="AN1190" s="210"/>
      <c r="AO1190" s="210"/>
      <c r="AP1190" s="210"/>
      <c r="AQ1190" s="210"/>
      <c r="AR1190" s="210"/>
      <c r="AS1190" s="210"/>
      <c r="AT1190" s="210"/>
      <c r="AU1190" s="210"/>
      <c r="AV1190" s="210"/>
      <c r="AW1190" s="210"/>
      <c r="AX1190" s="210"/>
      <c r="AY1190" s="210"/>
      <c r="AZ1190" s="210"/>
      <c r="BA1190" s="210"/>
      <c r="BB1190" s="210"/>
      <c r="BC1190" s="210"/>
      <c r="BD1190" s="210"/>
      <c r="BE1190" s="210"/>
      <c r="BF1190" s="210"/>
      <c r="BG1190" s="210"/>
      <c r="BH1190" s="210"/>
      <c r="BI1190" s="210"/>
      <c r="BJ1190" s="210"/>
      <c r="BK1190" s="210"/>
      <c r="BL1190" s="210"/>
      <c r="BM1190" s="210"/>
      <c r="BN1190" s="210"/>
      <c r="BO1190" s="210"/>
      <c r="BP1190" s="210"/>
      <c r="BQ1190" s="210"/>
      <c r="BR1190" s="210"/>
      <c r="BS1190" s="210"/>
      <c r="BT1190" s="210"/>
      <c r="BU1190" s="210"/>
      <c r="BV1190" s="210"/>
      <c r="BW1190" s="210"/>
      <c r="BX1190" s="210"/>
      <c r="BY1190" s="210"/>
      <c r="BZ1190" s="210"/>
      <c r="CA1190" s="210"/>
      <c r="CB1190" s="210"/>
      <c r="CC1190" s="210"/>
      <c r="CD1190" s="210"/>
      <c r="CE1190" s="210"/>
      <c r="CF1190" s="210"/>
      <c r="CG1190" s="210"/>
      <c r="CH1190" s="210"/>
      <c r="CI1190" s="210"/>
      <c r="CJ1190" s="210"/>
      <c r="CK1190" s="210"/>
    </row>
    <row r="1191">
      <c r="A1191" s="220"/>
      <c r="F1191" s="190"/>
      <c r="G1191" s="190"/>
      <c r="L1191" s="220"/>
      <c r="M1191" s="220"/>
      <c r="O1191" s="210"/>
      <c r="P1191" s="210"/>
      <c r="Q1191" s="210"/>
      <c r="R1191" s="210"/>
      <c r="S1191" s="210"/>
      <c r="T1191" s="210"/>
      <c r="U1191" s="210"/>
      <c r="V1191" s="210"/>
      <c r="W1191" s="210"/>
      <c r="X1191" s="210"/>
      <c r="Y1191" s="210"/>
      <c r="Z1191" s="210"/>
      <c r="AA1191" s="210"/>
      <c r="AB1191" s="210"/>
      <c r="AC1191" s="210"/>
      <c r="AD1191" s="210"/>
      <c r="AE1191" s="210"/>
      <c r="AF1191" s="210"/>
      <c r="AG1191" s="210"/>
      <c r="AH1191" s="210"/>
      <c r="AI1191" s="210"/>
      <c r="AJ1191" s="210"/>
      <c r="AK1191" s="210"/>
      <c r="AL1191" s="210"/>
      <c r="AM1191" s="214"/>
      <c r="AN1191" s="210"/>
      <c r="AO1191" s="210"/>
      <c r="AP1191" s="210"/>
      <c r="AQ1191" s="210"/>
      <c r="AR1191" s="210"/>
      <c r="AS1191" s="210"/>
      <c r="AT1191" s="210"/>
      <c r="AU1191" s="210"/>
      <c r="AV1191" s="210"/>
      <c r="AW1191" s="210"/>
      <c r="AX1191" s="210"/>
      <c r="AY1191" s="210"/>
      <c r="AZ1191" s="210"/>
      <c r="BA1191" s="210"/>
      <c r="BB1191" s="210"/>
      <c r="BC1191" s="210"/>
      <c r="BD1191" s="210"/>
      <c r="BE1191" s="210"/>
      <c r="BF1191" s="210"/>
      <c r="BG1191" s="210"/>
      <c r="BH1191" s="210"/>
      <c r="BI1191" s="210"/>
      <c r="BJ1191" s="210"/>
      <c r="BK1191" s="210"/>
      <c r="BL1191" s="210"/>
      <c r="BM1191" s="210"/>
      <c r="BN1191" s="210"/>
      <c r="BO1191" s="210"/>
      <c r="BP1191" s="210"/>
      <c r="BQ1191" s="210"/>
      <c r="BR1191" s="210"/>
      <c r="BS1191" s="210"/>
      <c r="BT1191" s="210"/>
      <c r="BU1191" s="210"/>
      <c r="BV1191" s="210"/>
      <c r="BW1191" s="210"/>
      <c r="BX1191" s="210"/>
      <c r="BY1191" s="210"/>
      <c r="BZ1191" s="210"/>
      <c r="CA1191" s="210"/>
      <c r="CB1191" s="210"/>
      <c r="CC1191" s="210"/>
      <c r="CD1191" s="210"/>
      <c r="CE1191" s="210"/>
      <c r="CF1191" s="210"/>
      <c r="CG1191" s="210"/>
      <c r="CH1191" s="210"/>
      <c r="CI1191" s="210"/>
      <c r="CJ1191" s="210"/>
      <c r="CK1191" s="210"/>
    </row>
    <row r="1192">
      <c r="A1192" s="220"/>
      <c r="F1192" s="190"/>
      <c r="G1192" s="190"/>
      <c r="L1192" s="220"/>
      <c r="M1192" s="220"/>
      <c r="O1192" s="210"/>
      <c r="P1192" s="210"/>
      <c r="Q1192" s="210"/>
      <c r="R1192" s="210"/>
      <c r="S1192" s="210"/>
      <c r="T1192" s="210"/>
      <c r="U1192" s="210"/>
      <c r="V1192" s="210"/>
      <c r="W1192" s="210"/>
      <c r="X1192" s="210"/>
      <c r="Y1192" s="210"/>
      <c r="Z1192" s="210"/>
      <c r="AA1192" s="210"/>
      <c r="AB1192" s="210"/>
      <c r="AC1192" s="210"/>
      <c r="AD1192" s="210"/>
      <c r="AE1192" s="210"/>
      <c r="AF1192" s="210"/>
      <c r="AG1192" s="210"/>
      <c r="AH1192" s="210"/>
      <c r="AI1192" s="210"/>
      <c r="AJ1192" s="210"/>
      <c r="AK1192" s="210"/>
      <c r="AL1192" s="210"/>
      <c r="AM1192" s="214"/>
      <c r="AN1192" s="210"/>
      <c r="AO1192" s="210"/>
      <c r="AP1192" s="210"/>
      <c r="AQ1192" s="210"/>
      <c r="AR1192" s="210"/>
      <c r="AS1192" s="210"/>
      <c r="AT1192" s="210"/>
      <c r="AU1192" s="210"/>
      <c r="AV1192" s="210"/>
      <c r="AW1192" s="210"/>
      <c r="AX1192" s="210"/>
      <c r="AY1192" s="210"/>
      <c r="AZ1192" s="210"/>
      <c r="BA1192" s="210"/>
      <c r="BB1192" s="210"/>
      <c r="BC1192" s="210"/>
      <c r="BD1192" s="210"/>
      <c r="BE1192" s="210"/>
      <c r="BF1192" s="210"/>
      <c r="BG1192" s="210"/>
      <c r="BH1192" s="210"/>
      <c r="BI1192" s="210"/>
      <c r="BJ1192" s="210"/>
      <c r="BK1192" s="210"/>
      <c r="BL1192" s="210"/>
      <c r="BM1192" s="210"/>
      <c r="BN1192" s="210"/>
      <c r="BO1192" s="210"/>
      <c r="BP1192" s="210"/>
      <c r="BQ1192" s="210"/>
      <c r="BR1192" s="210"/>
      <c r="BS1192" s="210"/>
      <c r="BT1192" s="210"/>
      <c r="BU1192" s="210"/>
      <c r="BV1192" s="210"/>
      <c r="BW1192" s="210"/>
      <c r="BX1192" s="210"/>
      <c r="BY1192" s="210"/>
      <c r="BZ1192" s="210"/>
      <c r="CA1192" s="210"/>
      <c r="CB1192" s="210"/>
      <c r="CC1192" s="210"/>
      <c r="CD1192" s="210"/>
      <c r="CE1192" s="210"/>
      <c r="CF1192" s="210"/>
      <c r="CG1192" s="210"/>
      <c r="CH1192" s="210"/>
      <c r="CI1192" s="210"/>
      <c r="CJ1192" s="210"/>
      <c r="CK1192" s="210"/>
    </row>
    <row r="1193">
      <c r="A1193" s="220"/>
      <c r="F1193" s="190"/>
      <c r="G1193" s="190"/>
      <c r="L1193" s="220"/>
      <c r="M1193" s="220"/>
      <c r="O1193" s="210"/>
      <c r="P1193" s="210"/>
      <c r="Q1193" s="210"/>
      <c r="R1193" s="210"/>
      <c r="S1193" s="210"/>
      <c r="T1193" s="210"/>
      <c r="U1193" s="210"/>
      <c r="V1193" s="210"/>
      <c r="W1193" s="210"/>
      <c r="X1193" s="210"/>
      <c r="Y1193" s="210"/>
      <c r="Z1193" s="210"/>
      <c r="AA1193" s="210"/>
      <c r="AB1193" s="210"/>
      <c r="AC1193" s="210"/>
      <c r="AD1193" s="210"/>
      <c r="AE1193" s="210"/>
      <c r="AF1193" s="210"/>
      <c r="AG1193" s="210"/>
      <c r="AH1193" s="210"/>
      <c r="AI1193" s="210"/>
      <c r="AJ1193" s="210"/>
      <c r="AK1193" s="210"/>
      <c r="AL1193" s="210"/>
      <c r="AM1193" s="214"/>
      <c r="AN1193" s="210"/>
      <c r="AO1193" s="210"/>
      <c r="AP1193" s="210"/>
      <c r="AQ1193" s="210"/>
      <c r="AR1193" s="210"/>
      <c r="AS1193" s="210"/>
      <c r="AT1193" s="210"/>
      <c r="AU1193" s="210"/>
      <c r="AV1193" s="210"/>
      <c r="AW1193" s="210"/>
      <c r="AX1193" s="210"/>
      <c r="AY1193" s="210"/>
      <c r="AZ1193" s="210"/>
      <c r="BA1193" s="210"/>
      <c r="BB1193" s="210"/>
      <c r="BC1193" s="210"/>
      <c r="BD1193" s="210"/>
      <c r="BE1193" s="210"/>
      <c r="BF1193" s="210"/>
      <c r="BG1193" s="210"/>
      <c r="BH1193" s="210"/>
      <c r="BI1193" s="210"/>
      <c r="BJ1193" s="210"/>
      <c r="BK1193" s="210"/>
      <c r="BL1193" s="210"/>
      <c r="BM1193" s="210"/>
      <c r="BN1193" s="210"/>
      <c r="BO1193" s="210"/>
      <c r="BP1193" s="210"/>
      <c r="BQ1193" s="210"/>
      <c r="BR1193" s="210"/>
      <c r="BS1193" s="210"/>
      <c r="BT1193" s="210"/>
      <c r="BU1193" s="210"/>
      <c r="BV1193" s="210"/>
      <c r="BW1193" s="210"/>
      <c r="BX1193" s="210"/>
      <c r="BY1193" s="210"/>
      <c r="BZ1193" s="210"/>
      <c r="CA1193" s="210"/>
      <c r="CB1193" s="210"/>
      <c r="CC1193" s="210"/>
      <c r="CD1193" s="210"/>
      <c r="CE1193" s="210"/>
      <c r="CF1193" s="210"/>
      <c r="CG1193" s="210"/>
      <c r="CH1193" s="210"/>
      <c r="CI1193" s="210"/>
      <c r="CJ1193" s="210"/>
      <c r="CK1193" s="210"/>
    </row>
    <row r="1194">
      <c r="A1194" s="220"/>
      <c r="F1194" s="190"/>
      <c r="G1194" s="190"/>
      <c r="L1194" s="220"/>
      <c r="M1194" s="220"/>
      <c r="O1194" s="210"/>
      <c r="P1194" s="210"/>
      <c r="Q1194" s="210"/>
      <c r="R1194" s="210"/>
      <c r="S1194" s="210"/>
      <c r="T1194" s="210"/>
      <c r="U1194" s="210"/>
      <c r="V1194" s="210"/>
      <c r="W1194" s="210"/>
      <c r="X1194" s="210"/>
      <c r="Y1194" s="210"/>
      <c r="Z1194" s="210"/>
      <c r="AA1194" s="210"/>
      <c r="AB1194" s="210"/>
      <c r="AC1194" s="210"/>
      <c r="AD1194" s="210"/>
      <c r="AE1194" s="210"/>
      <c r="AF1194" s="210"/>
      <c r="AG1194" s="210"/>
      <c r="AH1194" s="210"/>
      <c r="AI1194" s="210"/>
      <c r="AJ1194" s="210"/>
      <c r="AK1194" s="210"/>
      <c r="AL1194" s="210"/>
      <c r="AM1194" s="214"/>
      <c r="AN1194" s="210"/>
      <c r="AO1194" s="210"/>
      <c r="AP1194" s="210"/>
      <c r="AQ1194" s="210"/>
      <c r="AR1194" s="210"/>
      <c r="AS1194" s="210"/>
      <c r="AT1194" s="210"/>
      <c r="AU1194" s="210"/>
      <c r="AV1194" s="210"/>
      <c r="AW1194" s="210"/>
      <c r="AX1194" s="210"/>
      <c r="AY1194" s="210"/>
      <c r="AZ1194" s="210"/>
      <c r="BA1194" s="210"/>
      <c r="BB1194" s="210"/>
      <c r="BC1194" s="210"/>
      <c r="BD1194" s="210"/>
      <c r="BE1194" s="210"/>
      <c r="BF1194" s="210"/>
      <c r="BG1194" s="210"/>
      <c r="BH1194" s="210"/>
      <c r="BI1194" s="210"/>
      <c r="BJ1194" s="210"/>
      <c r="BK1194" s="210"/>
      <c r="BL1194" s="210"/>
      <c r="BM1194" s="210"/>
      <c r="BN1194" s="210"/>
      <c r="BO1194" s="210"/>
      <c r="BP1194" s="210"/>
      <c r="BQ1194" s="210"/>
      <c r="BR1194" s="210"/>
      <c r="BS1194" s="210"/>
      <c r="BT1194" s="210"/>
      <c r="BU1194" s="210"/>
      <c r="BV1194" s="210"/>
      <c r="BW1194" s="210"/>
      <c r="BX1194" s="210"/>
      <c r="BY1194" s="210"/>
      <c r="BZ1194" s="210"/>
      <c r="CA1194" s="210"/>
      <c r="CB1194" s="210"/>
      <c r="CC1194" s="210"/>
      <c r="CD1194" s="210"/>
      <c r="CE1194" s="210"/>
      <c r="CF1194" s="210"/>
      <c r="CG1194" s="210"/>
      <c r="CH1194" s="210"/>
      <c r="CI1194" s="210"/>
      <c r="CJ1194" s="210"/>
      <c r="CK1194" s="210"/>
    </row>
    <row r="1195">
      <c r="A1195" s="220"/>
      <c r="F1195" s="190"/>
      <c r="G1195" s="190"/>
      <c r="L1195" s="220"/>
      <c r="M1195" s="220"/>
      <c r="O1195" s="210"/>
      <c r="P1195" s="210"/>
      <c r="Q1195" s="210"/>
      <c r="R1195" s="210"/>
      <c r="S1195" s="210"/>
      <c r="T1195" s="210"/>
      <c r="U1195" s="210"/>
      <c r="V1195" s="210"/>
      <c r="W1195" s="210"/>
      <c r="X1195" s="210"/>
      <c r="Y1195" s="210"/>
      <c r="Z1195" s="210"/>
      <c r="AA1195" s="210"/>
      <c r="AB1195" s="210"/>
      <c r="AC1195" s="210"/>
      <c r="AD1195" s="210"/>
      <c r="AE1195" s="210"/>
      <c r="AF1195" s="210"/>
      <c r="AG1195" s="210"/>
      <c r="AH1195" s="210"/>
      <c r="AI1195" s="210"/>
      <c r="AJ1195" s="210"/>
      <c r="AK1195" s="210"/>
      <c r="AL1195" s="210"/>
      <c r="AM1195" s="214"/>
      <c r="AN1195" s="210"/>
      <c r="AO1195" s="210"/>
      <c r="AP1195" s="210"/>
      <c r="AQ1195" s="210"/>
      <c r="AR1195" s="210"/>
      <c r="AS1195" s="210"/>
      <c r="AT1195" s="210"/>
      <c r="AU1195" s="210"/>
      <c r="AV1195" s="210"/>
      <c r="AW1195" s="210"/>
      <c r="AX1195" s="210"/>
      <c r="AY1195" s="210"/>
      <c r="AZ1195" s="210"/>
      <c r="BA1195" s="210"/>
      <c r="BB1195" s="210"/>
      <c r="BC1195" s="210"/>
      <c r="BD1195" s="210"/>
      <c r="BE1195" s="210"/>
      <c r="BF1195" s="210"/>
      <c r="BG1195" s="210"/>
      <c r="BH1195" s="210"/>
      <c r="BI1195" s="210"/>
      <c r="BJ1195" s="210"/>
      <c r="BK1195" s="210"/>
      <c r="BL1195" s="210"/>
      <c r="BM1195" s="210"/>
      <c r="BN1195" s="210"/>
      <c r="BO1195" s="210"/>
      <c r="BP1195" s="210"/>
      <c r="BQ1195" s="210"/>
      <c r="BR1195" s="210"/>
      <c r="BS1195" s="210"/>
      <c r="BT1195" s="210"/>
      <c r="BU1195" s="210"/>
      <c r="BV1195" s="210"/>
      <c r="BW1195" s="210"/>
      <c r="BX1195" s="210"/>
      <c r="BY1195" s="210"/>
      <c r="BZ1195" s="210"/>
      <c r="CA1195" s="210"/>
      <c r="CB1195" s="210"/>
      <c r="CC1195" s="210"/>
      <c r="CD1195" s="210"/>
      <c r="CE1195" s="210"/>
      <c r="CF1195" s="210"/>
      <c r="CG1195" s="210"/>
      <c r="CH1195" s="210"/>
      <c r="CI1195" s="210"/>
      <c r="CJ1195" s="210"/>
      <c r="CK1195" s="210"/>
    </row>
    <row r="1196">
      <c r="A1196" s="220"/>
      <c r="F1196" s="190"/>
      <c r="G1196" s="190"/>
      <c r="L1196" s="220"/>
      <c r="M1196" s="220"/>
      <c r="O1196" s="210"/>
      <c r="P1196" s="210"/>
      <c r="Q1196" s="210"/>
      <c r="R1196" s="210"/>
      <c r="S1196" s="210"/>
      <c r="T1196" s="210"/>
      <c r="U1196" s="210"/>
      <c r="V1196" s="210"/>
      <c r="W1196" s="210"/>
      <c r="X1196" s="210"/>
      <c r="Y1196" s="210"/>
      <c r="Z1196" s="210"/>
      <c r="AA1196" s="210"/>
      <c r="AB1196" s="210"/>
      <c r="AC1196" s="210"/>
      <c r="AD1196" s="210"/>
      <c r="AE1196" s="210"/>
      <c r="AF1196" s="210"/>
      <c r="AG1196" s="210"/>
      <c r="AH1196" s="210"/>
      <c r="AI1196" s="210"/>
      <c r="AJ1196" s="210"/>
      <c r="AK1196" s="210"/>
      <c r="AL1196" s="210"/>
      <c r="AM1196" s="214"/>
      <c r="AN1196" s="210"/>
      <c r="AO1196" s="210"/>
      <c r="AP1196" s="210"/>
      <c r="AQ1196" s="210"/>
      <c r="AR1196" s="210"/>
      <c r="AS1196" s="210"/>
      <c r="AT1196" s="210"/>
      <c r="AU1196" s="210"/>
      <c r="AV1196" s="210"/>
      <c r="AW1196" s="210"/>
      <c r="AX1196" s="210"/>
      <c r="AY1196" s="210"/>
      <c r="AZ1196" s="210"/>
      <c r="BA1196" s="210"/>
      <c r="BB1196" s="210"/>
      <c r="BC1196" s="210"/>
      <c r="BD1196" s="210"/>
      <c r="BE1196" s="210"/>
      <c r="BF1196" s="210"/>
      <c r="BG1196" s="210"/>
      <c r="BH1196" s="210"/>
      <c r="BI1196" s="210"/>
      <c r="BJ1196" s="210"/>
      <c r="BK1196" s="210"/>
      <c r="BL1196" s="210"/>
      <c r="BM1196" s="210"/>
      <c r="BN1196" s="210"/>
      <c r="BO1196" s="210"/>
      <c r="BP1196" s="210"/>
      <c r="BQ1196" s="210"/>
      <c r="BR1196" s="210"/>
      <c r="BS1196" s="210"/>
      <c r="BT1196" s="210"/>
      <c r="BU1196" s="210"/>
      <c r="BV1196" s="210"/>
      <c r="BW1196" s="210"/>
      <c r="BX1196" s="210"/>
      <c r="BY1196" s="210"/>
      <c r="BZ1196" s="210"/>
      <c r="CA1196" s="210"/>
      <c r="CB1196" s="210"/>
      <c r="CC1196" s="210"/>
      <c r="CD1196" s="210"/>
      <c r="CE1196" s="210"/>
      <c r="CF1196" s="210"/>
      <c r="CG1196" s="210"/>
      <c r="CH1196" s="210"/>
      <c r="CI1196" s="210"/>
      <c r="CJ1196" s="210"/>
      <c r="CK1196" s="210"/>
    </row>
    <row r="1197">
      <c r="A1197" s="220"/>
      <c r="F1197" s="190"/>
      <c r="G1197" s="190"/>
      <c r="L1197" s="220"/>
      <c r="M1197" s="220"/>
      <c r="O1197" s="210"/>
      <c r="P1197" s="210"/>
      <c r="Q1197" s="210"/>
      <c r="R1197" s="210"/>
      <c r="S1197" s="210"/>
      <c r="T1197" s="210"/>
      <c r="U1197" s="210"/>
      <c r="V1197" s="210"/>
      <c r="W1197" s="210"/>
      <c r="X1197" s="210"/>
      <c r="Y1197" s="210"/>
      <c r="Z1197" s="210"/>
      <c r="AA1197" s="210"/>
      <c r="AB1197" s="210"/>
      <c r="AC1197" s="210"/>
      <c r="AD1197" s="210"/>
      <c r="AE1197" s="210"/>
      <c r="AF1197" s="210"/>
      <c r="AG1197" s="210"/>
      <c r="AH1197" s="210"/>
      <c r="AI1197" s="210"/>
      <c r="AJ1197" s="210"/>
      <c r="AK1197" s="210"/>
      <c r="AL1197" s="210"/>
      <c r="AM1197" s="214"/>
      <c r="AN1197" s="210"/>
      <c r="AO1197" s="210"/>
      <c r="AP1197" s="210"/>
      <c r="AQ1197" s="210"/>
      <c r="AR1197" s="210"/>
      <c r="AS1197" s="210"/>
      <c r="AT1197" s="210"/>
      <c r="AU1197" s="210"/>
      <c r="AV1197" s="210"/>
      <c r="AW1197" s="210"/>
      <c r="AX1197" s="210"/>
      <c r="AY1197" s="210"/>
      <c r="AZ1197" s="210"/>
      <c r="BA1197" s="210"/>
      <c r="BB1197" s="210"/>
      <c r="BC1197" s="210"/>
      <c r="BD1197" s="210"/>
      <c r="BE1197" s="210"/>
      <c r="BF1197" s="210"/>
      <c r="BG1197" s="210"/>
      <c r="BH1197" s="210"/>
      <c r="BI1197" s="210"/>
      <c r="BJ1197" s="210"/>
      <c r="BK1197" s="210"/>
      <c r="BL1197" s="210"/>
      <c r="BM1197" s="210"/>
      <c r="BN1197" s="210"/>
      <c r="BO1197" s="210"/>
      <c r="BP1197" s="210"/>
      <c r="BQ1197" s="210"/>
      <c r="BR1197" s="210"/>
      <c r="BS1197" s="210"/>
      <c r="BT1197" s="210"/>
      <c r="BU1197" s="210"/>
      <c r="BV1197" s="210"/>
      <c r="BW1197" s="210"/>
      <c r="BX1197" s="210"/>
      <c r="BY1197" s="210"/>
      <c r="BZ1197" s="210"/>
      <c r="CA1197" s="210"/>
      <c r="CB1197" s="210"/>
      <c r="CC1197" s="210"/>
      <c r="CD1197" s="210"/>
      <c r="CE1197" s="210"/>
      <c r="CF1197" s="210"/>
      <c r="CG1197" s="210"/>
      <c r="CH1197" s="210"/>
      <c r="CI1197" s="210"/>
      <c r="CJ1197" s="210"/>
      <c r="CK1197" s="210"/>
    </row>
    <row r="1198">
      <c r="A1198" s="220"/>
      <c r="F1198" s="190"/>
      <c r="G1198" s="190"/>
      <c r="L1198" s="220"/>
      <c r="M1198" s="220"/>
      <c r="O1198" s="210"/>
      <c r="P1198" s="210"/>
      <c r="Q1198" s="210"/>
      <c r="R1198" s="210"/>
      <c r="S1198" s="210"/>
      <c r="T1198" s="210"/>
      <c r="U1198" s="210"/>
      <c r="V1198" s="210"/>
      <c r="W1198" s="210"/>
      <c r="X1198" s="210"/>
      <c r="Y1198" s="210"/>
      <c r="Z1198" s="210"/>
      <c r="AA1198" s="210"/>
      <c r="AB1198" s="210"/>
      <c r="AC1198" s="210"/>
      <c r="AD1198" s="210"/>
      <c r="AE1198" s="210"/>
      <c r="AF1198" s="210"/>
      <c r="AG1198" s="210"/>
      <c r="AH1198" s="210"/>
      <c r="AI1198" s="210"/>
      <c r="AJ1198" s="210"/>
      <c r="AK1198" s="210"/>
      <c r="AL1198" s="210"/>
      <c r="AM1198" s="214"/>
      <c r="AN1198" s="210"/>
      <c r="AO1198" s="210"/>
      <c r="AP1198" s="210"/>
      <c r="AQ1198" s="210"/>
      <c r="AR1198" s="210"/>
      <c r="AS1198" s="210"/>
      <c r="AT1198" s="210"/>
      <c r="AU1198" s="210"/>
      <c r="AV1198" s="210"/>
      <c r="AW1198" s="210"/>
      <c r="AX1198" s="210"/>
      <c r="AY1198" s="210"/>
      <c r="AZ1198" s="210"/>
      <c r="BA1198" s="210"/>
      <c r="BB1198" s="210"/>
      <c r="BC1198" s="210"/>
      <c r="BD1198" s="210"/>
      <c r="BE1198" s="210"/>
      <c r="BF1198" s="210"/>
      <c r="BG1198" s="210"/>
      <c r="BH1198" s="210"/>
      <c r="BI1198" s="210"/>
      <c r="BJ1198" s="210"/>
      <c r="BK1198" s="210"/>
      <c r="BL1198" s="210"/>
      <c r="BM1198" s="210"/>
      <c r="BN1198" s="210"/>
      <c r="BO1198" s="210"/>
      <c r="BP1198" s="210"/>
      <c r="BQ1198" s="210"/>
      <c r="BR1198" s="210"/>
      <c r="BS1198" s="210"/>
      <c r="BT1198" s="210"/>
      <c r="BU1198" s="210"/>
      <c r="BV1198" s="210"/>
      <c r="BW1198" s="210"/>
      <c r="BX1198" s="210"/>
      <c r="BY1198" s="210"/>
      <c r="BZ1198" s="210"/>
      <c r="CA1198" s="210"/>
      <c r="CB1198" s="210"/>
      <c r="CC1198" s="210"/>
      <c r="CD1198" s="210"/>
      <c r="CE1198" s="210"/>
      <c r="CF1198" s="210"/>
      <c r="CG1198" s="210"/>
      <c r="CH1198" s="210"/>
      <c r="CI1198" s="210"/>
      <c r="CJ1198" s="210"/>
      <c r="CK1198" s="210"/>
    </row>
    <row r="1199">
      <c r="A1199" s="220"/>
      <c r="F1199" s="190"/>
      <c r="G1199" s="190"/>
      <c r="L1199" s="220"/>
      <c r="M1199" s="220"/>
      <c r="O1199" s="210"/>
      <c r="P1199" s="210"/>
      <c r="Q1199" s="210"/>
      <c r="R1199" s="210"/>
      <c r="S1199" s="210"/>
      <c r="T1199" s="210"/>
      <c r="U1199" s="210"/>
      <c r="V1199" s="210"/>
      <c r="W1199" s="210"/>
      <c r="X1199" s="210"/>
      <c r="Y1199" s="210"/>
      <c r="Z1199" s="210"/>
      <c r="AA1199" s="210"/>
      <c r="AB1199" s="210"/>
      <c r="AC1199" s="210"/>
      <c r="AD1199" s="210"/>
      <c r="AE1199" s="210"/>
      <c r="AF1199" s="210"/>
      <c r="AG1199" s="210"/>
      <c r="AH1199" s="210"/>
      <c r="AI1199" s="210"/>
      <c r="AJ1199" s="210"/>
      <c r="AK1199" s="210"/>
      <c r="AL1199" s="210"/>
      <c r="AM1199" s="214"/>
      <c r="AN1199" s="210"/>
      <c r="AO1199" s="210"/>
      <c r="AP1199" s="210"/>
      <c r="AQ1199" s="210"/>
      <c r="AR1199" s="210"/>
      <c r="AS1199" s="210"/>
      <c r="AT1199" s="210"/>
      <c r="AU1199" s="210"/>
      <c r="AV1199" s="210"/>
      <c r="AW1199" s="210"/>
      <c r="AX1199" s="210"/>
      <c r="AY1199" s="210"/>
      <c r="AZ1199" s="210"/>
      <c r="BA1199" s="210"/>
      <c r="BB1199" s="210"/>
      <c r="BC1199" s="210"/>
      <c r="BD1199" s="210"/>
      <c r="BE1199" s="210"/>
      <c r="BF1199" s="210"/>
      <c r="BG1199" s="210"/>
      <c r="BH1199" s="210"/>
      <c r="BI1199" s="210"/>
      <c r="BJ1199" s="210"/>
      <c r="BK1199" s="210"/>
      <c r="BL1199" s="210"/>
      <c r="BM1199" s="210"/>
      <c r="BN1199" s="210"/>
      <c r="BO1199" s="210"/>
      <c r="BP1199" s="210"/>
      <c r="BQ1199" s="210"/>
      <c r="BR1199" s="210"/>
      <c r="BS1199" s="210"/>
      <c r="BT1199" s="210"/>
      <c r="BU1199" s="210"/>
      <c r="BV1199" s="210"/>
      <c r="BW1199" s="210"/>
      <c r="BX1199" s="210"/>
      <c r="BY1199" s="210"/>
      <c r="BZ1199" s="210"/>
      <c r="CA1199" s="210"/>
      <c r="CB1199" s="210"/>
      <c r="CC1199" s="210"/>
      <c r="CD1199" s="210"/>
      <c r="CE1199" s="210"/>
      <c r="CF1199" s="210"/>
      <c r="CG1199" s="210"/>
      <c r="CH1199" s="210"/>
      <c r="CI1199" s="210"/>
      <c r="CJ1199" s="210"/>
      <c r="CK1199" s="210"/>
    </row>
    <row r="1200">
      <c r="A1200" s="220"/>
      <c r="F1200" s="190"/>
      <c r="G1200" s="190"/>
      <c r="L1200" s="220"/>
      <c r="M1200" s="220"/>
      <c r="O1200" s="210"/>
      <c r="P1200" s="210"/>
      <c r="Q1200" s="210"/>
      <c r="R1200" s="210"/>
      <c r="S1200" s="210"/>
      <c r="T1200" s="210"/>
      <c r="U1200" s="210"/>
      <c r="V1200" s="210"/>
      <c r="W1200" s="210"/>
      <c r="X1200" s="210"/>
      <c r="Y1200" s="210"/>
      <c r="Z1200" s="210"/>
      <c r="AA1200" s="210"/>
      <c r="AB1200" s="210"/>
      <c r="AC1200" s="210"/>
      <c r="AD1200" s="210"/>
      <c r="AE1200" s="210"/>
      <c r="AF1200" s="210"/>
      <c r="AG1200" s="210"/>
      <c r="AH1200" s="210"/>
      <c r="AI1200" s="210"/>
      <c r="AJ1200" s="210"/>
      <c r="AK1200" s="210"/>
      <c r="AL1200" s="210"/>
      <c r="AM1200" s="214"/>
      <c r="AN1200" s="210"/>
      <c r="AO1200" s="210"/>
      <c r="AP1200" s="210"/>
      <c r="AQ1200" s="210"/>
      <c r="AR1200" s="210"/>
      <c r="AS1200" s="210"/>
      <c r="AT1200" s="210"/>
      <c r="AU1200" s="210"/>
      <c r="AV1200" s="210"/>
      <c r="AW1200" s="210"/>
      <c r="AX1200" s="210"/>
      <c r="AY1200" s="210"/>
      <c r="AZ1200" s="210"/>
      <c r="BA1200" s="210"/>
      <c r="BB1200" s="210"/>
      <c r="BC1200" s="210"/>
      <c r="BD1200" s="210"/>
      <c r="BE1200" s="210"/>
      <c r="BF1200" s="210"/>
      <c r="BG1200" s="210"/>
      <c r="BH1200" s="210"/>
      <c r="BI1200" s="210"/>
      <c r="BJ1200" s="210"/>
      <c r="BK1200" s="210"/>
      <c r="BL1200" s="210"/>
      <c r="BM1200" s="210"/>
      <c r="BN1200" s="210"/>
      <c r="BO1200" s="210"/>
      <c r="BP1200" s="210"/>
      <c r="BQ1200" s="210"/>
      <c r="BR1200" s="210"/>
      <c r="BS1200" s="210"/>
      <c r="BT1200" s="210"/>
      <c r="BU1200" s="210"/>
      <c r="BV1200" s="210"/>
      <c r="BW1200" s="210"/>
      <c r="BX1200" s="210"/>
      <c r="BY1200" s="210"/>
      <c r="BZ1200" s="210"/>
      <c r="CA1200" s="210"/>
      <c r="CB1200" s="210"/>
      <c r="CC1200" s="210"/>
      <c r="CD1200" s="210"/>
      <c r="CE1200" s="210"/>
      <c r="CF1200" s="210"/>
      <c r="CG1200" s="210"/>
      <c r="CH1200" s="210"/>
      <c r="CI1200" s="210"/>
      <c r="CJ1200" s="210"/>
      <c r="CK1200" s="210"/>
    </row>
    <row r="1201">
      <c r="A1201" s="220"/>
      <c r="F1201" s="190"/>
      <c r="G1201" s="190"/>
      <c r="L1201" s="220"/>
      <c r="M1201" s="220"/>
      <c r="O1201" s="210"/>
      <c r="P1201" s="210"/>
      <c r="Q1201" s="210"/>
      <c r="R1201" s="210"/>
      <c r="S1201" s="210"/>
      <c r="T1201" s="210"/>
      <c r="U1201" s="210"/>
      <c r="V1201" s="210"/>
      <c r="W1201" s="210"/>
      <c r="X1201" s="210"/>
      <c r="Y1201" s="210"/>
      <c r="Z1201" s="210"/>
      <c r="AA1201" s="210"/>
      <c r="AB1201" s="210"/>
      <c r="AC1201" s="210"/>
      <c r="AD1201" s="210"/>
      <c r="AE1201" s="210"/>
      <c r="AF1201" s="210"/>
      <c r="AG1201" s="210"/>
      <c r="AH1201" s="210"/>
      <c r="AI1201" s="210"/>
      <c r="AJ1201" s="210"/>
      <c r="AK1201" s="210"/>
      <c r="AL1201" s="210"/>
      <c r="AM1201" s="214"/>
      <c r="AN1201" s="210"/>
      <c r="AO1201" s="210"/>
      <c r="AP1201" s="210"/>
      <c r="AQ1201" s="210"/>
      <c r="AR1201" s="210"/>
      <c r="AS1201" s="210"/>
      <c r="AT1201" s="210"/>
      <c r="AU1201" s="210"/>
      <c r="AV1201" s="210"/>
      <c r="AW1201" s="210"/>
      <c r="AX1201" s="210"/>
      <c r="AY1201" s="210"/>
      <c r="AZ1201" s="210"/>
      <c r="BA1201" s="210"/>
      <c r="BB1201" s="210"/>
      <c r="BC1201" s="210"/>
      <c r="BD1201" s="210"/>
      <c r="BE1201" s="210"/>
      <c r="BF1201" s="210"/>
      <c r="BG1201" s="210"/>
      <c r="BH1201" s="210"/>
      <c r="BI1201" s="210"/>
      <c r="BJ1201" s="210"/>
      <c r="BK1201" s="210"/>
      <c r="BL1201" s="210"/>
      <c r="BM1201" s="210"/>
      <c r="BN1201" s="210"/>
      <c r="BO1201" s="210"/>
      <c r="BP1201" s="210"/>
      <c r="BQ1201" s="210"/>
      <c r="BR1201" s="210"/>
      <c r="BS1201" s="210"/>
      <c r="BT1201" s="210"/>
      <c r="BU1201" s="210"/>
      <c r="BV1201" s="210"/>
      <c r="BW1201" s="210"/>
      <c r="BX1201" s="210"/>
      <c r="BY1201" s="210"/>
      <c r="BZ1201" s="210"/>
      <c r="CA1201" s="210"/>
      <c r="CB1201" s="210"/>
      <c r="CC1201" s="210"/>
      <c r="CD1201" s="210"/>
      <c r="CE1201" s="210"/>
      <c r="CF1201" s="210"/>
      <c r="CG1201" s="210"/>
      <c r="CH1201" s="210"/>
      <c r="CI1201" s="210"/>
      <c r="CJ1201" s="210"/>
      <c r="CK1201" s="210"/>
    </row>
    <row r="1202">
      <c r="A1202" s="220"/>
      <c r="F1202" s="190"/>
      <c r="G1202" s="190"/>
      <c r="L1202" s="220"/>
      <c r="M1202" s="220"/>
      <c r="O1202" s="210"/>
      <c r="P1202" s="210"/>
      <c r="Q1202" s="210"/>
      <c r="R1202" s="210"/>
      <c r="S1202" s="210"/>
      <c r="T1202" s="210"/>
      <c r="U1202" s="210"/>
      <c r="V1202" s="210"/>
      <c r="W1202" s="210"/>
      <c r="X1202" s="210"/>
      <c r="Y1202" s="210"/>
      <c r="Z1202" s="210"/>
      <c r="AA1202" s="210"/>
      <c r="AB1202" s="210"/>
      <c r="AC1202" s="210"/>
      <c r="AD1202" s="210"/>
      <c r="AE1202" s="210"/>
      <c r="AF1202" s="210"/>
      <c r="AG1202" s="210"/>
      <c r="AH1202" s="210"/>
      <c r="AI1202" s="210"/>
      <c r="AJ1202" s="210"/>
      <c r="AK1202" s="210"/>
      <c r="AL1202" s="210"/>
      <c r="AM1202" s="214"/>
      <c r="AN1202" s="210"/>
      <c r="AO1202" s="210"/>
      <c r="AP1202" s="210"/>
      <c r="AQ1202" s="210"/>
      <c r="AR1202" s="210"/>
      <c r="AS1202" s="210"/>
      <c r="AT1202" s="210"/>
      <c r="AU1202" s="210"/>
      <c r="AV1202" s="210"/>
      <c r="AW1202" s="210"/>
      <c r="AX1202" s="210"/>
      <c r="AY1202" s="210"/>
      <c r="AZ1202" s="210"/>
      <c r="BA1202" s="210"/>
      <c r="BB1202" s="210"/>
      <c r="BC1202" s="210"/>
      <c r="BD1202" s="210"/>
      <c r="BE1202" s="210"/>
      <c r="BF1202" s="210"/>
      <c r="BG1202" s="210"/>
      <c r="BH1202" s="210"/>
      <c r="BI1202" s="210"/>
      <c r="BJ1202" s="210"/>
      <c r="BK1202" s="210"/>
      <c r="BL1202" s="210"/>
      <c r="BM1202" s="210"/>
      <c r="BN1202" s="210"/>
      <c r="BO1202" s="210"/>
      <c r="BP1202" s="210"/>
      <c r="BQ1202" s="210"/>
      <c r="BR1202" s="210"/>
      <c r="BS1202" s="210"/>
      <c r="BT1202" s="210"/>
      <c r="BU1202" s="210"/>
      <c r="BV1202" s="210"/>
      <c r="BW1202" s="210"/>
      <c r="BX1202" s="210"/>
      <c r="BY1202" s="210"/>
      <c r="BZ1202" s="210"/>
      <c r="CA1202" s="210"/>
      <c r="CB1202" s="210"/>
      <c r="CC1202" s="210"/>
      <c r="CD1202" s="210"/>
      <c r="CE1202" s="210"/>
      <c r="CF1202" s="210"/>
      <c r="CG1202" s="210"/>
      <c r="CH1202" s="210"/>
      <c r="CI1202" s="210"/>
      <c r="CJ1202" s="210"/>
      <c r="CK1202" s="210"/>
    </row>
    <row r="1203">
      <c r="A1203" s="220"/>
      <c r="F1203" s="190"/>
      <c r="G1203" s="190"/>
      <c r="L1203" s="220"/>
      <c r="M1203" s="220"/>
      <c r="O1203" s="210"/>
      <c r="P1203" s="210"/>
      <c r="Q1203" s="210"/>
      <c r="R1203" s="210"/>
      <c r="S1203" s="210"/>
      <c r="T1203" s="210"/>
      <c r="U1203" s="210"/>
      <c r="V1203" s="210"/>
      <c r="W1203" s="210"/>
      <c r="X1203" s="210"/>
      <c r="Y1203" s="210"/>
      <c r="Z1203" s="210"/>
      <c r="AA1203" s="210"/>
      <c r="AB1203" s="210"/>
      <c r="AC1203" s="210"/>
      <c r="AD1203" s="210"/>
      <c r="AE1203" s="210"/>
      <c r="AF1203" s="210"/>
      <c r="AG1203" s="210"/>
      <c r="AH1203" s="210"/>
      <c r="AI1203" s="210"/>
      <c r="AJ1203" s="210"/>
      <c r="AK1203" s="210"/>
      <c r="AL1203" s="210"/>
      <c r="AM1203" s="214"/>
      <c r="AN1203" s="210"/>
      <c r="AO1203" s="210"/>
      <c r="AP1203" s="210"/>
      <c r="AQ1203" s="210"/>
      <c r="AR1203" s="210"/>
      <c r="AS1203" s="210"/>
      <c r="AT1203" s="210"/>
      <c r="AU1203" s="210"/>
      <c r="AV1203" s="210"/>
      <c r="AW1203" s="210"/>
      <c r="AX1203" s="210"/>
      <c r="AY1203" s="210"/>
      <c r="AZ1203" s="210"/>
      <c r="BA1203" s="210"/>
      <c r="BB1203" s="210"/>
      <c r="BC1203" s="210"/>
      <c r="BD1203" s="210"/>
      <c r="BE1203" s="210"/>
      <c r="BF1203" s="210"/>
      <c r="BG1203" s="210"/>
      <c r="BH1203" s="210"/>
      <c r="BI1203" s="210"/>
      <c r="BJ1203" s="210"/>
      <c r="BK1203" s="210"/>
      <c r="BL1203" s="210"/>
      <c r="BM1203" s="210"/>
      <c r="BN1203" s="210"/>
      <c r="BO1203" s="210"/>
      <c r="BP1203" s="210"/>
      <c r="BQ1203" s="210"/>
      <c r="BR1203" s="210"/>
      <c r="BS1203" s="210"/>
      <c r="BT1203" s="210"/>
      <c r="BU1203" s="210"/>
      <c r="BV1203" s="210"/>
      <c r="BW1203" s="210"/>
      <c r="BX1203" s="210"/>
      <c r="BY1203" s="210"/>
      <c r="BZ1203" s="210"/>
      <c r="CA1203" s="210"/>
      <c r="CB1203" s="210"/>
      <c r="CC1203" s="210"/>
      <c r="CD1203" s="210"/>
      <c r="CE1203" s="210"/>
      <c r="CF1203" s="210"/>
      <c r="CG1203" s="210"/>
      <c r="CH1203" s="210"/>
      <c r="CI1203" s="210"/>
      <c r="CJ1203" s="210"/>
      <c r="CK1203" s="210"/>
    </row>
    <row r="1204">
      <c r="A1204" s="220"/>
      <c r="F1204" s="190"/>
      <c r="G1204" s="190"/>
      <c r="L1204" s="220"/>
      <c r="M1204" s="220"/>
      <c r="O1204" s="210"/>
      <c r="P1204" s="210"/>
      <c r="Q1204" s="210"/>
      <c r="R1204" s="210"/>
      <c r="S1204" s="210"/>
      <c r="T1204" s="210"/>
      <c r="U1204" s="210"/>
      <c r="V1204" s="210"/>
      <c r="W1204" s="210"/>
      <c r="X1204" s="210"/>
      <c r="Y1204" s="210"/>
      <c r="Z1204" s="210"/>
      <c r="AA1204" s="210"/>
      <c r="AB1204" s="210"/>
      <c r="AC1204" s="210"/>
      <c r="AD1204" s="210"/>
      <c r="AE1204" s="210"/>
      <c r="AF1204" s="210"/>
      <c r="AG1204" s="210"/>
      <c r="AH1204" s="210"/>
      <c r="AI1204" s="210"/>
      <c r="AJ1204" s="210"/>
      <c r="AK1204" s="210"/>
      <c r="AL1204" s="210"/>
      <c r="AM1204" s="214"/>
      <c r="AN1204" s="210"/>
      <c r="AO1204" s="210"/>
      <c r="AP1204" s="210"/>
      <c r="AQ1204" s="210"/>
      <c r="AR1204" s="210"/>
      <c r="AS1204" s="210"/>
      <c r="AT1204" s="210"/>
      <c r="AU1204" s="210"/>
      <c r="AV1204" s="210"/>
      <c r="AW1204" s="210"/>
      <c r="AX1204" s="210"/>
      <c r="AY1204" s="210"/>
      <c r="AZ1204" s="210"/>
      <c r="BA1204" s="210"/>
      <c r="BB1204" s="210"/>
      <c r="BC1204" s="210"/>
      <c r="BD1204" s="210"/>
      <c r="BE1204" s="210"/>
      <c r="BF1204" s="210"/>
      <c r="BG1204" s="210"/>
      <c r="BH1204" s="210"/>
      <c r="BI1204" s="210"/>
      <c r="BJ1204" s="210"/>
      <c r="BK1204" s="210"/>
      <c r="BL1204" s="210"/>
      <c r="BM1204" s="210"/>
      <c r="BN1204" s="210"/>
      <c r="BO1204" s="210"/>
      <c r="BP1204" s="210"/>
      <c r="BQ1204" s="210"/>
      <c r="BR1204" s="210"/>
      <c r="BS1204" s="210"/>
      <c r="BT1204" s="210"/>
      <c r="BU1204" s="210"/>
      <c r="BV1204" s="210"/>
      <c r="BW1204" s="210"/>
      <c r="BX1204" s="210"/>
      <c r="BY1204" s="210"/>
      <c r="BZ1204" s="210"/>
      <c r="CA1204" s="210"/>
      <c r="CB1204" s="210"/>
      <c r="CC1204" s="210"/>
      <c r="CD1204" s="210"/>
      <c r="CE1204" s="210"/>
      <c r="CF1204" s="210"/>
      <c r="CG1204" s="210"/>
      <c r="CH1204" s="210"/>
      <c r="CI1204" s="210"/>
      <c r="CJ1204" s="210"/>
      <c r="CK1204" s="210"/>
    </row>
    <row r="1205">
      <c r="A1205" s="220"/>
      <c r="F1205" s="190"/>
      <c r="G1205" s="190"/>
      <c r="L1205" s="220"/>
      <c r="M1205" s="220"/>
      <c r="O1205" s="210"/>
      <c r="P1205" s="210"/>
      <c r="Q1205" s="210"/>
      <c r="R1205" s="210"/>
      <c r="S1205" s="210"/>
      <c r="T1205" s="210"/>
      <c r="U1205" s="210"/>
      <c r="V1205" s="210"/>
      <c r="W1205" s="210"/>
      <c r="X1205" s="210"/>
      <c r="Y1205" s="210"/>
      <c r="Z1205" s="210"/>
      <c r="AA1205" s="210"/>
      <c r="AB1205" s="210"/>
      <c r="AC1205" s="210"/>
      <c r="AD1205" s="210"/>
      <c r="AE1205" s="210"/>
      <c r="AF1205" s="210"/>
      <c r="AG1205" s="210"/>
      <c r="AH1205" s="210"/>
      <c r="AI1205" s="210"/>
      <c r="AJ1205" s="210"/>
      <c r="AK1205" s="210"/>
      <c r="AL1205" s="210"/>
      <c r="AM1205" s="214"/>
      <c r="AN1205" s="210"/>
      <c r="AO1205" s="210"/>
      <c r="AP1205" s="210"/>
      <c r="AQ1205" s="210"/>
      <c r="AR1205" s="210"/>
      <c r="AS1205" s="210"/>
      <c r="AT1205" s="210"/>
      <c r="AU1205" s="210"/>
      <c r="AV1205" s="210"/>
      <c r="AW1205" s="210"/>
      <c r="AX1205" s="210"/>
      <c r="AY1205" s="210"/>
      <c r="AZ1205" s="210"/>
      <c r="BA1205" s="210"/>
      <c r="BB1205" s="210"/>
      <c r="BC1205" s="210"/>
      <c r="BD1205" s="210"/>
      <c r="BE1205" s="210"/>
      <c r="BF1205" s="210"/>
      <c r="BG1205" s="210"/>
      <c r="BH1205" s="210"/>
      <c r="BI1205" s="210"/>
      <c r="BJ1205" s="210"/>
      <c r="BK1205" s="210"/>
      <c r="BL1205" s="210"/>
      <c r="BM1205" s="210"/>
      <c r="BN1205" s="210"/>
      <c r="BO1205" s="210"/>
      <c r="BP1205" s="210"/>
      <c r="BQ1205" s="210"/>
      <c r="BR1205" s="210"/>
      <c r="BS1205" s="210"/>
      <c r="BT1205" s="210"/>
      <c r="BU1205" s="210"/>
      <c r="BV1205" s="210"/>
      <c r="BW1205" s="210"/>
      <c r="BX1205" s="210"/>
      <c r="BY1205" s="210"/>
      <c r="BZ1205" s="210"/>
      <c r="CA1205" s="210"/>
      <c r="CB1205" s="210"/>
      <c r="CC1205" s="210"/>
      <c r="CD1205" s="210"/>
      <c r="CE1205" s="210"/>
      <c r="CF1205" s="210"/>
      <c r="CG1205" s="210"/>
      <c r="CH1205" s="210"/>
      <c r="CI1205" s="210"/>
      <c r="CJ1205" s="210"/>
      <c r="CK1205" s="210"/>
    </row>
    <row r="1206">
      <c r="A1206" s="220"/>
      <c r="F1206" s="190"/>
      <c r="G1206" s="190"/>
      <c r="L1206" s="220"/>
      <c r="M1206" s="220"/>
      <c r="O1206" s="210"/>
      <c r="P1206" s="210"/>
      <c r="Q1206" s="210"/>
      <c r="R1206" s="210"/>
      <c r="S1206" s="210"/>
      <c r="T1206" s="210"/>
      <c r="U1206" s="210"/>
      <c r="V1206" s="210"/>
      <c r="W1206" s="210"/>
      <c r="X1206" s="210"/>
      <c r="Y1206" s="210"/>
      <c r="Z1206" s="210"/>
      <c r="AA1206" s="210"/>
      <c r="AB1206" s="210"/>
      <c r="AC1206" s="210"/>
      <c r="AD1206" s="210"/>
      <c r="AE1206" s="210"/>
      <c r="AF1206" s="210"/>
      <c r="AG1206" s="210"/>
      <c r="AH1206" s="210"/>
      <c r="AI1206" s="210"/>
      <c r="AJ1206" s="210"/>
      <c r="AK1206" s="210"/>
      <c r="AL1206" s="210"/>
      <c r="AM1206" s="214"/>
      <c r="AN1206" s="210"/>
      <c r="AO1206" s="210"/>
      <c r="AP1206" s="210"/>
      <c r="AQ1206" s="210"/>
      <c r="AR1206" s="210"/>
      <c r="AS1206" s="210"/>
      <c r="AT1206" s="210"/>
      <c r="AU1206" s="210"/>
      <c r="AV1206" s="210"/>
      <c r="AW1206" s="210"/>
      <c r="AX1206" s="210"/>
      <c r="AY1206" s="210"/>
      <c r="AZ1206" s="210"/>
      <c r="BA1206" s="210"/>
      <c r="BB1206" s="210"/>
      <c r="BC1206" s="210"/>
      <c r="BD1206" s="210"/>
      <c r="BE1206" s="210"/>
      <c r="BF1206" s="210"/>
      <c r="BG1206" s="210"/>
      <c r="BH1206" s="210"/>
      <c r="BI1206" s="210"/>
      <c r="BJ1206" s="210"/>
      <c r="BK1206" s="210"/>
      <c r="BL1206" s="210"/>
      <c r="BM1206" s="210"/>
      <c r="BN1206" s="210"/>
      <c r="BO1206" s="210"/>
      <c r="BP1206" s="210"/>
      <c r="BQ1206" s="210"/>
      <c r="BR1206" s="210"/>
      <c r="BS1206" s="210"/>
      <c r="BT1206" s="210"/>
      <c r="BU1206" s="210"/>
      <c r="BV1206" s="210"/>
      <c r="BW1206" s="210"/>
      <c r="BX1206" s="210"/>
      <c r="BY1206" s="210"/>
      <c r="BZ1206" s="210"/>
      <c r="CA1206" s="210"/>
      <c r="CB1206" s="210"/>
      <c r="CC1206" s="210"/>
      <c r="CD1206" s="210"/>
      <c r="CE1206" s="210"/>
      <c r="CF1206" s="210"/>
      <c r="CG1206" s="210"/>
      <c r="CH1206" s="210"/>
      <c r="CI1206" s="210"/>
      <c r="CJ1206" s="210"/>
      <c r="CK1206" s="210"/>
    </row>
    <row r="1207">
      <c r="A1207" s="220"/>
      <c r="F1207" s="190"/>
      <c r="G1207" s="190"/>
      <c r="L1207" s="220"/>
      <c r="M1207" s="220"/>
      <c r="O1207" s="210"/>
      <c r="P1207" s="210"/>
      <c r="Q1207" s="210"/>
      <c r="R1207" s="210"/>
      <c r="S1207" s="210"/>
      <c r="T1207" s="210"/>
      <c r="U1207" s="210"/>
      <c r="V1207" s="210"/>
      <c r="W1207" s="210"/>
      <c r="X1207" s="210"/>
      <c r="Y1207" s="210"/>
      <c r="Z1207" s="210"/>
      <c r="AA1207" s="210"/>
      <c r="AB1207" s="210"/>
      <c r="AC1207" s="210"/>
      <c r="AD1207" s="210"/>
      <c r="AE1207" s="210"/>
      <c r="AF1207" s="210"/>
      <c r="AG1207" s="210"/>
      <c r="AH1207" s="210"/>
      <c r="AI1207" s="210"/>
      <c r="AJ1207" s="210"/>
      <c r="AK1207" s="210"/>
      <c r="AL1207" s="210"/>
      <c r="AM1207" s="214"/>
      <c r="AN1207" s="210"/>
      <c r="AO1207" s="210"/>
      <c r="AP1207" s="210"/>
      <c r="AQ1207" s="210"/>
      <c r="AR1207" s="210"/>
      <c r="AS1207" s="210"/>
      <c r="AT1207" s="210"/>
      <c r="AU1207" s="210"/>
      <c r="AV1207" s="210"/>
      <c r="AW1207" s="210"/>
      <c r="AX1207" s="210"/>
      <c r="AY1207" s="210"/>
      <c r="AZ1207" s="210"/>
      <c r="BA1207" s="210"/>
      <c r="BB1207" s="210"/>
      <c r="BC1207" s="210"/>
      <c r="BD1207" s="210"/>
      <c r="BE1207" s="210"/>
      <c r="BF1207" s="210"/>
      <c r="BG1207" s="210"/>
      <c r="BH1207" s="210"/>
      <c r="BI1207" s="210"/>
      <c r="BJ1207" s="210"/>
      <c r="BK1207" s="210"/>
      <c r="BL1207" s="210"/>
      <c r="BM1207" s="210"/>
      <c r="BN1207" s="210"/>
      <c r="BO1207" s="210"/>
      <c r="BP1207" s="210"/>
      <c r="BQ1207" s="210"/>
      <c r="BR1207" s="210"/>
      <c r="BS1207" s="210"/>
      <c r="BT1207" s="210"/>
      <c r="BU1207" s="210"/>
      <c r="BV1207" s="210"/>
      <c r="BW1207" s="210"/>
      <c r="BX1207" s="210"/>
      <c r="BY1207" s="210"/>
      <c r="BZ1207" s="210"/>
      <c r="CA1207" s="210"/>
      <c r="CB1207" s="210"/>
      <c r="CC1207" s="210"/>
      <c r="CD1207" s="210"/>
      <c r="CE1207" s="210"/>
      <c r="CF1207" s="210"/>
      <c r="CG1207" s="210"/>
      <c r="CH1207" s="210"/>
      <c r="CI1207" s="210"/>
      <c r="CJ1207" s="210"/>
      <c r="CK1207" s="210"/>
    </row>
    <row r="1208">
      <c r="A1208" s="220"/>
      <c r="F1208" s="190"/>
      <c r="G1208" s="190"/>
      <c r="L1208" s="220"/>
      <c r="M1208" s="220"/>
      <c r="O1208" s="210"/>
      <c r="P1208" s="210"/>
      <c r="Q1208" s="210"/>
      <c r="R1208" s="210"/>
      <c r="S1208" s="210"/>
      <c r="T1208" s="210"/>
      <c r="U1208" s="210"/>
      <c r="V1208" s="210"/>
      <c r="W1208" s="210"/>
      <c r="X1208" s="210"/>
      <c r="Y1208" s="210"/>
      <c r="Z1208" s="210"/>
      <c r="AA1208" s="210"/>
      <c r="AB1208" s="210"/>
      <c r="AC1208" s="210"/>
      <c r="AD1208" s="210"/>
      <c r="AE1208" s="210"/>
      <c r="AF1208" s="210"/>
      <c r="AG1208" s="210"/>
      <c r="AH1208" s="210"/>
      <c r="AI1208" s="210"/>
      <c r="AJ1208" s="210"/>
      <c r="AK1208" s="210"/>
      <c r="AL1208" s="210"/>
      <c r="AM1208" s="214"/>
      <c r="AN1208" s="210"/>
      <c r="AO1208" s="210"/>
      <c r="AP1208" s="210"/>
      <c r="AQ1208" s="210"/>
      <c r="AR1208" s="210"/>
      <c r="AS1208" s="210"/>
      <c r="AT1208" s="210"/>
      <c r="AU1208" s="210"/>
      <c r="AV1208" s="210"/>
      <c r="AW1208" s="210"/>
      <c r="AX1208" s="210"/>
      <c r="AY1208" s="210"/>
      <c r="AZ1208" s="210"/>
      <c r="BA1208" s="210"/>
      <c r="BB1208" s="210"/>
      <c r="BC1208" s="210"/>
      <c r="BD1208" s="210"/>
      <c r="BE1208" s="210"/>
      <c r="BF1208" s="210"/>
      <c r="BG1208" s="210"/>
      <c r="BH1208" s="210"/>
      <c r="BI1208" s="210"/>
      <c r="BJ1208" s="210"/>
      <c r="BK1208" s="210"/>
      <c r="BL1208" s="210"/>
      <c r="BM1208" s="210"/>
      <c r="BN1208" s="210"/>
      <c r="BO1208" s="210"/>
      <c r="BP1208" s="210"/>
      <c r="BQ1208" s="210"/>
      <c r="BR1208" s="210"/>
      <c r="BS1208" s="210"/>
      <c r="BT1208" s="210"/>
      <c r="BU1208" s="210"/>
      <c r="BV1208" s="210"/>
      <c r="BW1208" s="210"/>
      <c r="BX1208" s="210"/>
      <c r="BY1208" s="210"/>
      <c r="BZ1208" s="210"/>
      <c r="CA1208" s="210"/>
      <c r="CB1208" s="210"/>
      <c r="CC1208" s="210"/>
      <c r="CD1208" s="210"/>
      <c r="CE1208" s="210"/>
      <c r="CF1208" s="210"/>
      <c r="CG1208" s="210"/>
      <c r="CH1208" s="210"/>
      <c r="CI1208" s="210"/>
      <c r="CJ1208" s="210"/>
      <c r="CK1208" s="210"/>
    </row>
    <row r="1209">
      <c r="A1209" s="220"/>
      <c r="F1209" s="190"/>
      <c r="G1209" s="190"/>
      <c r="L1209" s="220"/>
      <c r="M1209" s="220"/>
      <c r="O1209" s="210"/>
      <c r="P1209" s="210"/>
      <c r="Q1209" s="210"/>
      <c r="R1209" s="210"/>
      <c r="S1209" s="210"/>
      <c r="T1209" s="210"/>
      <c r="U1209" s="210"/>
      <c r="V1209" s="210"/>
      <c r="W1209" s="210"/>
      <c r="X1209" s="210"/>
      <c r="Y1209" s="210"/>
      <c r="Z1209" s="210"/>
      <c r="AA1209" s="210"/>
      <c r="AB1209" s="210"/>
      <c r="AC1209" s="210"/>
      <c r="AD1209" s="210"/>
      <c r="AE1209" s="210"/>
      <c r="AF1209" s="210"/>
      <c r="AG1209" s="210"/>
      <c r="AH1209" s="210"/>
      <c r="AI1209" s="210"/>
      <c r="AJ1209" s="210"/>
      <c r="AK1209" s="210"/>
      <c r="AL1209" s="210"/>
      <c r="AM1209" s="214"/>
      <c r="AN1209" s="210"/>
      <c r="AO1209" s="210"/>
      <c r="AP1209" s="210"/>
      <c r="AQ1209" s="210"/>
      <c r="AR1209" s="210"/>
      <c r="AS1209" s="210"/>
      <c r="AT1209" s="210"/>
      <c r="AU1209" s="210"/>
      <c r="AV1209" s="210"/>
      <c r="AW1209" s="210"/>
      <c r="AX1209" s="210"/>
      <c r="AY1209" s="210"/>
      <c r="AZ1209" s="210"/>
      <c r="BA1209" s="210"/>
      <c r="BB1209" s="210"/>
      <c r="BC1209" s="210"/>
      <c r="BD1209" s="210"/>
      <c r="BE1209" s="210"/>
      <c r="BF1209" s="210"/>
      <c r="BG1209" s="210"/>
      <c r="BH1209" s="210"/>
      <c r="BI1209" s="210"/>
      <c r="BJ1209" s="210"/>
      <c r="BK1209" s="210"/>
      <c r="BL1209" s="210"/>
      <c r="BM1209" s="210"/>
      <c r="BN1209" s="210"/>
      <c r="BO1209" s="210"/>
      <c r="BP1209" s="210"/>
      <c r="BQ1209" s="210"/>
      <c r="BR1209" s="210"/>
      <c r="BS1209" s="210"/>
      <c r="BT1209" s="210"/>
      <c r="BU1209" s="210"/>
      <c r="BV1209" s="210"/>
      <c r="BW1209" s="210"/>
      <c r="BX1209" s="210"/>
      <c r="BY1209" s="210"/>
      <c r="BZ1209" s="210"/>
      <c r="CA1209" s="210"/>
      <c r="CB1209" s="210"/>
      <c r="CC1209" s="210"/>
      <c r="CD1209" s="210"/>
      <c r="CE1209" s="210"/>
      <c r="CF1209" s="210"/>
      <c r="CG1209" s="210"/>
      <c r="CH1209" s="210"/>
      <c r="CI1209" s="210"/>
      <c r="CJ1209" s="210"/>
      <c r="CK1209" s="210"/>
    </row>
    <row r="1210">
      <c r="A1210" s="220"/>
      <c r="F1210" s="190"/>
      <c r="G1210" s="190"/>
      <c r="L1210" s="220"/>
      <c r="M1210" s="220"/>
      <c r="O1210" s="210"/>
      <c r="P1210" s="210"/>
      <c r="Q1210" s="210"/>
      <c r="R1210" s="210"/>
      <c r="S1210" s="210"/>
      <c r="T1210" s="210"/>
      <c r="U1210" s="210"/>
      <c r="V1210" s="210"/>
      <c r="W1210" s="210"/>
      <c r="X1210" s="210"/>
      <c r="Y1210" s="210"/>
      <c r="Z1210" s="210"/>
      <c r="AA1210" s="210"/>
      <c r="AB1210" s="210"/>
      <c r="AC1210" s="210"/>
      <c r="AD1210" s="210"/>
      <c r="AE1210" s="210"/>
      <c r="AF1210" s="210"/>
      <c r="AG1210" s="210"/>
      <c r="AH1210" s="210"/>
      <c r="AI1210" s="210"/>
      <c r="AJ1210" s="210"/>
      <c r="AK1210" s="210"/>
      <c r="AL1210" s="210"/>
      <c r="AM1210" s="214"/>
      <c r="AN1210" s="210"/>
      <c r="AO1210" s="210"/>
      <c r="AP1210" s="210"/>
      <c r="AQ1210" s="210"/>
      <c r="AR1210" s="210"/>
      <c r="AS1210" s="210"/>
      <c r="AT1210" s="210"/>
      <c r="AU1210" s="210"/>
      <c r="AV1210" s="210"/>
      <c r="AW1210" s="210"/>
      <c r="AX1210" s="210"/>
      <c r="AY1210" s="210"/>
      <c r="AZ1210" s="210"/>
      <c r="BA1210" s="210"/>
      <c r="BB1210" s="210"/>
      <c r="BC1210" s="210"/>
      <c r="BD1210" s="210"/>
      <c r="BE1210" s="210"/>
      <c r="BF1210" s="210"/>
      <c r="BG1210" s="210"/>
      <c r="BH1210" s="210"/>
      <c r="BI1210" s="210"/>
      <c r="BJ1210" s="210"/>
      <c r="BK1210" s="210"/>
      <c r="BL1210" s="210"/>
      <c r="BM1210" s="210"/>
      <c r="BN1210" s="210"/>
      <c r="BO1210" s="210"/>
      <c r="BP1210" s="210"/>
      <c r="BQ1210" s="210"/>
      <c r="BR1210" s="210"/>
      <c r="BS1210" s="210"/>
      <c r="BT1210" s="210"/>
      <c r="BU1210" s="210"/>
      <c r="BV1210" s="210"/>
      <c r="BW1210" s="210"/>
      <c r="BX1210" s="210"/>
      <c r="BY1210" s="210"/>
      <c r="BZ1210" s="210"/>
      <c r="CA1210" s="210"/>
      <c r="CB1210" s="210"/>
      <c r="CC1210" s="210"/>
      <c r="CD1210" s="210"/>
      <c r="CE1210" s="210"/>
      <c r="CF1210" s="210"/>
      <c r="CG1210" s="210"/>
      <c r="CH1210" s="210"/>
      <c r="CI1210" s="210"/>
      <c r="CJ1210" s="210"/>
      <c r="CK1210" s="210"/>
    </row>
    <row r="1211">
      <c r="A1211" s="220"/>
      <c r="F1211" s="190"/>
      <c r="G1211" s="190"/>
      <c r="L1211" s="220"/>
      <c r="M1211" s="220"/>
      <c r="O1211" s="210"/>
      <c r="P1211" s="210"/>
      <c r="Q1211" s="210"/>
      <c r="R1211" s="210"/>
      <c r="S1211" s="210"/>
      <c r="T1211" s="210"/>
      <c r="U1211" s="210"/>
      <c r="V1211" s="210"/>
      <c r="W1211" s="210"/>
      <c r="X1211" s="210"/>
      <c r="Y1211" s="210"/>
      <c r="Z1211" s="210"/>
      <c r="AA1211" s="210"/>
      <c r="AB1211" s="210"/>
      <c r="AC1211" s="210"/>
      <c r="AD1211" s="210"/>
      <c r="AE1211" s="210"/>
      <c r="AF1211" s="210"/>
      <c r="AG1211" s="210"/>
      <c r="AH1211" s="210"/>
      <c r="AI1211" s="210"/>
      <c r="AJ1211" s="210"/>
      <c r="AK1211" s="210"/>
      <c r="AL1211" s="210"/>
      <c r="AM1211" s="214"/>
      <c r="AN1211" s="210"/>
      <c r="AO1211" s="210"/>
      <c r="AP1211" s="210"/>
      <c r="AQ1211" s="210"/>
      <c r="AR1211" s="210"/>
      <c r="AS1211" s="210"/>
      <c r="AT1211" s="210"/>
      <c r="AU1211" s="210"/>
      <c r="AV1211" s="210"/>
      <c r="AW1211" s="210"/>
      <c r="AX1211" s="210"/>
      <c r="AY1211" s="210"/>
      <c r="AZ1211" s="210"/>
      <c r="BA1211" s="210"/>
      <c r="BB1211" s="210"/>
      <c r="BC1211" s="210"/>
      <c r="BD1211" s="210"/>
      <c r="BE1211" s="210"/>
      <c r="BF1211" s="210"/>
      <c r="BG1211" s="210"/>
      <c r="BH1211" s="210"/>
      <c r="BI1211" s="210"/>
      <c r="BJ1211" s="210"/>
      <c r="BK1211" s="210"/>
      <c r="BL1211" s="210"/>
      <c r="BM1211" s="210"/>
      <c r="BN1211" s="210"/>
      <c r="BO1211" s="210"/>
      <c r="BP1211" s="210"/>
      <c r="BQ1211" s="210"/>
      <c r="BR1211" s="210"/>
      <c r="BS1211" s="210"/>
      <c r="BT1211" s="210"/>
      <c r="BU1211" s="210"/>
      <c r="BV1211" s="210"/>
      <c r="BW1211" s="210"/>
      <c r="BX1211" s="210"/>
      <c r="BY1211" s="210"/>
      <c r="BZ1211" s="210"/>
      <c r="CA1211" s="210"/>
      <c r="CB1211" s="210"/>
      <c r="CC1211" s="210"/>
      <c r="CD1211" s="210"/>
      <c r="CE1211" s="210"/>
      <c r="CF1211" s="210"/>
      <c r="CG1211" s="210"/>
      <c r="CH1211" s="210"/>
      <c r="CI1211" s="210"/>
      <c r="CJ1211" s="210"/>
      <c r="CK1211" s="210"/>
    </row>
    <row r="1212">
      <c r="A1212" s="220"/>
      <c r="F1212" s="190"/>
      <c r="G1212" s="190"/>
      <c r="L1212" s="220"/>
      <c r="M1212" s="220"/>
      <c r="O1212" s="210"/>
      <c r="P1212" s="210"/>
      <c r="Q1212" s="210"/>
      <c r="R1212" s="210"/>
      <c r="S1212" s="210"/>
      <c r="T1212" s="210"/>
      <c r="U1212" s="210"/>
      <c r="V1212" s="210"/>
      <c r="W1212" s="210"/>
      <c r="X1212" s="210"/>
      <c r="Y1212" s="210"/>
      <c r="Z1212" s="210"/>
      <c r="AA1212" s="210"/>
      <c r="AB1212" s="210"/>
      <c r="AC1212" s="210"/>
      <c r="AD1212" s="210"/>
      <c r="AE1212" s="210"/>
      <c r="AF1212" s="210"/>
      <c r="AG1212" s="210"/>
      <c r="AH1212" s="210"/>
      <c r="AI1212" s="210"/>
      <c r="AJ1212" s="210"/>
      <c r="AK1212" s="210"/>
      <c r="AL1212" s="210"/>
      <c r="AM1212" s="214"/>
      <c r="AN1212" s="210"/>
      <c r="AO1212" s="210"/>
      <c r="AP1212" s="210"/>
      <c r="AQ1212" s="210"/>
      <c r="AR1212" s="210"/>
      <c r="AS1212" s="210"/>
      <c r="AT1212" s="210"/>
      <c r="AU1212" s="210"/>
      <c r="AV1212" s="210"/>
      <c r="AW1212" s="210"/>
      <c r="AX1212" s="210"/>
      <c r="AY1212" s="210"/>
      <c r="AZ1212" s="210"/>
      <c r="BA1212" s="210"/>
      <c r="BB1212" s="210"/>
      <c r="BC1212" s="210"/>
      <c r="BD1212" s="210"/>
      <c r="BE1212" s="210"/>
      <c r="BF1212" s="210"/>
      <c r="BG1212" s="210"/>
      <c r="BH1212" s="210"/>
      <c r="BI1212" s="210"/>
      <c r="BJ1212" s="210"/>
      <c r="BK1212" s="210"/>
      <c r="BL1212" s="210"/>
      <c r="BM1212" s="210"/>
      <c r="BN1212" s="210"/>
      <c r="BO1212" s="210"/>
      <c r="BP1212" s="210"/>
      <c r="BQ1212" s="210"/>
      <c r="BR1212" s="210"/>
      <c r="BS1212" s="210"/>
      <c r="BT1212" s="210"/>
      <c r="BU1212" s="210"/>
      <c r="BV1212" s="210"/>
      <c r="BW1212" s="210"/>
      <c r="BX1212" s="210"/>
      <c r="BY1212" s="210"/>
      <c r="BZ1212" s="210"/>
      <c r="CA1212" s="210"/>
      <c r="CB1212" s="210"/>
      <c r="CC1212" s="210"/>
      <c r="CD1212" s="210"/>
      <c r="CE1212" s="210"/>
      <c r="CF1212" s="210"/>
      <c r="CG1212" s="210"/>
      <c r="CH1212" s="210"/>
      <c r="CI1212" s="210"/>
      <c r="CJ1212" s="210"/>
      <c r="CK1212" s="210"/>
    </row>
    <row r="1213">
      <c r="A1213" s="220"/>
      <c r="F1213" s="190"/>
      <c r="G1213" s="190"/>
      <c r="L1213" s="220"/>
      <c r="M1213" s="220"/>
      <c r="O1213" s="210"/>
      <c r="P1213" s="210"/>
      <c r="Q1213" s="210"/>
      <c r="R1213" s="210"/>
      <c r="S1213" s="210"/>
      <c r="T1213" s="210"/>
      <c r="U1213" s="210"/>
      <c r="V1213" s="210"/>
      <c r="W1213" s="210"/>
      <c r="X1213" s="210"/>
      <c r="Y1213" s="210"/>
      <c r="Z1213" s="210"/>
      <c r="AA1213" s="210"/>
      <c r="AB1213" s="210"/>
      <c r="AC1213" s="210"/>
      <c r="AD1213" s="210"/>
      <c r="AE1213" s="210"/>
      <c r="AF1213" s="210"/>
      <c r="AG1213" s="210"/>
      <c r="AH1213" s="210"/>
      <c r="AI1213" s="210"/>
      <c r="AJ1213" s="210"/>
      <c r="AK1213" s="210"/>
      <c r="AL1213" s="210"/>
      <c r="AM1213" s="214"/>
      <c r="AN1213" s="210"/>
      <c r="AO1213" s="210"/>
      <c r="AP1213" s="210"/>
      <c r="AQ1213" s="210"/>
      <c r="AR1213" s="210"/>
      <c r="AS1213" s="210"/>
      <c r="AT1213" s="210"/>
      <c r="AU1213" s="210"/>
      <c r="AV1213" s="210"/>
      <c r="AW1213" s="210"/>
      <c r="AX1213" s="210"/>
      <c r="AY1213" s="210"/>
      <c r="AZ1213" s="210"/>
      <c r="BA1213" s="210"/>
      <c r="BB1213" s="210"/>
      <c r="BC1213" s="210"/>
      <c r="BD1213" s="210"/>
      <c r="BE1213" s="210"/>
      <c r="BF1213" s="210"/>
      <c r="BG1213" s="210"/>
      <c r="BH1213" s="210"/>
      <c r="BI1213" s="210"/>
      <c r="BJ1213" s="210"/>
      <c r="BK1213" s="210"/>
      <c r="BL1213" s="210"/>
      <c r="BM1213" s="210"/>
      <c r="BN1213" s="210"/>
      <c r="BO1213" s="210"/>
      <c r="BP1213" s="210"/>
      <c r="BQ1213" s="210"/>
      <c r="BR1213" s="210"/>
      <c r="BS1213" s="210"/>
      <c r="BT1213" s="210"/>
      <c r="BU1213" s="210"/>
      <c r="BV1213" s="210"/>
      <c r="BW1213" s="210"/>
      <c r="BX1213" s="210"/>
      <c r="BY1213" s="210"/>
      <c r="BZ1213" s="210"/>
      <c r="CA1213" s="210"/>
      <c r="CB1213" s="210"/>
      <c r="CC1213" s="210"/>
      <c r="CD1213" s="210"/>
      <c r="CE1213" s="210"/>
      <c r="CF1213" s="210"/>
      <c r="CG1213" s="210"/>
      <c r="CH1213" s="210"/>
      <c r="CI1213" s="210"/>
      <c r="CJ1213" s="210"/>
      <c r="CK1213" s="210"/>
    </row>
    <row r="1214">
      <c r="A1214" s="220"/>
      <c r="F1214" s="190"/>
      <c r="G1214" s="190"/>
      <c r="L1214" s="220"/>
      <c r="M1214" s="220"/>
      <c r="O1214" s="210"/>
      <c r="P1214" s="210"/>
      <c r="Q1214" s="210"/>
      <c r="R1214" s="210"/>
      <c r="S1214" s="210"/>
      <c r="T1214" s="210"/>
      <c r="U1214" s="210"/>
      <c r="V1214" s="210"/>
      <c r="W1214" s="210"/>
      <c r="X1214" s="210"/>
      <c r="Y1214" s="210"/>
      <c r="Z1214" s="210"/>
      <c r="AA1214" s="210"/>
      <c r="AB1214" s="210"/>
      <c r="AC1214" s="210"/>
      <c r="AD1214" s="210"/>
      <c r="AE1214" s="210"/>
      <c r="AF1214" s="210"/>
      <c r="AG1214" s="210"/>
      <c r="AH1214" s="210"/>
      <c r="AI1214" s="210"/>
      <c r="AJ1214" s="210"/>
      <c r="AK1214" s="210"/>
      <c r="AL1214" s="210"/>
      <c r="AM1214" s="214"/>
      <c r="AN1214" s="210"/>
      <c r="AO1214" s="210"/>
      <c r="AP1214" s="210"/>
      <c r="AQ1214" s="210"/>
      <c r="AR1214" s="210"/>
      <c r="AS1214" s="210"/>
      <c r="AT1214" s="210"/>
      <c r="AU1214" s="210"/>
      <c r="AV1214" s="210"/>
      <c r="AW1214" s="210"/>
      <c r="AX1214" s="210"/>
      <c r="AY1214" s="210"/>
      <c r="AZ1214" s="210"/>
      <c r="BA1214" s="210"/>
      <c r="BB1214" s="210"/>
      <c r="BC1214" s="210"/>
      <c r="BD1214" s="210"/>
      <c r="BE1214" s="210"/>
      <c r="BF1214" s="210"/>
      <c r="BG1214" s="210"/>
      <c r="BH1214" s="210"/>
      <c r="BI1214" s="210"/>
      <c r="BJ1214" s="210"/>
      <c r="BK1214" s="210"/>
      <c r="BL1214" s="210"/>
      <c r="BM1214" s="210"/>
      <c r="BN1214" s="210"/>
      <c r="BO1214" s="210"/>
      <c r="BP1214" s="210"/>
      <c r="BQ1214" s="210"/>
      <c r="BR1214" s="210"/>
      <c r="BS1214" s="210"/>
      <c r="BT1214" s="210"/>
      <c r="BU1214" s="210"/>
      <c r="BV1214" s="210"/>
      <c r="BW1214" s="210"/>
      <c r="BX1214" s="210"/>
      <c r="BY1214" s="210"/>
      <c r="BZ1214" s="210"/>
      <c r="CA1214" s="210"/>
      <c r="CB1214" s="210"/>
      <c r="CC1214" s="210"/>
      <c r="CD1214" s="210"/>
      <c r="CE1214" s="210"/>
      <c r="CF1214" s="210"/>
      <c r="CG1214" s="210"/>
      <c r="CH1214" s="210"/>
      <c r="CI1214" s="210"/>
      <c r="CJ1214" s="210"/>
      <c r="CK1214" s="210"/>
    </row>
    <row r="1215">
      <c r="A1215" s="220"/>
      <c r="F1215" s="190"/>
      <c r="G1215" s="190"/>
      <c r="L1215" s="220"/>
      <c r="M1215" s="220"/>
      <c r="O1215" s="210"/>
      <c r="P1215" s="210"/>
      <c r="Q1215" s="210"/>
      <c r="R1215" s="210"/>
      <c r="S1215" s="210"/>
      <c r="T1215" s="210"/>
      <c r="U1215" s="210"/>
      <c r="V1215" s="210"/>
      <c r="W1215" s="210"/>
      <c r="X1215" s="210"/>
      <c r="Y1215" s="210"/>
      <c r="Z1215" s="210"/>
      <c r="AA1215" s="210"/>
      <c r="AB1215" s="210"/>
      <c r="AC1215" s="210"/>
      <c r="AD1215" s="210"/>
      <c r="AE1215" s="210"/>
      <c r="AF1215" s="210"/>
      <c r="AG1215" s="210"/>
      <c r="AH1215" s="210"/>
      <c r="AI1215" s="210"/>
      <c r="AJ1215" s="210"/>
      <c r="AK1215" s="210"/>
      <c r="AL1215" s="210"/>
      <c r="AM1215" s="214"/>
      <c r="AN1215" s="210"/>
      <c r="AO1215" s="210"/>
      <c r="AP1215" s="210"/>
      <c r="AQ1215" s="210"/>
      <c r="AR1215" s="210"/>
      <c r="AS1215" s="210"/>
      <c r="AT1215" s="210"/>
      <c r="AU1215" s="210"/>
      <c r="AV1215" s="210"/>
      <c r="AW1215" s="210"/>
      <c r="AX1215" s="210"/>
      <c r="AY1215" s="210"/>
      <c r="AZ1215" s="210"/>
      <c r="BA1215" s="210"/>
      <c r="BB1215" s="210"/>
      <c r="BC1215" s="210"/>
      <c r="BD1215" s="210"/>
      <c r="BE1215" s="210"/>
      <c r="BF1215" s="210"/>
      <c r="BG1215" s="210"/>
      <c r="BH1215" s="210"/>
      <c r="BI1215" s="210"/>
      <c r="BJ1215" s="210"/>
      <c r="BK1215" s="210"/>
      <c r="BL1215" s="210"/>
      <c r="BM1215" s="210"/>
      <c r="BN1215" s="210"/>
      <c r="BO1215" s="210"/>
      <c r="BP1215" s="210"/>
      <c r="BQ1215" s="210"/>
      <c r="BR1215" s="210"/>
      <c r="BS1215" s="210"/>
      <c r="BT1215" s="210"/>
      <c r="BU1215" s="210"/>
      <c r="BV1215" s="210"/>
      <c r="BW1215" s="210"/>
      <c r="BX1215" s="210"/>
      <c r="BY1215" s="210"/>
      <c r="BZ1215" s="210"/>
      <c r="CA1215" s="210"/>
      <c r="CB1215" s="210"/>
      <c r="CC1215" s="210"/>
      <c r="CD1215" s="210"/>
      <c r="CE1215" s="210"/>
      <c r="CF1215" s="210"/>
      <c r="CG1215" s="210"/>
      <c r="CH1215" s="210"/>
      <c r="CI1215" s="210"/>
      <c r="CJ1215" s="210"/>
      <c r="CK1215" s="210"/>
    </row>
    <row r="1216">
      <c r="A1216" s="220"/>
      <c r="F1216" s="190"/>
      <c r="G1216" s="190"/>
      <c r="L1216" s="220"/>
      <c r="M1216" s="220"/>
      <c r="O1216" s="210"/>
      <c r="P1216" s="210"/>
      <c r="Q1216" s="210"/>
      <c r="R1216" s="210"/>
      <c r="S1216" s="210"/>
      <c r="T1216" s="210"/>
      <c r="U1216" s="210"/>
      <c r="V1216" s="210"/>
      <c r="W1216" s="210"/>
      <c r="X1216" s="210"/>
      <c r="Y1216" s="210"/>
      <c r="Z1216" s="210"/>
      <c r="AA1216" s="210"/>
      <c r="AB1216" s="210"/>
      <c r="AC1216" s="210"/>
      <c r="AD1216" s="210"/>
      <c r="AE1216" s="210"/>
      <c r="AF1216" s="210"/>
      <c r="AG1216" s="210"/>
      <c r="AH1216" s="210"/>
      <c r="AI1216" s="210"/>
      <c r="AJ1216" s="210"/>
      <c r="AK1216" s="210"/>
      <c r="AL1216" s="210"/>
      <c r="AM1216" s="214"/>
      <c r="AN1216" s="210"/>
      <c r="AO1216" s="210"/>
      <c r="AP1216" s="210"/>
      <c r="AQ1216" s="210"/>
      <c r="AR1216" s="210"/>
      <c r="AS1216" s="210"/>
      <c r="AT1216" s="210"/>
      <c r="AU1216" s="210"/>
      <c r="AV1216" s="210"/>
      <c r="AW1216" s="210"/>
      <c r="AX1216" s="210"/>
      <c r="AY1216" s="210"/>
      <c r="AZ1216" s="210"/>
      <c r="BA1216" s="210"/>
      <c r="BB1216" s="210"/>
      <c r="BC1216" s="210"/>
      <c r="BD1216" s="210"/>
      <c r="BE1216" s="210"/>
      <c r="BF1216" s="210"/>
      <c r="BG1216" s="210"/>
      <c r="BH1216" s="210"/>
      <c r="BI1216" s="210"/>
      <c r="BJ1216" s="210"/>
      <c r="BK1216" s="210"/>
      <c r="BL1216" s="210"/>
      <c r="BM1216" s="210"/>
      <c r="BN1216" s="210"/>
      <c r="BO1216" s="210"/>
      <c r="BP1216" s="210"/>
      <c r="BQ1216" s="210"/>
      <c r="BR1216" s="210"/>
      <c r="BS1216" s="210"/>
      <c r="BT1216" s="210"/>
      <c r="BU1216" s="210"/>
      <c r="BV1216" s="210"/>
      <c r="BW1216" s="210"/>
      <c r="BX1216" s="210"/>
      <c r="BY1216" s="210"/>
      <c r="BZ1216" s="210"/>
      <c r="CA1216" s="210"/>
      <c r="CB1216" s="210"/>
      <c r="CC1216" s="210"/>
      <c r="CD1216" s="210"/>
      <c r="CE1216" s="210"/>
      <c r="CF1216" s="210"/>
      <c r="CG1216" s="210"/>
      <c r="CH1216" s="210"/>
      <c r="CI1216" s="210"/>
      <c r="CJ1216" s="210"/>
      <c r="CK1216" s="210"/>
    </row>
    <row r="1217">
      <c r="A1217" s="220"/>
      <c r="F1217" s="190"/>
      <c r="G1217" s="190"/>
      <c r="L1217" s="220"/>
      <c r="M1217" s="220"/>
      <c r="O1217" s="210"/>
      <c r="P1217" s="210"/>
      <c r="Q1217" s="210"/>
      <c r="R1217" s="210"/>
      <c r="S1217" s="210"/>
      <c r="T1217" s="210"/>
      <c r="U1217" s="210"/>
      <c r="V1217" s="210"/>
      <c r="W1217" s="210"/>
      <c r="X1217" s="210"/>
      <c r="Y1217" s="210"/>
      <c r="Z1217" s="210"/>
      <c r="AA1217" s="210"/>
      <c r="AB1217" s="210"/>
      <c r="AC1217" s="210"/>
      <c r="AD1217" s="210"/>
      <c r="AE1217" s="210"/>
      <c r="AF1217" s="210"/>
      <c r="AG1217" s="210"/>
      <c r="AH1217" s="210"/>
      <c r="AI1217" s="210"/>
      <c r="AJ1217" s="210"/>
      <c r="AK1217" s="210"/>
      <c r="AL1217" s="210"/>
      <c r="AM1217" s="214"/>
      <c r="AN1217" s="210"/>
      <c r="AO1217" s="210"/>
      <c r="AP1217" s="210"/>
      <c r="AQ1217" s="210"/>
      <c r="AR1217" s="210"/>
      <c r="AS1217" s="210"/>
      <c r="AT1217" s="210"/>
      <c r="AU1217" s="210"/>
      <c r="AV1217" s="210"/>
      <c r="AW1217" s="210"/>
      <c r="AX1217" s="210"/>
      <c r="AY1217" s="210"/>
      <c r="AZ1217" s="210"/>
      <c r="BA1217" s="210"/>
      <c r="BB1217" s="210"/>
      <c r="BC1217" s="210"/>
      <c r="BD1217" s="210"/>
      <c r="BE1217" s="210"/>
      <c r="BF1217" s="210"/>
      <c r="BG1217" s="210"/>
      <c r="BH1217" s="210"/>
      <c r="BI1217" s="210"/>
      <c r="BJ1217" s="210"/>
      <c r="BK1217" s="210"/>
      <c r="BL1217" s="210"/>
      <c r="BM1217" s="210"/>
      <c r="BN1217" s="210"/>
      <c r="BO1217" s="210"/>
      <c r="BP1217" s="210"/>
      <c r="BQ1217" s="210"/>
      <c r="BR1217" s="210"/>
      <c r="BS1217" s="210"/>
      <c r="BT1217" s="210"/>
      <c r="BU1217" s="210"/>
      <c r="BV1217" s="210"/>
      <c r="BW1217" s="210"/>
      <c r="BX1217" s="210"/>
      <c r="BY1217" s="210"/>
      <c r="BZ1217" s="210"/>
      <c r="CA1217" s="210"/>
      <c r="CB1217" s="210"/>
      <c r="CC1217" s="210"/>
      <c r="CD1217" s="210"/>
      <c r="CE1217" s="210"/>
      <c r="CF1217" s="210"/>
      <c r="CG1217" s="210"/>
      <c r="CH1217" s="210"/>
      <c r="CI1217" s="210"/>
      <c r="CJ1217" s="210"/>
      <c r="CK1217" s="210"/>
    </row>
    <row r="1218">
      <c r="A1218" s="220"/>
      <c r="F1218" s="190"/>
      <c r="G1218" s="190"/>
      <c r="L1218" s="220"/>
      <c r="M1218" s="220"/>
      <c r="O1218" s="210"/>
      <c r="P1218" s="210"/>
      <c r="Q1218" s="210"/>
      <c r="R1218" s="210"/>
      <c r="S1218" s="210"/>
      <c r="T1218" s="210"/>
      <c r="U1218" s="210"/>
      <c r="V1218" s="210"/>
      <c r="W1218" s="210"/>
      <c r="X1218" s="210"/>
      <c r="Y1218" s="210"/>
      <c r="Z1218" s="210"/>
      <c r="AA1218" s="210"/>
      <c r="AB1218" s="210"/>
      <c r="AC1218" s="210"/>
      <c r="AD1218" s="210"/>
      <c r="AE1218" s="210"/>
      <c r="AF1218" s="210"/>
      <c r="AG1218" s="210"/>
      <c r="AH1218" s="210"/>
      <c r="AI1218" s="210"/>
      <c r="AJ1218" s="210"/>
      <c r="AK1218" s="210"/>
      <c r="AL1218" s="210"/>
      <c r="AM1218" s="214"/>
      <c r="AN1218" s="210"/>
      <c r="AO1218" s="210"/>
      <c r="AP1218" s="210"/>
      <c r="AQ1218" s="210"/>
      <c r="AR1218" s="210"/>
      <c r="AS1218" s="210"/>
      <c r="AT1218" s="210"/>
      <c r="AU1218" s="210"/>
      <c r="AV1218" s="210"/>
      <c r="AW1218" s="210"/>
      <c r="AX1218" s="210"/>
      <c r="AY1218" s="210"/>
      <c r="AZ1218" s="210"/>
      <c r="BA1218" s="210"/>
      <c r="BB1218" s="210"/>
      <c r="BC1218" s="210"/>
      <c r="BD1218" s="210"/>
      <c r="BE1218" s="210"/>
      <c r="BF1218" s="210"/>
      <c r="BG1218" s="210"/>
      <c r="BH1218" s="210"/>
      <c r="BI1218" s="210"/>
      <c r="BJ1218" s="210"/>
      <c r="BK1218" s="210"/>
      <c r="BL1218" s="210"/>
      <c r="BM1218" s="210"/>
      <c r="BN1218" s="210"/>
      <c r="BO1218" s="210"/>
      <c r="BP1218" s="210"/>
      <c r="BQ1218" s="210"/>
      <c r="BR1218" s="210"/>
      <c r="BS1218" s="210"/>
      <c r="BT1218" s="210"/>
      <c r="BU1218" s="210"/>
      <c r="BV1218" s="210"/>
      <c r="BW1218" s="210"/>
      <c r="BX1218" s="210"/>
      <c r="BY1218" s="210"/>
      <c r="BZ1218" s="210"/>
      <c r="CA1218" s="210"/>
      <c r="CB1218" s="210"/>
      <c r="CC1218" s="210"/>
      <c r="CD1218" s="210"/>
      <c r="CE1218" s="210"/>
      <c r="CF1218" s="210"/>
      <c r="CG1218" s="210"/>
      <c r="CH1218" s="210"/>
      <c r="CI1218" s="210"/>
      <c r="CJ1218" s="210"/>
      <c r="CK1218" s="210"/>
    </row>
    <row r="1219">
      <c r="A1219" s="220"/>
      <c r="F1219" s="190"/>
      <c r="G1219" s="190"/>
      <c r="L1219" s="220"/>
      <c r="M1219" s="220"/>
      <c r="O1219" s="210"/>
      <c r="P1219" s="210"/>
      <c r="Q1219" s="210"/>
      <c r="R1219" s="210"/>
      <c r="S1219" s="210"/>
      <c r="T1219" s="210"/>
      <c r="U1219" s="210"/>
      <c r="V1219" s="210"/>
      <c r="W1219" s="210"/>
      <c r="X1219" s="210"/>
      <c r="Y1219" s="210"/>
      <c r="Z1219" s="210"/>
      <c r="AA1219" s="210"/>
      <c r="AB1219" s="210"/>
      <c r="AC1219" s="210"/>
      <c r="AD1219" s="210"/>
      <c r="AE1219" s="210"/>
      <c r="AF1219" s="210"/>
      <c r="AG1219" s="210"/>
      <c r="AH1219" s="210"/>
      <c r="AI1219" s="210"/>
      <c r="AJ1219" s="210"/>
      <c r="AK1219" s="210"/>
      <c r="AL1219" s="210"/>
      <c r="AM1219" s="214"/>
      <c r="AN1219" s="210"/>
      <c r="AO1219" s="210"/>
      <c r="AP1219" s="210"/>
      <c r="AQ1219" s="210"/>
      <c r="AR1219" s="210"/>
      <c r="AS1219" s="210"/>
      <c r="AT1219" s="210"/>
      <c r="AU1219" s="210"/>
      <c r="AV1219" s="210"/>
      <c r="AW1219" s="210"/>
      <c r="AX1219" s="210"/>
      <c r="AY1219" s="210"/>
      <c r="AZ1219" s="210"/>
      <c r="BA1219" s="210"/>
      <c r="BB1219" s="210"/>
      <c r="BC1219" s="210"/>
      <c r="BD1219" s="210"/>
      <c r="BE1219" s="210"/>
      <c r="BF1219" s="210"/>
      <c r="BG1219" s="210"/>
      <c r="BH1219" s="210"/>
      <c r="BI1219" s="210"/>
      <c r="BJ1219" s="210"/>
      <c r="BK1219" s="210"/>
      <c r="BL1219" s="210"/>
      <c r="BM1219" s="210"/>
      <c r="BN1219" s="210"/>
      <c r="BO1219" s="210"/>
      <c r="BP1219" s="210"/>
      <c r="BQ1219" s="210"/>
      <c r="BR1219" s="210"/>
      <c r="BS1219" s="210"/>
      <c r="BT1219" s="210"/>
      <c r="BU1219" s="210"/>
      <c r="BV1219" s="210"/>
      <c r="BW1219" s="210"/>
      <c r="BX1219" s="210"/>
      <c r="BY1219" s="210"/>
      <c r="BZ1219" s="210"/>
      <c r="CA1219" s="210"/>
      <c r="CB1219" s="210"/>
      <c r="CC1219" s="210"/>
      <c r="CD1219" s="210"/>
      <c r="CE1219" s="210"/>
      <c r="CF1219" s="210"/>
      <c r="CG1219" s="210"/>
      <c r="CH1219" s="210"/>
      <c r="CI1219" s="210"/>
      <c r="CJ1219" s="210"/>
      <c r="CK1219" s="210"/>
    </row>
    <row r="1220">
      <c r="A1220" s="220"/>
      <c r="F1220" s="190"/>
      <c r="G1220" s="190"/>
      <c r="L1220" s="220"/>
      <c r="M1220" s="220"/>
      <c r="O1220" s="210"/>
      <c r="P1220" s="210"/>
      <c r="Q1220" s="210"/>
      <c r="R1220" s="210"/>
      <c r="S1220" s="210"/>
      <c r="T1220" s="210"/>
      <c r="U1220" s="210"/>
      <c r="V1220" s="210"/>
      <c r="W1220" s="210"/>
      <c r="X1220" s="210"/>
      <c r="Y1220" s="210"/>
      <c r="Z1220" s="210"/>
      <c r="AA1220" s="210"/>
      <c r="AB1220" s="210"/>
      <c r="AC1220" s="210"/>
      <c r="AD1220" s="210"/>
      <c r="AE1220" s="210"/>
      <c r="AF1220" s="210"/>
      <c r="AG1220" s="210"/>
      <c r="AH1220" s="210"/>
      <c r="AI1220" s="210"/>
      <c r="AJ1220" s="210"/>
      <c r="AK1220" s="210"/>
      <c r="AL1220" s="210"/>
      <c r="AM1220" s="214"/>
      <c r="AN1220" s="210"/>
      <c r="AO1220" s="210"/>
      <c r="AP1220" s="210"/>
      <c r="AQ1220" s="210"/>
      <c r="AR1220" s="210"/>
      <c r="AS1220" s="210"/>
      <c r="AT1220" s="210"/>
      <c r="AU1220" s="210"/>
      <c r="AV1220" s="210"/>
      <c r="AW1220" s="210"/>
      <c r="AX1220" s="210"/>
      <c r="AY1220" s="210"/>
      <c r="AZ1220" s="210"/>
      <c r="BA1220" s="210"/>
      <c r="BB1220" s="210"/>
      <c r="BC1220" s="210"/>
      <c r="BD1220" s="210"/>
      <c r="BE1220" s="210"/>
      <c r="BF1220" s="210"/>
      <c r="BG1220" s="210"/>
      <c r="BH1220" s="210"/>
      <c r="BI1220" s="210"/>
      <c r="BJ1220" s="210"/>
      <c r="BK1220" s="210"/>
      <c r="BL1220" s="210"/>
      <c r="BM1220" s="210"/>
      <c r="BN1220" s="210"/>
      <c r="BO1220" s="210"/>
      <c r="BP1220" s="210"/>
      <c r="BQ1220" s="210"/>
      <c r="BR1220" s="210"/>
      <c r="BS1220" s="210"/>
      <c r="BT1220" s="210"/>
      <c r="BU1220" s="210"/>
      <c r="BV1220" s="210"/>
      <c r="BW1220" s="210"/>
      <c r="BX1220" s="210"/>
      <c r="BY1220" s="210"/>
      <c r="BZ1220" s="210"/>
      <c r="CA1220" s="210"/>
      <c r="CB1220" s="210"/>
      <c r="CC1220" s="210"/>
      <c r="CD1220" s="210"/>
      <c r="CE1220" s="210"/>
      <c r="CF1220" s="210"/>
      <c r="CG1220" s="210"/>
      <c r="CH1220" s="210"/>
      <c r="CI1220" s="210"/>
      <c r="CJ1220" s="210"/>
      <c r="CK1220" s="210"/>
    </row>
    <row r="1221">
      <c r="A1221" s="220"/>
      <c r="F1221" s="190"/>
      <c r="G1221" s="190"/>
      <c r="L1221" s="220"/>
      <c r="M1221" s="220"/>
      <c r="O1221" s="210"/>
      <c r="P1221" s="210"/>
      <c r="Q1221" s="210"/>
      <c r="R1221" s="210"/>
      <c r="S1221" s="210"/>
      <c r="T1221" s="210"/>
      <c r="U1221" s="210"/>
      <c r="V1221" s="210"/>
      <c r="W1221" s="210"/>
      <c r="X1221" s="210"/>
      <c r="Y1221" s="210"/>
      <c r="Z1221" s="210"/>
      <c r="AA1221" s="210"/>
      <c r="AB1221" s="210"/>
      <c r="AC1221" s="210"/>
      <c r="AD1221" s="210"/>
      <c r="AE1221" s="210"/>
      <c r="AF1221" s="210"/>
      <c r="AG1221" s="210"/>
      <c r="AH1221" s="210"/>
      <c r="AI1221" s="210"/>
      <c r="AJ1221" s="210"/>
      <c r="AK1221" s="210"/>
      <c r="AL1221" s="210"/>
      <c r="AM1221" s="214"/>
      <c r="AN1221" s="210"/>
      <c r="AO1221" s="210"/>
      <c r="AP1221" s="210"/>
      <c r="AQ1221" s="210"/>
      <c r="AR1221" s="210"/>
      <c r="AS1221" s="210"/>
      <c r="AT1221" s="210"/>
      <c r="AU1221" s="210"/>
      <c r="AV1221" s="210"/>
      <c r="AW1221" s="210"/>
      <c r="AX1221" s="210"/>
      <c r="AY1221" s="210"/>
      <c r="AZ1221" s="210"/>
      <c r="BA1221" s="210"/>
      <c r="BB1221" s="210"/>
      <c r="BC1221" s="210"/>
      <c r="BD1221" s="210"/>
      <c r="BE1221" s="210"/>
      <c r="BF1221" s="210"/>
      <c r="BG1221" s="210"/>
      <c r="BH1221" s="210"/>
      <c r="BI1221" s="210"/>
      <c r="BJ1221" s="210"/>
      <c r="BK1221" s="210"/>
      <c r="BL1221" s="210"/>
      <c r="BM1221" s="210"/>
      <c r="BN1221" s="210"/>
      <c r="BO1221" s="210"/>
      <c r="BP1221" s="210"/>
      <c r="BQ1221" s="210"/>
      <c r="BR1221" s="210"/>
      <c r="BS1221" s="210"/>
      <c r="BT1221" s="210"/>
      <c r="BU1221" s="210"/>
      <c r="BV1221" s="210"/>
      <c r="BW1221" s="210"/>
      <c r="BX1221" s="210"/>
      <c r="BY1221" s="210"/>
      <c r="BZ1221" s="210"/>
      <c r="CA1221" s="210"/>
      <c r="CB1221" s="210"/>
      <c r="CC1221" s="210"/>
      <c r="CD1221" s="210"/>
      <c r="CE1221" s="210"/>
      <c r="CF1221" s="210"/>
      <c r="CG1221" s="210"/>
      <c r="CH1221" s="210"/>
      <c r="CI1221" s="210"/>
      <c r="CJ1221" s="210"/>
      <c r="CK1221" s="210"/>
    </row>
    <row r="1222">
      <c r="A1222" s="220"/>
      <c r="F1222" s="190"/>
      <c r="G1222" s="190"/>
      <c r="L1222" s="220"/>
      <c r="M1222" s="220"/>
      <c r="O1222" s="210"/>
      <c r="P1222" s="210"/>
      <c r="Q1222" s="210"/>
      <c r="R1222" s="210"/>
      <c r="S1222" s="210"/>
      <c r="T1222" s="210"/>
      <c r="U1222" s="210"/>
      <c r="V1222" s="210"/>
      <c r="W1222" s="210"/>
      <c r="X1222" s="210"/>
      <c r="Y1222" s="210"/>
      <c r="Z1222" s="210"/>
      <c r="AA1222" s="210"/>
      <c r="AB1222" s="210"/>
      <c r="AC1222" s="210"/>
      <c r="AD1222" s="210"/>
      <c r="AE1222" s="210"/>
      <c r="AF1222" s="210"/>
      <c r="AG1222" s="210"/>
      <c r="AH1222" s="210"/>
      <c r="AI1222" s="210"/>
      <c r="AJ1222" s="210"/>
      <c r="AK1222" s="210"/>
      <c r="AL1222" s="210"/>
      <c r="AM1222" s="214"/>
      <c r="AN1222" s="210"/>
      <c r="AO1222" s="210"/>
      <c r="AP1222" s="210"/>
      <c r="AQ1222" s="210"/>
      <c r="AR1222" s="210"/>
      <c r="AS1222" s="210"/>
      <c r="AT1222" s="210"/>
      <c r="AU1222" s="210"/>
      <c r="AV1222" s="210"/>
      <c r="AW1222" s="210"/>
      <c r="AX1222" s="210"/>
      <c r="AY1222" s="210"/>
      <c r="AZ1222" s="210"/>
      <c r="BA1222" s="210"/>
      <c r="BB1222" s="210"/>
      <c r="BC1222" s="210"/>
      <c r="BD1222" s="210"/>
      <c r="BE1222" s="210"/>
      <c r="BF1222" s="210"/>
      <c r="BG1222" s="210"/>
      <c r="BH1222" s="210"/>
      <c r="BI1222" s="210"/>
      <c r="BJ1222" s="210"/>
      <c r="BK1222" s="210"/>
      <c r="BL1222" s="210"/>
      <c r="BM1222" s="210"/>
      <c r="BN1222" s="210"/>
      <c r="BO1222" s="210"/>
      <c r="BP1222" s="210"/>
      <c r="BQ1222" s="210"/>
      <c r="BR1222" s="210"/>
      <c r="BS1222" s="210"/>
      <c r="BT1222" s="210"/>
      <c r="BU1222" s="210"/>
      <c r="BV1222" s="210"/>
      <c r="BW1222" s="210"/>
      <c r="BX1222" s="210"/>
      <c r="BY1222" s="210"/>
      <c r="BZ1222" s="210"/>
      <c r="CA1222" s="210"/>
      <c r="CB1222" s="210"/>
      <c r="CC1222" s="210"/>
      <c r="CD1222" s="210"/>
      <c r="CE1222" s="210"/>
      <c r="CF1222" s="210"/>
      <c r="CG1222" s="210"/>
      <c r="CH1222" s="210"/>
      <c r="CI1222" s="210"/>
      <c r="CJ1222" s="210"/>
      <c r="CK1222" s="210"/>
    </row>
    <row r="1223">
      <c r="A1223" s="220"/>
      <c r="F1223" s="190"/>
      <c r="G1223" s="190"/>
      <c r="L1223" s="220"/>
      <c r="M1223" s="220"/>
      <c r="O1223" s="210"/>
      <c r="P1223" s="210"/>
      <c r="Q1223" s="210"/>
      <c r="R1223" s="210"/>
      <c r="S1223" s="210"/>
      <c r="T1223" s="210"/>
      <c r="U1223" s="210"/>
      <c r="V1223" s="210"/>
      <c r="W1223" s="210"/>
      <c r="X1223" s="210"/>
      <c r="Y1223" s="210"/>
      <c r="Z1223" s="210"/>
      <c r="AA1223" s="210"/>
      <c r="AB1223" s="210"/>
      <c r="AC1223" s="210"/>
      <c r="AD1223" s="210"/>
      <c r="AE1223" s="210"/>
      <c r="AF1223" s="210"/>
      <c r="AG1223" s="210"/>
      <c r="AH1223" s="210"/>
      <c r="AI1223" s="210"/>
      <c r="AJ1223" s="210"/>
      <c r="AK1223" s="210"/>
      <c r="AL1223" s="210"/>
      <c r="AM1223" s="214"/>
      <c r="AN1223" s="210"/>
      <c r="AO1223" s="210"/>
      <c r="AP1223" s="210"/>
      <c r="AQ1223" s="210"/>
      <c r="AR1223" s="210"/>
      <c r="AS1223" s="210"/>
      <c r="AT1223" s="210"/>
      <c r="AU1223" s="210"/>
      <c r="AV1223" s="210"/>
      <c r="AW1223" s="210"/>
      <c r="AX1223" s="210"/>
      <c r="AY1223" s="210"/>
      <c r="AZ1223" s="210"/>
      <c r="BA1223" s="210"/>
      <c r="BB1223" s="210"/>
      <c r="BC1223" s="210"/>
      <c r="BD1223" s="210"/>
      <c r="BE1223" s="210"/>
      <c r="BF1223" s="210"/>
      <c r="BG1223" s="210"/>
      <c r="BH1223" s="210"/>
      <c r="BI1223" s="210"/>
      <c r="BJ1223" s="210"/>
      <c r="BK1223" s="210"/>
      <c r="BL1223" s="210"/>
      <c r="BM1223" s="210"/>
      <c r="BN1223" s="210"/>
      <c r="BO1223" s="210"/>
      <c r="BP1223" s="210"/>
      <c r="BQ1223" s="210"/>
      <c r="BR1223" s="210"/>
      <c r="BS1223" s="210"/>
      <c r="BT1223" s="210"/>
      <c r="BU1223" s="210"/>
      <c r="BV1223" s="210"/>
      <c r="BW1223" s="210"/>
      <c r="BX1223" s="210"/>
      <c r="BY1223" s="210"/>
      <c r="BZ1223" s="210"/>
      <c r="CA1223" s="210"/>
      <c r="CB1223" s="210"/>
      <c r="CC1223" s="210"/>
      <c r="CD1223" s="210"/>
      <c r="CE1223" s="210"/>
      <c r="CF1223" s="210"/>
      <c r="CG1223" s="210"/>
      <c r="CH1223" s="210"/>
      <c r="CI1223" s="210"/>
      <c r="CJ1223" s="210"/>
      <c r="CK1223" s="210"/>
    </row>
    <row r="1224">
      <c r="A1224" s="220"/>
      <c r="F1224" s="190"/>
      <c r="G1224" s="190"/>
      <c r="L1224" s="220"/>
      <c r="M1224" s="220"/>
      <c r="O1224" s="210"/>
      <c r="P1224" s="210"/>
      <c r="Q1224" s="210"/>
      <c r="R1224" s="210"/>
      <c r="S1224" s="210"/>
      <c r="T1224" s="210"/>
      <c r="U1224" s="210"/>
      <c r="V1224" s="210"/>
      <c r="W1224" s="210"/>
      <c r="X1224" s="210"/>
      <c r="Y1224" s="210"/>
      <c r="Z1224" s="210"/>
      <c r="AA1224" s="210"/>
      <c r="AB1224" s="210"/>
      <c r="AC1224" s="210"/>
      <c r="AD1224" s="210"/>
      <c r="AE1224" s="210"/>
      <c r="AF1224" s="210"/>
      <c r="AG1224" s="210"/>
      <c r="AH1224" s="210"/>
      <c r="AI1224" s="210"/>
      <c r="AJ1224" s="210"/>
      <c r="AK1224" s="210"/>
      <c r="AL1224" s="210"/>
      <c r="AM1224" s="214"/>
      <c r="AN1224" s="210"/>
      <c r="AO1224" s="210"/>
      <c r="AP1224" s="210"/>
      <c r="AQ1224" s="210"/>
      <c r="AR1224" s="210"/>
      <c r="AS1224" s="210"/>
      <c r="AT1224" s="210"/>
      <c r="AU1224" s="210"/>
      <c r="AV1224" s="210"/>
      <c r="AW1224" s="210"/>
      <c r="AX1224" s="210"/>
      <c r="AY1224" s="210"/>
      <c r="AZ1224" s="210"/>
      <c r="BA1224" s="210"/>
      <c r="BB1224" s="210"/>
      <c r="BC1224" s="210"/>
      <c r="BD1224" s="210"/>
      <c r="BE1224" s="210"/>
      <c r="BF1224" s="210"/>
      <c r="BG1224" s="210"/>
      <c r="BH1224" s="210"/>
      <c r="BI1224" s="210"/>
      <c r="BJ1224" s="210"/>
      <c r="BK1224" s="210"/>
      <c r="BL1224" s="210"/>
      <c r="BM1224" s="210"/>
      <c r="BN1224" s="210"/>
      <c r="BO1224" s="210"/>
      <c r="BP1224" s="210"/>
      <c r="BQ1224" s="210"/>
      <c r="BR1224" s="210"/>
      <c r="BS1224" s="210"/>
      <c r="BT1224" s="210"/>
      <c r="BU1224" s="210"/>
      <c r="BV1224" s="210"/>
      <c r="BW1224" s="210"/>
      <c r="BX1224" s="210"/>
      <c r="BY1224" s="210"/>
      <c r="BZ1224" s="210"/>
      <c r="CA1224" s="210"/>
      <c r="CB1224" s="210"/>
      <c r="CC1224" s="210"/>
      <c r="CD1224" s="210"/>
      <c r="CE1224" s="210"/>
      <c r="CF1224" s="210"/>
      <c r="CG1224" s="210"/>
      <c r="CH1224" s="210"/>
      <c r="CI1224" s="210"/>
      <c r="CJ1224" s="210"/>
      <c r="CK1224" s="210"/>
    </row>
    <row r="1225">
      <c r="A1225" s="220"/>
      <c r="F1225" s="190"/>
      <c r="G1225" s="190"/>
      <c r="L1225" s="220"/>
      <c r="M1225" s="220"/>
      <c r="O1225" s="210"/>
      <c r="P1225" s="210"/>
      <c r="Q1225" s="210"/>
      <c r="R1225" s="210"/>
      <c r="S1225" s="210"/>
      <c r="T1225" s="210"/>
      <c r="U1225" s="210"/>
      <c r="V1225" s="210"/>
      <c r="W1225" s="210"/>
      <c r="X1225" s="210"/>
      <c r="Y1225" s="210"/>
      <c r="Z1225" s="210"/>
      <c r="AA1225" s="210"/>
      <c r="AB1225" s="210"/>
      <c r="AC1225" s="210"/>
      <c r="AD1225" s="210"/>
      <c r="AE1225" s="210"/>
      <c r="AF1225" s="210"/>
      <c r="AG1225" s="210"/>
      <c r="AH1225" s="210"/>
      <c r="AI1225" s="210"/>
      <c r="AJ1225" s="210"/>
      <c r="AK1225" s="210"/>
      <c r="AL1225" s="210"/>
      <c r="AM1225" s="214"/>
      <c r="AN1225" s="210"/>
      <c r="AO1225" s="210"/>
      <c r="AP1225" s="210"/>
      <c r="AQ1225" s="210"/>
      <c r="AR1225" s="210"/>
      <c r="AS1225" s="210"/>
      <c r="AT1225" s="210"/>
      <c r="AU1225" s="210"/>
      <c r="AV1225" s="210"/>
      <c r="AW1225" s="210"/>
      <c r="AX1225" s="210"/>
      <c r="AY1225" s="210"/>
      <c r="AZ1225" s="210"/>
      <c r="BA1225" s="210"/>
      <c r="BB1225" s="210"/>
      <c r="BC1225" s="210"/>
      <c r="BD1225" s="210"/>
      <c r="BE1225" s="210"/>
      <c r="BF1225" s="210"/>
      <c r="BG1225" s="210"/>
      <c r="BH1225" s="210"/>
      <c r="BI1225" s="210"/>
      <c r="BJ1225" s="210"/>
      <c r="BK1225" s="210"/>
      <c r="BL1225" s="210"/>
      <c r="BM1225" s="210"/>
      <c r="BN1225" s="210"/>
      <c r="BO1225" s="210"/>
      <c r="BP1225" s="210"/>
      <c r="BQ1225" s="210"/>
      <c r="BR1225" s="210"/>
      <c r="BS1225" s="210"/>
      <c r="BT1225" s="210"/>
      <c r="BU1225" s="210"/>
      <c r="BV1225" s="210"/>
      <c r="BW1225" s="210"/>
      <c r="BX1225" s="210"/>
      <c r="BY1225" s="210"/>
      <c r="BZ1225" s="210"/>
      <c r="CA1225" s="210"/>
      <c r="CB1225" s="210"/>
      <c r="CC1225" s="210"/>
      <c r="CD1225" s="210"/>
      <c r="CE1225" s="210"/>
      <c r="CF1225" s="210"/>
      <c r="CG1225" s="210"/>
      <c r="CH1225" s="210"/>
      <c r="CI1225" s="210"/>
      <c r="CJ1225" s="210"/>
      <c r="CK1225" s="210"/>
    </row>
    <row r="1226">
      <c r="A1226" s="220"/>
      <c r="F1226" s="190"/>
      <c r="G1226" s="190"/>
      <c r="L1226" s="220"/>
      <c r="M1226" s="220"/>
      <c r="O1226" s="210"/>
      <c r="P1226" s="210"/>
      <c r="Q1226" s="210"/>
      <c r="R1226" s="210"/>
      <c r="S1226" s="210"/>
      <c r="T1226" s="210"/>
      <c r="U1226" s="210"/>
      <c r="V1226" s="210"/>
      <c r="W1226" s="210"/>
      <c r="X1226" s="210"/>
      <c r="Y1226" s="210"/>
      <c r="Z1226" s="210"/>
      <c r="AA1226" s="210"/>
      <c r="AB1226" s="210"/>
      <c r="AC1226" s="210"/>
      <c r="AD1226" s="210"/>
      <c r="AE1226" s="210"/>
      <c r="AF1226" s="210"/>
      <c r="AG1226" s="210"/>
      <c r="AH1226" s="210"/>
      <c r="AI1226" s="210"/>
      <c r="AJ1226" s="210"/>
      <c r="AK1226" s="210"/>
      <c r="AL1226" s="210"/>
      <c r="AM1226" s="214"/>
      <c r="AN1226" s="210"/>
      <c r="AO1226" s="210"/>
      <c r="AP1226" s="210"/>
      <c r="AQ1226" s="210"/>
      <c r="AR1226" s="210"/>
      <c r="AS1226" s="210"/>
      <c r="AT1226" s="210"/>
      <c r="AU1226" s="210"/>
      <c r="AV1226" s="210"/>
      <c r="AW1226" s="210"/>
      <c r="AX1226" s="210"/>
      <c r="AY1226" s="210"/>
      <c r="AZ1226" s="210"/>
      <c r="BA1226" s="210"/>
      <c r="BB1226" s="210"/>
      <c r="BC1226" s="210"/>
      <c r="BD1226" s="210"/>
      <c r="BE1226" s="210"/>
      <c r="BF1226" s="210"/>
      <c r="BG1226" s="210"/>
      <c r="BH1226" s="210"/>
      <c r="BI1226" s="210"/>
      <c r="BJ1226" s="210"/>
      <c r="BK1226" s="210"/>
      <c r="BL1226" s="210"/>
      <c r="BM1226" s="210"/>
      <c r="BN1226" s="210"/>
      <c r="BO1226" s="210"/>
      <c r="BP1226" s="210"/>
      <c r="BQ1226" s="210"/>
      <c r="BR1226" s="210"/>
      <c r="BS1226" s="210"/>
      <c r="BT1226" s="210"/>
      <c r="BU1226" s="210"/>
      <c r="BV1226" s="210"/>
      <c r="BW1226" s="210"/>
      <c r="BX1226" s="210"/>
      <c r="BY1226" s="210"/>
      <c r="BZ1226" s="210"/>
      <c r="CA1226" s="210"/>
      <c r="CB1226" s="210"/>
      <c r="CC1226" s="210"/>
      <c r="CD1226" s="210"/>
      <c r="CE1226" s="210"/>
      <c r="CF1226" s="210"/>
      <c r="CG1226" s="210"/>
      <c r="CH1226" s="210"/>
      <c r="CI1226" s="210"/>
      <c r="CJ1226" s="210"/>
      <c r="CK1226" s="210"/>
    </row>
    <row r="1227">
      <c r="A1227" s="220"/>
      <c r="F1227" s="190"/>
      <c r="G1227" s="190"/>
      <c r="L1227" s="220"/>
      <c r="M1227" s="220"/>
      <c r="O1227" s="210"/>
      <c r="P1227" s="210"/>
      <c r="Q1227" s="210"/>
      <c r="R1227" s="210"/>
      <c r="S1227" s="210"/>
      <c r="T1227" s="210"/>
      <c r="U1227" s="210"/>
      <c r="V1227" s="210"/>
      <c r="W1227" s="210"/>
      <c r="X1227" s="210"/>
      <c r="Y1227" s="210"/>
      <c r="Z1227" s="210"/>
      <c r="AA1227" s="210"/>
      <c r="AB1227" s="210"/>
      <c r="AC1227" s="210"/>
      <c r="AD1227" s="210"/>
      <c r="AE1227" s="210"/>
      <c r="AF1227" s="210"/>
      <c r="AG1227" s="210"/>
      <c r="AH1227" s="210"/>
      <c r="AI1227" s="210"/>
      <c r="AJ1227" s="210"/>
      <c r="AK1227" s="210"/>
      <c r="AL1227" s="210"/>
      <c r="AM1227" s="214"/>
      <c r="AN1227" s="210"/>
      <c r="AO1227" s="210"/>
      <c r="AP1227" s="210"/>
      <c r="AQ1227" s="210"/>
      <c r="AR1227" s="210"/>
      <c r="AS1227" s="210"/>
      <c r="AT1227" s="210"/>
      <c r="AU1227" s="210"/>
      <c r="AV1227" s="210"/>
      <c r="AW1227" s="210"/>
      <c r="AX1227" s="210"/>
      <c r="AY1227" s="210"/>
      <c r="AZ1227" s="210"/>
      <c r="BA1227" s="210"/>
      <c r="BB1227" s="210"/>
      <c r="BC1227" s="210"/>
      <c r="BD1227" s="210"/>
      <c r="BE1227" s="210"/>
      <c r="BF1227" s="210"/>
      <c r="BG1227" s="210"/>
      <c r="BH1227" s="210"/>
      <c r="BI1227" s="210"/>
      <c r="BJ1227" s="210"/>
      <c r="BK1227" s="210"/>
      <c r="BL1227" s="210"/>
      <c r="BM1227" s="210"/>
      <c r="BN1227" s="210"/>
      <c r="BO1227" s="210"/>
      <c r="BP1227" s="210"/>
      <c r="BQ1227" s="210"/>
      <c r="BR1227" s="210"/>
      <c r="BS1227" s="210"/>
      <c r="BT1227" s="210"/>
      <c r="BU1227" s="210"/>
      <c r="BV1227" s="210"/>
      <c r="BW1227" s="210"/>
      <c r="BX1227" s="210"/>
      <c r="BY1227" s="210"/>
      <c r="BZ1227" s="210"/>
      <c r="CA1227" s="210"/>
      <c r="CB1227" s="210"/>
      <c r="CC1227" s="210"/>
      <c r="CD1227" s="210"/>
      <c r="CE1227" s="210"/>
      <c r="CF1227" s="210"/>
      <c r="CG1227" s="210"/>
      <c r="CH1227" s="210"/>
      <c r="CI1227" s="210"/>
      <c r="CJ1227" s="210"/>
      <c r="CK1227" s="210"/>
    </row>
    <row r="1228">
      <c r="A1228" s="220"/>
      <c r="F1228" s="190"/>
      <c r="G1228" s="190"/>
      <c r="L1228" s="220"/>
      <c r="M1228" s="220"/>
      <c r="O1228" s="210"/>
      <c r="P1228" s="210"/>
      <c r="Q1228" s="210"/>
      <c r="R1228" s="210"/>
      <c r="S1228" s="210"/>
      <c r="T1228" s="210"/>
      <c r="U1228" s="210"/>
      <c r="V1228" s="210"/>
      <c r="W1228" s="210"/>
      <c r="X1228" s="210"/>
      <c r="Y1228" s="210"/>
      <c r="Z1228" s="210"/>
      <c r="AA1228" s="210"/>
      <c r="AB1228" s="210"/>
      <c r="AC1228" s="210"/>
      <c r="AD1228" s="210"/>
      <c r="AE1228" s="210"/>
      <c r="AF1228" s="210"/>
      <c r="AG1228" s="210"/>
      <c r="AH1228" s="210"/>
      <c r="AI1228" s="210"/>
      <c r="AJ1228" s="210"/>
      <c r="AK1228" s="210"/>
      <c r="AL1228" s="210"/>
      <c r="AM1228" s="214"/>
      <c r="AN1228" s="210"/>
      <c r="AO1228" s="210"/>
      <c r="AP1228" s="210"/>
      <c r="AQ1228" s="210"/>
      <c r="AR1228" s="210"/>
      <c r="AS1228" s="210"/>
      <c r="AT1228" s="210"/>
      <c r="AU1228" s="210"/>
      <c r="AV1228" s="210"/>
      <c r="AW1228" s="210"/>
      <c r="AX1228" s="210"/>
      <c r="AY1228" s="210"/>
      <c r="AZ1228" s="210"/>
      <c r="BA1228" s="210"/>
      <c r="BB1228" s="210"/>
      <c r="BC1228" s="210"/>
      <c r="BD1228" s="210"/>
      <c r="BE1228" s="210"/>
      <c r="BF1228" s="210"/>
      <c r="BG1228" s="210"/>
      <c r="BH1228" s="210"/>
      <c r="BI1228" s="210"/>
      <c r="BJ1228" s="210"/>
      <c r="BK1228" s="210"/>
      <c r="BL1228" s="210"/>
      <c r="BM1228" s="210"/>
      <c r="BN1228" s="210"/>
      <c r="BO1228" s="210"/>
      <c r="BP1228" s="210"/>
      <c r="BQ1228" s="210"/>
      <c r="BR1228" s="210"/>
      <c r="BS1228" s="210"/>
      <c r="BT1228" s="210"/>
      <c r="BU1228" s="210"/>
      <c r="BV1228" s="210"/>
      <c r="BW1228" s="210"/>
      <c r="BX1228" s="210"/>
      <c r="BY1228" s="210"/>
      <c r="BZ1228" s="210"/>
      <c r="CA1228" s="210"/>
      <c r="CB1228" s="210"/>
      <c r="CC1228" s="210"/>
      <c r="CD1228" s="210"/>
      <c r="CE1228" s="210"/>
      <c r="CF1228" s="210"/>
      <c r="CG1228" s="210"/>
      <c r="CH1228" s="210"/>
      <c r="CI1228" s="210"/>
      <c r="CJ1228" s="210"/>
      <c r="CK1228" s="210"/>
    </row>
    <row r="1229">
      <c r="A1229" s="220"/>
      <c r="F1229" s="190"/>
      <c r="G1229" s="190"/>
      <c r="L1229" s="220"/>
      <c r="M1229" s="220"/>
      <c r="O1229" s="210"/>
      <c r="P1229" s="210"/>
      <c r="Q1229" s="210"/>
      <c r="R1229" s="210"/>
      <c r="S1229" s="210"/>
      <c r="T1229" s="210"/>
      <c r="U1229" s="210"/>
      <c r="V1229" s="210"/>
      <c r="W1229" s="210"/>
      <c r="X1229" s="210"/>
      <c r="Y1229" s="210"/>
      <c r="Z1229" s="210"/>
      <c r="AA1229" s="210"/>
      <c r="AB1229" s="210"/>
      <c r="AC1229" s="210"/>
      <c r="AD1229" s="210"/>
      <c r="AE1229" s="210"/>
      <c r="AF1229" s="210"/>
      <c r="AG1229" s="210"/>
      <c r="AH1229" s="210"/>
      <c r="AI1229" s="210"/>
      <c r="AJ1229" s="210"/>
      <c r="AK1229" s="210"/>
      <c r="AL1229" s="210"/>
      <c r="AM1229" s="214"/>
      <c r="AN1229" s="210"/>
      <c r="AO1229" s="210"/>
      <c r="AP1229" s="210"/>
      <c r="AQ1229" s="210"/>
      <c r="AR1229" s="210"/>
      <c r="AS1229" s="210"/>
      <c r="AT1229" s="210"/>
      <c r="AU1229" s="210"/>
      <c r="AV1229" s="210"/>
      <c r="AW1229" s="210"/>
      <c r="AX1229" s="210"/>
      <c r="AY1229" s="210"/>
      <c r="AZ1229" s="210"/>
      <c r="BA1229" s="210"/>
      <c r="BB1229" s="210"/>
      <c r="BC1229" s="210"/>
      <c r="BD1229" s="210"/>
      <c r="BE1229" s="210"/>
      <c r="BF1229" s="210"/>
      <c r="BG1229" s="210"/>
      <c r="BH1229" s="210"/>
      <c r="BI1229" s="210"/>
      <c r="BJ1229" s="210"/>
      <c r="BK1229" s="210"/>
      <c r="BL1229" s="210"/>
      <c r="BM1229" s="210"/>
      <c r="BN1229" s="210"/>
      <c r="BO1229" s="210"/>
      <c r="BP1229" s="210"/>
      <c r="BQ1229" s="210"/>
      <c r="BR1229" s="210"/>
      <c r="BS1229" s="210"/>
      <c r="BT1229" s="210"/>
      <c r="BU1229" s="210"/>
      <c r="BV1229" s="210"/>
      <c r="BW1229" s="210"/>
      <c r="BX1229" s="210"/>
      <c r="BY1229" s="210"/>
      <c r="BZ1229" s="210"/>
      <c r="CA1229" s="210"/>
      <c r="CB1229" s="210"/>
      <c r="CC1229" s="210"/>
      <c r="CD1229" s="210"/>
      <c r="CE1229" s="210"/>
      <c r="CF1229" s="210"/>
      <c r="CG1229" s="210"/>
      <c r="CH1229" s="210"/>
      <c r="CI1229" s="210"/>
      <c r="CJ1229" s="210"/>
      <c r="CK1229" s="210"/>
    </row>
    <row r="1230">
      <c r="A1230" s="220"/>
      <c r="F1230" s="190"/>
      <c r="G1230" s="190"/>
      <c r="L1230" s="220"/>
      <c r="M1230" s="220"/>
      <c r="O1230" s="210"/>
      <c r="P1230" s="210"/>
      <c r="Q1230" s="210"/>
      <c r="R1230" s="210"/>
      <c r="S1230" s="210"/>
      <c r="T1230" s="210"/>
      <c r="U1230" s="210"/>
      <c r="V1230" s="210"/>
      <c r="W1230" s="210"/>
      <c r="X1230" s="210"/>
      <c r="Y1230" s="210"/>
      <c r="Z1230" s="210"/>
      <c r="AA1230" s="210"/>
      <c r="AB1230" s="210"/>
      <c r="AC1230" s="210"/>
      <c r="AD1230" s="210"/>
      <c r="AE1230" s="210"/>
      <c r="AF1230" s="210"/>
      <c r="AG1230" s="210"/>
      <c r="AH1230" s="210"/>
      <c r="AI1230" s="210"/>
      <c r="AJ1230" s="210"/>
      <c r="AK1230" s="210"/>
      <c r="AL1230" s="210"/>
      <c r="AM1230" s="214"/>
      <c r="AN1230" s="210"/>
      <c r="AO1230" s="210"/>
      <c r="AP1230" s="210"/>
      <c r="AQ1230" s="210"/>
      <c r="AR1230" s="210"/>
      <c r="AS1230" s="210"/>
      <c r="AT1230" s="210"/>
      <c r="AU1230" s="210"/>
      <c r="AV1230" s="210"/>
      <c r="AW1230" s="210"/>
      <c r="AX1230" s="210"/>
      <c r="AY1230" s="210"/>
      <c r="AZ1230" s="210"/>
      <c r="BA1230" s="210"/>
      <c r="BB1230" s="210"/>
      <c r="BC1230" s="210"/>
      <c r="BD1230" s="210"/>
      <c r="BE1230" s="210"/>
      <c r="BF1230" s="210"/>
      <c r="BG1230" s="210"/>
      <c r="BH1230" s="210"/>
      <c r="BI1230" s="210"/>
      <c r="BJ1230" s="210"/>
      <c r="BK1230" s="210"/>
      <c r="BL1230" s="210"/>
      <c r="BM1230" s="210"/>
      <c r="BN1230" s="210"/>
      <c r="BO1230" s="210"/>
      <c r="BP1230" s="210"/>
      <c r="BQ1230" s="210"/>
      <c r="BR1230" s="210"/>
      <c r="BS1230" s="210"/>
      <c r="BT1230" s="210"/>
      <c r="BU1230" s="210"/>
      <c r="BV1230" s="210"/>
      <c r="BW1230" s="210"/>
      <c r="BX1230" s="210"/>
      <c r="BY1230" s="210"/>
      <c r="BZ1230" s="210"/>
      <c r="CA1230" s="210"/>
      <c r="CB1230" s="210"/>
      <c r="CC1230" s="210"/>
      <c r="CD1230" s="210"/>
      <c r="CE1230" s="210"/>
      <c r="CF1230" s="210"/>
      <c r="CG1230" s="210"/>
      <c r="CH1230" s="210"/>
      <c r="CI1230" s="210"/>
      <c r="CJ1230" s="210"/>
      <c r="CK1230" s="210"/>
    </row>
    <row r="1231">
      <c r="A1231" s="220"/>
      <c r="F1231" s="190"/>
      <c r="G1231" s="190"/>
      <c r="L1231" s="220"/>
      <c r="M1231" s="220"/>
      <c r="O1231" s="210"/>
      <c r="P1231" s="210"/>
      <c r="Q1231" s="210"/>
      <c r="R1231" s="210"/>
      <c r="S1231" s="210"/>
      <c r="T1231" s="210"/>
      <c r="U1231" s="210"/>
      <c r="V1231" s="210"/>
      <c r="W1231" s="210"/>
      <c r="X1231" s="210"/>
      <c r="Y1231" s="210"/>
      <c r="Z1231" s="210"/>
      <c r="AA1231" s="210"/>
      <c r="AB1231" s="210"/>
      <c r="AC1231" s="210"/>
      <c r="AD1231" s="210"/>
      <c r="AE1231" s="210"/>
      <c r="AF1231" s="210"/>
      <c r="AG1231" s="210"/>
      <c r="AH1231" s="210"/>
      <c r="AI1231" s="210"/>
      <c r="AJ1231" s="210"/>
      <c r="AK1231" s="210"/>
      <c r="AL1231" s="210"/>
      <c r="AM1231" s="214"/>
      <c r="AN1231" s="210"/>
      <c r="AO1231" s="210"/>
      <c r="AP1231" s="210"/>
      <c r="AQ1231" s="210"/>
      <c r="AR1231" s="210"/>
      <c r="AS1231" s="210"/>
      <c r="AT1231" s="210"/>
      <c r="AU1231" s="210"/>
      <c r="AV1231" s="210"/>
      <c r="AW1231" s="210"/>
      <c r="AX1231" s="210"/>
      <c r="AY1231" s="210"/>
      <c r="AZ1231" s="210"/>
      <c r="BA1231" s="210"/>
      <c r="BB1231" s="210"/>
      <c r="BC1231" s="210"/>
      <c r="BD1231" s="210"/>
      <c r="BE1231" s="210"/>
      <c r="BF1231" s="210"/>
      <c r="BG1231" s="210"/>
      <c r="BH1231" s="210"/>
      <c r="BI1231" s="210"/>
      <c r="BJ1231" s="210"/>
      <c r="BK1231" s="210"/>
      <c r="BL1231" s="210"/>
      <c r="BM1231" s="210"/>
      <c r="BN1231" s="210"/>
      <c r="BO1231" s="210"/>
      <c r="BP1231" s="210"/>
      <c r="BQ1231" s="210"/>
      <c r="BR1231" s="210"/>
      <c r="BS1231" s="210"/>
      <c r="BT1231" s="210"/>
      <c r="BU1231" s="210"/>
      <c r="BV1231" s="210"/>
      <c r="BW1231" s="210"/>
      <c r="BX1231" s="210"/>
      <c r="BY1231" s="210"/>
      <c r="BZ1231" s="210"/>
      <c r="CA1231" s="210"/>
      <c r="CB1231" s="210"/>
      <c r="CC1231" s="210"/>
      <c r="CD1231" s="210"/>
      <c r="CE1231" s="210"/>
      <c r="CF1231" s="210"/>
      <c r="CG1231" s="210"/>
      <c r="CH1231" s="210"/>
      <c r="CI1231" s="210"/>
      <c r="CJ1231" s="210"/>
      <c r="CK1231" s="210"/>
    </row>
    <row r="1232">
      <c r="A1232" s="220"/>
      <c r="F1232" s="190"/>
      <c r="G1232" s="190"/>
      <c r="L1232" s="220"/>
      <c r="M1232" s="220"/>
      <c r="O1232" s="210"/>
      <c r="P1232" s="210"/>
      <c r="Q1232" s="210"/>
      <c r="R1232" s="210"/>
      <c r="S1232" s="210"/>
      <c r="T1232" s="210"/>
      <c r="U1232" s="210"/>
      <c r="V1232" s="210"/>
      <c r="W1232" s="210"/>
      <c r="X1232" s="210"/>
      <c r="Y1232" s="210"/>
      <c r="Z1232" s="210"/>
      <c r="AA1232" s="210"/>
      <c r="AB1232" s="210"/>
      <c r="AC1232" s="210"/>
      <c r="AD1232" s="210"/>
      <c r="AE1232" s="210"/>
      <c r="AF1232" s="210"/>
      <c r="AG1232" s="210"/>
      <c r="AH1232" s="210"/>
      <c r="AI1232" s="210"/>
      <c r="AJ1232" s="210"/>
      <c r="AK1232" s="210"/>
      <c r="AL1232" s="210"/>
      <c r="AM1232" s="214"/>
      <c r="AN1232" s="210"/>
      <c r="AO1232" s="210"/>
      <c r="AP1232" s="210"/>
      <c r="AQ1232" s="210"/>
      <c r="AR1232" s="210"/>
      <c r="AS1232" s="210"/>
      <c r="AT1232" s="210"/>
      <c r="AU1232" s="210"/>
      <c r="AV1232" s="210"/>
      <c r="AW1232" s="210"/>
      <c r="AX1232" s="210"/>
      <c r="AY1232" s="210"/>
      <c r="AZ1232" s="210"/>
      <c r="BA1232" s="210"/>
      <c r="BB1232" s="210"/>
      <c r="BC1232" s="210"/>
      <c r="BD1232" s="210"/>
      <c r="BE1232" s="210"/>
      <c r="BF1232" s="210"/>
      <c r="BG1232" s="210"/>
      <c r="BH1232" s="210"/>
      <c r="BI1232" s="210"/>
      <c r="BJ1232" s="210"/>
      <c r="BK1232" s="210"/>
      <c r="BL1232" s="210"/>
      <c r="BM1232" s="210"/>
      <c r="BN1232" s="210"/>
      <c r="BO1232" s="210"/>
      <c r="BP1232" s="210"/>
      <c r="BQ1232" s="210"/>
      <c r="BR1232" s="210"/>
      <c r="BS1232" s="210"/>
      <c r="BT1232" s="210"/>
      <c r="BU1232" s="210"/>
      <c r="BV1232" s="210"/>
      <c r="BW1232" s="210"/>
      <c r="BX1232" s="210"/>
      <c r="BY1232" s="210"/>
      <c r="BZ1232" s="210"/>
      <c r="CA1232" s="210"/>
      <c r="CB1232" s="210"/>
      <c r="CC1232" s="210"/>
      <c r="CD1232" s="210"/>
      <c r="CE1232" s="210"/>
      <c r="CF1232" s="210"/>
      <c r="CG1232" s="210"/>
      <c r="CH1232" s="210"/>
      <c r="CI1232" s="210"/>
      <c r="CJ1232" s="210"/>
      <c r="CK1232" s="210"/>
    </row>
    <row r="1233">
      <c r="A1233" s="220"/>
      <c r="F1233" s="190"/>
      <c r="G1233" s="190"/>
      <c r="L1233" s="220"/>
      <c r="M1233" s="220"/>
      <c r="O1233" s="210"/>
      <c r="P1233" s="210"/>
      <c r="Q1233" s="210"/>
      <c r="R1233" s="210"/>
      <c r="S1233" s="210"/>
      <c r="T1233" s="210"/>
      <c r="U1233" s="210"/>
      <c r="V1233" s="210"/>
      <c r="W1233" s="210"/>
      <c r="X1233" s="210"/>
      <c r="Y1233" s="210"/>
      <c r="Z1233" s="210"/>
      <c r="AA1233" s="210"/>
      <c r="AB1233" s="210"/>
      <c r="AC1233" s="210"/>
      <c r="AD1233" s="210"/>
      <c r="AE1233" s="210"/>
      <c r="AF1233" s="210"/>
      <c r="AG1233" s="210"/>
      <c r="AH1233" s="210"/>
      <c r="AI1233" s="210"/>
      <c r="AJ1233" s="210"/>
      <c r="AK1233" s="210"/>
      <c r="AL1233" s="210"/>
      <c r="AM1233" s="214"/>
      <c r="AN1233" s="210"/>
      <c r="AO1233" s="210"/>
      <c r="AP1233" s="210"/>
      <c r="AQ1233" s="210"/>
      <c r="AR1233" s="210"/>
      <c r="AS1233" s="210"/>
      <c r="AT1233" s="210"/>
      <c r="AU1233" s="210"/>
      <c r="AV1233" s="210"/>
      <c r="AW1233" s="210"/>
      <c r="AX1233" s="210"/>
      <c r="AY1233" s="210"/>
      <c r="AZ1233" s="210"/>
      <c r="BA1233" s="210"/>
      <c r="BB1233" s="210"/>
      <c r="BC1233" s="210"/>
      <c r="BD1233" s="210"/>
      <c r="BE1233" s="210"/>
      <c r="BF1233" s="210"/>
      <c r="BG1233" s="210"/>
      <c r="BH1233" s="210"/>
      <c r="BI1233" s="210"/>
      <c r="BJ1233" s="210"/>
      <c r="BK1233" s="210"/>
      <c r="BL1233" s="210"/>
      <c r="BM1233" s="210"/>
      <c r="BN1233" s="210"/>
      <c r="BO1233" s="210"/>
      <c r="BP1233" s="210"/>
      <c r="BQ1233" s="210"/>
      <c r="BR1233" s="210"/>
      <c r="BS1233" s="210"/>
      <c r="BT1233" s="210"/>
      <c r="BU1233" s="210"/>
      <c r="BV1233" s="210"/>
      <c r="BW1233" s="210"/>
      <c r="BX1233" s="210"/>
      <c r="BY1233" s="210"/>
      <c r="BZ1233" s="210"/>
      <c r="CA1233" s="210"/>
      <c r="CB1233" s="210"/>
      <c r="CC1233" s="210"/>
      <c r="CD1233" s="210"/>
      <c r="CE1233" s="210"/>
      <c r="CF1233" s="210"/>
      <c r="CG1233" s="210"/>
      <c r="CH1233" s="210"/>
      <c r="CI1233" s="210"/>
      <c r="CJ1233" s="210"/>
      <c r="CK1233" s="210"/>
    </row>
    <row r="1234">
      <c r="A1234" s="220"/>
      <c r="F1234" s="190"/>
      <c r="G1234" s="190"/>
      <c r="L1234" s="220"/>
      <c r="M1234" s="220"/>
      <c r="O1234" s="210"/>
      <c r="P1234" s="210"/>
      <c r="Q1234" s="210"/>
      <c r="R1234" s="210"/>
      <c r="S1234" s="210"/>
      <c r="T1234" s="210"/>
      <c r="U1234" s="210"/>
      <c r="V1234" s="210"/>
      <c r="W1234" s="210"/>
      <c r="X1234" s="210"/>
      <c r="Y1234" s="210"/>
      <c r="Z1234" s="210"/>
      <c r="AA1234" s="210"/>
      <c r="AB1234" s="210"/>
      <c r="AC1234" s="210"/>
      <c r="AD1234" s="210"/>
      <c r="AE1234" s="210"/>
      <c r="AF1234" s="210"/>
      <c r="AG1234" s="210"/>
      <c r="AH1234" s="210"/>
      <c r="AI1234" s="210"/>
      <c r="AJ1234" s="210"/>
      <c r="AK1234" s="210"/>
      <c r="AL1234" s="210"/>
      <c r="AM1234" s="214"/>
      <c r="AN1234" s="210"/>
      <c r="AO1234" s="210"/>
      <c r="AP1234" s="210"/>
      <c r="AQ1234" s="210"/>
      <c r="AR1234" s="210"/>
      <c r="AS1234" s="210"/>
      <c r="AT1234" s="210"/>
      <c r="AU1234" s="210"/>
      <c r="AV1234" s="210"/>
      <c r="AW1234" s="210"/>
      <c r="AX1234" s="210"/>
      <c r="AY1234" s="210"/>
      <c r="AZ1234" s="210"/>
      <c r="BA1234" s="210"/>
      <c r="BB1234" s="210"/>
      <c r="BC1234" s="210"/>
      <c r="BD1234" s="210"/>
      <c r="BE1234" s="210"/>
      <c r="BF1234" s="210"/>
      <c r="BG1234" s="210"/>
      <c r="BH1234" s="210"/>
      <c r="BI1234" s="210"/>
      <c r="BJ1234" s="210"/>
      <c r="BK1234" s="210"/>
      <c r="BL1234" s="210"/>
      <c r="BM1234" s="210"/>
      <c r="BN1234" s="210"/>
      <c r="BO1234" s="210"/>
      <c r="BP1234" s="210"/>
      <c r="BQ1234" s="210"/>
      <c r="BR1234" s="210"/>
      <c r="BS1234" s="210"/>
      <c r="BT1234" s="210"/>
      <c r="BU1234" s="210"/>
      <c r="BV1234" s="210"/>
      <c r="BW1234" s="210"/>
      <c r="BX1234" s="210"/>
      <c r="BY1234" s="210"/>
      <c r="BZ1234" s="210"/>
      <c r="CA1234" s="210"/>
      <c r="CB1234" s="210"/>
      <c r="CC1234" s="210"/>
      <c r="CD1234" s="210"/>
      <c r="CE1234" s="210"/>
      <c r="CF1234" s="210"/>
      <c r="CG1234" s="210"/>
      <c r="CH1234" s="210"/>
      <c r="CI1234" s="210"/>
      <c r="CJ1234" s="210"/>
      <c r="CK1234" s="210"/>
    </row>
    <row r="1235">
      <c r="A1235" s="220"/>
      <c r="F1235" s="190"/>
      <c r="G1235" s="190"/>
      <c r="L1235" s="220"/>
      <c r="M1235" s="220"/>
      <c r="O1235" s="210"/>
      <c r="P1235" s="210"/>
      <c r="Q1235" s="210"/>
      <c r="R1235" s="210"/>
      <c r="S1235" s="210"/>
      <c r="T1235" s="210"/>
      <c r="U1235" s="210"/>
      <c r="V1235" s="210"/>
      <c r="W1235" s="210"/>
      <c r="X1235" s="210"/>
      <c r="Y1235" s="210"/>
      <c r="Z1235" s="210"/>
      <c r="AA1235" s="210"/>
      <c r="AB1235" s="210"/>
      <c r="AC1235" s="210"/>
      <c r="AD1235" s="210"/>
      <c r="AE1235" s="210"/>
      <c r="AF1235" s="210"/>
      <c r="AG1235" s="210"/>
      <c r="AH1235" s="210"/>
      <c r="AI1235" s="210"/>
      <c r="AJ1235" s="210"/>
      <c r="AK1235" s="210"/>
      <c r="AL1235" s="210"/>
      <c r="AM1235" s="214"/>
      <c r="AN1235" s="210"/>
      <c r="AO1235" s="210"/>
      <c r="AP1235" s="210"/>
      <c r="AQ1235" s="210"/>
      <c r="AR1235" s="210"/>
      <c r="AS1235" s="210"/>
      <c r="AT1235" s="210"/>
      <c r="AU1235" s="210"/>
      <c r="AV1235" s="210"/>
      <c r="AW1235" s="210"/>
      <c r="AX1235" s="210"/>
      <c r="AY1235" s="210"/>
      <c r="AZ1235" s="210"/>
      <c r="BA1235" s="210"/>
      <c r="BB1235" s="210"/>
      <c r="BC1235" s="210"/>
      <c r="BD1235" s="210"/>
      <c r="BE1235" s="210"/>
      <c r="BF1235" s="210"/>
      <c r="BG1235" s="210"/>
      <c r="BH1235" s="210"/>
      <c r="BI1235" s="210"/>
      <c r="BJ1235" s="210"/>
      <c r="BK1235" s="210"/>
      <c r="BL1235" s="210"/>
      <c r="BM1235" s="210"/>
      <c r="BN1235" s="210"/>
      <c r="BO1235" s="210"/>
      <c r="BP1235" s="210"/>
      <c r="BQ1235" s="210"/>
      <c r="BR1235" s="210"/>
      <c r="BS1235" s="210"/>
      <c r="BT1235" s="210"/>
      <c r="BU1235" s="210"/>
      <c r="BV1235" s="210"/>
      <c r="BW1235" s="210"/>
      <c r="BX1235" s="210"/>
      <c r="BY1235" s="210"/>
      <c r="BZ1235" s="210"/>
      <c r="CA1235" s="210"/>
      <c r="CB1235" s="210"/>
      <c r="CC1235" s="210"/>
      <c r="CD1235" s="210"/>
      <c r="CE1235" s="210"/>
      <c r="CF1235" s="210"/>
      <c r="CG1235" s="210"/>
      <c r="CH1235" s="210"/>
      <c r="CI1235" s="210"/>
      <c r="CJ1235" s="210"/>
      <c r="CK1235" s="210"/>
    </row>
    <row r="1236">
      <c r="A1236" s="220"/>
      <c r="F1236" s="190"/>
      <c r="G1236" s="190"/>
      <c r="L1236" s="220"/>
      <c r="M1236" s="220"/>
      <c r="O1236" s="210"/>
      <c r="P1236" s="210"/>
      <c r="Q1236" s="210"/>
      <c r="R1236" s="210"/>
      <c r="S1236" s="210"/>
      <c r="T1236" s="210"/>
      <c r="U1236" s="210"/>
      <c r="V1236" s="210"/>
      <c r="W1236" s="210"/>
      <c r="X1236" s="210"/>
      <c r="Y1236" s="210"/>
      <c r="Z1236" s="210"/>
      <c r="AA1236" s="210"/>
      <c r="AB1236" s="210"/>
      <c r="AC1236" s="210"/>
      <c r="AD1236" s="210"/>
      <c r="AE1236" s="210"/>
      <c r="AF1236" s="210"/>
      <c r="AG1236" s="210"/>
      <c r="AH1236" s="210"/>
      <c r="AI1236" s="210"/>
      <c r="AJ1236" s="210"/>
      <c r="AK1236" s="210"/>
      <c r="AL1236" s="210"/>
      <c r="AM1236" s="214"/>
      <c r="AN1236" s="210"/>
      <c r="AO1236" s="210"/>
      <c r="AP1236" s="210"/>
      <c r="AQ1236" s="210"/>
      <c r="AR1236" s="210"/>
      <c r="AS1236" s="210"/>
      <c r="AT1236" s="210"/>
      <c r="AU1236" s="210"/>
      <c r="AV1236" s="210"/>
      <c r="AW1236" s="210"/>
      <c r="AX1236" s="210"/>
      <c r="AY1236" s="210"/>
      <c r="AZ1236" s="210"/>
      <c r="BA1236" s="210"/>
      <c r="BB1236" s="210"/>
      <c r="BC1236" s="210"/>
      <c r="BD1236" s="210"/>
      <c r="BE1236" s="210"/>
      <c r="BF1236" s="210"/>
      <c r="BG1236" s="210"/>
      <c r="BH1236" s="210"/>
      <c r="BI1236" s="210"/>
      <c r="BJ1236" s="210"/>
      <c r="BK1236" s="210"/>
      <c r="BL1236" s="210"/>
      <c r="BM1236" s="210"/>
      <c r="BN1236" s="210"/>
      <c r="BO1236" s="210"/>
      <c r="BP1236" s="210"/>
      <c r="BQ1236" s="210"/>
      <c r="BR1236" s="210"/>
      <c r="BS1236" s="210"/>
      <c r="BT1236" s="210"/>
      <c r="BU1236" s="210"/>
      <c r="BV1236" s="210"/>
      <c r="BW1236" s="210"/>
      <c r="BX1236" s="210"/>
      <c r="BY1236" s="210"/>
      <c r="BZ1236" s="210"/>
      <c r="CA1236" s="210"/>
      <c r="CB1236" s="210"/>
      <c r="CC1236" s="210"/>
      <c r="CD1236" s="210"/>
      <c r="CE1236" s="210"/>
      <c r="CF1236" s="210"/>
      <c r="CG1236" s="210"/>
      <c r="CH1236" s="210"/>
      <c r="CI1236" s="210"/>
      <c r="CJ1236" s="210"/>
      <c r="CK1236" s="210"/>
    </row>
    <row r="1237">
      <c r="A1237" s="220"/>
      <c r="F1237" s="190"/>
      <c r="G1237" s="190"/>
      <c r="L1237" s="220"/>
      <c r="M1237" s="220"/>
      <c r="O1237" s="210"/>
      <c r="P1237" s="210"/>
      <c r="Q1237" s="210"/>
      <c r="R1237" s="210"/>
      <c r="S1237" s="210"/>
      <c r="T1237" s="210"/>
      <c r="U1237" s="210"/>
      <c r="V1237" s="210"/>
      <c r="W1237" s="210"/>
      <c r="X1237" s="210"/>
      <c r="Y1237" s="210"/>
      <c r="Z1237" s="210"/>
      <c r="AA1237" s="210"/>
      <c r="AB1237" s="210"/>
      <c r="AC1237" s="210"/>
      <c r="AD1237" s="210"/>
      <c r="AE1237" s="210"/>
      <c r="AF1237" s="210"/>
      <c r="AG1237" s="210"/>
      <c r="AH1237" s="210"/>
      <c r="AI1237" s="210"/>
      <c r="AJ1237" s="210"/>
      <c r="AK1237" s="210"/>
      <c r="AL1237" s="210"/>
      <c r="AM1237" s="214"/>
      <c r="AN1237" s="210"/>
      <c r="AO1237" s="210"/>
      <c r="AP1237" s="210"/>
      <c r="AQ1237" s="210"/>
      <c r="AR1237" s="210"/>
      <c r="AS1237" s="210"/>
      <c r="AT1237" s="210"/>
      <c r="AU1237" s="210"/>
      <c r="AV1237" s="210"/>
      <c r="AW1237" s="210"/>
      <c r="AX1237" s="210"/>
      <c r="AY1237" s="210"/>
      <c r="AZ1237" s="210"/>
      <c r="BA1237" s="210"/>
      <c r="BB1237" s="210"/>
      <c r="BC1237" s="210"/>
      <c r="BD1237" s="210"/>
      <c r="BE1237" s="210"/>
      <c r="BF1237" s="210"/>
      <c r="BG1237" s="210"/>
      <c r="BH1237" s="210"/>
      <c r="BI1237" s="210"/>
      <c r="BJ1237" s="210"/>
      <c r="BK1237" s="210"/>
      <c r="BL1237" s="210"/>
      <c r="BM1237" s="210"/>
      <c r="BN1237" s="210"/>
      <c r="BO1237" s="210"/>
      <c r="BP1237" s="210"/>
      <c r="BQ1237" s="210"/>
      <c r="BR1237" s="210"/>
      <c r="BS1237" s="210"/>
      <c r="BT1237" s="210"/>
      <c r="BU1237" s="210"/>
      <c r="BV1237" s="210"/>
      <c r="BW1237" s="210"/>
      <c r="BX1237" s="210"/>
      <c r="BY1237" s="210"/>
      <c r="BZ1237" s="210"/>
      <c r="CA1237" s="210"/>
      <c r="CB1237" s="210"/>
      <c r="CC1237" s="210"/>
      <c r="CD1237" s="210"/>
      <c r="CE1237" s="210"/>
      <c r="CF1237" s="210"/>
      <c r="CG1237" s="210"/>
      <c r="CH1237" s="210"/>
      <c r="CI1237" s="210"/>
      <c r="CJ1237" s="210"/>
      <c r="CK1237" s="210"/>
    </row>
    <row r="1238">
      <c r="A1238" s="220"/>
      <c r="F1238" s="190"/>
      <c r="G1238" s="190"/>
      <c r="L1238" s="220"/>
      <c r="M1238" s="220"/>
      <c r="O1238" s="210"/>
      <c r="P1238" s="210"/>
      <c r="Q1238" s="210"/>
      <c r="R1238" s="210"/>
      <c r="S1238" s="210"/>
      <c r="T1238" s="210"/>
      <c r="U1238" s="210"/>
      <c r="V1238" s="210"/>
      <c r="W1238" s="210"/>
      <c r="X1238" s="210"/>
      <c r="Y1238" s="210"/>
      <c r="Z1238" s="210"/>
      <c r="AA1238" s="210"/>
      <c r="AB1238" s="210"/>
      <c r="AC1238" s="210"/>
      <c r="AD1238" s="210"/>
      <c r="AE1238" s="210"/>
      <c r="AF1238" s="210"/>
      <c r="AG1238" s="210"/>
      <c r="AH1238" s="210"/>
      <c r="AI1238" s="210"/>
      <c r="AJ1238" s="210"/>
      <c r="AK1238" s="210"/>
      <c r="AL1238" s="210"/>
      <c r="AM1238" s="214"/>
      <c r="AN1238" s="210"/>
      <c r="AO1238" s="210"/>
      <c r="AP1238" s="210"/>
      <c r="AQ1238" s="210"/>
      <c r="AR1238" s="210"/>
      <c r="AS1238" s="210"/>
      <c r="AT1238" s="210"/>
      <c r="AU1238" s="210"/>
      <c r="AV1238" s="210"/>
      <c r="AW1238" s="210"/>
      <c r="AX1238" s="210"/>
      <c r="AY1238" s="210"/>
      <c r="AZ1238" s="210"/>
      <c r="BA1238" s="210"/>
      <c r="BB1238" s="210"/>
      <c r="BC1238" s="210"/>
      <c r="BD1238" s="210"/>
      <c r="BE1238" s="210"/>
      <c r="BF1238" s="210"/>
      <c r="BG1238" s="210"/>
      <c r="BH1238" s="210"/>
      <c r="BI1238" s="210"/>
      <c r="BJ1238" s="210"/>
      <c r="BK1238" s="210"/>
      <c r="BL1238" s="210"/>
      <c r="BM1238" s="210"/>
      <c r="BN1238" s="210"/>
      <c r="BO1238" s="210"/>
      <c r="BP1238" s="210"/>
      <c r="BQ1238" s="210"/>
      <c r="BR1238" s="210"/>
      <c r="BS1238" s="210"/>
      <c r="BT1238" s="210"/>
      <c r="BU1238" s="210"/>
      <c r="BV1238" s="210"/>
      <c r="BW1238" s="210"/>
      <c r="BX1238" s="210"/>
      <c r="BY1238" s="210"/>
      <c r="BZ1238" s="210"/>
      <c r="CA1238" s="210"/>
      <c r="CB1238" s="210"/>
      <c r="CC1238" s="210"/>
      <c r="CD1238" s="210"/>
      <c r="CE1238" s="210"/>
      <c r="CF1238" s="210"/>
      <c r="CG1238" s="210"/>
      <c r="CH1238" s="210"/>
      <c r="CI1238" s="210"/>
      <c r="CJ1238" s="210"/>
      <c r="CK1238" s="210"/>
    </row>
    <row r="1239">
      <c r="A1239" s="220"/>
      <c r="F1239" s="190"/>
      <c r="G1239" s="190"/>
      <c r="L1239" s="220"/>
      <c r="M1239" s="220"/>
      <c r="O1239" s="210"/>
      <c r="P1239" s="210"/>
      <c r="Q1239" s="210"/>
      <c r="R1239" s="210"/>
      <c r="S1239" s="210"/>
      <c r="T1239" s="210"/>
      <c r="U1239" s="210"/>
      <c r="V1239" s="210"/>
      <c r="W1239" s="210"/>
      <c r="X1239" s="210"/>
      <c r="Y1239" s="210"/>
      <c r="Z1239" s="210"/>
      <c r="AA1239" s="210"/>
      <c r="AB1239" s="210"/>
      <c r="AC1239" s="210"/>
      <c r="AD1239" s="210"/>
      <c r="AE1239" s="210"/>
      <c r="AF1239" s="210"/>
      <c r="AG1239" s="210"/>
      <c r="AH1239" s="210"/>
      <c r="AI1239" s="210"/>
      <c r="AJ1239" s="210"/>
      <c r="AK1239" s="210"/>
      <c r="AL1239" s="210"/>
      <c r="AM1239" s="214"/>
      <c r="AN1239" s="210"/>
      <c r="AO1239" s="210"/>
      <c r="AP1239" s="210"/>
      <c r="AQ1239" s="210"/>
      <c r="AR1239" s="210"/>
      <c r="AS1239" s="210"/>
      <c r="AT1239" s="210"/>
      <c r="AU1239" s="210"/>
      <c r="AV1239" s="210"/>
      <c r="AW1239" s="210"/>
      <c r="AX1239" s="210"/>
      <c r="AY1239" s="210"/>
      <c r="AZ1239" s="210"/>
      <c r="BA1239" s="210"/>
      <c r="BB1239" s="210"/>
      <c r="BC1239" s="210"/>
      <c r="BD1239" s="210"/>
      <c r="BE1239" s="210"/>
      <c r="BF1239" s="210"/>
      <c r="BG1239" s="210"/>
      <c r="BH1239" s="210"/>
      <c r="BI1239" s="210"/>
      <c r="BJ1239" s="210"/>
      <c r="BK1239" s="210"/>
      <c r="BL1239" s="210"/>
      <c r="BM1239" s="210"/>
      <c r="BN1239" s="210"/>
      <c r="BO1239" s="210"/>
      <c r="BP1239" s="210"/>
      <c r="BQ1239" s="210"/>
      <c r="BR1239" s="210"/>
      <c r="BS1239" s="210"/>
      <c r="BT1239" s="210"/>
      <c r="BU1239" s="210"/>
      <c r="BV1239" s="210"/>
      <c r="BW1239" s="210"/>
      <c r="BX1239" s="210"/>
      <c r="BY1239" s="210"/>
      <c r="BZ1239" s="210"/>
      <c r="CA1239" s="210"/>
      <c r="CB1239" s="210"/>
      <c r="CC1239" s="210"/>
      <c r="CD1239" s="210"/>
      <c r="CE1239" s="210"/>
      <c r="CF1239" s="210"/>
      <c r="CG1239" s="210"/>
      <c r="CH1239" s="210"/>
      <c r="CI1239" s="210"/>
      <c r="CJ1239" s="210"/>
      <c r="CK1239" s="210"/>
    </row>
    <row r="1240">
      <c r="A1240" s="220"/>
      <c r="F1240" s="190"/>
      <c r="G1240" s="190"/>
      <c r="L1240" s="220"/>
      <c r="M1240" s="220"/>
      <c r="O1240" s="210"/>
      <c r="P1240" s="210"/>
      <c r="Q1240" s="210"/>
      <c r="R1240" s="210"/>
      <c r="S1240" s="210"/>
      <c r="T1240" s="210"/>
      <c r="U1240" s="210"/>
      <c r="V1240" s="210"/>
      <c r="W1240" s="210"/>
      <c r="X1240" s="210"/>
      <c r="Y1240" s="210"/>
      <c r="Z1240" s="210"/>
      <c r="AA1240" s="210"/>
      <c r="AB1240" s="210"/>
      <c r="AC1240" s="210"/>
      <c r="AD1240" s="210"/>
      <c r="AE1240" s="210"/>
      <c r="AF1240" s="210"/>
      <c r="AG1240" s="210"/>
      <c r="AH1240" s="210"/>
      <c r="AI1240" s="210"/>
      <c r="AJ1240" s="210"/>
      <c r="AK1240" s="210"/>
      <c r="AL1240" s="210"/>
      <c r="AM1240" s="214"/>
      <c r="AN1240" s="210"/>
      <c r="AO1240" s="210"/>
      <c r="AP1240" s="210"/>
      <c r="AQ1240" s="210"/>
      <c r="AR1240" s="210"/>
      <c r="AS1240" s="210"/>
      <c r="AT1240" s="210"/>
      <c r="AU1240" s="210"/>
      <c r="AV1240" s="210"/>
      <c r="AW1240" s="210"/>
      <c r="AX1240" s="210"/>
      <c r="AY1240" s="210"/>
      <c r="AZ1240" s="210"/>
      <c r="BA1240" s="210"/>
      <c r="BB1240" s="210"/>
      <c r="BC1240" s="210"/>
      <c r="BD1240" s="210"/>
      <c r="BE1240" s="210"/>
      <c r="BF1240" s="210"/>
      <c r="BG1240" s="210"/>
      <c r="BH1240" s="210"/>
      <c r="BI1240" s="210"/>
      <c r="BJ1240" s="210"/>
      <c r="BK1240" s="210"/>
      <c r="BL1240" s="210"/>
      <c r="BM1240" s="210"/>
      <c r="BN1240" s="210"/>
      <c r="BO1240" s="210"/>
      <c r="BP1240" s="210"/>
      <c r="BQ1240" s="210"/>
      <c r="BR1240" s="210"/>
      <c r="BS1240" s="210"/>
      <c r="BT1240" s="210"/>
      <c r="BU1240" s="210"/>
      <c r="BV1240" s="210"/>
      <c r="BW1240" s="210"/>
      <c r="BX1240" s="210"/>
      <c r="BY1240" s="210"/>
      <c r="BZ1240" s="210"/>
      <c r="CA1240" s="210"/>
      <c r="CB1240" s="210"/>
      <c r="CC1240" s="210"/>
      <c r="CD1240" s="210"/>
      <c r="CE1240" s="210"/>
      <c r="CF1240" s="210"/>
      <c r="CG1240" s="210"/>
      <c r="CH1240" s="210"/>
      <c r="CI1240" s="210"/>
      <c r="CJ1240" s="210"/>
      <c r="CK1240" s="210"/>
    </row>
    <row r="1241">
      <c r="A1241" s="220"/>
      <c r="F1241" s="190"/>
      <c r="G1241" s="190"/>
      <c r="L1241" s="220"/>
      <c r="M1241" s="220"/>
      <c r="O1241" s="210"/>
      <c r="P1241" s="210"/>
      <c r="Q1241" s="210"/>
      <c r="R1241" s="210"/>
      <c r="S1241" s="210"/>
      <c r="T1241" s="210"/>
      <c r="U1241" s="210"/>
      <c r="V1241" s="210"/>
      <c r="W1241" s="210"/>
      <c r="X1241" s="210"/>
      <c r="Y1241" s="210"/>
      <c r="Z1241" s="210"/>
      <c r="AA1241" s="210"/>
      <c r="AB1241" s="210"/>
      <c r="AC1241" s="210"/>
      <c r="AD1241" s="210"/>
      <c r="AE1241" s="210"/>
      <c r="AF1241" s="210"/>
      <c r="AG1241" s="210"/>
      <c r="AH1241" s="210"/>
      <c r="AI1241" s="210"/>
      <c r="AJ1241" s="210"/>
      <c r="AK1241" s="210"/>
      <c r="AL1241" s="210"/>
      <c r="AM1241" s="214"/>
      <c r="AN1241" s="210"/>
      <c r="AO1241" s="210"/>
      <c r="AP1241" s="210"/>
      <c r="AQ1241" s="210"/>
      <c r="AR1241" s="210"/>
      <c r="AS1241" s="210"/>
      <c r="AT1241" s="210"/>
      <c r="AU1241" s="210"/>
      <c r="AV1241" s="210"/>
      <c r="AW1241" s="210"/>
      <c r="AX1241" s="210"/>
      <c r="AY1241" s="210"/>
      <c r="AZ1241" s="210"/>
      <c r="BA1241" s="210"/>
      <c r="BB1241" s="210"/>
      <c r="BC1241" s="210"/>
      <c r="BD1241" s="210"/>
      <c r="BE1241" s="210"/>
      <c r="BF1241" s="210"/>
      <c r="BG1241" s="210"/>
      <c r="BH1241" s="210"/>
      <c r="BI1241" s="210"/>
      <c r="BJ1241" s="210"/>
      <c r="BK1241" s="210"/>
      <c r="BL1241" s="210"/>
      <c r="BM1241" s="210"/>
      <c r="BN1241" s="210"/>
      <c r="BO1241" s="210"/>
      <c r="BP1241" s="210"/>
      <c r="BQ1241" s="210"/>
      <c r="BR1241" s="210"/>
      <c r="BS1241" s="210"/>
      <c r="BT1241" s="210"/>
      <c r="BU1241" s="210"/>
      <c r="BV1241" s="210"/>
      <c r="BW1241" s="210"/>
      <c r="BX1241" s="210"/>
      <c r="BY1241" s="210"/>
      <c r="BZ1241" s="210"/>
      <c r="CA1241" s="210"/>
      <c r="CB1241" s="210"/>
      <c r="CC1241" s="210"/>
      <c r="CD1241" s="210"/>
      <c r="CE1241" s="210"/>
      <c r="CF1241" s="210"/>
      <c r="CG1241" s="210"/>
      <c r="CH1241" s="210"/>
      <c r="CI1241" s="210"/>
      <c r="CJ1241" s="210"/>
      <c r="CK1241" s="210"/>
    </row>
    <row r="1242">
      <c r="A1242" s="220"/>
      <c r="F1242" s="190"/>
      <c r="G1242" s="190"/>
      <c r="L1242" s="220"/>
      <c r="M1242" s="220"/>
      <c r="O1242" s="210"/>
      <c r="P1242" s="210"/>
      <c r="Q1242" s="210"/>
      <c r="R1242" s="210"/>
      <c r="S1242" s="210"/>
      <c r="T1242" s="210"/>
      <c r="U1242" s="210"/>
      <c r="V1242" s="210"/>
      <c r="W1242" s="210"/>
      <c r="X1242" s="210"/>
      <c r="Y1242" s="210"/>
      <c r="Z1242" s="210"/>
      <c r="AA1242" s="210"/>
      <c r="AB1242" s="210"/>
      <c r="AC1242" s="210"/>
      <c r="AD1242" s="210"/>
      <c r="AE1242" s="210"/>
      <c r="AF1242" s="210"/>
      <c r="AG1242" s="210"/>
      <c r="AH1242" s="210"/>
      <c r="AI1242" s="210"/>
      <c r="AJ1242" s="210"/>
      <c r="AK1242" s="210"/>
      <c r="AL1242" s="210"/>
      <c r="AM1242" s="214"/>
      <c r="AN1242" s="210"/>
      <c r="AO1242" s="210"/>
      <c r="AP1242" s="210"/>
      <c r="AQ1242" s="210"/>
      <c r="AR1242" s="210"/>
      <c r="AS1242" s="210"/>
      <c r="AT1242" s="210"/>
      <c r="AU1242" s="210"/>
      <c r="AV1242" s="210"/>
      <c r="AW1242" s="210"/>
      <c r="AX1242" s="210"/>
      <c r="AY1242" s="210"/>
      <c r="AZ1242" s="210"/>
      <c r="BA1242" s="210"/>
      <c r="BB1242" s="210"/>
      <c r="BC1242" s="210"/>
      <c r="BD1242" s="210"/>
      <c r="BE1242" s="210"/>
      <c r="BF1242" s="210"/>
      <c r="BG1242" s="210"/>
      <c r="BH1242" s="210"/>
      <c r="BI1242" s="210"/>
      <c r="BJ1242" s="210"/>
      <c r="BK1242" s="210"/>
      <c r="BL1242" s="210"/>
      <c r="BM1242" s="210"/>
      <c r="BN1242" s="210"/>
      <c r="BO1242" s="210"/>
      <c r="BP1242" s="210"/>
      <c r="BQ1242" s="210"/>
      <c r="BR1242" s="210"/>
      <c r="BS1242" s="210"/>
      <c r="BT1242" s="210"/>
      <c r="BU1242" s="210"/>
      <c r="BV1242" s="210"/>
      <c r="BW1242" s="210"/>
      <c r="BX1242" s="210"/>
      <c r="BY1242" s="210"/>
      <c r="BZ1242" s="210"/>
      <c r="CA1242" s="210"/>
      <c r="CB1242" s="210"/>
      <c r="CC1242" s="210"/>
      <c r="CD1242" s="210"/>
      <c r="CE1242" s="210"/>
      <c r="CF1242" s="210"/>
      <c r="CG1242" s="210"/>
      <c r="CH1242" s="210"/>
      <c r="CI1242" s="210"/>
      <c r="CJ1242" s="210"/>
      <c r="CK1242" s="210"/>
    </row>
    <row r="1243">
      <c r="A1243" s="220"/>
      <c r="F1243" s="190"/>
      <c r="G1243" s="190"/>
      <c r="L1243" s="220"/>
      <c r="M1243" s="220"/>
      <c r="O1243" s="210"/>
      <c r="P1243" s="210"/>
      <c r="Q1243" s="210"/>
      <c r="R1243" s="210"/>
      <c r="S1243" s="210"/>
      <c r="T1243" s="210"/>
      <c r="U1243" s="210"/>
      <c r="V1243" s="210"/>
      <c r="W1243" s="210"/>
      <c r="X1243" s="210"/>
      <c r="Y1243" s="210"/>
      <c r="Z1243" s="210"/>
      <c r="AA1243" s="210"/>
      <c r="AB1243" s="210"/>
      <c r="AC1243" s="210"/>
      <c r="AD1243" s="210"/>
      <c r="AE1243" s="210"/>
      <c r="AF1243" s="210"/>
      <c r="AG1243" s="210"/>
      <c r="AH1243" s="210"/>
      <c r="AI1243" s="210"/>
      <c r="AJ1243" s="210"/>
      <c r="AK1243" s="210"/>
      <c r="AL1243" s="210"/>
      <c r="AM1243" s="214"/>
      <c r="AN1243" s="210"/>
      <c r="AO1243" s="210"/>
      <c r="AP1243" s="210"/>
      <c r="AQ1243" s="210"/>
      <c r="AR1243" s="210"/>
      <c r="AS1243" s="210"/>
      <c r="AT1243" s="210"/>
      <c r="AU1243" s="210"/>
      <c r="AV1243" s="210"/>
      <c r="AW1243" s="210"/>
      <c r="AX1243" s="210"/>
      <c r="AY1243" s="210"/>
      <c r="AZ1243" s="210"/>
      <c r="BA1243" s="210"/>
      <c r="BB1243" s="210"/>
      <c r="BC1243" s="210"/>
      <c r="BD1243" s="210"/>
      <c r="BE1243" s="210"/>
      <c r="BF1243" s="210"/>
      <c r="BG1243" s="210"/>
      <c r="BH1243" s="210"/>
      <c r="BI1243" s="210"/>
      <c r="BJ1243" s="210"/>
      <c r="BK1243" s="210"/>
      <c r="BL1243" s="210"/>
      <c r="BM1243" s="210"/>
      <c r="BN1243" s="210"/>
      <c r="BO1243" s="210"/>
      <c r="BP1243" s="210"/>
      <c r="BQ1243" s="210"/>
      <c r="BR1243" s="210"/>
      <c r="BS1243" s="210"/>
      <c r="BT1243" s="210"/>
      <c r="BU1243" s="210"/>
      <c r="BV1243" s="210"/>
      <c r="BW1243" s="210"/>
      <c r="BX1243" s="210"/>
      <c r="BY1243" s="210"/>
      <c r="BZ1243" s="210"/>
      <c r="CA1243" s="210"/>
      <c r="CB1243" s="210"/>
      <c r="CC1243" s="210"/>
      <c r="CD1243" s="210"/>
      <c r="CE1243" s="210"/>
      <c r="CF1243" s="210"/>
      <c r="CG1243" s="210"/>
      <c r="CH1243" s="210"/>
      <c r="CI1243" s="210"/>
      <c r="CJ1243" s="210"/>
      <c r="CK1243" s="210"/>
    </row>
    <row r="1244">
      <c r="A1244" s="220"/>
      <c r="F1244" s="190"/>
      <c r="G1244" s="190"/>
      <c r="L1244" s="220"/>
      <c r="M1244" s="220"/>
      <c r="O1244" s="210"/>
      <c r="P1244" s="210"/>
      <c r="Q1244" s="210"/>
      <c r="R1244" s="210"/>
      <c r="S1244" s="210"/>
      <c r="T1244" s="210"/>
      <c r="U1244" s="210"/>
      <c r="V1244" s="210"/>
      <c r="W1244" s="210"/>
      <c r="X1244" s="210"/>
      <c r="Y1244" s="210"/>
      <c r="Z1244" s="210"/>
      <c r="AA1244" s="210"/>
      <c r="AB1244" s="210"/>
      <c r="AC1244" s="210"/>
      <c r="AD1244" s="210"/>
      <c r="AE1244" s="210"/>
      <c r="AF1244" s="210"/>
      <c r="AG1244" s="210"/>
      <c r="AH1244" s="210"/>
      <c r="AI1244" s="210"/>
      <c r="AJ1244" s="210"/>
      <c r="AK1244" s="210"/>
      <c r="AL1244" s="210"/>
      <c r="AM1244" s="214"/>
      <c r="AN1244" s="210"/>
      <c r="AO1244" s="210"/>
      <c r="AP1244" s="210"/>
      <c r="AQ1244" s="210"/>
      <c r="AR1244" s="210"/>
      <c r="AS1244" s="210"/>
      <c r="AT1244" s="210"/>
      <c r="AU1244" s="210"/>
      <c r="AV1244" s="210"/>
      <c r="AW1244" s="210"/>
      <c r="AX1244" s="210"/>
      <c r="AY1244" s="210"/>
      <c r="AZ1244" s="210"/>
      <c r="BA1244" s="210"/>
      <c r="BB1244" s="210"/>
      <c r="BC1244" s="210"/>
      <c r="BD1244" s="210"/>
      <c r="BE1244" s="210"/>
      <c r="BF1244" s="210"/>
      <c r="BG1244" s="210"/>
      <c r="BH1244" s="210"/>
      <c r="BI1244" s="210"/>
      <c r="BJ1244" s="210"/>
      <c r="BK1244" s="210"/>
      <c r="BL1244" s="210"/>
      <c r="BM1244" s="210"/>
      <c r="BN1244" s="210"/>
      <c r="BO1244" s="210"/>
      <c r="BP1244" s="210"/>
      <c r="BQ1244" s="210"/>
      <c r="BR1244" s="210"/>
      <c r="BS1244" s="210"/>
      <c r="BT1244" s="210"/>
      <c r="BU1244" s="210"/>
      <c r="BV1244" s="210"/>
      <c r="BW1244" s="210"/>
      <c r="BX1244" s="210"/>
      <c r="BY1244" s="210"/>
      <c r="BZ1244" s="210"/>
      <c r="CA1244" s="210"/>
      <c r="CB1244" s="210"/>
      <c r="CC1244" s="210"/>
      <c r="CD1244" s="210"/>
      <c r="CE1244" s="210"/>
      <c r="CF1244" s="210"/>
      <c r="CG1244" s="210"/>
      <c r="CH1244" s="210"/>
      <c r="CI1244" s="210"/>
      <c r="CJ1244" s="210"/>
      <c r="CK1244" s="210"/>
    </row>
    <row r="1245">
      <c r="A1245" s="220"/>
      <c r="F1245" s="190"/>
      <c r="G1245" s="190"/>
      <c r="L1245" s="220"/>
      <c r="M1245" s="220"/>
      <c r="O1245" s="210"/>
      <c r="P1245" s="210"/>
      <c r="Q1245" s="210"/>
      <c r="R1245" s="210"/>
      <c r="S1245" s="210"/>
      <c r="T1245" s="210"/>
      <c r="U1245" s="210"/>
      <c r="V1245" s="210"/>
      <c r="W1245" s="210"/>
      <c r="X1245" s="210"/>
      <c r="Y1245" s="210"/>
      <c r="Z1245" s="210"/>
      <c r="AA1245" s="210"/>
      <c r="AB1245" s="210"/>
      <c r="AC1245" s="210"/>
      <c r="AD1245" s="210"/>
      <c r="AE1245" s="210"/>
      <c r="AF1245" s="210"/>
      <c r="AG1245" s="210"/>
      <c r="AH1245" s="210"/>
      <c r="AI1245" s="210"/>
      <c r="AJ1245" s="210"/>
      <c r="AK1245" s="210"/>
      <c r="AL1245" s="210"/>
      <c r="AM1245" s="214"/>
      <c r="AN1245" s="210"/>
      <c r="AO1245" s="210"/>
      <c r="AP1245" s="210"/>
      <c r="AQ1245" s="210"/>
      <c r="AR1245" s="210"/>
      <c r="AS1245" s="210"/>
      <c r="AT1245" s="210"/>
      <c r="AU1245" s="210"/>
      <c r="AV1245" s="210"/>
      <c r="AW1245" s="210"/>
      <c r="AX1245" s="210"/>
      <c r="AY1245" s="210"/>
      <c r="AZ1245" s="210"/>
      <c r="BA1245" s="210"/>
      <c r="BB1245" s="210"/>
      <c r="BC1245" s="210"/>
      <c r="BD1245" s="210"/>
      <c r="BE1245" s="210"/>
      <c r="BF1245" s="210"/>
      <c r="BG1245" s="210"/>
      <c r="BH1245" s="210"/>
      <c r="BI1245" s="210"/>
      <c r="BJ1245" s="210"/>
      <c r="BK1245" s="210"/>
      <c r="BL1245" s="210"/>
      <c r="BM1245" s="210"/>
      <c r="BN1245" s="210"/>
      <c r="BO1245" s="210"/>
      <c r="BP1245" s="210"/>
      <c r="BQ1245" s="210"/>
      <c r="BR1245" s="210"/>
      <c r="BS1245" s="210"/>
      <c r="BT1245" s="210"/>
      <c r="BU1245" s="210"/>
      <c r="BV1245" s="210"/>
      <c r="BW1245" s="210"/>
      <c r="BX1245" s="210"/>
      <c r="BY1245" s="210"/>
      <c r="BZ1245" s="210"/>
      <c r="CA1245" s="210"/>
      <c r="CB1245" s="210"/>
      <c r="CC1245" s="210"/>
      <c r="CD1245" s="210"/>
      <c r="CE1245" s="210"/>
      <c r="CF1245" s="210"/>
      <c r="CG1245" s="210"/>
      <c r="CH1245" s="210"/>
      <c r="CI1245" s="210"/>
      <c r="CJ1245" s="210"/>
      <c r="CK1245" s="210"/>
    </row>
    <row r="1246">
      <c r="A1246" s="220"/>
      <c r="F1246" s="190"/>
      <c r="G1246" s="190"/>
      <c r="L1246" s="220"/>
      <c r="M1246" s="220"/>
      <c r="O1246" s="210"/>
      <c r="P1246" s="210"/>
      <c r="Q1246" s="210"/>
      <c r="R1246" s="210"/>
      <c r="S1246" s="210"/>
      <c r="T1246" s="210"/>
      <c r="U1246" s="210"/>
      <c r="V1246" s="210"/>
      <c r="W1246" s="210"/>
      <c r="X1246" s="210"/>
      <c r="Y1246" s="210"/>
      <c r="Z1246" s="210"/>
      <c r="AA1246" s="210"/>
      <c r="AB1246" s="210"/>
      <c r="AC1246" s="210"/>
      <c r="AD1246" s="210"/>
      <c r="AE1246" s="210"/>
      <c r="AF1246" s="210"/>
      <c r="AG1246" s="210"/>
      <c r="AH1246" s="210"/>
      <c r="AI1246" s="210"/>
      <c r="AJ1246" s="210"/>
      <c r="AK1246" s="210"/>
      <c r="AL1246" s="210"/>
      <c r="AM1246" s="214"/>
      <c r="AN1246" s="210"/>
      <c r="AO1246" s="210"/>
      <c r="AP1246" s="210"/>
      <c r="AQ1246" s="210"/>
      <c r="AR1246" s="210"/>
      <c r="AS1246" s="210"/>
      <c r="AT1246" s="210"/>
      <c r="AU1246" s="210"/>
      <c r="AV1246" s="210"/>
      <c r="AW1246" s="210"/>
      <c r="AX1246" s="210"/>
      <c r="AY1246" s="210"/>
      <c r="AZ1246" s="210"/>
      <c r="BA1246" s="210"/>
      <c r="BB1246" s="210"/>
      <c r="BC1246" s="210"/>
      <c r="BD1246" s="210"/>
      <c r="BE1246" s="210"/>
      <c r="BF1246" s="210"/>
      <c r="BG1246" s="210"/>
      <c r="BH1246" s="210"/>
      <c r="BI1246" s="210"/>
      <c r="BJ1246" s="210"/>
      <c r="BK1246" s="210"/>
      <c r="BL1246" s="210"/>
      <c r="BM1246" s="210"/>
      <c r="BN1246" s="210"/>
      <c r="BO1246" s="210"/>
      <c r="BP1246" s="210"/>
      <c r="BQ1246" s="210"/>
      <c r="BR1246" s="210"/>
      <c r="BS1246" s="210"/>
      <c r="BT1246" s="210"/>
      <c r="BU1246" s="210"/>
      <c r="BV1246" s="210"/>
      <c r="BW1246" s="210"/>
      <c r="BX1246" s="210"/>
      <c r="BY1246" s="210"/>
      <c r="BZ1246" s="210"/>
      <c r="CA1246" s="210"/>
      <c r="CB1246" s="210"/>
      <c r="CC1246" s="210"/>
      <c r="CD1246" s="210"/>
      <c r="CE1246" s="210"/>
      <c r="CF1246" s="210"/>
      <c r="CG1246" s="210"/>
      <c r="CH1246" s="210"/>
      <c r="CI1246" s="210"/>
      <c r="CJ1246" s="210"/>
      <c r="CK1246" s="210"/>
    </row>
    <row r="1247">
      <c r="A1247" s="220"/>
      <c r="F1247" s="190"/>
      <c r="G1247" s="190"/>
      <c r="L1247" s="220"/>
      <c r="M1247" s="220"/>
      <c r="O1247" s="210"/>
      <c r="P1247" s="210"/>
      <c r="Q1247" s="210"/>
      <c r="R1247" s="210"/>
      <c r="S1247" s="210"/>
      <c r="T1247" s="210"/>
      <c r="U1247" s="210"/>
      <c r="V1247" s="210"/>
      <c r="W1247" s="210"/>
      <c r="X1247" s="210"/>
      <c r="Y1247" s="210"/>
      <c r="Z1247" s="210"/>
      <c r="AA1247" s="210"/>
      <c r="AB1247" s="210"/>
      <c r="AC1247" s="210"/>
      <c r="AD1247" s="210"/>
      <c r="AE1247" s="210"/>
      <c r="AF1247" s="210"/>
      <c r="AG1247" s="210"/>
      <c r="AH1247" s="210"/>
      <c r="AI1247" s="210"/>
      <c r="AJ1247" s="210"/>
      <c r="AK1247" s="210"/>
      <c r="AL1247" s="210"/>
      <c r="AM1247" s="214"/>
      <c r="AN1247" s="210"/>
      <c r="AO1247" s="210"/>
      <c r="AP1247" s="210"/>
      <c r="AQ1247" s="210"/>
      <c r="AR1247" s="210"/>
      <c r="AS1247" s="210"/>
      <c r="AT1247" s="210"/>
      <c r="AU1247" s="210"/>
      <c r="AV1247" s="210"/>
      <c r="AW1247" s="210"/>
      <c r="AX1247" s="210"/>
      <c r="AY1247" s="210"/>
      <c r="AZ1247" s="210"/>
      <c r="BA1247" s="210"/>
      <c r="BB1247" s="210"/>
      <c r="BC1247" s="210"/>
      <c r="BD1247" s="210"/>
      <c r="BE1247" s="210"/>
      <c r="BF1247" s="210"/>
      <c r="BG1247" s="210"/>
      <c r="BH1247" s="210"/>
      <c r="BI1247" s="210"/>
      <c r="BJ1247" s="210"/>
      <c r="BK1247" s="210"/>
      <c r="BL1247" s="210"/>
      <c r="BM1247" s="210"/>
      <c r="BN1247" s="210"/>
      <c r="BO1247" s="210"/>
      <c r="BP1247" s="210"/>
      <c r="BQ1247" s="210"/>
      <c r="BR1247" s="210"/>
      <c r="BS1247" s="210"/>
      <c r="BT1247" s="210"/>
      <c r="BU1247" s="210"/>
      <c r="BV1247" s="210"/>
      <c r="BW1247" s="210"/>
      <c r="BX1247" s="210"/>
      <c r="BY1247" s="210"/>
      <c r="BZ1247" s="210"/>
      <c r="CA1247" s="210"/>
      <c r="CB1247" s="210"/>
      <c r="CC1247" s="210"/>
      <c r="CD1247" s="210"/>
      <c r="CE1247" s="210"/>
      <c r="CF1247" s="210"/>
      <c r="CG1247" s="210"/>
      <c r="CH1247" s="210"/>
      <c r="CI1247" s="210"/>
      <c r="CJ1247" s="210"/>
      <c r="CK1247" s="210"/>
    </row>
    <row r="1248">
      <c r="A1248" s="220"/>
      <c r="F1248" s="190"/>
      <c r="G1248" s="190"/>
      <c r="L1248" s="220"/>
      <c r="M1248" s="220"/>
      <c r="O1248" s="210"/>
      <c r="P1248" s="210"/>
      <c r="Q1248" s="210"/>
      <c r="R1248" s="210"/>
      <c r="S1248" s="210"/>
      <c r="T1248" s="210"/>
      <c r="U1248" s="210"/>
      <c r="V1248" s="210"/>
      <c r="W1248" s="210"/>
      <c r="X1248" s="210"/>
      <c r="Y1248" s="210"/>
      <c r="Z1248" s="210"/>
      <c r="AA1248" s="210"/>
      <c r="AB1248" s="210"/>
      <c r="AC1248" s="210"/>
      <c r="AD1248" s="210"/>
      <c r="AE1248" s="210"/>
      <c r="AF1248" s="210"/>
      <c r="AG1248" s="210"/>
      <c r="AH1248" s="210"/>
      <c r="AI1248" s="210"/>
      <c r="AJ1248" s="210"/>
      <c r="AK1248" s="210"/>
      <c r="AL1248" s="210"/>
      <c r="AM1248" s="214"/>
      <c r="AN1248" s="210"/>
      <c r="AO1248" s="210"/>
      <c r="AP1248" s="210"/>
      <c r="AQ1248" s="210"/>
      <c r="AR1248" s="210"/>
      <c r="AS1248" s="210"/>
      <c r="AT1248" s="210"/>
      <c r="AU1248" s="210"/>
      <c r="AV1248" s="210"/>
      <c r="AW1248" s="210"/>
      <c r="AX1248" s="210"/>
      <c r="AY1248" s="210"/>
      <c r="AZ1248" s="210"/>
      <c r="BA1248" s="210"/>
      <c r="BB1248" s="210"/>
      <c r="BC1248" s="210"/>
      <c r="BD1248" s="210"/>
      <c r="BE1248" s="210"/>
      <c r="BF1248" s="210"/>
      <c r="BG1248" s="210"/>
      <c r="BH1248" s="210"/>
      <c r="BI1248" s="210"/>
      <c r="BJ1248" s="210"/>
      <c r="BK1248" s="210"/>
      <c r="BL1248" s="210"/>
      <c r="BM1248" s="210"/>
      <c r="BN1248" s="210"/>
      <c r="BO1248" s="210"/>
      <c r="BP1248" s="210"/>
      <c r="BQ1248" s="210"/>
      <c r="BR1248" s="210"/>
      <c r="BS1248" s="210"/>
      <c r="BT1248" s="210"/>
      <c r="BU1248" s="210"/>
      <c r="BV1248" s="210"/>
      <c r="BW1248" s="210"/>
      <c r="BX1248" s="210"/>
      <c r="BY1248" s="210"/>
      <c r="BZ1248" s="210"/>
      <c r="CA1248" s="210"/>
      <c r="CB1248" s="210"/>
      <c r="CC1248" s="210"/>
      <c r="CD1248" s="210"/>
      <c r="CE1248" s="210"/>
      <c r="CF1248" s="210"/>
      <c r="CG1248" s="210"/>
      <c r="CH1248" s="210"/>
      <c r="CI1248" s="210"/>
      <c r="CJ1248" s="210"/>
      <c r="CK1248" s="210"/>
    </row>
    <row r="1249">
      <c r="A1249" s="220"/>
      <c r="F1249" s="190"/>
      <c r="G1249" s="190"/>
      <c r="L1249" s="220"/>
      <c r="M1249" s="220"/>
      <c r="O1249" s="210"/>
      <c r="P1249" s="210"/>
      <c r="Q1249" s="210"/>
      <c r="R1249" s="210"/>
      <c r="S1249" s="210"/>
      <c r="T1249" s="210"/>
      <c r="U1249" s="210"/>
      <c r="V1249" s="210"/>
      <c r="W1249" s="210"/>
      <c r="X1249" s="210"/>
      <c r="Y1249" s="210"/>
      <c r="Z1249" s="210"/>
      <c r="AA1249" s="210"/>
      <c r="AB1249" s="210"/>
      <c r="AC1249" s="210"/>
      <c r="AD1249" s="210"/>
      <c r="AE1249" s="210"/>
      <c r="AF1249" s="210"/>
      <c r="AG1249" s="210"/>
      <c r="AH1249" s="210"/>
      <c r="AI1249" s="210"/>
      <c r="AJ1249" s="210"/>
      <c r="AK1249" s="210"/>
      <c r="AL1249" s="210"/>
      <c r="AM1249" s="214"/>
      <c r="AN1249" s="210"/>
      <c r="AO1249" s="210"/>
      <c r="AP1249" s="210"/>
      <c r="AQ1249" s="210"/>
      <c r="AR1249" s="210"/>
      <c r="AS1249" s="210"/>
      <c r="AT1249" s="210"/>
      <c r="AU1249" s="210"/>
      <c r="AV1249" s="210"/>
      <c r="AW1249" s="210"/>
      <c r="AX1249" s="210"/>
      <c r="AY1249" s="210"/>
      <c r="AZ1249" s="210"/>
      <c r="BA1249" s="210"/>
      <c r="BB1249" s="210"/>
      <c r="BC1249" s="210"/>
      <c r="BD1249" s="210"/>
      <c r="BE1249" s="210"/>
      <c r="BF1249" s="210"/>
      <c r="BG1249" s="210"/>
      <c r="BH1249" s="210"/>
      <c r="BI1249" s="210"/>
      <c r="BJ1249" s="210"/>
      <c r="BK1249" s="210"/>
      <c r="BL1249" s="210"/>
      <c r="BM1249" s="210"/>
      <c r="BN1249" s="210"/>
      <c r="BO1249" s="210"/>
      <c r="BP1249" s="210"/>
      <c r="BQ1249" s="210"/>
      <c r="BR1249" s="210"/>
      <c r="BS1249" s="210"/>
      <c r="BT1249" s="210"/>
      <c r="BU1249" s="210"/>
      <c r="BV1249" s="210"/>
      <c r="BW1249" s="210"/>
      <c r="BX1249" s="210"/>
      <c r="BY1249" s="210"/>
      <c r="BZ1249" s="210"/>
      <c r="CA1249" s="210"/>
      <c r="CB1249" s="210"/>
      <c r="CC1249" s="210"/>
      <c r="CD1249" s="210"/>
      <c r="CE1249" s="210"/>
      <c r="CF1249" s="210"/>
      <c r="CG1249" s="210"/>
      <c r="CH1249" s="210"/>
      <c r="CI1249" s="210"/>
      <c r="CJ1249" s="210"/>
      <c r="CK1249" s="210"/>
    </row>
    <row r="1250">
      <c r="A1250" s="220"/>
      <c r="F1250" s="190"/>
      <c r="G1250" s="190"/>
      <c r="L1250" s="220"/>
      <c r="M1250" s="220"/>
      <c r="O1250" s="210"/>
      <c r="P1250" s="210"/>
      <c r="Q1250" s="210"/>
      <c r="R1250" s="210"/>
      <c r="S1250" s="210"/>
      <c r="T1250" s="210"/>
      <c r="U1250" s="210"/>
      <c r="V1250" s="210"/>
      <c r="W1250" s="210"/>
      <c r="X1250" s="210"/>
      <c r="Y1250" s="210"/>
      <c r="Z1250" s="210"/>
      <c r="AA1250" s="210"/>
      <c r="AB1250" s="210"/>
      <c r="AC1250" s="210"/>
      <c r="AD1250" s="210"/>
      <c r="AE1250" s="210"/>
      <c r="AF1250" s="210"/>
      <c r="AG1250" s="210"/>
      <c r="AH1250" s="210"/>
      <c r="AI1250" s="210"/>
      <c r="AJ1250" s="210"/>
      <c r="AK1250" s="210"/>
      <c r="AL1250" s="210"/>
      <c r="AM1250" s="214"/>
      <c r="AN1250" s="210"/>
      <c r="AO1250" s="210"/>
      <c r="AP1250" s="210"/>
      <c r="AQ1250" s="210"/>
      <c r="AR1250" s="210"/>
      <c r="AS1250" s="210"/>
      <c r="AT1250" s="210"/>
      <c r="AU1250" s="210"/>
      <c r="AV1250" s="210"/>
      <c r="AW1250" s="210"/>
      <c r="AX1250" s="210"/>
      <c r="AY1250" s="210"/>
      <c r="AZ1250" s="210"/>
      <c r="BA1250" s="210"/>
      <c r="BB1250" s="210"/>
      <c r="BC1250" s="210"/>
      <c r="BD1250" s="210"/>
      <c r="BE1250" s="210"/>
      <c r="BF1250" s="210"/>
      <c r="BG1250" s="210"/>
      <c r="BH1250" s="210"/>
      <c r="BI1250" s="210"/>
      <c r="BJ1250" s="210"/>
      <c r="BK1250" s="210"/>
      <c r="BL1250" s="210"/>
      <c r="BM1250" s="210"/>
      <c r="BN1250" s="210"/>
      <c r="BO1250" s="210"/>
      <c r="BP1250" s="210"/>
      <c r="BQ1250" s="210"/>
      <c r="BR1250" s="210"/>
      <c r="BS1250" s="210"/>
      <c r="BT1250" s="210"/>
      <c r="BU1250" s="210"/>
      <c r="BV1250" s="210"/>
      <c r="BW1250" s="210"/>
      <c r="BX1250" s="210"/>
      <c r="BY1250" s="210"/>
      <c r="BZ1250" s="210"/>
      <c r="CA1250" s="210"/>
      <c r="CB1250" s="210"/>
      <c r="CC1250" s="210"/>
      <c r="CD1250" s="210"/>
      <c r="CE1250" s="210"/>
      <c r="CF1250" s="210"/>
      <c r="CG1250" s="210"/>
      <c r="CH1250" s="210"/>
      <c r="CI1250" s="210"/>
      <c r="CJ1250" s="210"/>
      <c r="CK1250" s="210"/>
    </row>
    <row r="1251">
      <c r="A1251" s="220"/>
      <c r="F1251" s="190"/>
      <c r="G1251" s="190"/>
      <c r="L1251" s="220"/>
      <c r="M1251" s="220"/>
      <c r="O1251" s="210"/>
      <c r="P1251" s="210"/>
      <c r="Q1251" s="210"/>
      <c r="R1251" s="210"/>
      <c r="S1251" s="210"/>
      <c r="T1251" s="210"/>
      <c r="U1251" s="210"/>
      <c r="V1251" s="210"/>
      <c r="W1251" s="210"/>
      <c r="X1251" s="210"/>
      <c r="Y1251" s="210"/>
      <c r="Z1251" s="210"/>
      <c r="AA1251" s="210"/>
      <c r="AB1251" s="210"/>
      <c r="AC1251" s="210"/>
      <c r="AD1251" s="210"/>
      <c r="AE1251" s="210"/>
      <c r="AF1251" s="210"/>
      <c r="AG1251" s="210"/>
      <c r="AH1251" s="210"/>
      <c r="AI1251" s="210"/>
      <c r="AJ1251" s="210"/>
      <c r="AK1251" s="210"/>
      <c r="AL1251" s="210"/>
      <c r="AM1251" s="214"/>
      <c r="AN1251" s="210"/>
      <c r="AO1251" s="210"/>
      <c r="AP1251" s="210"/>
      <c r="AQ1251" s="210"/>
      <c r="AR1251" s="210"/>
      <c r="AS1251" s="210"/>
      <c r="AT1251" s="210"/>
      <c r="AU1251" s="210"/>
      <c r="AV1251" s="210"/>
      <c r="AW1251" s="210"/>
      <c r="AX1251" s="210"/>
      <c r="AY1251" s="210"/>
      <c r="AZ1251" s="210"/>
      <c r="BA1251" s="210"/>
      <c r="BB1251" s="210"/>
      <c r="BC1251" s="210"/>
      <c r="BD1251" s="210"/>
      <c r="BE1251" s="210"/>
      <c r="BF1251" s="210"/>
      <c r="BG1251" s="210"/>
      <c r="BH1251" s="210"/>
      <c r="BI1251" s="210"/>
      <c r="BJ1251" s="210"/>
      <c r="BK1251" s="210"/>
      <c r="BL1251" s="210"/>
      <c r="BM1251" s="210"/>
      <c r="BN1251" s="210"/>
      <c r="BO1251" s="210"/>
      <c r="BP1251" s="210"/>
      <c r="BQ1251" s="210"/>
      <c r="BR1251" s="210"/>
      <c r="BS1251" s="210"/>
      <c r="BT1251" s="210"/>
      <c r="BU1251" s="210"/>
      <c r="BV1251" s="210"/>
      <c r="BW1251" s="210"/>
      <c r="BX1251" s="210"/>
      <c r="BY1251" s="210"/>
      <c r="BZ1251" s="210"/>
      <c r="CA1251" s="210"/>
      <c r="CB1251" s="210"/>
      <c r="CC1251" s="210"/>
      <c r="CD1251" s="210"/>
      <c r="CE1251" s="210"/>
      <c r="CF1251" s="210"/>
      <c r="CG1251" s="210"/>
      <c r="CH1251" s="210"/>
      <c r="CI1251" s="210"/>
      <c r="CJ1251" s="210"/>
      <c r="CK1251" s="210"/>
    </row>
    <row r="1252">
      <c r="A1252" s="220"/>
      <c r="F1252" s="190"/>
      <c r="G1252" s="190"/>
      <c r="L1252" s="220"/>
      <c r="M1252" s="220"/>
      <c r="O1252" s="210"/>
      <c r="P1252" s="210"/>
      <c r="Q1252" s="210"/>
      <c r="R1252" s="210"/>
      <c r="S1252" s="210"/>
      <c r="T1252" s="210"/>
      <c r="U1252" s="210"/>
      <c r="V1252" s="210"/>
      <c r="W1252" s="210"/>
      <c r="X1252" s="210"/>
      <c r="Y1252" s="210"/>
      <c r="Z1252" s="210"/>
      <c r="AA1252" s="210"/>
      <c r="AB1252" s="210"/>
      <c r="AC1252" s="210"/>
      <c r="AD1252" s="210"/>
      <c r="AE1252" s="210"/>
      <c r="AF1252" s="210"/>
      <c r="AG1252" s="210"/>
      <c r="AH1252" s="210"/>
      <c r="AI1252" s="210"/>
      <c r="AJ1252" s="210"/>
      <c r="AK1252" s="210"/>
      <c r="AL1252" s="210"/>
      <c r="AM1252" s="214"/>
      <c r="AN1252" s="210"/>
      <c r="AO1252" s="210"/>
      <c r="AP1252" s="210"/>
      <c r="AQ1252" s="210"/>
      <c r="AR1252" s="210"/>
      <c r="AS1252" s="210"/>
      <c r="AT1252" s="210"/>
      <c r="AU1252" s="210"/>
      <c r="AV1252" s="210"/>
      <c r="AW1252" s="210"/>
      <c r="AX1252" s="210"/>
      <c r="AY1252" s="210"/>
      <c r="AZ1252" s="210"/>
      <c r="BA1252" s="210"/>
      <c r="BB1252" s="210"/>
      <c r="BC1252" s="210"/>
      <c r="BD1252" s="210"/>
      <c r="BE1252" s="210"/>
      <c r="BF1252" s="210"/>
      <c r="BG1252" s="210"/>
      <c r="BH1252" s="210"/>
      <c r="BI1252" s="210"/>
      <c r="BJ1252" s="210"/>
      <c r="BK1252" s="210"/>
      <c r="BL1252" s="210"/>
      <c r="BM1252" s="210"/>
      <c r="BN1252" s="210"/>
      <c r="BO1252" s="210"/>
      <c r="BP1252" s="210"/>
      <c r="BQ1252" s="210"/>
      <c r="BR1252" s="210"/>
      <c r="BS1252" s="210"/>
      <c r="BT1252" s="210"/>
      <c r="BU1252" s="210"/>
      <c r="BV1252" s="210"/>
      <c r="BW1252" s="210"/>
      <c r="BX1252" s="210"/>
      <c r="BY1252" s="210"/>
      <c r="BZ1252" s="210"/>
      <c r="CA1252" s="210"/>
      <c r="CB1252" s="210"/>
      <c r="CC1252" s="210"/>
      <c r="CD1252" s="210"/>
      <c r="CE1252" s="210"/>
      <c r="CF1252" s="210"/>
      <c r="CG1252" s="210"/>
      <c r="CH1252" s="210"/>
      <c r="CI1252" s="210"/>
      <c r="CJ1252" s="210"/>
      <c r="CK1252" s="210"/>
    </row>
    <row r="1253">
      <c r="A1253" s="220"/>
      <c r="F1253" s="190"/>
      <c r="G1253" s="190"/>
      <c r="L1253" s="220"/>
      <c r="M1253" s="220"/>
      <c r="O1253" s="210"/>
      <c r="P1253" s="210"/>
      <c r="Q1253" s="210"/>
      <c r="R1253" s="210"/>
      <c r="S1253" s="210"/>
      <c r="T1253" s="210"/>
      <c r="U1253" s="210"/>
      <c r="V1253" s="210"/>
      <c r="W1253" s="210"/>
      <c r="X1253" s="210"/>
      <c r="Y1253" s="210"/>
      <c r="Z1253" s="210"/>
      <c r="AA1253" s="210"/>
      <c r="AB1253" s="210"/>
      <c r="AC1253" s="210"/>
      <c r="AD1253" s="210"/>
      <c r="AE1253" s="210"/>
      <c r="AF1253" s="210"/>
      <c r="AG1253" s="210"/>
      <c r="AH1253" s="210"/>
      <c r="AI1253" s="210"/>
      <c r="AJ1253" s="210"/>
      <c r="AK1253" s="210"/>
      <c r="AL1253" s="210"/>
      <c r="AM1253" s="214"/>
      <c r="AN1253" s="210"/>
      <c r="AO1253" s="210"/>
      <c r="AP1253" s="210"/>
      <c r="AQ1253" s="210"/>
      <c r="AR1253" s="210"/>
      <c r="AS1253" s="210"/>
      <c r="AT1253" s="210"/>
      <c r="AU1253" s="210"/>
      <c r="AV1253" s="210"/>
      <c r="AW1253" s="210"/>
      <c r="AX1253" s="210"/>
      <c r="AY1253" s="210"/>
      <c r="AZ1253" s="210"/>
      <c r="BA1253" s="210"/>
      <c r="BB1253" s="210"/>
      <c r="BC1253" s="210"/>
      <c r="BD1253" s="210"/>
      <c r="BE1253" s="210"/>
      <c r="BF1253" s="210"/>
      <c r="BG1253" s="210"/>
      <c r="BH1253" s="210"/>
      <c r="BI1253" s="210"/>
      <c r="BJ1253" s="210"/>
      <c r="BK1253" s="210"/>
      <c r="BL1253" s="210"/>
      <c r="BM1253" s="210"/>
      <c r="BN1253" s="210"/>
      <c r="BO1253" s="210"/>
      <c r="BP1253" s="210"/>
      <c r="BQ1253" s="210"/>
      <c r="BR1253" s="210"/>
      <c r="BS1253" s="210"/>
      <c r="BT1253" s="210"/>
      <c r="BU1253" s="210"/>
      <c r="BV1253" s="210"/>
      <c r="BW1253" s="210"/>
      <c r="BX1253" s="210"/>
      <c r="BY1253" s="210"/>
      <c r="BZ1253" s="210"/>
      <c r="CA1253" s="210"/>
      <c r="CB1253" s="210"/>
      <c r="CC1253" s="210"/>
      <c r="CD1253" s="210"/>
      <c r="CE1253" s="210"/>
      <c r="CF1253" s="210"/>
      <c r="CG1253" s="210"/>
      <c r="CH1253" s="210"/>
      <c r="CI1253" s="210"/>
      <c r="CJ1253" s="210"/>
      <c r="CK1253" s="210"/>
    </row>
    <row r="1254">
      <c r="A1254" s="220"/>
      <c r="F1254" s="190"/>
      <c r="G1254" s="190"/>
      <c r="L1254" s="220"/>
      <c r="M1254" s="220"/>
      <c r="O1254" s="210"/>
      <c r="P1254" s="210"/>
      <c r="Q1254" s="210"/>
      <c r="R1254" s="210"/>
      <c r="S1254" s="210"/>
      <c r="T1254" s="210"/>
      <c r="U1254" s="210"/>
      <c r="V1254" s="210"/>
      <c r="W1254" s="210"/>
      <c r="X1254" s="210"/>
      <c r="Y1254" s="210"/>
      <c r="Z1254" s="210"/>
      <c r="AA1254" s="210"/>
      <c r="AB1254" s="210"/>
      <c r="AC1254" s="210"/>
      <c r="AD1254" s="210"/>
      <c r="AE1254" s="210"/>
      <c r="AF1254" s="210"/>
      <c r="AG1254" s="210"/>
      <c r="AH1254" s="210"/>
      <c r="AI1254" s="210"/>
      <c r="AJ1254" s="210"/>
      <c r="AK1254" s="210"/>
      <c r="AL1254" s="210"/>
      <c r="AM1254" s="214"/>
      <c r="AN1254" s="210"/>
      <c r="AO1254" s="210"/>
      <c r="AP1254" s="210"/>
      <c r="AQ1254" s="210"/>
      <c r="AR1254" s="210"/>
      <c r="AS1254" s="210"/>
      <c r="AT1254" s="210"/>
      <c r="AU1254" s="210"/>
      <c r="AV1254" s="210"/>
      <c r="AW1254" s="210"/>
      <c r="AX1254" s="210"/>
      <c r="AY1254" s="210"/>
      <c r="AZ1254" s="210"/>
      <c r="BA1254" s="210"/>
      <c r="BB1254" s="210"/>
      <c r="BC1254" s="210"/>
      <c r="BD1254" s="210"/>
      <c r="BE1254" s="210"/>
      <c r="BF1254" s="210"/>
      <c r="BG1254" s="210"/>
      <c r="BH1254" s="210"/>
      <c r="BI1254" s="210"/>
      <c r="BJ1254" s="210"/>
      <c r="BK1254" s="210"/>
      <c r="BL1254" s="210"/>
      <c r="BM1254" s="210"/>
      <c r="BN1254" s="210"/>
      <c r="BO1254" s="210"/>
      <c r="BP1254" s="210"/>
      <c r="BQ1254" s="210"/>
      <c r="BR1254" s="210"/>
      <c r="BS1254" s="210"/>
      <c r="BT1254" s="210"/>
      <c r="BU1254" s="210"/>
      <c r="BV1254" s="210"/>
      <c r="BW1254" s="210"/>
      <c r="BX1254" s="210"/>
      <c r="BY1254" s="210"/>
      <c r="BZ1254" s="210"/>
      <c r="CA1254" s="210"/>
      <c r="CB1254" s="210"/>
      <c r="CC1254" s="210"/>
      <c r="CD1254" s="210"/>
      <c r="CE1254" s="210"/>
      <c r="CF1254" s="210"/>
      <c r="CG1254" s="210"/>
      <c r="CH1254" s="210"/>
      <c r="CI1254" s="210"/>
      <c r="CJ1254" s="210"/>
      <c r="CK1254" s="210"/>
    </row>
    <row r="1255">
      <c r="A1255" s="220"/>
      <c r="F1255" s="190"/>
      <c r="G1255" s="190"/>
      <c r="L1255" s="220"/>
      <c r="M1255" s="220"/>
      <c r="O1255" s="210"/>
      <c r="P1255" s="210"/>
      <c r="Q1255" s="210"/>
      <c r="R1255" s="210"/>
      <c r="S1255" s="210"/>
      <c r="T1255" s="210"/>
      <c r="U1255" s="210"/>
      <c r="V1255" s="210"/>
      <c r="W1255" s="210"/>
      <c r="X1255" s="210"/>
      <c r="Y1255" s="210"/>
      <c r="Z1255" s="210"/>
      <c r="AA1255" s="210"/>
      <c r="AB1255" s="210"/>
      <c r="AC1255" s="210"/>
      <c r="AD1255" s="210"/>
      <c r="AE1255" s="210"/>
      <c r="AF1255" s="210"/>
      <c r="AG1255" s="210"/>
      <c r="AH1255" s="210"/>
      <c r="AI1255" s="210"/>
      <c r="AJ1255" s="210"/>
      <c r="AK1255" s="210"/>
      <c r="AL1255" s="210"/>
      <c r="AM1255" s="214"/>
      <c r="AN1255" s="210"/>
      <c r="AO1255" s="210"/>
      <c r="AP1255" s="210"/>
      <c r="AQ1255" s="210"/>
      <c r="AR1255" s="210"/>
      <c r="AS1255" s="210"/>
      <c r="AT1255" s="210"/>
      <c r="AU1255" s="210"/>
      <c r="AV1255" s="210"/>
      <c r="AW1255" s="210"/>
      <c r="AX1255" s="210"/>
      <c r="AY1255" s="210"/>
      <c r="AZ1255" s="210"/>
      <c r="BA1255" s="210"/>
      <c r="BB1255" s="210"/>
      <c r="BC1255" s="210"/>
      <c r="BD1255" s="210"/>
      <c r="BE1255" s="210"/>
      <c r="BF1255" s="210"/>
      <c r="BG1255" s="210"/>
      <c r="BH1255" s="210"/>
      <c r="BI1255" s="210"/>
      <c r="BJ1255" s="210"/>
      <c r="BK1255" s="210"/>
      <c r="BL1255" s="210"/>
      <c r="BM1255" s="210"/>
      <c r="BN1255" s="210"/>
      <c r="BO1255" s="210"/>
      <c r="BP1255" s="210"/>
      <c r="BQ1255" s="210"/>
      <c r="BR1255" s="210"/>
      <c r="BS1255" s="210"/>
      <c r="BT1255" s="210"/>
      <c r="BU1255" s="210"/>
      <c r="BV1255" s="210"/>
      <c r="BW1255" s="210"/>
      <c r="BX1255" s="210"/>
      <c r="BY1255" s="210"/>
      <c r="BZ1255" s="210"/>
      <c r="CA1255" s="210"/>
      <c r="CB1255" s="210"/>
      <c r="CC1255" s="210"/>
      <c r="CD1255" s="210"/>
      <c r="CE1255" s="210"/>
      <c r="CF1255" s="210"/>
      <c r="CG1255" s="210"/>
      <c r="CH1255" s="210"/>
      <c r="CI1255" s="210"/>
      <c r="CJ1255" s="210"/>
      <c r="CK1255" s="210"/>
    </row>
    <row r="1256">
      <c r="A1256" s="220"/>
      <c r="F1256" s="190"/>
      <c r="G1256" s="190"/>
      <c r="L1256" s="220"/>
      <c r="M1256" s="220"/>
      <c r="O1256" s="210"/>
      <c r="P1256" s="210"/>
      <c r="Q1256" s="210"/>
      <c r="R1256" s="210"/>
      <c r="S1256" s="210"/>
      <c r="T1256" s="210"/>
      <c r="U1256" s="210"/>
      <c r="V1256" s="210"/>
      <c r="W1256" s="210"/>
      <c r="X1256" s="210"/>
      <c r="Y1256" s="210"/>
      <c r="Z1256" s="210"/>
      <c r="AA1256" s="210"/>
      <c r="AB1256" s="210"/>
      <c r="AC1256" s="210"/>
      <c r="AD1256" s="210"/>
      <c r="AE1256" s="210"/>
      <c r="AF1256" s="210"/>
      <c r="AG1256" s="210"/>
      <c r="AH1256" s="210"/>
      <c r="AI1256" s="210"/>
      <c r="AJ1256" s="210"/>
      <c r="AK1256" s="210"/>
      <c r="AL1256" s="210"/>
      <c r="AM1256" s="214"/>
      <c r="AN1256" s="210"/>
      <c r="AO1256" s="210"/>
      <c r="AP1256" s="210"/>
      <c r="AQ1256" s="210"/>
      <c r="AR1256" s="210"/>
      <c r="AS1256" s="210"/>
      <c r="AT1256" s="210"/>
      <c r="AU1256" s="210"/>
      <c r="AV1256" s="210"/>
      <c r="AW1256" s="210"/>
      <c r="AX1256" s="210"/>
      <c r="AY1256" s="210"/>
      <c r="AZ1256" s="210"/>
      <c r="BA1256" s="210"/>
      <c r="BB1256" s="210"/>
      <c r="BC1256" s="210"/>
      <c r="BD1256" s="210"/>
      <c r="BE1256" s="210"/>
      <c r="BF1256" s="210"/>
      <c r="BG1256" s="210"/>
      <c r="BH1256" s="210"/>
      <c r="BI1256" s="210"/>
      <c r="BJ1256" s="210"/>
      <c r="BK1256" s="210"/>
      <c r="BL1256" s="210"/>
      <c r="BM1256" s="210"/>
      <c r="BN1256" s="210"/>
      <c r="BO1256" s="210"/>
      <c r="BP1256" s="210"/>
      <c r="BQ1256" s="210"/>
      <c r="BR1256" s="210"/>
      <c r="BS1256" s="210"/>
      <c r="BT1256" s="210"/>
      <c r="BU1256" s="210"/>
      <c r="BV1256" s="210"/>
      <c r="BW1256" s="210"/>
      <c r="BX1256" s="210"/>
      <c r="BY1256" s="210"/>
      <c r="BZ1256" s="210"/>
      <c r="CA1256" s="210"/>
      <c r="CB1256" s="210"/>
      <c r="CC1256" s="210"/>
      <c r="CD1256" s="210"/>
      <c r="CE1256" s="210"/>
      <c r="CF1256" s="210"/>
      <c r="CG1256" s="210"/>
      <c r="CH1256" s="210"/>
      <c r="CI1256" s="210"/>
      <c r="CJ1256" s="210"/>
      <c r="CK1256" s="210"/>
    </row>
    <row r="1257">
      <c r="A1257" s="220"/>
      <c r="F1257" s="190"/>
      <c r="G1257" s="190"/>
      <c r="L1257" s="220"/>
      <c r="M1257" s="220"/>
      <c r="O1257" s="210"/>
      <c r="P1257" s="210"/>
      <c r="Q1257" s="210"/>
      <c r="R1257" s="210"/>
      <c r="S1257" s="210"/>
      <c r="T1257" s="210"/>
      <c r="U1257" s="210"/>
      <c r="V1257" s="210"/>
      <c r="W1257" s="210"/>
      <c r="X1257" s="210"/>
      <c r="Y1257" s="210"/>
      <c r="Z1257" s="210"/>
      <c r="AA1257" s="210"/>
      <c r="AB1257" s="210"/>
      <c r="AC1257" s="210"/>
      <c r="AD1257" s="210"/>
      <c r="AE1257" s="210"/>
      <c r="AF1257" s="210"/>
      <c r="AG1257" s="210"/>
      <c r="AH1257" s="210"/>
      <c r="AI1257" s="210"/>
      <c r="AJ1257" s="210"/>
      <c r="AK1257" s="210"/>
      <c r="AL1257" s="210"/>
      <c r="AM1257" s="214"/>
      <c r="AN1257" s="210"/>
      <c r="AO1257" s="210"/>
      <c r="AP1257" s="210"/>
      <c r="AQ1257" s="210"/>
      <c r="AR1257" s="210"/>
      <c r="AS1257" s="210"/>
      <c r="AT1257" s="210"/>
      <c r="AU1257" s="210"/>
      <c r="AV1257" s="210"/>
      <c r="AW1257" s="210"/>
      <c r="AX1257" s="210"/>
      <c r="AY1257" s="210"/>
      <c r="AZ1257" s="210"/>
      <c r="BA1257" s="210"/>
      <c r="BB1257" s="210"/>
      <c r="BC1257" s="210"/>
      <c r="BD1257" s="210"/>
      <c r="BE1257" s="210"/>
      <c r="BF1257" s="210"/>
      <c r="BG1257" s="210"/>
      <c r="BH1257" s="210"/>
      <c r="BI1257" s="210"/>
      <c r="BJ1257" s="210"/>
      <c r="BK1257" s="210"/>
      <c r="BL1257" s="210"/>
      <c r="BM1257" s="210"/>
      <c r="BN1257" s="210"/>
      <c r="BO1257" s="210"/>
      <c r="BP1257" s="210"/>
      <c r="BQ1257" s="210"/>
      <c r="BR1257" s="210"/>
      <c r="BS1257" s="210"/>
      <c r="BT1257" s="210"/>
      <c r="BU1257" s="210"/>
      <c r="BV1257" s="210"/>
      <c r="BW1257" s="210"/>
      <c r="BX1257" s="210"/>
      <c r="BY1257" s="210"/>
      <c r="BZ1257" s="210"/>
      <c r="CA1257" s="210"/>
      <c r="CB1257" s="210"/>
      <c r="CC1257" s="210"/>
      <c r="CD1257" s="210"/>
      <c r="CE1257" s="210"/>
      <c r="CF1257" s="210"/>
      <c r="CG1257" s="210"/>
      <c r="CH1257" s="210"/>
      <c r="CI1257" s="210"/>
      <c r="CJ1257" s="210"/>
      <c r="CK1257" s="210"/>
    </row>
    <row r="1258">
      <c r="A1258" s="220"/>
      <c r="F1258" s="190"/>
      <c r="G1258" s="190"/>
      <c r="L1258" s="220"/>
      <c r="M1258" s="220"/>
      <c r="O1258" s="210"/>
      <c r="P1258" s="210"/>
      <c r="Q1258" s="210"/>
      <c r="R1258" s="210"/>
      <c r="S1258" s="210"/>
      <c r="T1258" s="210"/>
      <c r="U1258" s="210"/>
      <c r="V1258" s="210"/>
      <c r="W1258" s="210"/>
      <c r="X1258" s="210"/>
      <c r="Y1258" s="210"/>
      <c r="Z1258" s="210"/>
      <c r="AA1258" s="210"/>
      <c r="AB1258" s="210"/>
      <c r="AC1258" s="210"/>
      <c r="AD1258" s="210"/>
      <c r="AE1258" s="210"/>
      <c r="AF1258" s="210"/>
      <c r="AG1258" s="210"/>
      <c r="AH1258" s="210"/>
      <c r="AI1258" s="210"/>
      <c r="AJ1258" s="210"/>
      <c r="AK1258" s="210"/>
      <c r="AL1258" s="210"/>
      <c r="AM1258" s="214"/>
      <c r="AN1258" s="210"/>
      <c r="AO1258" s="210"/>
      <c r="AP1258" s="210"/>
      <c r="AQ1258" s="210"/>
      <c r="AR1258" s="210"/>
      <c r="AS1258" s="210"/>
      <c r="AT1258" s="210"/>
      <c r="AU1258" s="210"/>
      <c r="AV1258" s="210"/>
      <c r="AW1258" s="210"/>
      <c r="AX1258" s="210"/>
      <c r="AY1258" s="210"/>
      <c r="AZ1258" s="210"/>
      <c r="BA1258" s="210"/>
      <c r="BB1258" s="210"/>
      <c r="BC1258" s="210"/>
      <c r="BD1258" s="210"/>
      <c r="BE1258" s="210"/>
      <c r="BF1258" s="210"/>
      <c r="BG1258" s="210"/>
      <c r="BH1258" s="210"/>
      <c r="BI1258" s="210"/>
      <c r="BJ1258" s="210"/>
      <c r="BK1258" s="210"/>
      <c r="BL1258" s="210"/>
      <c r="BM1258" s="210"/>
      <c r="BN1258" s="210"/>
      <c r="BO1258" s="210"/>
      <c r="BP1258" s="210"/>
      <c r="BQ1258" s="210"/>
      <c r="BR1258" s="210"/>
      <c r="BS1258" s="210"/>
      <c r="BT1258" s="210"/>
      <c r="BU1258" s="210"/>
      <c r="BV1258" s="210"/>
      <c r="BW1258" s="210"/>
      <c r="BX1258" s="210"/>
      <c r="BY1258" s="210"/>
      <c r="BZ1258" s="210"/>
      <c r="CA1258" s="210"/>
      <c r="CB1258" s="210"/>
      <c r="CC1258" s="210"/>
      <c r="CD1258" s="210"/>
      <c r="CE1258" s="210"/>
      <c r="CF1258" s="210"/>
      <c r="CG1258" s="210"/>
      <c r="CH1258" s="210"/>
      <c r="CI1258" s="210"/>
      <c r="CJ1258" s="210"/>
      <c r="CK1258" s="210"/>
    </row>
    <row r="1259">
      <c r="A1259" s="220"/>
      <c r="F1259" s="190"/>
      <c r="G1259" s="190"/>
      <c r="L1259" s="220"/>
      <c r="M1259" s="220"/>
      <c r="O1259" s="210"/>
      <c r="P1259" s="210"/>
      <c r="Q1259" s="210"/>
      <c r="R1259" s="210"/>
      <c r="S1259" s="210"/>
      <c r="T1259" s="210"/>
      <c r="U1259" s="210"/>
      <c r="V1259" s="210"/>
      <c r="W1259" s="210"/>
      <c r="X1259" s="210"/>
      <c r="Y1259" s="210"/>
      <c r="Z1259" s="210"/>
      <c r="AA1259" s="210"/>
      <c r="AB1259" s="210"/>
      <c r="AC1259" s="210"/>
      <c r="AD1259" s="210"/>
      <c r="AE1259" s="210"/>
      <c r="AF1259" s="210"/>
      <c r="AG1259" s="210"/>
      <c r="AH1259" s="210"/>
      <c r="AI1259" s="210"/>
      <c r="AJ1259" s="210"/>
      <c r="AK1259" s="210"/>
      <c r="AL1259" s="210"/>
      <c r="AM1259" s="214"/>
      <c r="AN1259" s="210"/>
      <c r="AO1259" s="210"/>
      <c r="AP1259" s="210"/>
      <c r="AQ1259" s="210"/>
      <c r="AR1259" s="210"/>
      <c r="AS1259" s="210"/>
      <c r="AT1259" s="210"/>
      <c r="AU1259" s="210"/>
      <c r="AV1259" s="210"/>
      <c r="AW1259" s="210"/>
      <c r="AX1259" s="210"/>
      <c r="AY1259" s="210"/>
      <c r="AZ1259" s="210"/>
      <c r="BA1259" s="210"/>
      <c r="BB1259" s="210"/>
      <c r="BC1259" s="210"/>
      <c r="BD1259" s="210"/>
      <c r="BE1259" s="210"/>
      <c r="BF1259" s="210"/>
      <c r="BG1259" s="210"/>
      <c r="BH1259" s="210"/>
      <c r="BI1259" s="210"/>
      <c r="BJ1259" s="210"/>
      <c r="BK1259" s="210"/>
      <c r="BL1259" s="210"/>
      <c r="BM1259" s="210"/>
      <c r="BN1259" s="210"/>
      <c r="BO1259" s="210"/>
      <c r="BP1259" s="210"/>
      <c r="BQ1259" s="210"/>
      <c r="BR1259" s="210"/>
      <c r="BS1259" s="210"/>
      <c r="BT1259" s="210"/>
      <c r="BU1259" s="210"/>
      <c r="BV1259" s="210"/>
      <c r="BW1259" s="210"/>
      <c r="BX1259" s="210"/>
      <c r="BY1259" s="210"/>
      <c r="BZ1259" s="210"/>
      <c r="CA1259" s="210"/>
      <c r="CB1259" s="210"/>
      <c r="CC1259" s="210"/>
      <c r="CD1259" s="210"/>
      <c r="CE1259" s="210"/>
      <c r="CF1259" s="210"/>
      <c r="CG1259" s="210"/>
      <c r="CH1259" s="210"/>
      <c r="CI1259" s="210"/>
      <c r="CJ1259" s="210"/>
      <c r="CK1259" s="210"/>
    </row>
    <row r="1260">
      <c r="A1260" s="220"/>
      <c r="F1260" s="190"/>
      <c r="G1260" s="190"/>
      <c r="L1260" s="220"/>
      <c r="M1260" s="220"/>
      <c r="O1260" s="210"/>
      <c r="P1260" s="210"/>
      <c r="Q1260" s="210"/>
      <c r="R1260" s="210"/>
      <c r="S1260" s="210"/>
      <c r="T1260" s="210"/>
      <c r="U1260" s="210"/>
      <c r="V1260" s="210"/>
      <c r="W1260" s="210"/>
      <c r="X1260" s="210"/>
      <c r="Y1260" s="210"/>
      <c r="Z1260" s="210"/>
      <c r="AA1260" s="210"/>
      <c r="AB1260" s="210"/>
      <c r="AC1260" s="210"/>
      <c r="AD1260" s="210"/>
      <c r="AE1260" s="210"/>
      <c r="AF1260" s="210"/>
      <c r="AG1260" s="210"/>
      <c r="AH1260" s="210"/>
      <c r="AI1260" s="210"/>
      <c r="AJ1260" s="210"/>
      <c r="AK1260" s="210"/>
      <c r="AL1260" s="210"/>
      <c r="AM1260" s="214"/>
      <c r="AN1260" s="210"/>
      <c r="AO1260" s="210"/>
      <c r="AP1260" s="210"/>
      <c r="AQ1260" s="210"/>
      <c r="AR1260" s="210"/>
      <c r="AS1260" s="210"/>
      <c r="AT1260" s="210"/>
      <c r="AU1260" s="210"/>
      <c r="AV1260" s="210"/>
      <c r="AW1260" s="210"/>
      <c r="AX1260" s="210"/>
      <c r="AY1260" s="210"/>
      <c r="AZ1260" s="210"/>
      <c r="BA1260" s="210"/>
      <c r="BB1260" s="210"/>
      <c r="BC1260" s="210"/>
      <c r="BD1260" s="210"/>
      <c r="BE1260" s="210"/>
      <c r="BF1260" s="210"/>
      <c r="BG1260" s="210"/>
      <c r="BH1260" s="210"/>
      <c r="BI1260" s="210"/>
      <c r="BJ1260" s="210"/>
      <c r="BK1260" s="210"/>
      <c r="BL1260" s="210"/>
      <c r="BM1260" s="210"/>
      <c r="BN1260" s="210"/>
      <c r="BO1260" s="210"/>
      <c r="BP1260" s="210"/>
      <c r="BQ1260" s="210"/>
      <c r="BR1260" s="210"/>
      <c r="BS1260" s="210"/>
      <c r="BT1260" s="210"/>
      <c r="BU1260" s="210"/>
      <c r="BV1260" s="210"/>
      <c r="BW1260" s="210"/>
      <c r="BX1260" s="210"/>
      <c r="BY1260" s="210"/>
      <c r="BZ1260" s="210"/>
      <c r="CA1260" s="210"/>
      <c r="CB1260" s="210"/>
      <c r="CC1260" s="210"/>
      <c r="CD1260" s="210"/>
      <c r="CE1260" s="210"/>
      <c r="CF1260" s="210"/>
      <c r="CG1260" s="210"/>
      <c r="CH1260" s="210"/>
      <c r="CI1260" s="210"/>
      <c r="CJ1260" s="210"/>
      <c r="CK1260" s="210"/>
    </row>
    <row r="1261">
      <c r="A1261" s="220"/>
      <c r="F1261" s="190"/>
      <c r="G1261" s="190"/>
      <c r="L1261" s="220"/>
      <c r="M1261" s="220"/>
      <c r="O1261" s="210"/>
      <c r="P1261" s="210"/>
      <c r="Q1261" s="210"/>
      <c r="R1261" s="210"/>
      <c r="S1261" s="210"/>
      <c r="T1261" s="210"/>
      <c r="U1261" s="210"/>
      <c r="V1261" s="210"/>
      <c r="W1261" s="210"/>
      <c r="X1261" s="210"/>
      <c r="Y1261" s="210"/>
      <c r="Z1261" s="210"/>
      <c r="AA1261" s="210"/>
      <c r="AB1261" s="210"/>
      <c r="AC1261" s="210"/>
      <c r="AD1261" s="210"/>
      <c r="AE1261" s="210"/>
      <c r="AF1261" s="210"/>
      <c r="AG1261" s="210"/>
      <c r="AH1261" s="210"/>
      <c r="AI1261" s="210"/>
      <c r="AJ1261" s="210"/>
      <c r="AK1261" s="210"/>
      <c r="AL1261" s="210"/>
      <c r="AM1261" s="214"/>
      <c r="AN1261" s="210"/>
      <c r="AO1261" s="210"/>
      <c r="AP1261" s="210"/>
      <c r="AQ1261" s="210"/>
      <c r="AR1261" s="210"/>
      <c r="AS1261" s="210"/>
      <c r="AT1261" s="210"/>
      <c r="AU1261" s="210"/>
      <c r="AV1261" s="210"/>
      <c r="AW1261" s="210"/>
      <c r="AX1261" s="210"/>
      <c r="AY1261" s="210"/>
      <c r="AZ1261" s="210"/>
      <c r="BA1261" s="210"/>
      <c r="BB1261" s="210"/>
      <c r="BC1261" s="210"/>
      <c r="BD1261" s="210"/>
      <c r="BE1261" s="210"/>
      <c r="BF1261" s="210"/>
      <c r="BG1261" s="210"/>
      <c r="BH1261" s="210"/>
      <c r="BI1261" s="210"/>
      <c r="BJ1261" s="210"/>
      <c r="BK1261" s="210"/>
      <c r="BL1261" s="210"/>
      <c r="BM1261" s="210"/>
      <c r="BN1261" s="210"/>
      <c r="BO1261" s="210"/>
      <c r="BP1261" s="210"/>
      <c r="BQ1261" s="210"/>
      <c r="BR1261" s="210"/>
      <c r="BS1261" s="210"/>
      <c r="BT1261" s="210"/>
      <c r="BU1261" s="210"/>
      <c r="BV1261" s="210"/>
      <c r="BW1261" s="210"/>
      <c r="BX1261" s="210"/>
      <c r="BY1261" s="210"/>
      <c r="BZ1261" s="210"/>
      <c r="CA1261" s="210"/>
      <c r="CB1261" s="210"/>
      <c r="CC1261" s="210"/>
      <c r="CD1261" s="210"/>
      <c r="CE1261" s="210"/>
      <c r="CF1261" s="210"/>
      <c r="CG1261" s="210"/>
      <c r="CH1261" s="210"/>
      <c r="CI1261" s="210"/>
      <c r="CJ1261" s="210"/>
      <c r="CK1261" s="210"/>
    </row>
    <row r="1262">
      <c r="A1262" s="220"/>
      <c r="F1262" s="190"/>
      <c r="G1262" s="190"/>
      <c r="L1262" s="220"/>
      <c r="M1262" s="220"/>
      <c r="O1262" s="210"/>
      <c r="P1262" s="210"/>
      <c r="Q1262" s="210"/>
      <c r="R1262" s="210"/>
      <c r="S1262" s="210"/>
      <c r="T1262" s="210"/>
      <c r="U1262" s="210"/>
      <c r="V1262" s="210"/>
      <c r="W1262" s="210"/>
      <c r="X1262" s="210"/>
      <c r="Y1262" s="210"/>
      <c r="Z1262" s="210"/>
      <c r="AA1262" s="210"/>
      <c r="AB1262" s="210"/>
      <c r="AC1262" s="210"/>
      <c r="AD1262" s="210"/>
      <c r="AE1262" s="210"/>
      <c r="AF1262" s="210"/>
      <c r="AG1262" s="210"/>
      <c r="AH1262" s="210"/>
      <c r="AI1262" s="210"/>
      <c r="AJ1262" s="210"/>
      <c r="AK1262" s="210"/>
      <c r="AL1262" s="210"/>
      <c r="AM1262" s="214"/>
      <c r="AN1262" s="210"/>
      <c r="AO1262" s="210"/>
      <c r="AP1262" s="210"/>
      <c r="AQ1262" s="210"/>
      <c r="AR1262" s="210"/>
      <c r="AS1262" s="210"/>
      <c r="AT1262" s="210"/>
      <c r="AU1262" s="210"/>
      <c r="AV1262" s="210"/>
      <c r="AW1262" s="210"/>
      <c r="AX1262" s="210"/>
      <c r="AY1262" s="210"/>
      <c r="AZ1262" s="210"/>
      <c r="BA1262" s="210"/>
      <c r="BB1262" s="210"/>
      <c r="BC1262" s="210"/>
      <c r="BD1262" s="210"/>
      <c r="BE1262" s="210"/>
      <c r="BF1262" s="210"/>
      <c r="BG1262" s="210"/>
      <c r="BH1262" s="210"/>
      <c r="BI1262" s="210"/>
      <c r="BJ1262" s="210"/>
      <c r="BK1262" s="210"/>
      <c r="BL1262" s="210"/>
      <c r="BM1262" s="210"/>
      <c r="BN1262" s="210"/>
      <c r="BO1262" s="210"/>
      <c r="BP1262" s="210"/>
      <c r="BQ1262" s="210"/>
      <c r="BR1262" s="210"/>
      <c r="BS1262" s="210"/>
      <c r="BT1262" s="210"/>
      <c r="BU1262" s="210"/>
      <c r="BV1262" s="210"/>
      <c r="BW1262" s="210"/>
      <c r="BX1262" s="210"/>
      <c r="BY1262" s="210"/>
      <c r="BZ1262" s="210"/>
      <c r="CA1262" s="210"/>
      <c r="CB1262" s="210"/>
      <c r="CC1262" s="210"/>
      <c r="CD1262" s="210"/>
      <c r="CE1262" s="210"/>
      <c r="CF1262" s="210"/>
      <c r="CG1262" s="210"/>
      <c r="CH1262" s="210"/>
      <c r="CI1262" s="210"/>
      <c r="CJ1262" s="210"/>
      <c r="CK1262" s="210"/>
    </row>
    <row r="1263">
      <c r="A1263" s="220"/>
      <c r="F1263" s="190"/>
      <c r="G1263" s="190"/>
      <c r="L1263" s="220"/>
      <c r="M1263" s="220"/>
      <c r="O1263" s="210"/>
      <c r="P1263" s="210"/>
      <c r="Q1263" s="210"/>
      <c r="R1263" s="210"/>
      <c r="S1263" s="210"/>
      <c r="T1263" s="210"/>
      <c r="U1263" s="210"/>
      <c r="V1263" s="210"/>
      <c r="W1263" s="210"/>
      <c r="X1263" s="210"/>
      <c r="Y1263" s="210"/>
      <c r="Z1263" s="210"/>
      <c r="AA1263" s="210"/>
      <c r="AB1263" s="210"/>
      <c r="AC1263" s="210"/>
      <c r="AD1263" s="210"/>
      <c r="AE1263" s="210"/>
      <c r="AF1263" s="210"/>
      <c r="AG1263" s="210"/>
      <c r="AH1263" s="210"/>
      <c r="AI1263" s="210"/>
      <c r="AJ1263" s="210"/>
      <c r="AK1263" s="210"/>
      <c r="AL1263" s="210"/>
      <c r="AM1263" s="214"/>
      <c r="AN1263" s="210"/>
      <c r="AO1263" s="210"/>
      <c r="AP1263" s="210"/>
      <c r="AQ1263" s="210"/>
      <c r="AR1263" s="210"/>
      <c r="AS1263" s="210"/>
      <c r="AT1263" s="210"/>
      <c r="AU1263" s="210"/>
      <c r="AV1263" s="210"/>
      <c r="AW1263" s="210"/>
      <c r="AX1263" s="210"/>
      <c r="AY1263" s="210"/>
      <c r="AZ1263" s="210"/>
      <c r="BA1263" s="210"/>
      <c r="BB1263" s="210"/>
      <c r="BC1263" s="210"/>
      <c r="BD1263" s="210"/>
      <c r="BE1263" s="210"/>
      <c r="BF1263" s="210"/>
      <c r="BG1263" s="210"/>
      <c r="BH1263" s="210"/>
      <c r="BI1263" s="210"/>
      <c r="BJ1263" s="210"/>
      <c r="BK1263" s="210"/>
      <c r="BL1263" s="210"/>
      <c r="BM1263" s="210"/>
      <c r="BN1263" s="210"/>
      <c r="BO1263" s="210"/>
      <c r="BP1263" s="210"/>
      <c r="BQ1263" s="210"/>
      <c r="BR1263" s="210"/>
      <c r="BS1263" s="210"/>
      <c r="BT1263" s="210"/>
      <c r="BU1263" s="210"/>
      <c r="BV1263" s="210"/>
      <c r="BW1263" s="210"/>
      <c r="BX1263" s="210"/>
      <c r="BY1263" s="210"/>
      <c r="BZ1263" s="210"/>
      <c r="CA1263" s="210"/>
      <c r="CB1263" s="210"/>
      <c r="CC1263" s="210"/>
      <c r="CD1263" s="210"/>
      <c r="CE1263" s="210"/>
      <c r="CF1263" s="210"/>
      <c r="CG1263" s="210"/>
      <c r="CH1263" s="210"/>
      <c r="CI1263" s="210"/>
      <c r="CJ1263" s="210"/>
      <c r="CK1263" s="210"/>
    </row>
    <row r="1264">
      <c r="A1264" s="220"/>
      <c r="F1264" s="190"/>
      <c r="G1264" s="190"/>
      <c r="L1264" s="220"/>
      <c r="M1264" s="220"/>
      <c r="O1264" s="210"/>
      <c r="P1264" s="210"/>
      <c r="Q1264" s="210"/>
      <c r="R1264" s="210"/>
      <c r="S1264" s="210"/>
      <c r="T1264" s="210"/>
      <c r="U1264" s="210"/>
      <c r="V1264" s="210"/>
      <c r="W1264" s="210"/>
      <c r="X1264" s="210"/>
      <c r="Y1264" s="210"/>
      <c r="Z1264" s="210"/>
      <c r="AA1264" s="210"/>
      <c r="AB1264" s="210"/>
      <c r="AC1264" s="210"/>
      <c r="AD1264" s="210"/>
      <c r="AE1264" s="210"/>
      <c r="AF1264" s="210"/>
      <c r="AG1264" s="210"/>
      <c r="AH1264" s="210"/>
      <c r="AI1264" s="210"/>
      <c r="AJ1264" s="210"/>
      <c r="AK1264" s="210"/>
      <c r="AL1264" s="210"/>
      <c r="AM1264" s="214"/>
      <c r="AN1264" s="210"/>
      <c r="AO1264" s="210"/>
      <c r="AP1264" s="210"/>
      <c r="AQ1264" s="210"/>
      <c r="AR1264" s="210"/>
      <c r="AS1264" s="210"/>
      <c r="AT1264" s="210"/>
      <c r="AU1264" s="210"/>
      <c r="AV1264" s="210"/>
      <c r="AW1264" s="210"/>
      <c r="AX1264" s="210"/>
      <c r="AY1264" s="210"/>
      <c r="AZ1264" s="210"/>
      <c r="BA1264" s="210"/>
      <c r="BB1264" s="210"/>
      <c r="BC1264" s="210"/>
      <c r="BD1264" s="210"/>
      <c r="BE1264" s="210"/>
      <c r="BF1264" s="210"/>
      <c r="BG1264" s="210"/>
      <c r="BH1264" s="210"/>
      <c r="BI1264" s="210"/>
      <c r="BJ1264" s="210"/>
      <c r="BK1264" s="210"/>
      <c r="BL1264" s="210"/>
      <c r="BM1264" s="210"/>
      <c r="BN1264" s="210"/>
      <c r="BO1264" s="210"/>
      <c r="BP1264" s="210"/>
      <c r="BQ1264" s="210"/>
      <c r="BR1264" s="210"/>
      <c r="BS1264" s="210"/>
      <c r="BT1264" s="210"/>
      <c r="BU1264" s="210"/>
      <c r="BV1264" s="210"/>
      <c r="BW1264" s="210"/>
      <c r="BX1264" s="210"/>
      <c r="BY1264" s="210"/>
      <c r="BZ1264" s="210"/>
      <c r="CA1264" s="210"/>
      <c r="CB1264" s="210"/>
      <c r="CC1264" s="210"/>
      <c r="CD1264" s="210"/>
      <c r="CE1264" s="210"/>
      <c r="CF1264" s="210"/>
      <c r="CG1264" s="210"/>
      <c r="CH1264" s="210"/>
      <c r="CI1264" s="210"/>
      <c r="CJ1264" s="210"/>
      <c r="CK1264" s="210"/>
    </row>
    <row r="1265">
      <c r="A1265" s="220"/>
      <c r="F1265" s="190"/>
      <c r="G1265" s="190"/>
      <c r="L1265" s="220"/>
      <c r="M1265" s="220"/>
      <c r="O1265" s="210"/>
      <c r="P1265" s="210"/>
      <c r="Q1265" s="210"/>
      <c r="R1265" s="210"/>
      <c r="S1265" s="210"/>
      <c r="T1265" s="210"/>
      <c r="U1265" s="210"/>
      <c r="V1265" s="210"/>
      <c r="W1265" s="210"/>
      <c r="X1265" s="210"/>
      <c r="Y1265" s="210"/>
      <c r="Z1265" s="210"/>
      <c r="AA1265" s="210"/>
      <c r="AB1265" s="210"/>
      <c r="AC1265" s="210"/>
      <c r="AD1265" s="210"/>
      <c r="AE1265" s="210"/>
      <c r="AF1265" s="210"/>
      <c r="AG1265" s="210"/>
      <c r="AH1265" s="210"/>
      <c r="AI1265" s="210"/>
      <c r="AJ1265" s="210"/>
      <c r="AK1265" s="210"/>
      <c r="AL1265" s="210"/>
      <c r="AM1265" s="214"/>
      <c r="AN1265" s="210"/>
      <c r="AO1265" s="210"/>
      <c r="AP1265" s="210"/>
      <c r="AQ1265" s="210"/>
      <c r="AR1265" s="210"/>
      <c r="AS1265" s="210"/>
      <c r="AT1265" s="210"/>
      <c r="AU1265" s="210"/>
      <c r="AV1265" s="210"/>
      <c r="AW1265" s="210"/>
      <c r="AX1265" s="210"/>
      <c r="AY1265" s="210"/>
      <c r="AZ1265" s="210"/>
      <c r="BA1265" s="210"/>
      <c r="BB1265" s="210"/>
      <c r="BC1265" s="210"/>
      <c r="BD1265" s="210"/>
      <c r="BE1265" s="210"/>
      <c r="BF1265" s="210"/>
      <c r="BG1265" s="210"/>
      <c r="BH1265" s="210"/>
      <c r="BI1265" s="210"/>
      <c r="BJ1265" s="210"/>
      <c r="BK1265" s="210"/>
      <c r="BL1265" s="210"/>
      <c r="BM1265" s="210"/>
      <c r="BN1265" s="210"/>
      <c r="BO1265" s="210"/>
      <c r="BP1265" s="210"/>
      <c r="BQ1265" s="210"/>
      <c r="BR1265" s="210"/>
      <c r="BS1265" s="210"/>
      <c r="BT1265" s="210"/>
      <c r="BU1265" s="210"/>
      <c r="BV1265" s="210"/>
      <c r="BW1265" s="210"/>
      <c r="BX1265" s="210"/>
      <c r="BY1265" s="210"/>
      <c r="BZ1265" s="210"/>
      <c r="CA1265" s="210"/>
      <c r="CB1265" s="210"/>
      <c r="CC1265" s="210"/>
      <c r="CD1265" s="210"/>
      <c r="CE1265" s="210"/>
      <c r="CF1265" s="210"/>
      <c r="CG1265" s="210"/>
      <c r="CH1265" s="210"/>
      <c r="CI1265" s="210"/>
      <c r="CJ1265" s="210"/>
      <c r="CK1265" s="210"/>
    </row>
    <row r="1266">
      <c r="A1266" s="220"/>
      <c r="F1266" s="190"/>
      <c r="G1266" s="190"/>
      <c r="L1266" s="220"/>
      <c r="M1266" s="220"/>
      <c r="O1266" s="210"/>
      <c r="P1266" s="210"/>
      <c r="Q1266" s="210"/>
      <c r="R1266" s="210"/>
      <c r="S1266" s="210"/>
      <c r="T1266" s="210"/>
      <c r="U1266" s="210"/>
      <c r="V1266" s="210"/>
      <c r="W1266" s="210"/>
      <c r="X1266" s="210"/>
      <c r="Y1266" s="210"/>
      <c r="Z1266" s="210"/>
      <c r="AA1266" s="210"/>
      <c r="AB1266" s="210"/>
      <c r="AC1266" s="210"/>
      <c r="AD1266" s="210"/>
      <c r="AE1266" s="210"/>
      <c r="AF1266" s="210"/>
      <c r="AG1266" s="210"/>
      <c r="AH1266" s="210"/>
      <c r="AI1266" s="210"/>
      <c r="AJ1266" s="210"/>
      <c r="AK1266" s="210"/>
      <c r="AL1266" s="210"/>
      <c r="AM1266" s="214"/>
      <c r="AN1266" s="210"/>
      <c r="AO1266" s="210"/>
      <c r="AP1266" s="210"/>
      <c r="AQ1266" s="210"/>
      <c r="AR1266" s="210"/>
      <c r="AS1266" s="210"/>
      <c r="AT1266" s="210"/>
      <c r="AU1266" s="210"/>
      <c r="AV1266" s="210"/>
      <c r="AW1266" s="210"/>
      <c r="AX1266" s="210"/>
      <c r="AY1266" s="210"/>
      <c r="AZ1266" s="210"/>
      <c r="BA1266" s="210"/>
      <c r="BB1266" s="210"/>
      <c r="BC1266" s="210"/>
      <c r="BD1266" s="210"/>
      <c r="BE1266" s="210"/>
      <c r="BF1266" s="210"/>
      <c r="BG1266" s="210"/>
      <c r="BH1266" s="210"/>
      <c r="BI1266" s="210"/>
      <c r="BJ1266" s="210"/>
      <c r="BK1266" s="210"/>
      <c r="BL1266" s="210"/>
      <c r="BM1266" s="210"/>
      <c r="BN1266" s="210"/>
      <c r="BO1266" s="210"/>
      <c r="BP1266" s="210"/>
      <c r="BQ1266" s="210"/>
      <c r="BR1266" s="210"/>
      <c r="BS1266" s="210"/>
      <c r="BT1266" s="210"/>
      <c r="BU1266" s="210"/>
      <c r="BV1266" s="210"/>
      <c r="BW1266" s="210"/>
      <c r="BX1266" s="210"/>
      <c r="BY1266" s="210"/>
      <c r="BZ1266" s="210"/>
      <c r="CA1266" s="210"/>
      <c r="CB1266" s="210"/>
      <c r="CC1266" s="210"/>
      <c r="CD1266" s="210"/>
      <c r="CE1266" s="210"/>
      <c r="CF1266" s="210"/>
      <c r="CG1266" s="210"/>
      <c r="CH1266" s="210"/>
      <c r="CI1266" s="210"/>
      <c r="CJ1266" s="210"/>
      <c r="CK1266" s="210"/>
    </row>
    <row r="1267">
      <c r="A1267" s="220"/>
      <c r="F1267" s="190"/>
      <c r="G1267" s="190"/>
      <c r="L1267" s="220"/>
      <c r="M1267" s="220"/>
      <c r="O1267" s="210"/>
      <c r="P1267" s="210"/>
      <c r="Q1267" s="210"/>
      <c r="R1267" s="210"/>
      <c r="S1267" s="210"/>
      <c r="T1267" s="210"/>
      <c r="U1267" s="210"/>
      <c r="V1267" s="210"/>
      <c r="W1267" s="210"/>
      <c r="X1267" s="210"/>
      <c r="Y1267" s="210"/>
      <c r="Z1267" s="210"/>
      <c r="AA1267" s="210"/>
      <c r="AB1267" s="210"/>
      <c r="AC1267" s="210"/>
      <c r="AD1267" s="210"/>
      <c r="AE1267" s="210"/>
      <c r="AF1267" s="210"/>
      <c r="AG1267" s="210"/>
      <c r="AH1267" s="210"/>
      <c r="AI1267" s="210"/>
      <c r="AJ1267" s="210"/>
      <c r="AK1267" s="210"/>
      <c r="AL1267" s="210"/>
      <c r="AM1267" s="214"/>
      <c r="AN1267" s="210"/>
      <c r="AO1267" s="210"/>
      <c r="AP1267" s="210"/>
      <c r="AQ1267" s="210"/>
      <c r="AR1267" s="210"/>
      <c r="AS1267" s="210"/>
      <c r="AT1267" s="210"/>
      <c r="AU1267" s="210"/>
      <c r="AV1267" s="210"/>
      <c r="AW1267" s="210"/>
      <c r="AX1267" s="210"/>
      <c r="AY1267" s="210"/>
      <c r="AZ1267" s="210"/>
      <c r="BA1267" s="210"/>
      <c r="BB1267" s="210"/>
      <c r="BC1267" s="210"/>
      <c r="BD1267" s="210"/>
      <c r="BE1267" s="210"/>
      <c r="BF1267" s="210"/>
      <c r="BG1267" s="210"/>
      <c r="BH1267" s="210"/>
      <c r="BI1267" s="210"/>
      <c r="BJ1267" s="210"/>
      <c r="BK1267" s="210"/>
      <c r="BL1267" s="210"/>
      <c r="BM1267" s="210"/>
      <c r="BN1267" s="210"/>
      <c r="BO1267" s="210"/>
      <c r="BP1267" s="210"/>
      <c r="BQ1267" s="210"/>
      <c r="BR1267" s="210"/>
      <c r="BS1267" s="210"/>
      <c r="BT1267" s="210"/>
      <c r="BU1267" s="210"/>
      <c r="BV1267" s="210"/>
      <c r="BW1267" s="210"/>
      <c r="BX1267" s="210"/>
      <c r="BY1267" s="210"/>
      <c r="BZ1267" s="210"/>
      <c r="CA1267" s="210"/>
      <c r="CB1267" s="210"/>
      <c r="CC1267" s="210"/>
      <c r="CD1267" s="210"/>
      <c r="CE1267" s="210"/>
      <c r="CF1267" s="210"/>
      <c r="CG1267" s="210"/>
      <c r="CH1267" s="210"/>
      <c r="CI1267" s="210"/>
      <c r="CJ1267" s="210"/>
      <c r="CK1267" s="210"/>
    </row>
    <row r="1268">
      <c r="A1268" s="220"/>
      <c r="F1268" s="190"/>
      <c r="G1268" s="190"/>
      <c r="L1268" s="220"/>
      <c r="M1268" s="220"/>
      <c r="O1268" s="210"/>
      <c r="P1268" s="210"/>
      <c r="Q1268" s="210"/>
      <c r="R1268" s="210"/>
      <c r="S1268" s="210"/>
      <c r="T1268" s="210"/>
      <c r="U1268" s="210"/>
      <c r="V1268" s="210"/>
      <c r="W1268" s="210"/>
      <c r="X1268" s="210"/>
      <c r="Y1268" s="210"/>
      <c r="Z1268" s="210"/>
      <c r="AA1268" s="210"/>
      <c r="AB1268" s="210"/>
      <c r="AC1268" s="210"/>
      <c r="AD1268" s="210"/>
      <c r="AE1268" s="210"/>
      <c r="AF1268" s="210"/>
      <c r="AG1268" s="210"/>
      <c r="AH1268" s="210"/>
      <c r="AI1268" s="210"/>
      <c r="AJ1268" s="210"/>
      <c r="AK1268" s="210"/>
      <c r="AL1268" s="210"/>
      <c r="AM1268" s="214"/>
      <c r="AN1268" s="210"/>
      <c r="AO1268" s="210"/>
      <c r="AP1268" s="210"/>
      <c r="AQ1268" s="210"/>
      <c r="AR1268" s="210"/>
      <c r="AS1268" s="210"/>
      <c r="AT1268" s="210"/>
      <c r="AU1268" s="210"/>
      <c r="AV1268" s="210"/>
      <c r="AW1268" s="210"/>
      <c r="AX1268" s="210"/>
      <c r="AY1268" s="210"/>
      <c r="AZ1268" s="210"/>
      <c r="BA1268" s="210"/>
      <c r="BB1268" s="210"/>
      <c r="BC1268" s="210"/>
      <c r="BD1268" s="210"/>
      <c r="BE1268" s="210"/>
      <c r="BF1268" s="210"/>
      <c r="BG1268" s="210"/>
      <c r="BH1268" s="210"/>
      <c r="BI1268" s="210"/>
      <c r="BJ1268" s="210"/>
      <c r="BK1268" s="210"/>
      <c r="BL1268" s="210"/>
      <c r="BM1268" s="210"/>
      <c r="BN1268" s="210"/>
      <c r="BO1268" s="210"/>
      <c r="BP1268" s="210"/>
      <c r="BQ1268" s="210"/>
      <c r="BR1268" s="210"/>
      <c r="BS1268" s="210"/>
      <c r="BT1268" s="210"/>
      <c r="BU1268" s="210"/>
      <c r="BV1268" s="210"/>
      <c r="BW1268" s="210"/>
      <c r="BX1268" s="210"/>
      <c r="BY1268" s="210"/>
      <c r="BZ1268" s="210"/>
      <c r="CA1268" s="210"/>
      <c r="CB1268" s="210"/>
      <c r="CC1268" s="210"/>
      <c r="CD1268" s="210"/>
      <c r="CE1268" s="210"/>
      <c r="CF1268" s="210"/>
      <c r="CG1268" s="210"/>
      <c r="CH1268" s="210"/>
      <c r="CI1268" s="210"/>
      <c r="CJ1268" s="210"/>
      <c r="CK1268" s="210"/>
    </row>
    <row r="1269">
      <c r="A1269" s="220"/>
      <c r="F1269" s="190"/>
      <c r="G1269" s="190"/>
      <c r="L1269" s="220"/>
      <c r="M1269" s="220"/>
      <c r="O1269" s="210"/>
      <c r="P1269" s="210"/>
      <c r="Q1269" s="210"/>
      <c r="R1269" s="210"/>
      <c r="S1269" s="210"/>
      <c r="T1269" s="210"/>
      <c r="U1269" s="210"/>
      <c r="V1269" s="210"/>
      <c r="W1269" s="210"/>
      <c r="X1269" s="210"/>
      <c r="Y1269" s="210"/>
      <c r="Z1269" s="210"/>
      <c r="AA1269" s="210"/>
      <c r="AB1269" s="210"/>
      <c r="AC1269" s="210"/>
      <c r="AD1269" s="210"/>
      <c r="AE1269" s="210"/>
      <c r="AF1269" s="210"/>
      <c r="AG1269" s="210"/>
      <c r="AH1269" s="210"/>
      <c r="AI1269" s="210"/>
      <c r="AJ1269" s="210"/>
      <c r="AK1269" s="210"/>
      <c r="AL1269" s="210"/>
      <c r="AM1269" s="214"/>
      <c r="AN1269" s="210"/>
      <c r="AO1269" s="210"/>
      <c r="AP1269" s="210"/>
      <c r="AQ1269" s="210"/>
      <c r="AR1269" s="210"/>
      <c r="AS1269" s="210"/>
      <c r="AT1269" s="210"/>
      <c r="AU1269" s="210"/>
      <c r="AV1269" s="210"/>
      <c r="AW1269" s="210"/>
      <c r="AX1269" s="210"/>
      <c r="AY1269" s="210"/>
      <c r="AZ1269" s="210"/>
      <c r="BA1269" s="210"/>
      <c r="BB1269" s="210"/>
      <c r="BC1269" s="210"/>
      <c r="BD1269" s="210"/>
      <c r="BE1269" s="210"/>
      <c r="BF1269" s="210"/>
      <c r="BG1269" s="210"/>
      <c r="BH1269" s="210"/>
      <c r="BI1269" s="210"/>
      <c r="BJ1269" s="210"/>
      <c r="BK1269" s="210"/>
      <c r="BL1269" s="210"/>
      <c r="BM1269" s="210"/>
      <c r="BN1269" s="210"/>
      <c r="BO1269" s="210"/>
      <c r="BP1269" s="210"/>
      <c r="BQ1269" s="210"/>
      <c r="BR1269" s="210"/>
      <c r="BS1269" s="210"/>
      <c r="BT1269" s="210"/>
      <c r="BU1269" s="210"/>
      <c r="BV1269" s="210"/>
      <c r="BW1269" s="210"/>
      <c r="BX1269" s="210"/>
      <c r="BY1269" s="210"/>
      <c r="BZ1269" s="210"/>
      <c r="CA1269" s="210"/>
      <c r="CB1269" s="210"/>
      <c r="CC1269" s="210"/>
      <c r="CD1269" s="210"/>
      <c r="CE1269" s="210"/>
      <c r="CF1269" s="210"/>
      <c r="CG1269" s="210"/>
      <c r="CH1269" s="210"/>
      <c r="CI1269" s="210"/>
      <c r="CJ1269" s="210"/>
      <c r="CK1269" s="210"/>
    </row>
    <row r="1270">
      <c r="A1270" s="220"/>
      <c r="F1270" s="190"/>
      <c r="G1270" s="190"/>
      <c r="L1270" s="220"/>
      <c r="M1270" s="220"/>
      <c r="O1270" s="210"/>
      <c r="P1270" s="210"/>
      <c r="Q1270" s="210"/>
      <c r="R1270" s="210"/>
      <c r="S1270" s="210"/>
      <c r="T1270" s="210"/>
      <c r="U1270" s="210"/>
      <c r="V1270" s="210"/>
      <c r="W1270" s="210"/>
      <c r="X1270" s="210"/>
      <c r="Y1270" s="210"/>
      <c r="Z1270" s="210"/>
      <c r="AA1270" s="210"/>
      <c r="AB1270" s="210"/>
      <c r="AC1270" s="210"/>
      <c r="AD1270" s="210"/>
      <c r="AE1270" s="210"/>
      <c r="AF1270" s="210"/>
      <c r="AG1270" s="210"/>
      <c r="AH1270" s="210"/>
      <c r="AI1270" s="210"/>
      <c r="AJ1270" s="210"/>
      <c r="AK1270" s="210"/>
      <c r="AL1270" s="210"/>
      <c r="AM1270" s="214"/>
      <c r="AN1270" s="210"/>
      <c r="AO1270" s="210"/>
      <c r="AP1270" s="210"/>
      <c r="AQ1270" s="210"/>
      <c r="AR1270" s="210"/>
      <c r="AS1270" s="210"/>
      <c r="AT1270" s="210"/>
      <c r="AU1270" s="210"/>
      <c r="AV1270" s="210"/>
      <c r="AW1270" s="210"/>
      <c r="AX1270" s="210"/>
      <c r="AY1270" s="210"/>
      <c r="AZ1270" s="210"/>
      <c r="BA1270" s="210"/>
      <c r="BB1270" s="210"/>
      <c r="BC1270" s="210"/>
      <c r="BD1270" s="210"/>
      <c r="BE1270" s="210"/>
      <c r="BF1270" s="210"/>
      <c r="BG1270" s="210"/>
      <c r="BH1270" s="210"/>
      <c r="BI1270" s="210"/>
      <c r="BJ1270" s="210"/>
      <c r="BK1270" s="210"/>
      <c r="BL1270" s="210"/>
      <c r="BM1270" s="210"/>
      <c r="BN1270" s="210"/>
      <c r="BO1270" s="210"/>
      <c r="BP1270" s="210"/>
      <c r="BQ1270" s="210"/>
      <c r="BR1270" s="210"/>
      <c r="BS1270" s="210"/>
      <c r="BT1270" s="210"/>
      <c r="BU1270" s="210"/>
      <c r="BV1270" s="210"/>
      <c r="BW1270" s="210"/>
      <c r="BX1270" s="210"/>
      <c r="BY1270" s="210"/>
      <c r="BZ1270" s="210"/>
      <c r="CA1270" s="210"/>
      <c r="CB1270" s="210"/>
      <c r="CC1270" s="210"/>
      <c r="CD1270" s="210"/>
      <c r="CE1270" s="210"/>
      <c r="CF1270" s="210"/>
      <c r="CG1270" s="210"/>
      <c r="CH1270" s="210"/>
      <c r="CI1270" s="210"/>
      <c r="CJ1270" s="210"/>
      <c r="CK1270" s="210"/>
    </row>
    <row r="1271">
      <c r="A1271" s="220"/>
      <c r="F1271" s="190"/>
      <c r="G1271" s="190"/>
      <c r="L1271" s="220"/>
      <c r="M1271" s="220"/>
      <c r="O1271" s="210"/>
      <c r="P1271" s="210"/>
      <c r="Q1271" s="210"/>
      <c r="R1271" s="210"/>
      <c r="S1271" s="210"/>
      <c r="T1271" s="210"/>
      <c r="U1271" s="210"/>
      <c r="V1271" s="210"/>
      <c r="W1271" s="210"/>
      <c r="X1271" s="210"/>
      <c r="Y1271" s="210"/>
      <c r="Z1271" s="210"/>
      <c r="AA1271" s="210"/>
      <c r="AB1271" s="210"/>
      <c r="AC1271" s="210"/>
      <c r="AD1271" s="210"/>
      <c r="AE1271" s="210"/>
      <c r="AF1271" s="210"/>
      <c r="AG1271" s="210"/>
      <c r="AH1271" s="210"/>
      <c r="AI1271" s="210"/>
      <c r="AJ1271" s="210"/>
      <c r="AK1271" s="210"/>
      <c r="AL1271" s="210"/>
      <c r="AM1271" s="214"/>
      <c r="AN1271" s="210"/>
      <c r="AO1271" s="210"/>
      <c r="AP1271" s="210"/>
      <c r="AQ1271" s="210"/>
      <c r="AR1271" s="210"/>
      <c r="AS1271" s="210"/>
      <c r="AT1271" s="210"/>
      <c r="AU1271" s="210"/>
      <c r="AV1271" s="210"/>
      <c r="AW1271" s="210"/>
      <c r="AX1271" s="210"/>
      <c r="AY1271" s="210"/>
      <c r="AZ1271" s="210"/>
      <c r="BA1271" s="210"/>
      <c r="BB1271" s="210"/>
      <c r="BC1271" s="210"/>
      <c r="BD1271" s="210"/>
      <c r="BE1271" s="210"/>
      <c r="BF1271" s="210"/>
      <c r="BG1271" s="210"/>
      <c r="BH1271" s="210"/>
      <c r="BI1271" s="210"/>
      <c r="BJ1271" s="210"/>
      <c r="BK1271" s="210"/>
      <c r="BL1271" s="210"/>
      <c r="BM1271" s="210"/>
      <c r="BN1271" s="210"/>
      <c r="BO1271" s="210"/>
      <c r="BP1271" s="210"/>
      <c r="BQ1271" s="210"/>
      <c r="BR1271" s="210"/>
      <c r="BS1271" s="210"/>
      <c r="BT1271" s="210"/>
      <c r="BU1271" s="210"/>
      <c r="BV1271" s="210"/>
      <c r="BW1271" s="210"/>
      <c r="BX1271" s="210"/>
      <c r="BY1271" s="210"/>
      <c r="BZ1271" s="210"/>
      <c r="CA1271" s="210"/>
      <c r="CB1271" s="210"/>
      <c r="CC1271" s="210"/>
      <c r="CD1271" s="210"/>
      <c r="CE1271" s="210"/>
      <c r="CF1271" s="210"/>
      <c r="CG1271" s="210"/>
      <c r="CH1271" s="210"/>
      <c r="CI1271" s="210"/>
      <c r="CJ1271" s="210"/>
      <c r="CK1271" s="210"/>
    </row>
    <row r="1272">
      <c r="A1272" s="220"/>
      <c r="F1272" s="190"/>
      <c r="G1272" s="190"/>
      <c r="L1272" s="220"/>
      <c r="M1272" s="220"/>
      <c r="O1272" s="210"/>
      <c r="P1272" s="210"/>
      <c r="Q1272" s="210"/>
      <c r="R1272" s="210"/>
      <c r="S1272" s="210"/>
      <c r="T1272" s="210"/>
      <c r="U1272" s="210"/>
      <c r="V1272" s="210"/>
      <c r="W1272" s="210"/>
      <c r="X1272" s="210"/>
      <c r="Y1272" s="210"/>
      <c r="Z1272" s="210"/>
      <c r="AA1272" s="210"/>
      <c r="AB1272" s="210"/>
      <c r="AC1272" s="210"/>
      <c r="AD1272" s="210"/>
      <c r="AE1272" s="210"/>
      <c r="AF1272" s="210"/>
      <c r="AG1272" s="210"/>
      <c r="AH1272" s="210"/>
      <c r="AI1272" s="210"/>
      <c r="AJ1272" s="210"/>
      <c r="AK1272" s="210"/>
      <c r="AL1272" s="210"/>
      <c r="AM1272" s="214"/>
      <c r="AN1272" s="210"/>
      <c r="AO1272" s="210"/>
      <c r="AP1272" s="210"/>
      <c r="AQ1272" s="210"/>
      <c r="AR1272" s="210"/>
      <c r="AS1272" s="210"/>
      <c r="AT1272" s="210"/>
      <c r="AU1272" s="210"/>
      <c r="AV1272" s="210"/>
      <c r="AW1272" s="210"/>
      <c r="AX1272" s="210"/>
      <c r="AY1272" s="210"/>
      <c r="AZ1272" s="210"/>
      <c r="BA1272" s="210"/>
      <c r="BB1272" s="210"/>
      <c r="BC1272" s="210"/>
      <c r="BD1272" s="210"/>
      <c r="BE1272" s="210"/>
      <c r="BF1272" s="210"/>
      <c r="BG1272" s="210"/>
      <c r="BH1272" s="210"/>
      <c r="BI1272" s="210"/>
      <c r="BJ1272" s="210"/>
      <c r="BK1272" s="210"/>
      <c r="BL1272" s="210"/>
      <c r="BM1272" s="210"/>
      <c r="BN1272" s="210"/>
      <c r="BO1272" s="210"/>
      <c r="BP1272" s="210"/>
      <c r="BQ1272" s="210"/>
      <c r="BR1272" s="210"/>
      <c r="BS1272" s="210"/>
      <c r="BT1272" s="210"/>
      <c r="BU1272" s="210"/>
      <c r="BV1272" s="210"/>
      <c r="BW1272" s="210"/>
      <c r="BX1272" s="210"/>
      <c r="BY1272" s="210"/>
      <c r="BZ1272" s="210"/>
      <c r="CA1272" s="210"/>
      <c r="CB1272" s="210"/>
      <c r="CC1272" s="210"/>
      <c r="CD1272" s="210"/>
      <c r="CE1272" s="210"/>
      <c r="CF1272" s="210"/>
      <c r="CG1272" s="210"/>
      <c r="CH1272" s="210"/>
      <c r="CI1272" s="210"/>
      <c r="CJ1272" s="210"/>
      <c r="CK1272" s="210"/>
    </row>
    <row r="1273">
      <c r="A1273" s="220"/>
      <c r="F1273" s="190"/>
      <c r="G1273" s="190"/>
      <c r="L1273" s="220"/>
      <c r="M1273" s="220"/>
      <c r="O1273" s="210"/>
      <c r="P1273" s="210"/>
      <c r="Q1273" s="210"/>
      <c r="R1273" s="210"/>
      <c r="S1273" s="210"/>
      <c r="T1273" s="210"/>
      <c r="U1273" s="210"/>
      <c r="V1273" s="210"/>
      <c r="W1273" s="210"/>
      <c r="X1273" s="210"/>
      <c r="Y1273" s="210"/>
      <c r="Z1273" s="210"/>
      <c r="AA1273" s="210"/>
      <c r="AB1273" s="210"/>
      <c r="AC1273" s="210"/>
      <c r="AD1273" s="210"/>
      <c r="AE1273" s="210"/>
      <c r="AF1273" s="210"/>
      <c r="AG1273" s="210"/>
      <c r="AH1273" s="210"/>
      <c r="AI1273" s="210"/>
      <c r="AJ1273" s="210"/>
      <c r="AK1273" s="210"/>
      <c r="AL1273" s="210"/>
      <c r="AM1273" s="214"/>
      <c r="AN1273" s="210"/>
      <c r="AO1273" s="210"/>
      <c r="AP1273" s="210"/>
      <c r="AQ1273" s="210"/>
      <c r="AR1273" s="210"/>
      <c r="AS1273" s="210"/>
      <c r="AT1273" s="210"/>
      <c r="AU1273" s="210"/>
      <c r="AV1273" s="210"/>
      <c r="AW1273" s="210"/>
      <c r="AX1273" s="210"/>
      <c r="AY1273" s="210"/>
      <c r="AZ1273" s="210"/>
      <c r="BA1273" s="210"/>
      <c r="BB1273" s="210"/>
      <c r="BC1273" s="210"/>
      <c r="BD1273" s="210"/>
      <c r="BE1273" s="210"/>
      <c r="BF1273" s="210"/>
      <c r="BG1273" s="210"/>
      <c r="BH1273" s="210"/>
      <c r="BI1273" s="210"/>
      <c r="BJ1273" s="210"/>
      <c r="BK1273" s="210"/>
      <c r="BL1273" s="210"/>
      <c r="BM1273" s="210"/>
      <c r="BN1273" s="210"/>
      <c r="BO1273" s="210"/>
      <c r="BP1273" s="210"/>
      <c r="BQ1273" s="210"/>
      <c r="BR1273" s="210"/>
      <c r="BS1273" s="210"/>
      <c r="BT1273" s="210"/>
      <c r="BU1273" s="210"/>
      <c r="BV1273" s="210"/>
      <c r="BW1273" s="210"/>
      <c r="BX1273" s="210"/>
      <c r="BY1273" s="210"/>
      <c r="BZ1273" s="210"/>
      <c r="CA1273" s="210"/>
      <c r="CB1273" s="210"/>
      <c r="CC1273" s="210"/>
      <c r="CD1273" s="210"/>
      <c r="CE1273" s="210"/>
      <c r="CF1273" s="210"/>
      <c r="CG1273" s="210"/>
      <c r="CH1273" s="210"/>
      <c r="CI1273" s="210"/>
      <c r="CJ1273" s="210"/>
      <c r="CK1273" s="210"/>
    </row>
    <row r="1274">
      <c r="A1274" s="220"/>
      <c r="F1274" s="190"/>
      <c r="G1274" s="190"/>
      <c r="L1274" s="220"/>
      <c r="M1274" s="220"/>
      <c r="O1274" s="210"/>
      <c r="P1274" s="210"/>
      <c r="Q1274" s="210"/>
      <c r="R1274" s="210"/>
      <c r="S1274" s="210"/>
      <c r="T1274" s="210"/>
      <c r="U1274" s="210"/>
      <c r="V1274" s="210"/>
      <c r="W1274" s="210"/>
      <c r="X1274" s="210"/>
      <c r="Y1274" s="210"/>
      <c r="Z1274" s="210"/>
      <c r="AA1274" s="210"/>
      <c r="AB1274" s="210"/>
      <c r="AC1274" s="210"/>
      <c r="AD1274" s="210"/>
      <c r="AE1274" s="210"/>
      <c r="AF1274" s="210"/>
      <c r="AG1274" s="210"/>
      <c r="AH1274" s="210"/>
      <c r="AI1274" s="210"/>
      <c r="AJ1274" s="210"/>
      <c r="AK1274" s="210"/>
      <c r="AL1274" s="210"/>
      <c r="AM1274" s="214"/>
      <c r="AN1274" s="210"/>
      <c r="AO1274" s="210"/>
      <c r="AP1274" s="210"/>
      <c r="AQ1274" s="210"/>
      <c r="AR1274" s="210"/>
      <c r="AS1274" s="210"/>
      <c r="AT1274" s="210"/>
      <c r="AU1274" s="210"/>
      <c r="AV1274" s="210"/>
      <c r="AW1274" s="210"/>
      <c r="AX1274" s="210"/>
      <c r="AY1274" s="210"/>
      <c r="AZ1274" s="210"/>
      <c r="BA1274" s="210"/>
      <c r="BB1274" s="210"/>
      <c r="BC1274" s="210"/>
      <c r="BD1274" s="210"/>
      <c r="BE1274" s="210"/>
      <c r="BF1274" s="210"/>
      <c r="BG1274" s="210"/>
      <c r="BH1274" s="210"/>
      <c r="BI1274" s="210"/>
      <c r="BJ1274" s="210"/>
      <c r="BK1274" s="210"/>
      <c r="BL1274" s="210"/>
      <c r="BM1274" s="210"/>
      <c r="BN1274" s="210"/>
      <c r="BO1274" s="210"/>
      <c r="BP1274" s="210"/>
      <c r="BQ1274" s="210"/>
      <c r="BR1274" s="210"/>
      <c r="BS1274" s="210"/>
      <c r="BT1274" s="210"/>
      <c r="BU1274" s="210"/>
      <c r="BV1274" s="210"/>
      <c r="BW1274" s="210"/>
      <c r="BX1274" s="210"/>
      <c r="BY1274" s="210"/>
      <c r="BZ1274" s="210"/>
      <c r="CA1274" s="210"/>
      <c r="CB1274" s="210"/>
      <c r="CC1274" s="210"/>
      <c r="CD1274" s="210"/>
      <c r="CE1274" s="210"/>
      <c r="CF1274" s="210"/>
      <c r="CG1274" s="210"/>
      <c r="CH1274" s="210"/>
      <c r="CI1274" s="210"/>
      <c r="CJ1274" s="210"/>
      <c r="CK1274" s="210"/>
    </row>
    <row r="1275">
      <c r="A1275" s="220"/>
      <c r="F1275" s="190"/>
      <c r="G1275" s="190"/>
      <c r="L1275" s="220"/>
      <c r="M1275" s="220"/>
      <c r="O1275" s="210"/>
      <c r="P1275" s="210"/>
      <c r="Q1275" s="210"/>
      <c r="R1275" s="210"/>
      <c r="S1275" s="210"/>
      <c r="T1275" s="210"/>
      <c r="U1275" s="210"/>
      <c r="V1275" s="210"/>
      <c r="W1275" s="210"/>
      <c r="X1275" s="210"/>
      <c r="Y1275" s="210"/>
      <c r="Z1275" s="210"/>
      <c r="AA1275" s="210"/>
      <c r="AB1275" s="210"/>
      <c r="AC1275" s="210"/>
      <c r="AD1275" s="210"/>
      <c r="AE1275" s="210"/>
      <c r="AF1275" s="210"/>
      <c r="AG1275" s="210"/>
      <c r="AH1275" s="210"/>
      <c r="AI1275" s="210"/>
      <c r="AJ1275" s="210"/>
      <c r="AK1275" s="210"/>
      <c r="AL1275" s="210"/>
      <c r="AM1275" s="214"/>
      <c r="AN1275" s="210"/>
      <c r="AO1275" s="210"/>
      <c r="AP1275" s="210"/>
      <c r="AQ1275" s="210"/>
      <c r="AR1275" s="210"/>
      <c r="AS1275" s="210"/>
      <c r="AT1275" s="210"/>
      <c r="AU1275" s="210"/>
      <c r="AV1275" s="210"/>
      <c r="AW1275" s="210"/>
      <c r="AX1275" s="210"/>
      <c r="AY1275" s="210"/>
      <c r="AZ1275" s="210"/>
      <c r="BA1275" s="210"/>
      <c r="BB1275" s="210"/>
      <c r="BC1275" s="210"/>
      <c r="BD1275" s="210"/>
      <c r="BE1275" s="210"/>
      <c r="BF1275" s="210"/>
      <c r="BG1275" s="210"/>
      <c r="BH1275" s="210"/>
      <c r="BI1275" s="210"/>
      <c r="BJ1275" s="210"/>
      <c r="BK1275" s="210"/>
      <c r="BL1275" s="210"/>
      <c r="BM1275" s="210"/>
      <c r="BN1275" s="210"/>
      <c r="BO1275" s="210"/>
      <c r="BP1275" s="210"/>
      <c r="BQ1275" s="210"/>
      <c r="BR1275" s="210"/>
      <c r="BS1275" s="210"/>
      <c r="BT1275" s="210"/>
      <c r="BU1275" s="210"/>
      <c r="BV1275" s="210"/>
      <c r="BW1275" s="210"/>
      <c r="BX1275" s="210"/>
      <c r="BY1275" s="210"/>
      <c r="BZ1275" s="210"/>
      <c r="CA1275" s="210"/>
      <c r="CB1275" s="210"/>
      <c r="CC1275" s="210"/>
      <c r="CD1275" s="210"/>
      <c r="CE1275" s="210"/>
      <c r="CF1275" s="210"/>
      <c r="CG1275" s="210"/>
      <c r="CH1275" s="210"/>
      <c r="CI1275" s="210"/>
      <c r="CJ1275" s="210"/>
      <c r="CK1275" s="210"/>
    </row>
    <row r="1276">
      <c r="A1276" s="220"/>
      <c r="F1276" s="190"/>
      <c r="G1276" s="190"/>
      <c r="L1276" s="220"/>
      <c r="M1276" s="220"/>
      <c r="O1276" s="210"/>
      <c r="P1276" s="210"/>
      <c r="Q1276" s="210"/>
      <c r="R1276" s="210"/>
      <c r="S1276" s="210"/>
      <c r="T1276" s="210"/>
      <c r="U1276" s="210"/>
      <c r="V1276" s="210"/>
      <c r="W1276" s="210"/>
      <c r="X1276" s="210"/>
      <c r="Y1276" s="210"/>
      <c r="Z1276" s="210"/>
      <c r="AA1276" s="210"/>
      <c r="AB1276" s="210"/>
      <c r="AC1276" s="210"/>
      <c r="AD1276" s="210"/>
      <c r="AE1276" s="210"/>
      <c r="AF1276" s="210"/>
      <c r="AG1276" s="210"/>
      <c r="AH1276" s="210"/>
      <c r="AI1276" s="210"/>
      <c r="AJ1276" s="210"/>
      <c r="AK1276" s="210"/>
      <c r="AL1276" s="210"/>
      <c r="AM1276" s="214"/>
      <c r="AN1276" s="210"/>
      <c r="AO1276" s="210"/>
      <c r="AP1276" s="210"/>
      <c r="AQ1276" s="210"/>
      <c r="AR1276" s="210"/>
      <c r="AS1276" s="210"/>
      <c r="AT1276" s="210"/>
      <c r="AU1276" s="210"/>
      <c r="AV1276" s="210"/>
      <c r="AW1276" s="210"/>
      <c r="AX1276" s="210"/>
      <c r="AY1276" s="210"/>
      <c r="AZ1276" s="210"/>
      <c r="BA1276" s="210"/>
      <c r="BB1276" s="210"/>
      <c r="BC1276" s="210"/>
      <c r="BD1276" s="210"/>
      <c r="BE1276" s="210"/>
      <c r="BF1276" s="210"/>
      <c r="BG1276" s="210"/>
      <c r="BH1276" s="210"/>
      <c r="BI1276" s="210"/>
      <c r="BJ1276" s="210"/>
      <c r="BK1276" s="210"/>
      <c r="BL1276" s="210"/>
      <c r="BM1276" s="210"/>
      <c r="BN1276" s="210"/>
      <c r="BO1276" s="210"/>
      <c r="BP1276" s="210"/>
      <c r="BQ1276" s="210"/>
      <c r="BR1276" s="210"/>
      <c r="BS1276" s="210"/>
      <c r="BT1276" s="210"/>
      <c r="BU1276" s="210"/>
      <c r="BV1276" s="210"/>
      <c r="BW1276" s="210"/>
      <c r="BX1276" s="210"/>
      <c r="BY1276" s="210"/>
      <c r="BZ1276" s="210"/>
      <c r="CA1276" s="210"/>
      <c r="CB1276" s="210"/>
      <c r="CC1276" s="210"/>
      <c r="CD1276" s="210"/>
      <c r="CE1276" s="210"/>
      <c r="CF1276" s="210"/>
      <c r="CG1276" s="210"/>
      <c r="CH1276" s="210"/>
      <c r="CI1276" s="210"/>
      <c r="CJ1276" s="210"/>
      <c r="CK1276" s="210"/>
    </row>
    <row r="1277">
      <c r="A1277" s="220"/>
      <c r="F1277" s="190"/>
      <c r="G1277" s="190"/>
      <c r="L1277" s="220"/>
      <c r="M1277" s="220"/>
      <c r="O1277" s="210"/>
      <c r="P1277" s="210"/>
      <c r="Q1277" s="210"/>
      <c r="R1277" s="210"/>
      <c r="S1277" s="210"/>
      <c r="T1277" s="210"/>
      <c r="U1277" s="210"/>
      <c r="V1277" s="210"/>
      <c r="W1277" s="210"/>
      <c r="X1277" s="210"/>
      <c r="Y1277" s="210"/>
      <c r="Z1277" s="210"/>
      <c r="AA1277" s="210"/>
      <c r="AB1277" s="210"/>
      <c r="AC1277" s="210"/>
      <c r="AD1277" s="210"/>
      <c r="AE1277" s="210"/>
      <c r="AF1277" s="210"/>
      <c r="AG1277" s="210"/>
      <c r="AH1277" s="210"/>
      <c r="AI1277" s="210"/>
      <c r="AJ1277" s="210"/>
      <c r="AK1277" s="210"/>
      <c r="AL1277" s="210"/>
      <c r="AM1277" s="214"/>
      <c r="AN1277" s="210"/>
      <c r="AO1277" s="210"/>
      <c r="AP1277" s="210"/>
      <c r="AQ1277" s="210"/>
      <c r="AR1277" s="210"/>
      <c r="AS1277" s="210"/>
      <c r="AT1277" s="210"/>
      <c r="AU1277" s="210"/>
      <c r="AV1277" s="210"/>
      <c r="AW1277" s="210"/>
      <c r="AX1277" s="210"/>
      <c r="AY1277" s="210"/>
      <c r="AZ1277" s="210"/>
      <c r="BA1277" s="210"/>
      <c r="BB1277" s="210"/>
      <c r="BC1277" s="210"/>
      <c r="BD1277" s="210"/>
      <c r="BE1277" s="210"/>
      <c r="BF1277" s="210"/>
      <c r="BG1277" s="210"/>
      <c r="BH1277" s="210"/>
      <c r="BI1277" s="210"/>
      <c r="BJ1277" s="210"/>
      <c r="BK1277" s="210"/>
      <c r="BL1277" s="210"/>
      <c r="BM1277" s="210"/>
      <c r="BN1277" s="210"/>
      <c r="BO1277" s="210"/>
      <c r="BP1277" s="210"/>
      <c r="BQ1277" s="210"/>
      <c r="BR1277" s="210"/>
      <c r="BS1277" s="210"/>
      <c r="BT1277" s="210"/>
      <c r="BU1277" s="210"/>
      <c r="BV1277" s="210"/>
      <c r="BW1277" s="210"/>
      <c r="BX1277" s="210"/>
      <c r="BY1277" s="210"/>
      <c r="BZ1277" s="210"/>
      <c r="CA1277" s="210"/>
      <c r="CB1277" s="210"/>
      <c r="CC1277" s="210"/>
      <c r="CD1277" s="210"/>
      <c r="CE1277" s="210"/>
      <c r="CF1277" s="210"/>
      <c r="CG1277" s="210"/>
      <c r="CH1277" s="210"/>
      <c r="CI1277" s="210"/>
      <c r="CJ1277" s="210"/>
      <c r="CK1277" s="210"/>
    </row>
    <row r="1278">
      <c r="A1278" s="220"/>
      <c r="F1278" s="190"/>
      <c r="G1278" s="190"/>
      <c r="L1278" s="220"/>
      <c r="M1278" s="220"/>
      <c r="O1278" s="210"/>
      <c r="P1278" s="210"/>
      <c r="Q1278" s="210"/>
      <c r="R1278" s="210"/>
      <c r="S1278" s="210"/>
      <c r="T1278" s="210"/>
      <c r="U1278" s="210"/>
      <c r="V1278" s="210"/>
      <c r="W1278" s="210"/>
      <c r="X1278" s="210"/>
      <c r="Y1278" s="210"/>
      <c r="Z1278" s="210"/>
      <c r="AA1278" s="210"/>
      <c r="AB1278" s="210"/>
      <c r="AC1278" s="210"/>
      <c r="AD1278" s="210"/>
      <c r="AE1278" s="210"/>
      <c r="AF1278" s="210"/>
      <c r="AG1278" s="210"/>
      <c r="AH1278" s="210"/>
      <c r="AI1278" s="210"/>
      <c r="AJ1278" s="210"/>
      <c r="AK1278" s="210"/>
      <c r="AL1278" s="210"/>
      <c r="AM1278" s="214"/>
      <c r="AN1278" s="210"/>
      <c r="AO1278" s="210"/>
      <c r="AP1278" s="210"/>
      <c r="AQ1278" s="210"/>
      <c r="AR1278" s="210"/>
      <c r="AS1278" s="210"/>
      <c r="AT1278" s="210"/>
      <c r="AU1278" s="210"/>
      <c r="AV1278" s="210"/>
      <c r="AW1278" s="210"/>
      <c r="AX1278" s="210"/>
      <c r="AY1278" s="210"/>
      <c r="AZ1278" s="210"/>
      <c r="BA1278" s="210"/>
      <c r="BB1278" s="210"/>
      <c r="BC1278" s="210"/>
      <c r="BD1278" s="210"/>
      <c r="BE1278" s="210"/>
      <c r="BF1278" s="210"/>
      <c r="BG1278" s="210"/>
      <c r="BH1278" s="210"/>
      <c r="BI1278" s="210"/>
      <c r="BJ1278" s="210"/>
      <c r="BK1278" s="210"/>
      <c r="BL1278" s="210"/>
      <c r="BM1278" s="210"/>
      <c r="BN1278" s="210"/>
      <c r="BO1278" s="210"/>
      <c r="BP1278" s="210"/>
      <c r="BQ1278" s="210"/>
      <c r="BR1278" s="210"/>
      <c r="BS1278" s="210"/>
      <c r="BT1278" s="210"/>
      <c r="BU1278" s="210"/>
      <c r="BV1278" s="210"/>
      <c r="BW1278" s="210"/>
      <c r="BX1278" s="210"/>
      <c r="BY1278" s="210"/>
      <c r="BZ1278" s="210"/>
      <c r="CA1278" s="210"/>
      <c r="CB1278" s="210"/>
      <c r="CC1278" s="210"/>
      <c r="CD1278" s="210"/>
      <c r="CE1278" s="210"/>
      <c r="CF1278" s="210"/>
      <c r="CG1278" s="210"/>
      <c r="CH1278" s="210"/>
      <c r="CI1278" s="210"/>
      <c r="CJ1278" s="210"/>
      <c r="CK1278" s="210"/>
    </row>
    <row r="1279">
      <c r="A1279" s="220"/>
      <c r="F1279" s="190"/>
      <c r="G1279" s="190"/>
      <c r="L1279" s="220"/>
      <c r="M1279" s="220"/>
      <c r="O1279" s="210"/>
      <c r="P1279" s="210"/>
      <c r="Q1279" s="210"/>
      <c r="R1279" s="210"/>
      <c r="S1279" s="210"/>
      <c r="T1279" s="210"/>
      <c r="U1279" s="210"/>
      <c r="V1279" s="210"/>
      <c r="W1279" s="210"/>
      <c r="X1279" s="210"/>
      <c r="Y1279" s="210"/>
      <c r="Z1279" s="210"/>
      <c r="AA1279" s="210"/>
      <c r="AB1279" s="210"/>
      <c r="AC1279" s="210"/>
      <c r="AD1279" s="210"/>
      <c r="AE1279" s="210"/>
      <c r="AF1279" s="210"/>
      <c r="AG1279" s="210"/>
      <c r="AH1279" s="210"/>
      <c r="AI1279" s="210"/>
      <c r="AJ1279" s="210"/>
      <c r="AK1279" s="210"/>
      <c r="AL1279" s="210"/>
      <c r="AM1279" s="214"/>
      <c r="AN1279" s="210"/>
      <c r="AO1279" s="210"/>
      <c r="AP1279" s="210"/>
      <c r="AQ1279" s="210"/>
      <c r="AR1279" s="210"/>
      <c r="AS1279" s="210"/>
      <c r="AT1279" s="210"/>
      <c r="AU1279" s="210"/>
      <c r="AV1279" s="210"/>
      <c r="AW1279" s="210"/>
      <c r="AX1279" s="210"/>
      <c r="AY1279" s="210"/>
      <c r="AZ1279" s="210"/>
      <c r="BA1279" s="210"/>
      <c r="BB1279" s="210"/>
      <c r="BC1279" s="210"/>
      <c r="BD1279" s="210"/>
      <c r="BE1279" s="210"/>
      <c r="BF1279" s="210"/>
      <c r="BG1279" s="210"/>
      <c r="BH1279" s="210"/>
      <c r="BI1279" s="210"/>
      <c r="BJ1279" s="210"/>
      <c r="BK1279" s="210"/>
      <c r="BL1279" s="210"/>
      <c r="BM1279" s="210"/>
      <c r="BN1279" s="210"/>
      <c r="BO1279" s="210"/>
      <c r="BP1279" s="210"/>
      <c r="BQ1279" s="210"/>
      <c r="BR1279" s="210"/>
      <c r="BS1279" s="210"/>
      <c r="BT1279" s="210"/>
      <c r="BU1279" s="210"/>
      <c r="BV1279" s="210"/>
      <c r="BW1279" s="210"/>
      <c r="BX1279" s="210"/>
      <c r="BY1279" s="210"/>
      <c r="BZ1279" s="210"/>
      <c r="CA1279" s="210"/>
      <c r="CB1279" s="210"/>
      <c r="CC1279" s="210"/>
      <c r="CD1279" s="210"/>
      <c r="CE1279" s="210"/>
      <c r="CF1279" s="210"/>
      <c r="CG1279" s="210"/>
      <c r="CH1279" s="210"/>
      <c r="CI1279" s="210"/>
      <c r="CJ1279" s="210"/>
      <c r="CK1279" s="210"/>
    </row>
    <row r="1280">
      <c r="A1280" s="220"/>
      <c r="F1280" s="190"/>
      <c r="G1280" s="190"/>
      <c r="L1280" s="220"/>
      <c r="M1280" s="220"/>
      <c r="O1280" s="210"/>
      <c r="P1280" s="210"/>
      <c r="Q1280" s="210"/>
      <c r="R1280" s="210"/>
      <c r="S1280" s="210"/>
      <c r="T1280" s="210"/>
      <c r="U1280" s="210"/>
      <c r="V1280" s="210"/>
      <c r="W1280" s="210"/>
      <c r="X1280" s="210"/>
      <c r="Y1280" s="210"/>
      <c r="Z1280" s="210"/>
      <c r="AA1280" s="210"/>
      <c r="AB1280" s="210"/>
      <c r="AC1280" s="210"/>
      <c r="AD1280" s="210"/>
      <c r="AE1280" s="210"/>
      <c r="AF1280" s="210"/>
      <c r="AG1280" s="210"/>
      <c r="AH1280" s="210"/>
      <c r="AI1280" s="210"/>
      <c r="AJ1280" s="210"/>
      <c r="AK1280" s="210"/>
      <c r="AL1280" s="210"/>
      <c r="AM1280" s="214"/>
      <c r="AN1280" s="210"/>
      <c r="AO1280" s="210"/>
      <c r="AP1280" s="210"/>
      <c r="AQ1280" s="210"/>
      <c r="AR1280" s="210"/>
      <c r="AS1280" s="210"/>
      <c r="AT1280" s="210"/>
      <c r="AU1280" s="210"/>
      <c r="AV1280" s="210"/>
      <c r="AW1280" s="210"/>
      <c r="AX1280" s="210"/>
      <c r="AY1280" s="210"/>
      <c r="AZ1280" s="210"/>
      <c r="BA1280" s="210"/>
      <c r="BB1280" s="210"/>
      <c r="BC1280" s="210"/>
      <c r="BD1280" s="210"/>
      <c r="BE1280" s="210"/>
      <c r="BF1280" s="210"/>
      <c r="BG1280" s="210"/>
      <c r="BH1280" s="210"/>
      <c r="BI1280" s="210"/>
      <c r="BJ1280" s="210"/>
      <c r="BK1280" s="210"/>
      <c r="BL1280" s="210"/>
      <c r="BM1280" s="210"/>
      <c r="BN1280" s="210"/>
      <c r="BO1280" s="210"/>
      <c r="BP1280" s="210"/>
      <c r="BQ1280" s="210"/>
      <c r="BR1280" s="210"/>
      <c r="BS1280" s="210"/>
      <c r="BT1280" s="210"/>
      <c r="BU1280" s="210"/>
      <c r="BV1280" s="210"/>
      <c r="BW1280" s="210"/>
      <c r="BX1280" s="210"/>
      <c r="BY1280" s="210"/>
      <c r="BZ1280" s="210"/>
      <c r="CA1280" s="210"/>
      <c r="CB1280" s="210"/>
      <c r="CC1280" s="210"/>
      <c r="CD1280" s="210"/>
      <c r="CE1280" s="210"/>
      <c r="CF1280" s="210"/>
      <c r="CG1280" s="210"/>
      <c r="CH1280" s="210"/>
      <c r="CI1280" s="210"/>
      <c r="CJ1280" s="210"/>
      <c r="CK1280" s="210"/>
    </row>
    <row r="1281">
      <c r="A1281" s="220"/>
      <c r="F1281" s="190"/>
      <c r="G1281" s="190"/>
      <c r="L1281" s="220"/>
      <c r="M1281" s="220"/>
      <c r="O1281" s="210"/>
      <c r="P1281" s="210"/>
      <c r="Q1281" s="210"/>
      <c r="R1281" s="210"/>
      <c r="S1281" s="210"/>
      <c r="T1281" s="210"/>
      <c r="U1281" s="210"/>
      <c r="V1281" s="210"/>
      <c r="W1281" s="210"/>
      <c r="X1281" s="210"/>
      <c r="Y1281" s="210"/>
      <c r="Z1281" s="210"/>
      <c r="AA1281" s="210"/>
      <c r="AB1281" s="210"/>
      <c r="AC1281" s="210"/>
      <c r="AD1281" s="210"/>
      <c r="AE1281" s="210"/>
      <c r="AF1281" s="210"/>
      <c r="AG1281" s="210"/>
      <c r="AH1281" s="210"/>
      <c r="AI1281" s="210"/>
      <c r="AJ1281" s="210"/>
      <c r="AK1281" s="210"/>
      <c r="AL1281" s="210"/>
      <c r="AM1281" s="214"/>
      <c r="AN1281" s="210"/>
      <c r="AO1281" s="210"/>
      <c r="AP1281" s="210"/>
      <c r="AQ1281" s="210"/>
      <c r="AR1281" s="210"/>
      <c r="AS1281" s="210"/>
      <c r="AT1281" s="210"/>
      <c r="AU1281" s="210"/>
      <c r="AV1281" s="210"/>
      <c r="AW1281" s="210"/>
      <c r="AX1281" s="210"/>
      <c r="AY1281" s="210"/>
      <c r="AZ1281" s="210"/>
      <c r="BA1281" s="210"/>
      <c r="BB1281" s="210"/>
      <c r="BC1281" s="210"/>
      <c r="BD1281" s="210"/>
      <c r="BE1281" s="210"/>
      <c r="BF1281" s="210"/>
      <c r="BG1281" s="210"/>
      <c r="BH1281" s="210"/>
      <c r="BI1281" s="210"/>
      <c r="BJ1281" s="210"/>
      <c r="BK1281" s="210"/>
      <c r="BL1281" s="210"/>
      <c r="BM1281" s="210"/>
      <c r="BN1281" s="210"/>
      <c r="BO1281" s="210"/>
      <c r="BP1281" s="210"/>
      <c r="BQ1281" s="210"/>
      <c r="BR1281" s="210"/>
      <c r="BS1281" s="210"/>
      <c r="BT1281" s="210"/>
      <c r="BU1281" s="210"/>
      <c r="BV1281" s="210"/>
      <c r="BW1281" s="210"/>
      <c r="BX1281" s="210"/>
      <c r="BY1281" s="210"/>
      <c r="BZ1281" s="210"/>
      <c r="CA1281" s="210"/>
      <c r="CB1281" s="210"/>
      <c r="CC1281" s="210"/>
      <c r="CD1281" s="210"/>
      <c r="CE1281" s="210"/>
      <c r="CF1281" s="210"/>
      <c r="CG1281" s="210"/>
      <c r="CH1281" s="210"/>
      <c r="CI1281" s="210"/>
      <c r="CJ1281" s="210"/>
      <c r="CK1281" s="210"/>
    </row>
    <row r="1282">
      <c r="A1282" s="220"/>
      <c r="F1282" s="190"/>
      <c r="G1282" s="190"/>
      <c r="L1282" s="220"/>
      <c r="M1282" s="220"/>
      <c r="O1282" s="210"/>
      <c r="P1282" s="210"/>
      <c r="Q1282" s="210"/>
      <c r="R1282" s="210"/>
      <c r="S1282" s="210"/>
      <c r="T1282" s="210"/>
      <c r="U1282" s="210"/>
      <c r="V1282" s="210"/>
      <c r="W1282" s="210"/>
      <c r="X1282" s="210"/>
      <c r="Y1282" s="210"/>
      <c r="Z1282" s="210"/>
      <c r="AA1282" s="210"/>
      <c r="AB1282" s="210"/>
      <c r="AC1282" s="210"/>
      <c r="AD1282" s="210"/>
      <c r="AE1282" s="210"/>
      <c r="AF1282" s="210"/>
      <c r="AG1282" s="210"/>
      <c r="AH1282" s="210"/>
      <c r="AI1282" s="210"/>
      <c r="AJ1282" s="210"/>
      <c r="AK1282" s="210"/>
      <c r="AL1282" s="210"/>
      <c r="AM1282" s="214"/>
      <c r="AN1282" s="210"/>
      <c r="AO1282" s="210"/>
      <c r="AP1282" s="210"/>
      <c r="AQ1282" s="210"/>
      <c r="AR1282" s="210"/>
      <c r="AS1282" s="210"/>
      <c r="AT1282" s="210"/>
      <c r="AU1282" s="210"/>
      <c r="AV1282" s="210"/>
      <c r="AW1282" s="210"/>
      <c r="AX1282" s="210"/>
      <c r="AY1282" s="210"/>
      <c r="AZ1282" s="210"/>
      <c r="BA1282" s="210"/>
      <c r="BB1282" s="210"/>
      <c r="BC1282" s="210"/>
      <c r="BD1282" s="210"/>
      <c r="BE1282" s="210"/>
      <c r="BF1282" s="210"/>
      <c r="BG1282" s="210"/>
      <c r="BH1282" s="210"/>
      <c r="BI1282" s="210"/>
      <c r="BJ1282" s="210"/>
      <c r="BK1282" s="210"/>
      <c r="BL1282" s="210"/>
      <c r="BM1282" s="210"/>
      <c r="BN1282" s="210"/>
      <c r="BO1282" s="210"/>
      <c r="BP1282" s="210"/>
      <c r="BQ1282" s="210"/>
      <c r="BR1282" s="210"/>
      <c r="BS1282" s="210"/>
      <c r="BT1282" s="210"/>
      <c r="BU1282" s="210"/>
      <c r="BV1282" s="210"/>
      <c r="BW1282" s="210"/>
      <c r="BX1282" s="210"/>
      <c r="BY1282" s="210"/>
      <c r="BZ1282" s="210"/>
      <c r="CA1282" s="210"/>
      <c r="CB1282" s="210"/>
      <c r="CC1282" s="210"/>
      <c r="CD1282" s="210"/>
      <c r="CE1282" s="210"/>
      <c r="CF1282" s="210"/>
      <c r="CG1282" s="210"/>
      <c r="CH1282" s="210"/>
      <c r="CI1282" s="210"/>
      <c r="CJ1282" s="210"/>
      <c r="CK1282" s="210"/>
    </row>
    <row r="1283">
      <c r="A1283" s="220"/>
      <c r="F1283" s="190"/>
      <c r="G1283" s="190"/>
      <c r="L1283" s="220"/>
      <c r="M1283" s="220"/>
      <c r="O1283" s="210"/>
      <c r="P1283" s="210"/>
      <c r="Q1283" s="210"/>
      <c r="R1283" s="210"/>
      <c r="S1283" s="210"/>
      <c r="T1283" s="210"/>
      <c r="U1283" s="210"/>
      <c r="V1283" s="210"/>
      <c r="W1283" s="210"/>
      <c r="X1283" s="210"/>
      <c r="Y1283" s="210"/>
      <c r="Z1283" s="210"/>
      <c r="AA1283" s="210"/>
      <c r="AB1283" s="210"/>
      <c r="AC1283" s="210"/>
      <c r="AD1283" s="210"/>
      <c r="AE1283" s="210"/>
      <c r="AF1283" s="210"/>
      <c r="AG1283" s="210"/>
      <c r="AH1283" s="210"/>
      <c r="AI1283" s="210"/>
      <c r="AJ1283" s="210"/>
      <c r="AK1283" s="210"/>
      <c r="AL1283" s="210"/>
      <c r="AM1283" s="214"/>
      <c r="AN1283" s="210"/>
      <c r="AO1283" s="210"/>
      <c r="AP1283" s="210"/>
      <c r="AQ1283" s="210"/>
      <c r="AR1283" s="210"/>
      <c r="AS1283" s="210"/>
      <c r="AT1283" s="210"/>
      <c r="AU1283" s="210"/>
      <c r="AV1283" s="210"/>
      <c r="AW1283" s="210"/>
      <c r="AX1283" s="210"/>
      <c r="AY1283" s="210"/>
      <c r="AZ1283" s="210"/>
      <c r="BA1283" s="210"/>
      <c r="BB1283" s="210"/>
      <c r="BC1283" s="210"/>
      <c r="BD1283" s="210"/>
      <c r="BE1283" s="210"/>
      <c r="BF1283" s="210"/>
      <c r="BG1283" s="210"/>
      <c r="BH1283" s="210"/>
      <c r="BI1283" s="210"/>
      <c r="BJ1283" s="210"/>
      <c r="BK1283" s="210"/>
      <c r="BL1283" s="210"/>
      <c r="BM1283" s="210"/>
      <c r="BN1283" s="210"/>
      <c r="BO1283" s="210"/>
      <c r="BP1283" s="210"/>
      <c r="BQ1283" s="210"/>
      <c r="BR1283" s="210"/>
      <c r="BS1283" s="210"/>
      <c r="BT1283" s="210"/>
      <c r="BU1283" s="210"/>
      <c r="BV1283" s="210"/>
      <c r="BW1283" s="210"/>
      <c r="BX1283" s="210"/>
      <c r="BY1283" s="210"/>
      <c r="BZ1283" s="210"/>
      <c r="CA1283" s="210"/>
      <c r="CB1283" s="210"/>
      <c r="CC1283" s="210"/>
      <c r="CD1283" s="210"/>
      <c r="CE1283" s="210"/>
      <c r="CF1283" s="210"/>
      <c r="CG1283" s="210"/>
      <c r="CH1283" s="210"/>
      <c r="CI1283" s="210"/>
      <c r="CJ1283" s="210"/>
      <c r="CK1283" s="210"/>
    </row>
    <row r="1284">
      <c r="A1284" s="220"/>
      <c r="F1284" s="190"/>
      <c r="G1284" s="190"/>
      <c r="L1284" s="220"/>
      <c r="M1284" s="220"/>
      <c r="O1284" s="210"/>
      <c r="P1284" s="210"/>
      <c r="Q1284" s="210"/>
      <c r="R1284" s="210"/>
      <c r="S1284" s="210"/>
      <c r="T1284" s="210"/>
      <c r="U1284" s="210"/>
      <c r="V1284" s="210"/>
      <c r="W1284" s="210"/>
      <c r="X1284" s="210"/>
      <c r="Y1284" s="210"/>
      <c r="Z1284" s="210"/>
      <c r="AA1284" s="210"/>
      <c r="AB1284" s="210"/>
      <c r="AC1284" s="210"/>
      <c r="AD1284" s="210"/>
      <c r="AE1284" s="210"/>
      <c r="AF1284" s="210"/>
      <c r="AG1284" s="210"/>
      <c r="AH1284" s="210"/>
      <c r="AI1284" s="210"/>
      <c r="AJ1284" s="210"/>
      <c r="AK1284" s="210"/>
      <c r="AL1284" s="210"/>
      <c r="AM1284" s="214"/>
      <c r="AN1284" s="210"/>
      <c r="AO1284" s="210"/>
      <c r="AP1284" s="210"/>
      <c r="AQ1284" s="210"/>
      <c r="AR1284" s="210"/>
      <c r="AS1284" s="210"/>
      <c r="AT1284" s="210"/>
      <c r="AU1284" s="210"/>
      <c r="AV1284" s="210"/>
      <c r="AW1284" s="210"/>
      <c r="AX1284" s="210"/>
      <c r="AY1284" s="210"/>
      <c r="AZ1284" s="210"/>
      <c r="BA1284" s="210"/>
      <c r="BB1284" s="210"/>
      <c r="BC1284" s="210"/>
      <c r="BD1284" s="210"/>
      <c r="BE1284" s="210"/>
      <c r="BF1284" s="210"/>
      <c r="BG1284" s="210"/>
      <c r="BH1284" s="210"/>
      <c r="BI1284" s="210"/>
      <c r="BJ1284" s="210"/>
      <c r="BK1284" s="210"/>
      <c r="BL1284" s="210"/>
      <c r="BM1284" s="210"/>
      <c r="BN1284" s="210"/>
      <c r="BO1284" s="210"/>
      <c r="BP1284" s="210"/>
      <c r="BQ1284" s="210"/>
      <c r="BR1284" s="210"/>
      <c r="BS1284" s="210"/>
      <c r="BT1284" s="210"/>
      <c r="BU1284" s="210"/>
      <c r="BV1284" s="210"/>
      <c r="BW1284" s="210"/>
      <c r="BX1284" s="210"/>
      <c r="BY1284" s="210"/>
      <c r="BZ1284" s="210"/>
      <c r="CA1284" s="210"/>
      <c r="CB1284" s="210"/>
      <c r="CC1284" s="210"/>
      <c r="CD1284" s="210"/>
      <c r="CE1284" s="210"/>
      <c r="CF1284" s="210"/>
      <c r="CG1284" s="210"/>
      <c r="CH1284" s="210"/>
      <c r="CI1284" s="210"/>
      <c r="CJ1284" s="210"/>
      <c r="CK1284" s="210"/>
    </row>
    <row r="1285">
      <c r="A1285" s="220"/>
      <c r="F1285" s="190"/>
      <c r="G1285" s="190"/>
      <c r="L1285" s="220"/>
      <c r="M1285" s="220"/>
      <c r="O1285" s="210"/>
      <c r="P1285" s="210"/>
      <c r="Q1285" s="210"/>
      <c r="R1285" s="210"/>
      <c r="S1285" s="210"/>
      <c r="T1285" s="210"/>
      <c r="U1285" s="210"/>
      <c r="V1285" s="210"/>
      <c r="W1285" s="210"/>
      <c r="X1285" s="210"/>
      <c r="Y1285" s="210"/>
      <c r="Z1285" s="210"/>
      <c r="AA1285" s="210"/>
      <c r="AB1285" s="210"/>
      <c r="AC1285" s="210"/>
      <c r="AD1285" s="210"/>
      <c r="AE1285" s="210"/>
      <c r="AF1285" s="210"/>
      <c r="AG1285" s="210"/>
      <c r="AH1285" s="210"/>
      <c r="AI1285" s="210"/>
      <c r="AJ1285" s="210"/>
      <c r="AK1285" s="210"/>
      <c r="AL1285" s="210"/>
      <c r="AM1285" s="214"/>
      <c r="AN1285" s="210"/>
      <c r="AO1285" s="210"/>
      <c r="AP1285" s="210"/>
      <c r="AQ1285" s="210"/>
      <c r="AR1285" s="210"/>
      <c r="AS1285" s="210"/>
      <c r="AT1285" s="210"/>
      <c r="AU1285" s="210"/>
      <c r="AV1285" s="210"/>
      <c r="AW1285" s="210"/>
      <c r="AX1285" s="210"/>
      <c r="AY1285" s="210"/>
      <c r="AZ1285" s="210"/>
      <c r="BA1285" s="210"/>
      <c r="BB1285" s="210"/>
      <c r="BC1285" s="210"/>
      <c r="BD1285" s="210"/>
      <c r="BE1285" s="210"/>
      <c r="BF1285" s="210"/>
      <c r="BG1285" s="210"/>
      <c r="BH1285" s="210"/>
      <c r="BI1285" s="210"/>
      <c r="BJ1285" s="210"/>
      <c r="BK1285" s="210"/>
      <c r="BL1285" s="210"/>
      <c r="BM1285" s="210"/>
      <c r="BN1285" s="210"/>
      <c r="BO1285" s="210"/>
      <c r="BP1285" s="210"/>
      <c r="BQ1285" s="210"/>
      <c r="BR1285" s="210"/>
      <c r="BS1285" s="210"/>
      <c r="BT1285" s="210"/>
      <c r="BU1285" s="210"/>
      <c r="BV1285" s="210"/>
      <c r="BW1285" s="210"/>
      <c r="BX1285" s="210"/>
      <c r="BY1285" s="210"/>
      <c r="BZ1285" s="210"/>
      <c r="CA1285" s="210"/>
      <c r="CB1285" s="210"/>
      <c r="CC1285" s="210"/>
      <c r="CD1285" s="210"/>
      <c r="CE1285" s="210"/>
      <c r="CF1285" s="210"/>
      <c r="CG1285" s="210"/>
      <c r="CH1285" s="210"/>
      <c r="CI1285" s="210"/>
      <c r="CJ1285" s="210"/>
      <c r="CK1285" s="210"/>
    </row>
    <row r="1286">
      <c r="A1286" s="220"/>
      <c r="F1286" s="190"/>
      <c r="G1286" s="190"/>
      <c r="L1286" s="220"/>
      <c r="M1286" s="220"/>
      <c r="O1286" s="210"/>
      <c r="P1286" s="210"/>
      <c r="Q1286" s="210"/>
      <c r="R1286" s="210"/>
      <c r="S1286" s="210"/>
      <c r="T1286" s="210"/>
      <c r="U1286" s="210"/>
      <c r="V1286" s="210"/>
      <c r="W1286" s="210"/>
      <c r="X1286" s="210"/>
      <c r="Y1286" s="210"/>
      <c r="Z1286" s="210"/>
      <c r="AA1286" s="210"/>
      <c r="AB1286" s="210"/>
      <c r="AC1286" s="210"/>
      <c r="AD1286" s="210"/>
      <c r="AE1286" s="210"/>
      <c r="AF1286" s="210"/>
      <c r="AG1286" s="210"/>
      <c r="AH1286" s="210"/>
      <c r="AI1286" s="210"/>
      <c r="AJ1286" s="210"/>
      <c r="AK1286" s="210"/>
      <c r="AL1286" s="210"/>
      <c r="AM1286" s="214"/>
      <c r="AN1286" s="210"/>
      <c r="AO1286" s="210"/>
      <c r="AP1286" s="210"/>
      <c r="AQ1286" s="210"/>
      <c r="AR1286" s="210"/>
      <c r="AS1286" s="210"/>
      <c r="AT1286" s="210"/>
      <c r="AU1286" s="210"/>
      <c r="AV1286" s="210"/>
      <c r="AW1286" s="210"/>
      <c r="AX1286" s="210"/>
      <c r="AY1286" s="210"/>
      <c r="AZ1286" s="210"/>
      <c r="BA1286" s="210"/>
      <c r="BB1286" s="210"/>
      <c r="BC1286" s="210"/>
      <c r="BD1286" s="210"/>
      <c r="BE1286" s="210"/>
      <c r="BF1286" s="210"/>
      <c r="BG1286" s="210"/>
      <c r="BH1286" s="210"/>
      <c r="BI1286" s="210"/>
      <c r="BJ1286" s="210"/>
      <c r="BK1286" s="210"/>
      <c r="BL1286" s="210"/>
      <c r="BM1286" s="210"/>
      <c r="BN1286" s="210"/>
      <c r="BO1286" s="210"/>
      <c r="BP1286" s="210"/>
      <c r="BQ1286" s="210"/>
      <c r="BR1286" s="210"/>
      <c r="BS1286" s="210"/>
      <c r="BT1286" s="210"/>
      <c r="BU1286" s="210"/>
      <c r="BV1286" s="210"/>
      <c r="BW1286" s="210"/>
      <c r="BX1286" s="210"/>
      <c r="BY1286" s="210"/>
      <c r="BZ1286" s="210"/>
      <c r="CA1286" s="210"/>
      <c r="CB1286" s="210"/>
      <c r="CC1286" s="210"/>
      <c r="CD1286" s="210"/>
      <c r="CE1286" s="210"/>
      <c r="CF1286" s="210"/>
      <c r="CG1286" s="210"/>
      <c r="CH1286" s="210"/>
      <c r="CI1286" s="210"/>
      <c r="CJ1286" s="210"/>
      <c r="CK1286" s="210"/>
    </row>
    <row r="1287">
      <c r="A1287" s="220"/>
      <c r="F1287" s="190"/>
      <c r="G1287" s="190"/>
      <c r="L1287" s="220"/>
      <c r="M1287" s="220"/>
      <c r="O1287" s="210"/>
      <c r="P1287" s="210"/>
      <c r="Q1287" s="210"/>
      <c r="R1287" s="210"/>
      <c r="S1287" s="210"/>
      <c r="T1287" s="210"/>
      <c r="U1287" s="210"/>
      <c r="V1287" s="210"/>
      <c r="W1287" s="210"/>
      <c r="X1287" s="210"/>
      <c r="Y1287" s="210"/>
      <c r="Z1287" s="210"/>
      <c r="AA1287" s="210"/>
      <c r="AB1287" s="210"/>
      <c r="AC1287" s="210"/>
      <c r="AD1287" s="210"/>
      <c r="AE1287" s="210"/>
      <c r="AF1287" s="210"/>
      <c r="AG1287" s="210"/>
      <c r="AH1287" s="210"/>
      <c r="AI1287" s="210"/>
      <c r="AJ1287" s="210"/>
      <c r="AK1287" s="210"/>
      <c r="AL1287" s="210"/>
      <c r="AM1287" s="214"/>
      <c r="AN1287" s="210"/>
      <c r="AO1287" s="210"/>
      <c r="AP1287" s="210"/>
      <c r="AQ1287" s="210"/>
      <c r="AR1287" s="210"/>
      <c r="AS1287" s="210"/>
      <c r="AT1287" s="210"/>
      <c r="AU1287" s="210"/>
      <c r="AV1287" s="210"/>
      <c r="AW1287" s="210"/>
      <c r="AX1287" s="210"/>
      <c r="AY1287" s="210"/>
      <c r="AZ1287" s="210"/>
      <c r="BA1287" s="210"/>
      <c r="BB1287" s="210"/>
      <c r="BC1287" s="210"/>
      <c r="BD1287" s="210"/>
      <c r="BE1287" s="210"/>
      <c r="BF1287" s="210"/>
      <c r="BG1287" s="210"/>
      <c r="BH1287" s="210"/>
      <c r="BI1287" s="210"/>
      <c r="BJ1287" s="210"/>
      <c r="BK1287" s="210"/>
      <c r="BL1287" s="210"/>
      <c r="BM1287" s="210"/>
      <c r="BN1287" s="210"/>
      <c r="BO1287" s="210"/>
      <c r="BP1287" s="210"/>
      <c r="BQ1287" s="210"/>
      <c r="BR1287" s="210"/>
      <c r="BS1287" s="210"/>
      <c r="BT1287" s="210"/>
      <c r="BU1287" s="210"/>
      <c r="BV1287" s="210"/>
      <c r="BW1287" s="210"/>
      <c r="BX1287" s="210"/>
      <c r="BY1287" s="210"/>
      <c r="BZ1287" s="210"/>
      <c r="CA1287" s="210"/>
      <c r="CB1287" s="210"/>
      <c r="CC1287" s="210"/>
      <c r="CD1287" s="210"/>
      <c r="CE1287" s="210"/>
      <c r="CF1287" s="210"/>
      <c r="CG1287" s="210"/>
      <c r="CH1287" s="210"/>
      <c r="CI1287" s="210"/>
      <c r="CJ1287" s="210"/>
      <c r="CK1287" s="210"/>
    </row>
    <row r="1288">
      <c r="A1288" s="220"/>
      <c r="F1288" s="190"/>
      <c r="G1288" s="190"/>
      <c r="L1288" s="220"/>
      <c r="M1288" s="220"/>
      <c r="O1288" s="210"/>
      <c r="P1288" s="210"/>
      <c r="Q1288" s="210"/>
      <c r="R1288" s="210"/>
      <c r="S1288" s="210"/>
      <c r="T1288" s="210"/>
      <c r="U1288" s="210"/>
      <c r="V1288" s="210"/>
      <c r="W1288" s="210"/>
      <c r="X1288" s="210"/>
      <c r="Y1288" s="210"/>
      <c r="Z1288" s="210"/>
      <c r="AA1288" s="210"/>
      <c r="AB1288" s="210"/>
      <c r="AC1288" s="210"/>
      <c r="AD1288" s="210"/>
      <c r="AE1288" s="210"/>
      <c r="AF1288" s="210"/>
      <c r="AG1288" s="210"/>
      <c r="AH1288" s="210"/>
      <c r="AI1288" s="210"/>
      <c r="AJ1288" s="210"/>
      <c r="AK1288" s="210"/>
      <c r="AL1288" s="210"/>
      <c r="AM1288" s="214"/>
      <c r="AN1288" s="210"/>
      <c r="AO1288" s="210"/>
      <c r="AP1288" s="210"/>
      <c r="AQ1288" s="210"/>
      <c r="AR1288" s="210"/>
      <c r="AS1288" s="210"/>
      <c r="AT1288" s="210"/>
      <c r="AU1288" s="210"/>
      <c r="AV1288" s="210"/>
      <c r="AW1288" s="210"/>
      <c r="AX1288" s="210"/>
      <c r="AY1288" s="210"/>
      <c r="AZ1288" s="210"/>
      <c r="BA1288" s="210"/>
      <c r="BB1288" s="210"/>
      <c r="BC1288" s="210"/>
      <c r="BD1288" s="210"/>
      <c r="BE1288" s="210"/>
      <c r="BF1288" s="210"/>
      <c r="BG1288" s="210"/>
      <c r="BH1288" s="210"/>
      <c r="BI1288" s="210"/>
      <c r="BJ1288" s="210"/>
      <c r="BK1288" s="210"/>
      <c r="BL1288" s="210"/>
      <c r="BM1288" s="210"/>
      <c r="BN1288" s="210"/>
      <c r="BO1288" s="210"/>
      <c r="BP1288" s="210"/>
      <c r="BQ1288" s="210"/>
      <c r="BR1288" s="210"/>
      <c r="BS1288" s="210"/>
      <c r="BT1288" s="210"/>
      <c r="BU1288" s="210"/>
      <c r="BV1288" s="210"/>
      <c r="BW1288" s="210"/>
      <c r="BX1288" s="210"/>
      <c r="BY1288" s="210"/>
      <c r="BZ1288" s="210"/>
      <c r="CA1288" s="210"/>
      <c r="CB1288" s="210"/>
      <c r="CC1288" s="210"/>
      <c r="CD1288" s="210"/>
      <c r="CE1288" s="210"/>
      <c r="CF1288" s="210"/>
      <c r="CG1288" s="210"/>
      <c r="CH1288" s="210"/>
      <c r="CI1288" s="210"/>
      <c r="CJ1288" s="210"/>
      <c r="CK1288" s="210"/>
    </row>
    <row r="1289">
      <c r="A1289" s="220"/>
      <c r="F1289" s="190"/>
      <c r="G1289" s="190"/>
      <c r="L1289" s="220"/>
      <c r="M1289" s="220"/>
      <c r="O1289" s="210"/>
      <c r="P1289" s="210"/>
      <c r="Q1289" s="210"/>
      <c r="R1289" s="210"/>
      <c r="S1289" s="210"/>
      <c r="T1289" s="210"/>
      <c r="U1289" s="210"/>
      <c r="V1289" s="210"/>
      <c r="W1289" s="210"/>
      <c r="X1289" s="210"/>
      <c r="Y1289" s="210"/>
      <c r="Z1289" s="210"/>
      <c r="AA1289" s="210"/>
      <c r="AB1289" s="210"/>
      <c r="AC1289" s="210"/>
      <c r="AD1289" s="210"/>
      <c r="AE1289" s="210"/>
      <c r="AF1289" s="210"/>
      <c r="AG1289" s="210"/>
      <c r="AH1289" s="210"/>
      <c r="AI1289" s="210"/>
      <c r="AJ1289" s="210"/>
      <c r="AK1289" s="210"/>
      <c r="AL1289" s="210"/>
      <c r="AM1289" s="214"/>
      <c r="AN1289" s="210"/>
      <c r="AO1289" s="210"/>
      <c r="AP1289" s="210"/>
      <c r="AQ1289" s="210"/>
      <c r="AR1289" s="210"/>
      <c r="AS1289" s="210"/>
      <c r="AT1289" s="210"/>
      <c r="AU1289" s="210"/>
      <c r="AV1289" s="210"/>
      <c r="AW1289" s="210"/>
      <c r="AX1289" s="210"/>
      <c r="AY1289" s="210"/>
      <c r="AZ1289" s="210"/>
      <c r="BA1289" s="210"/>
      <c r="BB1289" s="210"/>
      <c r="BC1289" s="210"/>
      <c r="BD1289" s="210"/>
      <c r="BE1289" s="210"/>
      <c r="BF1289" s="210"/>
      <c r="BG1289" s="210"/>
      <c r="BH1289" s="210"/>
      <c r="BI1289" s="210"/>
      <c r="BJ1289" s="210"/>
      <c r="BK1289" s="210"/>
      <c r="BL1289" s="210"/>
      <c r="BM1289" s="210"/>
      <c r="BN1289" s="210"/>
      <c r="BO1289" s="210"/>
      <c r="BP1289" s="210"/>
      <c r="BQ1289" s="210"/>
      <c r="BR1289" s="210"/>
      <c r="BS1289" s="210"/>
      <c r="BT1289" s="210"/>
      <c r="BU1289" s="210"/>
      <c r="BV1289" s="210"/>
      <c r="BW1289" s="210"/>
      <c r="BX1289" s="210"/>
      <c r="BY1289" s="210"/>
      <c r="BZ1289" s="210"/>
      <c r="CA1289" s="210"/>
      <c r="CB1289" s="210"/>
      <c r="CC1289" s="210"/>
      <c r="CD1289" s="210"/>
      <c r="CE1289" s="210"/>
      <c r="CF1289" s="210"/>
      <c r="CG1289" s="210"/>
      <c r="CH1289" s="210"/>
      <c r="CI1289" s="210"/>
      <c r="CJ1289" s="210"/>
      <c r="CK1289" s="210"/>
    </row>
    <row r="1290">
      <c r="A1290" s="220"/>
      <c r="F1290" s="190"/>
      <c r="G1290" s="190"/>
      <c r="L1290" s="220"/>
      <c r="M1290" s="220"/>
      <c r="O1290" s="210"/>
      <c r="P1290" s="210"/>
      <c r="Q1290" s="210"/>
      <c r="R1290" s="210"/>
      <c r="S1290" s="210"/>
      <c r="T1290" s="210"/>
      <c r="U1290" s="210"/>
      <c r="V1290" s="210"/>
      <c r="W1290" s="210"/>
      <c r="X1290" s="210"/>
      <c r="Y1290" s="210"/>
      <c r="Z1290" s="210"/>
      <c r="AA1290" s="210"/>
      <c r="AB1290" s="210"/>
      <c r="AC1290" s="210"/>
      <c r="AD1290" s="210"/>
      <c r="AE1290" s="210"/>
      <c r="AF1290" s="210"/>
      <c r="AG1290" s="210"/>
      <c r="AH1290" s="210"/>
      <c r="AI1290" s="210"/>
      <c r="AJ1290" s="210"/>
      <c r="AK1290" s="210"/>
      <c r="AL1290" s="210"/>
      <c r="AM1290" s="214"/>
      <c r="AN1290" s="210"/>
      <c r="AO1290" s="210"/>
      <c r="AP1290" s="210"/>
      <c r="AQ1290" s="210"/>
      <c r="AR1290" s="210"/>
      <c r="AS1290" s="210"/>
      <c r="AT1290" s="210"/>
      <c r="AU1290" s="210"/>
      <c r="AV1290" s="210"/>
      <c r="AW1290" s="210"/>
      <c r="AX1290" s="210"/>
      <c r="AY1290" s="210"/>
      <c r="AZ1290" s="210"/>
      <c r="BA1290" s="210"/>
      <c r="BB1290" s="210"/>
      <c r="BC1290" s="210"/>
      <c r="BD1290" s="210"/>
      <c r="BE1290" s="210"/>
      <c r="BF1290" s="210"/>
      <c r="BG1290" s="210"/>
      <c r="BH1290" s="210"/>
      <c r="BI1290" s="210"/>
      <c r="BJ1290" s="210"/>
      <c r="BK1290" s="210"/>
      <c r="BL1290" s="210"/>
      <c r="BM1290" s="210"/>
      <c r="BN1290" s="210"/>
      <c r="BO1290" s="210"/>
      <c r="BP1290" s="210"/>
      <c r="BQ1290" s="210"/>
      <c r="BR1290" s="210"/>
      <c r="BS1290" s="210"/>
      <c r="BT1290" s="210"/>
      <c r="BU1290" s="210"/>
      <c r="BV1290" s="210"/>
      <c r="BW1290" s="210"/>
      <c r="BX1290" s="210"/>
      <c r="BY1290" s="210"/>
      <c r="BZ1290" s="210"/>
      <c r="CA1290" s="210"/>
      <c r="CB1290" s="210"/>
      <c r="CC1290" s="210"/>
      <c r="CD1290" s="210"/>
      <c r="CE1290" s="210"/>
      <c r="CF1290" s="210"/>
      <c r="CG1290" s="210"/>
      <c r="CH1290" s="210"/>
      <c r="CI1290" s="210"/>
      <c r="CJ1290" s="210"/>
      <c r="CK1290" s="210"/>
    </row>
    <row r="1291">
      <c r="A1291" s="220"/>
      <c r="F1291" s="190"/>
      <c r="G1291" s="190"/>
      <c r="L1291" s="220"/>
      <c r="M1291" s="220"/>
      <c r="O1291" s="210"/>
      <c r="P1291" s="210"/>
      <c r="Q1291" s="210"/>
      <c r="R1291" s="210"/>
      <c r="S1291" s="210"/>
      <c r="T1291" s="210"/>
      <c r="U1291" s="210"/>
      <c r="V1291" s="210"/>
      <c r="W1291" s="210"/>
      <c r="X1291" s="210"/>
      <c r="Y1291" s="210"/>
      <c r="Z1291" s="210"/>
      <c r="AA1291" s="210"/>
      <c r="AB1291" s="210"/>
      <c r="AC1291" s="210"/>
      <c r="AD1291" s="210"/>
      <c r="AE1291" s="210"/>
      <c r="AF1291" s="210"/>
      <c r="AG1291" s="210"/>
      <c r="AH1291" s="210"/>
      <c r="AI1291" s="210"/>
      <c r="AJ1291" s="210"/>
      <c r="AK1291" s="210"/>
      <c r="AL1291" s="210"/>
      <c r="AM1291" s="214"/>
      <c r="AN1291" s="210"/>
      <c r="AO1291" s="210"/>
      <c r="AP1291" s="210"/>
      <c r="AQ1291" s="210"/>
      <c r="AR1291" s="210"/>
      <c r="AS1291" s="210"/>
      <c r="AT1291" s="210"/>
      <c r="AU1291" s="210"/>
      <c r="AV1291" s="210"/>
      <c r="AW1291" s="210"/>
      <c r="AX1291" s="210"/>
      <c r="AY1291" s="210"/>
      <c r="AZ1291" s="210"/>
      <c r="BA1291" s="210"/>
      <c r="BB1291" s="210"/>
      <c r="BC1291" s="210"/>
      <c r="BD1291" s="210"/>
      <c r="BE1291" s="210"/>
      <c r="BF1291" s="210"/>
      <c r="BG1291" s="210"/>
      <c r="BH1291" s="210"/>
      <c r="BI1291" s="210"/>
      <c r="BJ1291" s="210"/>
      <c r="BK1291" s="210"/>
      <c r="BL1291" s="210"/>
      <c r="BM1291" s="210"/>
      <c r="BN1291" s="210"/>
      <c r="BO1291" s="210"/>
      <c r="BP1291" s="210"/>
      <c r="BQ1291" s="210"/>
      <c r="BR1291" s="210"/>
      <c r="BS1291" s="210"/>
      <c r="BT1291" s="210"/>
      <c r="BU1291" s="210"/>
      <c r="BV1291" s="210"/>
      <c r="BW1291" s="210"/>
      <c r="BX1291" s="210"/>
      <c r="BY1291" s="210"/>
      <c r="BZ1291" s="210"/>
      <c r="CA1291" s="210"/>
      <c r="CB1291" s="210"/>
      <c r="CC1291" s="210"/>
      <c r="CD1291" s="210"/>
      <c r="CE1291" s="210"/>
      <c r="CF1291" s="210"/>
      <c r="CG1291" s="210"/>
      <c r="CH1291" s="210"/>
      <c r="CI1291" s="210"/>
      <c r="CJ1291" s="210"/>
      <c r="CK1291" s="210"/>
    </row>
    <row r="1292">
      <c r="A1292" s="220"/>
      <c r="F1292" s="190"/>
      <c r="G1292" s="190"/>
      <c r="L1292" s="220"/>
      <c r="M1292" s="220"/>
      <c r="O1292" s="210"/>
      <c r="P1292" s="210"/>
      <c r="Q1292" s="210"/>
      <c r="R1292" s="210"/>
      <c r="S1292" s="210"/>
      <c r="T1292" s="210"/>
      <c r="U1292" s="210"/>
      <c r="V1292" s="210"/>
      <c r="W1292" s="210"/>
      <c r="X1292" s="210"/>
      <c r="Y1292" s="210"/>
      <c r="Z1292" s="210"/>
      <c r="AA1292" s="210"/>
      <c r="AB1292" s="210"/>
      <c r="AC1292" s="210"/>
      <c r="AD1292" s="210"/>
      <c r="AE1292" s="210"/>
      <c r="AF1292" s="210"/>
      <c r="AG1292" s="210"/>
      <c r="AH1292" s="210"/>
      <c r="AI1292" s="210"/>
      <c r="AJ1292" s="210"/>
      <c r="AK1292" s="210"/>
      <c r="AL1292" s="210"/>
      <c r="AM1292" s="214"/>
      <c r="AN1292" s="210"/>
      <c r="AO1292" s="210"/>
      <c r="AP1292" s="210"/>
      <c r="AQ1292" s="210"/>
      <c r="AR1292" s="210"/>
      <c r="AS1292" s="210"/>
      <c r="AT1292" s="210"/>
      <c r="AU1292" s="210"/>
      <c r="AV1292" s="210"/>
      <c r="AW1292" s="210"/>
      <c r="AX1292" s="210"/>
      <c r="AY1292" s="210"/>
      <c r="AZ1292" s="210"/>
      <c r="BA1292" s="210"/>
      <c r="BB1292" s="210"/>
      <c r="BC1292" s="210"/>
      <c r="BD1292" s="210"/>
      <c r="BE1292" s="210"/>
      <c r="BF1292" s="210"/>
      <c r="BG1292" s="210"/>
      <c r="BH1292" s="210"/>
      <c r="BI1292" s="210"/>
      <c r="BJ1292" s="210"/>
      <c r="BK1292" s="210"/>
      <c r="BL1292" s="210"/>
      <c r="BM1292" s="210"/>
      <c r="BN1292" s="210"/>
      <c r="BO1292" s="210"/>
      <c r="BP1292" s="210"/>
      <c r="BQ1292" s="210"/>
      <c r="BR1292" s="210"/>
      <c r="BS1292" s="210"/>
      <c r="BT1292" s="210"/>
      <c r="BU1292" s="210"/>
      <c r="BV1292" s="210"/>
      <c r="BW1292" s="210"/>
      <c r="BX1292" s="210"/>
      <c r="BY1292" s="210"/>
      <c r="BZ1292" s="210"/>
      <c r="CA1292" s="210"/>
      <c r="CB1292" s="210"/>
      <c r="CC1292" s="210"/>
      <c r="CD1292" s="210"/>
      <c r="CE1292" s="210"/>
      <c r="CF1292" s="210"/>
      <c r="CG1292" s="210"/>
      <c r="CH1292" s="210"/>
      <c r="CI1292" s="210"/>
      <c r="CJ1292" s="210"/>
      <c r="CK1292" s="210"/>
    </row>
    <row r="1293">
      <c r="A1293" s="220"/>
      <c r="F1293" s="190"/>
      <c r="G1293" s="190"/>
      <c r="L1293" s="220"/>
      <c r="M1293" s="220"/>
      <c r="O1293" s="210"/>
      <c r="P1293" s="210"/>
      <c r="Q1293" s="210"/>
      <c r="R1293" s="210"/>
      <c r="S1293" s="210"/>
      <c r="T1293" s="210"/>
      <c r="U1293" s="210"/>
      <c r="V1293" s="210"/>
      <c r="W1293" s="210"/>
      <c r="X1293" s="210"/>
      <c r="Y1293" s="210"/>
      <c r="Z1293" s="210"/>
      <c r="AA1293" s="210"/>
      <c r="AB1293" s="210"/>
      <c r="AC1293" s="210"/>
      <c r="AD1293" s="210"/>
      <c r="AE1293" s="210"/>
      <c r="AF1293" s="210"/>
      <c r="AG1293" s="210"/>
      <c r="AH1293" s="210"/>
      <c r="AI1293" s="210"/>
      <c r="AJ1293" s="210"/>
      <c r="AK1293" s="210"/>
      <c r="AL1293" s="210"/>
      <c r="AM1293" s="214"/>
      <c r="AN1293" s="210"/>
      <c r="AO1293" s="210"/>
      <c r="AP1293" s="210"/>
      <c r="AQ1293" s="210"/>
      <c r="AR1293" s="210"/>
      <c r="AS1293" s="210"/>
      <c r="AT1293" s="210"/>
      <c r="AU1293" s="210"/>
      <c r="AV1293" s="210"/>
      <c r="AW1293" s="210"/>
      <c r="AX1293" s="210"/>
      <c r="AY1293" s="210"/>
      <c r="AZ1293" s="210"/>
      <c r="BA1293" s="210"/>
      <c r="BB1293" s="210"/>
      <c r="BC1293" s="210"/>
      <c r="BD1293" s="210"/>
      <c r="BE1293" s="210"/>
      <c r="BF1293" s="210"/>
      <c r="BG1293" s="210"/>
      <c r="BH1293" s="210"/>
      <c r="BI1293" s="210"/>
      <c r="BJ1293" s="210"/>
      <c r="BK1293" s="210"/>
      <c r="BL1293" s="210"/>
      <c r="BM1293" s="210"/>
      <c r="BN1293" s="210"/>
      <c r="BO1293" s="210"/>
      <c r="BP1293" s="210"/>
      <c r="BQ1293" s="210"/>
      <c r="BR1293" s="210"/>
      <c r="BS1293" s="210"/>
      <c r="BT1293" s="210"/>
      <c r="BU1293" s="210"/>
      <c r="BV1293" s="210"/>
      <c r="BW1293" s="210"/>
      <c r="BX1293" s="210"/>
      <c r="BY1293" s="210"/>
      <c r="BZ1293" s="210"/>
      <c r="CA1293" s="210"/>
      <c r="CB1293" s="210"/>
      <c r="CC1293" s="210"/>
      <c r="CD1293" s="210"/>
      <c r="CE1293" s="210"/>
      <c r="CF1293" s="210"/>
      <c r="CG1293" s="210"/>
      <c r="CH1293" s="210"/>
      <c r="CI1293" s="210"/>
      <c r="CJ1293" s="210"/>
      <c r="CK1293" s="210"/>
    </row>
    <row r="1294">
      <c r="A1294" s="220"/>
      <c r="F1294" s="190"/>
      <c r="G1294" s="190"/>
      <c r="L1294" s="220"/>
      <c r="M1294" s="220"/>
      <c r="O1294" s="210"/>
      <c r="P1294" s="210"/>
      <c r="Q1294" s="210"/>
      <c r="R1294" s="210"/>
      <c r="S1294" s="210"/>
      <c r="T1294" s="210"/>
      <c r="U1294" s="210"/>
      <c r="V1294" s="210"/>
      <c r="W1294" s="210"/>
      <c r="X1294" s="210"/>
      <c r="Y1294" s="210"/>
      <c r="Z1294" s="210"/>
      <c r="AA1294" s="210"/>
      <c r="AB1294" s="210"/>
      <c r="AC1294" s="210"/>
      <c r="AD1294" s="210"/>
      <c r="AE1294" s="210"/>
      <c r="AF1294" s="210"/>
      <c r="AG1294" s="210"/>
      <c r="AH1294" s="210"/>
      <c r="AI1294" s="210"/>
      <c r="AJ1294" s="210"/>
      <c r="AK1294" s="210"/>
      <c r="AL1294" s="210"/>
      <c r="AM1294" s="214"/>
      <c r="AN1294" s="210"/>
      <c r="AO1294" s="210"/>
      <c r="AP1294" s="210"/>
      <c r="AQ1294" s="210"/>
      <c r="AR1294" s="210"/>
      <c r="AS1294" s="210"/>
      <c r="AT1294" s="210"/>
      <c r="AU1294" s="210"/>
      <c r="AV1294" s="210"/>
      <c r="AW1294" s="210"/>
      <c r="AX1294" s="210"/>
      <c r="AY1294" s="210"/>
      <c r="AZ1294" s="210"/>
      <c r="BA1294" s="210"/>
      <c r="BB1294" s="210"/>
      <c r="BC1294" s="210"/>
      <c r="BD1294" s="210"/>
      <c r="BE1294" s="210"/>
      <c r="BF1294" s="210"/>
      <c r="BG1294" s="210"/>
      <c r="BH1294" s="210"/>
      <c r="BI1294" s="210"/>
      <c r="BJ1294" s="210"/>
      <c r="BK1294" s="210"/>
      <c r="BL1294" s="210"/>
      <c r="BM1294" s="210"/>
      <c r="BN1294" s="210"/>
      <c r="BO1294" s="210"/>
      <c r="BP1294" s="210"/>
      <c r="BQ1294" s="210"/>
      <c r="BR1294" s="210"/>
      <c r="BS1294" s="210"/>
      <c r="BT1294" s="210"/>
      <c r="BU1294" s="210"/>
      <c r="BV1294" s="210"/>
      <c r="BW1294" s="210"/>
      <c r="BX1294" s="210"/>
      <c r="BY1294" s="210"/>
      <c r="BZ1294" s="210"/>
      <c r="CA1294" s="210"/>
      <c r="CB1294" s="210"/>
      <c r="CC1294" s="210"/>
      <c r="CD1294" s="210"/>
      <c r="CE1294" s="210"/>
      <c r="CF1294" s="210"/>
      <c r="CG1294" s="210"/>
      <c r="CH1294" s="210"/>
      <c r="CI1294" s="210"/>
      <c r="CJ1294" s="210"/>
      <c r="CK1294" s="210"/>
    </row>
    <row r="1295">
      <c r="A1295" s="220"/>
      <c r="F1295" s="190"/>
      <c r="G1295" s="190"/>
      <c r="L1295" s="220"/>
      <c r="M1295" s="220"/>
      <c r="O1295" s="210"/>
      <c r="P1295" s="210"/>
      <c r="Q1295" s="210"/>
      <c r="R1295" s="210"/>
      <c r="S1295" s="210"/>
      <c r="T1295" s="210"/>
      <c r="U1295" s="210"/>
      <c r="V1295" s="210"/>
      <c r="W1295" s="210"/>
      <c r="X1295" s="210"/>
      <c r="Y1295" s="210"/>
      <c r="Z1295" s="210"/>
      <c r="AA1295" s="210"/>
      <c r="AB1295" s="210"/>
      <c r="AC1295" s="210"/>
      <c r="AD1295" s="210"/>
      <c r="AE1295" s="210"/>
      <c r="AF1295" s="210"/>
      <c r="AG1295" s="210"/>
      <c r="AH1295" s="210"/>
      <c r="AI1295" s="210"/>
      <c r="AJ1295" s="210"/>
      <c r="AK1295" s="210"/>
      <c r="AL1295" s="210"/>
      <c r="AM1295" s="214"/>
      <c r="AN1295" s="210"/>
      <c r="AO1295" s="210"/>
      <c r="AP1295" s="210"/>
      <c r="AQ1295" s="210"/>
      <c r="AR1295" s="210"/>
      <c r="AS1295" s="210"/>
      <c r="AT1295" s="210"/>
      <c r="AU1295" s="210"/>
      <c r="AV1295" s="210"/>
      <c r="AW1295" s="210"/>
      <c r="AX1295" s="210"/>
      <c r="AY1295" s="210"/>
      <c r="AZ1295" s="210"/>
      <c r="BA1295" s="210"/>
      <c r="BB1295" s="210"/>
      <c r="BC1295" s="210"/>
      <c r="BD1295" s="210"/>
      <c r="BE1295" s="210"/>
      <c r="BF1295" s="210"/>
      <c r="BG1295" s="210"/>
      <c r="BH1295" s="210"/>
      <c r="BI1295" s="210"/>
      <c r="BJ1295" s="210"/>
      <c r="BK1295" s="210"/>
      <c r="BL1295" s="210"/>
      <c r="BM1295" s="210"/>
      <c r="BN1295" s="210"/>
      <c r="BO1295" s="210"/>
      <c r="BP1295" s="210"/>
      <c r="BQ1295" s="210"/>
      <c r="BR1295" s="210"/>
      <c r="BS1295" s="210"/>
      <c r="BT1295" s="210"/>
      <c r="BU1295" s="210"/>
      <c r="BV1295" s="210"/>
      <c r="BW1295" s="210"/>
      <c r="BX1295" s="210"/>
      <c r="BY1295" s="210"/>
      <c r="BZ1295" s="210"/>
      <c r="CA1295" s="210"/>
      <c r="CB1295" s="210"/>
      <c r="CC1295" s="210"/>
      <c r="CD1295" s="210"/>
      <c r="CE1295" s="210"/>
      <c r="CF1295" s="210"/>
      <c r="CG1295" s="210"/>
      <c r="CH1295" s="210"/>
      <c r="CI1295" s="210"/>
      <c r="CJ1295" s="210"/>
      <c r="CK1295" s="210"/>
    </row>
    <row r="1296">
      <c r="A1296" s="220"/>
      <c r="F1296" s="190"/>
      <c r="G1296" s="190"/>
      <c r="L1296" s="220"/>
      <c r="M1296" s="220"/>
      <c r="O1296" s="210"/>
      <c r="P1296" s="210"/>
      <c r="Q1296" s="210"/>
      <c r="R1296" s="210"/>
      <c r="S1296" s="210"/>
      <c r="T1296" s="210"/>
      <c r="U1296" s="210"/>
      <c r="V1296" s="210"/>
      <c r="W1296" s="210"/>
      <c r="X1296" s="210"/>
      <c r="Y1296" s="210"/>
      <c r="Z1296" s="210"/>
      <c r="AA1296" s="210"/>
      <c r="AB1296" s="210"/>
      <c r="AC1296" s="210"/>
      <c r="AD1296" s="210"/>
      <c r="AE1296" s="210"/>
      <c r="AF1296" s="210"/>
      <c r="AG1296" s="210"/>
      <c r="AH1296" s="210"/>
      <c r="AI1296" s="210"/>
      <c r="AJ1296" s="210"/>
      <c r="AK1296" s="210"/>
      <c r="AL1296" s="210"/>
      <c r="AM1296" s="214"/>
      <c r="AN1296" s="210"/>
      <c r="AO1296" s="210"/>
      <c r="AP1296" s="210"/>
      <c r="AQ1296" s="210"/>
      <c r="AR1296" s="210"/>
      <c r="AS1296" s="210"/>
      <c r="AT1296" s="210"/>
      <c r="AU1296" s="210"/>
      <c r="AV1296" s="210"/>
      <c r="AW1296" s="210"/>
      <c r="AX1296" s="210"/>
      <c r="AY1296" s="210"/>
      <c r="AZ1296" s="210"/>
      <c r="BA1296" s="210"/>
      <c r="BB1296" s="210"/>
      <c r="BC1296" s="210"/>
      <c r="BD1296" s="210"/>
      <c r="BE1296" s="210"/>
      <c r="BF1296" s="210"/>
      <c r="BG1296" s="210"/>
      <c r="BH1296" s="210"/>
      <c r="BI1296" s="210"/>
      <c r="BJ1296" s="210"/>
      <c r="BK1296" s="210"/>
      <c r="BL1296" s="210"/>
      <c r="BM1296" s="210"/>
      <c r="BN1296" s="210"/>
      <c r="BO1296" s="210"/>
      <c r="BP1296" s="210"/>
      <c r="BQ1296" s="210"/>
      <c r="BR1296" s="210"/>
      <c r="BS1296" s="210"/>
      <c r="BT1296" s="210"/>
      <c r="BU1296" s="210"/>
      <c r="BV1296" s="210"/>
      <c r="BW1296" s="210"/>
      <c r="BX1296" s="210"/>
      <c r="BY1296" s="210"/>
      <c r="BZ1296" s="210"/>
      <c r="CA1296" s="210"/>
      <c r="CB1296" s="210"/>
      <c r="CC1296" s="210"/>
      <c r="CD1296" s="210"/>
      <c r="CE1296" s="210"/>
      <c r="CF1296" s="210"/>
      <c r="CG1296" s="210"/>
      <c r="CH1296" s="210"/>
      <c r="CI1296" s="210"/>
      <c r="CJ1296" s="210"/>
      <c r="CK1296" s="210"/>
    </row>
    <row r="1297">
      <c r="A1297" s="220"/>
      <c r="F1297" s="190"/>
      <c r="G1297" s="190"/>
      <c r="L1297" s="220"/>
      <c r="M1297" s="220"/>
      <c r="O1297" s="210"/>
      <c r="P1297" s="210"/>
      <c r="Q1297" s="210"/>
      <c r="R1297" s="210"/>
      <c r="S1297" s="210"/>
      <c r="T1297" s="210"/>
      <c r="U1297" s="210"/>
      <c r="V1297" s="210"/>
      <c r="W1297" s="210"/>
      <c r="X1297" s="210"/>
      <c r="Y1297" s="210"/>
      <c r="Z1297" s="210"/>
      <c r="AA1297" s="210"/>
      <c r="AB1297" s="210"/>
      <c r="AC1297" s="210"/>
      <c r="AD1297" s="210"/>
      <c r="AE1297" s="210"/>
      <c r="AF1297" s="210"/>
      <c r="AG1297" s="210"/>
      <c r="AH1297" s="210"/>
      <c r="AI1297" s="210"/>
      <c r="AJ1297" s="210"/>
      <c r="AK1297" s="210"/>
      <c r="AL1297" s="210"/>
      <c r="AM1297" s="214"/>
      <c r="AN1297" s="210"/>
      <c r="AO1297" s="210"/>
      <c r="AP1297" s="210"/>
      <c r="AQ1297" s="210"/>
      <c r="AR1297" s="210"/>
      <c r="AS1297" s="210"/>
      <c r="AT1297" s="210"/>
      <c r="AU1297" s="210"/>
      <c r="AV1297" s="210"/>
      <c r="AW1297" s="210"/>
      <c r="AX1297" s="210"/>
      <c r="AY1297" s="210"/>
      <c r="AZ1297" s="210"/>
      <c r="BA1297" s="210"/>
      <c r="BB1297" s="210"/>
      <c r="BC1297" s="210"/>
      <c r="BD1297" s="210"/>
      <c r="BE1297" s="210"/>
      <c r="BF1297" s="210"/>
      <c r="BG1297" s="210"/>
      <c r="BH1297" s="210"/>
      <c r="BI1297" s="210"/>
      <c r="BJ1297" s="210"/>
      <c r="BK1297" s="210"/>
      <c r="BL1297" s="210"/>
      <c r="BM1297" s="210"/>
      <c r="BN1297" s="210"/>
      <c r="BO1297" s="210"/>
      <c r="BP1297" s="210"/>
      <c r="BQ1297" s="210"/>
      <c r="BR1297" s="210"/>
      <c r="BS1297" s="210"/>
      <c r="BT1297" s="210"/>
      <c r="BU1297" s="210"/>
      <c r="BV1297" s="210"/>
      <c r="BW1297" s="210"/>
      <c r="BX1297" s="210"/>
      <c r="BY1297" s="210"/>
      <c r="BZ1297" s="210"/>
      <c r="CA1297" s="210"/>
      <c r="CB1297" s="210"/>
      <c r="CC1297" s="210"/>
      <c r="CD1297" s="210"/>
      <c r="CE1297" s="210"/>
      <c r="CF1297" s="210"/>
      <c r="CG1297" s="210"/>
      <c r="CH1297" s="210"/>
      <c r="CI1297" s="210"/>
      <c r="CJ1297" s="210"/>
      <c r="CK1297" s="210"/>
    </row>
    <row r="1298">
      <c r="A1298" s="220"/>
      <c r="F1298" s="190"/>
      <c r="G1298" s="190"/>
      <c r="L1298" s="220"/>
      <c r="M1298" s="220"/>
      <c r="O1298" s="210"/>
      <c r="P1298" s="210"/>
      <c r="Q1298" s="210"/>
      <c r="R1298" s="210"/>
      <c r="S1298" s="210"/>
      <c r="T1298" s="210"/>
      <c r="U1298" s="210"/>
      <c r="V1298" s="210"/>
      <c r="W1298" s="210"/>
      <c r="X1298" s="210"/>
      <c r="Y1298" s="210"/>
      <c r="Z1298" s="210"/>
      <c r="AA1298" s="210"/>
      <c r="AB1298" s="210"/>
      <c r="AC1298" s="210"/>
      <c r="AD1298" s="210"/>
      <c r="AE1298" s="210"/>
      <c r="AF1298" s="210"/>
      <c r="AG1298" s="210"/>
      <c r="AH1298" s="210"/>
      <c r="AI1298" s="210"/>
      <c r="AJ1298" s="210"/>
      <c r="AK1298" s="210"/>
      <c r="AL1298" s="210"/>
      <c r="AM1298" s="214"/>
      <c r="AN1298" s="210"/>
      <c r="AO1298" s="210"/>
      <c r="AP1298" s="210"/>
      <c r="AQ1298" s="210"/>
      <c r="AR1298" s="210"/>
      <c r="AS1298" s="210"/>
      <c r="AT1298" s="210"/>
      <c r="AU1298" s="210"/>
      <c r="AV1298" s="210"/>
      <c r="AW1298" s="210"/>
      <c r="AX1298" s="210"/>
      <c r="AY1298" s="210"/>
      <c r="AZ1298" s="210"/>
      <c r="BA1298" s="210"/>
      <c r="BB1298" s="210"/>
      <c r="BC1298" s="210"/>
      <c r="BD1298" s="210"/>
      <c r="BE1298" s="210"/>
      <c r="BF1298" s="210"/>
      <c r="BG1298" s="210"/>
      <c r="BH1298" s="210"/>
      <c r="BI1298" s="210"/>
      <c r="BJ1298" s="210"/>
      <c r="BK1298" s="210"/>
      <c r="BL1298" s="210"/>
      <c r="BM1298" s="210"/>
      <c r="BN1298" s="210"/>
      <c r="BO1298" s="210"/>
      <c r="BP1298" s="210"/>
      <c r="BQ1298" s="210"/>
      <c r="BR1298" s="210"/>
      <c r="BS1298" s="210"/>
      <c r="BT1298" s="210"/>
      <c r="BU1298" s="210"/>
      <c r="BV1298" s="210"/>
      <c r="BW1298" s="210"/>
      <c r="BX1298" s="210"/>
      <c r="BY1298" s="210"/>
      <c r="BZ1298" s="210"/>
      <c r="CA1298" s="210"/>
      <c r="CB1298" s="210"/>
      <c r="CC1298" s="210"/>
      <c r="CD1298" s="210"/>
      <c r="CE1298" s="210"/>
      <c r="CF1298" s="210"/>
      <c r="CG1298" s="210"/>
      <c r="CH1298" s="210"/>
      <c r="CI1298" s="210"/>
      <c r="CJ1298" s="210"/>
      <c r="CK1298" s="210"/>
    </row>
    <row r="1299">
      <c r="A1299" s="220"/>
      <c r="F1299" s="190"/>
      <c r="G1299" s="190"/>
      <c r="L1299" s="220"/>
      <c r="M1299" s="220"/>
      <c r="O1299" s="210"/>
      <c r="P1299" s="210"/>
      <c r="Q1299" s="210"/>
      <c r="R1299" s="210"/>
      <c r="S1299" s="210"/>
      <c r="T1299" s="210"/>
      <c r="U1299" s="210"/>
      <c r="V1299" s="210"/>
      <c r="W1299" s="210"/>
      <c r="X1299" s="210"/>
      <c r="Y1299" s="210"/>
      <c r="Z1299" s="210"/>
      <c r="AA1299" s="210"/>
      <c r="AB1299" s="210"/>
      <c r="AC1299" s="210"/>
      <c r="AD1299" s="210"/>
      <c r="AE1299" s="210"/>
      <c r="AF1299" s="210"/>
      <c r="AG1299" s="210"/>
      <c r="AH1299" s="210"/>
      <c r="AI1299" s="210"/>
      <c r="AJ1299" s="210"/>
      <c r="AK1299" s="210"/>
      <c r="AL1299" s="210"/>
      <c r="AM1299" s="214"/>
      <c r="AN1299" s="210"/>
      <c r="AO1299" s="210"/>
      <c r="AP1299" s="210"/>
      <c r="AQ1299" s="210"/>
      <c r="AR1299" s="210"/>
      <c r="AS1299" s="210"/>
      <c r="AT1299" s="210"/>
      <c r="AU1299" s="210"/>
      <c r="AV1299" s="210"/>
      <c r="AW1299" s="210"/>
      <c r="AX1299" s="210"/>
      <c r="AY1299" s="210"/>
      <c r="AZ1299" s="210"/>
      <c r="BA1299" s="210"/>
      <c r="BB1299" s="210"/>
      <c r="BC1299" s="210"/>
      <c r="BD1299" s="210"/>
      <c r="BE1299" s="210"/>
      <c r="BF1299" s="210"/>
      <c r="BG1299" s="210"/>
      <c r="BH1299" s="210"/>
      <c r="BI1299" s="210"/>
      <c r="BJ1299" s="210"/>
      <c r="BK1299" s="210"/>
      <c r="BL1299" s="210"/>
      <c r="BM1299" s="210"/>
      <c r="BN1299" s="210"/>
      <c r="BO1299" s="210"/>
      <c r="BP1299" s="210"/>
      <c r="BQ1299" s="210"/>
      <c r="BR1299" s="210"/>
      <c r="BS1299" s="210"/>
      <c r="BT1299" s="210"/>
      <c r="BU1299" s="210"/>
      <c r="BV1299" s="210"/>
      <c r="BW1299" s="210"/>
      <c r="BX1299" s="210"/>
      <c r="BY1299" s="210"/>
      <c r="BZ1299" s="210"/>
      <c r="CA1299" s="210"/>
      <c r="CB1299" s="210"/>
      <c r="CC1299" s="210"/>
      <c r="CD1299" s="210"/>
      <c r="CE1299" s="210"/>
      <c r="CF1299" s="210"/>
      <c r="CG1299" s="210"/>
      <c r="CH1299" s="210"/>
      <c r="CI1299" s="210"/>
      <c r="CJ1299" s="210"/>
      <c r="CK1299" s="210"/>
    </row>
    <row r="1300">
      <c r="A1300" s="220"/>
      <c r="F1300" s="190"/>
      <c r="G1300" s="190"/>
      <c r="L1300" s="220"/>
      <c r="M1300" s="220"/>
      <c r="O1300" s="210"/>
      <c r="P1300" s="210"/>
      <c r="Q1300" s="210"/>
      <c r="R1300" s="210"/>
      <c r="S1300" s="210"/>
      <c r="T1300" s="210"/>
      <c r="U1300" s="210"/>
      <c r="V1300" s="210"/>
      <c r="W1300" s="210"/>
      <c r="X1300" s="210"/>
      <c r="Y1300" s="210"/>
      <c r="Z1300" s="210"/>
      <c r="AA1300" s="210"/>
      <c r="AB1300" s="210"/>
      <c r="AC1300" s="210"/>
      <c r="AD1300" s="210"/>
      <c r="AE1300" s="210"/>
      <c r="AF1300" s="210"/>
      <c r="AG1300" s="210"/>
      <c r="AH1300" s="210"/>
      <c r="AI1300" s="210"/>
      <c r="AJ1300" s="210"/>
      <c r="AK1300" s="210"/>
      <c r="AL1300" s="210"/>
      <c r="AM1300" s="214"/>
      <c r="AN1300" s="210"/>
      <c r="AO1300" s="210"/>
      <c r="AP1300" s="210"/>
      <c r="AQ1300" s="210"/>
      <c r="AR1300" s="210"/>
      <c r="AS1300" s="210"/>
      <c r="AT1300" s="210"/>
      <c r="AU1300" s="210"/>
      <c r="AV1300" s="210"/>
      <c r="AW1300" s="210"/>
      <c r="AX1300" s="210"/>
      <c r="AY1300" s="210"/>
      <c r="AZ1300" s="210"/>
      <c r="BA1300" s="210"/>
      <c r="BB1300" s="210"/>
      <c r="BC1300" s="210"/>
      <c r="BD1300" s="210"/>
      <c r="BE1300" s="210"/>
      <c r="BF1300" s="210"/>
      <c r="BG1300" s="210"/>
      <c r="BH1300" s="210"/>
      <c r="BI1300" s="210"/>
      <c r="BJ1300" s="210"/>
      <c r="BK1300" s="210"/>
      <c r="BL1300" s="210"/>
      <c r="BM1300" s="210"/>
      <c r="BN1300" s="210"/>
      <c r="BO1300" s="210"/>
      <c r="BP1300" s="210"/>
      <c r="BQ1300" s="210"/>
      <c r="BR1300" s="210"/>
      <c r="BS1300" s="210"/>
      <c r="BT1300" s="210"/>
      <c r="BU1300" s="210"/>
      <c r="BV1300" s="210"/>
      <c r="BW1300" s="210"/>
      <c r="BX1300" s="210"/>
      <c r="BY1300" s="210"/>
      <c r="BZ1300" s="210"/>
      <c r="CA1300" s="210"/>
      <c r="CB1300" s="210"/>
      <c r="CC1300" s="210"/>
      <c r="CD1300" s="210"/>
      <c r="CE1300" s="210"/>
      <c r="CF1300" s="210"/>
      <c r="CG1300" s="210"/>
      <c r="CH1300" s="210"/>
      <c r="CI1300" s="210"/>
      <c r="CJ1300" s="210"/>
      <c r="CK1300" s="210"/>
    </row>
    <row r="1301">
      <c r="A1301" s="220"/>
      <c r="F1301" s="190"/>
      <c r="G1301" s="190"/>
      <c r="L1301" s="220"/>
      <c r="M1301" s="220"/>
      <c r="O1301" s="210"/>
      <c r="P1301" s="210"/>
      <c r="Q1301" s="210"/>
      <c r="R1301" s="210"/>
      <c r="S1301" s="210"/>
      <c r="T1301" s="210"/>
      <c r="U1301" s="210"/>
      <c r="V1301" s="210"/>
      <c r="W1301" s="210"/>
      <c r="X1301" s="210"/>
      <c r="Y1301" s="210"/>
      <c r="Z1301" s="210"/>
      <c r="AA1301" s="210"/>
      <c r="AB1301" s="210"/>
      <c r="AC1301" s="210"/>
      <c r="AD1301" s="210"/>
      <c r="AE1301" s="210"/>
      <c r="AF1301" s="210"/>
      <c r="AG1301" s="210"/>
      <c r="AH1301" s="210"/>
      <c r="AI1301" s="210"/>
      <c r="AJ1301" s="210"/>
      <c r="AK1301" s="210"/>
      <c r="AL1301" s="210"/>
      <c r="AM1301" s="214"/>
      <c r="AN1301" s="210"/>
      <c r="AO1301" s="210"/>
      <c r="AP1301" s="210"/>
      <c r="AQ1301" s="210"/>
      <c r="AR1301" s="210"/>
      <c r="AS1301" s="210"/>
      <c r="AT1301" s="210"/>
      <c r="AU1301" s="210"/>
      <c r="AV1301" s="210"/>
      <c r="AW1301" s="210"/>
      <c r="AX1301" s="210"/>
      <c r="AY1301" s="210"/>
      <c r="AZ1301" s="210"/>
      <c r="BA1301" s="210"/>
      <c r="BB1301" s="210"/>
      <c r="BC1301" s="210"/>
      <c r="BD1301" s="210"/>
      <c r="BE1301" s="210"/>
      <c r="BF1301" s="210"/>
      <c r="BG1301" s="210"/>
      <c r="BH1301" s="210"/>
      <c r="BI1301" s="210"/>
      <c r="BJ1301" s="210"/>
      <c r="BK1301" s="210"/>
      <c r="BL1301" s="210"/>
      <c r="BM1301" s="210"/>
      <c r="BN1301" s="210"/>
      <c r="BO1301" s="210"/>
      <c r="BP1301" s="210"/>
      <c r="BQ1301" s="210"/>
      <c r="BR1301" s="210"/>
      <c r="BS1301" s="210"/>
      <c r="BT1301" s="210"/>
      <c r="BU1301" s="210"/>
      <c r="BV1301" s="210"/>
      <c r="BW1301" s="210"/>
      <c r="BX1301" s="210"/>
      <c r="BY1301" s="210"/>
      <c r="BZ1301" s="210"/>
      <c r="CA1301" s="210"/>
      <c r="CB1301" s="210"/>
      <c r="CC1301" s="210"/>
      <c r="CD1301" s="210"/>
      <c r="CE1301" s="210"/>
      <c r="CF1301" s="210"/>
      <c r="CG1301" s="210"/>
      <c r="CH1301" s="210"/>
      <c r="CI1301" s="210"/>
      <c r="CJ1301" s="210"/>
      <c r="CK1301" s="210"/>
    </row>
    <row r="1302">
      <c r="A1302" s="220"/>
      <c r="F1302" s="190"/>
      <c r="G1302" s="190"/>
      <c r="L1302" s="220"/>
      <c r="M1302" s="220"/>
      <c r="O1302" s="210"/>
      <c r="P1302" s="210"/>
      <c r="Q1302" s="210"/>
      <c r="R1302" s="210"/>
      <c r="S1302" s="210"/>
      <c r="T1302" s="210"/>
      <c r="U1302" s="210"/>
      <c r="V1302" s="210"/>
      <c r="W1302" s="210"/>
      <c r="X1302" s="210"/>
      <c r="Y1302" s="210"/>
      <c r="Z1302" s="210"/>
      <c r="AA1302" s="210"/>
      <c r="AB1302" s="210"/>
      <c r="AC1302" s="210"/>
      <c r="AD1302" s="210"/>
      <c r="AE1302" s="210"/>
      <c r="AF1302" s="210"/>
      <c r="AG1302" s="210"/>
      <c r="AH1302" s="210"/>
      <c r="AI1302" s="210"/>
      <c r="AJ1302" s="210"/>
      <c r="AK1302" s="210"/>
      <c r="AL1302" s="210"/>
      <c r="AM1302" s="214"/>
      <c r="AN1302" s="210"/>
      <c r="AO1302" s="210"/>
      <c r="AP1302" s="210"/>
      <c r="AQ1302" s="210"/>
      <c r="AR1302" s="210"/>
      <c r="AS1302" s="210"/>
      <c r="AT1302" s="210"/>
      <c r="AU1302" s="210"/>
      <c r="AV1302" s="210"/>
      <c r="AW1302" s="210"/>
      <c r="AX1302" s="210"/>
      <c r="AY1302" s="210"/>
      <c r="AZ1302" s="210"/>
      <c r="BA1302" s="210"/>
      <c r="BB1302" s="210"/>
      <c r="BC1302" s="210"/>
      <c r="BD1302" s="210"/>
      <c r="BE1302" s="210"/>
      <c r="BF1302" s="210"/>
      <c r="BG1302" s="210"/>
      <c r="BH1302" s="210"/>
      <c r="BI1302" s="210"/>
      <c r="BJ1302" s="210"/>
      <c r="BK1302" s="210"/>
      <c r="BL1302" s="210"/>
      <c r="BM1302" s="210"/>
      <c r="BN1302" s="210"/>
      <c r="BO1302" s="210"/>
      <c r="BP1302" s="210"/>
      <c r="BQ1302" s="210"/>
      <c r="BR1302" s="210"/>
      <c r="BS1302" s="210"/>
      <c r="BT1302" s="210"/>
      <c r="BU1302" s="210"/>
      <c r="BV1302" s="210"/>
      <c r="BW1302" s="210"/>
      <c r="BX1302" s="210"/>
      <c r="BY1302" s="210"/>
      <c r="BZ1302" s="210"/>
      <c r="CA1302" s="210"/>
      <c r="CB1302" s="210"/>
      <c r="CC1302" s="210"/>
      <c r="CD1302" s="210"/>
      <c r="CE1302" s="210"/>
      <c r="CF1302" s="210"/>
      <c r="CG1302" s="210"/>
      <c r="CH1302" s="210"/>
      <c r="CI1302" s="210"/>
      <c r="CJ1302" s="210"/>
      <c r="CK1302" s="210"/>
    </row>
    <row r="1303">
      <c r="A1303" s="220"/>
      <c r="F1303" s="190"/>
      <c r="G1303" s="190"/>
      <c r="L1303" s="220"/>
      <c r="M1303" s="220"/>
      <c r="O1303" s="210"/>
      <c r="P1303" s="210"/>
      <c r="Q1303" s="210"/>
      <c r="R1303" s="210"/>
      <c r="S1303" s="210"/>
      <c r="T1303" s="210"/>
      <c r="U1303" s="210"/>
      <c r="V1303" s="210"/>
      <c r="W1303" s="210"/>
      <c r="X1303" s="210"/>
      <c r="Y1303" s="210"/>
      <c r="Z1303" s="210"/>
      <c r="AA1303" s="210"/>
      <c r="AB1303" s="210"/>
      <c r="AC1303" s="210"/>
      <c r="AD1303" s="210"/>
      <c r="AE1303" s="210"/>
      <c r="AF1303" s="210"/>
      <c r="AG1303" s="210"/>
      <c r="AH1303" s="210"/>
      <c r="AI1303" s="210"/>
      <c r="AJ1303" s="210"/>
      <c r="AK1303" s="210"/>
      <c r="AL1303" s="210"/>
      <c r="AM1303" s="214"/>
      <c r="AN1303" s="210"/>
      <c r="AO1303" s="210"/>
      <c r="AP1303" s="210"/>
      <c r="AQ1303" s="210"/>
      <c r="AR1303" s="210"/>
      <c r="AS1303" s="210"/>
      <c r="AT1303" s="210"/>
      <c r="AU1303" s="210"/>
      <c r="AV1303" s="210"/>
      <c r="AW1303" s="210"/>
      <c r="AX1303" s="210"/>
      <c r="AY1303" s="210"/>
      <c r="AZ1303" s="210"/>
      <c r="BA1303" s="210"/>
      <c r="BB1303" s="210"/>
      <c r="BC1303" s="210"/>
      <c r="BD1303" s="210"/>
      <c r="BE1303" s="210"/>
      <c r="BF1303" s="210"/>
      <c r="BG1303" s="210"/>
      <c r="BH1303" s="210"/>
      <c r="BI1303" s="210"/>
      <c r="BJ1303" s="210"/>
      <c r="BK1303" s="210"/>
      <c r="BL1303" s="210"/>
      <c r="BM1303" s="210"/>
      <c r="BN1303" s="210"/>
      <c r="BO1303" s="210"/>
      <c r="BP1303" s="210"/>
      <c r="BQ1303" s="210"/>
      <c r="BR1303" s="210"/>
      <c r="BS1303" s="210"/>
      <c r="BT1303" s="210"/>
      <c r="BU1303" s="210"/>
      <c r="BV1303" s="210"/>
      <c r="BW1303" s="210"/>
      <c r="BX1303" s="210"/>
      <c r="BY1303" s="210"/>
      <c r="BZ1303" s="210"/>
      <c r="CA1303" s="210"/>
      <c r="CB1303" s="210"/>
      <c r="CC1303" s="210"/>
      <c r="CD1303" s="210"/>
      <c r="CE1303" s="210"/>
      <c r="CF1303" s="210"/>
      <c r="CG1303" s="210"/>
      <c r="CH1303" s="210"/>
      <c r="CI1303" s="210"/>
      <c r="CJ1303" s="210"/>
      <c r="CK1303" s="210"/>
    </row>
    <row r="1304">
      <c r="A1304" s="220"/>
      <c r="F1304" s="190"/>
      <c r="G1304" s="190"/>
      <c r="L1304" s="220"/>
      <c r="M1304" s="220"/>
      <c r="O1304" s="210"/>
      <c r="P1304" s="210"/>
      <c r="Q1304" s="210"/>
      <c r="R1304" s="210"/>
      <c r="S1304" s="210"/>
      <c r="T1304" s="210"/>
      <c r="U1304" s="210"/>
      <c r="V1304" s="210"/>
      <c r="W1304" s="210"/>
      <c r="X1304" s="210"/>
      <c r="Y1304" s="210"/>
      <c r="Z1304" s="210"/>
      <c r="AA1304" s="210"/>
      <c r="AB1304" s="210"/>
      <c r="AC1304" s="210"/>
      <c r="AD1304" s="210"/>
      <c r="AE1304" s="210"/>
      <c r="AF1304" s="210"/>
      <c r="AG1304" s="210"/>
      <c r="AH1304" s="210"/>
      <c r="AI1304" s="210"/>
      <c r="AJ1304" s="210"/>
      <c r="AK1304" s="210"/>
      <c r="AL1304" s="210"/>
      <c r="AM1304" s="214"/>
      <c r="AN1304" s="210"/>
      <c r="AO1304" s="210"/>
      <c r="AP1304" s="210"/>
      <c r="AQ1304" s="210"/>
      <c r="AR1304" s="210"/>
      <c r="AS1304" s="210"/>
      <c r="AT1304" s="210"/>
      <c r="AU1304" s="210"/>
      <c r="AV1304" s="210"/>
      <c r="AW1304" s="210"/>
      <c r="AX1304" s="210"/>
      <c r="AY1304" s="210"/>
      <c r="AZ1304" s="210"/>
      <c r="BA1304" s="210"/>
      <c r="BB1304" s="210"/>
      <c r="BC1304" s="210"/>
      <c r="BD1304" s="210"/>
      <c r="BE1304" s="210"/>
      <c r="BF1304" s="210"/>
      <c r="BG1304" s="210"/>
      <c r="BH1304" s="210"/>
      <c r="BI1304" s="210"/>
      <c r="BJ1304" s="210"/>
      <c r="BK1304" s="210"/>
      <c r="BL1304" s="210"/>
      <c r="BM1304" s="210"/>
      <c r="BN1304" s="210"/>
      <c r="BO1304" s="210"/>
      <c r="BP1304" s="210"/>
      <c r="BQ1304" s="210"/>
      <c r="BR1304" s="210"/>
      <c r="BS1304" s="210"/>
      <c r="BT1304" s="210"/>
      <c r="BU1304" s="210"/>
      <c r="BV1304" s="210"/>
      <c r="BW1304" s="210"/>
      <c r="BX1304" s="210"/>
      <c r="BY1304" s="210"/>
      <c r="BZ1304" s="210"/>
      <c r="CA1304" s="210"/>
      <c r="CB1304" s="210"/>
      <c r="CC1304" s="210"/>
      <c r="CD1304" s="210"/>
      <c r="CE1304" s="210"/>
      <c r="CF1304" s="210"/>
      <c r="CG1304" s="210"/>
      <c r="CH1304" s="210"/>
      <c r="CI1304" s="210"/>
      <c r="CJ1304" s="210"/>
      <c r="CK1304" s="210"/>
    </row>
    <row r="1305">
      <c r="A1305" s="220"/>
      <c r="F1305" s="190"/>
      <c r="G1305" s="190"/>
      <c r="L1305" s="220"/>
      <c r="M1305" s="220"/>
      <c r="O1305" s="210"/>
      <c r="P1305" s="210"/>
      <c r="Q1305" s="210"/>
      <c r="R1305" s="210"/>
      <c r="S1305" s="210"/>
      <c r="T1305" s="210"/>
      <c r="U1305" s="210"/>
      <c r="V1305" s="210"/>
      <c r="W1305" s="210"/>
      <c r="X1305" s="210"/>
      <c r="Y1305" s="210"/>
      <c r="Z1305" s="210"/>
      <c r="AA1305" s="210"/>
      <c r="AB1305" s="210"/>
      <c r="AC1305" s="210"/>
      <c r="AD1305" s="210"/>
      <c r="AE1305" s="210"/>
      <c r="AF1305" s="210"/>
      <c r="AG1305" s="210"/>
      <c r="AH1305" s="210"/>
      <c r="AI1305" s="210"/>
      <c r="AJ1305" s="210"/>
      <c r="AK1305" s="210"/>
      <c r="AL1305" s="210"/>
      <c r="AM1305" s="214"/>
      <c r="AN1305" s="210"/>
      <c r="AO1305" s="210"/>
      <c r="AP1305" s="210"/>
      <c r="AQ1305" s="210"/>
      <c r="AR1305" s="210"/>
      <c r="AS1305" s="210"/>
      <c r="AT1305" s="210"/>
      <c r="AU1305" s="210"/>
      <c r="AV1305" s="210"/>
      <c r="AW1305" s="210"/>
      <c r="AX1305" s="210"/>
      <c r="AY1305" s="210"/>
      <c r="AZ1305" s="210"/>
      <c r="BA1305" s="210"/>
      <c r="BB1305" s="210"/>
      <c r="BC1305" s="210"/>
      <c r="BD1305" s="210"/>
      <c r="BE1305" s="210"/>
      <c r="BF1305" s="210"/>
      <c r="BG1305" s="210"/>
      <c r="BH1305" s="210"/>
      <c r="BI1305" s="210"/>
      <c r="BJ1305" s="210"/>
      <c r="BK1305" s="210"/>
      <c r="BL1305" s="210"/>
      <c r="BM1305" s="210"/>
      <c r="BN1305" s="210"/>
      <c r="BO1305" s="210"/>
      <c r="BP1305" s="210"/>
      <c r="BQ1305" s="210"/>
      <c r="BR1305" s="210"/>
      <c r="BS1305" s="210"/>
      <c r="BT1305" s="210"/>
      <c r="BU1305" s="210"/>
      <c r="BV1305" s="210"/>
      <c r="BW1305" s="210"/>
      <c r="BX1305" s="210"/>
      <c r="BY1305" s="210"/>
      <c r="BZ1305" s="210"/>
      <c r="CA1305" s="210"/>
      <c r="CB1305" s="210"/>
      <c r="CC1305" s="210"/>
      <c r="CD1305" s="210"/>
      <c r="CE1305" s="210"/>
      <c r="CF1305" s="210"/>
      <c r="CG1305" s="210"/>
      <c r="CH1305" s="210"/>
      <c r="CI1305" s="210"/>
      <c r="CJ1305" s="210"/>
      <c r="CK1305" s="210"/>
    </row>
    <row r="1306">
      <c r="A1306" s="220"/>
      <c r="F1306" s="190"/>
      <c r="G1306" s="190"/>
      <c r="L1306" s="220"/>
      <c r="M1306" s="220"/>
      <c r="O1306" s="210"/>
      <c r="P1306" s="210"/>
      <c r="Q1306" s="210"/>
      <c r="R1306" s="210"/>
      <c r="S1306" s="210"/>
      <c r="T1306" s="210"/>
      <c r="U1306" s="210"/>
      <c r="V1306" s="210"/>
      <c r="W1306" s="210"/>
      <c r="X1306" s="210"/>
      <c r="Y1306" s="210"/>
      <c r="Z1306" s="210"/>
      <c r="AA1306" s="210"/>
      <c r="AB1306" s="210"/>
      <c r="AC1306" s="210"/>
      <c r="AD1306" s="210"/>
      <c r="AE1306" s="210"/>
      <c r="AF1306" s="210"/>
      <c r="AG1306" s="210"/>
      <c r="AH1306" s="210"/>
      <c r="AI1306" s="210"/>
      <c r="AJ1306" s="210"/>
      <c r="AK1306" s="210"/>
      <c r="AL1306" s="210"/>
      <c r="AM1306" s="214"/>
      <c r="AN1306" s="210"/>
      <c r="AO1306" s="210"/>
      <c r="AP1306" s="210"/>
      <c r="AQ1306" s="210"/>
      <c r="AR1306" s="210"/>
      <c r="AS1306" s="210"/>
      <c r="AT1306" s="210"/>
      <c r="AU1306" s="210"/>
      <c r="AV1306" s="210"/>
      <c r="AW1306" s="210"/>
      <c r="AX1306" s="210"/>
      <c r="AY1306" s="210"/>
      <c r="AZ1306" s="210"/>
      <c r="BA1306" s="210"/>
      <c r="BB1306" s="210"/>
      <c r="BC1306" s="210"/>
      <c r="BD1306" s="210"/>
      <c r="BE1306" s="210"/>
      <c r="BF1306" s="210"/>
      <c r="BG1306" s="210"/>
      <c r="BH1306" s="210"/>
      <c r="BI1306" s="210"/>
      <c r="BJ1306" s="210"/>
      <c r="BK1306" s="210"/>
      <c r="BL1306" s="210"/>
      <c r="BM1306" s="210"/>
      <c r="BN1306" s="210"/>
      <c r="BO1306" s="210"/>
      <c r="BP1306" s="210"/>
      <c r="BQ1306" s="210"/>
      <c r="BR1306" s="210"/>
      <c r="BS1306" s="210"/>
      <c r="BT1306" s="210"/>
      <c r="BU1306" s="210"/>
      <c r="BV1306" s="210"/>
      <c r="BW1306" s="210"/>
      <c r="BX1306" s="210"/>
      <c r="BY1306" s="210"/>
      <c r="BZ1306" s="210"/>
      <c r="CA1306" s="210"/>
      <c r="CB1306" s="210"/>
      <c r="CC1306" s="210"/>
      <c r="CD1306" s="210"/>
      <c r="CE1306" s="210"/>
      <c r="CF1306" s="210"/>
      <c r="CG1306" s="210"/>
      <c r="CH1306" s="210"/>
      <c r="CI1306" s="210"/>
      <c r="CJ1306" s="210"/>
      <c r="CK1306" s="210"/>
    </row>
    <row r="1307">
      <c r="A1307" s="220"/>
      <c r="F1307" s="190"/>
      <c r="G1307" s="190"/>
      <c r="L1307" s="220"/>
      <c r="M1307" s="220"/>
      <c r="O1307" s="210"/>
      <c r="P1307" s="210"/>
      <c r="Q1307" s="210"/>
      <c r="R1307" s="210"/>
      <c r="S1307" s="210"/>
      <c r="T1307" s="210"/>
      <c r="U1307" s="210"/>
      <c r="V1307" s="210"/>
      <c r="W1307" s="210"/>
      <c r="X1307" s="210"/>
      <c r="Y1307" s="210"/>
      <c r="Z1307" s="210"/>
      <c r="AA1307" s="210"/>
      <c r="AB1307" s="210"/>
      <c r="AC1307" s="210"/>
      <c r="AD1307" s="210"/>
      <c r="AE1307" s="210"/>
      <c r="AF1307" s="210"/>
      <c r="AG1307" s="210"/>
      <c r="AH1307" s="210"/>
      <c r="AI1307" s="210"/>
      <c r="AJ1307" s="210"/>
      <c r="AK1307" s="210"/>
      <c r="AL1307" s="210"/>
      <c r="AM1307" s="214"/>
      <c r="AN1307" s="210"/>
      <c r="AO1307" s="210"/>
      <c r="AP1307" s="210"/>
      <c r="AQ1307" s="210"/>
      <c r="AR1307" s="210"/>
      <c r="AS1307" s="210"/>
      <c r="AT1307" s="210"/>
      <c r="AU1307" s="210"/>
      <c r="AV1307" s="210"/>
      <c r="AW1307" s="210"/>
      <c r="AX1307" s="210"/>
      <c r="AY1307" s="210"/>
      <c r="AZ1307" s="210"/>
      <c r="BA1307" s="210"/>
      <c r="BB1307" s="210"/>
      <c r="BC1307" s="210"/>
      <c r="BD1307" s="210"/>
      <c r="BE1307" s="210"/>
      <c r="BF1307" s="210"/>
      <c r="BG1307" s="210"/>
      <c r="BH1307" s="210"/>
      <c r="BI1307" s="210"/>
      <c r="BJ1307" s="210"/>
      <c r="BK1307" s="210"/>
      <c r="BL1307" s="210"/>
      <c r="BM1307" s="210"/>
      <c r="BN1307" s="210"/>
      <c r="BO1307" s="210"/>
      <c r="BP1307" s="210"/>
      <c r="BQ1307" s="210"/>
      <c r="BR1307" s="210"/>
      <c r="BS1307" s="210"/>
      <c r="BT1307" s="210"/>
      <c r="BU1307" s="210"/>
      <c r="BV1307" s="210"/>
      <c r="BW1307" s="210"/>
      <c r="BX1307" s="210"/>
      <c r="BY1307" s="210"/>
      <c r="BZ1307" s="210"/>
      <c r="CA1307" s="210"/>
      <c r="CB1307" s="210"/>
      <c r="CC1307" s="210"/>
      <c r="CD1307" s="210"/>
      <c r="CE1307" s="210"/>
      <c r="CF1307" s="210"/>
      <c r="CG1307" s="210"/>
      <c r="CH1307" s="210"/>
      <c r="CI1307" s="210"/>
      <c r="CJ1307" s="210"/>
      <c r="CK1307" s="210"/>
    </row>
    <row r="1308">
      <c r="A1308" s="220"/>
      <c r="F1308" s="190"/>
      <c r="G1308" s="190"/>
      <c r="L1308" s="220"/>
      <c r="M1308" s="220"/>
      <c r="O1308" s="210"/>
      <c r="P1308" s="210"/>
      <c r="Q1308" s="210"/>
      <c r="R1308" s="210"/>
      <c r="S1308" s="210"/>
      <c r="T1308" s="210"/>
      <c r="U1308" s="210"/>
      <c r="V1308" s="210"/>
      <c r="W1308" s="210"/>
      <c r="X1308" s="210"/>
      <c r="Y1308" s="210"/>
      <c r="Z1308" s="210"/>
      <c r="AA1308" s="210"/>
      <c r="AB1308" s="210"/>
      <c r="AC1308" s="210"/>
      <c r="AD1308" s="210"/>
      <c r="AE1308" s="210"/>
      <c r="AF1308" s="210"/>
      <c r="AG1308" s="210"/>
      <c r="AH1308" s="210"/>
      <c r="AI1308" s="210"/>
      <c r="AJ1308" s="210"/>
      <c r="AK1308" s="210"/>
      <c r="AL1308" s="210"/>
      <c r="AM1308" s="214"/>
      <c r="AN1308" s="210"/>
      <c r="AO1308" s="210"/>
      <c r="AP1308" s="210"/>
      <c r="AQ1308" s="210"/>
      <c r="AR1308" s="210"/>
      <c r="AS1308" s="210"/>
      <c r="AT1308" s="210"/>
      <c r="AU1308" s="210"/>
      <c r="AV1308" s="210"/>
      <c r="AW1308" s="210"/>
      <c r="AX1308" s="210"/>
      <c r="AY1308" s="210"/>
      <c r="AZ1308" s="210"/>
      <c r="BA1308" s="210"/>
      <c r="BB1308" s="210"/>
      <c r="BC1308" s="210"/>
      <c r="BD1308" s="210"/>
      <c r="BE1308" s="210"/>
      <c r="BF1308" s="210"/>
      <c r="BG1308" s="210"/>
      <c r="BH1308" s="210"/>
      <c r="BI1308" s="210"/>
      <c r="BJ1308" s="210"/>
      <c r="BK1308" s="210"/>
      <c r="BL1308" s="210"/>
      <c r="BM1308" s="210"/>
      <c r="BN1308" s="210"/>
      <c r="BO1308" s="210"/>
      <c r="BP1308" s="210"/>
      <c r="BQ1308" s="210"/>
      <c r="BR1308" s="210"/>
      <c r="BS1308" s="210"/>
      <c r="BT1308" s="210"/>
      <c r="BU1308" s="210"/>
      <c r="BV1308" s="210"/>
      <c r="BW1308" s="210"/>
      <c r="BX1308" s="210"/>
      <c r="BY1308" s="210"/>
      <c r="BZ1308" s="210"/>
      <c r="CA1308" s="210"/>
      <c r="CB1308" s="210"/>
      <c r="CC1308" s="210"/>
      <c r="CD1308" s="210"/>
      <c r="CE1308" s="210"/>
      <c r="CF1308" s="210"/>
      <c r="CG1308" s="210"/>
      <c r="CH1308" s="210"/>
      <c r="CI1308" s="210"/>
      <c r="CJ1308" s="210"/>
      <c r="CK1308" s="210"/>
    </row>
    <row r="1309">
      <c r="A1309" s="220"/>
      <c r="F1309" s="190"/>
      <c r="G1309" s="190"/>
      <c r="L1309" s="220"/>
      <c r="M1309" s="220"/>
      <c r="O1309" s="210"/>
      <c r="P1309" s="210"/>
      <c r="Q1309" s="210"/>
      <c r="R1309" s="210"/>
      <c r="S1309" s="210"/>
      <c r="T1309" s="210"/>
      <c r="U1309" s="210"/>
      <c r="V1309" s="210"/>
      <c r="W1309" s="210"/>
      <c r="X1309" s="210"/>
      <c r="Y1309" s="210"/>
      <c r="Z1309" s="210"/>
      <c r="AA1309" s="210"/>
      <c r="AB1309" s="210"/>
      <c r="AC1309" s="210"/>
      <c r="AD1309" s="210"/>
      <c r="AE1309" s="210"/>
      <c r="AF1309" s="210"/>
      <c r="AG1309" s="210"/>
      <c r="AH1309" s="210"/>
      <c r="AI1309" s="210"/>
      <c r="AJ1309" s="210"/>
      <c r="AK1309" s="210"/>
      <c r="AL1309" s="210"/>
      <c r="AM1309" s="214"/>
      <c r="AN1309" s="210"/>
      <c r="AO1309" s="210"/>
      <c r="AP1309" s="210"/>
      <c r="AQ1309" s="210"/>
      <c r="AR1309" s="210"/>
      <c r="AS1309" s="210"/>
      <c r="AT1309" s="210"/>
      <c r="AU1309" s="210"/>
      <c r="AV1309" s="210"/>
      <c r="AW1309" s="210"/>
      <c r="AX1309" s="210"/>
      <c r="AY1309" s="210"/>
      <c r="AZ1309" s="210"/>
      <c r="BA1309" s="210"/>
      <c r="BB1309" s="210"/>
      <c r="BC1309" s="210"/>
      <c r="BD1309" s="210"/>
      <c r="BE1309" s="210"/>
      <c r="BF1309" s="210"/>
      <c r="BG1309" s="210"/>
      <c r="BH1309" s="210"/>
      <c r="BI1309" s="210"/>
      <c r="BJ1309" s="210"/>
      <c r="BK1309" s="210"/>
      <c r="BL1309" s="210"/>
      <c r="BM1309" s="210"/>
      <c r="BN1309" s="210"/>
      <c r="BO1309" s="210"/>
      <c r="BP1309" s="210"/>
      <c r="BQ1309" s="210"/>
      <c r="BR1309" s="210"/>
      <c r="BS1309" s="210"/>
      <c r="BT1309" s="210"/>
      <c r="BU1309" s="210"/>
      <c r="BV1309" s="210"/>
      <c r="BW1309" s="210"/>
      <c r="BX1309" s="210"/>
      <c r="BY1309" s="210"/>
      <c r="BZ1309" s="210"/>
      <c r="CA1309" s="210"/>
      <c r="CB1309" s="210"/>
      <c r="CC1309" s="210"/>
      <c r="CD1309" s="210"/>
      <c r="CE1309" s="210"/>
      <c r="CF1309" s="210"/>
      <c r="CG1309" s="210"/>
      <c r="CH1309" s="210"/>
      <c r="CI1309" s="210"/>
      <c r="CJ1309" s="210"/>
      <c r="CK1309" s="210"/>
    </row>
    <row r="1310">
      <c r="A1310" s="220"/>
      <c r="F1310" s="190"/>
      <c r="G1310" s="190"/>
      <c r="L1310" s="220"/>
      <c r="M1310" s="220"/>
      <c r="O1310" s="210"/>
      <c r="P1310" s="210"/>
      <c r="Q1310" s="210"/>
      <c r="R1310" s="210"/>
      <c r="S1310" s="210"/>
      <c r="T1310" s="210"/>
      <c r="U1310" s="210"/>
      <c r="V1310" s="210"/>
      <c r="W1310" s="210"/>
      <c r="X1310" s="210"/>
      <c r="Y1310" s="210"/>
      <c r="Z1310" s="210"/>
      <c r="AA1310" s="210"/>
      <c r="AB1310" s="210"/>
      <c r="AC1310" s="210"/>
      <c r="AD1310" s="210"/>
      <c r="AE1310" s="210"/>
      <c r="AF1310" s="210"/>
      <c r="AG1310" s="210"/>
      <c r="AH1310" s="210"/>
      <c r="AI1310" s="210"/>
      <c r="AJ1310" s="210"/>
      <c r="AK1310" s="210"/>
      <c r="AL1310" s="210"/>
      <c r="AM1310" s="214"/>
      <c r="AN1310" s="210"/>
      <c r="AO1310" s="210"/>
      <c r="AP1310" s="210"/>
      <c r="AQ1310" s="210"/>
      <c r="AR1310" s="210"/>
      <c r="AS1310" s="210"/>
      <c r="AT1310" s="210"/>
      <c r="AU1310" s="210"/>
      <c r="AV1310" s="210"/>
      <c r="AW1310" s="210"/>
      <c r="AX1310" s="210"/>
      <c r="AY1310" s="210"/>
      <c r="AZ1310" s="210"/>
      <c r="BA1310" s="210"/>
      <c r="BB1310" s="210"/>
      <c r="BC1310" s="210"/>
      <c r="BD1310" s="210"/>
      <c r="BE1310" s="210"/>
      <c r="BF1310" s="210"/>
      <c r="BG1310" s="210"/>
      <c r="BH1310" s="210"/>
      <c r="BI1310" s="210"/>
      <c r="BJ1310" s="210"/>
      <c r="BK1310" s="210"/>
      <c r="BL1310" s="210"/>
      <c r="BM1310" s="210"/>
      <c r="BN1310" s="210"/>
      <c r="BO1310" s="210"/>
      <c r="BP1310" s="210"/>
      <c r="BQ1310" s="210"/>
      <c r="BR1310" s="210"/>
      <c r="BS1310" s="210"/>
      <c r="BT1310" s="210"/>
      <c r="BU1310" s="210"/>
      <c r="BV1310" s="210"/>
      <c r="BW1310" s="210"/>
      <c r="BX1310" s="210"/>
      <c r="BY1310" s="210"/>
      <c r="BZ1310" s="210"/>
      <c r="CA1310" s="210"/>
      <c r="CB1310" s="210"/>
      <c r="CC1310" s="210"/>
      <c r="CD1310" s="210"/>
      <c r="CE1310" s="210"/>
      <c r="CF1310" s="210"/>
      <c r="CG1310" s="210"/>
      <c r="CH1310" s="210"/>
      <c r="CI1310" s="210"/>
      <c r="CJ1310" s="210"/>
      <c r="CK1310" s="210"/>
    </row>
    <row r="1311">
      <c r="A1311" s="220"/>
      <c r="F1311" s="190"/>
      <c r="G1311" s="190"/>
      <c r="L1311" s="220"/>
      <c r="M1311" s="220"/>
      <c r="O1311" s="210"/>
      <c r="P1311" s="210"/>
      <c r="Q1311" s="210"/>
      <c r="R1311" s="210"/>
      <c r="S1311" s="210"/>
      <c r="T1311" s="210"/>
      <c r="U1311" s="210"/>
      <c r="V1311" s="210"/>
      <c r="W1311" s="210"/>
      <c r="X1311" s="210"/>
      <c r="Y1311" s="210"/>
      <c r="Z1311" s="210"/>
      <c r="AA1311" s="210"/>
      <c r="AB1311" s="210"/>
      <c r="AC1311" s="210"/>
      <c r="AD1311" s="210"/>
      <c r="AE1311" s="210"/>
      <c r="AF1311" s="210"/>
      <c r="AG1311" s="210"/>
      <c r="AH1311" s="210"/>
      <c r="AI1311" s="210"/>
      <c r="AJ1311" s="210"/>
      <c r="AK1311" s="210"/>
      <c r="AL1311" s="210"/>
      <c r="AM1311" s="214"/>
      <c r="AN1311" s="210"/>
      <c r="AO1311" s="210"/>
      <c r="AP1311" s="210"/>
      <c r="AQ1311" s="210"/>
      <c r="AR1311" s="210"/>
      <c r="AS1311" s="210"/>
      <c r="AT1311" s="210"/>
      <c r="AU1311" s="210"/>
      <c r="AV1311" s="210"/>
      <c r="AW1311" s="210"/>
      <c r="AX1311" s="210"/>
      <c r="AY1311" s="210"/>
      <c r="AZ1311" s="210"/>
      <c r="BA1311" s="210"/>
      <c r="BB1311" s="210"/>
      <c r="BC1311" s="210"/>
      <c r="BD1311" s="210"/>
      <c r="BE1311" s="210"/>
      <c r="BF1311" s="210"/>
      <c r="BG1311" s="210"/>
      <c r="BH1311" s="210"/>
      <c r="BI1311" s="210"/>
      <c r="BJ1311" s="210"/>
      <c r="BK1311" s="210"/>
      <c r="BL1311" s="210"/>
      <c r="BM1311" s="210"/>
      <c r="BN1311" s="210"/>
      <c r="BO1311" s="210"/>
      <c r="BP1311" s="210"/>
      <c r="BQ1311" s="210"/>
      <c r="BR1311" s="210"/>
      <c r="BS1311" s="210"/>
      <c r="BT1311" s="210"/>
      <c r="BU1311" s="210"/>
      <c r="BV1311" s="210"/>
      <c r="BW1311" s="210"/>
      <c r="BX1311" s="210"/>
      <c r="BY1311" s="210"/>
      <c r="BZ1311" s="210"/>
      <c r="CA1311" s="210"/>
      <c r="CB1311" s="210"/>
      <c r="CC1311" s="210"/>
      <c r="CD1311" s="210"/>
      <c r="CE1311" s="210"/>
      <c r="CF1311" s="210"/>
      <c r="CG1311" s="210"/>
      <c r="CH1311" s="210"/>
      <c r="CI1311" s="210"/>
      <c r="CJ1311" s="210"/>
      <c r="CK1311" s="210"/>
    </row>
    <row r="1312">
      <c r="A1312" s="220"/>
      <c r="F1312" s="190"/>
      <c r="G1312" s="190"/>
      <c r="L1312" s="220"/>
      <c r="M1312" s="220"/>
      <c r="O1312" s="210"/>
      <c r="P1312" s="210"/>
      <c r="Q1312" s="210"/>
      <c r="R1312" s="210"/>
      <c r="S1312" s="210"/>
      <c r="T1312" s="210"/>
      <c r="U1312" s="210"/>
      <c r="V1312" s="210"/>
      <c r="W1312" s="210"/>
      <c r="X1312" s="210"/>
      <c r="Y1312" s="210"/>
      <c r="Z1312" s="210"/>
      <c r="AA1312" s="210"/>
      <c r="AB1312" s="210"/>
      <c r="AC1312" s="210"/>
      <c r="AD1312" s="210"/>
      <c r="AE1312" s="210"/>
      <c r="AF1312" s="210"/>
      <c r="AG1312" s="210"/>
      <c r="AH1312" s="210"/>
      <c r="AI1312" s="210"/>
      <c r="AJ1312" s="210"/>
      <c r="AK1312" s="210"/>
      <c r="AL1312" s="210"/>
      <c r="AM1312" s="214"/>
      <c r="AN1312" s="210"/>
      <c r="AO1312" s="210"/>
      <c r="AP1312" s="210"/>
      <c r="AQ1312" s="210"/>
      <c r="AR1312" s="210"/>
      <c r="AS1312" s="210"/>
      <c r="AT1312" s="210"/>
      <c r="AU1312" s="210"/>
      <c r="AV1312" s="210"/>
      <c r="AW1312" s="210"/>
      <c r="AX1312" s="210"/>
      <c r="AY1312" s="210"/>
      <c r="AZ1312" s="210"/>
      <c r="BA1312" s="210"/>
      <c r="BB1312" s="210"/>
      <c r="BC1312" s="210"/>
      <c r="BD1312" s="210"/>
      <c r="BE1312" s="210"/>
      <c r="BF1312" s="210"/>
      <c r="BG1312" s="210"/>
      <c r="BH1312" s="210"/>
      <c r="BI1312" s="210"/>
      <c r="BJ1312" s="210"/>
      <c r="BK1312" s="210"/>
      <c r="BL1312" s="210"/>
      <c r="BM1312" s="210"/>
      <c r="BN1312" s="210"/>
      <c r="BO1312" s="210"/>
      <c r="BP1312" s="210"/>
      <c r="BQ1312" s="210"/>
      <c r="BR1312" s="210"/>
      <c r="BS1312" s="210"/>
      <c r="BT1312" s="210"/>
      <c r="BU1312" s="210"/>
      <c r="BV1312" s="210"/>
      <c r="BW1312" s="210"/>
      <c r="BX1312" s="210"/>
      <c r="BY1312" s="210"/>
      <c r="BZ1312" s="210"/>
      <c r="CA1312" s="210"/>
      <c r="CB1312" s="210"/>
      <c r="CC1312" s="210"/>
      <c r="CD1312" s="210"/>
      <c r="CE1312" s="210"/>
      <c r="CF1312" s="210"/>
      <c r="CG1312" s="210"/>
      <c r="CH1312" s="210"/>
      <c r="CI1312" s="210"/>
      <c r="CJ1312" s="210"/>
      <c r="CK1312" s="210"/>
    </row>
    <row r="1313">
      <c r="A1313" s="220"/>
      <c r="F1313" s="190"/>
      <c r="G1313" s="190"/>
      <c r="L1313" s="220"/>
      <c r="M1313" s="220"/>
      <c r="O1313" s="210"/>
      <c r="P1313" s="210"/>
      <c r="Q1313" s="210"/>
      <c r="R1313" s="210"/>
      <c r="S1313" s="210"/>
      <c r="T1313" s="210"/>
      <c r="U1313" s="210"/>
      <c r="V1313" s="210"/>
      <c r="W1313" s="210"/>
      <c r="X1313" s="210"/>
      <c r="Y1313" s="210"/>
      <c r="Z1313" s="210"/>
      <c r="AA1313" s="210"/>
      <c r="AB1313" s="210"/>
      <c r="AC1313" s="210"/>
      <c r="AD1313" s="210"/>
      <c r="AE1313" s="210"/>
      <c r="AF1313" s="210"/>
      <c r="AG1313" s="210"/>
      <c r="AH1313" s="210"/>
      <c r="AI1313" s="210"/>
      <c r="AJ1313" s="210"/>
      <c r="AK1313" s="210"/>
      <c r="AL1313" s="210"/>
      <c r="AM1313" s="214"/>
      <c r="AN1313" s="210"/>
      <c r="AO1313" s="210"/>
      <c r="AP1313" s="210"/>
      <c r="AQ1313" s="210"/>
      <c r="AR1313" s="210"/>
      <c r="AS1313" s="210"/>
      <c r="AT1313" s="210"/>
      <c r="AU1313" s="210"/>
      <c r="AV1313" s="210"/>
      <c r="AW1313" s="210"/>
      <c r="AX1313" s="210"/>
      <c r="AY1313" s="210"/>
      <c r="AZ1313" s="210"/>
      <c r="BA1313" s="210"/>
      <c r="BB1313" s="210"/>
      <c r="BC1313" s="210"/>
      <c r="BD1313" s="210"/>
      <c r="BE1313" s="210"/>
      <c r="BF1313" s="210"/>
      <c r="BG1313" s="210"/>
      <c r="BH1313" s="210"/>
      <c r="BI1313" s="210"/>
      <c r="BJ1313" s="210"/>
      <c r="BK1313" s="210"/>
      <c r="BL1313" s="210"/>
      <c r="BM1313" s="210"/>
      <c r="BN1313" s="210"/>
      <c r="BO1313" s="210"/>
      <c r="BP1313" s="210"/>
      <c r="BQ1313" s="210"/>
      <c r="BR1313" s="210"/>
      <c r="BS1313" s="210"/>
      <c r="BT1313" s="210"/>
      <c r="BU1313" s="210"/>
      <c r="BV1313" s="210"/>
      <c r="BW1313" s="210"/>
      <c r="BX1313" s="210"/>
      <c r="BY1313" s="210"/>
      <c r="BZ1313" s="210"/>
      <c r="CA1313" s="210"/>
      <c r="CB1313" s="210"/>
      <c r="CC1313" s="210"/>
      <c r="CD1313" s="210"/>
      <c r="CE1313" s="210"/>
      <c r="CF1313" s="210"/>
      <c r="CG1313" s="210"/>
      <c r="CH1313" s="210"/>
      <c r="CI1313" s="210"/>
      <c r="CJ1313" s="210"/>
      <c r="CK1313" s="210"/>
    </row>
    <row r="1314">
      <c r="A1314" s="220"/>
      <c r="F1314" s="190"/>
      <c r="G1314" s="190"/>
      <c r="L1314" s="220"/>
      <c r="M1314" s="220"/>
      <c r="O1314" s="210"/>
      <c r="P1314" s="210"/>
      <c r="Q1314" s="210"/>
      <c r="R1314" s="210"/>
      <c r="S1314" s="210"/>
      <c r="T1314" s="210"/>
      <c r="U1314" s="210"/>
      <c r="V1314" s="210"/>
      <c r="W1314" s="210"/>
      <c r="X1314" s="210"/>
      <c r="Y1314" s="210"/>
      <c r="Z1314" s="210"/>
      <c r="AA1314" s="210"/>
      <c r="AB1314" s="210"/>
      <c r="AC1314" s="210"/>
      <c r="AD1314" s="210"/>
      <c r="AE1314" s="210"/>
      <c r="AF1314" s="210"/>
      <c r="AG1314" s="210"/>
      <c r="AH1314" s="210"/>
      <c r="AI1314" s="210"/>
      <c r="AJ1314" s="210"/>
      <c r="AK1314" s="210"/>
      <c r="AL1314" s="210"/>
      <c r="AM1314" s="214"/>
      <c r="AN1314" s="210"/>
      <c r="AO1314" s="210"/>
      <c r="AP1314" s="210"/>
      <c r="AQ1314" s="210"/>
      <c r="AR1314" s="210"/>
      <c r="AS1314" s="210"/>
      <c r="AT1314" s="210"/>
      <c r="AU1314" s="210"/>
      <c r="AV1314" s="210"/>
      <c r="AW1314" s="210"/>
      <c r="AX1314" s="210"/>
      <c r="AY1314" s="210"/>
      <c r="AZ1314" s="210"/>
      <c r="BA1314" s="210"/>
      <c r="BB1314" s="210"/>
      <c r="BC1314" s="210"/>
      <c r="BD1314" s="210"/>
      <c r="BE1314" s="210"/>
      <c r="BF1314" s="210"/>
      <c r="BG1314" s="210"/>
      <c r="BH1314" s="210"/>
      <c r="BI1314" s="210"/>
      <c r="BJ1314" s="210"/>
      <c r="BK1314" s="210"/>
      <c r="BL1314" s="210"/>
      <c r="BM1314" s="210"/>
      <c r="BN1314" s="210"/>
      <c r="BO1314" s="210"/>
      <c r="BP1314" s="210"/>
      <c r="BQ1314" s="210"/>
      <c r="BR1314" s="210"/>
      <c r="BS1314" s="210"/>
      <c r="BT1314" s="210"/>
      <c r="BU1314" s="210"/>
      <c r="BV1314" s="210"/>
      <c r="BW1314" s="210"/>
      <c r="BX1314" s="210"/>
      <c r="BY1314" s="210"/>
      <c r="BZ1314" s="210"/>
      <c r="CA1314" s="210"/>
      <c r="CB1314" s="210"/>
      <c r="CC1314" s="210"/>
      <c r="CD1314" s="210"/>
      <c r="CE1314" s="210"/>
      <c r="CF1314" s="210"/>
      <c r="CG1314" s="210"/>
      <c r="CH1314" s="210"/>
      <c r="CI1314" s="210"/>
      <c r="CJ1314" s="210"/>
      <c r="CK1314" s="210"/>
    </row>
    <row r="1315">
      <c r="A1315" s="220"/>
      <c r="F1315" s="190"/>
      <c r="G1315" s="190"/>
      <c r="L1315" s="220"/>
      <c r="M1315" s="220"/>
      <c r="O1315" s="210"/>
      <c r="P1315" s="210"/>
      <c r="Q1315" s="210"/>
      <c r="R1315" s="210"/>
      <c r="S1315" s="210"/>
      <c r="T1315" s="210"/>
      <c r="U1315" s="210"/>
      <c r="V1315" s="210"/>
      <c r="W1315" s="210"/>
      <c r="X1315" s="210"/>
      <c r="Y1315" s="210"/>
      <c r="Z1315" s="210"/>
      <c r="AA1315" s="210"/>
      <c r="AB1315" s="210"/>
      <c r="AC1315" s="210"/>
      <c r="AD1315" s="210"/>
      <c r="AE1315" s="210"/>
      <c r="AF1315" s="210"/>
      <c r="AG1315" s="210"/>
      <c r="AH1315" s="210"/>
      <c r="AI1315" s="210"/>
      <c r="AJ1315" s="210"/>
      <c r="AK1315" s="210"/>
      <c r="AL1315" s="210"/>
      <c r="AM1315" s="214"/>
      <c r="AN1315" s="210"/>
      <c r="AO1315" s="210"/>
      <c r="AP1315" s="210"/>
      <c r="AQ1315" s="210"/>
      <c r="AR1315" s="210"/>
      <c r="AS1315" s="210"/>
      <c r="AT1315" s="210"/>
      <c r="AU1315" s="210"/>
      <c r="AV1315" s="210"/>
      <c r="AW1315" s="210"/>
      <c r="AX1315" s="210"/>
      <c r="AY1315" s="210"/>
      <c r="AZ1315" s="210"/>
      <c r="BA1315" s="210"/>
      <c r="BB1315" s="210"/>
      <c r="BC1315" s="210"/>
      <c r="BD1315" s="210"/>
      <c r="BE1315" s="210"/>
      <c r="BF1315" s="210"/>
      <c r="BG1315" s="210"/>
      <c r="BH1315" s="210"/>
      <c r="BI1315" s="210"/>
      <c r="BJ1315" s="210"/>
      <c r="BK1315" s="210"/>
      <c r="BL1315" s="210"/>
      <c r="BM1315" s="210"/>
      <c r="BN1315" s="210"/>
      <c r="BO1315" s="210"/>
      <c r="BP1315" s="210"/>
      <c r="BQ1315" s="210"/>
      <c r="BR1315" s="210"/>
      <c r="BS1315" s="210"/>
      <c r="BT1315" s="210"/>
      <c r="BU1315" s="210"/>
      <c r="BV1315" s="210"/>
      <c r="BW1315" s="210"/>
      <c r="BX1315" s="210"/>
      <c r="BY1315" s="210"/>
      <c r="BZ1315" s="210"/>
      <c r="CA1315" s="210"/>
      <c r="CB1315" s="210"/>
      <c r="CC1315" s="210"/>
      <c r="CD1315" s="210"/>
      <c r="CE1315" s="210"/>
      <c r="CF1315" s="210"/>
      <c r="CG1315" s="210"/>
      <c r="CH1315" s="210"/>
      <c r="CI1315" s="210"/>
      <c r="CJ1315" s="210"/>
      <c r="CK1315" s="210"/>
    </row>
    <row r="1316">
      <c r="A1316" s="220"/>
      <c r="F1316" s="190"/>
      <c r="G1316" s="190"/>
      <c r="L1316" s="220"/>
      <c r="M1316" s="220"/>
      <c r="O1316" s="210"/>
      <c r="P1316" s="210"/>
      <c r="Q1316" s="210"/>
      <c r="R1316" s="210"/>
      <c r="S1316" s="210"/>
      <c r="T1316" s="210"/>
      <c r="U1316" s="210"/>
      <c r="V1316" s="210"/>
      <c r="W1316" s="210"/>
      <c r="X1316" s="210"/>
      <c r="Y1316" s="210"/>
      <c r="Z1316" s="210"/>
      <c r="AA1316" s="210"/>
      <c r="AB1316" s="210"/>
      <c r="AC1316" s="210"/>
      <c r="AD1316" s="210"/>
      <c r="AE1316" s="210"/>
      <c r="AF1316" s="210"/>
      <c r="AG1316" s="210"/>
      <c r="AH1316" s="210"/>
      <c r="AI1316" s="210"/>
      <c r="AJ1316" s="210"/>
      <c r="AK1316" s="210"/>
      <c r="AL1316" s="210"/>
      <c r="AM1316" s="214"/>
      <c r="AN1316" s="210"/>
      <c r="AO1316" s="210"/>
      <c r="AP1316" s="210"/>
      <c r="AQ1316" s="210"/>
      <c r="AR1316" s="210"/>
      <c r="AS1316" s="210"/>
      <c r="AT1316" s="210"/>
      <c r="AU1316" s="210"/>
      <c r="AV1316" s="210"/>
      <c r="AW1316" s="210"/>
      <c r="AX1316" s="210"/>
      <c r="AY1316" s="210"/>
      <c r="AZ1316" s="210"/>
      <c r="BA1316" s="210"/>
      <c r="BB1316" s="210"/>
      <c r="BC1316" s="210"/>
      <c r="BD1316" s="210"/>
      <c r="BE1316" s="210"/>
      <c r="BF1316" s="210"/>
      <c r="BG1316" s="210"/>
      <c r="BH1316" s="210"/>
      <c r="BI1316" s="210"/>
      <c r="BJ1316" s="210"/>
      <c r="BK1316" s="210"/>
      <c r="BL1316" s="210"/>
      <c r="BM1316" s="210"/>
      <c r="BN1316" s="210"/>
      <c r="BO1316" s="210"/>
      <c r="BP1316" s="210"/>
      <c r="BQ1316" s="210"/>
      <c r="BR1316" s="210"/>
      <c r="BS1316" s="210"/>
      <c r="BT1316" s="210"/>
      <c r="BU1316" s="210"/>
      <c r="BV1316" s="210"/>
      <c r="BW1316" s="210"/>
      <c r="BX1316" s="210"/>
      <c r="BY1316" s="210"/>
      <c r="BZ1316" s="210"/>
      <c r="CA1316" s="210"/>
      <c r="CB1316" s="210"/>
      <c r="CC1316" s="210"/>
      <c r="CD1316" s="210"/>
      <c r="CE1316" s="210"/>
      <c r="CF1316" s="210"/>
      <c r="CG1316" s="210"/>
      <c r="CH1316" s="210"/>
      <c r="CI1316" s="210"/>
      <c r="CJ1316" s="210"/>
      <c r="CK1316" s="210"/>
    </row>
    <row r="1317">
      <c r="A1317" s="220"/>
      <c r="F1317" s="190"/>
      <c r="G1317" s="190"/>
      <c r="L1317" s="220"/>
      <c r="M1317" s="220"/>
      <c r="O1317" s="210"/>
      <c r="P1317" s="210"/>
      <c r="Q1317" s="210"/>
      <c r="R1317" s="210"/>
      <c r="S1317" s="210"/>
      <c r="T1317" s="210"/>
      <c r="U1317" s="210"/>
      <c r="V1317" s="210"/>
      <c r="W1317" s="210"/>
      <c r="X1317" s="210"/>
      <c r="Y1317" s="210"/>
      <c r="Z1317" s="210"/>
      <c r="AA1317" s="210"/>
      <c r="AB1317" s="210"/>
      <c r="AC1317" s="210"/>
      <c r="AD1317" s="210"/>
      <c r="AE1317" s="210"/>
      <c r="AF1317" s="210"/>
      <c r="AG1317" s="210"/>
      <c r="AH1317" s="210"/>
      <c r="AI1317" s="210"/>
      <c r="AJ1317" s="210"/>
      <c r="AK1317" s="210"/>
      <c r="AL1317" s="210"/>
      <c r="AM1317" s="214"/>
      <c r="AN1317" s="210"/>
      <c r="AO1317" s="210"/>
      <c r="AP1317" s="210"/>
      <c r="AQ1317" s="210"/>
      <c r="AR1317" s="210"/>
      <c r="AS1317" s="210"/>
      <c r="AT1317" s="210"/>
      <c r="AU1317" s="210"/>
      <c r="AV1317" s="210"/>
      <c r="AW1317" s="210"/>
      <c r="AX1317" s="210"/>
      <c r="AY1317" s="210"/>
      <c r="AZ1317" s="210"/>
      <c r="BA1317" s="210"/>
      <c r="BB1317" s="210"/>
      <c r="BC1317" s="210"/>
      <c r="BD1317" s="210"/>
      <c r="BE1317" s="210"/>
      <c r="BF1317" s="210"/>
      <c r="BG1317" s="210"/>
      <c r="BH1317" s="210"/>
      <c r="BI1317" s="210"/>
      <c r="BJ1317" s="210"/>
      <c r="BK1317" s="210"/>
      <c r="BL1317" s="210"/>
      <c r="BM1317" s="210"/>
      <c r="BN1317" s="210"/>
      <c r="BO1317" s="210"/>
      <c r="BP1317" s="210"/>
      <c r="BQ1317" s="210"/>
      <c r="BR1317" s="210"/>
      <c r="BS1317" s="210"/>
      <c r="BT1317" s="210"/>
      <c r="BU1317" s="210"/>
      <c r="BV1317" s="210"/>
      <c r="BW1317" s="210"/>
      <c r="BX1317" s="210"/>
      <c r="BY1317" s="210"/>
      <c r="BZ1317" s="210"/>
      <c r="CA1317" s="210"/>
      <c r="CB1317" s="210"/>
      <c r="CC1317" s="210"/>
      <c r="CD1317" s="210"/>
      <c r="CE1317" s="210"/>
      <c r="CF1317" s="210"/>
      <c r="CG1317" s="210"/>
      <c r="CH1317" s="210"/>
      <c r="CI1317" s="210"/>
      <c r="CJ1317" s="210"/>
      <c r="CK1317" s="210"/>
    </row>
    <row r="1318">
      <c r="A1318" s="220"/>
      <c r="F1318" s="190"/>
      <c r="G1318" s="190"/>
      <c r="L1318" s="220"/>
      <c r="M1318" s="220"/>
      <c r="O1318" s="210"/>
      <c r="P1318" s="210"/>
      <c r="Q1318" s="210"/>
      <c r="R1318" s="210"/>
      <c r="S1318" s="210"/>
      <c r="T1318" s="210"/>
      <c r="U1318" s="210"/>
      <c r="V1318" s="210"/>
      <c r="W1318" s="210"/>
      <c r="X1318" s="210"/>
      <c r="Y1318" s="210"/>
      <c r="Z1318" s="210"/>
      <c r="AA1318" s="210"/>
      <c r="AB1318" s="210"/>
      <c r="AC1318" s="210"/>
      <c r="AD1318" s="210"/>
      <c r="AE1318" s="210"/>
      <c r="AF1318" s="210"/>
      <c r="AG1318" s="210"/>
      <c r="AH1318" s="210"/>
      <c r="AI1318" s="210"/>
      <c r="AJ1318" s="210"/>
      <c r="AK1318" s="210"/>
      <c r="AL1318" s="210"/>
      <c r="AM1318" s="214"/>
      <c r="AN1318" s="210"/>
      <c r="AO1318" s="210"/>
      <c r="AP1318" s="210"/>
      <c r="AQ1318" s="210"/>
      <c r="AR1318" s="210"/>
      <c r="AS1318" s="210"/>
      <c r="AT1318" s="210"/>
      <c r="AU1318" s="210"/>
      <c r="AV1318" s="210"/>
      <c r="AW1318" s="210"/>
      <c r="AX1318" s="210"/>
      <c r="AY1318" s="210"/>
      <c r="AZ1318" s="210"/>
      <c r="BA1318" s="210"/>
      <c r="BB1318" s="210"/>
      <c r="BC1318" s="210"/>
      <c r="BD1318" s="210"/>
      <c r="BE1318" s="210"/>
      <c r="BF1318" s="210"/>
      <c r="BG1318" s="210"/>
      <c r="BH1318" s="210"/>
      <c r="BI1318" s="210"/>
      <c r="BJ1318" s="210"/>
      <c r="BK1318" s="210"/>
      <c r="BL1318" s="210"/>
      <c r="BM1318" s="210"/>
      <c r="BN1318" s="210"/>
      <c r="BO1318" s="210"/>
      <c r="BP1318" s="210"/>
      <c r="BQ1318" s="210"/>
      <c r="BR1318" s="210"/>
      <c r="BS1318" s="210"/>
      <c r="BT1318" s="210"/>
      <c r="BU1318" s="210"/>
      <c r="BV1318" s="210"/>
      <c r="BW1318" s="210"/>
      <c r="BX1318" s="210"/>
      <c r="BY1318" s="210"/>
      <c r="BZ1318" s="210"/>
      <c r="CA1318" s="210"/>
      <c r="CB1318" s="210"/>
      <c r="CC1318" s="210"/>
      <c r="CD1318" s="210"/>
      <c r="CE1318" s="210"/>
      <c r="CF1318" s="210"/>
      <c r="CG1318" s="210"/>
      <c r="CH1318" s="210"/>
      <c r="CI1318" s="210"/>
      <c r="CJ1318" s="210"/>
      <c r="CK1318" s="210"/>
    </row>
    <row r="1319">
      <c r="A1319" s="220"/>
      <c r="F1319" s="190"/>
      <c r="G1319" s="190"/>
      <c r="L1319" s="220"/>
      <c r="M1319" s="220"/>
      <c r="O1319" s="210"/>
      <c r="P1319" s="210"/>
      <c r="Q1319" s="210"/>
      <c r="R1319" s="210"/>
      <c r="S1319" s="210"/>
      <c r="T1319" s="210"/>
      <c r="U1319" s="210"/>
      <c r="V1319" s="210"/>
      <c r="W1319" s="210"/>
      <c r="X1319" s="210"/>
      <c r="Y1319" s="210"/>
      <c r="Z1319" s="210"/>
      <c r="AA1319" s="210"/>
      <c r="AB1319" s="210"/>
      <c r="AC1319" s="210"/>
      <c r="AD1319" s="210"/>
      <c r="AE1319" s="210"/>
      <c r="AF1319" s="210"/>
      <c r="AG1319" s="210"/>
      <c r="AH1319" s="210"/>
      <c r="AI1319" s="210"/>
      <c r="AJ1319" s="210"/>
      <c r="AK1319" s="210"/>
      <c r="AL1319" s="210"/>
      <c r="AM1319" s="214"/>
      <c r="AN1319" s="210"/>
      <c r="AO1319" s="210"/>
      <c r="AP1319" s="210"/>
      <c r="AQ1319" s="210"/>
      <c r="AR1319" s="210"/>
      <c r="AS1319" s="210"/>
      <c r="AT1319" s="210"/>
      <c r="AU1319" s="210"/>
      <c r="AV1319" s="210"/>
      <c r="AW1319" s="210"/>
      <c r="AX1319" s="210"/>
      <c r="AY1319" s="210"/>
      <c r="AZ1319" s="210"/>
      <c r="BA1319" s="210"/>
      <c r="BB1319" s="210"/>
      <c r="BC1319" s="210"/>
      <c r="BD1319" s="210"/>
      <c r="BE1319" s="210"/>
      <c r="BF1319" s="210"/>
      <c r="BG1319" s="210"/>
      <c r="BH1319" s="210"/>
      <c r="BI1319" s="210"/>
      <c r="BJ1319" s="210"/>
      <c r="BK1319" s="210"/>
      <c r="BL1319" s="210"/>
      <c r="BM1319" s="210"/>
      <c r="BN1319" s="210"/>
      <c r="BO1319" s="210"/>
      <c r="BP1319" s="210"/>
      <c r="BQ1319" s="210"/>
      <c r="BR1319" s="210"/>
      <c r="BS1319" s="210"/>
      <c r="BT1319" s="210"/>
      <c r="BU1319" s="210"/>
      <c r="BV1319" s="210"/>
      <c r="BW1319" s="210"/>
      <c r="BX1319" s="210"/>
      <c r="BY1319" s="210"/>
      <c r="BZ1319" s="210"/>
      <c r="CA1319" s="210"/>
      <c r="CB1319" s="210"/>
      <c r="CC1319" s="210"/>
      <c r="CD1319" s="210"/>
      <c r="CE1319" s="210"/>
      <c r="CF1319" s="210"/>
      <c r="CG1319" s="210"/>
      <c r="CH1319" s="210"/>
      <c r="CI1319" s="210"/>
      <c r="CJ1319" s="210"/>
      <c r="CK1319" s="210"/>
    </row>
    <row r="1320">
      <c r="A1320" s="220"/>
      <c r="F1320" s="190"/>
      <c r="G1320" s="190"/>
      <c r="L1320" s="220"/>
      <c r="M1320" s="220"/>
      <c r="O1320" s="210"/>
      <c r="P1320" s="210"/>
      <c r="Q1320" s="210"/>
      <c r="R1320" s="210"/>
      <c r="S1320" s="210"/>
      <c r="T1320" s="210"/>
      <c r="U1320" s="210"/>
      <c r="V1320" s="210"/>
      <c r="W1320" s="210"/>
      <c r="X1320" s="210"/>
      <c r="Y1320" s="210"/>
      <c r="Z1320" s="210"/>
      <c r="AA1320" s="210"/>
      <c r="AB1320" s="210"/>
      <c r="AC1320" s="210"/>
      <c r="AD1320" s="210"/>
      <c r="AE1320" s="210"/>
      <c r="AF1320" s="210"/>
      <c r="AG1320" s="210"/>
      <c r="AH1320" s="210"/>
      <c r="AI1320" s="210"/>
      <c r="AJ1320" s="210"/>
      <c r="AK1320" s="210"/>
      <c r="AL1320" s="210"/>
      <c r="AM1320" s="214"/>
      <c r="AN1320" s="210"/>
      <c r="AO1320" s="210"/>
      <c r="AP1320" s="210"/>
      <c r="AQ1320" s="210"/>
      <c r="AR1320" s="210"/>
      <c r="AS1320" s="210"/>
      <c r="AT1320" s="210"/>
      <c r="AU1320" s="210"/>
      <c r="AV1320" s="210"/>
      <c r="AW1320" s="210"/>
      <c r="AX1320" s="210"/>
      <c r="AY1320" s="210"/>
      <c r="AZ1320" s="210"/>
      <c r="BA1320" s="210"/>
      <c r="BB1320" s="210"/>
      <c r="BC1320" s="210"/>
      <c r="BD1320" s="210"/>
      <c r="BE1320" s="210"/>
      <c r="BF1320" s="210"/>
      <c r="BG1320" s="210"/>
      <c r="BH1320" s="210"/>
      <c r="BI1320" s="210"/>
      <c r="BJ1320" s="210"/>
      <c r="BK1320" s="210"/>
      <c r="BL1320" s="210"/>
      <c r="BM1320" s="210"/>
      <c r="BN1320" s="210"/>
      <c r="BO1320" s="210"/>
      <c r="BP1320" s="210"/>
      <c r="BQ1320" s="210"/>
      <c r="BR1320" s="210"/>
      <c r="BS1320" s="210"/>
      <c r="BT1320" s="210"/>
      <c r="BU1320" s="210"/>
      <c r="BV1320" s="210"/>
      <c r="BW1320" s="210"/>
      <c r="BX1320" s="210"/>
      <c r="BY1320" s="210"/>
      <c r="BZ1320" s="210"/>
      <c r="CA1320" s="210"/>
      <c r="CB1320" s="210"/>
      <c r="CC1320" s="210"/>
      <c r="CD1320" s="210"/>
      <c r="CE1320" s="210"/>
      <c r="CF1320" s="210"/>
      <c r="CG1320" s="210"/>
      <c r="CH1320" s="210"/>
      <c r="CI1320" s="210"/>
      <c r="CJ1320" s="210"/>
      <c r="CK1320" s="210"/>
    </row>
    <row r="1321">
      <c r="A1321" s="220"/>
      <c r="F1321" s="190"/>
      <c r="G1321" s="190"/>
      <c r="L1321" s="220"/>
      <c r="M1321" s="220"/>
      <c r="O1321" s="210"/>
      <c r="P1321" s="210"/>
      <c r="Q1321" s="210"/>
      <c r="R1321" s="210"/>
      <c r="S1321" s="210"/>
      <c r="T1321" s="210"/>
      <c r="U1321" s="210"/>
      <c r="V1321" s="210"/>
      <c r="W1321" s="210"/>
      <c r="X1321" s="210"/>
      <c r="Y1321" s="210"/>
      <c r="Z1321" s="210"/>
      <c r="AA1321" s="210"/>
      <c r="AB1321" s="210"/>
      <c r="AC1321" s="210"/>
      <c r="AD1321" s="210"/>
      <c r="AE1321" s="210"/>
      <c r="AF1321" s="210"/>
      <c r="AG1321" s="210"/>
      <c r="AH1321" s="210"/>
      <c r="AI1321" s="210"/>
      <c r="AJ1321" s="210"/>
      <c r="AK1321" s="210"/>
      <c r="AL1321" s="210"/>
      <c r="AM1321" s="214"/>
      <c r="AN1321" s="210"/>
      <c r="AO1321" s="210"/>
      <c r="AP1321" s="210"/>
      <c r="AQ1321" s="210"/>
      <c r="AR1321" s="210"/>
      <c r="AS1321" s="210"/>
      <c r="AT1321" s="210"/>
      <c r="AU1321" s="210"/>
      <c r="AV1321" s="210"/>
      <c r="AW1321" s="210"/>
      <c r="AX1321" s="210"/>
      <c r="AY1321" s="210"/>
      <c r="AZ1321" s="210"/>
      <c r="BA1321" s="210"/>
      <c r="BB1321" s="210"/>
      <c r="BC1321" s="210"/>
      <c r="BD1321" s="210"/>
      <c r="BE1321" s="210"/>
      <c r="BF1321" s="210"/>
      <c r="BG1321" s="210"/>
      <c r="BH1321" s="210"/>
      <c r="BI1321" s="210"/>
      <c r="BJ1321" s="210"/>
      <c r="BK1321" s="210"/>
      <c r="BL1321" s="210"/>
      <c r="BM1321" s="210"/>
      <c r="BN1321" s="210"/>
      <c r="BO1321" s="210"/>
      <c r="BP1321" s="210"/>
      <c r="BQ1321" s="210"/>
      <c r="BR1321" s="210"/>
      <c r="BS1321" s="210"/>
      <c r="BT1321" s="210"/>
      <c r="BU1321" s="210"/>
      <c r="BV1321" s="210"/>
      <c r="BW1321" s="210"/>
      <c r="BX1321" s="210"/>
      <c r="BY1321" s="210"/>
      <c r="BZ1321" s="210"/>
      <c r="CA1321" s="210"/>
      <c r="CB1321" s="210"/>
      <c r="CC1321" s="210"/>
      <c r="CD1321" s="210"/>
      <c r="CE1321" s="210"/>
      <c r="CF1321" s="210"/>
      <c r="CG1321" s="210"/>
      <c r="CH1321" s="210"/>
      <c r="CI1321" s="210"/>
      <c r="CJ1321" s="210"/>
      <c r="CK1321" s="210"/>
    </row>
    <row r="1322">
      <c r="A1322" s="220"/>
      <c r="F1322" s="190"/>
      <c r="G1322" s="190"/>
      <c r="L1322" s="220"/>
      <c r="M1322" s="220"/>
      <c r="O1322" s="210"/>
      <c r="P1322" s="210"/>
      <c r="Q1322" s="210"/>
      <c r="R1322" s="210"/>
      <c r="S1322" s="210"/>
      <c r="T1322" s="210"/>
      <c r="U1322" s="210"/>
      <c r="V1322" s="210"/>
      <c r="W1322" s="210"/>
      <c r="X1322" s="210"/>
      <c r="Y1322" s="210"/>
      <c r="Z1322" s="210"/>
      <c r="AA1322" s="210"/>
      <c r="AB1322" s="210"/>
      <c r="AC1322" s="210"/>
      <c r="AD1322" s="210"/>
      <c r="AE1322" s="210"/>
      <c r="AF1322" s="210"/>
      <c r="AG1322" s="210"/>
      <c r="AH1322" s="210"/>
      <c r="AI1322" s="210"/>
      <c r="AJ1322" s="210"/>
      <c r="AK1322" s="210"/>
      <c r="AL1322" s="210"/>
      <c r="AM1322" s="214"/>
      <c r="AN1322" s="210"/>
      <c r="AO1322" s="210"/>
      <c r="AP1322" s="210"/>
      <c r="AQ1322" s="210"/>
      <c r="AR1322" s="210"/>
      <c r="AS1322" s="210"/>
      <c r="AT1322" s="210"/>
      <c r="AU1322" s="210"/>
      <c r="AV1322" s="210"/>
      <c r="AW1322" s="210"/>
      <c r="AX1322" s="210"/>
      <c r="AY1322" s="210"/>
      <c r="AZ1322" s="210"/>
      <c r="BA1322" s="210"/>
      <c r="BB1322" s="210"/>
      <c r="BC1322" s="210"/>
      <c r="BD1322" s="210"/>
      <c r="BE1322" s="210"/>
      <c r="BF1322" s="210"/>
      <c r="BG1322" s="210"/>
      <c r="BH1322" s="210"/>
      <c r="BI1322" s="210"/>
      <c r="BJ1322" s="210"/>
      <c r="BK1322" s="210"/>
      <c r="BL1322" s="210"/>
      <c r="BM1322" s="210"/>
      <c r="BN1322" s="210"/>
      <c r="BO1322" s="210"/>
      <c r="BP1322" s="210"/>
      <c r="BQ1322" s="210"/>
      <c r="BR1322" s="210"/>
      <c r="BS1322" s="210"/>
      <c r="BT1322" s="210"/>
      <c r="BU1322" s="210"/>
      <c r="BV1322" s="210"/>
      <c r="BW1322" s="210"/>
      <c r="BX1322" s="210"/>
      <c r="BY1322" s="210"/>
      <c r="BZ1322" s="210"/>
      <c r="CA1322" s="210"/>
      <c r="CB1322" s="210"/>
      <c r="CC1322" s="210"/>
      <c r="CD1322" s="210"/>
      <c r="CE1322" s="210"/>
      <c r="CF1322" s="210"/>
      <c r="CG1322" s="210"/>
      <c r="CH1322" s="210"/>
      <c r="CI1322" s="210"/>
      <c r="CJ1322" s="210"/>
      <c r="CK1322" s="210"/>
    </row>
    <row r="1323">
      <c r="A1323" s="220"/>
      <c r="F1323" s="190"/>
      <c r="G1323" s="190"/>
      <c r="L1323" s="220"/>
      <c r="M1323" s="220"/>
      <c r="O1323" s="210"/>
      <c r="P1323" s="210"/>
      <c r="Q1323" s="210"/>
      <c r="R1323" s="210"/>
      <c r="S1323" s="210"/>
      <c r="T1323" s="210"/>
      <c r="U1323" s="210"/>
      <c r="V1323" s="210"/>
      <c r="W1323" s="210"/>
      <c r="X1323" s="210"/>
      <c r="Y1323" s="210"/>
      <c r="Z1323" s="210"/>
      <c r="AA1323" s="210"/>
      <c r="AB1323" s="210"/>
      <c r="AC1323" s="210"/>
      <c r="AD1323" s="210"/>
      <c r="AE1323" s="210"/>
      <c r="AF1323" s="210"/>
      <c r="AG1323" s="210"/>
      <c r="AH1323" s="210"/>
      <c r="AI1323" s="210"/>
      <c r="AJ1323" s="210"/>
      <c r="AK1323" s="210"/>
      <c r="AL1323" s="210"/>
      <c r="AM1323" s="214"/>
      <c r="AN1323" s="210"/>
      <c r="AO1323" s="210"/>
      <c r="AP1323" s="210"/>
      <c r="AQ1323" s="210"/>
      <c r="AR1323" s="210"/>
      <c r="AS1323" s="210"/>
      <c r="AT1323" s="210"/>
      <c r="AU1323" s="210"/>
      <c r="AV1323" s="210"/>
      <c r="AW1323" s="210"/>
      <c r="AX1323" s="210"/>
      <c r="AY1323" s="210"/>
      <c r="AZ1323" s="210"/>
      <c r="BA1323" s="210"/>
      <c r="BB1323" s="210"/>
      <c r="BC1323" s="210"/>
      <c r="BD1323" s="210"/>
      <c r="BE1323" s="210"/>
      <c r="BF1323" s="210"/>
      <c r="BG1323" s="210"/>
      <c r="BH1323" s="210"/>
      <c r="BI1323" s="210"/>
      <c r="BJ1323" s="210"/>
      <c r="BK1323" s="210"/>
      <c r="BL1323" s="210"/>
      <c r="BM1323" s="210"/>
      <c r="BN1323" s="210"/>
      <c r="BO1323" s="210"/>
      <c r="BP1323" s="210"/>
      <c r="BQ1323" s="210"/>
      <c r="BR1323" s="210"/>
      <c r="BS1323" s="210"/>
      <c r="BT1323" s="210"/>
      <c r="BU1323" s="210"/>
      <c r="BV1323" s="210"/>
      <c r="BW1323" s="210"/>
      <c r="BX1323" s="210"/>
      <c r="BY1323" s="210"/>
      <c r="BZ1323" s="210"/>
      <c r="CA1323" s="210"/>
      <c r="CB1323" s="210"/>
      <c r="CC1323" s="210"/>
      <c r="CD1323" s="210"/>
      <c r="CE1323" s="210"/>
      <c r="CF1323" s="210"/>
      <c r="CG1323" s="210"/>
      <c r="CH1323" s="210"/>
      <c r="CI1323" s="210"/>
      <c r="CJ1323" s="210"/>
      <c r="CK1323" s="210"/>
    </row>
    <row r="1324">
      <c r="A1324" s="220"/>
      <c r="F1324" s="190"/>
      <c r="G1324" s="190"/>
      <c r="L1324" s="220"/>
      <c r="M1324" s="220"/>
      <c r="O1324" s="210"/>
      <c r="P1324" s="210"/>
      <c r="Q1324" s="210"/>
      <c r="R1324" s="210"/>
      <c r="S1324" s="210"/>
      <c r="T1324" s="210"/>
      <c r="U1324" s="210"/>
      <c r="V1324" s="210"/>
      <c r="W1324" s="210"/>
      <c r="X1324" s="210"/>
      <c r="Y1324" s="210"/>
      <c r="Z1324" s="210"/>
      <c r="AA1324" s="210"/>
      <c r="AB1324" s="210"/>
      <c r="AC1324" s="210"/>
      <c r="AD1324" s="210"/>
      <c r="AE1324" s="210"/>
      <c r="AF1324" s="210"/>
      <c r="AG1324" s="210"/>
      <c r="AH1324" s="210"/>
      <c r="AI1324" s="210"/>
      <c r="AJ1324" s="210"/>
      <c r="AK1324" s="210"/>
      <c r="AL1324" s="210"/>
      <c r="AM1324" s="214"/>
      <c r="AN1324" s="210"/>
      <c r="AO1324" s="210"/>
      <c r="AP1324" s="210"/>
      <c r="AQ1324" s="210"/>
      <c r="AR1324" s="210"/>
      <c r="AS1324" s="210"/>
      <c r="AT1324" s="210"/>
      <c r="AU1324" s="210"/>
      <c r="AV1324" s="210"/>
      <c r="AW1324" s="210"/>
      <c r="AX1324" s="210"/>
      <c r="AY1324" s="210"/>
      <c r="AZ1324" s="210"/>
      <c r="BA1324" s="210"/>
      <c r="BB1324" s="210"/>
      <c r="BC1324" s="210"/>
      <c r="BD1324" s="210"/>
      <c r="BE1324" s="210"/>
      <c r="BF1324" s="210"/>
      <c r="BG1324" s="210"/>
      <c r="BH1324" s="210"/>
      <c r="BI1324" s="210"/>
      <c r="BJ1324" s="210"/>
      <c r="BK1324" s="210"/>
      <c r="BL1324" s="210"/>
      <c r="BM1324" s="210"/>
      <c r="BN1324" s="210"/>
      <c r="BO1324" s="210"/>
      <c r="BP1324" s="210"/>
      <c r="BQ1324" s="210"/>
      <c r="BR1324" s="210"/>
      <c r="BS1324" s="210"/>
      <c r="BT1324" s="210"/>
      <c r="BU1324" s="210"/>
      <c r="BV1324" s="210"/>
      <c r="BW1324" s="210"/>
      <c r="BX1324" s="210"/>
      <c r="BY1324" s="210"/>
      <c r="BZ1324" s="210"/>
      <c r="CA1324" s="210"/>
      <c r="CB1324" s="210"/>
      <c r="CC1324" s="210"/>
      <c r="CD1324" s="210"/>
      <c r="CE1324" s="210"/>
      <c r="CF1324" s="210"/>
      <c r="CG1324" s="210"/>
      <c r="CH1324" s="210"/>
      <c r="CI1324" s="210"/>
      <c r="CJ1324" s="210"/>
      <c r="CK1324" s="210"/>
    </row>
    <row r="1325">
      <c r="A1325" s="220"/>
      <c r="F1325" s="190"/>
      <c r="G1325" s="190"/>
      <c r="L1325" s="220"/>
      <c r="M1325" s="220"/>
      <c r="O1325" s="210"/>
      <c r="P1325" s="210"/>
      <c r="Q1325" s="210"/>
      <c r="R1325" s="210"/>
      <c r="S1325" s="210"/>
      <c r="T1325" s="210"/>
      <c r="U1325" s="210"/>
      <c r="V1325" s="210"/>
      <c r="W1325" s="210"/>
      <c r="X1325" s="210"/>
      <c r="Y1325" s="210"/>
      <c r="Z1325" s="210"/>
      <c r="AA1325" s="210"/>
      <c r="AB1325" s="210"/>
      <c r="AC1325" s="210"/>
      <c r="AD1325" s="210"/>
      <c r="AE1325" s="210"/>
      <c r="AF1325" s="210"/>
      <c r="AG1325" s="210"/>
      <c r="AH1325" s="210"/>
      <c r="AI1325" s="210"/>
      <c r="AJ1325" s="210"/>
      <c r="AK1325" s="210"/>
      <c r="AL1325" s="210"/>
      <c r="AM1325" s="214"/>
      <c r="AN1325" s="210"/>
      <c r="AO1325" s="210"/>
      <c r="AP1325" s="210"/>
      <c r="AQ1325" s="210"/>
      <c r="AR1325" s="210"/>
      <c r="AS1325" s="210"/>
      <c r="AT1325" s="210"/>
      <c r="AU1325" s="210"/>
      <c r="AV1325" s="210"/>
      <c r="AW1325" s="210"/>
      <c r="AX1325" s="210"/>
      <c r="AY1325" s="210"/>
      <c r="AZ1325" s="210"/>
      <c r="BA1325" s="210"/>
      <c r="BB1325" s="210"/>
      <c r="BC1325" s="210"/>
      <c r="BD1325" s="210"/>
      <c r="BE1325" s="210"/>
      <c r="BF1325" s="210"/>
      <c r="BG1325" s="210"/>
      <c r="BH1325" s="210"/>
      <c r="BI1325" s="210"/>
      <c r="BJ1325" s="210"/>
      <c r="BK1325" s="210"/>
      <c r="BL1325" s="210"/>
      <c r="BM1325" s="210"/>
      <c r="BN1325" s="210"/>
      <c r="BO1325" s="210"/>
      <c r="BP1325" s="210"/>
      <c r="BQ1325" s="210"/>
      <c r="BR1325" s="210"/>
      <c r="BS1325" s="210"/>
      <c r="BT1325" s="210"/>
      <c r="BU1325" s="210"/>
      <c r="BV1325" s="210"/>
      <c r="BW1325" s="210"/>
      <c r="BX1325" s="210"/>
      <c r="BY1325" s="210"/>
      <c r="BZ1325" s="210"/>
      <c r="CA1325" s="210"/>
      <c r="CB1325" s="210"/>
      <c r="CC1325" s="210"/>
      <c r="CD1325" s="210"/>
      <c r="CE1325" s="210"/>
      <c r="CF1325" s="210"/>
      <c r="CG1325" s="210"/>
      <c r="CH1325" s="210"/>
      <c r="CI1325" s="210"/>
      <c r="CJ1325" s="210"/>
      <c r="CK1325" s="210"/>
    </row>
    <row r="1326">
      <c r="A1326" s="220"/>
      <c r="F1326" s="190"/>
      <c r="G1326" s="190"/>
      <c r="L1326" s="220"/>
      <c r="M1326" s="220"/>
      <c r="O1326" s="210"/>
      <c r="P1326" s="210"/>
      <c r="Q1326" s="210"/>
      <c r="R1326" s="210"/>
      <c r="S1326" s="210"/>
      <c r="T1326" s="210"/>
      <c r="U1326" s="210"/>
      <c r="V1326" s="210"/>
      <c r="W1326" s="210"/>
      <c r="X1326" s="210"/>
      <c r="Y1326" s="210"/>
      <c r="Z1326" s="210"/>
      <c r="AA1326" s="210"/>
      <c r="AB1326" s="210"/>
      <c r="AC1326" s="210"/>
      <c r="AD1326" s="210"/>
      <c r="AE1326" s="210"/>
      <c r="AF1326" s="210"/>
      <c r="AG1326" s="210"/>
      <c r="AH1326" s="210"/>
      <c r="AI1326" s="210"/>
      <c r="AJ1326" s="210"/>
      <c r="AK1326" s="210"/>
      <c r="AL1326" s="210"/>
      <c r="AM1326" s="214"/>
      <c r="AN1326" s="210"/>
      <c r="AO1326" s="210"/>
      <c r="AP1326" s="210"/>
      <c r="AQ1326" s="210"/>
      <c r="AR1326" s="210"/>
      <c r="AS1326" s="210"/>
      <c r="AT1326" s="210"/>
      <c r="AU1326" s="210"/>
      <c r="AV1326" s="210"/>
      <c r="AW1326" s="210"/>
      <c r="AX1326" s="210"/>
      <c r="AY1326" s="210"/>
      <c r="AZ1326" s="210"/>
      <c r="BA1326" s="210"/>
      <c r="BB1326" s="210"/>
      <c r="BC1326" s="210"/>
      <c r="BD1326" s="210"/>
      <c r="BE1326" s="210"/>
      <c r="BF1326" s="210"/>
      <c r="BG1326" s="210"/>
      <c r="BH1326" s="210"/>
      <c r="BI1326" s="210"/>
      <c r="BJ1326" s="210"/>
      <c r="BK1326" s="210"/>
      <c r="BL1326" s="210"/>
      <c r="BM1326" s="210"/>
      <c r="BN1326" s="210"/>
      <c r="BO1326" s="210"/>
      <c r="BP1326" s="210"/>
      <c r="BQ1326" s="210"/>
      <c r="BR1326" s="210"/>
      <c r="BS1326" s="210"/>
      <c r="BT1326" s="210"/>
      <c r="BU1326" s="210"/>
      <c r="BV1326" s="210"/>
      <c r="BW1326" s="210"/>
      <c r="BX1326" s="210"/>
      <c r="BY1326" s="210"/>
      <c r="BZ1326" s="210"/>
      <c r="CA1326" s="210"/>
      <c r="CB1326" s="210"/>
      <c r="CC1326" s="210"/>
      <c r="CD1326" s="210"/>
      <c r="CE1326" s="210"/>
      <c r="CF1326" s="210"/>
      <c r="CG1326" s="210"/>
      <c r="CH1326" s="210"/>
      <c r="CI1326" s="210"/>
      <c r="CJ1326" s="210"/>
      <c r="CK1326" s="210"/>
    </row>
    <row r="1327">
      <c r="A1327" s="220"/>
      <c r="F1327" s="190"/>
      <c r="G1327" s="190"/>
      <c r="L1327" s="220"/>
      <c r="M1327" s="220"/>
      <c r="O1327" s="210"/>
      <c r="P1327" s="210"/>
      <c r="Q1327" s="210"/>
      <c r="R1327" s="210"/>
      <c r="S1327" s="210"/>
      <c r="T1327" s="210"/>
      <c r="U1327" s="210"/>
      <c r="V1327" s="210"/>
      <c r="W1327" s="210"/>
      <c r="X1327" s="210"/>
      <c r="Y1327" s="210"/>
      <c r="Z1327" s="210"/>
      <c r="AA1327" s="210"/>
      <c r="AB1327" s="210"/>
      <c r="AC1327" s="210"/>
      <c r="AD1327" s="210"/>
      <c r="AE1327" s="210"/>
      <c r="AF1327" s="210"/>
      <c r="AG1327" s="210"/>
      <c r="AH1327" s="210"/>
      <c r="AI1327" s="210"/>
      <c r="AJ1327" s="210"/>
      <c r="AK1327" s="210"/>
      <c r="AL1327" s="210"/>
      <c r="AM1327" s="214"/>
      <c r="AN1327" s="210"/>
      <c r="AO1327" s="210"/>
      <c r="AP1327" s="210"/>
      <c r="AQ1327" s="210"/>
      <c r="AR1327" s="210"/>
      <c r="AS1327" s="210"/>
      <c r="AT1327" s="210"/>
      <c r="AU1327" s="210"/>
      <c r="AV1327" s="210"/>
      <c r="AW1327" s="210"/>
      <c r="AX1327" s="210"/>
      <c r="AY1327" s="210"/>
      <c r="AZ1327" s="210"/>
      <c r="BA1327" s="210"/>
      <c r="BB1327" s="210"/>
      <c r="BC1327" s="210"/>
      <c r="BD1327" s="210"/>
      <c r="BE1327" s="210"/>
      <c r="BF1327" s="210"/>
      <c r="BG1327" s="210"/>
      <c r="BH1327" s="210"/>
      <c r="BI1327" s="210"/>
      <c r="BJ1327" s="210"/>
      <c r="BK1327" s="210"/>
      <c r="BL1327" s="210"/>
      <c r="BM1327" s="210"/>
      <c r="BN1327" s="210"/>
      <c r="BO1327" s="210"/>
      <c r="BP1327" s="210"/>
      <c r="BQ1327" s="210"/>
      <c r="BR1327" s="210"/>
      <c r="BS1327" s="210"/>
      <c r="BT1327" s="210"/>
      <c r="BU1327" s="210"/>
      <c r="BV1327" s="210"/>
      <c r="BW1327" s="210"/>
      <c r="BX1327" s="210"/>
      <c r="BY1327" s="210"/>
      <c r="BZ1327" s="210"/>
      <c r="CA1327" s="210"/>
      <c r="CB1327" s="210"/>
      <c r="CC1327" s="210"/>
      <c r="CD1327" s="210"/>
      <c r="CE1327" s="210"/>
      <c r="CF1327" s="210"/>
      <c r="CG1327" s="210"/>
      <c r="CH1327" s="210"/>
      <c r="CI1327" s="210"/>
      <c r="CJ1327" s="210"/>
      <c r="CK1327" s="210"/>
    </row>
    <row r="1328">
      <c r="A1328" s="220"/>
      <c r="F1328" s="190"/>
      <c r="G1328" s="190"/>
      <c r="L1328" s="220"/>
      <c r="M1328" s="220"/>
      <c r="O1328" s="210"/>
      <c r="P1328" s="210"/>
      <c r="Q1328" s="210"/>
      <c r="R1328" s="210"/>
      <c r="S1328" s="210"/>
      <c r="T1328" s="210"/>
      <c r="U1328" s="210"/>
      <c r="V1328" s="210"/>
      <c r="W1328" s="210"/>
      <c r="X1328" s="210"/>
      <c r="Y1328" s="210"/>
      <c r="Z1328" s="210"/>
      <c r="AA1328" s="210"/>
      <c r="AB1328" s="210"/>
      <c r="AC1328" s="210"/>
      <c r="AD1328" s="210"/>
      <c r="AE1328" s="210"/>
      <c r="AF1328" s="210"/>
      <c r="AG1328" s="210"/>
      <c r="AH1328" s="210"/>
      <c r="AI1328" s="210"/>
      <c r="AJ1328" s="210"/>
      <c r="AK1328" s="210"/>
      <c r="AL1328" s="210"/>
      <c r="AM1328" s="214"/>
      <c r="AN1328" s="210"/>
      <c r="AO1328" s="210"/>
      <c r="AP1328" s="210"/>
      <c r="AQ1328" s="210"/>
      <c r="AR1328" s="210"/>
      <c r="AS1328" s="210"/>
      <c r="AT1328" s="210"/>
      <c r="AU1328" s="210"/>
      <c r="AV1328" s="210"/>
      <c r="AW1328" s="210"/>
      <c r="AX1328" s="210"/>
      <c r="AY1328" s="210"/>
      <c r="AZ1328" s="210"/>
      <c r="BA1328" s="210"/>
      <c r="BB1328" s="210"/>
      <c r="BC1328" s="210"/>
      <c r="BD1328" s="210"/>
      <c r="BE1328" s="210"/>
      <c r="BF1328" s="210"/>
      <c r="BG1328" s="210"/>
      <c r="BH1328" s="210"/>
      <c r="BI1328" s="210"/>
      <c r="BJ1328" s="210"/>
      <c r="BK1328" s="210"/>
      <c r="BL1328" s="210"/>
      <c r="BM1328" s="210"/>
      <c r="BN1328" s="210"/>
      <c r="BO1328" s="210"/>
      <c r="BP1328" s="210"/>
      <c r="BQ1328" s="210"/>
      <c r="BR1328" s="210"/>
      <c r="BS1328" s="210"/>
      <c r="BT1328" s="210"/>
      <c r="BU1328" s="210"/>
      <c r="BV1328" s="210"/>
      <c r="BW1328" s="210"/>
      <c r="BX1328" s="210"/>
      <c r="BY1328" s="210"/>
      <c r="BZ1328" s="210"/>
      <c r="CA1328" s="210"/>
      <c r="CB1328" s="210"/>
      <c r="CC1328" s="210"/>
      <c r="CD1328" s="210"/>
      <c r="CE1328" s="210"/>
      <c r="CF1328" s="210"/>
      <c r="CG1328" s="210"/>
      <c r="CH1328" s="210"/>
      <c r="CI1328" s="210"/>
      <c r="CJ1328" s="210"/>
      <c r="CK1328" s="210"/>
    </row>
    <row r="1329">
      <c r="A1329" s="220"/>
      <c r="F1329" s="190"/>
      <c r="G1329" s="190"/>
      <c r="L1329" s="220"/>
      <c r="M1329" s="220"/>
      <c r="O1329" s="210"/>
      <c r="P1329" s="210"/>
      <c r="Q1329" s="210"/>
      <c r="R1329" s="210"/>
      <c r="S1329" s="210"/>
      <c r="T1329" s="210"/>
      <c r="U1329" s="210"/>
      <c r="V1329" s="210"/>
      <c r="W1329" s="210"/>
      <c r="X1329" s="210"/>
      <c r="Y1329" s="210"/>
      <c r="Z1329" s="210"/>
      <c r="AA1329" s="210"/>
      <c r="AB1329" s="210"/>
      <c r="AC1329" s="210"/>
      <c r="AD1329" s="210"/>
      <c r="AE1329" s="210"/>
      <c r="AF1329" s="210"/>
      <c r="AG1329" s="210"/>
      <c r="AH1329" s="210"/>
      <c r="AI1329" s="210"/>
      <c r="AJ1329" s="210"/>
      <c r="AK1329" s="210"/>
      <c r="AL1329" s="210"/>
      <c r="AM1329" s="214"/>
      <c r="AN1329" s="210"/>
      <c r="AO1329" s="210"/>
      <c r="AP1329" s="210"/>
      <c r="AQ1329" s="210"/>
      <c r="AR1329" s="210"/>
      <c r="AS1329" s="210"/>
      <c r="AT1329" s="210"/>
      <c r="AU1329" s="210"/>
      <c r="AV1329" s="210"/>
      <c r="AW1329" s="210"/>
      <c r="AX1329" s="210"/>
      <c r="AY1329" s="210"/>
      <c r="AZ1329" s="210"/>
      <c r="BA1329" s="210"/>
      <c r="BB1329" s="210"/>
      <c r="BC1329" s="210"/>
      <c r="BD1329" s="210"/>
      <c r="BE1329" s="210"/>
      <c r="BF1329" s="210"/>
      <c r="BG1329" s="210"/>
      <c r="BH1329" s="210"/>
      <c r="BI1329" s="210"/>
      <c r="BJ1329" s="210"/>
      <c r="BK1329" s="210"/>
      <c r="BL1329" s="210"/>
      <c r="BM1329" s="210"/>
      <c r="BN1329" s="210"/>
      <c r="BO1329" s="210"/>
      <c r="BP1329" s="210"/>
      <c r="BQ1329" s="210"/>
      <c r="BR1329" s="210"/>
      <c r="BS1329" s="210"/>
      <c r="BT1329" s="210"/>
      <c r="BU1329" s="210"/>
      <c r="BV1329" s="210"/>
      <c r="BW1329" s="210"/>
      <c r="BX1329" s="210"/>
      <c r="BY1329" s="210"/>
      <c r="BZ1329" s="210"/>
      <c r="CA1329" s="210"/>
      <c r="CB1329" s="210"/>
      <c r="CC1329" s="210"/>
      <c r="CD1329" s="210"/>
      <c r="CE1329" s="210"/>
      <c r="CF1329" s="210"/>
      <c r="CG1329" s="210"/>
      <c r="CH1329" s="210"/>
      <c r="CI1329" s="210"/>
      <c r="CJ1329" s="210"/>
      <c r="CK1329" s="210"/>
    </row>
    <row r="1330">
      <c r="A1330" s="220"/>
      <c r="F1330" s="190"/>
      <c r="G1330" s="190"/>
      <c r="L1330" s="220"/>
      <c r="M1330" s="220"/>
      <c r="O1330" s="210"/>
      <c r="P1330" s="210"/>
      <c r="Q1330" s="210"/>
      <c r="R1330" s="210"/>
      <c r="S1330" s="210"/>
      <c r="T1330" s="210"/>
      <c r="U1330" s="210"/>
      <c r="V1330" s="210"/>
      <c r="W1330" s="210"/>
      <c r="X1330" s="210"/>
      <c r="Y1330" s="210"/>
      <c r="Z1330" s="210"/>
      <c r="AA1330" s="210"/>
      <c r="AB1330" s="210"/>
      <c r="AC1330" s="210"/>
      <c r="AD1330" s="210"/>
      <c r="AE1330" s="210"/>
      <c r="AF1330" s="210"/>
      <c r="AG1330" s="210"/>
      <c r="AH1330" s="210"/>
      <c r="AI1330" s="210"/>
      <c r="AJ1330" s="210"/>
      <c r="AK1330" s="210"/>
      <c r="AL1330" s="210"/>
      <c r="AM1330" s="214"/>
      <c r="AN1330" s="210"/>
      <c r="AO1330" s="210"/>
      <c r="AP1330" s="210"/>
      <c r="AQ1330" s="210"/>
      <c r="AR1330" s="210"/>
      <c r="AS1330" s="210"/>
      <c r="AT1330" s="210"/>
      <c r="AU1330" s="210"/>
      <c r="AV1330" s="210"/>
      <c r="AW1330" s="210"/>
      <c r="AX1330" s="210"/>
      <c r="AY1330" s="210"/>
      <c r="AZ1330" s="210"/>
      <c r="BA1330" s="210"/>
      <c r="BB1330" s="210"/>
      <c r="BC1330" s="210"/>
      <c r="BD1330" s="210"/>
      <c r="BE1330" s="210"/>
      <c r="BF1330" s="210"/>
      <c r="BG1330" s="210"/>
      <c r="BH1330" s="210"/>
      <c r="BI1330" s="210"/>
      <c r="BJ1330" s="210"/>
      <c r="BK1330" s="210"/>
      <c r="BL1330" s="210"/>
      <c r="BM1330" s="210"/>
      <c r="BN1330" s="210"/>
      <c r="BO1330" s="210"/>
      <c r="BP1330" s="210"/>
      <c r="BQ1330" s="210"/>
      <c r="BR1330" s="210"/>
      <c r="BS1330" s="210"/>
      <c r="BT1330" s="210"/>
      <c r="BU1330" s="210"/>
      <c r="BV1330" s="210"/>
      <c r="BW1330" s="210"/>
      <c r="BX1330" s="210"/>
      <c r="BY1330" s="210"/>
      <c r="BZ1330" s="210"/>
      <c r="CA1330" s="210"/>
      <c r="CB1330" s="210"/>
      <c r="CC1330" s="210"/>
      <c r="CD1330" s="210"/>
      <c r="CE1330" s="210"/>
      <c r="CF1330" s="210"/>
      <c r="CG1330" s="210"/>
      <c r="CH1330" s="210"/>
      <c r="CI1330" s="210"/>
      <c r="CJ1330" s="210"/>
      <c r="CK1330" s="210"/>
    </row>
    <row r="1331">
      <c r="A1331" s="220"/>
      <c r="F1331" s="190"/>
      <c r="G1331" s="190"/>
      <c r="L1331" s="220"/>
      <c r="M1331" s="220"/>
      <c r="O1331" s="210"/>
      <c r="P1331" s="210"/>
      <c r="Q1331" s="210"/>
      <c r="R1331" s="210"/>
      <c r="S1331" s="210"/>
      <c r="T1331" s="210"/>
      <c r="U1331" s="210"/>
      <c r="V1331" s="210"/>
      <c r="W1331" s="210"/>
      <c r="X1331" s="210"/>
      <c r="Y1331" s="210"/>
      <c r="Z1331" s="210"/>
      <c r="AA1331" s="210"/>
      <c r="AB1331" s="210"/>
      <c r="AC1331" s="210"/>
      <c r="AD1331" s="210"/>
      <c r="AE1331" s="210"/>
      <c r="AF1331" s="210"/>
      <c r="AG1331" s="210"/>
      <c r="AH1331" s="210"/>
      <c r="AI1331" s="210"/>
      <c r="AJ1331" s="210"/>
      <c r="AK1331" s="210"/>
      <c r="AL1331" s="210"/>
      <c r="AM1331" s="214"/>
      <c r="AN1331" s="210"/>
      <c r="AO1331" s="210"/>
      <c r="AP1331" s="210"/>
      <c r="AQ1331" s="210"/>
      <c r="AR1331" s="210"/>
      <c r="AS1331" s="210"/>
      <c r="AT1331" s="210"/>
      <c r="AU1331" s="210"/>
      <c r="AV1331" s="210"/>
      <c r="AW1331" s="210"/>
      <c r="AX1331" s="210"/>
      <c r="AY1331" s="210"/>
      <c r="AZ1331" s="210"/>
      <c r="BA1331" s="210"/>
      <c r="BB1331" s="210"/>
      <c r="BC1331" s="210"/>
      <c r="BD1331" s="210"/>
      <c r="BE1331" s="210"/>
      <c r="BF1331" s="210"/>
      <c r="BG1331" s="210"/>
      <c r="BH1331" s="210"/>
      <c r="BI1331" s="210"/>
      <c r="BJ1331" s="210"/>
      <c r="BK1331" s="210"/>
      <c r="BL1331" s="210"/>
      <c r="BM1331" s="210"/>
      <c r="BN1331" s="210"/>
      <c r="BO1331" s="210"/>
      <c r="BP1331" s="210"/>
      <c r="BQ1331" s="210"/>
      <c r="BR1331" s="210"/>
      <c r="BS1331" s="210"/>
      <c r="BT1331" s="210"/>
      <c r="BU1331" s="210"/>
      <c r="BV1331" s="210"/>
      <c r="BW1331" s="210"/>
      <c r="BX1331" s="210"/>
      <c r="BY1331" s="210"/>
      <c r="BZ1331" s="210"/>
      <c r="CA1331" s="210"/>
      <c r="CB1331" s="210"/>
      <c r="CC1331" s="210"/>
      <c r="CD1331" s="210"/>
      <c r="CE1331" s="210"/>
      <c r="CF1331" s="210"/>
      <c r="CG1331" s="210"/>
      <c r="CH1331" s="210"/>
      <c r="CI1331" s="210"/>
      <c r="CJ1331" s="210"/>
      <c r="CK1331" s="210"/>
    </row>
    <row r="1332">
      <c r="A1332" s="220"/>
      <c r="F1332" s="190"/>
      <c r="G1332" s="190"/>
      <c r="L1332" s="220"/>
      <c r="M1332" s="220"/>
      <c r="O1332" s="210"/>
      <c r="P1332" s="210"/>
      <c r="Q1332" s="210"/>
      <c r="R1332" s="210"/>
      <c r="S1332" s="210"/>
      <c r="T1332" s="210"/>
      <c r="U1332" s="210"/>
      <c r="V1332" s="210"/>
      <c r="W1332" s="210"/>
      <c r="X1332" s="210"/>
      <c r="Y1332" s="210"/>
      <c r="Z1332" s="210"/>
      <c r="AA1332" s="210"/>
      <c r="AB1332" s="210"/>
      <c r="AC1332" s="210"/>
      <c r="AD1332" s="210"/>
      <c r="AE1332" s="210"/>
      <c r="AF1332" s="210"/>
      <c r="AG1332" s="210"/>
      <c r="AH1332" s="210"/>
      <c r="AI1332" s="210"/>
      <c r="AJ1332" s="210"/>
      <c r="AK1332" s="210"/>
      <c r="AL1332" s="210"/>
      <c r="AM1332" s="214"/>
      <c r="AN1332" s="210"/>
      <c r="AO1332" s="210"/>
      <c r="AP1332" s="210"/>
      <c r="AQ1332" s="210"/>
      <c r="AR1332" s="210"/>
      <c r="AS1332" s="210"/>
      <c r="AT1332" s="210"/>
      <c r="AU1332" s="210"/>
      <c r="AV1332" s="210"/>
      <c r="AW1332" s="210"/>
      <c r="AX1332" s="210"/>
      <c r="AY1332" s="210"/>
      <c r="AZ1332" s="210"/>
      <c r="BA1332" s="210"/>
      <c r="BB1332" s="210"/>
      <c r="BC1332" s="210"/>
      <c r="BD1332" s="210"/>
      <c r="BE1332" s="210"/>
      <c r="BF1332" s="210"/>
      <c r="BG1332" s="210"/>
      <c r="BH1332" s="210"/>
      <c r="BI1332" s="210"/>
      <c r="BJ1332" s="210"/>
      <c r="BK1332" s="210"/>
      <c r="BL1332" s="210"/>
      <c r="BM1332" s="210"/>
      <c r="BN1332" s="210"/>
      <c r="BO1332" s="210"/>
      <c r="BP1332" s="210"/>
      <c r="BQ1332" s="210"/>
      <c r="BR1332" s="210"/>
      <c r="BS1332" s="210"/>
      <c r="BT1332" s="210"/>
      <c r="BU1332" s="210"/>
      <c r="BV1332" s="210"/>
      <c r="BW1332" s="210"/>
      <c r="BX1332" s="210"/>
      <c r="BY1332" s="210"/>
      <c r="BZ1332" s="210"/>
      <c r="CA1332" s="210"/>
      <c r="CB1332" s="210"/>
      <c r="CC1332" s="210"/>
      <c r="CD1332" s="210"/>
      <c r="CE1332" s="210"/>
      <c r="CF1332" s="210"/>
      <c r="CG1332" s="210"/>
      <c r="CH1332" s="210"/>
      <c r="CI1332" s="210"/>
      <c r="CJ1332" s="210"/>
      <c r="CK1332" s="210"/>
    </row>
    <row r="1333">
      <c r="A1333" s="220"/>
      <c r="F1333" s="190"/>
      <c r="G1333" s="190"/>
      <c r="L1333" s="220"/>
      <c r="M1333" s="220"/>
      <c r="O1333" s="210"/>
      <c r="P1333" s="210"/>
      <c r="Q1333" s="210"/>
      <c r="R1333" s="210"/>
      <c r="S1333" s="210"/>
      <c r="T1333" s="210"/>
      <c r="U1333" s="210"/>
      <c r="V1333" s="210"/>
      <c r="W1333" s="210"/>
      <c r="X1333" s="210"/>
      <c r="Y1333" s="210"/>
      <c r="Z1333" s="210"/>
      <c r="AA1333" s="210"/>
      <c r="AB1333" s="210"/>
      <c r="AC1333" s="210"/>
      <c r="AD1333" s="210"/>
      <c r="AE1333" s="210"/>
      <c r="AF1333" s="210"/>
      <c r="AG1333" s="210"/>
      <c r="AH1333" s="210"/>
      <c r="AI1333" s="210"/>
      <c r="AJ1333" s="210"/>
      <c r="AK1333" s="210"/>
      <c r="AL1333" s="210"/>
      <c r="AM1333" s="214"/>
      <c r="AN1333" s="210"/>
      <c r="AO1333" s="210"/>
      <c r="AP1333" s="210"/>
      <c r="AQ1333" s="210"/>
      <c r="AR1333" s="210"/>
      <c r="AS1333" s="210"/>
      <c r="AT1333" s="210"/>
      <c r="AU1333" s="210"/>
      <c r="AV1333" s="210"/>
      <c r="AW1333" s="210"/>
      <c r="AX1333" s="210"/>
      <c r="AY1333" s="210"/>
      <c r="AZ1333" s="210"/>
      <c r="BA1333" s="210"/>
      <c r="BB1333" s="210"/>
      <c r="BC1333" s="210"/>
      <c r="BD1333" s="210"/>
      <c r="BE1333" s="210"/>
      <c r="BF1333" s="210"/>
      <c r="BG1333" s="210"/>
      <c r="BH1333" s="210"/>
      <c r="BI1333" s="210"/>
      <c r="BJ1333" s="210"/>
      <c r="BK1333" s="210"/>
      <c r="BL1333" s="210"/>
      <c r="BM1333" s="210"/>
      <c r="BN1333" s="210"/>
      <c r="BO1333" s="210"/>
      <c r="BP1333" s="210"/>
      <c r="BQ1333" s="210"/>
      <c r="BR1333" s="210"/>
      <c r="BS1333" s="210"/>
      <c r="BT1333" s="210"/>
      <c r="BU1333" s="210"/>
      <c r="BV1333" s="210"/>
      <c r="BW1333" s="210"/>
      <c r="BX1333" s="210"/>
      <c r="BY1333" s="210"/>
      <c r="BZ1333" s="210"/>
      <c r="CA1333" s="210"/>
      <c r="CB1333" s="210"/>
      <c r="CC1333" s="210"/>
      <c r="CD1333" s="210"/>
      <c r="CE1333" s="210"/>
      <c r="CF1333" s="210"/>
      <c r="CG1333" s="210"/>
      <c r="CH1333" s="210"/>
      <c r="CI1333" s="210"/>
      <c r="CJ1333" s="210"/>
      <c r="CK1333" s="210"/>
    </row>
    <row r="1334">
      <c r="A1334" s="220"/>
      <c r="F1334" s="190"/>
      <c r="G1334" s="190"/>
      <c r="L1334" s="220"/>
      <c r="M1334" s="220"/>
      <c r="O1334" s="210"/>
      <c r="P1334" s="210"/>
      <c r="Q1334" s="210"/>
      <c r="R1334" s="210"/>
      <c r="S1334" s="210"/>
      <c r="T1334" s="210"/>
      <c r="U1334" s="210"/>
      <c r="V1334" s="210"/>
      <c r="W1334" s="210"/>
      <c r="X1334" s="210"/>
      <c r="Y1334" s="210"/>
      <c r="Z1334" s="210"/>
      <c r="AA1334" s="210"/>
      <c r="AB1334" s="210"/>
      <c r="AC1334" s="210"/>
      <c r="AD1334" s="210"/>
      <c r="AE1334" s="210"/>
      <c r="AF1334" s="210"/>
      <c r="AG1334" s="210"/>
      <c r="AH1334" s="210"/>
      <c r="AI1334" s="210"/>
      <c r="AJ1334" s="210"/>
      <c r="AK1334" s="210"/>
      <c r="AL1334" s="210"/>
      <c r="AM1334" s="214"/>
      <c r="AN1334" s="210"/>
      <c r="AO1334" s="210"/>
      <c r="AP1334" s="210"/>
      <c r="AQ1334" s="210"/>
      <c r="AR1334" s="210"/>
      <c r="AS1334" s="210"/>
      <c r="AT1334" s="210"/>
      <c r="AU1334" s="210"/>
      <c r="AV1334" s="210"/>
      <c r="AW1334" s="210"/>
      <c r="AX1334" s="210"/>
      <c r="AY1334" s="210"/>
      <c r="AZ1334" s="210"/>
      <c r="BA1334" s="210"/>
      <c r="BB1334" s="210"/>
      <c r="BC1334" s="210"/>
      <c r="BD1334" s="210"/>
      <c r="BE1334" s="210"/>
      <c r="BF1334" s="210"/>
      <c r="BG1334" s="210"/>
      <c r="BH1334" s="210"/>
      <c r="BI1334" s="210"/>
      <c r="BJ1334" s="210"/>
      <c r="BK1334" s="210"/>
      <c r="BL1334" s="210"/>
      <c r="BM1334" s="210"/>
      <c r="BN1334" s="210"/>
      <c r="BO1334" s="210"/>
      <c r="BP1334" s="210"/>
      <c r="BQ1334" s="210"/>
      <c r="BR1334" s="210"/>
      <c r="BS1334" s="210"/>
      <c r="BT1334" s="210"/>
      <c r="BU1334" s="210"/>
      <c r="BV1334" s="210"/>
      <c r="BW1334" s="210"/>
      <c r="BX1334" s="210"/>
      <c r="BY1334" s="210"/>
      <c r="BZ1334" s="210"/>
      <c r="CA1334" s="210"/>
      <c r="CB1334" s="210"/>
      <c r="CC1334" s="210"/>
      <c r="CD1334" s="210"/>
      <c r="CE1334" s="210"/>
      <c r="CF1334" s="210"/>
      <c r="CG1334" s="210"/>
      <c r="CH1334" s="210"/>
      <c r="CI1334" s="210"/>
      <c r="CJ1334" s="210"/>
      <c r="CK1334" s="210"/>
    </row>
    <row r="1335">
      <c r="A1335" s="220"/>
      <c r="F1335" s="190"/>
      <c r="G1335" s="190"/>
      <c r="L1335" s="220"/>
      <c r="M1335" s="220"/>
      <c r="O1335" s="210"/>
      <c r="P1335" s="210"/>
      <c r="Q1335" s="210"/>
      <c r="R1335" s="210"/>
      <c r="S1335" s="210"/>
      <c r="T1335" s="210"/>
      <c r="U1335" s="210"/>
      <c r="V1335" s="210"/>
      <c r="W1335" s="210"/>
      <c r="X1335" s="210"/>
      <c r="Y1335" s="210"/>
      <c r="Z1335" s="210"/>
      <c r="AA1335" s="210"/>
      <c r="AB1335" s="210"/>
      <c r="AC1335" s="210"/>
      <c r="AD1335" s="210"/>
      <c r="AE1335" s="210"/>
      <c r="AF1335" s="210"/>
      <c r="AG1335" s="210"/>
      <c r="AH1335" s="210"/>
      <c r="AI1335" s="210"/>
      <c r="AJ1335" s="210"/>
      <c r="AK1335" s="210"/>
      <c r="AL1335" s="210"/>
      <c r="AM1335" s="214"/>
      <c r="AN1335" s="210"/>
      <c r="AO1335" s="210"/>
      <c r="AP1335" s="210"/>
      <c r="AQ1335" s="210"/>
      <c r="AR1335" s="210"/>
      <c r="AS1335" s="210"/>
      <c r="AT1335" s="210"/>
      <c r="AU1335" s="210"/>
      <c r="AV1335" s="210"/>
      <c r="AW1335" s="210"/>
      <c r="AX1335" s="210"/>
      <c r="AY1335" s="210"/>
      <c r="AZ1335" s="210"/>
      <c r="BA1335" s="210"/>
      <c r="BB1335" s="210"/>
      <c r="BC1335" s="210"/>
      <c r="BD1335" s="210"/>
      <c r="BE1335" s="210"/>
      <c r="BF1335" s="210"/>
      <c r="BG1335" s="210"/>
      <c r="BH1335" s="210"/>
      <c r="BI1335" s="210"/>
      <c r="BJ1335" s="210"/>
      <c r="BK1335" s="210"/>
      <c r="BL1335" s="210"/>
      <c r="BM1335" s="210"/>
      <c r="BN1335" s="210"/>
      <c r="BO1335" s="210"/>
      <c r="BP1335" s="210"/>
      <c r="BQ1335" s="210"/>
      <c r="BR1335" s="210"/>
      <c r="BS1335" s="210"/>
      <c r="BT1335" s="210"/>
      <c r="BU1335" s="210"/>
      <c r="BV1335" s="210"/>
      <c r="BW1335" s="210"/>
      <c r="BX1335" s="210"/>
      <c r="BY1335" s="210"/>
      <c r="BZ1335" s="210"/>
      <c r="CA1335" s="210"/>
      <c r="CB1335" s="210"/>
      <c r="CC1335" s="210"/>
      <c r="CD1335" s="210"/>
      <c r="CE1335" s="210"/>
      <c r="CF1335" s="210"/>
      <c r="CG1335" s="210"/>
      <c r="CH1335" s="210"/>
      <c r="CI1335" s="210"/>
      <c r="CJ1335" s="210"/>
      <c r="CK1335" s="210"/>
    </row>
    <row r="1336">
      <c r="A1336" s="220"/>
      <c r="F1336" s="190"/>
      <c r="G1336" s="190"/>
      <c r="L1336" s="220"/>
      <c r="M1336" s="220"/>
      <c r="O1336" s="210"/>
      <c r="P1336" s="210"/>
      <c r="Q1336" s="210"/>
      <c r="R1336" s="210"/>
      <c r="S1336" s="210"/>
      <c r="T1336" s="210"/>
      <c r="U1336" s="210"/>
      <c r="V1336" s="210"/>
      <c r="W1336" s="210"/>
      <c r="X1336" s="210"/>
      <c r="Y1336" s="210"/>
      <c r="Z1336" s="210"/>
      <c r="AA1336" s="210"/>
      <c r="AB1336" s="210"/>
      <c r="AC1336" s="210"/>
      <c r="AD1336" s="210"/>
      <c r="AE1336" s="210"/>
      <c r="AF1336" s="210"/>
      <c r="AG1336" s="210"/>
      <c r="AH1336" s="210"/>
      <c r="AI1336" s="210"/>
      <c r="AJ1336" s="210"/>
      <c r="AK1336" s="210"/>
      <c r="AL1336" s="210"/>
      <c r="AM1336" s="214"/>
      <c r="AN1336" s="210"/>
      <c r="AO1336" s="210"/>
      <c r="AP1336" s="210"/>
      <c r="AQ1336" s="210"/>
      <c r="AR1336" s="210"/>
      <c r="AS1336" s="210"/>
      <c r="AT1336" s="210"/>
      <c r="AU1336" s="210"/>
      <c r="AV1336" s="210"/>
      <c r="AW1336" s="210"/>
      <c r="AX1336" s="210"/>
      <c r="AY1336" s="210"/>
      <c r="AZ1336" s="210"/>
      <c r="BA1336" s="210"/>
      <c r="BB1336" s="210"/>
      <c r="BC1336" s="210"/>
      <c r="BD1336" s="210"/>
      <c r="BE1336" s="210"/>
      <c r="BF1336" s="210"/>
      <c r="BG1336" s="210"/>
      <c r="BH1336" s="210"/>
      <c r="BI1336" s="210"/>
      <c r="BJ1336" s="210"/>
      <c r="BK1336" s="210"/>
      <c r="BL1336" s="210"/>
      <c r="BM1336" s="210"/>
      <c r="BN1336" s="210"/>
      <c r="BO1336" s="210"/>
      <c r="BP1336" s="210"/>
      <c r="BQ1336" s="210"/>
      <c r="BR1336" s="210"/>
      <c r="BS1336" s="210"/>
      <c r="BT1336" s="210"/>
      <c r="BU1336" s="210"/>
      <c r="BV1336" s="210"/>
      <c r="BW1336" s="210"/>
      <c r="BX1336" s="210"/>
      <c r="BY1336" s="210"/>
      <c r="BZ1336" s="210"/>
      <c r="CA1336" s="210"/>
      <c r="CB1336" s="210"/>
      <c r="CC1336" s="210"/>
      <c r="CD1336" s="210"/>
      <c r="CE1336" s="210"/>
      <c r="CF1336" s="210"/>
      <c r="CG1336" s="210"/>
      <c r="CH1336" s="210"/>
      <c r="CI1336" s="210"/>
      <c r="CJ1336" s="210"/>
      <c r="CK1336" s="210"/>
    </row>
    <row r="1337">
      <c r="A1337" s="220"/>
      <c r="F1337" s="190"/>
      <c r="G1337" s="190"/>
      <c r="L1337" s="220"/>
      <c r="M1337" s="220"/>
      <c r="O1337" s="210"/>
      <c r="P1337" s="210"/>
      <c r="Q1337" s="210"/>
      <c r="R1337" s="210"/>
      <c r="S1337" s="210"/>
      <c r="T1337" s="210"/>
      <c r="U1337" s="210"/>
      <c r="V1337" s="210"/>
      <c r="W1337" s="210"/>
      <c r="X1337" s="210"/>
      <c r="Y1337" s="210"/>
      <c r="Z1337" s="210"/>
      <c r="AA1337" s="210"/>
      <c r="AB1337" s="210"/>
      <c r="AC1337" s="210"/>
      <c r="AD1337" s="210"/>
      <c r="AE1337" s="210"/>
      <c r="AF1337" s="210"/>
      <c r="AG1337" s="210"/>
      <c r="AH1337" s="210"/>
      <c r="AI1337" s="210"/>
      <c r="AJ1337" s="210"/>
      <c r="AK1337" s="210"/>
      <c r="AL1337" s="210"/>
      <c r="AM1337" s="214"/>
      <c r="AN1337" s="210"/>
      <c r="AO1337" s="210"/>
      <c r="AP1337" s="210"/>
      <c r="AQ1337" s="210"/>
      <c r="AR1337" s="210"/>
      <c r="AS1337" s="210"/>
      <c r="AT1337" s="210"/>
      <c r="AU1337" s="210"/>
      <c r="AV1337" s="210"/>
      <c r="AW1337" s="210"/>
      <c r="AX1337" s="210"/>
      <c r="AY1337" s="210"/>
      <c r="AZ1337" s="210"/>
      <c r="BA1337" s="210"/>
      <c r="BB1337" s="210"/>
      <c r="BC1337" s="210"/>
      <c r="BD1337" s="210"/>
      <c r="BE1337" s="210"/>
      <c r="BF1337" s="210"/>
      <c r="BG1337" s="210"/>
      <c r="BH1337" s="210"/>
      <c r="BI1337" s="210"/>
      <c r="BJ1337" s="210"/>
      <c r="BK1337" s="210"/>
      <c r="BL1337" s="210"/>
      <c r="BM1337" s="210"/>
      <c r="BN1337" s="210"/>
      <c r="BO1337" s="210"/>
      <c r="BP1337" s="210"/>
      <c r="BQ1337" s="210"/>
      <c r="BR1337" s="210"/>
      <c r="BS1337" s="210"/>
      <c r="BT1337" s="210"/>
      <c r="BU1337" s="210"/>
      <c r="BV1337" s="210"/>
      <c r="BW1337" s="210"/>
      <c r="BX1337" s="210"/>
      <c r="BY1337" s="210"/>
      <c r="BZ1337" s="210"/>
      <c r="CA1337" s="210"/>
      <c r="CB1337" s="210"/>
      <c r="CC1337" s="210"/>
      <c r="CD1337" s="210"/>
      <c r="CE1337" s="210"/>
      <c r="CF1337" s="210"/>
      <c r="CG1337" s="210"/>
      <c r="CH1337" s="210"/>
      <c r="CI1337" s="210"/>
      <c r="CJ1337" s="210"/>
      <c r="CK1337" s="210"/>
    </row>
    <row r="1338">
      <c r="A1338" s="220"/>
      <c r="F1338" s="190"/>
      <c r="G1338" s="190"/>
      <c r="L1338" s="220"/>
      <c r="M1338" s="220"/>
      <c r="O1338" s="210"/>
      <c r="P1338" s="210"/>
      <c r="Q1338" s="210"/>
      <c r="R1338" s="210"/>
      <c r="S1338" s="210"/>
      <c r="T1338" s="210"/>
      <c r="U1338" s="210"/>
      <c r="V1338" s="210"/>
      <c r="W1338" s="210"/>
      <c r="X1338" s="210"/>
      <c r="Y1338" s="210"/>
      <c r="Z1338" s="210"/>
      <c r="AA1338" s="210"/>
      <c r="AB1338" s="210"/>
      <c r="AC1338" s="210"/>
      <c r="AD1338" s="210"/>
      <c r="AE1338" s="210"/>
      <c r="AF1338" s="210"/>
      <c r="AG1338" s="210"/>
      <c r="AH1338" s="210"/>
      <c r="AI1338" s="210"/>
      <c r="AJ1338" s="210"/>
      <c r="AK1338" s="210"/>
      <c r="AL1338" s="210"/>
      <c r="AM1338" s="214"/>
      <c r="AN1338" s="210"/>
      <c r="AO1338" s="210"/>
      <c r="AP1338" s="210"/>
      <c r="AQ1338" s="210"/>
      <c r="AR1338" s="210"/>
      <c r="AS1338" s="210"/>
      <c r="AT1338" s="210"/>
      <c r="AU1338" s="210"/>
      <c r="AV1338" s="210"/>
      <c r="AW1338" s="210"/>
      <c r="AX1338" s="210"/>
      <c r="AY1338" s="210"/>
      <c r="AZ1338" s="210"/>
      <c r="BA1338" s="210"/>
      <c r="BB1338" s="210"/>
      <c r="BC1338" s="210"/>
      <c r="BD1338" s="210"/>
      <c r="BE1338" s="210"/>
      <c r="BF1338" s="210"/>
      <c r="BG1338" s="210"/>
      <c r="BH1338" s="210"/>
      <c r="BI1338" s="210"/>
      <c r="BJ1338" s="210"/>
      <c r="BK1338" s="210"/>
      <c r="BL1338" s="210"/>
      <c r="BM1338" s="210"/>
      <c r="BN1338" s="210"/>
      <c r="BO1338" s="210"/>
      <c r="BP1338" s="210"/>
      <c r="BQ1338" s="210"/>
      <c r="BR1338" s="210"/>
      <c r="BS1338" s="210"/>
      <c r="BT1338" s="210"/>
      <c r="BU1338" s="210"/>
      <c r="BV1338" s="210"/>
      <c r="BW1338" s="210"/>
      <c r="BX1338" s="210"/>
      <c r="BY1338" s="210"/>
      <c r="BZ1338" s="210"/>
      <c r="CA1338" s="210"/>
      <c r="CB1338" s="210"/>
      <c r="CC1338" s="210"/>
      <c r="CD1338" s="210"/>
      <c r="CE1338" s="210"/>
      <c r="CF1338" s="210"/>
      <c r="CG1338" s="210"/>
      <c r="CH1338" s="210"/>
      <c r="CI1338" s="210"/>
      <c r="CJ1338" s="210"/>
      <c r="CK1338" s="210"/>
    </row>
    <row r="1339">
      <c r="A1339" s="220"/>
      <c r="F1339" s="190"/>
      <c r="G1339" s="190"/>
      <c r="L1339" s="220"/>
      <c r="M1339" s="220"/>
      <c r="O1339" s="210"/>
      <c r="P1339" s="210"/>
      <c r="Q1339" s="210"/>
      <c r="R1339" s="210"/>
      <c r="S1339" s="210"/>
      <c r="T1339" s="210"/>
      <c r="U1339" s="210"/>
      <c r="V1339" s="210"/>
      <c r="W1339" s="210"/>
      <c r="X1339" s="210"/>
      <c r="Y1339" s="210"/>
      <c r="Z1339" s="210"/>
      <c r="AA1339" s="210"/>
      <c r="AB1339" s="210"/>
      <c r="AC1339" s="210"/>
      <c r="AD1339" s="210"/>
      <c r="AE1339" s="210"/>
      <c r="AF1339" s="210"/>
      <c r="AG1339" s="210"/>
      <c r="AH1339" s="210"/>
      <c r="AI1339" s="210"/>
      <c r="AJ1339" s="210"/>
      <c r="AK1339" s="210"/>
      <c r="AL1339" s="210"/>
      <c r="AM1339" s="214"/>
      <c r="AN1339" s="210"/>
      <c r="AO1339" s="210"/>
      <c r="AP1339" s="210"/>
      <c r="AQ1339" s="210"/>
      <c r="AR1339" s="210"/>
      <c r="AS1339" s="210"/>
      <c r="AT1339" s="210"/>
      <c r="AU1339" s="210"/>
      <c r="AV1339" s="210"/>
      <c r="AW1339" s="210"/>
      <c r="AX1339" s="210"/>
      <c r="AY1339" s="210"/>
      <c r="AZ1339" s="210"/>
      <c r="BA1339" s="210"/>
      <c r="BB1339" s="210"/>
      <c r="BC1339" s="210"/>
      <c r="BD1339" s="210"/>
      <c r="BE1339" s="210"/>
      <c r="BF1339" s="210"/>
      <c r="BG1339" s="210"/>
      <c r="BH1339" s="210"/>
      <c r="BI1339" s="210"/>
      <c r="BJ1339" s="210"/>
      <c r="BK1339" s="210"/>
      <c r="BL1339" s="210"/>
      <c r="BM1339" s="210"/>
      <c r="BN1339" s="210"/>
      <c r="BO1339" s="210"/>
      <c r="BP1339" s="210"/>
      <c r="BQ1339" s="210"/>
      <c r="BR1339" s="210"/>
      <c r="BS1339" s="210"/>
      <c r="BT1339" s="210"/>
      <c r="BU1339" s="210"/>
      <c r="BV1339" s="210"/>
      <c r="BW1339" s="210"/>
      <c r="BX1339" s="210"/>
      <c r="BY1339" s="210"/>
      <c r="BZ1339" s="210"/>
      <c r="CA1339" s="210"/>
      <c r="CB1339" s="210"/>
      <c r="CC1339" s="210"/>
      <c r="CD1339" s="210"/>
      <c r="CE1339" s="210"/>
      <c r="CF1339" s="210"/>
      <c r="CG1339" s="210"/>
      <c r="CH1339" s="210"/>
      <c r="CI1339" s="210"/>
      <c r="CJ1339" s="210"/>
      <c r="CK1339" s="210"/>
    </row>
    <row r="1340">
      <c r="A1340" s="220"/>
      <c r="F1340" s="190"/>
      <c r="G1340" s="190"/>
      <c r="L1340" s="220"/>
      <c r="M1340" s="220"/>
      <c r="O1340" s="210"/>
      <c r="P1340" s="210"/>
      <c r="Q1340" s="210"/>
      <c r="R1340" s="210"/>
      <c r="S1340" s="210"/>
      <c r="T1340" s="210"/>
      <c r="U1340" s="210"/>
      <c r="V1340" s="210"/>
      <c r="W1340" s="210"/>
      <c r="X1340" s="210"/>
      <c r="Y1340" s="210"/>
      <c r="Z1340" s="210"/>
      <c r="AA1340" s="210"/>
      <c r="AB1340" s="210"/>
      <c r="AC1340" s="210"/>
      <c r="AD1340" s="210"/>
      <c r="AE1340" s="210"/>
      <c r="AF1340" s="210"/>
      <c r="AG1340" s="210"/>
      <c r="AH1340" s="210"/>
      <c r="AI1340" s="210"/>
      <c r="AJ1340" s="210"/>
      <c r="AK1340" s="210"/>
      <c r="AL1340" s="210"/>
      <c r="AM1340" s="214"/>
      <c r="AN1340" s="210"/>
      <c r="AO1340" s="210"/>
      <c r="AP1340" s="210"/>
      <c r="AQ1340" s="210"/>
      <c r="AR1340" s="210"/>
      <c r="AS1340" s="210"/>
      <c r="AT1340" s="210"/>
      <c r="AU1340" s="210"/>
      <c r="AV1340" s="210"/>
      <c r="AW1340" s="210"/>
      <c r="AX1340" s="210"/>
      <c r="AY1340" s="210"/>
      <c r="AZ1340" s="210"/>
      <c r="BA1340" s="210"/>
      <c r="BB1340" s="210"/>
      <c r="BC1340" s="210"/>
      <c r="BD1340" s="210"/>
      <c r="BE1340" s="210"/>
      <c r="BF1340" s="210"/>
      <c r="BG1340" s="210"/>
      <c r="BH1340" s="210"/>
      <c r="BI1340" s="210"/>
      <c r="BJ1340" s="210"/>
      <c r="BK1340" s="210"/>
      <c r="BL1340" s="210"/>
      <c r="BM1340" s="210"/>
      <c r="BN1340" s="210"/>
      <c r="BO1340" s="210"/>
      <c r="BP1340" s="210"/>
      <c r="BQ1340" s="210"/>
      <c r="BR1340" s="210"/>
      <c r="BS1340" s="210"/>
      <c r="BT1340" s="210"/>
      <c r="BU1340" s="210"/>
      <c r="BV1340" s="210"/>
      <c r="BW1340" s="210"/>
      <c r="BX1340" s="210"/>
      <c r="BY1340" s="210"/>
      <c r="BZ1340" s="210"/>
      <c r="CA1340" s="210"/>
      <c r="CB1340" s="210"/>
      <c r="CC1340" s="210"/>
      <c r="CD1340" s="210"/>
      <c r="CE1340" s="210"/>
      <c r="CF1340" s="210"/>
      <c r="CG1340" s="210"/>
      <c r="CH1340" s="210"/>
      <c r="CI1340" s="210"/>
      <c r="CJ1340" s="210"/>
      <c r="CK1340" s="210"/>
    </row>
    <row r="1341">
      <c r="A1341" s="220"/>
      <c r="F1341" s="190"/>
      <c r="G1341" s="190"/>
      <c r="L1341" s="220"/>
      <c r="M1341" s="220"/>
      <c r="O1341" s="210"/>
      <c r="P1341" s="210"/>
      <c r="Q1341" s="210"/>
      <c r="R1341" s="210"/>
      <c r="S1341" s="210"/>
      <c r="T1341" s="210"/>
      <c r="U1341" s="210"/>
      <c r="V1341" s="210"/>
      <c r="W1341" s="210"/>
      <c r="X1341" s="210"/>
      <c r="Y1341" s="210"/>
      <c r="Z1341" s="210"/>
      <c r="AA1341" s="210"/>
      <c r="AB1341" s="210"/>
      <c r="AC1341" s="210"/>
      <c r="AD1341" s="210"/>
      <c r="AE1341" s="210"/>
      <c r="AF1341" s="210"/>
      <c r="AG1341" s="210"/>
      <c r="AH1341" s="210"/>
      <c r="AI1341" s="210"/>
      <c r="AJ1341" s="210"/>
      <c r="AK1341" s="210"/>
      <c r="AL1341" s="210"/>
      <c r="AM1341" s="214"/>
      <c r="AN1341" s="210"/>
      <c r="AO1341" s="210"/>
      <c r="AP1341" s="210"/>
      <c r="AQ1341" s="210"/>
      <c r="AR1341" s="210"/>
      <c r="AS1341" s="210"/>
      <c r="AT1341" s="210"/>
      <c r="AU1341" s="210"/>
      <c r="AV1341" s="210"/>
      <c r="AW1341" s="210"/>
      <c r="AX1341" s="210"/>
      <c r="AY1341" s="210"/>
      <c r="AZ1341" s="210"/>
      <c r="BA1341" s="210"/>
      <c r="BB1341" s="210"/>
      <c r="BC1341" s="210"/>
      <c r="BD1341" s="210"/>
      <c r="BE1341" s="210"/>
      <c r="BF1341" s="210"/>
      <c r="BG1341" s="210"/>
      <c r="BH1341" s="210"/>
      <c r="BI1341" s="210"/>
      <c r="BJ1341" s="210"/>
      <c r="BK1341" s="210"/>
      <c r="BL1341" s="210"/>
      <c r="BM1341" s="210"/>
      <c r="BN1341" s="210"/>
      <c r="BO1341" s="210"/>
      <c r="BP1341" s="210"/>
      <c r="BQ1341" s="210"/>
      <c r="BR1341" s="210"/>
      <c r="BS1341" s="210"/>
      <c r="BT1341" s="210"/>
      <c r="BU1341" s="210"/>
      <c r="BV1341" s="210"/>
      <c r="BW1341" s="210"/>
      <c r="BX1341" s="210"/>
      <c r="BY1341" s="210"/>
      <c r="BZ1341" s="210"/>
      <c r="CA1341" s="210"/>
      <c r="CB1341" s="210"/>
      <c r="CC1341" s="210"/>
      <c r="CD1341" s="210"/>
      <c r="CE1341" s="210"/>
      <c r="CF1341" s="210"/>
      <c r="CG1341" s="210"/>
      <c r="CH1341" s="210"/>
      <c r="CI1341" s="210"/>
      <c r="CJ1341" s="210"/>
      <c r="CK1341" s="210"/>
    </row>
    <row r="1342">
      <c r="A1342" s="220"/>
      <c r="F1342" s="190"/>
      <c r="G1342" s="190"/>
      <c r="L1342" s="220"/>
      <c r="M1342" s="220"/>
      <c r="O1342" s="210"/>
      <c r="P1342" s="210"/>
      <c r="Q1342" s="210"/>
      <c r="R1342" s="210"/>
      <c r="S1342" s="210"/>
      <c r="T1342" s="210"/>
      <c r="U1342" s="210"/>
      <c r="V1342" s="210"/>
      <c r="W1342" s="210"/>
      <c r="X1342" s="210"/>
      <c r="Y1342" s="210"/>
      <c r="Z1342" s="210"/>
      <c r="AA1342" s="210"/>
      <c r="AB1342" s="210"/>
      <c r="AC1342" s="210"/>
      <c r="AD1342" s="210"/>
      <c r="AE1342" s="210"/>
      <c r="AF1342" s="210"/>
      <c r="AG1342" s="210"/>
      <c r="AH1342" s="210"/>
      <c r="AI1342" s="210"/>
      <c r="AJ1342" s="210"/>
      <c r="AK1342" s="210"/>
      <c r="AL1342" s="210"/>
      <c r="AM1342" s="214"/>
      <c r="AN1342" s="210"/>
      <c r="AO1342" s="210"/>
      <c r="AP1342" s="210"/>
      <c r="AQ1342" s="210"/>
      <c r="AR1342" s="210"/>
      <c r="AS1342" s="210"/>
      <c r="AT1342" s="210"/>
      <c r="AU1342" s="210"/>
      <c r="AV1342" s="210"/>
      <c r="AW1342" s="210"/>
      <c r="AX1342" s="210"/>
      <c r="AY1342" s="210"/>
      <c r="AZ1342" s="210"/>
      <c r="BA1342" s="210"/>
      <c r="BB1342" s="210"/>
      <c r="BC1342" s="210"/>
      <c r="BD1342" s="210"/>
      <c r="BE1342" s="210"/>
      <c r="BF1342" s="210"/>
      <c r="BG1342" s="210"/>
      <c r="BH1342" s="210"/>
      <c r="BI1342" s="210"/>
      <c r="BJ1342" s="210"/>
      <c r="BK1342" s="210"/>
      <c r="BL1342" s="210"/>
      <c r="BM1342" s="210"/>
      <c r="BN1342" s="210"/>
      <c r="BO1342" s="210"/>
      <c r="BP1342" s="210"/>
      <c r="BQ1342" s="210"/>
      <c r="BR1342" s="210"/>
      <c r="BS1342" s="210"/>
      <c r="BT1342" s="210"/>
      <c r="BU1342" s="210"/>
      <c r="BV1342" s="210"/>
      <c r="BW1342" s="210"/>
      <c r="BX1342" s="210"/>
      <c r="BY1342" s="210"/>
      <c r="BZ1342" s="210"/>
      <c r="CA1342" s="210"/>
      <c r="CB1342" s="210"/>
      <c r="CC1342" s="210"/>
      <c r="CD1342" s="210"/>
      <c r="CE1342" s="210"/>
      <c r="CF1342" s="210"/>
      <c r="CG1342" s="210"/>
      <c r="CH1342" s="210"/>
      <c r="CI1342" s="210"/>
      <c r="CJ1342" s="210"/>
      <c r="CK1342" s="210"/>
    </row>
    <row r="1343">
      <c r="A1343" s="220"/>
      <c r="F1343" s="190"/>
      <c r="G1343" s="190"/>
      <c r="L1343" s="220"/>
      <c r="M1343" s="220"/>
      <c r="O1343" s="210"/>
      <c r="P1343" s="210"/>
      <c r="Q1343" s="210"/>
      <c r="R1343" s="210"/>
      <c r="S1343" s="210"/>
      <c r="T1343" s="210"/>
      <c r="U1343" s="210"/>
      <c r="V1343" s="210"/>
      <c r="W1343" s="210"/>
      <c r="X1343" s="210"/>
      <c r="Y1343" s="210"/>
      <c r="Z1343" s="210"/>
      <c r="AA1343" s="210"/>
      <c r="AB1343" s="210"/>
      <c r="AC1343" s="210"/>
      <c r="AD1343" s="210"/>
      <c r="AE1343" s="210"/>
      <c r="AF1343" s="210"/>
      <c r="AG1343" s="210"/>
      <c r="AH1343" s="210"/>
      <c r="AI1343" s="210"/>
      <c r="AJ1343" s="210"/>
      <c r="AK1343" s="210"/>
      <c r="AL1343" s="210"/>
      <c r="AM1343" s="214"/>
      <c r="AN1343" s="210"/>
      <c r="AO1343" s="210"/>
      <c r="AP1343" s="210"/>
      <c r="AQ1343" s="210"/>
      <c r="AR1343" s="210"/>
      <c r="AS1343" s="210"/>
      <c r="AT1343" s="210"/>
      <c r="AU1343" s="210"/>
      <c r="AV1343" s="210"/>
      <c r="AW1343" s="210"/>
      <c r="AX1343" s="210"/>
      <c r="AY1343" s="210"/>
      <c r="AZ1343" s="210"/>
      <c r="BA1343" s="210"/>
      <c r="BB1343" s="210"/>
      <c r="BC1343" s="210"/>
      <c r="BD1343" s="210"/>
      <c r="BE1343" s="210"/>
      <c r="BF1343" s="210"/>
      <c r="BG1343" s="210"/>
      <c r="BH1343" s="210"/>
      <c r="BI1343" s="210"/>
      <c r="BJ1343" s="210"/>
      <c r="BK1343" s="210"/>
      <c r="BL1343" s="210"/>
      <c r="BM1343" s="210"/>
      <c r="BN1343" s="210"/>
      <c r="BO1343" s="210"/>
      <c r="BP1343" s="210"/>
      <c r="BQ1343" s="210"/>
      <c r="BR1343" s="210"/>
      <c r="BS1343" s="210"/>
      <c r="BT1343" s="210"/>
      <c r="BU1343" s="210"/>
      <c r="BV1343" s="210"/>
      <c r="BW1343" s="210"/>
      <c r="BX1343" s="210"/>
      <c r="BY1343" s="210"/>
      <c r="BZ1343" s="210"/>
      <c r="CA1343" s="210"/>
      <c r="CB1343" s="210"/>
      <c r="CC1343" s="210"/>
      <c r="CD1343" s="210"/>
      <c r="CE1343" s="210"/>
      <c r="CF1343" s="210"/>
      <c r="CG1343" s="210"/>
      <c r="CH1343" s="210"/>
      <c r="CI1343" s="210"/>
      <c r="CJ1343" s="210"/>
      <c r="CK1343" s="210"/>
    </row>
    <row r="1344">
      <c r="A1344" s="220"/>
      <c r="F1344" s="190"/>
      <c r="G1344" s="190"/>
      <c r="L1344" s="220"/>
      <c r="M1344" s="220"/>
      <c r="O1344" s="210"/>
      <c r="P1344" s="210"/>
      <c r="Q1344" s="210"/>
      <c r="R1344" s="210"/>
      <c r="S1344" s="210"/>
      <c r="T1344" s="210"/>
      <c r="U1344" s="210"/>
      <c r="V1344" s="210"/>
      <c r="W1344" s="210"/>
      <c r="X1344" s="210"/>
      <c r="Y1344" s="210"/>
      <c r="Z1344" s="210"/>
      <c r="AA1344" s="210"/>
      <c r="AB1344" s="210"/>
      <c r="AC1344" s="210"/>
      <c r="AD1344" s="210"/>
      <c r="AE1344" s="210"/>
      <c r="AF1344" s="210"/>
      <c r="AG1344" s="210"/>
      <c r="AH1344" s="210"/>
      <c r="AI1344" s="210"/>
      <c r="AJ1344" s="210"/>
      <c r="AK1344" s="210"/>
      <c r="AL1344" s="210"/>
      <c r="AM1344" s="214"/>
      <c r="AN1344" s="210"/>
      <c r="AO1344" s="210"/>
      <c r="AP1344" s="210"/>
      <c r="AQ1344" s="210"/>
      <c r="AR1344" s="210"/>
      <c r="AS1344" s="210"/>
      <c r="AT1344" s="210"/>
      <c r="AU1344" s="210"/>
      <c r="AV1344" s="210"/>
      <c r="AW1344" s="210"/>
      <c r="AX1344" s="210"/>
      <c r="AY1344" s="210"/>
      <c r="AZ1344" s="210"/>
      <c r="BA1344" s="210"/>
      <c r="BB1344" s="210"/>
      <c r="BC1344" s="210"/>
      <c r="BD1344" s="210"/>
      <c r="BE1344" s="210"/>
      <c r="BF1344" s="210"/>
      <c r="BG1344" s="210"/>
      <c r="BH1344" s="210"/>
      <c r="BI1344" s="210"/>
      <c r="BJ1344" s="210"/>
      <c r="BK1344" s="210"/>
      <c r="BL1344" s="210"/>
      <c r="BM1344" s="210"/>
      <c r="BN1344" s="210"/>
      <c r="BO1344" s="210"/>
      <c r="BP1344" s="210"/>
      <c r="BQ1344" s="210"/>
      <c r="BR1344" s="210"/>
      <c r="BS1344" s="210"/>
      <c r="BT1344" s="210"/>
      <c r="BU1344" s="210"/>
      <c r="BV1344" s="210"/>
      <c r="BW1344" s="210"/>
      <c r="BX1344" s="210"/>
      <c r="BY1344" s="210"/>
      <c r="BZ1344" s="210"/>
      <c r="CA1344" s="210"/>
      <c r="CB1344" s="210"/>
      <c r="CC1344" s="210"/>
      <c r="CD1344" s="210"/>
      <c r="CE1344" s="210"/>
      <c r="CF1344" s="210"/>
      <c r="CG1344" s="210"/>
      <c r="CH1344" s="210"/>
      <c r="CI1344" s="210"/>
      <c r="CJ1344" s="210"/>
      <c r="CK1344" s="210"/>
    </row>
    <row r="1345">
      <c r="A1345" s="220"/>
      <c r="F1345" s="190"/>
      <c r="G1345" s="190"/>
      <c r="L1345" s="220"/>
      <c r="M1345" s="220"/>
      <c r="O1345" s="210"/>
      <c r="P1345" s="210"/>
      <c r="Q1345" s="210"/>
      <c r="R1345" s="210"/>
      <c r="S1345" s="210"/>
      <c r="T1345" s="210"/>
      <c r="U1345" s="210"/>
      <c r="V1345" s="210"/>
      <c r="W1345" s="210"/>
      <c r="X1345" s="210"/>
      <c r="Y1345" s="210"/>
      <c r="Z1345" s="210"/>
      <c r="AA1345" s="210"/>
      <c r="AB1345" s="210"/>
      <c r="AC1345" s="210"/>
      <c r="AD1345" s="210"/>
      <c r="AE1345" s="210"/>
      <c r="AF1345" s="210"/>
      <c r="AG1345" s="210"/>
      <c r="AH1345" s="210"/>
      <c r="AI1345" s="210"/>
      <c r="AJ1345" s="210"/>
      <c r="AK1345" s="210"/>
      <c r="AL1345" s="210"/>
      <c r="AM1345" s="214"/>
      <c r="AN1345" s="210"/>
      <c r="AO1345" s="210"/>
      <c r="AP1345" s="210"/>
      <c r="AQ1345" s="210"/>
      <c r="AR1345" s="210"/>
      <c r="AS1345" s="210"/>
      <c r="AT1345" s="210"/>
      <c r="AU1345" s="210"/>
      <c r="AV1345" s="210"/>
      <c r="AW1345" s="210"/>
      <c r="AX1345" s="210"/>
      <c r="AY1345" s="210"/>
      <c r="AZ1345" s="210"/>
      <c r="BA1345" s="210"/>
      <c r="BB1345" s="210"/>
      <c r="BC1345" s="210"/>
      <c r="BD1345" s="210"/>
      <c r="BE1345" s="210"/>
      <c r="BF1345" s="210"/>
      <c r="BG1345" s="210"/>
      <c r="BH1345" s="210"/>
      <c r="BI1345" s="210"/>
      <c r="BJ1345" s="210"/>
      <c r="BK1345" s="210"/>
      <c r="BL1345" s="210"/>
      <c r="BM1345" s="210"/>
      <c r="BN1345" s="210"/>
      <c r="BO1345" s="210"/>
      <c r="BP1345" s="210"/>
      <c r="BQ1345" s="210"/>
      <c r="BR1345" s="210"/>
      <c r="BS1345" s="210"/>
      <c r="BT1345" s="210"/>
      <c r="BU1345" s="210"/>
      <c r="BV1345" s="210"/>
      <c r="BW1345" s="210"/>
      <c r="BX1345" s="210"/>
      <c r="BY1345" s="210"/>
      <c r="BZ1345" s="210"/>
      <c r="CA1345" s="210"/>
      <c r="CB1345" s="210"/>
      <c r="CC1345" s="210"/>
      <c r="CD1345" s="210"/>
      <c r="CE1345" s="210"/>
      <c r="CF1345" s="210"/>
      <c r="CG1345" s="210"/>
      <c r="CH1345" s="210"/>
      <c r="CI1345" s="210"/>
      <c r="CJ1345" s="210"/>
      <c r="CK1345" s="210"/>
    </row>
    <row r="1346">
      <c r="A1346" s="220"/>
      <c r="F1346" s="190"/>
      <c r="G1346" s="190"/>
      <c r="L1346" s="220"/>
      <c r="M1346" s="220"/>
      <c r="O1346" s="210"/>
      <c r="P1346" s="210"/>
      <c r="Q1346" s="210"/>
      <c r="R1346" s="210"/>
      <c r="S1346" s="210"/>
      <c r="T1346" s="210"/>
      <c r="U1346" s="210"/>
      <c r="V1346" s="210"/>
      <c r="W1346" s="210"/>
      <c r="X1346" s="210"/>
      <c r="Y1346" s="210"/>
      <c r="Z1346" s="210"/>
      <c r="AA1346" s="210"/>
      <c r="AB1346" s="210"/>
      <c r="AC1346" s="210"/>
      <c r="AD1346" s="210"/>
      <c r="AE1346" s="210"/>
      <c r="AF1346" s="210"/>
      <c r="AG1346" s="210"/>
      <c r="AH1346" s="210"/>
      <c r="AI1346" s="210"/>
      <c r="AJ1346" s="210"/>
      <c r="AK1346" s="210"/>
      <c r="AL1346" s="210"/>
      <c r="AM1346" s="214"/>
      <c r="AN1346" s="210"/>
      <c r="AO1346" s="210"/>
      <c r="AP1346" s="210"/>
      <c r="AQ1346" s="210"/>
      <c r="AR1346" s="210"/>
      <c r="AS1346" s="210"/>
      <c r="AT1346" s="210"/>
      <c r="AU1346" s="210"/>
      <c r="AV1346" s="210"/>
      <c r="AW1346" s="210"/>
      <c r="AX1346" s="210"/>
      <c r="AY1346" s="210"/>
      <c r="AZ1346" s="210"/>
      <c r="BA1346" s="210"/>
      <c r="BB1346" s="210"/>
      <c r="BC1346" s="210"/>
      <c r="BD1346" s="210"/>
      <c r="BE1346" s="210"/>
      <c r="BF1346" s="210"/>
      <c r="BG1346" s="210"/>
      <c r="BH1346" s="210"/>
      <c r="BI1346" s="210"/>
      <c r="BJ1346" s="210"/>
      <c r="BK1346" s="210"/>
      <c r="BL1346" s="210"/>
      <c r="BM1346" s="210"/>
      <c r="BN1346" s="210"/>
      <c r="BO1346" s="210"/>
      <c r="BP1346" s="210"/>
      <c r="BQ1346" s="210"/>
      <c r="BR1346" s="210"/>
      <c r="BS1346" s="210"/>
      <c r="BT1346" s="210"/>
      <c r="BU1346" s="210"/>
      <c r="BV1346" s="210"/>
      <c r="BW1346" s="210"/>
      <c r="BX1346" s="210"/>
      <c r="BY1346" s="210"/>
      <c r="BZ1346" s="210"/>
      <c r="CA1346" s="210"/>
      <c r="CB1346" s="210"/>
      <c r="CC1346" s="210"/>
      <c r="CD1346" s="210"/>
      <c r="CE1346" s="210"/>
      <c r="CF1346" s="210"/>
      <c r="CG1346" s="210"/>
      <c r="CH1346" s="210"/>
      <c r="CI1346" s="210"/>
      <c r="CJ1346" s="210"/>
      <c r="CK1346" s="210"/>
    </row>
    <row r="1347">
      <c r="A1347" s="220"/>
      <c r="F1347" s="190"/>
      <c r="G1347" s="190"/>
      <c r="L1347" s="220"/>
      <c r="M1347" s="220"/>
      <c r="O1347" s="210"/>
      <c r="P1347" s="210"/>
      <c r="Q1347" s="210"/>
      <c r="R1347" s="210"/>
      <c r="S1347" s="210"/>
      <c r="T1347" s="210"/>
      <c r="U1347" s="210"/>
      <c r="V1347" s="210"/>
      <c r="W1347" s="210"/>
      <c r="X1347" s="210"/>
      <c r="Y1347" s="210"/>
      <c r="Z1347" s="210"/>
      <c r="AA1347" s="210"/>
      <c r="AB1347" s="210"/>
      <c r="AC1347" s="210"/>
      <c r="AD1347" s="210"/>
      <c r="AE1347" s="210"/>
      <c r="AF1347" s="210"/>
      <c r="AG1347" s="210"/>
      <c r="AH1347" s="210"/>
      <c r="AI1347" s="210"/>
      <c r="AJ1347" s="210"/>
      <c r="AK1347" s="210"/>
      <c r="AL1347" s="210"/>
      <c r="AM1347" s="214"/>
      <c r="AN1347" s="210"/>
      <c r="AO1347" s="210"/>
      <c r="AP1347" s="210"/>
      <c r="AQ1347" s="210"/>
      <c r="AR1347" s="210"/>
      <c r="AS1347" s="210"/>
      <c r="AT1347" s="210"/>
      <c r="AU1347" s="210"/>
      <c r="AV1347" s="210"/>
      <c r="AW1347" s="210"/>
      <c r="AX1347" s="210"/>
      <c r="AY1347" s="210"/>
      <c r="AZ1347" s="210"/>
      <c r="BA1347" s="210"/>
      <c r="BB1347" s="210"/>
      <c r="BC1347" s="210"/>
      <c r="BD1347" s="210"/>
      <c r="BE1347" s="210"/>
      <c r="BF1347" s="210"/>
      <c r="BG1347" s="210"/>
      <c r="BH1347" s="210"/>
      <c r="BI1347" s="210"/>
      <c r="BJ1347" s="210"/>
      <c r="BK1347" s="210"/>
      <c r="BL1347" s="210"/>
      <c r="BM1347" s="210"/>
      <c r="BN1347" s="210"/>
      <c r="BO1347" s="210"/>
      <c r="BP1347" s="210"/>
      <c r="BQ1347" s="210"/>
      <c r="BR1347" s="210"/>
      <c r="BS1347" s="210"/>
      <c r="BT1347" s="210"/>
      <c r="BU1347" s="210"/>
      <c r="BV1347" s="210"/>
      <c r="BW1347" s="210"/>
      <c r="BX1347" s="210"/>
      <c r="BY1347" s="210"/>
      <c r="BZ1347" s="210"/>
      <c r="CA1347" s="210"/>
      <c r="CB1347" s="210"/>
      <c r="CC1347" s="210"/>
      <c r="CD1347" s="210"/>
      <c r="CE1347" s="210"/>
      <c r="CF1347" s="210"/>
      <c r="CG1347" s="210"/>
      <c r="CH1347" s="210"/>
      <c r="CI1347" s="210"/>
      <c r="CJ1347" s="210"/>
      <c r="CK1347" s="210"/>
    </row>
    <row r="1348">
      <c r="A1348" s="220"/>
      <c r="F1348" s="190"/>
      <c r="G1348" s="190"/>
      <c r="L1348" s="220"/>
      <c r="M1348" s="220"/>
      <c r="O1348" s="210"/>
      <c r="P1348" s="210"/>
      <c r="Q1348" s="210"/>
      <c r="R1348" s="210"/>
      <c r="S1348" s="210"/>
      <c r="T1348" s="210"/>
      <c r="U1348" s="210"/>
      <c r="V1348" s="210"/>
      <c r="W1348" s="210"/>
      <c r="X1348" s="210"/>
      <c r="Y1348" s="210"/>
      <c r="Z1348" s="210"/>
      <c r="AA1348" s="210"/>
      <c r="AB1348" s="210"/>
      <c r="AC1348" s="210"/>
      <c r="AD1348" s="210"/>
      <c r="AE1348" s="210"/>
      <c r="AF1348" s="210"/>
      <c r="AG1348" s="210"/>
      <c r="AH1348" s="210"/>
      <c r="AI1348" s="210"/>
      <c r="AJ1348" s="210"/>
      <c r="AK1348" s="210"/>
      <c r="AL1348" s="210"/>
      <c r="AM1348" s="214"/>
      <c r="AN1348" s="210"/>
      <c r="AO1348" s="210"/>
      <c r="AP1348" s="210"/>
      <c r="AQ1348" s="210"/>
      <c r="AR1348" s="210"/>
      <c r="AS1348" s="210"/>
      <c r="AT1348" s="210"/>
      <c r="AU1348" s="210"/>
      <c r="AV1348" s="210"/>
      <c r="AW1348" s="210"/>
      <c r="AX1348" s="210"/>
      <c r="AY1348" s="210"/>
      <c r="AZ1348" s="210"/>
      <c r="BA1348" s="210"/>
      <c r="BB1348" s="210"/>
      <c r="BC1348" s="210"/>
      <c r="BD1348" s="210"/>
      <c r="BE1348" s="210"/>
      <c r="BF1348" s="210"/>
      <c r="BG1348" s="210"/>
      <c r="BH1348" s="210"/>
      <c r="BI1348" s="210"/>
      <c r="BJ1348" s="210"/>
      <c r="BK1348" s="210"/>
      <c r="BL1348" s="210"/>
      <c r="BM1348" s="210"/>
      <c r="BN1348" s="210"/>
      <c r="BO1348" s="210"/>
      <c r="BP1348" s="210"/>
      <c r="BQ1348" s="210"/>
      <c r="BR1348" s="210"/>
      <c r="BS1348" s="210"/>
      <c r="BT1348" s="210"/>
      <c r="BU1348" s="210"/>
      <c r="BV1348" s="210"/>
      <c r="BW1348" s="210"/>
      <c r="BX1348" s="210"/>
      <c r="BY1348" s="210"/>
      <c r="BZ1348" s="210"/>
      <c r="CA1348" s="210"/>
      <c r="CB1348" s="210"/>
      <c r="CC1348" s="210"/>
      <c r="CD1348" s="210"/>
      <c r="CE1348" s="210"/>
      <c r="CF1348" s="210"/>
      <c r="CG1348" s="210"/>
      <c r="CH1348" s="210"/>
      <c r="CI1348" s="210"/>
      <c r="CJ1348" s="210"/>
      <c r="CK1348" s="210"/>
    </row>
    <row r="1349">
      <c r="A1349" s="220"/>
      <c r="F1349" s="190"/>
      <c r="G1349" s="190"/>
      <c r="L1349" s="220"/>
      <c r="M1349" s="220"/>
      <c r="O1349" s="210"/>
      <c r="P1349" s="210"/>
      <c r="Q1349" s="210"/>
      <c r="R1349" s="210"/>
      <c r="S1349" s="210"/>
      <c r="T1349" s="210"/>
      <c r="U1349" s="210"/>
      <c r="V1349" s="210"/>
      <c r="W1349" s="210"/>
      <c r="X1349" s="210"/>
      <c r="Y1349" s="210"/>
      <c r="Z1349" s="210"/>
      <c r="AA1349" s="210"/>
      <c r="AB1349" s="210"/>
      <c r="AC1349" s="210"/>
      <c r="AD1349" s="210"/>
      <c r="AE1349" s="210"/>
      <c r="AF1349" s="210"/>
      <c r="AG1349" s="210"/>
      <c r="AH1349" s="210"/>
      <c r="AI1349" s="210"/>
      <c r="AJ1349" s="210"/>
      <c r="AK1349" s="210"/>
      <c r="AL1349" s="210"/>
      <c r="AM1349" s="214"/>
      <c r="AN1349" s="210"/>
      <c r="AO1349" s="210"/>
      <c r="AP1349" s="210"/>
      <c r="AQ1349" s="210"/>
      <c r="AR1349" s="210"/>
      <c r="AS1349" s="210"/>
      <c r="AT1349" s="210"/>
      <c r="AU1349" s="210"/>
      <c r="AV1349" s="210"/>
      <c r="AW1349" s="210"/>
      <c r="AX1349" s="210"/>
      <c r="AY1349" s="210"/>
      <c r="AZ1349" s="210"/>
      <c r="BA1349" s="210"/>
      <c r="BB1349" s="210"/>
      <c r="BC1349" s="210"/>
      <c r="BD1349" s="210"/>
      <c r="BE1349" s="210"/>
      <c r="BF1349" s="210"/>
      <c r="BG1349" s="210"/>
      <c r="BH1349" s="210"/>
      <c r="BI1349" s="210"/>
      <c r="BJ1349" s="210"/>
      <c r="BK1349" s="210"/>
      <c r="BL1349" s="210"/>
      <c r="BM1349" s="210"/>
      <c r="BN1349" s="210"/>
      <c r="BO1349" s="210"/>
      <c r="BP1349" s="210"/>
      <c r="BQ1349" s="210"/>
      <c r="BR1349" s="210"/>
      <c r="BS1349" s="210"/>
      <c r="BT1349" s="210"/>
      <c r="BU1349" s="210"/>
      <c r="BV1349" s="210"/>
      <c r="BW1349" s="210"/>
      <c r="BX1349" s="210"/>
      <c r="BY1349" s="210"/>
      <c r="BZ1349" s="210"/>
      <c r="CA1349" s="210"/>
      <c r="CB1349" s="210"/>
      <c r="CC1349" s="210"/>
      <c r="CD1349" s="210"/>
      <c r="CE1349" s="210"/>
      <c r="CF1349" s="210"/>
      <c r="CG1349" s="210"/>
      <c r="CH1349" s="210"/>
      <c r="CI1349" s="210"/>
      <c r="CJ1349" s="210"/>
      <c r="CK1349" s="210"/>
    </row>
    <row r="1350">
      <c r="A1350" s="220"/>
      <c r="F1350" s="190"/>
      <c r="G1350" s="190"/>
      <c r="L1350" s="220"/>
      <c r="M1350" s="220"/>
      <c r="O1350" s="210"/>
      <c r="P1350" s="210"/>
      <c r="Q1350" s="210"/>
      <c r="R1350" s="210"/>
      <c r="S1350" s="210"/>
      <c r="T1350" s="210"/>
      <c r="U1350" s="210"/>
      <c r="V1350" s="210"/>
      <c r="W1350" s="210"/>
      <c r="X1350" s="210"/>
      <c r="Y1350" s="210"/>
      <c r="Z1350" s="210"/>
      <c r="AA1350" s="210"/>
      <c r="AB1350" s="210"/>
      <c r="AC1350" s="210"/>
      <c r="AD1350" s="210"/>
      <c r="AE1350" s="210"/>
      <c r="AF1350" s="210"/>
      <c r="AG1350" s="210"/>
      <c r="AH1350" s="210"/>
      <c r="AI1350" s="210"/>
      <c r="AJ1350" s="210"/>
      <c r="AK1350" s="210"/>
      <c r="AL1350" s="210"/>
      <c r="AM1350" s="214"/>
      <c r="AN1350" s="210"/>
      <c r="AO1350" s="210"/>
      <c r="AP1350" s="210"/>
      <c r="AQ1350" s="210"/>
      <c r="AR1350" s="210"/>
      <c r="AS1350" s="210"/>
      <c r="AT1350" s="210"/>
      <c r="AU1350" s="210"/>
      <c r="AV1350" s="210"/>
      <c r="AW1350" s="210"/>
      <c r="AX1350" s="210"/>
      <c r="AY1350" s="210"/>
      <c r="AZ1350" s="210"/>
      <c r="BA1350" s="210"/>
      <c r="BB1350" s="210"/>
      <c r="BC1350" s="210"/>
      <c r="BD1350" s="210"/>
      <c r="BE1350" s="210"/>
      <c r="BF1350" s="210"/>
      <c r="BG1350" s="210"/>
      <c r="BH1350" s="210"/>
      <c r="BI1350" s="210"/>
      <c r="BJ1350" s="210"/>
      <c r="BK1350" s="210"/>
      <c r="BL1350" s="210"/>
      <c r="BM1350" s="210"/>
      <c r="BN1350" s="210"/>
      <c r="BO1350" s="210"/>
      <c r="BP1350" s="210"/>
      <c r="BQ1350" s="210"/>
      <c r="BR1350" s="210"/>
      <c r="BS1350" s="210"/>
      <c r="BT1350" s="210"/>
      <c r="BU1350" s="210"/>
      <c r="BV1350" s="210"/>
      <c r="BW1350" s="210"/>
      <c r="BX1350" s="210"/>
      <c r="BY1350" s="210"/>
      <c r="BZ1350" s="210"/>
      <c r="CA1350" s="210"/>
      <c r="CB1350" s="210"/>
      <c r="CC1350" s="210"/>
      <c r="CD1350" s="210"/>
      <c r="CE1350" s="210"/>
      <c r="CF1350" s="210"/>
      <c r="CG1350" s="210"/>
      <c r="CH1350" s="210"/>
      <c r="CI1350" s="210"/>
      <c r="CJ1350" s="210"/>
      <c r="CK1350" s="210"/>
    </row>
    <row r="1351">
      <c r="A1351" s="220"/>
      <c r="F1351" s="190"/>
      <c r="G1351" s="190"/>
      <c r="L1351" s="220"/>
      <c r="M1351" s="220"/>
      <c r="O1351" s="210"/>
      <c r="P1351" s="210"/>
      <c r="Q1351" s="210"/>
      <c r="R1351" s="210"/>
      <c r="S1351" s="210"/>
      <c r="T1351" s="210"/>
      <c r="U1351" s="210"/>
      <c r="V1351" s="210"/>
      <c r="W1351" s="210"/>
      <c r="X1351" s="210"/>
      <c r="Y1351" s="210"/>
      <c r="Z1351" s="210"/>
      <c r="AA1351" s="210"/>
      <c r="AB1351" s="210"/>
      <c r="AC1351" s="210"/>
      <c r="AD1351" s="210"/>
      <c r="AE1351" s="210"/>
      <c r="AF1351" s="210"/>
      <c r="AG1351" s="210"/>
      <c r="AH1351" s="210"/>
      <c r="AI1351" s="210"/>
      <c r="AJ1351" s="210"/>
      <c r="AK1351" s="210"/>
      <c r="AL1351" s="210"/>
      <c r="AM1351" s="214"/>
      <c r="AN1351" s="210"/>
      <c r="AO1351" s="210"/>
      <c r="AP1351" s="210"/>
      <c r="AQ1351" s="210"/>
      <c r="AR1351" s="210"/>
      <c r="AS1351" s="210"/>
      <c r="AT1351" s="210"/>
      <c r="AU1351" s="210"/>
      <c r="AV1351" s="210"/>
      <c r="AW1351" s="210"/>
      <c r="AX1351" s="210"/>
      <c r="AY1351" s="210"/>
      <c r="AZ1351" s="210"/>
      <c r="BA1351" s="210"/>
      <c r="BB1351" s="210"/>
      <c r="BC1351" s="210"/>
      <c r="BD1351" s="210"/>
      <c r="BE1351" s="210"/>
      <c r="BF1351" s="210"/>
      <c r="BG1351" s="210"/>
      <c r="BH1351" s="210"/>
      <c r="BI1351" s="210"/>
      <c r="BJ1351" s="210"/>
      <c r="BK1351" s="210"/>
      <c r="BL1351" s="210"/>
      <c r="BM1351" s="210"/>
      <c r="BN1351" s="210"/>
      <c r="BO1351" s="210"/>
      <c r="BP1351" s="210"/>
      <c r="BQ1351" s="210"/>
      <c r="BR1351" s="210"/>
      <c r="BS1351" s="210"/>
      <c r="BT1351" s="210"/>
      <c r="BU1351" s="210"/>
      <c r="BV1351" s="210"/>
      <c r="BW1351" s="210"/>
      <c r="BX1351" s="210"/>
      <c r="BY1351" s="210"/>
      <c r="BZ1351" s="210"/>
      <c r="CA1351" s="210"/>
      <c r="CB1351" s="210"/>
      <c r="CC1351" s="210"/>
      <c r="CD1351" s="210"/>
      <c r="CE1351" s="210"/>
      <c r="CF1351" s="210"/>
      <c r="CG1351" s="210"/>
      <c r="CH1351" s="210"/>
      <c r="CI1351" s="210"/>
      <c r="CJ1351" s="210"/>
      <c r="CK1351" s="210"/>
    </row>
    <row r="1352">
      <c r="A1352" s="220"/>
      <c r="F1352" s="190"/>
      <c r="G1352" s="190"/>
      <c r="L1352" s="220"/>
      <c r="M1352" s="220"/>
      <c r="O1352" s="210"/>
      <c r="P1352" s="210"/>
      <c r="Q1352" s="210"/>
      <c r="R1352" s="210"/>
      <c r="S1352" s="210"/>
      <c r="T1352" s="210"/>
      <c r="U1352" s="210"/>
      <c r="V1352" s="210"/>
      <c r="W1352" s="210"/>
      <c r="X1352" s="210"/>
      <c r="Y1352" s="210"/>
      <c r="Z1352" s="210"/>
      <c r="AA1352" s="210"/>
      <c r="AB1352" s="210"/>
      <c r="AC1352" s="210"/>
      <c r="AD1352" s="210"/>
      <c r="AE1352" s="210"/>
      <c r="AF1352" s="210"/>
      <c r="AG1352" s="210"/>
      <c r="AH1352" s="210"/>
      <c r="AI1352" s="210"/>
      <c r="AJ1352" s="210"/>
      <c r="AK1352" s="210"/>
      <c r="AL1352" s="210"/>
      <c r="AM1352" s="214"/>
      <c r="AN1352" s="210"/>
      <c r="AO1352" s="210"/>
      <c r="AP1352" s="210"/>
      <c r="AQ1352" s="210"/>
      <c r="AR1352" s="210"/>
      <c r="AS1352" s="210"/>
      <c r="AT1352" s="210"/>
      <c r="AU1352" s="210"/>
      <c r="AV1352" s="210"/>
      <c r="AW1352" s="210"/>
      <c r="AX1352" s="210"/>
      <c r="AY1352" s="210"/>
      <c r="AZ1352" s="210"/>
      <c r="BA1352" s="210"/>
      <c r="BB1352" s="210"/>
      <c r="BC1352" s="210"/>
      <c r="BD1352" s="210"/>
      <c r="BE1352" s="210"/>
      <c r="BF1352" s="210"/>
      <c r="BG1352" s="210"/>
      <c r="BH1352" s="210"/>
      <c r="BI1352" s="210"/>
      <c r="BJ1352" s="210"/>
      <c r="BK1352" s="210"/>
      <c r="BL1352" s="210"/>
      <c r="BM1352" s="210"/>
      <c r="BN1352" s="210"/>
      <c r="BO1352" s="210"/>
      <c r="BP1352" s="210"/>
      <c r="BQ1352" s="210"/>
      <c r="BR1352" s="210"/>
      <c r="BS1352" s="210"/>
      <c r="BT1352" s="210"/>
      <c r="BU1352" s="210"/>
      <c r="BV1352" s="210"/>
      <c r="BW1352" s="210"/>
      <c r="BX1352" s="210"/>
      <c r="BY1352" s="210"/>
      <c r="BZ1352" s="210"/>
      <c r="CA1352" s="210"/>
      <c r="CB1352" s="210"/>
      <c r="CC1352" s="210"/>
      <c r="CD1352" s="210"/>
      <c r="CE1352" s="210"/>
      <c r="CF1352" s="210"/>
      <c r="CG1352" s="210"/>
      <c r="CH1352" s="210"/>
      <c r="CI1352" s="210"/>
      <c r="CJ1352" s="210"/>
      <c r="CK1352" s="210"/>
    </row>
    <row r="1353">
      <c r="A1353" s="220"/>
      <c r="F1353" s="190"/>
      <c r="G1353" s="190"/>
      <c r="L1353" s="220"/>
      <c r="M1353" s="220"/>
      <c r="O1353" s="210"/>
      <c r="P1353" s="210"/>
      <c r="Q1353" s="210"/>
      <c r="R1353" s="210"/>
      <c r="S1353" s="210"/>
      <c r="T1353" s="210"/>
      <c r="U1353" s="210"/>
      <c r="V1353" s="210"/>
      <c r="W1353" s="210"/>
      <c r="X1353" s="210"/>
      <c r="Y1353" s="210"/>
      <c r="Z1353" s="210"/>
      <c r="AA1353" s="210"/>
      <c r="AB1353" s="210"/>
      <c r="AC1353" s="210"/>
      <c r="AD1353" s="210"/>
      <c r="AE1353" s="210"/>
      <c r="AF1353" s="210"/>
      <c r="AG1353" s="210"/>
      <c r="AH1353" s="210"/>
      <c r="AI1353" s="210"/>
      <c r="AJ1353" s="210"/>
      <c r="AK1353" s="210"/>
      <c r="AL1353" s="210"/>
      <c r="AM1353" s="214"/>
      <c r="AN1353" s="210"/>
      <c r="AO1353" s="210"/>
      <c r="AP1353" s="210"/>
      <c r="AQ1353" s="210"/>
      <c r="AR1353" s="210"/>
      <c r="AS1353" s="210"/>
      <c r="AT1353" s="210"/>
      <c r="AU1353" s="210"/>
      <c r="AV1353" s="210"/>
      <c r="AW1353" s="210"/>
      <c r="AX1353" s="210"/>
      <c r="AY1353" s="210"/>
      <c r="AZ1353" s="210"/>
      <c r="BA1353" s="210"/>
      <c r="BB1353" s="210"/>
      <c r="BC1353" s="210"/>
      <c r="BD1353" s="210"/>
      <c r="BE1353" s="210"/>
      <c r="BF1353" s="210"/>
      <c r="BG1353" s="210"/>
      <c r="BH1353" s="210"/>
      <c r="BI1353" s="210"/>
      <c r="BJ1353" s="210"/>
      <c r="BK1353" s="210"/>
      <c r="BL1353" s="210"/>
      <c r="BM1353" s="210"/>
      <c r="BN1353" s="210"/>
      <c r="BO1353" s="210"/>
      <c r="BP1353" s="210"/>
      <c r="BQ1353" s="210"/>
      <c r="BR1353" s="210"/>
      <c r="BS1353" s="210"/>
      <c r="BT1353" s="210"/>
      <c r="BU1353" s="210"/>
      <c r="BV1353" s="210"/>
      <c r="BW1353" s="210"/>
      <c r="BX1353" s="210"/>
      <c r="BY1353" s="210"/>
      <c r="BZ1353" s="210"/>
      <c r="CA1353" s="210"/>
      <c r="CB1353" s="210"/>
      <c r="CC1353" s="210"/>
      <c r="CD1353" s="210"/>
      <c r="CE1353" s="210"/>
      <c r="CF1353" s="210"/>
      <c r="CG1353" s="210"/>
      <c r="CH1353" s="210"/>
      <c r="CI1353" s="210"/>
      <c r="CJ1353" s="210"/>
      <c r="CK1353" s="210"/>
    </row>
    <row r="1354">
      <c r="A1354" s="220"/>
      <c r="F1354" s="190"/>
      <c r="G1354" s="190"/>
      <c r="L1354" s="220"/>
      <c r="M1354" s="220"/>
      <c r="O1354" s="210"/>
      <c r="P1354" s="210"/>
      <c r="Q1354" s="210"/>
      <c r="R1354" s="210"/>
      <c r="S1354" s="210"/>
      <c r="T1354" s="210"/>
      <c r="U1354" s="210"/>
      <c r="V1354" s="210"/>
      <c r="W1354" s="210"/>
      <c r="X1354" s="210"/>
      <c r="Y1354" s="210"/>
      <c r="Z1354" s="210"/>
      <c r="AA1354" s="210"/>
      <c r="AB1354" s="210"/>
      <c r="AC1354" s="210"/>
      <c r="AD1354" s="210"/>
      <c r="AE1354" s="210"/>
      <c r="AF1354" s="210"/>
      <c r="AG1354" s="210"/>
      <c r="AH1354" s="210"/>
      <c r="AI1354" s="210"/>
      <c r="AJ1354" s="210"/>
      <c r="AK1354" s="210"/>
      <c r="AL1354" s="210"/>
      <c r="AM1354" s="214"/>
      <c r="AN1354" s="210"/>
      <c r="AO1354" s="210"/>
      <c r="AP1354" s="210"/>
      <c r="AQ1354" s="210"/>
      <c r="AR1354" s="210"/>
      <c r="AS1354" s="210"/>
      <c r="AT1354" s="210"/>
      <c r="AU1354" s="210"/>
      <c r="AV1354" s="210"/>
      <c r="AW1354" s="210"/>
      <c r="AX1354" s="210"/>
      <c r="AY1354" s="210"/>
      <c r="AZ1354" s="210"/>
      <c r="BA1354" s="210"/>
      <c r="BB1354" s="210"/>
      <c r="BC1354" s="210"/>
      <c r="BD1354" s="210"/>
      <c r="BE1354" s="210"/>
      <c r="BF1354" s="210"/>
      <c r="BG1354" s="210"/>
      <c r="BH1354" s="210"/>
      <c r="BI1354" s="210"/>
      <c r="BJ1354" s="210"/>
      <c r="BK1354" s="210"/>
      <c r="BL1354" s="210"/>
      <c r="BM1354" s="210"/>
      <c r="BN1354" s="210"/>
      <c r="BO1354" s="210"/>
      <c r="BP1354" s="210"/>
      <c r="BQ1354" s="210"/>
      <c r="BR1354" s="210"/>
      <c r="BS1354" s="210"/>
      <c r="BT1354" s="210"/>
      <c r="BU1354" s="210"/>
      <c r="BV1354" s="210"/>
      <c r="BW1354" s="210"/>
      <c r="BX1354" s="210"/>
      <c r="BY1354" s="210"/>
      <c r="BZ1354" s="210"/>
      <c r="CA1354" s="210"/>
      <c r="CB1354" s="210"/>
      <c r="CC1354" s="210"/>
      <c r="CD1354" s="210"/>
      <c r="CE1354" s="210"/>
      <c r="CF1354" s="210"/>
      <c r="CG1354" s="210"/>
      <c r="CH1354" s="210"/>
      <c r="CI1354" s="210"/>
      <c r="CJ1354" s="210"/>
      <c r="CK1354" s="210"/>
    </row>
    <row r="1355">
      <c r="A1355" s="220"/>
      <c r="F1355" s="190"/>
      <c r="G1355" s="190"/>
      <c r="L1355" s="220"/>
      <c r="M1355" s="220"/>
      <c r="O1355" s="210"/>
      <c r="P1355" s="210"/>
      <c r="Q1355" s="210"/>
      <c r="R1355" s="210"/>
      <c r="S1355" s="210"/>
      <c r="T1355" s="210"/>
      <c r="U1355" s="210"/>
      <c r="V1355" s="210"/>
      <c r="W1355" s="210"/>
      <c r="X1355" s="210"/>
      <c r="Y1355" s="210"/>
      <c r="Z1355" s="210"/>
      <c r="AA1355" s="210"/>
      <c r="AB1355" s="210"/>
      <c r="AC1355" s="210"/>
      <c r="AD1355" s="210"/>
      <c r="AE1355" s="210"/>
      <c r="AF1355" s="210"/>
      <c r="AG1355" s="210"/>
      <c r="AH1355" s="210"/>
      <c r="AI1355" s="210"/>
      <c r="AJ1355" s="210"/>
      <c r="AK1355" s="210"/>
      <c r="AL1355" s="210"/>
      <c r="AM1355" s="214"/>
      <c r="AN1355" s="210"/>
      <c r="AO1355" s="210"/>
      <c r="AP1355" s="210"/>
      <c r="AQ1355" s="210"/>
      <c r="AR1355" s="210"/>
      <c r="AS1355" s="210"/>
      <c r="AT1355" s="210"/>
      <c r="AU1355" s="210"/>
      <c r="AV1355" s="210"/>
      <c r="AW1355" s="210"/>
      <c r="AX1355" s="210"/>
      <c r="AY1355" s="210"/>
      <c r="AZ1355" s="210"/>
      <c r="BA1355" s="210"/>
      <c r="BB1355" s="210"/>
      <c r="BC1355" s="210"/>
      <c r="BD1355" s="210"/>
      <c r="BE1355" s="210"/>
      <c r="BF1355" s="210"/>
      <c r="BG1355" s="210"/>
      <c r="BH1355" s="210"/>
      <c r="BI1355" s="210"/>
      <c r="BJ1355" s="210"/>
      <c r="BK1355" s="210"/>
      <c r="BL1355" s="210"/>
      <c r="BM1355" s="210"/>
      <c r="BN1355" s="210"/>
      <c r="BO1355" s="210"/>
      <c r="BP1355" s="210"/>
      <c r="BQ1355" s="210"/>
      <c r="BR1355" s="210"/>
      <c r="BS1355" s="210"/>
      <c r="BT1355" s="210"/>
      <c r="BU1355" s="210"/>
      <c r="BV1355" s="210"/>
      <c r="BW1355" s="210"/>
      <c r="BX1355" s="210"/>
      <c r="BY1355" s="210"/>
      <c r="BZ1355" s="210"/>
      <c r="CA1355" s="210"/>
      <c r="CB1355" s="210"/>
      <c r="CC1355" s="210"/>
      <c r="CD1355" s="210"/>
      <c r="CE1355" s="210"/>
      <c r="CF1355" s="210"/>
      <c r="CG1355" s="210"/>
      <c r="CH1355" s="210"/>
      <c r="CI1355" s="210"/>
      <c r="CJ1355" s="210"/>
      <c r="CK1355" s="210"/>
    </row>
    <row r="1356">
      <c r="A1356" s="220"/>
      <c r="F1356" s="190"/>
      <c r="G1356" s="190"/>
      <c r="L1356" s="220"/>
      <c r="M1356" s="220"/>
      <c r="O1356" s="210"/>
      <c r="P1356" s="210"/>
      <c r="Q1356" s="210"/>
      <c r="R1356" s="210"/>
      <c r="S1356" s="210"/>
      <c r="T1356" s="210"/>
      <c r="U1356" s="210"/>
      <c r="V1356" s="210"/>
      <c r="W1356" s="210"/>
      <c r="X1356" s="210"/>
      <c r="Y1356" s="210"/>
      <c r="Z1356" s="210"/>
      <c r="AA1356" s="210"/>
      <c r="AB1356" s="210"/>
      <c r="AC1356" s="210"/>
      <c r="AD1356" s="210"/>
      <c r="AE1356" s="210"/>
      <c r="AF1356" s="210"/>
      <c r="AG1356" s="210"/>
      <c r="AH1356" s="210"/>
      <c r="AI1356" s="210"/>
      <c r="AJ1356" s="210"/>
      <c r="AK1356" s="210"/>
      <c r="AL1356" s="210"/>
      <c r="AM1356" s="214"/>
      <c r="AN1356" s="210"/>
      <c r="AO1356" s="210"/>
      <c r="AP1356" s="210"/>
      <c r="AQ1356" s="210"/>
      <c r="AR1356" s="210"/>
      <c r="AS1356" s="210"/>
      <c r="AT1356" s="210"/>
      <c r="AU1356" s="210"/>
      <c r="AV1356" s="210"/>
      <c r="AW1356" s="210"/>
      <c r="AX1356" s="210"/>
      <c r="AY1356" s="210"/>
      <c r="AZ1356" s="210"/>
      <c r="BA1356" s="210"/>
      <c r="BB1356" s="210"/>
      <c r="BC1356" s="210"/>
      <c r="BD1356" s="210"/>
      <c r="BE1356" s="210"/>
      <c r="BF1356" s="210"/>
      <c r="BG1356" s="210"/>
      <c r="BH1356" s="210"/>
      <c r="BI1356" s="210"/>
      <c r="BJ1356" s="210"/>
      <c r="BK1356" s="210"/>
      <c r="BL1356" s="210"/>
      <c r="BM1356" s="210"/>
      <c r="BN1356" s="210"/>
      <c r="BO1356" s="210"/>
      <c r="BP1356" s="210"/>
      <c r="BQ1356" s="210"/>
      <c r="BR1356" s="210"/>
      <c r="BS1356" s="210"/>
      <c r="BT1356" s="210"/>
      <c r="BU1356" s="210"/>
      <c r="BV1356" s="210"/>
      <c r="BW1356" s="210"/>
      <c r="BX1356" s="210"/>
      <c r="BY1356" s="210"/>
      <c r="BZ1356" s="210"/>
      <c r="CA1356" s="210"/>
      <c r="CB1356" s="210"/>
      <c r="CC1356" s="210"/>
      <c r="CD1356" s="210"/>
      <c r="CE1356" s="210"/>
      <c r="CF1356" s="210"/>
      <c r="CG1356" s="210"/>
      <c r="CH1356" s="210"/>
      <c r="CI1356" s="210"/>
      <c r="CJ1356" s="210"/>
      <c r="CK1356" s="210"/>
    </row>
    <row r="1357">
      <c r="A1357" s="220"/>
      <c r="F1357" s="190"/>
      <c r="G1357" s="190"/>
      <c r="L1357" s="220"/>
      <c r="M1357" s="220"/>
      <c r="O1357" s="210"/>
      <c r="P1357" s="210"/>
      <c r="Q1357" s="210"/>
      <c r="R1357" s="210"/>
      <c r="S1357" s="210"/>
      <c r="T1357" s="210"/>
      <c r="U1357" s="210"/>
      <c r="V1357" s="210"/>
      <c r="W1357" s="210"/>
      <c r="X1357" s="210"/>
      <c r="Y1357" s="210"/>
      <c r="Z1357" s="210"/>
      <c r="AA1357" s="210"/>
      <c r="AB1357" s="210"/>
      <c r="AC1357" s="210"/>
      <c r="AD1357" s="210"/>
      <c r="AE1357" s="210"/>
      <c r="AF1357" s="210"/>
      <c r="AG1357" s="210"/>
      <c r="AH1357" s="210"/>
      <c r="AI1357" s="210"/>
      <c r="AJ1357" s="210"/>
      <c r="AK1357" s="210"/>
      <c r="AL1357" s="210"/>
      <c r="AM1357" s="214"/>
      <c r="AN1357" s="210"/>
      <c r="AO1357" s="210"/>
      <c r="AP1357" s="210"/>
      <c r="AQ1357" s="210"/>
      <c r="AR1357" s="210"/>
      <c r="AS1357" s="210"/>
      <c r="AT1357" s="210"/>
      <c r="AU1357" s="210"/>
      <c r="AV1357" s="210"/>
      <c r="AW1357" s="210"/>
      <c r="AX1357" s="210"/>
      <c r="AY1357" s="210"/>
      <c r="AZ1357" s="210"/>
      <c r="BA1357" s="210"/>
      <c r="BB1357" s="210"/>
      <c r="BC1357" s="210"/>
      <c r="BD1357" s="210"/>
      <c r="BE1357" s="210"/>
      <c r="BF1357" s="210"/>
      <c r="BG1357" s="210"/>
      <c r="BH1357" s="210"/>
      <c r="BI1357" s="210"/>
      <c r="BJ1357" s="210"/>
      <c r="BK1357" s="210"/>
      <c r="BL1357" s="210"/>
      <c r="BM1357" s="210"/>
      <c r="BN1357" s="210"/>
      <c r="BO1357" s="210"/>
      <c r="BP1357" s="210"/>
      <c r="BQ1357" s="210"/>
      <c r="BR1357" s="210"/>
      <c r="BS1357" s="210"/>
      <c r="BT1357" s="210"/>
      <c r="BU1357" s="210"/>
      <c r="BV1357" s="210"/>
      <c r="BW1357" s="210"/>
      <c r="BX1357" s="210"/>
      <c r="BY1357" s="210"/>
      <c r="BZ1357" s="210"/>
      <c r="CA1357" s="210"/>
      <c r="CB1357" s="210"/>
      <c r="CC1357" s="210"/>
      <c r="CD1357" s="210"/>
      <c r="CE1357" s="210"/>
      <c r="CF1357" s="210"/>
      <c r="CG1357" s="210"/>
      <c r="CH1357" s="210"/>
      <c r="CI1357" s="210"/>
      <c r="CJ1357" s="210"/>
      <c r="CK1357" s="210"/>
    </row>
    <row r="1358">
      <c r="A1358" s="220"/>
      <c r="F1358" s="190"/>
      <c r="G1358" s="190"/>
      <c r="L1358" s="220"/>
      <c r="M1358" s="220"/>
      <c r="O1358" s="210"/>
      <c r="P1358" s="210"/>
      <c r="Q1358" s="210"/>
      <c r="R1358" s="210"/>
      <c r="S1358" s="210"/>
      <c r="T1358" s="210"/>
      <c r="U1358" s="210"/>
      <c r="V1358" s="210"/>
      <c r="W1358" s="210"/>
      <c r="X1358" s="210"/>
      <c r="Y1358" s="210"/>
      <c r="Z1358" s="210"/>
      <c r="AA1358" s="210"/>
      <c r="AB1358" s="210"/>
      <c r="AC1358" s="210"/>
      <c r="AD1358" s="210"/>
      <c r="AE1358" s="210"/>
      <c r="AF1358" s="210"/>
      <c r="AG1358" s="210"/>
      <c r="AH1358" s="210"/>
      <c r="AI1358" s="210"/>
      <c r="AJ1358" s="210"/>
      <c r="AK1358" s="210"/>
      <c r="AL1358" s="210"/>
      <c r="AM1358" s="214"/>
      <c r="AN1358" s="210"/>
      <c r="AO1358" s="210"/>
      <c r="AP1358" s="210"/>
      <c r="AQ1358" s="210"/>
      <c r="AR1358" s="210"/>
      <c r="AS1358" s="210"/>
      <c r="AT1358" s="210"/>
      <c r="AU1358" s="210"/>
      <c r="AV1358" s="210"/>
      <c r="AW1358" s="210"/>
      <c r="AX1358" s="210"/>
      <c r="AY1358" s="210"/>
      <c r="AZ1358" s="210"/>
      <c r="BA1358" s="210"/>
      <c r="BB1358" s="210"/>
      <c r="BC1358" s="210"/>
      <c r="BD1358" s="210"/>
      <c r="BE1358" s="210"/>
      <c r="BF1358" s="210"/>
      <c r="BG1358" s="210"/>
      <c r="BH1358" s="210"/>
      <c r="BI1358" s="210"/>
      <c r="BJ1358" s="210"/>
      <c r="BK1358" s="210"/>
      <c r="BL1358" s="210"/>
      <c r="BM1358" s="210"/>
      <c r="BN1358" s="210"/>
      <c r="BO1358" s="210"/>
      <c r="BP1358" s="210"/>
      <c r="BQ1358" s="210"/>
      <c r="BR1358" s="210"/>
      <c r="BS1358" s="210"/>
      <c r="BT1358" s="210"/>
      <c r="BU1358" s="210"/>
      <c r="BV1358" s="210"/>
      <c r="BW1358" s="210"/>
      <c r="BX1358" s="210"/>
      <c r="BY1358" s="210"/>
      <c r="BZ1358" s="210"/>
      <c r="CA1358" s="210"/>
      <c r="CB1358" s="210"/>
      <c r="CC1358" s="210"/>
      <c r="CD1358" s="210"/>
      <c r="CE1358" s="210"/>
      <c r="CF1358" s="210"/>
      <c r="CG1358" s="210"/>
      <c r="CH1358" s="210"/>
      <c r="CI1358" s="210"/>
      <c r="CJ1358" s="210"/>
      <c r="CK1358" s="210"/>
    </row>
    <row r="1359">
      <c r="A1359" s="220"/>
      <c r="F1359" s="190"/>
      <c r="G1359" s="190"/>
      <c r="L1359" s="220"/>
      <c r="M1359" s="220"/>
      <c r="O1359" s="210"/>
      <c r="P1359" s="210"/>
      <c r="Q1359" s="210"/>
      <c r="R1359" s="210"/>
      <c r="S1359" s="210"/>
      <c r="T1359" s="210"/>
      <c r="U1359" s="210"/>
      <c r="V1359" s="210"/>
      <c r="W1359" s="210"/>
      <c r="X1359" s="210"/>
      <c r="Y1359" s="210"/>
      <c r="Z1359" s="210"/>
      <c r="AA1359" s="210"/>
      <c r="AB1359" s="210"/>
      <c r="AC1359" s="210"/>
      <c r="AD1359" s="210"/>
      <c r="AE1359" s="210"/>
      <c r="AF1359" s="210"/>
      <c r="AG1359" s="210"/>
      <c r="AH1359" s="210"/>
      <c r="AI1359" s="210"/>
      <c r="AJ1359" s="210"/>
      <c r="AK1359" s="210"/>
      <c r="AL1359" s="210"/>
      <c r="AM1359" s="214"/>
      <c r="AN1359" s="210"/>
      <c r="AO1359" s="210"/>
      <c r="AP1359" s="210"/>
      <c r="AQ1359" s="210"/>
      <c r="AR1359" s="210"/>
      <c r="AS1359" s="210"/>
      <c r="AT1359" s="210"/>
      <c r="AU1359" s="210"/>
      <c r="AV1359" s="210"/>
      <c r="AW1359" s="210"/>
      <c r="AX1359" s="210"/>
      <c r="AY1359" s="210"/>
      <c r="AZ1359" s="210"/>
      <c r="BA1359" s="210"/>
      <c r="BB1359" s="210"/>
      <c r="BC1359" s="210"/>
      <c r="BD1359" s="210"/>
      <c r="BE1359" s="210"/>
      <c r="BF1359" s="210"/>
      <c r="BG1359" s="210"/>
      <c r="BH1359" s="210"/>
      <c r="BI1359" s="210"/>
      <c r="BJ1359" s="210"/>
      <c r="BK1359" s="210"/>
      <c r="BL1359" s="210"/>
      <c r="BM1359" s="210"/>
      <c r="BN1359" s="210"/>
      <c r="BO1359" s="210"/>
      <c r="BP1359" s="210"/>
      <c r="BQ1359" s="210"/>
      <c r="BR1359" s="210"/>
      <c r="BS1359" s="210"/>
      <c r="BT1359" s="210"/>
      <c r="BU1359" s="210"/>
      <c r="BV1359" s="210"/>
      <c r="BW1359" s="210"/>
      <c r="BX1359" s="210"/>
      <c r="BY1359" s="210"/>
      <c r="BZ1359" s="210"/>
      <c r="CA1359" s="210"/>
      <c r="CB1359" s="210"/>
      <c r="CC1359" s="210"/>
      <c r="CD1359" s="210"/>
      <c r="CE1359" s="210"/>
      <c r="CF1359" s="210"/>
      <c r="CG1359" s="210"/>
      <c r="CH1359" s="210"/>
      <c r="CI1359" s="210"/>
      <c r="CJ1359" s="210"/>
      <c r="CK1359" s="210"/>
    </row>
    <row r="1360">
      <c r="A1360" s="220"/>
      <c r="F1360" s="190"/>
      <c r="G1360" s="190"/>
      <c r="L1360" s="220"/>
      <c r="M1360" s="220"/>
      <c r="O1360" s="210"/>
      <c r="P1360" s="210"/>
      <c r="Q1360" s="210"/>
      <c r="R1360" s="210"/>
      <c r="S1360" s="210"/>
      <c r="T1360" s="210"/>
      <c r="U1360" s="210"/>
      <c r="V1360" s="210"/>
      <c r="W1360" s="210"/>
      <c r="X1360" s="210"/>
      <c r="Y1360" s="210"/>
      <c r="Z1360" s="210"/>
      <c r="AA1360" s="210"/>
      <c r="AB1360" s="210"/>
      <c r="AC1360" s="210"/>
      <c r="AD1360" s="210"/>
      <c r="AE1360" s="210"/>
      <c r="AF1360" s="210"/>
      <c r="AG1360" s="210"/>
      <c r="AH1360" s="210"/>
      <c r="AI1360" s="210"/>
      <c r="AJ1360" s="210"/>
      <c r="AK1360" s="210"/>
      <c r="AL1360" s="210"/>
      <c r="AM1360" s="214"/>
      <c r="AN1360" s="210"/>
      <c r="AO1360" s="210"/>
      <c r="AP1360" s="210"/>
      <c r="AQ1360" s="210"/>
      <c r="AR1360" s="210"/>
      <c r="AS1360" s="210"/>
      <c r="AT1360" s="210"/>
      <c r="AU1360" s="210"/>
      <c r="AV1360" s="210"/>
      <c r="AW1360" s="210"/>
      <c r="AX1360" s="210"/>
      <c r="AY1360" s="210"/>
      <c r="AZ1360" s="210"/>
      <c r="BA1360" s="210"/>
      <c r="BB1360" s="210"/>
      <c r="BC1360" s="210"/>
      <c r="BD1360" s="210"/>
      <c r="BE1360" s="210"/>
      <c r="BF1360" s="210"/>
      <c r="BG1360" s="210"/>
      <c r="BH1360" s="210"/>
      <c r="BI1360" s="210"/>
      <c r="BJ1360" s="210"/>
      <c r="BK1360" s="210"/>
      <c r="BL1360" s="210"/>
      <c r="BM1360" s="210"/>
      <c r="BN1360" s="210"/>
      <c r="BO1360" s="210"/>
      <c r="BP1360" s="210"/>
      <c r="BQ1360" s="210"/>
      <c r="BR1360" s="210"/>
      <c r="BS1360" s="210"/>
      <c r="BT1360" s="210"/>
      <c r="BU1360" s="210"/>
      <c r="BV1360" s="210"/>
      <c r="BW1360" s="210"/>
      <c r="BX1360" s="210"/>
      <c r="BY1360" s="210"/>
      <c r="BZ1360" s="210"/>
      <c r="CA1360" s="210"/>
      <c r="CB1360" s="210"/>
      <c r="CC1360" s="210"/>
      <c r="CD1360" s="210"/>
      <c r="CE1360" s="210"/>
      <c r="CF1360" s="210"/>
      <c r="CG1360" s="210"/>
      <c r="CH1360" s="210"/>
      <c r="CI1360" s="210"/>
      <c r="CJ1360" s="210"/>
      <c r="CK1360" s="210"/>
    </row>
    <row r="1361">
      <c r="A1361" s="220"/>
      <c r="F1361" s="190"/>
      <c r="G1361" s="190"/>
      <c r="L1361" s="220"/>
      <c r="M1361" s="220"/>
      <c r="O1361" s="210"/>
      <c r="P1361" s="210"/>
      <c r="Q1361" s="210"/>
      <c r="R1361" s="210"/>
      <c r="S1361" s="210"/>
      <c r="T1361" s="210"/>
      <c r="U1361" s="210"/>
      <c r="V1361" s="210"/>
      <c r="W1361" s="210"/>
      <c r="X1361" s="210"/>
      <c r="Y1361" s="210"/>
      <c r="Z1361" s="210"/>
      <c r="AA1361" s="210"/>
      <c r="AB1361" s="210"/>
      <c r="AC1361" s="210"/>
      <c r="AD1361" s="210"/>
      <c r="AE1361" s="210"/>
      <c r="AF1361" s="210"/>
      <c r="AG1361" s="210"/>
      <c r="AH1361" s="210"/>
      <c r="AI1361" s="210"/>
      <c r="AJ1361" s="210"/>
      <c r="AK1361" s="210"/>
      <c r="AL1361" s="210"/>
      <c r="AM1361" s="214"/>
      <c r="AN1361" s="210"/>
      <c r="AO1361" s="210"/>
      <c r="AP1361" s="210"/>
      <c r="AQ1361" s="210"/>
      <c r="AR1361" s="210"/>
      <c r="AS1361" s="210"/>
      <c r="AT1361" s="210"/>
      <c r="AU1361" s="210"/>
      <c r="AV1361" s="210"/>
      <c r="AW1361" s="210"/>
      <c r="AX1361" s="210"/>
      <c r="AY1361" s="210"/>
      <c r="AZ1361" s="210"/>
      <c r="BA1361" s="210"/>
      <c r="BB1361" s="210"/>
      <c r="BC1361" s="210"/>
      <c r="BD1361" s="210"/>
      <c r="BE1361" s="210"/>
      <c r="BF1361" s="210"/>
      <c r="BG1361" s="210"/>
      <c r="BH1361" s="210"/>
      <c r="BI1361" s="210"/>
      <c r="BJ1361" s="210"/>
      <c r="BK1361" s="210"/>
      <c r="BL1361" s="210"/>
      <c r="BM1361" s="210"/>
      <c r="BN1361" s="210"/>
      <c r="BO1361" s="210"/>
      <c r="BP1361" s="210"/>
      <c r="BQ1361" s="210"/>
      <c r="BR1361" s="210"/>
      <c r="BS1361" s="210"/>
      <c r="BT1361" s="210"/>
      <c r="BU1361" s="210"/>
      <c r="BV1361" s="210"/>
      <c r="BW1361" s="210"/>
      <c r="BX1361" s="210"/>
      <c r="BY1361" s="210"/>
      <c r="BZ1361" s="210"/>
      <c r="CA1361" s="210"/>
      <c r="CB1361" s="210"/>
      <c r="CC1361" s="210"/>
      <c r="CD1361" s="210"/>
      <c r="CE1361" s="210"/>
      <c r="CF1361" s="210"/>
      <c r="CG1361" s="210"/>
      <c r="CH1361" s="210"/>
      <c r="CI1361" s="210"/>
      <c r="CJ1361" s="210"/>
      <c r="CK1361" s="210"/>
    </row>
    <row r="1362">
      <c r="A1362" s="220"/>
      <c r="F1362" s="190"/>
      <c r="G1362" s="190"/>
      <c r="L1362" s="220"/>
      <c r="M1362" s="220"/>
      <c r="O1362" s="210"/>
      <c r="P1362" s="210"/>
      <c r="Q1362" s="210"/>
      <c r="R1362" s="210"/>
      <c r="S1362" s="210"/>
      <c r="T1362" s="210"/>
      <c r="U1362" s="210"/>
      <c r="V1362" s="210"/>
      <c r="W1362" s="210"/>
      <c r="X1362" s="210"/>
      <c r="Y1362" s="210"/>
      <c r="Z1362" s="210"/>
      <c r="AA1362" s="210"/>
      <c r="AB1362" s="210"/>
      <c r="AC1362" s="210"/>
      <c r="AD1362" s="210"/>
      <c r="AE1362" s="210"/>
      <c r="AF1362" s="210"/>
      <c r="AG1362" s="210"/>
      <c r="AH1362" s="210"/>
      <c r="AI1362" s="210"/>
      <c r="AJ1362" s="210"/>
      <c r="AK1362" s="210"/>
      <c r="AL1362" s="210"/>
      <c r="AM1362" s="214"/>
      <c r="AN1362" s="210"/>
      <c r="AO1362" s="210"/>
      <c r="AP1362" s="210"/>
      <c r="AQ1362" s="210"/>
      <c r="AR1362" s="210"/>
      <c r="AS1362" s="210"/>
      <c r="AT1362" s="210"/>
      <c r="AU1362" s="210"/>
      <c r="AV1362" s="210"/>
      <c r="AW1362" s="210"/>
      <c r="AX1362" s="210"/>
      <c r="AY1362" s="210"/>
      <c r="AZ1362" s="210"/>
      <c r="BA1362" s="210"/>
      <c r="BB1362" s="210"/>
      <c r="BC1362" s="210"/>
      <c r="BD1362" s="210"/>
      <c r="BE1362" s="210"/>
      <c r="BF1362" s="210"/>
      <c r="BG1362" s="210"/>
      <c r="BH1362" s="210"/>
      <c r="BI1362" s="210"/>
      <c r="BJ1362" s="210"/>
      <c r="BK1362" s="210"/>
      <c r="BL1362" s="210"/>
      <c r="BM1362" s="210"/>
      <c r="BN1362" s="210"/>
      <c r="BO1362" s="210"/>
      <c r="BP1362" s="210"/>
      <c r="BQ1362" s="210"/>
      <c r="BR1362" s="210"/>
      <c r="BS1362" s="210"/>
      <c r="BT1362" s="210"/>
      <c r="BU1362" s="210"/>
      <c r="BV1362" s="210"/>
      <c r="BW1362" s="210"/>
      <c r="BX1362" s="210"/>
      <c r="BY1362" s="210"/>
      <c r="BZ1362" s="210"/>
      <c r="CA1362" s="210"/>
      <c r="CB1362" s="210"/>
      <c r="CC1362" s="210"/>
      <c r="CD1362" s="210"/>
      <c r="CE1362" s="210"/>
      <c r="CF1362" s="210"/>
      <c r="CG1362" s="210"/>
      <c r="CH1362" s="210"/>
      <c r="CI1362" s="210"/>
      <c r="CJ1362" s="210"/>
      <c r="CK1362" s="210"/>
    </row>
    <row r="1363">
      <c r="A1363" s="220"/>
      <c r="F1363" s="190"/>
      <c r="G1363" s="190"/>
      <c r="L1363" s="220"/>
      <c r="M1363" s="220"/>
      <c r="O1363" s="210"/>
      <c r="P1363" s="210"/>
      <c r="Q1363" s="210"/>
      <c r="R1363" s="210"/>
      <c r="S1363" s="210"/>
      <c r="T1363" s="210"/>
      <c r="U1363" s="210"/>
      <c r="V1363" s="210"/>
      <c r="W1363" s="210"/>
      <c r="X1363" s="210"/>
      <c r="Y1363" s="210"/>
      <c r="Z1363" s="210"/>
      <c r="AA1363" s="210"/>
      <c r="AB1363" s="210"/>
      <c r="AC1363" s="210"/>
      <c r="AD1363" s="210"/>
      <c r="AE1363" s="210"/>
      <c r="AF1363" s="210"/>
      <c r="AG1363" s="210"/>
      <c r="AH1363" s="210"/>
      <c r="AI1363" s="210"/>
      <c r="AJ1363" s="210"/>
      <c r="AK1363" s="210"/>
      <c r="AL1363" s="210"/>
      <c r="AM1363" s="214"/>
      <c r="AN1363" s="210"/>
      <c r="AO1363" s="210"/>
      <c r="AP1363" s="210"/>
      <c r="AQ1363" s="210"/>
      <c r="AR1363" s="210"/>
      <c r="AS1363" s="210"/>
      <c r="AT1363" s="210"/>
      <c r="AU1363" s="210"/>
      <c r="AV1363" s="210"/>
      <c r="AW1363" s="210"/>
      <c r="AX1363" s="210"/>
      <c r="AY1363" s="210"/>
      <c r="AZ1363" s="210"/>
      <c r="BA1363" s="210"/>
      <c r="BB1363" s="210"/>
      <c r="BC1363" s="210"/>
      <c r="BD1363" s="210"/>
      <c r="BE1363" s="210"/>
      <c r="BF1363" s="210"/>
      <c r="BG1363" s="210"/>
      <c r="BH1363" s="210"/>
      <c r="BI1363" s="210"/>
      <c r="BJ1363" s="210"/>
      <c r="BK1363" s="210"/>
      <c r="BL1363" s="210"/>
      <c r="BM1363" s="210"/>
      <c r="BN1363" s="210"/>
      <c r="BO1363" s="210"/>
      <c r="BP1363" s="210"/>
      <c r="BQ1363" s="210"/>
      <c r="BR1363" s="210"/>
      <c r="BS1363" s="210"/>
      <c r="BT1363" s="210"/>
      <c r="BU1363" s="210"/>
      <c r="BV1363" s="210"/>
      <c r="BW1363" s="210"/>
      <c r="BX1363" s="210"/>
      <c r="BY1363" s="210"/>
      <c r="BZ1363" s="210"/>
      <c r="CA1363" s="210"/>
      <c r="CB1363" s="210"/>
      <c r="CC1363" s="210"/>
      <c r="CD1363" s="210"/>
      <c r="CE1363" s="210"/>
      <c r="CF1363" s="210"/>
      <c r="CG1363" s="210"/>
      <c r="CH1363" s="210"/>
      <c r="CI1363" s="210"/>
      <c r="CJ1363" s="210"/>
      <c r="CK1363" s="210"/>
    </row>
    <row r="1364">
      <c r="A1364" s="220"/>
      <c r="F1364" s="190"/>
      <c r="G1364" s="190"/>
      <c r="L1364" s="220"/>
      <c r="M1364" s="220"/>
      <c r="O1364" s="210"/>
      <c r="P1364" s="210"/>
      <c r="Q1364" s="210"/>
      <c r="R1364" s="210"/>
      <c r="S1364" s="210"/>
      <c r="T1364" s="210"/>
      <c r="U1364" s="210"/>
      <c r="V1364" s="210"/>
      <c r="W1364" s="210"/>
      <c r="X1364" s="210"/>
      <c r="Y1364" s="210"/>
      <c r="Z1364" s="210"/>
      <c r="AA1364" s="210"/>
      <c r="AB1364" s="210"/>
      <c r="AC1364" s="210"/>
      <c r="AD1364" s="210"/>
      <c r="AE1364" s="210"/>
      <c r="AF1364" s="210"/>
      <c r="AG1364" s="210"/>
      <c r="AH1364" s="210"/>
      <c r="AI1364" s="210"/>
      <c r="AJ1364" s="210"/>
      <c r="AK1364" s="210"/>
      <c r="AL1364" s="210"/>
      <c r="AM1364" s="214"/>
      <c r="AN1364" s="210"/>
      <c r="AO1364" s="210"/>
      <c r="AP1364" s="210"/>
      <c r="AQ1364" s="210"/>
      <c r="AR1364" s="210"/>
      <c r="AS1364" s="210"/>
      <c r="AT1364" s="210"/>
      <c r="AU1364" s="210"/>
      <c r="AV1364" s="210"/>
      <c r="AW1364" s="210"/>
      <c r="AX1364" s="210"/>
      <c r="AY1364" s="210"/>
      <c r="AZ1364" s="210"/>
      <c r="BA1364" s="210"/>
      <c r="BB1364" s="210"/>
      <c r="BC1364" s="210"/>
      <c r="BD1364" s="210"/>
      <c r="BE1364" s="210"/>
      <c r="BF1364" s="210"/>
      <c r="BG1364" s="210"/>
      <c r="BH1364" s="210"/>
      <c r="BI1364" s="210"/>
      <c r="BJ1364" s="210"/>
      <c r="BK1364" s="210"/>
      <c r="BL1364" s="210"/>
      <c r="BM1364" s="210"/>
      <c r="BN1364" s="210"/>
      <c r="BO1364" s="210"/>
      <c r="BP1364" s="210"/>
      <c r="BQ1364" s="210"/>
      <c r="BR1364" s="210"/>
      <c r="BS1364" s="210"/>
      <c r="BT1364" s="210"/>
      <c r="BU1364" s="210"/>
      <c r="BV1364" s="210"/>
      <c r="BW1364" s="210"/>
      <c r="BX1364" s="210"/>
      <c r="BY1364" s="210"/>
      <c r="BZ1364" s="210"/>
      <c r="CA1364" s="210"/>
      <c r="CB1364" s="210"/>
      <c r="CC1364" s="210"/>
      <c r="CD1364" s="210"/>
      <c r="CE1364" s="210"/>
      <c r="CF1364" s="210"/>
      <c r="CG1364" s="210"/>
      <c r="CH1364" s="210"/>
      <c r="CI1364" s="210"/>
      <c r="CJ1364" s="210"/>
      <c r="CK1364" s="210"/>
    </row>
    <row r="1365">
      <c r="A1365" s="220"/>
      <c r="F1365" s="190"/>
      <c r="G1365" s="190"/>
      <c r="L1365" s="220"/>
      <c r="M1365" s="220"/>
      <c r="O1365" s="210"/>
      <c r="P1365" s="210"/>
      <c r="Q1365" s="210"/>
      <c r="R1365" s="210"/>
      <c r="S1365" s="210"/>
      <c r="T1365" s="210"/>
      <c r="U1365" s="210"/>
      <c r="V1365" s="210"/>
      <c r="W1365" s="210"/>
      <c r="X1365" s="210"/>
      <c r="Y1365" s="210"/>
      <c r="Z1365" s="210"/>
      <c r="AA1365" s="210"/>
      <c r="AB1365" s="210"/>
      <c r="AC1365" s="210"/>
      <c r="AD1365" s="210"/>
      <c r="AE1365" s="210"/>
      <c r="AF1365" s="210"/>
      <c r="AG1365" s="210"/>
      <c r="AH1365" s="210"/>
      <c r="AI1365" s="210"/>
      <c r="AJ1365" s="210"/>
      <c r="AK1365" s="210"/>
      <c r="AL1365" s="210"/>
      <c r="AM1365" s="214"/>
      <c r="AN1365" s="210"/>
      <c r="AO1365" s="210"/>
      <c r="AP1365" s="210"/>
      <c r="AQ1365" s="210"/>
      <c r="AR1365" s="210"/>
      <c r="AS1365" s="210"/>
      <c r="AT1365" s="210"/>
      <c r="AU1365" s="210"/>
      <c r="AV1365" s="210"/>
      <c r="AW1365" s="210"/>
      <c r="AX1365" s="210"/>
      <c r="AY1365" s="210"/>
      <c r="AZ1365" s="210"/>
      <c r="BA1365" s="210"/>
      <c r="BB1365" s="210"/>
      <c r="BC1365" s="210"/>
      <c r="BD1365" s="210"/>
      <c r="BE1365" s="210"/>
      <c r="BF1365" s="210"/>
      <c r="BG1365" s="210"/>
      <c r="BH1365" s="210"/>
      <c r="BI1365" s="210"/>
      <c r="BJ1365" s="210"/>
      <c r="BK1365" s="210"/>
      <c r="BL1365" s="210"/>
      <c r="BM1365" s="210"/>
      <c r="BN1365" s="210"/>
      <c r="BO1365" s="210"/>
      <c r="BP1365" s="210"/>
      <c r="BQ1365" s="210"/>
      <c r="BR1365" s="210"/>
      <c r="BS1365" s="210"/>
      <c r="BT1365" s="210"/>
      <c r="BU1365" s="210"/>
      <c r="BV1365" s="210"/>
      <c r="BW1365" s="210"/>
      <c r="BX1365" s="210"/>
      <c r="BY1365" s="210"/>
      <c r="BZ1365" s="210"/>
      <c r="CA1365" s="210"/>
      <c r="CB1365" s="210"/>
      <c r="CC1365" s="210"/>
      <c r="CD1365" s="210"/>
      <c r="CE1365" s="210"/>
      <c r="CF1365" s="210"/>
      <c r="CG1365" s="210"/>
      <c r="CH1365" s="210"/>
      <c r="CI1365" s="210"/>
      <c r="CJ1365" s="210"/>
      <c r="CK1365" s="210"/>
    </row>
    <row r="1366">
      <c r="A1366" s="220"/>
      <c r="F1366" s="190"/>
      <c r="G1366" s="190"/>
      <c r="L1366" s="220"/>
      <c r="M1366" s="220"/>
      <c r="O1366" s="210"/>
      <c r="P1366" s="210"/>
      <c r="Q1366" s="210"/>
      <c r="R1366" s="210"/>
      <c r="S1366" s="210"/>
      <c r="T1366" s="210"/>
      <c r="U1366" s="210"/>
      <c r="V1366" s="210"/>
      <c r="W1366" s="210"/>
      <c r="X1366" s="210"/>
      <c r="Y1366" s="210"/>
      <c r="Z1366" s="210"/>
      <c r="AA1366" s="210"/>
      <c r="AB1366" s="210"/>
      <c r="AC1366" s="210"/>
      <c r="AD1366" s="210"/>
      <c r="AE1366" s="210"/>
      <c r="AF1366" s="210"/>
      <c r="AG1366" s="210"/>
      <c r="AH1366" s="210"/>
      <c r="AI1366" s="210"/>
      <c r="AJ1366" s="210"/>
      <c r="AK1366" s="210"/>
      <c r="AL1366" s="210"/>
      <c r="AM1366" s="214"/>
      <c r="AN1366" s="210"/>
      <c r="AO1366" s="210"/>
      <c r="AP1366" s="210"/>
      <c r="AQ1366" s="210"/>
      <c r="AR1366" s="210"/>
      <c r="AS1366" s="210"/>
      <c r="AT1366" s="210"/>
      <c r="AU1366" s="210"/>
      <c r="AV1366" s="210"/>
      <c r="AW1366" s="210"/>
      <c r="AX1366" s="210"/>
      <c r="AY1366" s="210"/>
      <c r="AZ1366" s="210"/>
      <c r="BA1366" s="210"/>
      <c r="BB1366" s="210"/>
      <c r="BC1366" s="210"/>
      <c r="BD1366" s="210"/>
      <c r="BE1366" s="210"/>
      <c r="BF1366" s="210"/>
      <c r="BG1366" s="210"/>
      <c r="BH1366" s="210"/>
      <c r="BI1366" s="210"/>
      <c r="BJ1366" s="210"/>
      <c r="BK1366" s="210"/>
      <c r="BL1366" s="210"/>
      <c r="BM1366" s="210"/>
      <c r="BN1366" s="210"/>
      <c r="BO1366" s="210"/>
      <c r="BP1366" s="210"/>
      <c r="BQ1366" s="210"/>
      <c r="BR1366" s="210"/>
      <c r="BS1366" s="210"/>
      <c r="BT1366" s="210"/>
      <c r="BU1366" s="210"/>
      <c r="BV1366" s="210"/>
      <c r="BW1366" s="210"/>
      <c r="BX1366" s="210"/>
      <c r="BY1366" s="210"/>
      <c r="BZ1366" s="210"/>
      <c r="CA1366" s="210"/>
      <c r="CB1366" s="210"/>
      <c r="CC1366" s="210"/>
      <c r="CD1366" s="210"/>
      <c r="CE1366" s="210"/>
      <c r="CF1366" s="210"/>
      <c r="CG1366" s="210"/>
      <c r="CH1366" s="210"/>
      <c r="CI1366" s="210"/>
      <c r="CJ1366" s="210"/>
      <c r="CK1366" s="210"/>
    </row>
    <row r="1367">
      <c r="A1367" s="220"/>
      <c r="F1367" s="190"/>
      <c r="G1367" s="190"/>
      <c r="L1367" s="220"/>
      <c r="M1367" s="220"/>
      <c r="O1367" s="210"/>
      <c r="P1367" s="210"/>
      <c r="Q1367" s="210"/>
      <c r="R1367" s="210"/>
      <c r="S1367" s="210"/>
      <c r="T1367" s="210"/>
      <c r="U1367" s="210"/>
      <c r="V1367" s="210"/>
      <c r="W1367" s="210"/>
      <c r="X1367" s="210"/>
      <c r="Y1367" s="210"/>
      <c r="Z1367" s="210"/>
      <c r="AA1367" s="210"/>
      <c r="AB1367" s="210"/>
      <c r="AC1367" s="210"/>
      <c r="AD1367" s="210"/>
      <c r="AE1367" s="210"/>
      <c r="AF1367" s="210"/>
      <c r="AG1367" s="210"/>
      <c r="AH1367" s="210"/>
      <c r="AI1367" s="210"/>
      <c r="AJ1367" s="210"/>
      <c r="AK1367" s="210"/>
      <c r="AL1367" s="210"/>
      <c r="AM1367" s="214"/>
      <c r="AN1367" s="210"/>
      <c r="AO1367" s="210"/>
      <c r="AP1367" s="210"/>
      <c r="AQ1367" s="210"/>
      <c r="AR1367" s="210"/>
      <c r="AS1367" s="210"/>
      <c r="AT1367" s="210"/>
      <c r="AU1367" s="210"/>
      <c r="AV1367" s="210"/>
      <c r="AW1367" s="210"/>
      <c r="AX1367" s="210"/>
      <c r="AY1367" s="210"/>
      <c r="AZ1367" s="210"/>
      <c r="BA1367" s="210"/>
      <c r="BB1367" s="210"/>
      <c r="BC1367" s="210"/>
      <c r="BD1367" s="210"/>
      <c r="BE1367" s="210"/>
      <c r="BF1367" s="210"/>
      <c r="BG1367" s="210"/>
      <c r="BH1367" s="210"/>
      <c r="BI1367" s="210"/>
      <c r="BJ1367" s="210"/>
      <c r="BK1367" s="210"/>
      <c r="BL1367" s="210"/>
      <c r="BM1367" s="210"/>
      <c r="BN1367" s="210"/>
      <c r="BO1367" s="210"/>
      <c r="BP1367" s="210"/>
      <c r="BQ1367" s="210"/>
      <c r="BR1367" s="210"/>
      <c r="BS1367" s="210"/>
      <c r="BT1367" s="210"/>
      <c r="BU1367" s="210"/>
      <c r="BV1367" s="210"/>
      <c r="BW1367" s="210"/>
      <c r="BX1367" s="210"/>
      <c r="BY1367" s="210"/>
      <c r="BZ1367" s="210"/>
      <c r="CA1367" s="210"/>
      <c r="CB1367" s="210"/>
      <c r="CC1367" s="210"/>
      <c r="CD1367" s="210"/>
      <c r="CE1367" s="210"/>
      <c r="CF1367" s="210"/>
      <c r="CG1367" s="210"/>
      <c r="CH1367" s="210"/>
      <c r="CI1367" s="210"/>
      <c r="CJ1367" s="210"/>
      <c r="CK1367" s="210"/>
    </row>
    <row r="1368">
      <c r="A1368" s="220"/>
      <c r="F1368" s="190"/>
      <c r="G1368" s="190"/>
      <c r="L1368" s="220"/>
      <c r="M1368" s="220"/>
      <c r="O1368" s="210"/>
      <c r="P1368" s="210"/>
      <c r="Q1368" s="210"/>
      <c r="R1368" s="210"/>
      <c r="S1368" s="210"/>
      <c r="T1368" s="210"/>
      <c r="U1368" s="210"/>
      <c r="V1368" s="210"/>
      <c r="W1368" s="210"/>
      <c r="X1368" s="210"/>
      <c r="Y1368" s="210"/>
      <c r="Z1368" s="210"/>
      <c r="AA1368" s="210"/>
      <c r="AB1368" s="210"/>
      <c r="AC1368" s="210"/>
      <c r="AD1368" s="210"/>
      <c r="AE1368" s="210"/>
      <c r="AF1368" s="210"/>
      <c r="AG1368" s="210"/>
      <c r="AH1368" s="210"/>
      <c r="AI1368" s="210"/>
      <c r="AJ1368" s="210"/>
      <c r="AK1368" s="210"/>
      <c r="AL1368" s="210"/>
      <c r="AM1368" s="214"/>
      <c r="AN1368" s="210"/>
      <c r="AO1368" s="210"/>
      <c r="AP1368" s="210"/>
      <c r="AQ1368" s="210"/>
      <c r="AR1368" s="210"/>
      <c r="AS1368" s="210"/>
      <c r="AT1368" s="210"/>
      <c r="AU1368" s="210"/>
      <c r="AV1368" s="210"/>
      <c r="AW1368" s="210"/>
      <c r="AX1368" s="210"/>
      <c r="AY1368" s="210"/>
      <c r="AZ1368" s="210"/>
      <c r="BA1368" s="210"/>
      <c r="BB1368" s="210"/>
      <c r="BC1368" s="210"/>
      <c r="BD1368" s="210"/>
      <c r="BE1368" s="210"/>
      <c r="BF1368" s="210"/>
      <c r="BG1368" s="210"/>
      <c r="BH1368" s="210"/>
      <c r="BI1368" s="210"/>
      <c r="BJ1368" s="210"/>
      <c r="BK1368" s="210"/>
      <c r="BL1368" s="210"/>
      <c r="BM1368" s="210"/>
      <c r="BN1368" s="210"/>
      <c r="BO1368" s="210"/>
      <c r="BP1368" s="210"/>
      <c r="BQ1368" s="210"/>
      <c r="BR1368" s="210"/>
      <c r="BS1368" s="210"/>
      <c r="BT1368" s="210"/>
      <c r="BU1368" s="210"/>
      <c r="BV1368" s="210"/>
      <c r="BW1368" s="210"/>
      <c r="BX1368" s="210"/>
      <c r="BY1368" s="210"/>
      <c r="BZ1368" s="210"/>
      <c r="CA1368" s="210"/>
      <c r="CB1368" s="210"/>
      <c r="CC1368" s="210"/>
      <c r="CD1368" s="210"/>
      <c r="CE1368" s="210"/>
      <c r="CF1368" s="210"/>
      <c r="CG1368" s="210"/>
      <c r="CH1368" s="210"/>
      <c r="CI1368" s="210"/>
      <c r="CJ1368" s="210"/>
      <c r="CK1368" s="210"/>
    </row>
    <row r="1369">
      <c r="A1369" s="220"/>
      <c r="F1369" s="190"/>
      <c r="G1369" s="190"/>
      <c r="L1369" s="220"/>
      <c r="M1369" s="220"/>
      <c r="O1369" s="210"/>
      <c r="P1369" s="210"/>
      <c r="Q1369" s="210"/>
      <c r="R1369" s="210"/>
      <c r="S1369" s="210"/>
      <c r="T1369" s="210"/>
      <c r="U1369" s="210"/>
      <c r="V1369" s="210"/>
      <c r="W1369" s="210"/>
      <c r="X1369" s="210"/>
      <c r="Y1369" s="210"/>
      <c r="Z1369" s="210"/>
      <c r="AA1369" s="210"/>
      <c r="AB1369" s="210"/>
      <c r="AC1369" s="210"/>
      <c r="AD1369" s="210"/>
      <c r="AE1369" s="210"/>
      <c r="AF1369" s="210"/>
      <c r="AG1369" s="210"/>
      <c r="AH1369" s="210"/>
      <c r="AI1369" s="210"/>
      <c r="AJ1369" s="210"/>
      <c r="AK1369" s="210"/>
      <c r="AL1369" s="210"/>
      <c r="AM1369" s="214"/>
      <c r="AN1369" s="210"/>
      <c r="AO1369" s="210"/>
      <c r="AP1369" s="210"/>
      <c r="AQ1369" s="210"/>
      <c r="AR1369" s="210"/>
      <c r="AS1369" s="210"/>
      <c r="AT1369" s="210"/>
      <c r="AU1369" s="210"/>
      <c r="AV1369" s="210"/>
      <c r="AW1369" s="210"/>
      <c r="AX1369" s="210"/>
      <c r="AY1369" s="210"/>
      <c r="AZ1369" s="210"/>
      <c r="BA1369" s="210"/>
      <c r="BB1369" s="210"/>
      <c r="BC1369" s="210"/>
      <c r="BD1369" s="210"/>
      <c r="BE1369" s="210"/>
      <c r="BF1369" s="210"/>
      <c r="BG1369" s="210"/>
      <c r="BH1369" s="210"/>
      <c r="BI1369" s="210"/>
      <c r="BJ1369" s="210"/>
      <c r="BK1369" s="210"/>
      <c r="BL1369" s="210"/>
      <c r="BM1369" s="210"/>
      <c r="BN1369" s="210"/>
      <c r="BO1369" s="210"/>
      <c r="BP1369" s="210"/>
      <c r="BQ1369" s="210"/>
      <c r="BR1369" s="210"/>
      <c r="BS1369" s="210"/>
      <c r="BT1369" s="210"/>
      <c r="BU1369" s="210"/>
      <c r="BV1369" s="210"/>
      <c r="BW1369" s="210"/>
      <c r="BX1369" s="210"/>
      <c r="BY1369" s="210"/>
      <c r="BZ1369" s="210"/>
      <c r="CA1369" s="210"/>
      <c r="CB1369" s="210"/>
      <c r="CC1369" s="210"/>
      <c r="CD1369" s="210"/>
      <c r="CE1369" s="210"/>
      <c r="CF1369" s="210"/>
      <c r="CG1369" s="210"/>
      <c r="CH1369" s="210"/>
      <c r="CI1369" s="210"/>
      <c r="CJ1369" s="210"/>
      <c r="CK1369" s="210"/>
    </row>
    <row r="1370">
      <c r="A1370" s="220"/>
      <c r="F1370" s="190"/>
      <c r="G1370" s="190"/>
      <c r="L1370" s="220"/>
      <c r="M1370" s="220"/>
      <c r="O1370" s="210"/>
      <c r="P1370" s="210"/>
      <c r="Q1370" s="210"/>
      <c r="R1370" s="210"/>
      <c r="S1370" s="210"/>
      <c r="T1370" s="210"/>
      <c r="U1370" s="210"/>
      <c r="V1370" s="210"/>
      <c r="W1370" s="210"/>
      <c r="X1370" s="210"/>
      <c r="Y1370" s="210"/>
      <c r="Z1370" s="210"/>
      <c r="AA1370" s="210"/>
      <c r="AB1370" s="210"/>
      <c r="AC1370" s="210"/>
      <c r="AD1370" s="210"/>
      <c r="AE1370" s="210"/>
      <c r="AF1370" s="210"/>
      <c r="AG1370" s="210"/>
      <c r="AH1370" s="210"/>
      <c r="AI1370" s="210"/>
      <c r="AJ1370" s="210"/>
      <c r="AK1370" s="210"/>
      <c r="AL1370" s="210"/>
      <c r="AM1370" s="214"/>
      <c r="AN1370" s="210"/>
      <c r="AO1370" s="210"/>
      <c r="AP1370" s="210"/>
      <c r="AQ1370" s="210"/>
      <c r="AR1370" s="210"/>
      <c r="AS1370" s="210"/>
      <c r="AT1370" s="210"/>
      <c r="AU1370" s="210"/>
      <c r="AV1370" s="210"/>
      <c r="AW1370" s="210"/>
      <c r="AX1370" s="210"/>
      <c r="AY1370" s="210"/>
      <c r="AZ1370" s="210"/>
      <c r="BA1370" s="210"/>
      <c r="BB1370" s="210"/>
      <c r="BC1370" s="210"/>
      <c r="BD1370" s="210"/>
      <c r="BE1370" s="210"/>
      <c r="BF1370" s="210"/>
      <c r="BG1370" s="210"/>
      <c r="BH1370" s="210"/>
      <c r="BI1370" s="210"/>
      <c r="BJ1370" s="210"/>
      <c r="BK1370" s="210"/>
      <c r="BL1370" s="210"/>
      <c r="BM1370" s="210"/>
      <c r="BN1370" s="210"/>
      <c r="BO1370" s="210"/>
      <c r="BP1370" s="210"/>
      <c r="BQ1370" s="210"/>
      <c r="BR1370" s="210"/>
      <c r="BS1370" s="210"/>
      <c r="BT1370" s="210"/>
      <c r="BU1370" s="210"/>
      <c r="BV1370" s="210"/>
      <c r="BW1370" s="210"/>
      <c r="BX1370" s="210"/>
      <c r="BY1370" s="210"/>
      <c r="BZ1370" s="210"/>
      <c r="CA1370" s="210"/>
      <c r="CB1370" s="210"/>
      <c r="CC1370" s="210"/>
      <c r="CD1370" s="210"/>
      <c r="CE1370" s="210"/>
      <c r="CF1370" s="210"/>
      <c r="CG1370" s="210"/>
      <c r="CH1370" s="210"/>
      <c r="CI1370" s="210"/>
      <c r="CJ1370" s="210"/>
      <c r="CK1370" s="210"/>
    </row>
    <row r="1371">
      <c r="A1371" s="220"/>
      <c r="F1371" s="190"/>
      <c r="G1371" s="190"/>
      <c r="L1371" s="220"/>
      <c r="M1371" s="220"/>
      <c r="O1371" s="210"/>
      <c r="P1371" s="210"/>
      <c r="Q1371" s="210"/>
      <c r="R1371" s="210"/>
      <c r="S1371" s="210"/>
      <c r="T1371" s="210"/>
      <c r="U1371" s="210"/>
      <c r="V1371" s="210"/>
      <c r="W1371" s="210"/>
      <c r="X1371" s="210"/>
      <c r="Y1371" s="210"/>
      <c r="Z1371" s="210"/>
      <c r="AA1371" s="210"/>
      <c r="AB1371" s="210"/>
      <c r="AC1371" s="210"/>
      <c r="AD1371" s="210"/>
      <c r="AE1371" s="210"/>
      <c r="AF1371" s="210"/>
      <c r="AG1371" s="210"/>
      <c r="AH1371" s="210"/>
      <c r="AI1371" s="210"/>
      <c r="AJ1371" s="210"/>
      <c r="AK1371" s="210"/>
      <c r="AL1371" s="210"/>
      <c r="AM1371" s="214"/>
      <c r="AN1371" s="210"/>
      <c r="AO1371" s="210"/>
      <c r="AP1371" s="210"/>
      <c r="AQ1371" s="210"/>
      <c r="AR1371" s="210"/>
      <c r="AS1371" s="210"/>
      <c r="AT1371" s="210"/>
      <c r="AU1371" s="210"/>
      <c r="AV1371" s="210"/>
      <c r="AW1371" s="210"/>
      <c r="AX1371" s="210"/>
      <c r="AY1371" s="210"/>
      <c r="AZ1371" s="210"/>
      <c r="BA1371" s="210"/>
      <c r="BB1371" s="210"/>
      <c r="BC1371" s="210"/>
      <c r="BD1371" s="210"/>
      <c r="BE1371" s="210"/>
      <c r="BF1371" s="210"/>
      <c r="BG1371" s="210"/>
      <c r="BH1371" s="210"/>
      <c r="BI1371" s="210"/>
      <c r="BJ1371" s="210"/>
      <c r="BK1371" s="210"/>
      <c r="BL1371" s="210"/>
      <c r="BM1371" s="210"/>
      <c r="BN1371" s="210"/>
      <c r="BO1371" s="210"/>
      <c r="BP1371" s="210"/>
      <c r="BQ1371" s="210"/>
      <c r="BR1371" s="210"/>
      <c r="BS1371" s="210"/>
      <c r="BT1371" s="210"/>
      <c r="BU1371" s="210"/>
      <c r="BV1371" s="210"/>
      <c r="BW1371" s="210"/>
      <c r="BX1371" s="210"/>
      <c r="BY1371" s="210"/>
      <c r="BZ1371" s="210"/>
      <c r="CA1371" s="210"/>
      <c r="CB1371" s="210"/>
      <c r="CC1371" s="210"/>
      <c r="CD1371" s="210"/>
      <c r="CE1371" s="210"/>
      <c r="CF1371" s="210"/>
      <c r="CG1371" s="210"/>
      <c r="CH1371" s="210"/>
      <c r="CI1371" s="210"/>
      <c r="CJ1371" s="210"/>
      <c r="CK1371" s="210"/>
    </row>
    <row r="1372">
      <c r="A1372" s="220"/>
      <c r="F1372" s="190"/>
      <c r="G1372" s="190"/>
      <c r="L1372" s="220"/>
      <c r="M1372" s="220"/>
      <c r="O1372" s="210"/>
      <c r="P1372" s="210"/>
      <c r="Q1372" s="210"/>
      <c r="R1372" s="210"/>
      <c r="S1372" s="210"/>
      <c r="T1372" s="210"/>
      <c r="U1372" s="210"/>
      <c r="V1372" s="210"/>
      <c r="W1372" s="210"/>
      <c r="X1372" s="210"/>
      <c r="Y1372" s="210"/>
      <c r="Z1372" s="210"/>
      <c r="AA1372" s="210"/>
      <c r="AB1372" s="210"/>
      <c r="AC1372" s="210"/>
      <c r="AD1372" s="210"/>
      <c r="AE1372" s="210"/>
      <c r="AF1372" s="210"/>
      <c r="AG1372" s="210"/>
      <c r="AH1372" s="210"/>
      <c r="AI1372" s="210"/>
      <c r="AJ1372" s="210"/>
      <c r="AK1372" s="210"/>
      <c r="AL1372" s="210"/>
      <c r="AM1372" s="214"/>
      <c r="AN1372" s="210"/>
      <c r="AO1372" s="210"/>
      <c r="AP1372" s="210"/>
      <c r="AQ1372" s="210"/>
      <c r="AR1372" s="210"/>
      <c r="AS1372" s="210"/>
      <c r="AT1372" s="210"/>
      <c r="AU1372" s="210"/>
      <c r="AV1372" s="210"/>
      <c r="AW1372" s="210"/>
      <c r="AX1372" s="210"/>
      <c r="AY1372" s="210"/>
      <c r="AZ1372" s="210"/>
      <c r="BA1372" s="210"/>
      <c r="BB1372" s="210"/>
      <c r="BC1372" s="210"/>
      <c r="BD1372" s="210"/>
      <c r="BE1372" s="210"/>
      <c r="BF1372" s="210"/>
      <c r="BG1372" s="210"/>
      <c r="BH1372" s="210"/>
      <c r="BI1372" s="210"/>
      <c r="BJ1372" s="210"/>
      <c r="BK1372" s="210"/>
      <c r="BL1372" s="210"/>
      <c r="BM1372" s="210"/>
      <c r="BN1372" s="210"/>
      <c r="BO1372" s="210"/>
      <c r="BP1372" s="210"/>
      <c r="BQ1372" s="210"/>
      <c r="BR1372" s="210"/>
      <c r="BS1372" s="210"/>
      <c r="BT1372" s="210"/>
      <c r="BU1372" s="210"/>
      <c r="BV1372" s="210"/>
      <c r="BW1372" s="210"/>
      <c r="BX1372" s="210"/>
      <c r="BY1372" s="210"/>
      <c r="BZ1372" s="210"/>
      <c r="CA1372" s="210"/>
      <c r="CB1372" s="210"/>
      <c r="CC1372" s="210"/>
      <c r="CD1372" s="210"/>
      <c r="CE1372" s="210"/>
      <c r="CF1372" s="210"/>
      <c r="CG1372" s="210"/>
      <c r="CH1372" s="210"/>
      <c r="CI1372" s="210"/>
      <c r="CJ1372" s="210"/>
      <c r="CK1372" s="210"/>
    </row>
    <row r="1373">
      <c r="A1373" s="220"/>
      <c r="F1373" s="190"/>
      <c r="G1373" s="190"/>
      <c r="L1373" s="220"/>
      <c r="M1373" s="220"/>
      <c r="O1373" s="210"/>
      <c r="P1373" s="210"/>
      <c r="Q1373" s="210"/>
      <c r="R1373" s="210"/>
      <c r="S1373" s="210"/>
      <c r="T1373" s="210"/>
      <c r="U1373" s="210"/>
      <c r="V1373" s="210"/>
      <c r="W1373" s="210"/>
      <c r="X1373" s="210"/>
      <c r="Y1373" s="210"/>
      <c r="Z1373" s="210"/>
      <c r="AA1373" s="210"/>
      <c r="AB1373" s="210"/>
      <c r="AC1373" s="210"/>
      <c r="AD1373" s="210"/>
      <c r="AE1373" s="210"/>
      <c r="AF1373" s="210"/>
      <c r="AG1373" s="210"/>
      <c r="AH1373" s="210"/>
      <c r="AI1373" s="210"/>
      <c r="AJ1373" s="210"/>
      <c r="AK1373" s="210"/>
      <c r="AL1373" s="210"/>
      <c r="AM1373" s="214"/>
      <c r="AN1373" s="210"/>
      <c r="AO1373" s="210"/>
      <c r="AP1373" s="210"/>
      <c r="AQ1373" s="210"/>
      <c r="AR1373" s="210"/>
      <c r="AS1373" s="210"/>
      <c r="AT1373" s="210"/>
      <c r="AU1373" s="210"/>
      <c r="AV1373" s="210"/>
      <c r="AW1373" s="210"/>
      <c r="AX1373" s="210"/>
      <c r="AY1373" s="210"/>
      <c r="AZ1373" s="210"/>
      <c r="BA1373" s="210"/>
      <c r="BB1373" s="210"/>
      <c r="BC1373" s="210"/>
      <c r="BD1373" s="210"/>
      <c r="BE1373" s="210"/>
      <c r="BF1373" s="210"/>
      <c r="BG1373" s="210"/>
      <c r="BH1373" s="210"/>
      <c r="BI1373" s="210"/>
      <c r="BJ1373" s="210"/>
      <c r="BK1373" s="210"/>
      <c r="BL1373" s="210"/>
      <c r="BM1373" s="210"/>
      <c r="BN1373" s="210"/>
      <c r="BO1373" s="210"/>
      <c r="BP1373" s="210"/>
      <c r="BQ1373" s="210"/>
      <c r="BR1373" s="210"/>
      <c r="BS1373" s="210"/>
      <c r="BT1373" s="210"/>
      <c r="BU1373" s="210"/>
      <c r="BV1373" s="210"/>
      <c r="BW1373" s="210"/>
      <c r="BX1373" s="210"/>
      <c r="BY1373" s="210"/>
      <c r="BZ1373" s="210"/>
      <c r="CA1373" s="210"/>
      <c r="CB1373" s="210"/>
      <c r="CC1373" s="210"/>
      <c r="CD1373" s="210"/>
      <c r="CE1373" s="210"/>
      <c r="CF1373" s="210"/>
      <c r="CG1373" s="210"/>
      <c r="CH1373" s="210"/>
      <c r="CI1373" s="210"/>
      <c r="CJ1373" s="210"/>
      <c r="CK1373" s="210"/>
    </row>
    <row r="1374">
      <c r="A1374" s="220"/>
      <c r="F1374" s="190"/>
      <c r="G1374" s="190"/>
      <c r="L1374" s="220"/>
      <c r="M1374" s="220"/>
      <c r="O1374" s="210"/>
      <c r="P1374" s="210"/>
      <c r="Q1374" s="210"/>
      <c r="R1374" s="210"/>
      <c r="S1374" s="210"/>
      <c r="T1374" s="210"/>
      <c r="U1374" s="210"/>
      <c r="V1374" s="210"/>
      <c r="W1374" s="210"/>
      <c r="X1374" s="210"/>
      <c r="Y1374" s="210"/>
      <c r="Z1374" s="210"/>
      <c r="AA1374" s="210"/>
      <c r="AB1374" s="210"/>
      <c r="AC1374" s="210"/>
      <c r="AD1374" s="210"/>
      <c r="AE1374" s="210"/>
      <c r="AF1374" s="210"/>
      <c r="AG1374" s="210"/>
      <c r="AH1374" s="210"/>
      <c r="AI1374" s="210"/>
      <c r="AJ1374" s="210"/>
      <c r="AK1374" s="210"/>
      <c r="AL1374" s="210"/>
      <c r="AM1374" s="214"/>
      <c r="AN1374" s="210"/>
      <c r="AO1374" s="210"/>
      <c r="AP1374" s="210"/>
      <c r="AQ1374" s="210"/>
      <c r="AR1374" s="210"/>
      <c r="AS1374" s="210"/>
      <c r="AT1374" s="210"/>
      <c r="AU1374" s="210"/>
      <c r="AV1374" s="210"/>
      <c r="AW1374" s="210"/>
      <c r="AX1374" s="210"/>
      <c r="AY1374" s="210"/>
      <c r="AZ1374" s="210"/>
      <c r="BA1374" s="210"/>
      <c r="BB1374" s="210"/>
      <c r="BC1374" s="210"/>
      <c r="BD1374" s="210"/>
      <c r="BE1374" s="210"/>
      <c r="BF1374" s="210"/>
      <c r="BG1374" s="210"/>
      <c r="BH1374" s="210"/>
      <c r="BI1374" s="210"/>
      <c r="BJ1374" s="210"/>
      <c r="BK1374" s="210"/>
      <c r="BL1374" s="210"/>
      <c r="BM1374" s="210"/>
      <c r="BN1374" s="210"/>
      <c r="BO1374" s="210"/>
      <c r="BP1374" s="210"/>
      <c r="BQ1374" s="210"/>
      <c r="BR1374" s="210"/>
      <c r="BS1374" s="210"/>
      <c r="BT1374" s="210"/>
      <c r="BU1374" s="210"/>
      <c r="BV1374" s="210"/>
      <c r="BW1374" s="210"/>
      <c r="BX1374" s="210"/>
      <c r="BY1374" s="210"/>
      <c r="BZ1374" s="210"/>
      <c r="CA1374" s="210"/>
      <c r="CB1374" s="210"/>
      <c r="CC1374" s="210"/>
      <c r="CD1374" s="210"/>
      <c r="CE1374" s="210"/>
      <c r="CF1374" s="210"/>
      <c r="CG1374" s="210"/>
      <c r="CH1374" s="210"/>
      <c r="CI1374" s="210"/>
      <c r="CJ1374" s="210"/>
      <c r="CK1374" s="210"/>
    </row>
    <row r="1375">
      <c r="A1375" s="220"/>
      <c r="F1375" s="190"/>
      <c r="G1375" s="190"/>
      <c r="L1375" s="220"/>
      <c r="M1375" s="220"/>
      <c r="O1375" s="210"/>
      <c r="P1375" s="210"/>
      <c r="Q1375" s="210"/>
      <c r="R1375" s="210"/>
      <c r="S1375" s="210"/>
      <c r="T1375" s="210"/>
      <c r="U1375" s="210"/>
      <c r="V1375" s="210"/>
      <c r="W1375" s="210"/>
      <c r="X1375" s="210"/>
      <c r="Y1375" s="210"/>
      <c r="Z1375" s="210"/>
      <c r="AA1375" s="210"/>
      <c r="AB1375" s="210"/>
      <c r="AC1375" s="210"/>
      <c r="AD1375" s="210"/>
      <c r="AE1375" s="210"/>
      <c r="AF1375" s="210"/>
      <c r="AG1375" s="210"/>
      <c r="AH1375" s="210"/>
      <c r="AI1375" s="210"/>
      <c r="AJ1375" s="210"/>
      <c r="AK1375" s="210"/>
      <c r="AL1375" s="210"/>
      <c r="AM1375" s="214"/>
      <c r="AN1375" s="210"/>
      <c r="AO1375" s="210"/>
      <c r="AP1375" s="210"/>
      <c r="AQ1375" s="210"/>
      <c r="AR1375" s="210"/>
      <c r="AS1375" s="210"/>
      <c r="AT1375" s="210"/>
      <c r="AU1375" s="210"/>
      <c r="AV1375" s="210"/>
      <c r="AW1375" s="210"/>
      <c r="AX1375" s="210"/>
      <c r="AY1375" s="210"/>
      <c r="AZ1375" s="210"/>
      <c r="BA1375" s="210"/>
      <c r="BB1375" s="210"/>
      <c r="BC1375" s="210"/>
      <c r="BD1375" s="210"/>
      <c r="BE1375" s="210"/>
      <c r="BF1375" s="210"/>
      <c r="BG1375" s="210"/>
      <c r="BH1375" s="210"/>
      <c r="BI1375" s="210"/>
      <c r="BJ1375" s="210"/>
      <c r="BK1375" s="210"/>
      <c r="BL1375" s="210"/>
      <c r="BM1375" s="210"/>
      <c r="BN1375" s="210"/>
      <c r="BO1375" s="210"/>
      <c r="BP1375" s="210"/>
      <c r="BQ1375" s="210"/>
      <c r="BR1375" s="210"/>
      <c r="BS1375" s="210"/>
      <c r="BT1375" s="210"/>
      <c r="BU1375" s="210"/>
      <c r="BV1375" s="210"/>
      <c r="BW1375" s="210"/>
      <c r="BX1375" s="210"/>
      <c r="BY1375" s="210"/>
      <c r="BZ1375" s="210"/>
      <c r="CA1375" s="210"/>
      <c r="CB1375" s="210"/>
      <c r="CC1375" s="210"/>
      <c r="CD1375" s="210"/>
      <c r="CE1375" s="210"/>
      <c r="CF1375" s="210"/>
      <c r="CG1375" s="210"/>
      <c r="CH1375" s="210"/>
      <c r="CI1375" s="210"/>
      <c r="CJ1375" s="210"/>
      <c r="CK1375" s="210"/>
    </row>
    <row r="1376">
      <c r="A1376" s="220"/>
      <c r="F1376" s="190"/>
      <c r="G1376" s="190"/>
      <c r="L1376" s="220"/>
      <c r="M1376" s="220"/>
      <c r="O1376" s="210"/>
      <c r="P1376" s="210"/>
      <c r="Q1376" s="210"/>
      <c r="R1376" s="210"/>
      <c r="S1376" s="210"/>
      <c r="T1376" s="210"/>
      <c r="U1376" s="210"/>
      <c r="V1376" s="210"/>
      <c r="W1376" s="210"/>
      <c r="X1376" s="210"/>
      <c r="Y1376" s="210"/>
      <c r="Z1376" s="210"/>
      <c r="AA1376" s="210"/>
      <c r="AB1376" s="210"/>
      <c r="AC1376" s="210"/>
      <c r="AD1376" s="210"/>
      <c r="AE1376" s="210"/>
      <c r="AF1376" s="210"/>
      <c r="AG1376" s="210"/>
      <c r="AH1376" s="210"/>
      <c r="AI1376" s="210"/>
      <c r="AJ1376" s="210"/>
      <c r="AK1376" s="210"/>
      <c r="AL1376" s="210"/>
      <c r="AM1376" s="214"/>
      <c r="AN1376" s="210"/>
      <c r="AO1376" s="210"/>
      <c r="AP1376" s="210"/>
      <c r="AQ1376" s="210"/>
      <c r="AR1376" s="210"/>
      <c r="AS1376" s="210"/>
      <c r="AT1376" s="210"/>
      <c r="AU1376" s="210"/>
      <c r="AV1376" s="210"/>
      <c r="AW1376" s="210"/>
      <c r="AX1376" s="210"/>
      <c r="AY1376" s="210"/>
      <c r="AZ1376" s="210"/>
      <c r="BA1376" s="210"/>
      <c r="BB1376" s="210"/>
      <c r="BC1376" s="210"/>
      <c r="BD1376" s="210"/>
      <c r="BE1376" s="210"/>
      <c r="BF1376" s="210"/>
      <c r="BG1376" s="210"/>
      <c r="BH1376" s="210"/>
      <c r="BI1376" s="210"/>
      <c r="BJ1376" s="210"/>
      <c r="BK1376" s="210"/>
      <c r="BL1376" s="210"/>
      <c r="BM1376" s="210"/>
      <c r="BN1376" s="210"/>
      <c r="BO1376" s="210"/>
      <c r="BP1376" s="210"/>
      <c r="BQ1376" s="210"/>
      <c r="BR1376" s="210"/>
      <c r="BS1376" s="210"/>
      <c r="BT1376" s="210"/>
      <c r="BU1376" s="210"/>
      <c r="BV1376" s="210"/>
      <c r="BW1376" s="210"/>
      <c r="BX1376" s="210"/>
      <c r="BY1376" s="210"/>
      <c r="BZ1376" s="210"/>
      <c r="CA1376" s="210"/>
      <c r="CB1376" s="210"/>
      <c r="CC1376" s="210"/>
      <c r="CD1376" s="210"/>
      <c r="CE1376" s="210"/>
      <c r="CF1376" s="210"/>
      <c r="CG1376" s="210"/>
      <c r="CH1376" s="210"/>
      <c r="CI1376" s="210"/>
      <c r="CJ1376" s="210"/>
      <c r="CK1376" s="210"/>
    </row>
    <row r="1377">
      <c r="A1377" s="220"/>
      <c r="F1377" s="190"/>
      <c r="G1377" s="190"/>
      <c r="L1377" s="220"/>
      <c r="M1377" s="220"/>
      <c r="O1377" s="210"/>
      <c r="P1377" s="210"/>
      <c r="Q1377" s="210"/>
      <c r="R1377" s="210"/>
      <c r="S1377" s="210"/>
      <c r="T1377" s="210"/>
      <c r="U1377" s="210"/>
      <c r="V1377" s="210"/>
      <c r="W1377" s="210"/>
      <c r="X1377" s="210"/>
      <c r="Y1377" s="210"/>
      <c r="Z1377" s="210"/>
      <c r="AA1377" s="210"/>
      <c r="AB1377" s="210"/>
      <c r="AC1377" s="210"/>
      <c r="AD1377" s="210"/>
      <c r="AE1377" s="210"/>
      <c r="AF1377" s="210"/>
      <c r="AG1377" s="210"/>
      <c r="AH1377" s="210"/>
      <c r="AI1377" s="210"/>
      <c r="AJ1377" s="210"/>
      <c r="AK1377" s="210"/>
      <c r="AL1377" s="210"/>
      <c r="AM1377" s="214"/>
      <c r="AN1377" s="210"/>
      <c r="AO1377" s="210"/>
      <c r="AP1377" s="210"/>
      <c r="AQ1377" s="210"/>
      <c r="AR1377" s="210"/>
      <c r="AS1377" s="210"/>
      <c r="AT1377" s="210"/>
      <c r="AU1377" s="210"/>
      <c r="AV1377" s="210"/>
      <c r="AW1377" s="210"/>
      <c r="AX1377" s="210"/>
      <c r="AY1377" s="210"/>
      <c r="AZ1377" s="210"/>
      <c r="BA1377" s="210"/>
      <c r="BB1377" s="210"/>
      <c r="BC1377" s="210"/>
      <c r="BD1377" s="210"/>
      <c r="BE1377" s="210"/>
      <c r="BF1377" s="210"/>
      <c r="BG1377" s="210"/>
      <c r="BH1377" s="210"/>
      <c r="BI1377" s="210"/>
      <c r="BJ1377" s="210"/>
      <c r="BK1377" s="210"/>
      <c r="BL1377" s="210"/>
      <c r="BM1377" s="210"/>
      <c r="BN1377" s="210"/>
      <c r="BO1377" s="210"/>
      <c r="BP1377" s="210"/>
      <c r="BQ1377" s="210"/>
      <c r="BR1377" s="210"/>
      <c r="BS1377" s="210"/>
      <c r="BT1377" s="210"/>
      <c r="BU1377" s="210"/>
      <c r="BV1377" s="210"/>
      <c r="BW1377" s="210"/>
      <c r="BX1377" s="210"/>
      <c r="BY1377" s="210"/>
      <c r="BZ1377" s="210"/>
      <c r="CA1377" s="210"/>
      <c r="CB1377" s="210"/>
      <c r="CC1377" s="210"/>
      <c r="CD1377" s="210"/>
      <c r="CE1377" s="210"/>
      <c r="CF1377" s="210"/>
      <c r="CG1377" s="210"/>
      <c r="CH1377" s="210"/>
      <c r="CI1377" s="210"/>
      <c r="CJ1377" s="210"/>
      <c r="CK1377" s="210"/>
    </row>
    <row r="1378">
      <c r="A1378" s="220"/>
      <c r="F1378" s="190"/>
      <c r="G1378" s="190"/>
      <c r="L1378" s="220"/>
      <c r="M1378" s="220"/>
      <c r="O1378" s="210"/>
      <c r="P1378" s="210"/>
      <c r="Q1378" s="210"/>
      <c r="R1378" s="210"/>
      <c r="S1378" s="210"/>
      <c r="T1378" s="210"/>
      <c r="U1378" s="210"/>
      <c r="V1378" s="210"/>
      <c r="W1378" s="210"/>
      <c r="X1378" s="210"/>
      <c r="Y1378" s="210"/>
      <c r="Z1378" s="210"/>
      <c r="AA1378" s="210"/>
      <c r="AB1378" s="210"/>
      <c r="AC1378" s="210"/>
      <c r="AD1378" s="210"/>
      <c r="AE1378" s="210"/>
      <c r="AF1378" s="210"/>
      <c r="AG1378" s="210"/>
      <c r="AH1378" s="210"/>
      <c r="AI1378" s="210"/>
      <c r="AJ1378" s="210"/>
      <c r="AK1378" s="210"/>
      <c r="AL1378" s="210"/>
      <c r="AM1378" s="214"/>
      <c r="AN1378" s="210"/>
      <c r="AO1378" s="210"/>
      <c r="AP1378" s="210"/>
      <c r="AQ1378" s="210"/>
      <c r="AR1378" s="210"/>
      <c r="AS1378" s="210"/>
      <c r="AT1378" s="210"/>
      <c r="AU1378" s="210"/>
      <c r="AV1378" s="210"/>
      <c r="AW1378" s="210"/>
      <c r="AX1378" s="210"/>
      <c r="AY1378" s="210"/>
      <c r="AZ1378" s="210"/>
      <c r="BA1378" s="210"/>
      <c r="BB1378" s="210"/>
      <c r="BC1378" s="210"/>
      <c r="BD1378" s="210"/>
      <c r="BE1378" s="210"/>
      <c r="BF1378" s="210"/>
      <c r="BG1378" s="210"/>
      <c r="BH1378" s="210"/>
      <c r="BI1378" s="210"/>
      <c r="BJ1378" s="210"/>
      <c r="BK1378" s="210"/>
      <c r="BL1378" s="210"/>
      <c r="BM1378" s="210"/>
      <c r="BN1378" s="210"/>
      <c r="BO1378" s="210"/>
      <c r="BP1378" s="210"/>
      <c r="BQ1378" s="210"/>
      <c r="BR1378" s="210"/>
      <c r="BS1378" s="210"/>
      <c r="BT1378" s="210"/>
      <c r="BU1378" s="210"/>
      <c r="BV1378" s="210"/>
      <c r="BW1378" s="210"/>
      <c r="BX1378" s="210"/>
      <c r="BY1378" s="210"/>
      <c r="BZ1378" s="210"/>
      <c r="CA1378" s="210"/>
      <c r="CB1378" s="210"/>
      <c r="CC1378" s="210"/>
      <c r="CD1378" s="210"/>
      <c r="CE1378" s="210"/>
      <c r="CF1378" s="210"/>
      <c r="CG1378" s="210"/>
      <c r="CH1378" s="210"/>
      <c r="CI1378" s="210"/>
      <c r="CJ1378" s="210"/>
      <c r="CK1378" s="210"/>
    </row>
    <row r="1379">
      <c r="A1379" s="220"/>
      <c r="F1379" s="190"/>
      <c r="G1379" s="190"/>
      <c r="L1379" s="220"/>
      <c r="M1379" s="220"/>
      <c r="O1379" s="210"/>
      <c r="P1379" s="210"/>
      <c r="Q1379" s="210"/>
      <c r="R1379" s="210"/>
      <c r="S1379" s="210"/>
      <c r="T1379" s="210"/>
      <c r="U1379" s="210"/>
      <c r="V1379" s="210"/>
      <c r="W1379" s="210"/>
      <c r="X1379" s="210"/>
      <c r="Y1379" s="210"/>
      <c r="Z1379" s="210"/>
      <c r="AA1379" s="210"/>
      <c r="AB1379" s="210"/>
      <c r="AC1379" s="210"/>
      <c r="AD1379" s="210"/>
      <c r="AE1379" s="210"/>
      <c r="AF1379" s="210"/>
      <c r="AG1379" s="210"/>
      <c r="AH1379" s="210"/>
      <c r="AI1379" s="210"/>
      <c r="AJ1379" s="210"/>
      <c r="AK1379" s="210"/>
      <c r="AL1379" s="210"/>
      <c r="AM1379" s="214"/>
      <c r="AN1379" s="210"/>
      <c r="AO1379" s="210"/>
      <c r="AP1379" s="210"/>
      <c r="AQ1379" s="210"/>
      <c r="AR1379" s="210"/>
      <c r="AS1379" s="210"/>
      <c r="AT1379" s="210"/>
      <c r="AU1379" s="210"/>
      <c r="AV1379" s="210"/>
      <c r="AW1379" s="210"/>
      <c r="AX1379" s="210"/>
      <c r="AY1379" s="210"/>
      <c r="AZ1379" s="210"/>
      <c r="BA1379" s="210"/>
      <c r="BB1379" s="210"/>
      <c r="BC1379" s="210"/>
      <c r="BD1379" s="210"/>
      <c r="BE1379" s="210"/>
      <c r="BF1379" s="210"/>
      <c r="BG1379" s="210"/>
      <c r="BH1379" s="210"/>
      <c r="BI1379" s="210"/>
      <c r="BJ1379" s="210"/>
      <c r="BK1379" s="210"/>
      <c r="BL1379" s="210"/>
      <c r="BM1379" s="210"/>
      <c r="BN1379" s="210"/>
      <c r="BO1379" s="210"/>
      <c r="BP1379" s="210"/>
      <c r="BQ1379" s="210"/>
      <c r="BR1379" s="210"/>
      <c r="BS1379" s="210"/>
      <c r="BT1379" s="210"/>
      <c r="BU1379" s="210"/>
      <c r="BV1379" s="210"/>
      <c r="BW1379" s="210"/>
      <c r="BX1379" s="210"/>
      <c r="BY1379" s="210"/>
      <c r="BZ1379" s="210"/>
      <c r="CA1379" s="210"/>
      <c r="CB1379" s="210"/>
      <c r="CC1379" s="210"/>
      <c r="CD1379" s="210"/>
      <c r="CE1379" s="210"/>
      <c r="CF1379" s="210"/>
      <c r="CG1379" s="210"/>
      <c r="CH1379" s="210"/>
      <c r="CI1379" s="210"/>
      <c r="CJ1379" s="210"/>
      <c r="CK1379" s="210"/>
    </row>
    <row r="1380">
      <c r="A1380" s="220"/>
      <c r="F1380" s="190"/>
      <c r="G1380" s="190"/>
      <c r="L1380" s="220"/>
      <c r="M1380" s="220"/>
      <c r="O1380" s="210"/>
      <c r="P1380" s="210"/>
      <c r="Q1380" s="210"/>
      <c r="R1380" s="210"/>
      <c r="S1380" s="210"/>
      <c r="T1380" s="210"/>
      <c r="U1380" s="210"/>
      <c r="V1380" s="210"/>
      <c r="W1380" s="210"/>
      <c r="X1380" s="210"/>
      <c r="Y1380" s="210"/>
      <c r="Z1380" s="210"/>
      <c r="AA1380" s="210"/>
      <c r="AB1380" s="210"/>
      <c r="AC1380" s="210"/>
      <c r="AD1380" s="210"/>
      <c r="AE1380" s="210"/>
      <c r="AF1380" s="210"/>
      <c r="AG1380" s="210"/>
      <c r="AH1380" s="210"/>
      <c r="AI1380" s="210"/>
      <c r="AJ1380" s="210"/>
      <c r="AK1380" s="210"/>
      <c r="AL1380" s="210"/>
      <c r="AM1380" s="214"/>
      <c r="AN1380" s="210"/>
      <c r="AO1380" s="210"/>
      <c r="AP1380" s="210"/>
      <c r="AQ1380" s="210"/>
      <c r="AR1380" s="210"/>
      <c r="AS1380" s="210"/>
      <c r="AT1380" s="210"/>
      <c r="AU1380" s="210"/>
      <c r="AV1380" s="210"/>
      <c r="AW1380" s="210"/>
      <c r="AX1380" s="210"/>
      <c r="AY1380" s="210"/>
      <c r="AZ1380" s="210"/>
      <c r="BA1380" s="210"/>
      <c r="BB1380" s="210"/>
      <c r="BC1380" s="210"/>
      <c r="BD1380" s="210"/>
      <c r="BE1380" s="210"/>
      <c r="BF1380" s="210"/>
      <c r="BG1380" s="210"/>
      <c r="BH1380" s="210"/>
      <c r="BI1380" s="210"/>
      <c r="BJ1380" s="210"/>
      <c r="BK1380" s="210"/>
      <c r="BL1380" s="210"/>
      <c r="BM1380" s="210"/>
      <c r="BN1380" s="210"/>
      <c r="BO1380" s="210"/>
      <c r="BP1380" s="210"/>
      <c r="BQ1380" s="210"/>
      <c r="BR1380" s="210"/>
      <c r="BS1380" s="210"/>
      <c r="BT1380" s="210"/>
      <c r="BU1380" s="210"/>
      <c r="BV1380" s="210"/>
      <c r="BW1380" s="210"/>
      <c r="BX1380" s="210"/>
      <c r="BY1380" s="210"/>
      <c r="BZ1380" s="210"/>
      <c r="CA1380" s="210"/>
      <c r="CB1380" s="210"/>
      <c r="CC1380" s="210"/>
      <c r="CD1380" s="210"/>
      <c r="CE1380" s="210"/>
      <c r="CF1380" s="210"/>
      <c r="CG1380" s="210"/>
      <c r="CH1380" s="210"/>
      <c r="CI1380" s="210"/>
      <c r="CJ1380" s="210"/>
      <c r="CK1380" s="210"/>
    </row>
    <row r="1381">
      <c r="A1381" s="220"/>
      <c r="F1381" s="190"/>
      <c r="G1381" s="190"/>
      <c r="L1381" s="220"/>
      <c r="M1381" s="220"/>
      <c r="O1381" s="210"/>
      <c r="P1381" s="210"/>
      <c r="Q1381" s="210"/>
      <c r="R1381" s="210"/>
      <c r="S1381" s="210"/>
      <c r="T1381" s="210"/>
      <c r="U1381" s="210"/>
      <c r="V1381" s="210"/>
      <c r="W1381" s="210"/>
      <c r="X1381" s="210"/>
      <c r="Y1381" s="210"/>
      <c r="Z1381" s="210"/>
      <c r="AA1381" s="210"/>
      <c r="AB1381" s="210"/>
      <c r="AC1381" s="210"/>
      <c r="AD1381" s="210"/>
      <c r="AE1381" s="210"/>
      <c r="AF1381" s="210"/>
      <c r="AG1381" s="210"/>
      <c r="AH1381" s="210"/>
      <c r="AI1381" s="210"/>
      <c r="AJ1381" s="210"/>
      <c r="AK1381" s="210"/>
      <c r="AL1381" s="210"/>
      <c r="AM1381" s="214"/>
      <c r="AN1381" s="210"/>
      <c r="AO1381" s="210"/>
      <c r="AP1381" s="210"/>
      <c r="AQ1381" s="210"/>
      <c r="AR1381" s="210"/>
      <c r="AS1381" s="210"/>
      <c r="AT1381" s="210"/>
      <c r="AU1381" s="210"/>
      <c r="AV1381" s="210"/>
      <c r="AW1381" s="210"/>
      <c r="AX1381" s="210"/>
      <c r="AY1381" s="210"/>
      <c r="AZ1381" s="210"/>
      <c r="BA1381" s="210"/>
      <c r="BB1381" s="210"/>
      <c r="BC1381" s="210"/>
      <c r="BD1381" s="210"/>
      <c r="BE1381" s="210"/>
      <c r="BF1381" s="210"/>
      <c r="BG1381" s="210"/>
      <c r="BH1381" s="210"/>
      <c r="BI1381" s="210"/>
      <c r="BJ1381" s="210"/>
      <c r="BK1381" s="210"/>
      <c r="BL1381" s="210"/>
      <c r="BM1381" s="210"/>
      <c r="BN1381" s="210"/>
      <c r="BO1381" s="210"/>
      <c r="BP1381" s="210"/>
      <c r="BQ1381" s="210"/>
      <c r="BR1381" s="210"/>
      <c r="BS1381" s="210"/>
      <c r="BT1381" s="210"/>
      <c r="BU1381" s="210"/>
      <c r="BV1381" s="210"/>
      <c r="BW1381" s="210"/>
      <c r="BX1381" s="210"/>
      <c r="BY1381" s="210"/>
      <c r="BZ1381" s="210"/>
      <c r="CA1381" s="210"/>
      <c r="CB1381" s="210"/>
      <c r="CC1381" s="210"/>
      <c r="CD1381" s="210"/>
      <c r="CE1381" s="210"/>
      <c r="CF1381" s="210"/>
      <c r="CG1381" s="210"/>
      <c r="CH1381" s="210"/>
      <c r="CI1381" s="210"/>
      <c r="CJ1381" s="210"/>
      <c r="CK1381" s="210"/>
    </row>
    <row r="1382">
      <c r="A1382" s="220"/>
      <c r="F1382" s="190"/>
      <c r="G1382" s="190"/>
      <c r="L1382" s="220"/>
      <c r="M1382" s="220"/>
      <c r="O1382" s="210"/>
      <c r="P1382" s="210"/>
      <c r="Q1382" s="210"/>
      <c r="R1382" s="210"/>
      <c r="S1382" s="210"/>
      <c r="T1382" s="210"/>
      <c r="U1382" s="210"/>
      <c r="V1382" s="210"/>
      <c r="W1382" s="210"/>
      <c r="X1382" s="210"/>
      <c r="Y1382" s="210"/>
      <c r="Z1382" s="210"/>
      <c r="AA1382" s="210"/>
      <c r="AB1382" s="210"/>
      <c r="AC1382" s="210"/>
      <c r="AD1382" s="210"/>
      <c r="AE1382" s="210"/>
      <c r="AF1382" s="210"/>
      <c r="AG1382" s="210"/>
      <c r="AH1382" s="210"/>
      <c r="AI1382" s="210"/>
      <c r="AJ1382" s="210"/>
      <c r="AK1382" s="210"/>
      <c r="AL1382" s="210"/>
      <c r="AM1382" s="214"/>
      <c r="AN1382" s="210"/>
      <c r="AO1382" s="210"/>
      <c r="AP1382" s="210"/>
      <c r="AQ1382" s="210"/>
      <c r="AR1382" s="210"/>
      <c r="AS1382" s="210"/>
      <c r="AT1382" s="210"/>
      <c r="AU1382" s="210"/>
      <c r="AV1382" s="210"/>
      <c r="AW1382" s="210"/>
      <c r="AX1382" s="210"/>
      <c r="AY1382" s="210"/>
      <c r="AZ1382" s="210"/>
      <c r="BA1382" s="210"/>
      <c r="BB1382" s="210"/>
      <c r="BC1382" s="210"/>
      <c r="BD1382" s="210"/>
      <c r="BE1382" s="210"/>
      <c r="BF1382" s="210"/>
      <c r="BG1382" s="210"/>
      <c r="BH1382" s="210"/>
      <c r="BI1382" s="210"/>
      <c r="BJ1382" s="210"/>
      <c r="BK1382" s="210"/>
      <c r="BL1382" s="210"/>
      <c r="BM1382" s="210"/>
      <c r="BN1382" s="210"/>
      <c r="BO1382" s="210"/>
      <c r="BP1382" s="210"/>
      <c r="BQ1382" s="210"/>
      <c r="BR1382" s="210"/>
      <c r="BS1382" s="210"/>
      <c r="BT1382" s="210"/>
      <c r="BU1382" s="210"/>
      <c r="BV1382" s="210"/>
      <c r="BW1382" s="210"/>
      <c r="BX1382" s="210"/>
      <c r="BY1382" s="210"/>
      <c r="BZ1382" s="210"/>
      <c r="CA1382" s="210"/>
      <c r="CB1382" s="210"/>
      <c r="CC1382" s="210"/>
      <c r="CD1382" s="210"/>
      <c r="CE1382" s="210"/>
      <c r="CF1382" s="210"/>
      <c r="CG1382" s="210"/>
      <c r="CH1382" s="210"/>
      <c r="CI1382" s="210"/>
      <c r="CJ1382" s="210"/>
      <c r="CK1382" s="210"/>
    </row>
    <row r="1383">
      <c r="A1383" s="220"/>
      <c r="F1383" s="190"/>
      <c r="G1383" s="190"/>
      <c r="L1383" s="220"/>
      <c r="M1383" s="220"/>
      <c r="O1383" s="210"/>
      <c r="P1383" s="210"/>
      <c r="Q1383" s="210"/>
      <c r="R1383" s="210"/>
      <c r="S1383" s="210"/>
      <c r="T1383" s="210"/>
      <c r="U1383" s="210"/>
      <c r="V1383" s="210"/>
      <c r="W1383" s="210"/>
      <c r="X1383" s="210"/>
      <c r="Y1383" s="210"/>
      <c r="Z1383" s="210"/>
      <c r="AA1383" s="210"/>
      <c r="AB1383" s="210"/>
      <c r="AC1383" s="210"/>
      <c r="AD1383" s="210"/>
      <c r="AE1383" s="210"/>
      <c r="AF1383" s="210"/>
      <c r="AG1383" s="210"/>
      <c r="AH1383" s="210"/>
      <c r="AI1383" s="210"/>
      <c r="AJ1383" s="210"/>
      <c r="AK1383" s="210"/>
      <c r="AL1383" s="210"/>
      <c r="AM1383" s="214"/>
      <c r="AN1383" s="210"/>
      <c r="AO1383" s="210"/>
      <c r="AP1383" s="210"/>
      <c r="AQ1383" s="210"/>
      <c r="AR1383" s="210"/>
      <c r="AS1383" s="210"/>
      <c r="AT1383" s="210"/>
      <c r="AU1383" s="210"/>
      <c r="AV1383" s="210"/>
      <c r="AW1383" s="210"/>
      <c r="AX1383" s="210"/>
      <c r="AY1383" s="210"/>
      <c r="AZ1383" s="210"/>
      <c r="BA1383" s="210"/>
      <c r="BB1383" s="210"/>
      <c r="BC1383" s="210"/>
      <c r="BD1383" s="210"/>
      <c r="BE1383" s="210"/>
      <c r="BF1383" s="210"/>
      <c r="BG1383" s="210"/>
      <c r="BH1383" s="210"/>
      <c r="BI1383" s="210"/>
      <c r="BJ1383" s="210"/>
      <c r="BK1383" s="210"/>
      <c r="BL1383" s="210"/>
      <c r="BM1383" s="210"/>
      <c r="BN1383" s="210"/>
      <c r="BO1383" s="210"/>
      <c r="BP1383" s="210"/>
      <c r="BQ1383" s="210"/>
      <c r="BR1383" s="210"/>
      <c r="BS1383" s="210"/>
      <c r="BT1383" s="210"/>
      <c r="BU1383" s="210"/>
      <c r="BV1383" s="210"/>
      <c r="BW1383" s="210"/>
      <c r="BX1383" s="210"/>
      <c r="BY1383" s="210"/>
      <c r="BZ1383" s="210"/>
      <c r="CA1383" s="210"/>
      <c r="CB1383" s="210"/>
      <c r="CC1383" s="210"/>
      <c r="CD1383" s="210"/>
      <c r="CE1383" s="210"/>
      <c r="CF1383" s="210"/>
      <c r="CG1383" s="210"/>
      <c r="CH1383" s="210"/>
      <c r="CI1383" s="210"/>
      <c r="CJ1383" s="210"/>
      <c r="CK1383" s="210"/>
    </row>
    <row r="1384">
      <c r="A1384" s="220"/>
      <c r="F1384" s="190"/>
      <c r="G1384" s="190"/>
      <c r="L1384" s="220"/>
      <c r="M1384" s="220"/>
      <c r="O1384" s="210"/>
      <c r="P1384" s="210"/>
      <c r="Q1384" s="210"/>
      <c r="R1384" s="210"/>
      <c r="S1384" s="210"/>
      <c r="T1384" s="210"/>
      <c r="U1384" s="210"/>
      <c r="V1384" s="210"/>
      <c r="W1384" s="210"/>
      <c r="X1384" s="210"/>
      <c r="Y1384" s="210"/>
      <c r="Z1384" s="210"/>
      <c r="AA1384" s="210"/>
      <c r="AB1384" s="210"/>
      <c r="AC1384" s="210"/>
      <c r="AD1384" s="210"/>
      <c r="AE1384" s="210"/>
      <c r="AF1384" s="210"/>
      <c r="AG1384" s="210"/>
      <c r="AH1384" s="210"/>
      <c r="AI1384" s="210"/>
      <c r="AJ1384" s="210"/>
      <c r="AK1384" s="210"/>
      <c r="AL1384" s="210"/>
      <c r="AM1384" s="214"/>
      <c r="AN1384" s="210"/>
      <c r="AO1384" s="210"/>
      <c r="AP1384" s="210"/>
      <c r="AQ1384" s="210"/>
      <c r="AR1384" s="210"/>
      <c r="AS1384" s="210"/>
      <c r="AT1384" s="210"/>
      <c r="AU1384" s="210"/>
      <c r="AV1384" s="210"/>
      <c r="AW1384" s="210"/>
      <c r="AX1384" s="210"/>
      <c r="AY1384" s="210"/>
      <c r="AZ1384" s="210"/>
      <c r="BA1384" s="210"/>
      <c r="BB1384" s="210"/>
      <c r="BC1384" s="210"/>
      <c r="BD1384" s="210"/>
      <c r="BE1384" s="210"/>
      <c r="BF1384" s="210"/>
      <c r="BG1384" s="210"/>
      <c r="BH1384" s="210"/>
      <c r="BI1384" s="210"/>
      <c r="BJ1384" s="210"/>
      <c r="BK1384" s="210"/>
      <c r="BL1384" s="210"/>
      <c r="BM1384" s="210"/>
      <c r="BN1384" s="210"/>
      <c r="BO1384" s="210"/>
      <c r="BP1384" s="210"/>
      <c r="BQ1384" s="210"/>
      <c r="BR1384" s="210"/>
      <c r="BS1384" s="210"/>
      <c r="BT1384" s="210"/>
      <c r="BU1384" s="210"/>
      <c r="BV1384" s="210"/>
      <c r="BW1384" s="210"/>
      <c r="BX1384" s="210"/>
      <c r="BY1384" s="210"/>
      <c r="BZ1384" s="210"/>
      <c r="CA1384" s="210"/>
      <c r="CB1384" s="210"/>
      <c r="CC1384" s="210"/>
      <c r="CD1384" s="210"/>
      <c r="CE1384" s="210"/>
      <c r="CF1384" s="210"/>
      <c r="CG1384" s="210"/>
      <c r="CH1384" s="210"/>
      <c r="CI1384" s="210"/>
      <c r="CJ1384" s="210"/>
      <c r="CK1384" s="210"/>
    </row>
    <row r="1385">
      <c r="A1385" s="220"/>
      <c r="F1385" s="190"/>
      <c r="G1385" s="190"/>
      <c r="L1385" s="220"/>
      <c r="M1385" s="220"/>
      <c r="O1385" s="210"/>
      <c r="P1385" s="210"/>
      <c r="Q1385" s="210"/>
      <c r="R1385" s="210"/>
      <c r="S1385" s="210"/>
      <c r="T1385" s="210"/>
      <c r="U1385" s="210"/>
      <c r="V1385" s="210"/>
      <c r="W1385" s="210"/>
      <c r="X1385" s="210"/>
      <c r="Y1385" s="210"/>
      <c r="Z1385" s="210"/>
      <c r="AA1385" s="210"/>
      <c r="AB1385" s="210"/>
      <c r="AC1385" s="210"/>
      <c r="AD1385" s="210"/>
      <c r="AE1385" s="210"/>
      <c r="AF1385" s="210"/>
      <c r="AG1385" s="210"/>
      <c r="AH1385" s="210"/>
      <c r="AI1385" s="210"/>
      <c r="AJ1385" s="210"/>
      <c r="AK1385" s="210"/>
      <c r="AL1385" s="210"/>
      <c r="AM1385" s="214"/>
      <c r="AN1385" s="210"/>
      <c r="AO1385" s="210"/>
      <c r="AP1385" s="210"/>
      <c r="AQ1385" s="210"/>
      <c r="AR1385" s="210"/>
      <c r="AS1385" s="210"/>
      <c r="AT1385" s="210"/>
      <c r="AU1385" s="210"/>
      <c r="AV1385" s="210"/>
      <c r="AW1385" s="210"/>
      <c r="AX1385" s="210"/>
      <c r="AY1385" s="210"/>
      <c r="AZ1385" s="210"/>
      <c r="BA1385" s="210"/>
      <c r="BB1385" s="210"/>
      <c r="BC1385" s="210"/>
      <c r="BD1385" s="210"/>
      <c r="BE1385" s="210"/>
      <c r="BF1385" s="210"/>
      <c r="BG1385" s="210"/>
      <c r="BH1385" s="210"/>
      <c r="BI1385" s="210"/>
      <c r="BJ1385" s="210"/>
      <c r="BK1385" s="210"/>
      <c r="BL1385" s="210"/>
      <c r="BM1385" s="210"/>
      <c r="BN1385" s="210"/>
      <c r="BO1385" s="210"/>
      <c r="BP1385" s="210"/>
      <c r="BQ1385" s="210"/>
      <c r="BR1385" s="210"/>
      <c r="BS1385" s="210"/>
      <c r="BT1385" s="210"/>
      <c r="BU1385" s="210"/>
      <c r="BV1385" s="210"/>
      <c r="BW1385" s="210"/>
      <c r="BX1385" s="210"/>
      <c r="BY1385" s="210"/>
      <c r="BZ1385" s="210"/>
      <c r="CA1385" s="210"/>
      <c r="CB1385" s="210"/>
      <c r="CC1385" s="210"/>
      <c r="CD1385" s="210"/>
      <c r="CE1385" s="210"/>
      <c r="CF1385" s="210"/>
      <c r="CG1385" s="210"/>
      <c r="CH1385" s="210"/>
      <c r="CI1385" s="210"/>
      <c r="CJ1385" s="210"/>
      <c r="CK1385" s="210"/>
    </row>
    <row r="1386">
      <c r="A1386" s="220"/>
      <c r="F1386" s="190"/>
      <c r="G1386" s="190"/>
      <c r="L1386" s="220"/>
      <c r="M1386" s="220"/>
      <c r="O1386" s="210"/>
      <c r="P1386" s="210"/>
      <c r="Q1386" s="210"/>
      <c r="R1386" s="210"/>
      <c r="S1386" s="210"/>
      <c r="T1386" s="210"/>
      <c r="U1386" s="210"/>
      <c r="V1386" s="210"/>
      <c r="W1386" s="210"/>
      <c r="X1386" s="210"/>
      <c r="Y1386" s="210"/>
      <c r="Z1386" s="210"/>
      <c r="AA1386" s="210"/>
      <c r="AB1386" s="210"/>
      <c r="AC1386" s="210"/>
      <c r="AD1386" s="210"/>
      <c r="AE1386" s="210"/>
      <c r="AF1386" s="210"/>
      <c r="AG1386" s="210"/>
      <c r="AH1386" s="210"/>
      <c r="AI1386" s="210"/>
      <c r="AJ1386" s="210"/>
      <c r="AK1386" s="210"/>
      <c r="AL1386" s="210"/>
      <c r="AM1386" s="214"/>
      <c r="AN1386" s="210"/>
      <c r="AO1386" s="210"/>
      <c r="AP1386" s="210"/>
      <c r="AQ1386" s="210"/>
      <c r="AR1386" s="210"/>
      <c r="AS1386" s="210"/>
      <c r="AT1386" s="210"/>
      <c r="AU1386" s="210"/>
      <c r="AV1386" s="210"/>
      <c r="AW1386" s="210"/>
      <c r="AX1386" s="210"/>
      <c r="AY1386" s="210"/>
      <c r="AZ1386" s="210"/>
      <c r="BA1386" s="210"/>
      <c r="BB1386" s="210"/>
      <c r="BC1386" s="210"/>
      <c r="BD1386" s="210"/>
      <c r="BE1386" s="210"/>
      <c r="BF1386" s="210"/>
      <c r="BG1386" s="210"/>
      <c r="BH1386" s="210"/>
      <c r="BI1386" s="210"/>
      <c r="BJ1386" s="210"/>
      <c r="BK1386" s="210"/>
      <c r="BL1386" s="210"/>
      <c r="BM1386" s="210"/>
      <c r="BN1386" s="210"/>
      <c r="BO1386" s="210"/>
      <c r="BP1386" s="210"/>
      <c r="BQ1386" s="210"/>
      <c r="BR1386" s="210"/>
      <c r="BS1386" s="210"/>
      <c r="BT1386" s="210"/>
      <c r="BU1386" s="210"/>
      <c r="BV1386" s="210"/>
      <c r="BW1386" s="210"/>
      <c r="BX1386" s="210"/>
      <c r="BY1386" s="210"/>
      <c r="BZ1386" s="210"/>
      <c r="CA1386" s="210"/>
      <c r="CB1386" s="210"/>
      <c r="CC1386" s="210"/>
      <c r="CD1386" s="210"/>
      <c r="CE1386" s="210"/>
      <c r="CF1386" s="210"/>
      <c r="CG1386" s="210"/>
      <c r="CH1386" s="210"/>
      <c r="CI1386" s="210"/>
      <c r="CJ1386" s="210"/>
      <c r="CK1386" s="210"/>
    </row>
    <row r="1387">
      <c r="A1387" s="220"/>
      <c r="F1387" s="190"/>
      <c r="G1387" s="190"/>
      <c r="L1387" s="220"/>
      <c r="M1387" s="220"/>
      <c r="O1387" s="210"/>
      <c r="P1387" s="210"/>
      <c r="Q1387" s="210"/>
      <c r="R1387" s="210"/>
      <c r="S1387" s="210"/>
      <c r="T1387" s="210"/>
      <c r="U1387" s="210"/>
      <c r="V1387" s="210"/>
      <c r="W1387" s="210"/>
      <c r="X1387" s="210"/>
      <c r="Y1387" s="210"/>
      <c r="Z1387" s="210"/>
      <c r="AA1387" s="210"/>
      <c r="AB1387" s="210"/>
      <c r="AC1387" s="210"/>
      <c r="AD1387" s="210"/>
      <c r="AE1387" s="210"/>
      <c r="AF1387" s="210"/>
      <c r="AG1387" s="210"/>
      <c r="AH1387" s="210"/>
      <c r="AI1387" s="210"/>
      <c r="AJ1387" s="210"/>
      <c r="AK1387" s="210"/>
      <c r="AL1387" s="210"/>
      <c r="AM1387" s="214"/>
      <c r="AN1387" s="210"/>
      <c r="AO1387" s="210"/>
      <c r="AP1387" s="210"/>
      <c r="AQ1387" s="210"/>
      <c r="AR1387" s="210"/>
      <c r="AS1387" s="210"/>
      <c r="AT1387" s="210"/>
      <c r="AU1387" s="210"/>
      <c r="AV1387" s="210"/>
      <c r="AW1387" s="210"/>
      <c r="AX1387" s="210"/>
      <c r="AY1387" s="210"/>
      <c r="AZ1387" s="210"/>
      <c r="BA1387" s="210"/>
      <c r="BB1387" s="210"/>
      <c r="BC1387" s="210"/>
      <c r="BD1387" s="210"/>
      <c r="BE1387" s="210"/>
      <c r="BF1387" s="210"/>
      <c r="BG1387" s="210"/>
      <c r="BH1387" s="210"/>
      <c r="BI1387" s="210"/>
      <c r="BJ1387" s="210"/>
      <c r="BK1387" s="210"/>
      <c r="BL1387" s="210"/>
      <c r="BM1387" s="210"/>
      <c r="BN1387" s="210"/>
      <c r="BO1387" s="210"/>
      <c r="BP1387" s="210"/>
      <c r="BQ1387" s="210"/>
      <c r="BR1387" s="210"/>
      <c r="BS1387" s="210"/>
      <c r="BT1387" s="210"/>
      <c r="BU1387" s="210"/>
      <c r="BV1387" s="210"/>
      <c r="BW1387" s="210"/>
      <c r="BX1387" s="210"/>
      <c r="BY1387" s="210"/>
      <c r="BZ1387" s="210"/>
      <c r="CA1387" s="210"/>
      <c r="CB1387" s="210"/>
      <c r="CC1387" s="210"/>
      <c r="CD1387" s="210"/>
      <c r="CE1387" s="210"/>
      <c r="CF1387" s="210"/>
      <c r="CG1387" s="210"/>
      <c r="CH1387" s="210"/>
      <c r="CI1387" s="210"/>
      <c r="CJ1387" s="210"/>
      <c r="CK1387" s="210"/>
    </row>
    <row r="1388">
      <c r="A1388" s="220"/>
      <c r="F1388" s="190"/>
      <c r="G1388" s="190"/>
      <c r="L1388" s="220"/>
      <c r="M1388" s="220"/>
      <c r="O1388" s="210"/>
      <c r="P1388" s="210"/>
      <c r="Q1388" s="210"/>
      <c r="R1388" s="210"/>
      <c r="S1388" s="210"/>
      <c r="T1388" s="210"/>
      <c r="U1388" s="210"/>
      <c r="V1388" s="210"/>
      <c r="W1388" s="210"/>
      <c r="X1388" s="210"/>
      <c r="Y1388" s="210"/>
      <c r="Z1388" s="210"/>
      <c r="AA1388" s="210"/>
      <c r="AB1388" s="210"/>
      <c r="AC1388" s="210"/>
      <c r="AD1388" s="210"/>
      <c r="AE1388" s="210"/>
      <c r="AF1388" s="210"/>
      <c r="AG1388" s="210"/>
      <c r="AH1388" s="210"/>
      <c r="AI1388" s="210"/>
      <c r="AJ1388" s="210"/>
      <c r="AK1388" s="210"/>
      <c r="AL1388" s="210"/>
      <c r="AM1388" s="214"/>
      <c r="AN1388" s="210"/>
      <c r="AO1388" s="210"/>
      <c r="AP1388" s="210"/>
      <c r="AQ1388" s="210"/>
      <c r="AR1388" s="210"/>
      <c r="AS1388" s="210"/>
      <c r="AT1388" s="210"/>
      <c r="AU1388" s="210"/>
      <c r="AV1388" s="210"/>
      <c r="AW1388" s="210"/>
      <c r="AX1388" s="210"/>
      <c r="AY1388" s="210"/>
      <c r="AZ1388" s="210"/>
      <c r="BA1388" s="210"/>
      <c r="BB1388" s="210"/>
      <c r="BC1388" s="210"/>
      <c r="BD1388" s="210"/>
      <c r="BE1388" s="210"/>
      <c r="BF1388" s="210"/>
      <c r="BG1388" s="210"/>
      <c r="BH1388" s="210"/>
      <c r="BI1388" s="210"/>
      <c r="BJ1388" s="210"/>
      <c r="BK1388" s="210"/>
      <c r="BL1388" s="210"/>
      <c r="BM1388" s="210"/>
      <c r="BN1388" s="210"/>
      <c r="BO1388" s="210"/>
      <c r="BP1388" s="210"/>
      <c r="BQ1388" s="210"/>
      <c r="BR1388" s="210"/>
      <c r="BS1388" s="210"/>
      <c r="BT1388" s="210"/>
      <c r="BU1388" s="210"/>
      <c r="BV1388" s="210"/>
      <c r="BW1388" s="210"/>
      <c r="BX1388" s="210"/>
      <c r="BY1388" s="210"/>
      <c r="BZ1388" s="210"/>
      <c r="CA1388" s="210"/>
      <c r="CB1388" s="210"/>
      <c r="CC1388" s="210"/>
      <c r="CD1388" s="210"/>
      <c r="CE1388" s="210"/>
      <c r="CF1388" s="210"/>
      <c r="CG1388" s="210"/>
      <c r="CH1388" s="210"/>
      <c r="CI1388" s="210"/>
      <c r="CJ1388" s="210"/>
      <c r="CK1388" s="210"/>
    </row>
    <row r="1389">
      <c r="A1389" s="220"/>
      <c r="F1389" s="190"/>
      <c r="G1389" s="190"/>
      <c r="L1389" s="220"/>
      <c r="M1389" s="220"/>
      <c r="O1389" s="210"/>
      <c r="P1389" s="210"/>
      <c r="Q1389" s="210"/>
      <c r="R1389" s="210"/>
      <c r="S1389" s="210"/>
      <c r="T1389" s="210"/>
      <c r="U1389" s="210"/>
      <c r="V1389" s="210"/>
      <c r="W1389" s="210"/>
      <c r="X1389" s="210"/>
      <c r="Y1389" s="210"/>
      <c r="Z1389" s="210"/>
      <c r="AA1389" s="210"/>
      <c r="AB1389" s="210"/>
      <c r="AC1389" s="210"/>
      <c r="AD1389" s="210"/>
      <c r="AE1389" s="210"/>
      <c r="AF1389" s="210"/>
      <c r="AG1389" s="210"/>
      <c r="AH1389" s="210"/>
      <c r="AI1389" s="210"/>
      <c r="AJ1389" s="210"/>
      <c r="AK1389" s="210"/>
      <c r="AL1389" s="210"/>
      <c r="AM1389" s="214"/>
      <c r="AN1389" s="210"/>
      <c r="AO1389" s="210"/>
      <c r="AP1389" s="210"/>
      <c r="AQ1389" s="210"/>
      <c r="AR1389" s="210"/>
      <c r="AS1389" s="210"/>
      <c r="AT1389" s="210"/>
      <c r="AU1389" s="210"/>
      <c r="AV1389" s="210"/>
      <c r="AW1389" s="210"/>
      <c r="AX1389" s="210"/>
      <c r="AY1389" s="210"/>
      <c r="AZ1389" s="210"/>
      <c r="BA1389" s="210"/>
      <c r="BB1389" s="210"/>
      <c r="BC1389" s="210"/>
      <c r="BD1389" s="210"/>
      <c r="BE1389" s="210"/>
      <c r="BF1389" s="210"/>
      <c r="BG1389" s="210"/>
      <c r="BH1389" s="210"/>
      <c r="BI1389" s="210"/>
      <c r="BJ1389" s="210"/>
      <c r="BK1389" s="210"/>
      <c r="BL1389" s="210"/>
      <c r="BM1389" s="210"/>
      <c r="BN1389" s="210"/>
      <c r="BO1389" s="210"/>
      <c r="BP1389" s="210"/>
      <c r="BQ1389" s="210"/>
      <c r="BR1389" s="210"/>
      <c r="BS1389" s="210"/>
      <c r="BT1389" s="210"/>
      <c r="BU1389" s="210"/>
      <c r="BV1389" s="210"/>
      <c r="BW1389" s="210"/>
      <c r="BX1389" s="210"/>
      <c r="BY1389" s="210"/>
      <c r="BZ1389" s="210"/>
      <c r="CA1389" s="210"/>
      <c r="CB1389" s="210"/>
      <c r="CC1389" s="210"/>
      <c r="CD1389" s="210"/>
      <c r="CE1389" s="210"/>
      <c r="CF1389" s="210"/>
      <c r="CG1389" s="210"/>
      <c r="CH1389" s="210"/>
      <c r="CI1389" s="210"/>
      <c r="CJ1389" s="210"/>
      <c r="CK1389" s="210"/>
    </row>
    <row r="1390">
      <c r="A1390" s="220"/>
      <c r="F1390" s="190"/>
      <c r="G1390" s="190"/>
      <c r="L1390" s="220"/>
      <c r="M1390" s="220"/>
      <c r="O1390" s="210"/>
      <c r="P1390" s="210"/>
      <c r="Q1390" s="210"/>
      <c r="R1390" s="210"/>
      <c r="S1390" s="210"/>
      <c r="T1390" s="210"/>
      <c r="U1390" s="210"/>
      <c r="V1390" s="210"/>
      <c r="W1390" s="210"/>
      <c r="X1390" s="210"/>
      <c r="Y1390" s="210"/>
      <c r="Z1390" s="210"/>
      <c r="AA1390" s="210"/>
      <c r="AB1390" s="210"/>
      <c r="AC1390" s="210"/>
      <c r="AD1390" s="210"/>
      <c r="AE1390" s="210"/>
      <c r="AF1390" s="210"/>
      <c r="AG1390" s="210"/>
      <c r="AH1390" s="210"/>
      <c r="AI1390" s="210"/>
      <c r="AJ1390" s="210"/>
      <c r="AK1390" s="210"/>
      <c r="AL1390" s="210"/>
      <c r="AM1390" s="214"/>
      <c r="AN1390" s="210"/>
      <c r="AO1390" s="210"/>
      <c r="AP1390" s="210"/>
      <c r="AQ1390" s="210"/>
      <c r="AR1390" s="210"/>
      <c r="AS1390" s="210"/>
      <c r="AT1390" s="210"/>
      <c r="AU1390" s="210"/>
      <c r="AV1390" s="210"/>
      <c r="AW1390" s="210"/>
      <c r="AX1390" s="210"/>
      <c r="AY1390" s="210"/>
      <c r="AZ1390" s="210"/>
      <c r="BA1390" s="210"/>
      <c r="BB1390" s="210"/>
      <c r="BC1390" s="210"/>
      <c r="BD1390" s="210"/>
      <c r="BE1390" s="210"/>
      <c r="BF1390" s="210"/>
      <c r="BG1390" s="210"/>
      <c r="BH1390" s="210"/>
      <c r="BI1390" s="210"/>
      <c r="BJ1390" s="210"/>
      <c r="BK1390" s="210"/>
      <c r="BL1390" s="210"/>
      <c r="BM1390" s="210"/>
      <c r="BN1390" s="210"/>
      <c r="BO1390" s="210"/>
      <c r="BP1390" s="210"/>
      <c r="BQ1390" s="210"/>
      <c r="BR1390" s="210"/>
      <c r="BS1390" s="210"/>
      <c r="BT1390" s="210"/>
      <c r="BU1390" s="210"/>
      <c r="BV1390" s="210"/>
      <c r="BW1390" s="210"/>
      <c r="BX1390" s="210"/>
      <c r="BY1390" s="210"/>
      <c r="BZ1390" s="210"/>
      <c r="CA1390" s="210"/>
      <c r="CB1390" s="210"/>
      <c r="CC1390" s="210"/>
      <c r="CD1390" s="210"/>
      <c r="CE1390" s="210"/>
      <c r="CF1390" s="210"/>
      <c r="CG1390" s="210"/>
      <c r="CH1390" s="210"/>
      <c r="CI1390" s="210"/>
      <c r="CJ1390" s="210"/>
      <c r="CK1390" s="210"/>
    </row>
    <row r="1391">
      <c r="A1391" s="220"/>
      <c r="F1391" s="190"/>
      <c r="G1391" s="190"/>
      <c r="L1391" s="220"/>
      <c r="M1391" s="220"/>
      <c r="O1391" s="210"/>
      <c r="P1391" s="210"/>
      <c r="Q1391" s="210"/>
      <c r="R1391" s="210"/>
      <c r="S1391" s="210"/>
      <c r="T1391" s="210"/>
      <c r="U1391" s="210"/>
      <c r="V1391" s="210"/>
      <c r="W1391" s="210"/>
      <c r="X1391" s="210"/>
      <c r="Y1391" s="210"/>
      <c r="Z1391" s="210"/>
      <c r="AA1391" s="210"/>
      <c r="AB1391" s="210"/>
      <c r="AC1391" s="210"/>
      <c r="AD1391" s="210"/>
      <c r="AE1391" s="210"/>
      <c r="AF1391" s="210"/>
      <c r="AG1391" s="210"/>
      <c r="AH1391" s="210"/>
      <c r="AI1391" s="210"/>
      <c r="AJ1391" s="210"/>
      <c r="AK1391" s="210"/>
      <c r="AL1391" s="210"/>
      <c r="AM1391" s="214"/>
      <c r="AN1391" s="210"/>
      <c r="AO1391" s="210"/>
      <c r="AP1391" s="210"/>
      <c r="AQ1391" s="210"/>
      <c r="AR1391" s="210"/>
      <c r="AS1391" s="210"/>
      <c r="AT1391" s="210"/>
      <c r="AU1391" s="210"/>
      <c r="AV1391" s="210"/>
      <c r="AW1391" s="210"/>
      <c r="AX1391" s="210"/>
      <c r="AY1391" s="210"/>
      <c r="AZ1391" s="210"/>
      <c r="BA1391" s="210"/>
      <c r="BB1391" s="210"/>
      <c r="BC1391" s="210"/>
      <c r="BD1391" s="210"/>
      <c r="BE1391" s="210"/>
      <c r="BF1391" s="210"/>
      <c r="BG1391" s="210"/>
      <c r="BH1391" s="210"/>
      <c r="BI1391" s="210"/>
      <c r="BJ1391" s="210"/>
      <c r="BK1391" s="210"/>
      <c r="BL1391" s="210"/>
      <c r="BM1391" s="210"/>
      <c r="BN1391" s="210"/>
      <c r="BO1391" s="210"/>
      <c r="BP1391" s="210"/>
      <c r="BQ1391" s="210"/>
      <c r="BR1391" s="210"/>
      <c r="BS1391" s="210"/>
      <c r="BT1391" s="210"/>
      <c r="BU1391" s="210"/>
      <c r="BV1391" s="210"/>
      <c r="BW1391" s="210"/>
      <c r="BX1391" s="210"/>
      <c r="BY1391" s="210"/>
      <c r="BZ1391" s="210"/>
      <c r="CA1391" s="210"/>
      <c r="CB1391" s="210"/>
      <c r="CC1391" s="210"/>
      <c r="CD1391" s="210"/>
      <c r="CE1391" s="210"/>
      <c r="CF1391" s="210"/>
      <c r="CG1391" s="210"/>
      <c r="CH1391" s="210"/>
      <c r="CI1391" s="210"/>
      <c r="CJ1391" s="210"/>
      <c r="CK1391" s="210"/>
    </row>
    <row r="1392">
      <c r="A1392" s="220"/>
      <c r="F1392" s="190"/>
      <c r="G1392" s="190"/>
      <c r="L1392" s="220"/>
      <c r="M1392" s="220"/>
      <c r="O1392" s="210"/>
      <c r="P1392" s="210"/>
      <c r="Q1392" s="210"/>
      <c r="R1392" s="210"/>
      <c r="S1392" s="210"/>
      <c r="T1392" s="210"/>
      <c r="U1392" s="210"/>
      <c r="V1392" s="210"/>
      <c r="W1392" s="210"/>
      <c r="X1392" s="210"/>
      <c r="Y1392" s="210"/>
      <c r="Z1392" s="210"/>
      <c r="AA1392" s="210"/>
      <c r="AB1392" s="210"/>
      <c r="AC1392" s="210"/>
      <c r="AD1392" s="210"/>
      <c r="AE1392" s="210"/>
      <c r="AF1392" s="210"/>
      <c r="AG1392" s="210"/>
      <c r="AH1392" s="210"/>
      <c r="AI1392" s="210"/>
      <c r="AJ1392" s="210"/>
      <c r="AK1392" s="210"/>
      <c r="AL1392" s="210"/>
      <c r="AM1392" s="214"/>
      <c r="AN1392" s="210"/>
      <c r="AO1392" s="210"/>
      <c r="AP1392" s="210"/>
      <c r="AQ1392" s="210"/>
      <c r="AR1392" s="210"/>
      <c r="AS1392" s="210"/>
      <c r="AT1392" s="210"/>
      <c r="AU1392" s="210"/>
      <c r="AV1392" s="210"/>
      <c r="AW1392" s="210"/>
      <c r="AX1392" s="210"/>
      <c r="AY1392" s="210"/>
      <c r="AZ1392" s="210"/>
      <c r="BA1392" s="210"/>
      <c r="BB1392" s="210"/>
      <c r="BC1392" s="210"/>
      <c r="BD1392" s="210"/>
      <c r="BE1392" s="210"/>
      <c r="BF1392" s="210"/>
      <c r="BG1392" s="210"/>
      <c r="BH1392" s="210"/>
      <c r="BI1392" s="210"/>
      <c r="BJ1392" s="210"/>
      <c r="BK1392" s="210"/>
      <c r="BL1392" s="210"/>
      <c r="BM1392" s="210"/>
      <c r="BN1392" s="210"/>
      <c r="BO1392" s="210"/>
      <c r="BP1392" s="210"/>
      <c r="BQ1392" s="210"/>
      <c r="BR1392" s="210"/>
      <c r="BS1392" s="210"/>
      <c r="BT1392" s="210"/>
      <c r="BU1392" s="210"/>
      <c r="BV1392" s="210"/>
      <c r="BW1392" s="210"/>
      <c r="BX1392" s="210"/>
      <c r="BY1392" s="210"/>
      <c r="BZ1392" s="210"/>
      <c r="CA1392" s="210"/>
      <c r="CB1392" s="210"/>
      <c r="CC1392" s="210"/>
      <c r="CD1392" s="210"/>
      <c r="CE1392" s="210"/>
      <c r="CF1392" s="210"/>
      <c r="CG1392" s="210"/>
      <c r="CH1392" s="210"/>
      <c r="CI1392" s="210"/>
      <c r="CJ1392" s="210"/>
      <c r="CK1392" s="210"/>
    </row>
    <row r="1393">
      <c r="A1393" s="220"/>
      <c r="F1393" s="190"/>
      <c r="G1393" s="190"/>
      <c r="L1393" s="220"/>
      <c r="M1393" s="220"/>
      <c r="O1393" s="210"/>
      <c r="P1393" s="210"/>
      <c r="Q1393" s="210"/>
      <c r="R1393" s="210"/>
      <c r="S1393" s="210"/>
      <c r="T1393" s="210"/>
      <c r="U1393" s="210"/>
      <c r="V1393" s="210"/>
      <c r="W1393" s="210"/>
      <c r="X1393" s="210"/>
      <c r="Y1393" s="210"/>
      <c r="Z1393" s="210"/>
      <c r="AA1393" s="210"/>
      <c r="AB1393" s="210"/>
      <c r="AC1393" s="210"/>
      <c r="AD1393" s="210"/>
      <c r="AE1393" s="210"/>
      <c r="AF1393" s="210"/>
      <c r="AG1393" s="210"/>
      <c r="AH1393" s="210"/>
      <c r="AI1393" s="210"/>
      <c r="AJ1393" s="210"/>
      <c r="AK1393" s="210"/>
      <c r="AL1393" s="210"/>
      <c r="AM1393" s="214"/>
      <c r="AN1393" s="210"/>
      <c r="AO1393" s="210"/>
      <c r="AP1393" s="210"/>
      <c r="AQ1393" s="210"/>
      <c r="AR1393" s="210"/>
      <c r="AS1393" s="210"/>
      <c r="AT1393" s="210"/>
      <c r="AU1393" s="210"/>
      <c r="AV1393" s="210"/>
      <c r="AW1393" s="210"/>
      <c r="AX1393" s="210"/>
      <c r="AY1393" s="210"/>
      <c r="AZ1393" s="210"/>
      <c r="BA1393" s="210"/>
      <c r="BB1393" s="210"/>
      <c r="BC1393" s="210"/>
      <c r="BD1393" s="210"/>
      <c r="BE1393" s="210"/>
      <c r="BF1393" s="210"/>
      <c r="BG1393" s="210"/>
      <c r="BH1393" s="210"/>
      <c r="BI1393" s="210"/>
      <c r="BJ1393" s="210"/>
      <c r="BK1393" s="210"/>
      <c r="BL1393" s="210"/>
      <c r="BM1393" s="210"/>
      <c r="BN1393" s="210"/>
      <c r="BO1393" s="210"/>
      <c r="BP1393" s="210"/>
      <c r="BQ1393" s="210"/>
      <c r="BR1393" s="210"/>
      <c r="BS1393" s="210"/>
      <c r="BT1393" s="210"/>
      <c r="BU1393" s="210"/>
      <c r="BV1393" s="210"/>
      <c r="BW1393" s="210"/>
      <c r="BX1393" s="210"/>
      <c r="BY1393" s="210"/>
      <c r="BZ1393" s="210"/>
      <c r="CA1393" s="210"/>
      <c r="CB1393" s="210"/>
      <c r="CC1393" s="210"/>
      <c r="CD1393" s="210"/>
      <c r="CE1393" s="210"/>
      <c r="CF1393" s="210"/>
      <c r="CG1393" s="210"/>
      <c r="CH1393" s="210"/>
      <c r="CI1393" s="210"/>
      <c r="CJ1393" s="210"/>
      <c r="CK1393" s="210"/>
    </row>
    <row r="1394">
      <c r="A1394" s="220"/>
      <c r="F1394" s="190"/>
      <c r="G1394" s="190"/>
      <c r="L1394" s="220"/>
      <c r="M1394" s="220"/>
      <c r="O1394" s="210"/>
      <c r="P1394" s="210"/>
      <c r="Q1394" s="210"/>
      <c r="R1394" s="210"/>
      <c r="S1394" s="210"/>
      <c r="T1394" s="210"/>
      <c r="U1394" s="210"/>
      <c r="V1394" s="210"/>
      <c r="W1394" s="210"/>
      <c r="X1394" s="210"/>
      <c r="Y1394" s="210"/>
      <c r="Z1394" s="210"/>
      <c r="AA1394" s="210"/>
      <c r="AB1394" s="210"/>
      <c r="AC1394" s="210"/>
      <c r="AD1394" s="210"/>
      <c r="AE1394" s="210"/>
      <c r="AF1394" s="210"/>
      <c r="AG1394" s="210"/>
      <c r="AH1394" s="210"/>
      <c r="AI1394" s="210"/>
      <c r="AJ1394" s="210"/>
      <c r="AK1394" s="210"/>
      <c r="AL1394" s="210"/>
      <c r="AM1394" s="214"/>
      <c r="AN1394" s="210"/>
      <c r="AO1394" s="210"/>
      <c r="AP1394" s="210"/>
      <c r="AQ1394" s="210"/>
      <c r="AR1394" s="210"/>
      <c r="AS1394" s="210"/>
      <c r="AT1394" s="210"/>
      <c r="AU1394" s="210"/>
      <c r="AV1394" s="210"/>
      <c r="AW1394" s="210"/>
      <c r="AX1394" s="210"/>
      <c r="AY1394" s="210"/>
      <c r="AZ1394" s="210"/>
      <c r="BA1394" s="210"/>
      <c r="BB1394" s="210"/>
      <c r="BC1394" s="210"/>
      <c r="BD1394" s="210"/>
      <c r="BE1394" s="210"/>
      <c r="BF1394" s="210"/>
      <c r="BG1394" s="210"/>
      <c r="BH1394" s="210"/>
      <c r="BI1394" s="210"/>
      <c r="BJ1394" s="210"/>
      <c r="BK1394" s="210"/>
      <c r="BL1394" s="210"/>
      <c r="BM1394" s="210"/>
      <c r="BN1394" s="210"/>
      <c r="BO1394" s="210"/>
      <c r="BP1394" s="210"/>
      <c r="BQ1394" s="210"/>
      <c r="BR1394" s="210"/>
      <c r="BS1394" s="210"/>
      <c r="BT1394" s="210"/>
      <c r="BU1394" s="210"/>
      <c r="BV1394" s="210"/>
      <c r="BW1394" s="210"/>
      <c r="BX1394" s="210"/>
      <c r="BY1394" s="210"/>
      <c r="BZ1394" s="210"/>
      <c r="CA1394" s="210"/>
      <c r="CB1394" s="210"/>
      <c r="CC1394" s="210"/>
      <c r="CD1394" s="210"/>
      <c r="CE1394" s="210"/>
      <c r="CF1394" s="210"/>
      <c r="CG1394" s="210"/>
      <c r="CH1394" s="210"/>
      <c r="CI1394" s="210"/>
      <c r="CJ1394" s="210"/>
      <c r="CK1394" s="210"/>
    </row>
    <row r="1395">
      <c r="A1395" s="220"/>
      <c r="F1395" s="190"/>
      <c r="G1395" s="190"/>
      <c r="L1395" s="220"/>
      <c r="M1395" s="220"/>
      <c r="O1395" s="210"/>
      <c r="P1395" s="210"/>
      <c r="Q1395" s="210"/>
      <c r="R1395" s="210"/>
      <c r="S1395" s="210"/>
      <c r="T1395" s="210"/>
      <c r="U1395" s="210"/>
      <c r="V1395" s="210"/>
      <c r="W1395" s="210"/>
      <c r="X1395" s="210"/>
      <c r="Y1395" s="210"/>
      <c r="Z1395" s="210"/>
      <c r="AA1395" s="210"/>
      <c r="AB1395" s="210"/>
      <c r="AC1395" s="210"/>
      <c r="AD1395" s="210"/>
      <c r="AE1395" s="210"/>
      <c r="AF1395" s="210"/>
      <c r="AG1395" s="210"/>
      <c r="AH1395" s="210"/>
      <c r="AI1395" s="210"/>
      <c r="AJ1395" s="210"/>
      <c r="AK1395" s="210"/>
      <c r="AL1395" s="210"/>
      <c r="AM1395" s="214"/>
      <c r="AN1395" s="210"/>
      <c r="AO1395" s="210"/>
      <c r="AP1395" s="210"/>
      <c r="AQ1395" s="210"/>
      <c r="AR1395" s="210"/>
      <c r="AS1395" s="210"/>
      <c r="AT1395" s="210"/>
      <c r="AU1395" s="210"/>
      <c r="AV1395" s="210"/>
      <c r="AW1395" s="210"/>
      <c r="AX1395" s="210"/>
      <c r="AY1395" s="210"/>
      <c r="AZ1395" s="210"/>
      <c r="BA1395" s="210"/>
      <c r="BB1395" s="210"/>
      <c r="BC1395" s="210"/>
      <c r="BD1395" s="210"/>
      <c r="BE1395" s="210"/>
      <c r="BF1395" s="210"/>
      <c r="BG1395" s="210"/>
      <c r="BH1395" s="210"/>
      <c r="BI1395" s="210"/>
      <c r="BJ1395" s="210"/>
      <c r="BK1395" s="210"/>
      <c r="BL1395" s="210"/>
      <c r="BM1395" s="210"/>
      <c r="BN1395" s="210"/>
      <c r="BO1395" s="210"/>
      <c r="BP1395" s="210"/>
      <c r="BQ1395" s="210"/>
      <c r="BR1395" s="210"/>
      <c r="BS1395" s="210"/>
      <c r="BT1395" s="210"/>
      <c r="BU1395" s="210"/>
      <c r="BV1395" s="210"/>
      <c r="BW1395" s="210"/>
      <c r="BX1395" s="210"/>
      <c r="BY1395" s="210"/>
      <c r="BZ1395" s="210"/>
      <c r="CA1395" s="210"/>
      <c r="CB1395" s="210"/>
      <c r="CC1395" s="210"/>
      <c r="CD1395" s="210"/>
      <c r="CE1395" s="210"/>
      <c r="CF1395" s="210"/>
      <c r="CG1395" s="210"/>
      <c r="CH1395" s="210"/>
      <c r="CI1395" s="210"/>
      <c r="CJ1395" s="210"/>
      <c r="CK1395" s="210"/>
    </row>
    <row r="1396">
      <c r="A1396" s="220"/>
      <c r="F1396" s="190"/>
      <c r="G1396" s="190"/>
      <c r="L1396" s="220"/>
      <c r="M1396" s="220"/>
      <c r="O1396" s="210"/>
      <c r="P1396" s="210"/>
      <c r="Q1396" s="210"/>
      <c r="R1396" s="210"/>
      <c r="S1396" s="210"/>
      <c r="T1396" s="210"/>
      <c r="U1396" s="210"/>
      <c r="V1396" s="210"/>
      <c r="W1396" s="210"/>
      <c r="X1396" s="210"/>
      <c r="Y1396" s="210"/>
      <c r="Z1396" s="210"/>
      <c r="AA1396" s="210"/>
      <c r="AB1396" s="210"/>
      <c r="AC1396" s="210"/>
      <c r="AD1396" s="210"/>
      <c r="AE1396" s="210"/>
      <c r="AF1396" s="210"/>
      <c r="AG1396" s="210"/>
      <c r="AH1396" s="210"/>
      <c r="AI1396" s="210"/>
      <c r="AJ1396" s="210"/>
      <c r="AK1396" s="210"/>
      <c r="AL1396" s="210"/>
      <c r="AM1396" s="214"/>
      <c r="AN1396" s="210"/>
      <c r="AO1396" s="210"/>
      <c r="AP1396" s="210"/>
      <c r="AQ1396" s="210"/>
      <c r="AR1396" s="210"/>
      <c r="AS1396" s="210"/>
      <c r="AT1396" s="210"/>
      <c r="AU1396" s="210"/>
      <c r="AV1396" s="210"/>
      <c r="AW1396" s="210"/>
      <c r="AX1396" s="210"/>
      <c r="AY1396" s="210"/>
      <c r="AZ1396" s="210"/>
      <c r="BA1396" s="210"/>
      <c r="BB1396" s="210"/>
      <c r="BC1396" s="210"/>
      <c r="BD1396" s="210"/>
      <c r="BE1396" s="210"/>
      <c r="BF1396" s="210"/>
      <c r="BG1396" s="210"/>
      <c r="BH1396" s="210"/>
      <c r="BI1396" s="210"/>
      <c r="BJ1396" s="210"/>
      <c r="BK1396" s="210"/>
      <c r="BL1396" s="210"/>
      <c r="BM1396" s="210"/>
      <c r="BN1396" s="210"/>
      <c r="BO1396" s="210"/>
      <c r="BP1396" s="210"/>
      <c r="BQ1396" s="210"/>
      <c r="BR1396" s="210"/>
      <c r="BS1396" s="210"/>
      <c r="BT1396" s="210"/>
      <c r="BU1396" s="210"/>
      <c r="BV1396" s="210"/>
      <c r="BW1396" s="210"/>
      <c r="BX1396" s="210"/>
      <c r="BY1396" s="210"/>
      <c r="BZ1396" s="210"/>
      <c r="CA1396" s="210"/>
      <c r="CB1396" s="210"/>
      <c r="CC1396" s="210"/>
      <c r="CD1396" s="210"/>
      <c r="CE1396" s="210"/>
      <c r="CF1396" s="210"/>
      <c r="CG1396" s="210"/>
      <c r="CH1396" s="210"/>
      <c r="CI1396" s="210"/>
      <c r="CJ1396" s="210"/>
      <c r="CK1396" s="210"/>
    </row>
    <row r="1397">
      <c r="A1397" s="220"/>
      <c r="F1397" s="190"/>
      <c r="G1397" s="190"/>
      <c r="L1397" s="220"/>
      <c r="M1397" s="220"/>
      <c r="O1397" s="210"/>
      <c r="P1397" s="210"/>
      <c r="Q1397" s="210"/>
      <c r="R1397" s="210"/>
      <c r="S1397" s="210"/>
      <c r="T1397" s="210"/>
      <c r="U1397" s="210"/>
      <c r="V1397" s="210"/>
      <c r="W1397" s="210"/>
      <c r="X1397" s="210"/>
      <c r="Y1397" s="210"/>
      <c r="Z1397" s="210"/>
      <c r="AA1397" s="210"/>
      <c r="AB1397" s="210"/>
      <c r="AC1397" s="210"/>
      <c r="AD1397" s="210"/>
      <c r="AE1397" s="210"/>
      <c r="AF1397" s="210"/>
      <c r="AG1397" s="210"/>
      <c r="AH1397" s="210"/>
      <c r="AI1397" s="210"/>
      <c r="AJ1397" s="210"/>
      <c r="AK1397" s="210"/>
      <c r="AL1397" s="210"/>
      <c r="AM1397" s="214"/>
      <c r="AN1397" s="210"/>
      <c r="AO1397" s="210"/>
      <c r="AP1397" s="210"/>
      <c r="AQ1397" s="210"/>
      <c r="AR1397" s="210"/>
      <c r="AS1397" s="210"/>
      <c r="AT1397" s="210"/>
      <c r="AU1397" s="210"/>
      <c r="AV1397" s="210"/>
      <c r="AW1397" s="210"/>
      <c r="AX1397" s="210"/>
      <c r="AY1397" s="210"/>
      <c r="AZ1397" s="210"/>
      <c r="BA1397" s="210"/>
      <c r="BB1397" s="210"/>
      <c r="BC1397" s="210"/>
      <c r="BD1397" s="210"/>
      <c r="BE1397" s="210"/>
      <c r="BF1397" s="210"/>
      <c r="BG1397" s="210"/>
      <c r="BH1397" s="210"/>
      <c r="BI1397" s="210"/>
      <c r="BJ1397" s="210"/>
      <c r="BK1397" s="210"/>
      <c r="BL1397" s="210"/>
      <c r="BM1397" s="210"/>
      <c r="BN1397" s="210"/>
      <c r="BO1397" s="210"/>
      <c r="BP1397" s="210"/>
      <c r="BQ1397" s="210"/>
      <c r="BR1397" s="210"/>
      <c r="BS1397" s="210"/>
      <c r="BT1397" s="210"/>
      <c r="BU1397" s="210"/>
      <c r="BV1397" s="210"/>
      <c r="BW1397" s="210"/>
      <c r="BX1397" s="210"/>
      <c r="BY1397" s="210"/>
      <c r="BZ1397" s="210"/>
      <c r="CA1397" s="210"/>
      <c r="CB1397" s="210"/>
      <c r="CC1397" s="210"/>
      <c r="CD1397" s="210"/>
      <c r="CE1397" s="210"/>
      <c r="CF1397" s="210"/>
      <c r="CG1397" s="210"/>
      <c r="CH1397" s="210"/>
      <c r="CI1397" s="210"/>
      <c r="CJ1397" s="210"/>
      <c r="CK1397" s="210"/>
    </row>
    <row r="1398">
      <c r="A1398" s="220"/>
      <c r="F1398" s="190"/>
      <c r="G1398" s="190"/>
      <c r="L1398" s="220"/>
      <c r="M1398" s="220"/>
      <c r="O1398" s="210"/>
      <c r="P1398" s="210"/>
      <c r="Q1398" s="210"/>
      <c r="R1398" s="210"/>
      <c r="S1398" s="210"/>
      <c r="T1398" s="210"/>
      <c r="U1398" s="210"/>
      <c r="V1398" s="210"/>
      <c r="W1398" s="210"/>
      <c r="X1398" s="210"/>
      <c r="Y1398" s="210"/>
      <c r="Z1398" s="210"/>
      <c r="AA1398" s="210"/>
      <c r="AB1398" s="210"/>
      <c r="AC1398" s="210"/>
      <c r="AD1398" s="210"/>
      <c r="AE1398" s="210"/>
      <c r="AF1398" s="210"/>
      <c r="AG1398" s="210"/>
      <c r="AH1398" s="210"/>
      <c r="AI1398" s="210"/>
      <c r="AJ1398" s="210"/>
      <c r="AK1398" s="210"/>
      <c r="AL1398" s="210"/>
      <c r="AM1398" s="214"/>
      <c r="AN1398" s="210"/>
      <c r="AO1398" s="210"/>
      <c r="AP1398" s="210"/>
      <c r="AQ1398" s="210"/>
      <c r="AR1398" s="210"/>
      <c r="AS1398" s="210"/>
      <c r="AT1398" s="210"/>
      <c r="AU1398" s="210"/>
      <c r="AV1398" s="210"/>
      <c r="AW1398" s="210"/>
      <c r="AX1398" s="210"/>
      <c r="AY1398" s="210"/>
      <c r="AZ1398" s="210"/>
      <c r="BA1398" s="210"/>
      <c r="BB1398" s="210"/>
      <c r="BC1398" s="210"/>
      <c r="BD1398" s="210"/>
      <c r="BE1398" s="210"/>
      <c r="BF1398" s="210"/>
      <c r="BG1398" s="210"/>
      <c r="BH1398" s="210"/>
      <c r="BI1398" s="210"/>
      <c r="BJ1398" s="210"/>
      <c r="BK1398" s="210"/>
      <c r="BL1398" s="210"/>
      <c r="BM1398" s="210"/>
      <c r="BN1398" s="210"/>
      <c r="BO1398" s="210"/>
      <c r="BP1398" s="210"/>
      <c r="BQ1398" s="210"/>
      <c r="BR1398" s="210"/>
      <c r="BS1398" s="210"/>
      <c r="BT1398" s="210"/>
      <c r="BU1398" s="210"/>
      <c r="BV1398" s="210"/>
      <c r="BW1398" s="210"/>
      <c r="BX1398" s="210"/>
      <c r="BY1398" s="210"/>
      <c r="BZ1398" s="210"/>
      <c r="CA1398" s="210"/>
      <c r="CB1398" s="210"/>
      <c r="CC1398" s="210"/>
      <c r="CD1398" s="210"/>
      <c r="CE1398" s="210"/>
      <c r="CF1398" s="210"/>
      <c r="CG1398" s="210"/>
      <c r="CH1398" s="210"/>
      <c r="CI1398" s="210"/>
      <c r="CJ1398" s="210"/>
      <c r="CK1398" s="210"/>
    </row>
    <row r="1399">
      <c r="A1399" s="220"/>
      <c r="F1399" s="190"/>
      <c r="G1399" s="190"/>
      <c r="L1399" s="220"/>
      <c r="M1399" s="220"/>
      <c r="O1399" s="210"/>
      <c r="P1399" s="210"/>
      <c r="Q1399" s="210"/>
      <c r="R1399" s="210"/>
      <c r="S1399" s="210"/>
      <c r="T1399" s="210"/>
      <c r="U1399" s="210"/>
      <c r="V1399" s="210"/>
      <c r="W1399" s="210"/>
      <c r="X1399" s="210"/>
      <c r="Y1399" s="210"/>
      <c r="Z1399" s="210"/>
      <c r="AA1399" s="210"/>
      <c r="AB1399" s="210"/>
      <c r="AC1399" s="210"/>
      <c r="AD1399" s="210"/>
      <c r="AE1399" s="210"/>
      <c r="AF1399" s="210"/>
      <c r="AG1399" s="210"/>
      <c r="AH1399" s="210"/>
      <c r="AI1399" s="210"/>
      <c r="AJ1399" s="210"/>
      <c r="AK1399" s="210"/>
      <c r="AL1399" s="210"/>
      <c r="AM1399" s="214"/>
      <c r="AN1399" s="210"/>
      <c r="AO1399" s="210"/>
      <c r="AP1399" s="210"/>
      <c r="AQ1399" s="210"/>
      <c r="AR1399" s="210"/>
      <c r="AS1399" s="210"/>
      <c r="AT1399" s="210"/>
      <c r="AU1399" s="210"/>
      <c r="AV1399" s="210"/>
      <c r="AW1399" s="210"/>
      <c r="AX1399" s="210"/>
      <c r="AY1399" s="210"/>
      <c r="AZ1399" s="210"/>
      <c r="BA1399" s="210"/>
      <c r="BB1399" s="210"/>
      <c r="BC1399" s="210"/>
      <c r="BD1399" s="210"/>
      <c r="BE1399" s="210"/>
      <c r="BF1399" s="210"/>
      <c r="BG1399" s="210"/>
      <c r="BH1399" s="210"/>
      <c r="BI1399" s="210"/>
      <c r="BJ1399" s="210"/>
      <c r="BK1399" s="210"/>
      <c r="BL1399" s="210"/>
      <c r="BM1399" s="210"/>
      <c r="BN1399" s="210"/>
      <c r="BO1399" s="210"/>
      <c r="BP1399" s="210"/>
      <c r="BQ1399" s="210"/>
      <c r="BR1399" s="210"/>
      <c r="BS1399" s="210"/>
      <c r="BT1399" s="210"/>
      <c r="BU1399" s="210"/>
      <c r="BV1399" s="210"/>
      <c r="BW1399" s="210"/>
      <c r="BX1399" s="210"/>
      <c r="BY1399" s="210"/>
      <c r="BZ1399" s="210"/>
      <c r="CA1399" s="210"/>
      <c r="CB1399" s="210"/>
      <c r="CC1399" s="210"/>
      <c r="CD1399" s="210"/>
      <c r="CE1399" s="210"/>
      <c r="CF1399" s="210"/>
      <c r="CG1399" s="210"/>
      <c r="CH1399" s="210"/>
      <c r="CI1399" s="210"/>
      <c r="CJ1399" s="210"/>
      <c r="CK1399" s="210"/>
    </row>
    <row r="1400">
      <c r="A1400" s="220"/>
      <c r="F1400" s="190"/>
      <c r="G1400" s="190"/>
      <c r="L1400" s="220"/>
      <c r="M1400" s="220"/>
      <c r="O1400" s="210"/>
      <c r="P1400" s="210"/>
      <c r="Q1400" s="210"/>
      <c r="R1400" s="210"/>
      <c r="S1400" s="210"/>
      <c r="T1400" s="210"/>
      <c r="U1400" s="210"/>
      <c r="V1400" s="210"/>
      <c r="W1400" s="210"/>
      <c r="X1400" s="210"/>
      <c r="Y1400" s="210"/>
      <c r="Z1400" s="210"/>
      <c r="AA1400" s="210"/>
      <c r="AB1400" s="210"/>
      <c r="AC1400" s="210"/>
      <c r="AD1400" s="210"/>
      <c r="AE1400" s="210"/>
      <c r="AF1400" s="210"/>
      <c r="AG1400" s="210"/>
      <c r="AH1400" s="210"/>
      <c r="AI1400" s="210"/>
      <c r="AJ1400" s="210"/>
      <c r="AK1400" s="210"/>
      <c r="AL1400" s="210"/>
      <c r="AM1400" s="214"/>
      <c r="AN1400" s="210"/>
      <c r="AO1400" s="210"/>
      <c r="AP1400" s="210"/>
      <c r="AQ1400" s="210"/>
      <c r="AR1400" s="210"/>
      <c r="AS1400" s="210"/>
      <c r="AT1400" s="210"/>
      <c r="AU1400" s="210"/>
      <c r="AV1400" s="210"/>
      <c r="AW1400" s="210"/>
      <c r="AX1400" s="210"/>
      <c r="AY1400" s="210"/>
      <c r="AZ1400" s="210"/>
      <c r="BA1400" s="210"/>
      <c r="BB1400" s="210"/>
      <c r="BC1400" s="210"/>
      <c r="BD1400" s="210"/>
      <c r="BE1400" s="210"/>
      <c r="BF1400" s="210"/>
      <c r="BG1400" s="210"/>
      <c r="BH1400" s="210"/>
      <c r="BI1400" s="210"/>
      <c r="BJ1400" s="210"/>
      <c r="BK1400" s="210"/>
      <c r="BL1400" s="210"/>
      <c r="BM1400" s="210"/>
      <c r="BN1400" s="210"/>
      <c r="BO1400" s="210"/>
      <c r="BP1400" s="210"/>
      <c r="BQ1400" s="210"/>
      <c r="BR1400" s="210"/>
      <c r="BS1400" s="210"/>
      <c r="BT1400" s="210"/>
      <c r="BU1400" s="210"/>
      <c r="BV1400" s="210"/>
      <c r="BW1400" s="210"/>
      <c r="BX1400" s="210"/>
      <c r="BY1400" s="210"/>
      <c r="BZ1400" s="210"/>
      <c r="CA1400" s="210"/>
      <c r="CB1400" s="210"/>
      <c r="CC1400" s="210"/>
      <c r="CD1400" s="210"/>
      <c r="CE1400" s="210"/>
      <c r="CF1400" s="210"/>
      <c r="CG1400" s="210"/>
      <c r="CH1400" s="210"/>
      <c r="CI1400" s="210"/>
      <c r="CJ1400" s="210"/>
      <c r="CK1400" s="210"/>
    </row>
    <row r="1401">
      <c r="A1401" s="220"/>
      <c r="F1401" s="190"/>
      <c r="G1401" s="190"/>
      <c r="L1401" s="220"/>
      <c r="M1401" s="220"/>
      <c r="O1401" s="210"/>
      <c r="P1401" s="210"/>
      <c r="Q1401" s="210"/>
      <c r="R1401" s="210"/>
      <c r="S1401" s="210"/>
      <c r="T1401" s="210"/>
      <c r="U1401" s="210"/>
      <c r="V1401" s="210"/>
      <c r="W1401" s="210"/>
      <c r="X1401" s="210"/>
      <c r="Y1401" s="210"/>
      <c r="Z1401" s="210"/>
      <c r="AA1401" s="210"/>
      <c r="AB1401" s="210"/>
      <c r="AC1401" s="210"/>
      <c r="AD1401" s="210"/>
      <c r="AE1401" s="210"/>
      <c r="AF1401" s="210"/>
      <c r="AG1401" s="210"/>
      <c r="AH1401" s="210"/>
      <c r="AI1401" s="210"/>
      <c r="AJ1401" s="210"/>
      <c r="AK1401" s="210"/>
      <c r="AL1401" s="210"/>
      <c r="AM1401" s="214"/>
      <c r="AN1401" s="210"/>
      <c r="AO1401" s="210"/>
      <c r="AP1401" s="210"/>
      <c r="AQ1401" s="210"/>
      <c r="AR1401" s="210"/>
      <c r="AS1401" s="210"/>
      <c r="AT1401" s="210"/>
      <c r="AU1401" s="210"/>
      <c r="AV1401" s="210"/>
      <c r="AW1401" s="210"/>
      <c r="AX1401" s="210"/>
      <c r="AY1401" s="210"/>
      <c r="AZ1401" s="210"/>
      <c r="BA1401" s="210"/>
      <c r="BB1401" s="210"/>
      <c r="BC1401" s="210"/>
      <c r="BD1401" s="210"/>
      <c r="BE1401" s="210"/>
      <c r="BF1401" s="210"/>
      <c r="BG1401" s="210"/>
      <c r="BH1401" s="210"/>
      <c r="BI1401" s="210"/>
      <c r="BJ1401" s="210"/>
      <c r="BK1401" s="210"/>
      <c r="BL1401" s="210"/>
      <c r="BM1401" s="210"/>
      <c r="BN1401" s="210"/>
      <c r="BO1401" s="210"/>
      <c r="BP1401" s="210"/>
      <c r="BQ1401" s="210"/>
      <c r="BR1401" s="210"/>
      <c r="BS1401" s="210"/>
      <c r="BT1401" s="210"/>
      <c r="BU1401" s="210"/>
      <c r="BV1401" s="210"/>
      <c r="BW1401" s="210"/>
      <c r="BX1401" s="210"/>
      <c r="BY1401" s="210"/>
      <c r="BZ1401" s="210"/>
      <c r="CA1401" s="210"/>
      <c r="CB1401" s="210"/>
      <c r="CC1401" s="210"/>
      <c r="CD1401" s="210"/>
      <c r="CE1401" s="210"/>
      <c r="CF1401" s="210"/>
      <c r="CG1401" s="210"/>
      <c r="CH1401" s="210"/>
      <c r="CI1401" s="210"/>
      <c r="CJ1401" s="210"/>
      <c r="CK1401" s="210"/>
    </row>
    <row r="1402">
      <c r="A1402" s="220"/>
      <c r="F1402" s="190"/>
      <c r="G1402" s="190"/>
      <c r="L1402" s="220"/>
      <c r="M1402" s="220"/>
      <c r="O1402" s="210"/>
      <c r="P1402" s="210"/>
      <c r="Q1402" s="210"/>
      <c r="R1402" s="210"/>
      <c r="S1402" s="210"/>
      <c r="T1402" s="210"/>
      <c r="U1402" s="210"/>
      <c r="V1402" s="210"/>
      <c r="W1402" s="210"/>
      <c r="X1402" s="210"/>
      <c r="Y1402" s="210"/>
      <c r="Z1402" s="210"/>
      <c r="AA1402" s="210"/>
      <c r="AB1402" s="210"/>
      <c r="AC1402" s="210"/>
      <c r="AD1402" s="210"/>
      <c r="AE1402" s="210"/>
      <c r="AF1402" s="210"/>
      <c r="AG1402" s="210"/>
      <c r="AH1402" s="210"/>
      <c r="AI1402" s="210"/>
      <c r="AJ1402" s="210"/>
      <c r="AK1402" s="210"/>
      <c r="AL1402" s="210"/>
      <c r="AM1402" s="214"/>
      <c r="AN1402" s="210"/>
      <c r="AO1402" s="210"/>
      <c r="AP1402" s="210"/>
      <c r="AQ1402" s="210"/>
      <c r="AR1402" s="210"/>
      <c r="AS1402" s="210"/>
      <c r="AT1402" s="210"/>
      <c r="AU1402" s="210"/>
      <c r="AV1402" s="210"/>
      <c r="AW1402" s="210"/>
      <c r="AX1402" s="210"/>
      <c r="AY1402" s="210"/>
      <c r="AZ1402" s="210"/>
      <c r="BA1402" s="210"/>
      <c r="BB1402" s="210"/>
      <c r="BC1402" s="210"/>
      <c r="BD1402" s="210"/>
      <c r="BE1402" s="210"/>
      <c r="BF1402" s="210"/>
      <c r="BG1402" s="210"/>
      <c r="BH1402" s="210"/>
      <c r="BI1402" s="210"/>
      <c r="BJ1402" s="210"/>
      <c r="BK1402" s="210"/>
      <c r="BL1402" s="210"/>
      <c r="BM1402" s="210"/>
      <c r="BN1402" s="210"/>
      <c r="BO1402" s="210"/>
      <c r="BP1402" s="210"/>
      <c r="BQ1402" s="210"/>
      <c r="BR1402" s="210"/>
      <c r="BS1402" s="210"/>
      <c r="BT1402" s="210"/>
      <c r="BU1402" s="210"/>
      <c r="BV1402" s="210"/>
      <c r="BW1402" s="210"/>
      <c r="BX1402" s="210"/>
      <c r="BY1402" s="210"/>
      <c r="BZ1402" s="210"/>
      <c r="CA1402" s="210"/>
      <c r="CB1402" s="210"/>
      <c r="CC1402" s="210"/>
      <c r="CD1402" s="210"/>
      <c r="CE1402" s="210"/>
      <c r="CF1402" s="210"/>
      <c r="CG1402" s="210"/>
      <c r="CH1402" s="210"/>
      <c r="CI1402" s="210"/>
      <c r="CJ1402" s="210"/>
      <c r="CK1402" s="210"/>
    </row>
    <row r="1403">
      <c r="A1403" s="220"/>
      <c r="F1403" s="190"/>
      <c r="G1403" s="190"/>
      <c r="L1403" s="220"/>
      <c r="M1403" s="220"/>
      <c r="O1403" s="210"/>
      <c r="P1403" s="210"/>
      <c r="Q1403" s="210"/>
      <c r="R1403" s="210"/>
      <c r="S1403" s="210"/>
      <c r="T1403" s="210"/>
      <c r="U1403" s="210"/>
      <c r="V1403" s="210"/>
      <c r="W1403" s="210"/>
      <c r="X1403" s="210"/>
      <c r="Y1403" s="210"/>
      <c r="Z1403" s="210"/>
      <c r="AA1403" s="210"/>
      <c r="AB1403" s="210"/>
      <c r="AC1403" s="210"/>
      <c r="AD1403" s="210"/>
      <c r="AE1403" s="210"/>
      <c r="AF1403" s="210"/>
      <c r="AG1403" s="210"/>
      <c r="AH1403" s="210"/>
      <c r="AI1403" s="210"/>
      <c r="AJ1403" s="210"/>
      <c r="AK1403" s="210"/>
      <c r="AL1403" s="210"/>
      <c r="AM1403" s="214"/>
      <c r="AN1403" s="210"/>
      <c r="AO1403" s="210"/>
      <c r="AP1403" s="210"/>
      <c r="AQ1403" s="210"/>
      <c r="AR1403" s="210"/>
      <c r="AS1403" s="210"/>
      <c r="AT1403" s="210"/>
      <c r="AU1403" s="210"/>
      <c r="AV1403" s="210"/>
      <c r="AW1403" s="210"/>
      <c r="AX1403" s="210"/>
      <c r="AY1403" s="210"/>
      <c r="AZ1403" s="210"/>
      <c r="BA1403" s="210"/>
      <c r="BB1403" s="210"/>
      <c r="BC1403" s="210"/>
      <c r="BD1403" s="210"/>
      <c r="BE1403" s="210"/>
      <c r="BF1403" s="210"/>
      <c r="BG1403" s="210"/>
      <c r="BH1403" s="210"/>
      <c r="BI1403" s="210"/>
      <c r="BJ1403" s="210"/>
      <c r="BK1403" s="210"/>
      <c r="BL1403" s="210"/>
      <c r="BM1403" s="210"/>
      <c r="BN1403" s="210"/>
      <c r="BO1403" s="210"/>
      <c r="BP1403" s="210"/>
      <c r="BQ1403" s="210"/>
      <c r="BR1403" s="210"/>
      <c r="BS1403" s="210"/>
      <c r="BT1403" s="210"/>
      <c r="BU1403" s="210"/>
      <c r="BV1403" s="210"/>
      <c r="BW1403" s="210"/>
      <c r="BX1403" s="210"/>
      <c r="BY1403" s="210"/>
      <c r="BZ1403" s="210"/>
      <c r="CA1403" s="210"/>
      <c r="CB1403" s="210"/>
      <c r="CC1403" s="210"/>
      <c r="CD1403" s="210"/>
      <c r="CE1403" s="210"/>
      <c r="CF1403" s="210"/>
      <c r="CG1403" s="210"/>
      <c r="CH1403" s="210"/>
      <c r="CI1403" s="210"/>
      <c r="CJ1403" s="210"/>
      <c r="CK1403" s="210"/>
    </row>
    <row r="1404">
      <c r="A1404" s="220"/>
      <c r="F1404" s="190"/>
      <c r="G1404" s="190"/>
      <c r="L1404" s="220"/>
      <c r="M1404" s="220"/>
      <c r="O1404" s="210"/>
      <c r="P1404" s="210"/>
      <c r="Q1404" s="210"/>
      <c r="R1404" s="210"/>
      <c r="S1404" s="210"/>
      <c r="T1404" s="210"/>
      <c r="U1404" s="210"/>
      <c r="V1404" s="210"/>
      <c r="W1404" s="210"/>
      <c r="X1404" s="210"/>
      <c r="Y1404" s="210"/>
      <c r="Z1404" s="210"/>
      <c r="AA1404" s="210"/>
      <c r="AB1404" s="210"/>
      <c r="AC1404" s="210"/>
      <c r="AD1404" s="210"/>
      <c r="AE1404" s="210"/>
      <c r="AF1404" s="210"/>
      <c r="AG1404" s="210"/>
      <c r="AH1404" s="210"/>
      <c r="AI1404" s="210"/>
      <c r="AJ1404" s="210"/>
      <c r="AK1404" s="210"/>
      <c r="AL1404" s="210"/>
      <c r="AM1404" s="214"/>
      <c r="AN1404" s="210"/>
      <c r="AO1404" s="210"/>
      <c r="AP1404" s="210"/>
      <c r="AQ1404" s="210"/>
      <c r="AR1404" s="210"/>
      <c r="AS1404" s="210"/>
      <c r="AT1404" s="210"/>
      <c r="AU1404" s="210"/>
      <c r="AV1404" s="210"/>
      <c r="AW1404" s="210"/>
      <c r="AX1404" s="210"/>
      <c r="AY1404" s="210"/>
      <c r="AZ1404" s="210"/>
      <c r="BA1404" s="210"/>
      <c r="BB1404" s="210"/>
      <c r="BC1404" s="210"/>
      <c r="BD1404" s="210"/>
      <c r="BE1404" s="210"/>
      <c r="BF1404" s="210"/>
      <c r="BG1404" s="210"/>
      <c r="BH1404" s="210"/>
      <c r="BI1404" s="210"/>
      <c r="BJ1404" s="210"/>
      <c r="BK1404" s="210"/>
      <c r="BL1404" s="210"/>
      <c r="BM1404" s="210"/>
      <c r="BN1404" s="210"/>
      <c r="BO1404" s="210"/>
      <c r="BP1404" s="210"/>
      <c r="BQ1404" s="210"/>
      <c r="BR1404" s="210"/>
      <c r="BS1404" s="210"/>
      <c r="BT1404" s="210"/>
      <c r="BU1404" s="210"/>
      <c r="BV1404" s="210"/>
      <c r="BW1404" s="210"/>
      <c r="BX1404" s="210"/>
      <c r="BY1404" s="210"/>
      <c r="BZ1404" s="210"/>
      <c r="CA1404" s="210"/>
      <c r="CB1404" s="210"/>
      <c r="CC1404" s="210"/>
      <c r="CD1404" s="210"/>
      <c r="CE1404" s="210"/>
      <c r="CF1404" s="210"/>
      <c r="CG1404" s="210"/>
      <c r="CH1404" s="210"/>
      <c r="CI1404" s="210"/>
      <c r="CJ1404" s="210"/>
      <c r="CK1404" s="210"/>
    </row>
    <row r="1405">
      <c r="A1405" s="220"/>
      <c r="F1405" s="190"/>
      <c r="G1405" s="190"/>
      <c r="L1405" s="220"/>
      <c r="M1405" s="220"/>
      <c r="O1405" s="210"/>
      <c r="P1405" s="210"/>
      <c r="Q1405" s="210"/>
      <c r="R1405" s="210"/>
      <c r="S1405" s="210"/>
      <c r="T1405" s="210"/>
      <c r="U1405" s="210"/>
      <c r="V1405" s="210"/>
      <c r="W1405" s="210"/>
      <c r="X1405" s="210"/>
      <c r="Y1405" s="210"/>
      <c r="Z1405" s="210"/>
      <c r="AA1405" s="210"/>
      <c r="AB1405" s="210"/>
      <c r="AC1405" s="210"/>
      <c r="AD1405" s="210"/>
      <c r="AE1405" s="210"/>
      <c r="AF1405" s="210"/>
      <c r="AG1405" s="210"/>
      <c r="AH1405" s="210"/>
      <c r="AI1405" s="210"/>
      <c r="AJ1405" s="210"/>
      <c r="AK1405" s="210"/>
      <c r="AL1405" s="210"/>
      <c r="AM1405" s="214"/>
      <c r="AN1405" s="210"/>
      <c r="AO1405" s="210"/>
      <c r="AP1405" s="210"/>
      <c r="AQ1405" s="210"/>
      <c r="AR1405" s="210"/>
      <c r="AS1405" s="210"/>
      <c r="AT1405" s="210"/>
      <c r="AU1405" s="210"/>
      <c r="AV1405" s="210"/>
      <c r="AW1405" s="210"/>
      <c r="AX1405" s="210"/>
      <c r="AY1405" s="210"/>
      <c r="AZ1405" s="210"/>
      <c r="BA1405" s="210"/>
      <c r="BB1405" s="210"/>
      <c r="BC1405" s="210"/>
      <c r="BD1405" s="210"/>
      <c r="BE1405" s="210"/>
      <c r="BF1405" s="210"/>
      <c r="BG1405" s="210"/>
      <c r="BH1405" s="210"/>
      <c r="BI1405" s="210"/>
      <c r="BJ1405" s="210"/>
      <c r="BK1405" s="210"/>
      <c r="BL1405" s="210"/>
      <c r="BM1405" s="210"/>
      <c r="BN1405" s="210"/>
      <c r="BO1405" s="210"/>
      <c r="BP1405" s="210"/>
      <c r="BQ1405" s="210"/>
      <c r="BR1405" s="210"/>
      <c r="BS1405" s="210"/>
      <c r="BT1405" s="210"/>
      <c r="BU1405" s="210"/>
      <c r="BV1405" s="210"/>
      <c r="BW1405" s="210"/>
      <c r="BX1405" s="210"/>
      <c r="BY1405" s="210"/>
      <c r="BZ1405" s="210"/>
      <c r="CA1405" s="210"/>
      <c r="CB1405" s="210"/>
      <c r="CC1405" s="210"/>
      <c r="CD1405" s="210"/>
      <c r="CE1405" s="210"/>
      <c r="CF1405" s="210"/>
      <c r="CG1405" s="210"/>
      <c r="CH1405" s="210"/>
      <c r="CI1405" s="210"/>
      <c r="CJ1405" s="210"/>
      <c r="CK1405" s="210"/>
    </row>
    <row r="1406">
      <c r="A1406" s="220"/>
      <c r="F1406" s="190"/>
      <c r="G1406" s="190"/>
      <c r="L1406" s="220"/>
      <c r="M1406" s="220"/>
      <c r="O1406" s="210"/>
      <c r="P1406" s="210"/>
      <c r="Q1406" s="210"/>
      <c r="R1406" s="210"/>
      <c r="S1406" s="210"/>
      <c r="T1406" s="210"/>
      <c r="U1406" s="210"/>
      <c r="V1406" s="210"/>
      <c r="W1406" s="210"/>
      <c r="X1406" s="210"/>
      <c r="Y1406" s="210"/>
      <c r="Z1406" s="210"/>
      <c r="AA1406" s="210"/>
      <c r="AB1406" s="210"/>
      <c r="AC1406" s="210"/>
      <c r="AD1406" s="210"/>
      <c r="AE1406" s="210"/>
      <c r="AF1406" s="210"/>
      <c r="AG1406" s="210"/>
      <c r="AH1406" s="210"/>
      <c r="AI1406" s="210"/>
      <c r="AJ1406" s="210"/>
      <c r="AK1406" s="210"/>
      <c r="AL1406" s="210"/>
      <c r="AM1406" s="214"/>
      <c r="AN1406" s="210"/>
      <c r="AO1406" s="210"/>
      <c r="AP1406" s="210"/>
      <c r="AQ1406" s="210"/>
      <c r="AR1406" s="210"/>
      <c r="AS1406" s="210"/>
      <c r="AT1406" s="210"/>
      <c r="AU1406" s="210"/>
      <c r="AV1406" s="210"/>
      <c r="AW1406" s="210"/>
      <c r="AX1406" s="210"/>
      <c r="AY1406" s="210"/>
      <c r="AZ1406" s="210"/>
      <c r="BA1406" s="210"/>
      <c r="BB1406" s="210"/>
      <c r="BC1406" s="210"/>
      <c r="BD1406" s="210"/>
      <c r="BE1406" s="210"/>
      <c r="BF1406" s="210"/>
      <c r="BG1406" s="210"/>
      <c r="BH1406" s="210"/>
      <c r="BI1406" s="210"/>
      <c r="BJ1406" s="210"/>
      <c r="BK1406" s="210"/>
      <c r="BL1406" s="210"/>
      <c r="BM1406" s="210"/>
      <c r="BN1406" s="210"/>
      <c r="BO1406" s="210"/>
      <c r="BP1406" s="210"/>
      <c r="BQ1406" s="210"/>
      <c r="BR1406" s="210"/>
      <c r="BS1406" s="210"/>
      <c r="BT1406" s="210"/>
      <c r="BU1406" s="210"/>
      <c r="BV1406" s="210"/>
      <c r="BW1406" s="210"/>
      <c r="BX1406" s="210"/>
      <c r="BY1406" s="210"/>
      <c r="BZ1406" s="210"/>
      <c r="CA1406" s="210"/>
      <c r="CB1406" s="210"/>
      <c r="CC1406" s="210"/>
      <c r="CD1406" s="210"/>
      <c r="CE1406" s="210"/>
      <c r="CF1406" s="210"/>
      <c r="CG1406" s="210"/>
      <c r="CH1406" s="210"/>
      <c r="CI1406" s="210"/>
      <c r="CJ1406" s="210"/>
      <c r="CK1406" s="210"/>
    </row>
    <row r="1407">
      <c r="A1407" s="220"/>
      <c r="F1407" s="190"/>
      <c r="G1407" s="190"/>
      <c r="L1407" s="220"/>
      <c r="M1407" s="220"/>
      <c r="O1407" s="210"/>
      <c r="P1407" s="210"/>
      <c r="Q1407" s="210"/>
      <c r="R1407" s="210"/>
      <c r="S1407" s="210"/>
      <c r="T1407" s="210"/>
      <c r="U1407" s="210"/>
      <c r="V1407" s="210"/>
      <c r="W1407" s="210"/>
      <c r="X1407" s="210"/>
      <c r="Y1407" s="210"/>
      <c r="Z1407" s="210"/>
      <c r="AA1407" s="210"/>
      <c r="AB1407" s="210"/>
      <c r="AC1407" s="210"/>
      <c r="AD1407" s="210"/>
      <c r="AE1407" s="210"/>
      <c r="AF1407" s="210"/>
      <c r="AG1407" s="210"/>
      <c r="AH1407" s="210"/>
      <c r="AI1407" s="210"/>
      <c r="AJ1407" s="210"/>
      <c r="AK1407" s="210"/>
      <c r="AL1407" s="210"/>
      <c r="AM1407" s="214"/>
      <c r="AN1407" s="210"/>
      <c r="AO1407" s="210"/>
      <c r="AP1407" s="210"/>
      <c r="AQ1407" s="210"/>
      <c r="AR1407" s="210"/>
      <c r="AS1407" s="210"/>
      <c r="AT1407" s="210"/>
      <c r="AU1407" s="210"/>
      <c r="AV1407" s="210"/>
      <c r="AW1407" s="210"/>
      <c r="AX1407" s="210"/>
      <c r="AY1407" s="210"/>
      <c r="AZ1407" s="210"/>
      <c r="BA1407" s="210"/>
      <c r="BB1407" s="210"/>
      <c r="BC1407" s="210"/>
      <c r="BD1407" s="210"/>
      <c r="BE1407" s="210"/>
      <c r="BF1407" s="210"/>
      <c r="BG1407" s="210"/>
      <c r="BH1407" s="210"/>
      <c r="BI1407" s="210"/>
      <c r="BJ1407" s="210"/>
      <c r="BK1407" s="210"/>
      <c r="BL1407" s="210"/>
      <c r="BM1407" s="210"/>
      <c r="BN1407" s="210"/>
      <c r="BO1407" s="210"/>
      <c r="BP1407" s="210"/>
      <c r="BQ1407" s="210"/>
      <c r="BR1407" s="210"/>
      <c r="BS1407" s="210"/>
      <c r="BT1407" s="210"/>
      <c r="BU1407" s="210"/>
      <c r="BV1407" s="210"/>
      <c r="BW1407" s="210"/>
      <c r="BX1407" s="210"/>
      <c r="BY1407" s="210"/>
      <c r="BZ1407" s="210"/>
      <c r="CA1407" s="210"/>
      <c r="CB1407" s="210"/>
      <c r="CC1407" s="210"/>
      <c r="CD1407" s="210"/>
      <c r="CE1407" s="210"/>
      <c r="CF1407" s="210"/>
      <c r="CG1407" s="210"/>
      <c r="CH1407" s="210"/>
      <c r="CI1407" s="210"/>
      <c r="CJ1407" s="210"/>
      <c r="CK1407" s="210"/>
    </row>
    <row r="1408">
      <c r="A1408" s="220"/>
      <c r="F1408" s="190"/>
      <c r="G1408" s="190"/>
      <c r="L1408" s="220"/>
      <c r="M1408" s="220"/>
      <c r="O1408" s="210"/>
      <c r="P1408" s="210"/>
      <c r="Q1408" s="210"/>
      <c r="R1408" s="210"/>
      <c r="S1408" s="210"/>
      <c r="T1408" s="210"/>
      <c r="U1408" s="210"/>
      <c r="V1408" s="210"/>
      <c r="W1408" s="210"/>
      <c r="X1408" s="210"/>
      <c r="Y1408" s="210"/>
      <c r="Z1408" s="210"/>
      <c r="AA1408" s="210"/>
      <c r="AB1408" s="210"/>
      <c r="AC1408" s="210"/>
      <c r="AD1408" s="210"/>
      <c r="AE1408" s="210"/>
      <c r="AF1408" s="210"/>
      <c r="AG1408" s="210"/>
      <c r="AH1408" s="210"/>
      <c r="AI1408" s="210"/>
      <c r="AJ1408" s="210"/>
      <c r="AK1408" s="210"/>
      <c r="AL1408" s="210"/>
      <c r="AM1408" s="214"/>
      <c r="AN1408" s="210"/>
      <c r="AO1408" s="210"/>
      <c r="AP1408" s="210"/>
      <c r="AQ1408" s="210"/>
      <c r="AR1408" s="210"/>
      <c r="AS1408" s="210"/>
      <c r="AT1408" s="210"/>
      <c r="AU1408" s="210"/>
      <c r="AV1408" s="210"/>
      <c r="AW1408" s="210"/>
      <c r="AX1408" s="210"/>
      <c r="AY1408" s="210"/>
      <c r="AZ1408" s="210"/>
      <c r="BA1408" s="210"/>
      <c r="BB1408" s="210"/>
      <c r="BC1408" s="210"/>
      <c r="BD1408" s="210"/>
      <c r="BE1408" s="210"/>
      <c r="BF1408" s="210"/>
      <c r="BG1408" s="210"/>
      <c r="BH1408" s="210"/>
      <c r="BI1408" s="210"/>
      <c r="BJ1408" s="210"/>
      <c r="BK1408" s="210"/>
      <c r="BL1408" s="210"/>
      <c r="BM1408" s="210"/>
      <c r="BN1408" s="210"/>
      <c r="BO1408" s="210"/>
      <c r="BP1408" s="210"/>
      <c r="BQ1408" s="210"/>
      <c r="BR1408" s="210"/>
      <c r="BS1408" s="210"/>
      <c r="BT1408" s="210"/>
      <c r="BU1408" s="210"/>
      <c r="BV1408" s="210"/>
      <c r="BW1408" s="210"/>
      <c r="BX1408" s="210"/>
      <c r="BY1408" s="210"/>
      <c r="BZ1408" s="210"/>
      <c r="CA1408" s="210"/>
      <c r="CB1408" s="210"/>
      <c r="CC1408" s="210"/>
      <c r="CD1408" s="210"/>
      <c r="CE1408" s="210"/>
      <c r="CF1408" s="210"/>
      <c r="CG1408" s="210"/>
      <c r="CH1408" s="210"/>
      <c r="CI1408" s="210"/>
      <c r="CJ1408" s="210"/>
      <c r="CK1408" s="210"/>
    </row>
    <row r="1409">
      <c r="A1409" s="220"/>
      <c r="F1409" s="190"/>
      <c r="G1409" s="190"/>
      <c r="L1409" s="220"/>
      <c r="M1409" s="220"/>
      <c r="O1409" s="210"/>
      <c r="P1409" s="210"/>
      <c r="Q1409" s="210"/>
      <c r="R1409" s="210"/>
      <c r="S1409" s="210"/>
      <c r="T1409" s="210"/>
      <c r="U1409" s="210"/>
      <c r="V1409" s="210"/>
      <c r="W1409" s="210"/>
      <c r="X1409" s="210"/>
      <c r="Y1409" s="210"/>
      <c r="Z1409" s="210"/>
      <c r="AA1409" s="210"/>
      <c r="AB1409" s="210"/>
      <c r="AC1409" s="210"/>
      <c r="AD1409" s="210"/>
      <c r="AE1409" s="210"/>
      <c r="AF1409" s="210"/>
      <c r="AG1409" s="210"/>
      <c r="AH1409" s="210"/>
      <c r="AI1409" s="210"/>
      <c r="AJ1409" s="210"/>
      <c r="AK1409" s="210"/>
      <c r="AL1409" s="210"/>
      <c r="AM1409" s="214"/>
      <c r="AN1409" s="210"/>
      <c r="AO1409" s="210"/>
      <c r="AP1409" s="210"/>
      <c r="AQ1409" s="210"/>
      <c r="AR1409" s="210"/>
      <c r="AS1409" s="210"/>
      <c r="AT1409" s="210"/>
      <c r="AU1409" s="210"/>
      <c r="AV1409" s="210"/>
      <c r="AW1409" s="210"/>
      <c r="AX1409" s="210"/>
      <c r="AY1409" s="210"/>
      <c r="AZ1409" s="210"/>
      <c r="BA1409" s="210"/>
      <c r="BB1409" s="210"/>
      <c r="BC1409" s="210"/>
      <c r="BD1409" s="210"/>
      <c r="BE1409" s="210"/>
      <c r="BF1409" s="210"/>
      <c r="BG1409" s="210"/>
      <c r="BH1409" s="210"/>
      <c r="BI1409" s="210"/>
      <c r="BJ1409" s="210"/>
      <c r="BK1409" s="210"/>
      <c r="BL1409" s="210"/>
      <c r="BM1409" s="210"/>
      <c r="BN1409" s="210"/>
      <c r="BO1409" s="210"/>
      <c r="BP1409" s="210"/>
      <c r="BQ1409" s="210"/>
      <c r="BR1409" s="210"/>
      <c r="BS1409" s="210"/>
      <c r="BT1409" s="210"/>
      <c r="BU1409" s="210"/>
      <c r="BV1409" s="210"/>
      <c r="BW1409" s="210"/>
      <c r="BX1409" s="210"/>
      <c r="BY1409" s="210"/>
      <c r="BZ1409" s="210"/>
      <c r="CA1409" s="210"/>
      <c r="CB1409" s="210"/>
      <c r="CC1409" s="210"/>
      <c r="CD1409" s="210"/>
      <c r="CE1409" s="210"/>
      <c r="CF1409" s="210"/>
      <c r="CG1409" s="210"/>
      <c r="CH1409" s="210"/>
      <c r="CI1409" s="210"/>
      <c r="CJ1409" s="210"/>
      <c r="CK1409" s="210"/>
    </row>
    <row r="1410">
      <c r="A1410" s="220"/>
      <c r="F1410" s="190"/>
      <c r="G1410" s="190"/>
      <c r="L1410" s="220"/>
      <c r="M1410" s="220"/>
      <c r="O1410" s="210"/>
      <c r="P1410" s="210"/>
      <c r="Q1410" s="210"/>
      <c r="R1410" s="210"/>
      <c r="S1410" s="210"/>
      <c r="T1410" s="210"/>
      <c r="U1410" s="210"/>
      <c r="V1410" s="210"/>
      <c r="W1410" s="210"/>
      <c r="X1410" s="210"/>
      <c r="Y1410" s="210"/>
      <c r="Z1410" s="210"/>
      <c r="AA1410" s="210"/>
      <c r="AB1410" s="210"/>
      <c r="AC1410" s="210"/>
      <c r="AD1410" s="210"/>
      <c r="AE1410" s="210"/>
      <c r="AF1410" s="210"/>
      <c r="AG1410" s="210"/>
      <c r="AH1410" s="210"/>
      <c r="AI1410" s="210"/>
      <c r="AJ1410" s="210"/>
      <c r="AK1410" s="210"/>
      <c r="AL1410" s="210"/>
      <c r="AM1410" s="214"/>
      <c r="AN1410" s="210"/>
      <c r="AO1410" s="210"/>
      <c r="AP1410" s="210"/>
      <c r="AQ1410" s="210"/>
      <c r="AR1410" s="210"/>
      <c r="AS1410" s="210"/>
      <c r="AT1410" s="210"/>
      <c r="AU1410" s="210"/>
      <c r="AV1410" s="210"/>
      <c r="AW1410" s="210"/>
      <c r="AX1410" s="210"/>
      <c r="AY1410" s="210"/>
      <c r="AZ1410" s="210"/>
      <c r="BA1410" s="210"/>
      <c r="BB1410" s="210"/>
      <c r="BC1410" s="210"/>
      <c r="BD1410" s="210"/>
      <c r="BE1410" s="210"/>
      <c r="BF1410" s="210"/>
      <c r="BG1410" s="210"/>
      <c r="BH1410" s="210"/>
      <c r="BI1410" s="210"/>
      <c r="BJ1410" s="210"/>
      <c r="BK1410" s="210"/>
      <c r="BL1410" s="210"/>
      <c r="BM1410" s="210"/>
      <c r="BN1410" s="210"/>
      <c r="BO1410" s="210"/>
      <c r="BP1410" s="210"/>
      <c r="BQ1410" s="210"/>
      <c r="BR1410" s="210"/>
      <c r="BS1410" s="210"/>
      <c r="BT1410" s="210"/>
      <c r="BU1410" s="210"/>
      <c r="BV1410" s="210"/>
      <c r="BW1410" s="210"/>
      <c r="BX1410" s="210"/>
      <c r="BY1410" s="210"/>
      <c r="BZ1410" s="210"/>
      <c r="CA1410" s="210"/>
      <c r="CB1410" s="210"/>
      <c r="CC1410" s="210"/>
      <c r="CD1410" s="210"/>
      <c r="CE1410" s="210"/>
      <c r="CF1410" s="210"/>
      <c r="CG1410" s="210"/>
      <c r="CH1410" s="210"/>
      <c r="CI1410" s="210"/>
      <c r="CJ1410" s="210"/>
      <c r="CK1410" s="210"/>
    </row>
    <row r="1411">
      <c r="A1411" s="220"/>
      <c r="F1411" s="190"/>
      <c r="G1411" s="190"/>
      <c r="L1411" s="220"/>
      <c r="M1411" s="220"/>
      <c r="O1411" s="210"/>
      <c r="P1411" s="210"/>
      <c r="Q1411" s="210"/>
      <c r="R1411" s="210"/>
      <c r="S1411" s="210"/>
      <c r="T1411" s="210"/>
      <c r="U1411" s="210"/>
      <c r="V1411" s="210"/>
      <c r="W1411" s="210"/>
      <c r="X1411" s="210"/>
      <c r="Y1411" s="210"/>
      <c r="Z1411" s="210"/>
      <c r="AA1411" s="210"/>
      <c r="AB1411" s="210"/>
      <c r="AC1411" s="210"/>
      <c r="AD1411" s="210"/>
      <c r="AE1411" s="210"/>
      <c r="AF1411" s="210"/>
      <c r="AG1411" s="210"/>
      <c r="AH1411" s="210"/>
      <c r="AI1411" s="210"/>
      <c r="AJ1411" s="210"/>
      <c r="AK1411" s="210"/>
      <c r="AL1411" s="210"/>
      <c r="AM1411" s="214"/>
      <c r="AN1411" s="210"/>
      <c r="AO1411" s="210"/>
      <c r="AP1411" s="210"/>
      <c r="AQ1411" s="210"/>
      <c r="AR1411" s="210"/>
      <c r="AS1411" s="210"/>
      <c r="AT1411" s="210"/>
      <c r="AU1411" s="210"/>
      <c r="AV1411" s="210"/>
      <c r="AW1411" s="210"/>
      <c r="AX1411" s="210"/>
      <c r="AY1411" s="210"/>
      <c r="AZ1411" s="210"/>
      <c r="BA1411" s="210"/>
      <c r="BB1411" s="210"/>
      <c r="BC1411" s="210"/>
      <c r="BD1411" s="210"/>
      <c r="BE1411" s="210"/>
      <c r="BF1411" s="210"/>
      <c r="BG1411" s="210"/>
      <c r="BH1411" s="210"/>
      <c r="BI1411" s="210"/>
      <c r="BJ1411" s="210"/>
      <c r="BK1411" s="210"/>
      <c r="BL1411" s="210"/>
      <c r="BM1411" s="210"/>
      <c r="BN1411" s="210"/>
      <c r="BO1411" s="210"/>
      <c r="BP1411" s="210"/>
      <c r="BQ1411" s="210"/>
      <c r="BR1411" s="210"/>
      <c r="BS1411" s="210"/>
      <c r="BT1411" s="210"/>
      <c r="BU1411" s="210"/>
      <c r="BV1411" s="210"/>
      <c r="BW1411" s="210"/>
      <c r="BX1411" s="210"/>
      <c r="BY1411" s="210"/>
      <c r="BZ1411" s="210"/>
      <c r="CA1411" s="210"/>
      <c r="CB1411" s="210"/>
      <c r="CC1411" s="210"/>
      <c r="CD1411" s="210"/>
      <c r="CE1411" s="210"/>
      <c r="CF1411" s="210"/>
      <c r="CG1411" s="210"/>
      <c r="CH1411" s="210"/>
      <c r="CI1411" s="210"/>
      <c r="CJ1411" s="210"/>
      <c r="CK1411" s="210"/>
    </row>
    <row r="1412">
      <c r="A1412" s="220"/>
      <c r="F1412" s="190"/>
      <c r="G1412" s="190"/>
      <c r="L1412" s="220"/>
      <c r="M1412" s="220"/>
      <c r="O1412" s="210"/>
      <c r="P1412" s="210"/>
      <c r="Q1412" s="210"/>
      <c r="R1412" s="210"/>
      <c r="S1412" s="210"/>
      <c r="T1412" s="210"/>
      <c r="U1412" s="210"/>
      <c r="V1412" s="210"/>
      <c r="W1412" s="210"/>
      <c r="X1412" s="210"/>
      <c r="Y1412" s="210"/>
      <c r="Z1412" s="210"/>
      <c r="AA1412" s="210"/>
      <c r="AB1412" s="210"/>
      <c r="AC1412" s="210"/>
      <c r="AD1412" s="210"/>
      <c r="AE1412" s="210"/>
      <c r="AF1412" s="210"/>
      <c r="AG1412" s="210"/>
      <c r="AH1412" s="210"/>
      <c r="AI1412" s="210"/>
      <c r="AJ1412" s="210"/>
      <c r="AK1412" s="210"/>
      <c r="AL1412" s="210"/>
      <c r="AM1412" s="214"/>
      <c r="AN1412" s="210"/>
      <c r="AO1412" s="210"/>
      <c r="AP1412" s="210"/>
      <c r="AQ1412" s="210"/>
      <c r="AR1412" s="210"/>
      <c r="AS1412" s="210"/>
      <c r="AT1412" s="210"/>
      <c r="AU1412" s="210"/>
      <c r="AV1412" s="210"/>
      <c r="AW1412" s="210"/>
      <c r="AX1412" s="210"/>
      <c r="AY1412" s="210"/>
      <c r="AZ1412" s="210"/>
      <c r="BA1412" s="210"/>
      <c r="BB1412" s="210"/>
      <c r="BC1412" s="210"/>
      <c r="BD1412" s="210"/>
      <c r="BE1412" s="210"/>
      <c r="BF1412" s="210"/>
      <c r="BG1412" s="210"/>
      <c r="BH1412" s="210"/>
      <c r="BI1412" s="210"/>
      <c r="BJ1412" s="210"/>
      <c r="BK1412" s="210"/>
      <c r="BL1412" s="210"/>
      <c r="BM1412" s="210"/>
      <c r="BN1412" s="210"/>
      <c r="BO1412" s="210"/>
      <c r="BP1412" s="210"/>
      <c r="BQ1412" s="210"/>
      <c r="BR1412" s="210"/>
      <c r="BS1412" s="210"/>
      <c r="BT1412" s="210"/>
      <c r="BU1412" s="210"/>
      <c r="BV1412" s="210"/>
      <c r="BW1412" s="210"/>
      <c r="BX1412" s="210"/>
      <c r="BY1412" s="210"/>
      <c r="BZ1412" s="210"/>
      <c r="CA1412" s="210"/>
      <c r="CB1412" s="210"/>
      <c r="CC1412" s="210"/>
      <c r="CD1412" s="210"/>
      <c r="CE1412" s="210"/>
      <c r="CF1412" s="210"/>
      <c r="CG1412" s="210"/>
      <c r="CH1412" s="210"/>
      <c r="CI1412" s="210"/>
      <c r="CJ1412" s="210"/>
      <c r="CK1412" s="210"/>
    </row>
    <row r="1413">
      <c r="A1413" s="220"/>
      <c r="F1413" s="190"/>
      <c r="G1413" s="190"/>
      <c r="L1413" s="220"/>
      <c r="M1413" s="220"/>
      <c r="O1413" s="210"/>
      <c r="P1413" s="210"/>
      <c r="Q1413" s="210"/>
      <c r="R1413" s="210"/>
      <c r="S1413" s="210"/>
      <c r="T1413" s="210"/>
      <c r="U1413" s="210"/>
      <c r="V1413" s="210"/>
      <c r="W1413" s="210"/>
      <c r="X1413" s="210"/>
      <c r="Y1413" s="210"/>
      <c r="Z1413" s="210"/>
      <c r="AA1413" s="210"/>
      <c r="AB1413" s="210"/>
      <c r="AC1413" s="210"/>
      <c r="AD1413" s="210"/>
      <c r="AE1413" s="210"/>
      <c r="AF1413" s="210"/>
      <c r="AG1413" s="210"/>
      <c r="AH1413" s="210"/>
      <c r="AI1413" s="210"/>
      <c r="AJ1413" s="210"/>
      <c r="AK1413" s="210"/>
      <c r="AL1413" s="210"/>
      <c r="AM1413" s="214"/>
      <c r="AN1413" s="210"/>
      <c r="AO1413" s="210"/>
      <c r="AP1413" s="210"/>
      <c r="AQ1413" s="210"/>
      <c r="AR1413" s="210"/>
      <c r="AS1413" s="210"/>
      <c r="AT1413" s="210"/>
      <c r="AU1413" s="210"/>
      <c r="AV1413" s="210"/>
      <c r="AW1413" s="210"/>
      <c r="AX1413" s="210"/>
      <c r="AY1413" s="210"/>
      <c r="AZ1413" s="210"/>
      <c r="BA1413" s="210"/>
      <c r="BB1413" s="210"/>
      <c r="BC1413" s="210"/>
      <c r="BD1413" s="210"/>
      <c r="BE1413" s="210"/>
      <c r="BF1413" s="210"/>
      <c r="BG1413" s="210"/>
      <c r="BH1413" s="210"/>
      <c r="BI1413" s="210"/>
      <c r="BJ1413" s="210"/>
      <c r="BK1413" s="210"/>
      <c r="BL1413" s="210"/>
      <c r="BM1413" s="210"/>
      <c r="BN1413" s="210"/>
      <c r="BO1413" s="210"/>
      <c r="BP1413" s="210"/>
      <c r="BQ1413" s="210"/>
      <c r="BR1413" s="210"/>
      <c r="BS1413" s="210"/>
      <c r="BT1413" s="210"/>
      <c r="BU1413" s="210"/>
      <c r="BV1413" s="210"/>
      <c r="BW1413" s="210"/>
      <c r="BX1413" s="210"/>
      <c r="BY1413" s="210"/>
      <c r="BZ1413" s="210"/>
      <c r="CA1413" s="210"/>
      <c r="CB1413" s="210"/>
      <c r="CC1413" s="210"/>
      <c r="CD1413" s="210"/>
      <c r="CE1413" s="210"/>
      <c r="CF1413" s="210"/>
      <c r="CG1413" s="210"/>
      <c r="CH1413" s="210"/>
      <c r="CI1413" s="210"/>
      <c r="CJ1413" s="210"/>
      <c r="CK1413" s="210"/>
    </row>
    <row r="1414">
      <c r="A1414" s="220"/>
      <c r="F1414" s="190"/>
      <c r="G1414" s="190"/>
      <c r="L1414" s="220"/>
      <c r="M1414" s="220"/>
      <c r="O1414" s="210"/>
      <c r="P1414" s="210"/>
      <c r="Q1414" s="210"/>
      <c r="R1414" s="210"/>
      <c r="S1414" s="210"/>
      <c r="T1414" s="210"/>
      <c r="U1414" s="210"/>
      <c r="V1414" s="210"/>
      <c r="W1414" s="210"/>
      <c r="X1414" s="210"/>
      <c r="Y1414" s="210"/>
      <c r="Z1414" s="210"/>
      <c r="AA1414" s="210"/>
      <c r="AB1414" s="210"/>
      <c r="AC1414" s="210"/>
      <c r="AD1414" s="210"/>
      <c r="AE1414" s="210"/>
      <c r="AF1414" s="210"/>
      <c r="AG1414" s="210"/>
      <c r="AH1414" s="210"/>
      <c r="AI1414" s="210"/>
      <c r="AJ1414" s="210"/>
      <c r="AK1414" s="210"/>
      <c r="AL1414" s="210"/>
      <c r="AM1414" s="214"/>
      <c r="AN1414" s="210"/>
      <c r="AO1414" s="210"/>
      <c r="AP1414" s="210"/>
      <c r="AQ1414" s="210"/>
      <c r="AR1414" s="210"/>
      <c r="AS1414" s="210"/>
      <c r="AT1414" s="210"/>
      <c r="AU1414" s="210"/>
      <c r="AV1414" s="210"/>
      <c r="AW1414" s="210"/>
      <c r="AX1414" s="210"/>
      <c r="AY1414" s="210"/>
      <c r="AZ1414" s="210"/>
      <c r="BA1414" s="210"/>
      <c r="BB1414" s="210"/>
      <c r="BC1414" s="210"/>
      <c r="BD1414" s="210"/>
      <c r="BE1414" s="210"/>
      <c r="BF1414" s="210"/>
      <c r="BG1414" s="210"/>
      <c r="BH1414" s="210"/>
      <c r="BI1414" s="210"/>
      <c r="BJ1414" s="210"/>
      <c r="BK1414" s="210"/>
      <c r="BL1414" s="210"/>
      <c r="BM1414" s="210"/>
      <c r="BN1414" s="210"/>
      <c r="BO1414" s="210"/>
      <c r="BP1414" s="210"/>
      <c r="BQ1414" s="210"/>
      <c r="BR1414" s="210"/>
      <c r="BS1414" s="210"/>
      <c r="BT1414" s="210"/>
      <c r="BU1414" s="210"/>
      <c r="BV1414" s="210"/>
      <c r="BW1414" s="210"/>
      <c r="BX1414" s="210"/>
      <c r="BY1414" s="210"/>
      <c r="BZ1414" s="210"/>
      <c r="CA1414" s="210"/>
      <c r="CB1414" s="210"/>
      <c r="CC1414" s="210"/>
      <c r="CD1414" s="210"/>
      <c r="CE1414" s="210"/>
      <c r="CF1414" s="210"/>
      <c r="CG1414" s="210"/>
      <c r="CH1414" s="210"/>
      <c r="CI1414" s="210"/>
      <c r="CJ1414" s="210"/>
      <c r="CK1414" s="210"/>
    </row>
    <row r="1415">
      <c r="A1415" s="220"/>
      <c r="F1415" s="190"/>
      <c r="G1415" s="190"/>
      <c r="L1415" s="220"/>
      <c r="M1415" s="220"/>
      <c r="O1415" s="210"/>
      <c r="P1415" s="210"/>
      <c r="Q1415" s="210"/>
      <c r="R1415" s="210"/>
      <c r="S1415" s="210"/>
      <c r="T1415" s="210"/>
      <c r="U1415" s="210"/>
      <c r="V1415" s="210"/>
      <c r="W1415" s="210"/>
      <c r="X1415" s="210"/>
      <c r="Y1415" s="210"/>
      <c r="Z1415" s="210"/>
      <c r="AA1415" s="210"/>
      <c r="AB1415" s="210"/>
      <c r="AC1415" s="210"/>
      <c r="AD1415" s="210"/>
      <c r="AE1415" s="210"/>
      <c r="AF1415" s="210"/>
      <c r="AG1415" s="210"/>
      <c r="AH1415" s="210"/>
      <c r="AI1415" s="210"/>
      <c r="AJ1415" s="210"/>
      <c r="AK1415" s="210"/>
      <c r="AL1415" s="210"/>
      <c r="AM1415" s="214"/>
      <c r="AN1415" s="210"/>
      <c r="AO1415" s="210"/>
      <c r="AP1415" s="210"/>
      <c r="AQ1415" s="210"/>
      <c r="AR1415" s="210"/>
      <c r="AS1415" s="210"/>
      <c r="AT1415" s="210"/>
      <c r="AU1415" s="210"/>
      <c r="AV1415" s="210"/>
      <c r="AW1415" s="210"/>
      <c r="AX1415" s="210"/>
      <c r="AY1415" s="210"/>
      <c r="AZ1415" s="210"/>
      <c r="BA1415" s="210"/>
      <c r="BB1415" s="210"/>
      <c r="BC1415" s="210"/>
      <c r="BD1415" s="210"/>
      <c r="BE1415" s="210"/>
      <c r="BF1415" s="210"/>
      <c r="BG1415" s="210"/>
      <c r="BH1415" s="210"/>
      <c r="BI1415" s="210"/>
      <c r="BJ1415" s="210"/>
      <c r="BK1415" s="210"/>
      <c r="BL1415" s="210"/>
      <c r="BM1415" s="210"/>
      <c r="BN1415" s="210"/>
      <c r="BO1415" s="210"/>
      <c r="BP1415" s="210"/>
      <c r="BQ1415" s="210"/>
      <c r="BR1415" s="210"/>
      <c r="BS1415" s="210"/>
      <c r="BT1415" s="210"/>
      <c r="BU1415" s="210"/>
      <c r="BV1415" s="210"/>
      <c r="BW1415" s="210"/>
      <c r="BX1415" s="210"/>
      <c r="BY1415" s="210"/>
      <c r="BZ1415" s="210"/>
      <c r="CA1415" s="210"/>
      <c r="CB1415" s="210"/>
      <c r="CC1415" s="210"/>
      <c r="CD1415" s="210"/>
      <c r="CE1415" s="210"/>
      <c r="CF1415" s="210"/>
      <c r="CG1415" s="210"/>
      <c r="CH1415" s="210"/>
      <c r="CI1415" s="210"/>
      <c r="CJ1415" s="210"/>
      <c r="CK1415" s="210"/>
    </row>
    <row r="1416">
      <c r="A1416" s="220"/>
      <c r="F1416" s="190"/>
      <c r="G1416" s="190"/>
      <c r="L1416" s="220"/>
      <c r="M1416" s="220"/>
      <c r="O1416" s="210"/>
      <c r="P1416" s="210"/>
      <c r="Q1416" s="210"/>
      <c r="R1416" s="210"/>
      <c r="S1416" s="210"/>
      <c r="T1416" s="210"/>
      <c r="U1416" s="210"/>
      <c r="V1416" s="210"/>
      <c r="W1416" s="210"/>
      <c r="X1416" s="210"/>
      <c r="Y1416" s="210"/>
      <c r="Z1416" s="210"/>
      <c r="AA1416" s="210"/>
      <c r="AB1416" s="210"/>
      <c r="AC1416" s="210"/>
      <c r="AD1416" s="210"/>
      <c r="AE1416" s="210"/>
      <c r="AF1416" s="210"/>
      <c r="AG1416" s="210"/>
      <c r="AH1416" s="210"/>
      <c r="AI1416" s="210"/>
      <c r="AJ1416" s="210"/>
      <c r="AK1416" s="210"/>
      <c r="AL1416" s="210"/>
      <c r="AM1416" s="214"/>
      <c r="AN1416" s="210"/>
      <c r="AO1416" s="210"/>
      <c r="AP1416" s="210"/>
      <c r="AQ1416" s="210"/>
      <c r="AR1416" s="210"/>
      <c r="AS1416" s="210"/>
      <c r="AT1416" s="210"/>
      <c r="AU1416" s="210"/>
      <c r="AV1416" s="210"/>
      <c r="AW1416" s="210"/>
      <c r="AX1416" s="210"/>
      <c r="AY1416" s="210"/>
      <c r="AZ1416" s="210"/>
      <c r="BA1416" s="210"/>
      <c r="BB1416" s="210"/>
      <c r="BC1416" s="210"/>
      <c r="BD1416" s="210"/>
      <c r="BE1416" s="210"/>
      <c r="BF1416" s="210"/>
      <c r="BG1416" s="210"/>
      <c r="BH1416" s="210"/>
      <c r="BI1416" s="210"/>
      <c r="BJ1416" s="210"/>
      <c r="BK1416" s="210"/>
      <c r="BL1416" s="210"/>
      <c r="BM1416" s="210"/>
      <c r="BN1416" s="210"/>
      <c r="BO1416" s="210"/>
      <c r="BP1416" s="210"/>
      <c r="BQ1416" s="210"/>
      <c r="BR1416" s="210"/>
      <c r="BS1416" s="210"/>
      <c r="BT1416" s="210"/>
      <c r="BU1416" s="210"/>
      <c r="BV1416" s="210"/>
      <c r="BW1416" s="210"/>
      <c r="BX1416" s="210"/>
      <c r="BY1416" s="210"/>
      <c r="BZ1416" s="210"/>
      <c r="CA1416" s="210"/>
      <c r="CB1416" s="210"/>
      <c r="CC1416" s="210"/>
      <c r="CD1416" s="210"/>
      <c r="CE1416" s="210"/>
      <c r="CF1416" s="210"/>
      <c r="CG1416" s="210"/>
      <c r="CH1416" s="210"/>
      <c r="CI1416" s="210"/>
      <c r="CJ1416" s="210"/>
      <c r="CK1416" s="210"/>
    </row>
    <row r="1417">
      <c r="A1417" s="220"/>
      <c r="F1417" s="190"/>
      <c r="G1417" s="190"/>
      <c r="L1417" s="220"/>
      <c r="M1417" s="220"/>
      <c r="O1417" s="210"/>
      <c r="P1417" s="210"/>
      <c r="Q1417" s="210"/>
      <c r="R1417" s="210"/>
      <c r="S1417" s="210"/>
      <c r="T1417" s="210"/>
      <c r="U1417" s="210"/>
      <c r="V1417" s="210"/>
      <c r="W1417" s="210"/>
      <c r="X1417" s="210"/>
      <c r="Y1417" s="210"/>
      <c r="Z1417" s="210"/>
      <c r="AA1417" s="210"/>
      <c r="AB1417" s="210"/>
      <c r="AC1417" s="210"/>
      <c r="AD1417" s="210"/>
      <c r="AE1417" s="210"/>
      <c r="AF1417" s="210"/>
      <c r="AG1417" s="210"/>
      <c r="AH1417" s="210"/>
      <c r="AI1417" s="210"/>
      <c r="AJ1417" s="210"/>
      <c r="AK1417" s="210"/>
      <c r="AL1417" s="210"/>
      <c r="AM1417" s="214"/>
      <c r="AN1417" s="210"/>
      <c r="AO1417" s="210"/>
      <c r="AP1417" s="210"/>
      <c r="AQ1417" s="210"/>
      <c r="AR1417" s="210"/>
      <c r="AS1417" s="210"/>
      <c r="AT1417" s="210"/>
      <c r="AU1417" s="210"/>
      <c r="AV1417" s="210"/>
      <c r="AW1417" s="210"/>
      <c r="AX1417" s="210"/>
      <c r="AY1417" s="210"/>
      <c r="AZ1417" s="210"/>
      <c r="BA1417" s="210"/>
      <c r="BB1417" s="210"/>
      <c r="BC1417" s="210"/>
      <c r="BD1417" s="210"/>
      <c r="BE1417" s="210"/>
      <c r="BF1417" s="210"/>
      <c r="BG1417" s="210"/>
      <c r="BH1417" s="210"/>
      <c r="BI1417" s="210"/>
      <c r="BJ1417" s="210"/>
      <c r="BK1417" s="210"/>
      <c r="BL1417" s="210"/>
      <c r="BM1417" s="210"/>
      <c r="BN1417" s="210"/>
      <c r="BO1417" s="210"/>
      <c r="BP1417" s="210"/>
      <c r="BQ1417" s="210"/>
      <c r="BR1417" s="210"/>
      <c r="BS1417" s="210"/>
      <c r="BT1417" s="210"/>
      <c r="BU1417" s="210"/>
      <c r="BV1417" s="210"/>
      <c r="BW1417" s="210"/>
      <c r="BX1417" s="210"/>
      <c r="BY1417" s="210"/>
      <c r="BZ1417" s="210"/>
      <c r="CA1417" s="210"/>
      <c r="CB1417" s="210"/>
      <c r="CC1417" s="210"/>
      <c r="CD1417" s="210"/>
      <c r="CE1417" s="210"/>
      <c r="CF1417" s="210"/>
      <c r="CG1417" s="210"/>
      <c r="CH1417" s="210"/>
      <c r="CI1417" s="210"/>
      <c r="CJ1417" s="210"/>
      <c r="CK1417" s="210"/>
    </row>
    <row r="1418">
      <c r="A1418" s="220"/>
      <c r="F1418" s="190"/>
      <c r="G1418" s="190"/>
      <c r="L1418" s="220"/>
      <c r="M1418" s="220"/>
      <c r="O1418" s="210"/>
      <c r="P1418" s="210"/>
      <c r="Q1418" s="210"/>
      <c r="R1418" s="210"/>
      <c r="S1418" s="210"/>
      <c r="T1418" s="210"/>
      <c r="U1418" s="210"/>
      <c r="V1418" s="210"/>
      <c r="W1418" s="210"/>
      <c r="X1418" s="210"/>
      <c r="Y1418" s="210"/>
      <c r="Z1418" s="210"/>
      <c r="AA1418" s="210"/>
      <c r="AB1418" s="210"/>
      <c r="AC1418" s="210"/>
      <c r="AD1418" s="210"/>
      <c r="AE1418" s="210"/>
      <c r="AF1418" s="210"/>
      <c r="AG1418" s="210"/>
      <c r="AH1418" s="210"/>
      <c r="AI1418" s="210"/>
      <c r="AJ1418" s="210"/>
      <c r="AK1418" s="210"/>
      <c r="AL1418" s="210"/>
      <c r="AM1418" s="214"/>
      <c r="AN1418" s="210"/>
      <c r="AO1418" s="210"/>
      <c r="AP1418" s="210"/>
      <c r="AQ1418" s="210"/>
      <c r="AR1418" s="210"/>
      <c r="AS1418" s="210"/>
      <c r="AT1418" s="210"/>
      <c r="AU1418" s="210"/>
      <c r="AV1418" s="210"/>
      <c r="AW1418" s="210"/>
      <c r="AX1418" s="210"/>
      <c r="AY1418" s="210"/>
      <c r="AZ1418" s="210"/>
      <c r="BA1418" s="210"/>
      <c r="BB1418" s="210"/>
      <c r="BC1418" s="210"/>
      <c r="BD1418" s="210"/>
      <c r="BE1418" s="210"/>
      <c r="BF1418" s="210"/>
      <c r="BG1418" s="210"/>
      <c r="BH1418" s="210"/>
      <c r="BI1418" s="210"/>
      <c r="BJ1418" s="210"/>
      <c r="BK1418" s="210"/>
      <c r="BL1418" s="210"/>
      <c r="BM1418" s="210"/>
      <c r="BN1418" s="210"/>
      <c r="BO1418" s="210"/>
      <c r="BP1418" s="210"/>
      <c r="BQ1418" s="210"/>
      <c r="BR1418" s="210"/>
      <c r="BS1418" s="210"/>
      <c r="BT1418" s="210"/>
      <c r="BU1418" s="210"/>
      <c r="BV1418" s="210"/>
      <c r="BW1418" s="210"/>
      <c r="BX1418" s="210"/>
      <c r="BY1418" s="210"/>
      <c r="BZ1418" s="210"/>
      <c r="CA1418" s="210"/>
      <c r="CB1418" s="210"/>
      <c r="CC1418" s="210"/>
      <c r="CD1418" s="210"/>
      <c r="CE1418" s="210"/>
      <c r="CF1418" s="210"/>
      <c r="CG1418" s="210"/>
      <c r="CH1418" s="210"/>
      <c r="CI1418" s="210"/>
      <c r="CJ1418" s="210"/>
      <c r="CK1418" s="210"/>
    </row>
    <row r="1419">
      <c r="A1419" s="220"/>
      <c r="F1419" s="190"/>
      <c r="G1419" s="190"/>
      <c r="L1419" s="220"/>
      <c r="M1419" s="220"/>
      <c r="O1419" s="210"/>
      <c r="P1419" s="210"/>
      <c r="Q1419" s="210"/>
      <c r="R1419" s="210"/>
      <c r="S1419" s="210"/>
      <c r="T1419" s="210"/>
      <c r="U1419" s="210"/>
      <c r="V1419" s="210"/>
      <c r="W1419" s="210"/>
      <c r="X1419" s="210"/>
      <c r="Y1419" s="210"/>
      <c r="Z1419" s="210"/>
      <c r="AA1419" s="210"/>
      <c r="AB1419" s="210"/>
      <c r="AC1419" s="210"/>
      <c r="AD1419" s="210"/>
      <c r="AE1419" s="210"/>
      <c r="AF1419" s="210"/>
      <c r="AG1419" s="210"/>
      <c r="AH1419" s="210"/>
      <c r="AI1419" s="210"/>
      <c r="AJ1419" s="210"/>
      <c r="AK1419" s="210"/>
      <c r="AL1419" s="210"/>
      <c r="AM1419" s="214"/>
      <c r="AN1419" s="210"/>
      <c r="AO1419" s="210"/>
      <c r="AP1419" s="210"/>
      <c r="AQ1419" s="210"/>
      <c r="AR1419" s="210"/>
      <c r="AS1419" s="210"/>
      <c r="AT1419" s="210"/>
      <c r="AU1419" s="210"/>
      <c r="AV1419" s="210"/>
      <c r="AW1419" s="210"/>
      <c r="AX1419" s="210"/>
      <c r="AY1419" s="210"/>
      <c r="AZ1419" s="210"/>
      <c r="BA1419" s="210"/>
      <c r="BB1419" s="210"/>
      <c r="BC1419" s="210"/>
      <c r="BD1419" s="210"/>
      <c r="BE1419" s="210"/>
      <c r="BF1419" s="210"/>
      <c r="BG1419" s="210"/>
      <c r="BH1419" s="210"/>
      <c r="BI1419" s="210"/>
      <c r="BJ1419" s="210"/>
      <c r="BK1419" s="210"/>
      <c r="BL1419" s="210"/>
      <c r="BM1419" s="210"/>
      <c r="BN1419" s="210"/>
      <c r="BO1419" s="210"/>
      <c r="BP1419" s="210"/>
      <c r="BQ1419" s="210"/>
      <c r="BR1419" s="210"/>
      <c r="BS1419" s="210"/>
      <c r="BT1419" s="210"/>
      <c r="BU1419" s="210"/>
      <c r="BV1419" s="210"/>
      <c r="BW1419" s="210"/>
      <c r="BX1419" s="210"/>
      <c r="BY1419" s="210"/>
      <c r="BZ1419" s="210"/>
      <c r="CA1419" s="210"/>
      <c r="CB1419" s="210"/>
      <c r="CC1419" s="210"/>
      <c r="CD1419" s="210"/>
      <c r="CE1419" s="210"/>
      <c r="CF1419" s="210"/>
      <c r="CG1419" s="210"/>
      <c r="CH1419" s="210"/>
      <c r="CI1419" s="210"/>
      <c r="CJ1419" s="210"/>
      <c r="CK1419" s="210"/>
    </row>
    <row r="1420">
      <c r="A1420" s="220"/>
      <c r="F1420" s="190"/>
      <c r="G1420" s="190"/>
      <c r="L1420" s="220"/>
      <c r="M1420" s="220"/>
      <c r="O1420" s="210"/>
      <c r="P1420" s="210"/>
      <c r="Q1420" s="210"/>
      <c r="R1420" s="210"/>
      <c r="S1420" s="210"/>
      <c r="T1420" s="210"/>
      <c r="U1420" s="210"/>
      <c r="V1420" s="210"/>
      <c r="W1420" s="210"/>
      <c r="X1420" s="210"/>
      <c r="Y1420" s="210"/>
      <c r="Z1420" s="210"/>
      <c r="AA1420" s="210"/>
      <c r="AB1420" s="210"/>
      <c r="AC1420" s="210"/>
      <c r="AD1420" s="210"/>
      <c r="AE1420" s="210"/>
      <c r="AF1420" s="210"/>
      <c r="AG1420" s="210"/>
      <c r="AH1420" s="210"/>
      <c r="AI1420" s="210"/>
      <c r="AJ1420" s="210"/>
      <c r="AK1420" s="210"/>
      <c r="AL1420" s="210"/>
      <c r="AM1420" s="214"/>
      <c r="AN1420" s="210"/>
      <c r="AO1420" s="210"/>
      <c r="AP1420" s="210"/>
      <c r="AQ1420" s="210"/>
      <c r="AR1420" s="210"/>
      <c r="AS1420" s="210"/>
      <c r="AT1420" s="210"/>
      <c r="AU1420" s="210"/>
      <c r="AV1420" s="210"/>
      <c r="AW1420" s="210"/>
      <c r="AX1420" s="210"/>
      <c r="AY1420" s="210"/>
      <c r="AZ1420" s="210"/>
      <c r="BA1420" s="210"/>
      <c r="BB1420" s="210"/>
      <c r="BC1420" s="210"/>
      <c r="BD1420" s="210"/>
      <c r="BE1420" s="210"/>
      <c r="BF1420" s="210"/>
      <c r="BG1420" s="210"/>
      <c r="BH1420" s="210"/>
      <c r="BI1420" s="210"/>
      <c r="BJ1420" s="210"/>
      <c r="BK1420" s="210"/>
      <c r="BL1420" s="210"/>
      <c r="BM1420" s="210"/>
      <c r="BN1420" s="210"/>
      <c r="BO1420" s="210"/>
      <c r="BP1420" s="210"/>
      <c r="BQ1420" s="210"/>
      <c r="BR1420" s="210"/>
      <c r="BS1420" s="210"/>
      <c r="BT1420" s="210"/>
      <c r="BU1420" s="210"/>
      <c r="BV1420" s="210"/>
      <c r="BW1420" s="210"/>
      <c r="BX1420" s="210"/>
      <c r="BY1420" s="210"/>
      <c r="BZ1420" s="210"/>
      <c r="CA1420" s="210"/>
      <c r="CB1420" s="210"/>
      <c r="CC1420" s="210"/>
      <c r="CD1420" s="210"/>
      <c r="CE1420" s="210"/>
      <c r="CF1420" s="210"/>
      <c r="CG1420" s="210"/>
      <c r="CH1420" s="210"/>
      <c r="CI1420" s="210"/>
      <c r="CJ1420" s="210"/>
      <c r="CK1420" s="210"/>
    </row>
    <row r="1421">
      <c r="A1421" s="220"/>
      <c r="F1421" s="190"/>
      <c r="G1421" s="190"/>
      <c r="L1421" s="220"/>
      <c r="M1421" s="220"/>
      <c r="O1421" s="210"/>
      <c r="P1421" s="210"/>
      <c r="Q1421" s="210"/>
      <c r="R1421" s="210"/>
      <c r="S1421" s="210"/>
      <c r="T1421" s="210"/>
      <c r="U1421" s="210"/>
      <c r="V1421" s="210"/>
      <c r="W1421" s="210"/>
      <c r="X1421" s="210"/>
      <c r="Y1421" s="210"/>
      <c r="Z1421" s="210"/>
      <c r="AA1421" s="210"/>
      <c r="AB1421" s="210"/>
      <c r="AC1421" s="210"/>
      <c r="AD1421" s="210"/>
      <c r="AE1421" s="210"/>
      <c r="AF1421" s="210"/>
      <c r="AG1421" s="210"/>
      <c r="AH1421" s="210"/>
      <c r="AI1421" s="210"/>
      <c r="AJ1421" s="210"/>
      <c r="AK1421" s="210"/>
      <c r="AL1421" s="210"/>
      <c r="AM1421" s="214"/>
      <c r="AN1421" s="210"/>
      <c r="AO1421" s="210"/>
      <c r="AP1421" s="210"/>
      <c r="AQ1421" s="210"/>
      <c r="AR1421" s="210"/>
      <c r="AS1421" s="210"/>
      <c r="AT1421" s="210"/>
      <c r="AU1421" s="210"/>
      <c r="AV1421" s="210"/>
      <c r="AW1421" s="210"/>
      <c r="AX1421" s="210"/>
      <c r="AY1421" s="210"/>
      <c r="AZ1421" s="210"/>
      <c r="BA1421" s="210"/>
      <c r="BB1421" s="210"/>
      <c r="BC1421" s="210"/>
      <c r="BD1421" s="210"/>
      <c r="BE1421" s="210"/>
      <c r="BF1421" s="210"/>
      <c r="BG1421" s="210"/>
      <c r="BH1421" s="210"/>
      <c r="BI1421" s="210"/>
      <c r="BJ1421" s="210"/>
      <c r="BK1421" s="210"/>
      <c r="BL1421" s="210"/>
      <c r="BM1421" s="210"/>
      <c r="BN1421" s="210"/>
      <c r="BO1421" s="210"/>
      <c r="BP1421" s="210"/>
      <c r="BQ1421" s="210"/>
      <c r="BR1421" s="210"/>
      <c r="BS1421" s="210"/>
      <c r="BT1421" s="210"/>
      <c r="BU1421" s="210"/>
      <c r="BV1421" s="210"/>
      <c r="BW1421" s="210"/>
      <c r="BX1421" s="210"/>
      <c r="BY1421" s="210"/>
      <c r="BZ1421" s="210"/>
      <c r="CA1421" s="210"/>
      <c r="CB1421" s="210"/>
      <c r="CC1421" s="210"/>
      <c r="CD1421" s="210"/>
      <c r="CE1421" s="210"/>
      <c r="CF1421" s="210"/>
      <c r="CG1421" s="210"/>
      <c r="CH1421" s="210"/>
      <c r="CI1421" s="210"/>
      <c r="CJ1421" s="210"/>
      <c r="CK1421" s="210"/>
    </row>
    <row r="1422">
      <c r="A1422" s="220"/>
      <c r="F1422" s="190"/>
      <c r="G1422" s="190"/>
      <c r="L1422" s="220"/>
      <c r="M1422" s="220"/>
      <c r="O1422" s="210"/>
      <c r="P1422" s="210"/>
      <c r="Q1422" s="210"/>
      <c r="R1422" s="210"/>
      <c r="S1422" s="210"/>
      <c r="T1422" s="210"/>
      <c r="U1422" s="210"/>
      <c r="V1422" s="210"/>
      <c r="W1422" s="210"/>
      <c r="X1422" s="210"/>
      <c r="Y1422" s="210"/>
      <c r="Z1422" s="210"/>
      <c r="AA1422" s="210"/>
      <c r="AB1422" s="210"/>
      <c r="AC1422" s="210"/>
      <c r="AD1422" s="210"/>
      <c r="AE1422" s="210"/>
      <c r="AF1422" s="210"/>
      <c r="AG1422" s="210"/>
      <c r="AH1422" s="210"/>
      <c r="AI1422" s="210"/>
      <c r="AJ1422" s="210"/>
      <c r="AK1422" s="210"/>
      <c r="AL1422" s="210"/>
      <c r="AM1422" s="214"/>
      <c r="AN1422" s="210"/>
      <c r="AO1422" s="210"/>
      <c r="AP1422" s="210"/>
      <c r="AQ1422" s="210"/>
      <c r="AR1422" s="210"/>
      <c r="AS1422" s="210"/>
      <c r="AT1422" s="210"/>
      <c r="AU1422" s="210"/>
      <c r="AV1422" s="210"/>
      <c r="AW1422" s="210"/>
      <c r="AX1422" s="210"/>
      <c r="AY1422" s="210"/>
      <c r="AZ1422" s="210"/>
      <c r="BA1422" s="210"/>
      <c r="BB1422" s="210"/>
      <c r="BC1422" s="210"/>
      <c r="BD1422" s="210"/>
      <c r="BE1422" s="210"/>
      <c r="BF1422" s="210"/>
      <c r="BG1422" s="210"/>
      <c r="BH1422" s="210"/>
      <c r="BI1422" s="210"/>
      <c r="BJ1422" s="210"/>
      <c r="BK1422" s="210"/>
      <c r="BL1422" s="210"/>
      <c r="BM1422" s="210"/>
      <c r="BN1422" s="210"/>
      <c r="BO1422" s="210"/>
      <c r="BP1422" s="210"/>
      <c r="BQ1422" s="210"/>
      <c r="BR1422" s="210"/>
      <c r="BS1422" s="210"/>
      <c r="BT1422" s="210"/>
      <c r="BU1422" s="210"/>
      <c r="BV1422" s="210"/>
      <c r="BW1422" s="210"/>
      <c r="BX1422" s="210"/>
      <c r="BY1422" s="210"/>
      <c r="BZ1422" s="210"/>
      <c r="CA1422" s="210"/>
      <c r="CB1422" s="210"/>
      <c r="CC1422" s="210"/>
      <c r="CD1422" s="210"/>
      <c r="CE1422" s="210"/>
      <c r="CF1422" s="210"/>
      <c r="CG1422" s="210"/>
      <c r="CH1422" s="210"/>
      <c r="CI1422" s="210"/>
      <c r="CJ1422" s="210"/>
      <c r="CK1422" s="210"/>
    </row>
    <row r="1423">
      <c r="A1423" s="220"/>
      <c r="F1423" s="190"/>
      <c r="G1423" s="190"/>
      <c r="L1423" s="220"/>
      <c r="M1423" s="220"/>
      <c r="O1423" s="210"/>
      <c r="P1423" s="210"/>
      <c r="Q1423" s="210"/>
      <c r="R1423" s="210"/>
      <c r="S1423" s="210"/>
      <c r="T1423" s="210"/>
      <c r="U1423" s="210"/>
      <c r="V1423" s="210"/>
      <c r="W1423" s="210"/>
      <c r="X1423" s="210"/>
      <c r="Y1423" s="210"/>
      <c r="Z1423" s="210"/>
      <c r="AA1423" s="210"/>
      <c r="AB1423" s="210"/>
      <c r="AC1423" s="210"/>
      <c r="AD1423" s="210"/>
      <c r="AE1423" s="210"/>
      <c r="AF1423" s="210"/>
      <c r="AG1423" s="210"/>
      <c r="AH1423" s="210"/>
      <c r="AI1423" s="210"/>
      <c r="AJ1423" s="210"/>
      <c r="AK1423" s="210"/>
      <c r="AL1423" s="210"/>
      <c r="AM1423" s="214"/>
      <c r="AN1423" s="210"/>
      <c r="AO1423" s="210"/>
      <c r="AP1423" s="210"/>
      <c r="AQ1423" s="210"/>
      <c r="AR1423" s="210"/>
      <c r="AS1423" s="210"/>
      <c r="AT1423" s="210"/>
      <c r="AU1423" s="210"/>
      <c r="AV1423" s="210"/>
      <c r="AW1423" s="210"/>
      <c r="AX1423" s="210"/>
      <c r="AY1423" s="210"/>
      <c r="AZ1423" s="210"/>
      <c r="BA1423" s="210"/>
      <c r="BB1423" s="210"/>
      <c r="BC1423" s="210"/>
      <c r="BD1423" s="210"/>
      <c r="BE1423" s="210"/>
      <c r="BF1423" s="210"/>
      <c r="BG1423" s="210"/>
      <c r="BH1423" s="210"/>
      <c r="BI1423" s="210"/>
      <c r="BJ1423" s="210"/>
      <c r="BK1423" s="210"/>
      <c r="BL1423" s="210"/>
      <c r="BM1423" s="210"/>
      <c r="BN1423" s="210"/>
      <c r="BO1423" s="210"/>
      <c r="BP1423" s="210"/>
      <c r="BQ1423" s="210"/>
      <c r="BR1423" s="210"/>
      <c r="BS1423" s="210"/>
      <c r="BT1423" s="210"/>
      <c r="BU1423" s="210"/>
      <c r="BV1423" s="210"/>
      <c r="BW1423" s="210"/>
      <c r="BX1423" s="210"/>
      <c r="BY1423" s="210"/>
      <c r="BZ1423" s="210"/>
      <c r="CA1423" s="210"/>
      <c r="CB1423" s="210"/>
      <c r="CC1423" s="210"/>
      <c r="CD1423" s="210"/>
      <c r="CE1423" s="210"/>
      <c r="CF1423" s="210"/>
      <c r="CG1423" s="210"/>
      <c r="CH1423" s="210"/>
      <c r="CI1423" s="210"/>
      <c r="CJ1423" s="210"/>
      <c r="CK1423" s="210"/>
    </row>
    <row r="1424">
      <c r="A1424" s="220"/>
      <c r="F1424" s="190"/>
      <c r="G1424" s="190"/>
      <c r="L1424" s="220"/>
      <c r="M1424" s="220"/>
      <c r="O1424" s="210"/>
      <c r="P1424" s="210"/>
      <c r="Q1424" s="210"/>
      <c r="R1424" s="210"/>
      <c r="S1424" s="210"/>
      <c r="T1424" s="210"/>
      <c r="U1424" s="210"/>
      <c r="V1424" s="210"/>
      <c r="W1424" s="210"/>
      <c r="X1424" s="210"/>
      <c r="Y1424" s="210"/>
      <c r="Z1424" s="210"/>
      <c r="AA1424" s="210"/>
      <c r="AB1424" s="210"/>
      <c r="AC1424" s="210"/>
      <c r="AD1424" s="210"/>
      <c r="AE1424" s="210"/>
      <c r="AF1424" s="210"/>
      <c r="AG1424" s="210"/>
      <c r="AH1424" s="210"/>
      <c r="AI1424" s="210"/>
      <c r="AJ1424" s="210"/>
      <c r="AK1424" s="210"/>
      <c r="AL1424" s="210"/>
      <c r="AM1424" s="214"/>
      <c r="AN1424" s="210"/>
      <c r="AO1424" s="210"/>
      <c r="AP1424" s="210"/>
      <c r="AQ1424" s="210"/>
      <c r="AR1424" s="210"/>
      <c r="AS1424" s="210"/>
      <c r="AT1424" s="210"/>
      <c r="AU1424" s="210"/>
      <c r="AV1424" s="210"/>
      <c r="AW1424" s="210"/>
      <c r="AX1424" s="210"/>
      <c r="AY1424" s="210"/>
      <c r="AZ1424" s="210"/>
      <c r="BA1424" s="210"/>
      <c r="BB1424" s="210"/>
      <c r="BC1424" s="210"/>
      <c r="BD1424" s="210"/>
      <c r="BE1424" s="210"/>
      <c r="BF1424" s="210"/>
      <c r="BG1424" s="210"/>
      <c r="BH1424" s="210"/>
      <c r="BI1424" s="210"/>
      <c r="BJ1424" s="210"/>
      <c r="BK1424" s="210"/>
      <c r="BL1424" s="210"/>
      <c r="BM1424" s="210"/>
      <c r="BN1424" s="210"/>
      <c r="BO1424" s="210"/>
      <c r="BP1424" s="210"/>
      <c r="BQ1424" s="210"/>
      <c r="BR1424" s="210"/>
      <c r="BS1424" s="210"/>
      <c r="BT1424" s="210"/>
      <c r="BU1424" s="210"/>
      <c r="BV1424" s="210"/>
      <c r="BW1424" s="210"/>
      <c r="BX1424" s="210"/>
      <c r="BY1424" s="210"/>
      <c r="BZ1424" s="210"/>
      <c r="CA1424" s="210"/>
      <c r="CB1424" s="210"/>
      <c r="CC1424" s="210"/>
      <c r="CD1424" s="210"/>
      <c r="CE1424" s="210"/>
      <c r="CF1424" s="210"/>
      <c r="CG1424" s="210"/>
      <c r="CH1424" s="210"/>
      <c r="CI1424" s="210"/>
      <c r="CJ1424" s="210"/>
      <c r="CK1424" s="210"/>
    </row>
    <row r="1425">
      <c r="A1425" s="220"/>
      <c r="F1425" s="190"/>
      <c r="G1425" s="190"/>
      <c r="L1425" s="220"/>
      <c r="M1425" s="220"/>
      <c r="O1425" s="210"/>
      <c r="P1425" s="210"/>
      <c r="Q1425" s="210"/>
      <c r="R1425" s="210"/>
      <c r="S1425" s="210"/>
      <c r="T1425" s="210"/>
      <c r="U1425" s="210"/>
      <c r="V1425" s="210"/>
      <c r="W1425" s="210"/>
      <c r="X1425" s="210"/>
      <c r="Y1425" s="210"/>
      <c r="Z1425" s="210"/>
      <c r="AA1425" s="210"/>
      <c r="AB1425" s="210"/>
      <c r="AC1425" s="210"/>
      <c r="AD1425" s="210"/>
      <c r="AE1425" s="210"/>
      <c r="AF1425" s="210"/>
      <c r="AG1425" s="210"/>
      <c r="AH1425" s="210"/>
      <c r="AI1425" s="210"/>
      <c r="AJ1425" s="210"/>
      <c r="AK1425" s="210"/>
      <c r="AL1425" s="210"/>
      <c r="AM1425" s="214"/>
      <c r="AN1425" s="210"/>
      <c r="AO1425" s="210"/>
      <c r="AP1425" s="210"/>
      <c r="AQ1425" s="210"/>
      <c r="AR1425" s="210"/>
      <c r="AS1425" s="210"/>
      <c r="AT1425" s="210"/>
      <c r="AU1425" s="210"/>
      <c r="AV1425" s="210"/>
      <c r="AW1425" s="210"/>
      <c r="AX1425" s="210"/>
      <c r="AY1425" s="210"/>
      <c r="AZ1425" s="210"/>
      <c r="BA1425" s="210"/>
      <c r="BB1425" s="210"/>
      <c r="BC1425" s="210"/>
      <c r="BD1425" s="210"/>
      <c r="BE1425" s="210"/>
      <c r="BF1425" s="210"/>
      <c r="BG1425" s="210"/>
      <c r="BH1425" s="210"/>
      <c r="BI1425" s="210"/>
      <c r="BJ1425" s="210"/>
      <c r="BK1425" s="210"/>
      <c r="BL1425" s="210"/>
      <c r="BM1425" s="210"/>
      <c r="BN1425" s="210"/>
      <c r="BO1425" s="210"/>
      <c r="BP1425" s="210"/>
      <c r="BQ1425" s="210"/>
      <c r="BR1425" s="210"/>
      <c r="BS1425" s="210"/>
      <c r="BT1425" s="210"/>
      <c r="BU1425" s="210"/>
      <c r="BV1425" s="210"/>
      <c r="BW1425" s="210"/>
      <c r="BX1425" s="210"/>
      <c r="BY1425" s="210"/>
      <c r="BZ1425" s="210"/>
      <c r="CA1425" s="210"/>
      <c r="CB1425" s="210"/>
      <c r="CC1425" s="210"/>
      <c r="CD1425" s="210"/>
      <c r="CE1425" s="210"/>
      <c r="CF1425" s="210"/>
      <c r="CG1425" s="210"/>
      <c r="CH1425" s="210"/>
      <c r="CI1425" s="210"/>
      <c r="CJ1425" s="210"/>
      <c r="CK1425" s="210"/>
    </row>
    <row r="1426">
      <c r="A1426" s="220"/>
      <c r="F1426" s="190"/>
      <c r="G1426" s="190"/>
      <c r="L1426" s="220"/>
      <c r="M1426" s="220"/>
      <c r="O1426" s="210"/>
      <c r="P1426" s="210"/>
      <c r="Q1426" s="210"/>
      <c r="R1426" s="210"/>
      <c r="S1426" s="210"/>
      <c r="T1426" s="210"/>
      <c r="U1426" s="210"/>
      <c r="V1426" s="210"/>
      <c r="W1426" s="210"/>
      <c r="X1426" s="210"/>
      <c r="Y1426" s="210"/>
      <c r="Z1426" s="210"/>
      <c r="AA1426" s="210"/>
      <c r="AB1426" s="210"/>
      <c r="AC1426" s="210"/>
      <c r="AD1426" s="210"/>
      <c r="AE1426" s="210"/>
      <c r="AF1426" s="210"/>
      <c r="AG1426" s="210"/>
      <c r="AH1426" s="210"/>
      <c r="AI1426" s="210"/>
      <c r="AJ1426" s="210"/>
      <c r="AK1426" s="210"/>
      <c r="AL1426" s="210"/>
      <c r="AM1426" s="214"/>
      <c r="AN1426" s="210"/>
      <c r="AO1426" s="210"/>
      <c r="AP1426" s="210"/>
      <c r="AQ1426" s="210"/>
      <c r="AR1426" s="210"/>
      <c r="AS1426" s="210"/>
      <c r="AT1426" s="210"/>
      <c r="AU1426" s="210"/>
      <c r="AV1426" s="210"/>
      <c r="AW1426" s="210"/>
      <c r="AX1426" s="210"/>
      <c r="AY1426" s="210"/>
      <c r="AZ1426" s="210"/>
      <c r="BA1426" s="210"/>
      <c r="BB1426" s="210"/>
      <c r="BC1426" s="210"/>
      <c r="BD1426" s="210"/>
      <c r="BE1426" s="210"/>
      <c r="BF1426" s="210"/>
      <c r="BG1426" s="210"/>
      <c r="BH1426" s="210"/>
      <c r="BI1426" s="210"/>
      <c r="BJ1426" s="210"/>
      <c r="BK1426" s="210"/>
      <c r="BL1426" s="210"/>
      <c r="BM1426" s="210"/>
      <c r="BN1426" s="210"/>
      <c r="BO1426" s="210"/>
      <c r="BP1426" s="210"/>
      <c r="BQ1426" s="210"/>
      <c r="BR1426" s="210"/>
      <c r="BS1426" s="210"/>
      <c r="BT1426" s="210"/>
      <c r="BU1426" s="210"/>
      <c r="BV1426" s="210"/>
      <c r="BW1426" s="210"/>
      <c r="BX1426" s="210"/>
      <c r="BY1426" s="210"/>
      <c r="BZ1426" s="210"/>
      <c r="CA1426" s="210"/>
      <c r="CB1426" s="210"/>
      <c r="CC1426" s="210"/>
      <c r="CD1426" s="210"/>
      <c r="CE1426" s="210"/>
      <c r="CF1426" s="210"/>
      <c r="CG1426" s="210"/>
      <c r="CH1426" s="210"/>
      <c r="CI1426" s="210"/>
      <c r="CJ1426" s="210"/>
      <c r="CK1426" s="210"/>
    </row>
    <row r="1427">
      <c r="A1427" s="220"/>
      <c r="F1427" s="190"/>
      <c r="G1427" s="190"/>
      <c r="L1427" s="220"/>
      <c r="M1427" s="220"/>
      <c r="O1427" s="210"/>
      <c r="P1427" s="210"/>
      <c r="Q1427" s="210"/>
      <c r="R1427" s="210"/>
      <c r="S1427" s="210"/>
      <c r="T1427" s="210"/>
      <c r="U1427" s="210"/>
      <c r="V1427" s="210"/>
      <c r="W1427" s="210"/>
      <c r="X1427" s="210"/>
      <c r="Y1427" s="210"/>
      <c r="Z1427" s="210"/>
      <c r="AA1427" s="210"/>
      <c r="AB1427" s="210"/>
      <c r="AC1427" s="210"/>
      <c r="AD1427" s="210"/>
      <c r="AE1427" s="210"/>
      <c r="AF1427" s="210"/>
      <c r="AG1427" s="210"/>
      <c r="AH1427" s="210"/>
      <c r="AI1427" s="210"/>
      <c r="AJ1427" s="210"/>
      <c r="AK1427" s="210"/>
      <c r="AL1427" s="210"/>
      <c r="AM1427" s="214"/>
      <c r="AN1427" s="210"/>
      <c r="AO1427" s="210"/>
      <c r="AP1427" s="210"/>
      <c r="AQ1427" s="210"/>
      <c r="AR1427" s="210"/>
      <c r="AS1427" s="210"/>
      <c r="AT1427" s="210"/>
      <c r="AU1427" s="210"/>
      <c r="AV1427" s="210"/>
      <c r="AW1427" s="210"/>
      <c r="AX1427" s="210"/>
      <c r="AY1427" s="210"/>
      <c r="AZ1427" s="210"/>
      <c r="BA1427" s="210"/>
      <c r="BB1427" s="210"/>
      <c r="BC1427" s="210"/>
      <c r="BD1427" s="210"/>
      <c r="BE1427" s="210"/>
      <c r="BF1427" s="210"/>
      <c r="BG1427" s="210"/>
      <c r="BH1427" s="210"/>
      <c r="BI1427" s="210"/>
      <c r="BJ1427" s="210"/>
      <c r="BK1427" s="210"/>
      <c r="BL1427" s="210"/>
      <c r="BM1427" s="210"/>
      <c r="BN1427" s="210"/>
      <c r="BO1427" s="210"/>
      <c r="BP1427" s="210"/>
      <c r="BQ1427" s="210"/>
      <c r="BR1427" s="210"/>
      <c r="BS1427" s="210"/>
      <c r="BT1427" s="210"/>
      <c r="BU1427" s="210"/>
      <c r="BV1427" s="210"/>
      <c r="BW1427" s="210"/>
      <c r="BX1427" s="210"/>
      <c r="BY1427" s="210"/>
      <c r="BZ1427" s="210"/>
      <c r="CA1427" s="210"/>
      <c r="CB1427" s="210"/>
      <c r="CC1427" s="210"/>
      <c r="CD1427" s="210"/>
      <c r="CE1427" s="210"/>
      <c r="CF1427" s="210"/>
      <c r="CG1427" s="210"/>
      <c r="CH1427" s="210"/>
      <c r="CI1427" s="210"/>
      <c r="CJ1427" s="210"/>
      <c r="CK1427" s="210"/>
    </row>
    <row r="1428">
      <c r="A1428" s="220"/>
      <c r="F1428" s="190"/>
      <c r="G1428" s="190"/>
      <c r="L1428" s="220"/>
      <c r="M1428" s="220"/>
      <c r="O1428" s="210"/>
      <c r="P1428" s="210"/>
      <c r="Q1428" s="210"/>
      <c r="R1428" s="210"/>
      <c r="S1428" s="210"/>
      <c r="T1428" s="210"/>
      <c r="U1428" s="210"/>
      <c r="V1428" s="210"/>
      <c r="W1428" s="210"/>
      <c r="X1428" s="210"/>
      <c r="Y1428" s="210"/>
      <c r="Z1428" s="210"/>
      <c r="AA1428" s="210"/>
      <c r="AB1428" s="210"/>
      <c r="AC1428" s="210"/>
      <c r="AD1428" s="210"/>
      <c r="AE1428" s="210"/>
      <c r="AF1428" s="210"/>
      <c r="AG1428" s="210"/>
      <c r="AH1428" s="210"/>
      <c r="AI1428" s="210"/>
      <c r="AJ1428" s="210"/>
      <c r="AK1428" s="210"/>
      <c r="AL1428" s="210"/>
      <c r="AM1428" s="214"/>
      <c r="AN1428" s="210"/>
      <c r="AO1428" s="210"/>
      <c r="AP1428" s="210"/>
      <c r="AQ1428" s="210"/>
      <c r="AR1428" s="210"/>
      <c r="AS1428" s="210"/>
      <c r="AT1428" s="210"/>
      <c r="AU1428" s="210"/>
      <c r="AV1428" s="210"/>
      <c r="AW1428" s="210"/>
      <c r="AX1428" s="210"/>
      <c r="AY1428" s="210"/>
      <c r="AZ1428" s="210"/>
      <c r="BA1428" s="210"/>
      <c r="BB1428" s="210"/>
      <c r="BC1428" s="210"/>
      <c r="BD1428" s="210"/>
      <c r="BE1428" s="210"/>
      <c r="BF1428" s="210"/>
      <c r="BG1428" s="210"/>
      <c r="BH1428" s="210"/>
      <c r="BI1428" s="210"/>
      <c r="BJ1428" s="210"/>
      <c r="BK1428" s="210"/>
      <c r="BL1428" s="210"/>
      <c r="BM1428" s="210"/>
      <c r="BN1428" s="210"/>
      <c r="BO1428" s="210"/>
      <c r="BP1428" s="210"/>
      <c r="BQ1428" s="210"/>
      <c r="BR1428" s="210"/>
      <c r="BS1428" s="210"/>
      <c r="BT1428" s="210"/>
      <c r="BU1428" s="210"/>
      <c r="BV1428" s="210"/>
      <c r="BW1428" s="210"/>
      <c r="BX1428" s="210"/>
      <c r="BY1428" s="210"/>
      <c r="BZ1428" s="210"/>
      <c r="CA1428" s="210"/>
      <c r="CB1428" s="210"/>
      <c r="CC1428" s="210"/>
      <c r="CD1428" s="210"/>
      <c r="CE1428" s="210"/>
      <c r="CF1428" s="210"/>
      <c r="CG1428" s="210"/>
      <c r="CH1428" s="210"/>
      <c r="CI1428" s="210"/>
      <c r="CJ1428" s="210"/>
      <c r="CK1428" s="210"/>
    </row>
    <row r="1429">
      <c r="A1429" s="220"/>
      <c r="F1429" s="190"/>
      <c r="G1429" s="190"/>
      <c r="L1429" s="220"/>
      <c r="M1429" s="220"/>
      <c r="O1429" s="210"/>
      <c r="P1429" s="210"/>
      <c r="Q1429" s="210"/>
      <c r="R1429" s="210"/>
      <c r="S1429" s="210"/>
      <c r="T1429" s="210"/>
      <c r="U1429" s="210"/>
      <c r="V1429" s="210"/>
      <c r="W1429" s="210"/>
      <c r="X1429" s="210"/>
      <c r="Y1429" s="210"/>
      <c r="Z1429" s="210"/>
      <c r="AA1429" s="210"/>
      <c r="AB1429" s="210"/>
      <c r="AC1429" s="210"/>
      <c r="AD1429" s="210"/>
      <c r="AE1429" s="210"/>
      <c r="AF1429" s="210"/>
      <c r="AG1429" s="210"/>
      <c r="AH1429" s="210"/>
      <c r="AI1429" s="210"/>
      <c r="AJ1429" s="210"/>
      <c r="AK1429" s="210"/>
      <c r="AL1429" s="210"/>
      <c r="AM1429" s="214"/>
      <c r="AN1429" s="210"/>
      <c r="AO1429" s="210"/>
      <c r="AP1429" s="210"/>
      <c r="AQ1429" s="210"/>
      <c r="AR1429" s="210"/>
      <c r="AS1429" s="210"/>
      <c r="AT1429" s="210"/>
      <c r="AU1429" s="210"/>
      <c r="AV1429" s="210"/>
      <c r="AW1429" s="210"/>
      <c r="AX1429" s="210"/>
      <c r="AY1429" s="210"/>
      <c r="AZ1429" s="210"/>
      <c r="BA1429" s="210"/>
      <c r="BB1429" s="210"/>
      <c r="BC1429" s="210"/>
      <c r="BD1429" s="210"/>
      <c r="BE1429" s="210"/>
      <c r="BF1429" s="210"/>
      <c r="BG1429" s="210"/>
      <c r="BH1429" s="210"/>
      <c r="BI1429" s="210"/>
      <c r="BJ1429" s="210"/>
      <c r="BK1429" s="210"/>
      <c r="BL1429" s="210"/>
      <c r="BM1429" s="210"/>
      <c r="BN1429" s="210"/>
      <c r="BO1429" s="210"/>
      <c r="BP1429" s="210"/>
      <c r="BQ1429" s="210"/>
      <c r="BR1429" s="210"/>
      <c r="BS1429" s="210"/>
      <c r="BT1429" s="210"/>
      <c r="BU1429" s="210"/>
      <c r="BV1429" s="210"/>
      <c r="BW1429" s="210"/>
      <c r="BX1429" s="210"/>
      <c r="BY1429" s="210"/>
      <c r="BZ1429" s="210"/>
      <c r="CA1429" s="210"/>
      <c r="CB1429" s="210"/>
      <c r="CC1429" s="210"/>
      <c r="CD1429" s="210"/>
      <c r="CE1429" s="210"/>
      <c r="CF1429" s="210"/>
      <c r="CG1429" s="210"/>
      <c r="CH1429" s="210"/>
      <c r="CI1429" s="210"/>
      <c r="CJ1429" s="210"/>
      <c r="CK1429" s="210"/>
    </row>
    <row r="1430">
      <c r="A1430" s="220"/>
      <c r="F1430" s="190"/>
      <c r="G1430" s="190"/>
      <c r="L1430" s="220"/>
      <c r="M1430" s="220"/>
      <c r="O1430" s="210"/>
      <c r="P1430" s="210"/>
      <c r="Q1430" s="210"/>
      <c r="R1430" s="210"/>
      <c r="S1430" s="210"/>
      <c r="T1430" s="210"/>
      <c r="U1430" s="210"/>
      <c r="V1430" s="210"/>
      <c r="W1430" s="210"/>
      <c r="X1430" s="210"/>
      <c r="Y1430" s="210"/>
      <c r="Z1430" s="210"/>
      <c r="AA1430" s="210"/>
      <c r="AB1430" s="210"/>
      <c r="AC1430" s="210"/>
      <c r="AD1430" s="210"/>
      <c r="AE1430" s="210"/>
      <c r="AF1430" s="210"/>
      <c r="AG1430" s="210"/>
      <c r="AH1430" s="210"/>
      <c r="AI1430" s="210"/>
      <c r="AJ1430" s="210"/>
      <c r="AK1430" s="210"/>
      <c r="AL1430" s="210"/>
      <c r="AM1430" s="214"/>
      <c r="AN1430" s="210"/>
      <c r="AO1430" s="210"/>
      <c r="AP1430" s="210"/>
      <c r="AQ1430" s="210"/>
      <c r="AR1430" s="210"/>
      <c r="AS1430" s="210"/>
      <c r="AT1430" s="210"/>
      <c r="AU1430" s="210"/>
      <c r="AV1430" s="210"/>
      <c r="AW1430" s="210"/>
      <c r="AX1430" s="210"/>
      <c r="AY1430" s="210"/>
      <c r="AZ1430" s="210"/>
      <c r="BA1430" s="210"/>
      <c r="BB1430" s="210"/>
      <c r="BC1430" s="210"/>
      <c r="BD1430" s="210"/>
      <c r="BE1430" s="210"/>
      <c r="BF1430" s="210"/>
      <c r="BG1430" s="210"/>
      <c r="BH1430" s="210"/>
      <c r="BI1430" s="210"/>
      <c r="BJ1430" s="210"/>
      <c r="BK1430" s="210"/>
      <c r="BL1430" s="210"/>
      <c r="BM1430" s="210"/>
      <c r="BN1430" s="210"/>
      <c r="BO1430" s="210"/>
      <c r="BP1430" s="210"/>
      <c r="BQ1430" s="210"/>
      <c r="BR1430" s="210"/>
      <c r="BS1430" s="210"/>
      <c r="BT1430" s="210"/>
      <c r="BU1430" s="210"/>
      <c r="BV1430" s="210"/>
      <c r="BW1430" s="210"/>
      <c r="BX1430" s="210"/>
      <c r="BY1430" s="210"/>
      <c r="BZ1430" s="210"/>
      <c r="CA1430" s="210"/>
      <c r="CB1430" s="210"/>
      <c r="CC1430" s="210"/>
      <c r="CD1430" s="210"/>
      <c r="CE1430" s="210"/>
      <c r="CF1430" s="210"/>
      <c r="CG1430" s="210"/>
      <c r="CH1430" s="210"/>
      <c r="CI1430" s="210"/>
      <c r="CJ1430" s="210"/>
      <c r="CK1430" s="210"/>
    </row>
    <row r="1431">
      <c r="A1431" s="220"/>
      <c r="F1431" s="190"/>
      <c r="G1431" s="190"/>
      <c r="L1431" s="220"/>
      <c r="M1431" s="220"/>
      <c r="O1431" s="210"/>
      <c r="P1431" s="210"/>
      <c r="Q1431" s="210"/>
      <c r="R1431" s="210"/>
      <c r="S1431" s="210"/>
      <c r="T1431" s="210"/>
      <c r="U1431" s="210"/>
      <c r="V1431" s="210"/>
      <c r="W1431" s="210"/>
      <c r="X1431" s="210"/>
      <c r="Y1431" s="210"/>
      <c r="Z1431" s="210"/>
      <c r="AA1431" s="210"/>
      <c r="AB1431" s="210"/>
      <c r="AC1431" s="210"/>
      <c r="AD1431" s="210"/>
      <c r="AE1431" s="210"/>
      <c r="AF1431" s="210"/>
      <c r="AG1431" s="210"/>
      <c r="AH1431" s="210"/>
      <c r="AI1431" s="210"/>
      <c r="AJ1431" s="210"/>
      <c r="AK1431" s="210"/>
      <c r="AL1431" s="210"/>
      <c r="AM1431" s="214"/>
      <c r="AN1431" s="210"/>
      <c r="AO1431" s="210"/>
      <c r="AP1431" s="210"/>
      <c r="AQ1431" s="210"/>
      <c r="AR1431" s="210"/>
      <c r="AS1431" s="210"/>
      <c r="AT1431" s="210"/>
      <c r="AU1431" s="210"/>
      <c r="AV1431" s="210"/>
      <c r="AW1431" s="210"/>
      <c r="AX1431" s="210"/>
      <c r="AY1431" s="210"/>
      <c r="AZ1431" s="210"/>
      <c r="BA1431" s="210"/>
      <c r="BB1431" s="210"/>
      <c r="BC1431" s="210"/>
      <c r="BD1431" s="210"/>
      <c r="BE1431" s="210"/>
      <c r="BF1431" s="210"/>
      <c r="BG1431" s="210"/>
      <c r="BH1431" s="210"/>
      <c r="BI1431" s="210"/>
      <c r="BJ1431" s="210"/>
      <c r="BK1431" s="210"/>
      <c r="BL1431" s="210"/>
      <c r="BM1431" s="210"/>
      <c r="BN1431" s="210"/>
      <c r="BO1431" s="210"/>
      <c r="BP1431" s="210"/>
      <c r="BQ1431" s="210"/>
      <c r="BR1431" s="210"/>
      <c r="BS1431" s="210"/>
      <c r="BT1431" s="210"/>
      <c r="BU1431" s="210"/>
      <c r="BV1431" s="210"/>
      <c r="BW1431" s="210"/>
      <c r="BX1431" s="210"/>
      <c r="BY1431" s="210"/>
      <c r="BZ1431" s="210"/>
      <c r="CA1431" s="210"/>
      <c r="CB1431" s="210"/>
      <c r="CC1431" s="210"/>
      <c r="CD1431" s="210"/>
      <c r="CE1431" s="210"/>
      <c r="CF1431" s="210"/>
      <c r="CG1431" s="210"/>
      <c r="CH1431" s="210"/>
      <c r="CI1431" s="210"/>
      <c r="CJ1431" s="210"/>
      <c r="CK1431" s="210"/>
    </row>
    <row r="1432">
      <c r="A1432" s="220"/>
      <c r="F1432" s="190"/>
      <c r="G1432" s="190"/>
      <c r="L1432" s="220"/>
      <c r="M1432" s="220"/>
      <c r="O1432" s="210"/>
      <c r="P1432" s="210"/>
      <c r="Q1432" s="210"/>
      <c r="R1432" s="210"/>
      <c r="S1432" s="210"/>
      <c r="T1432" s="210"/>
      <c r="U1432" s="210"/>
      <c r="V1432" s="210"/>
      <c r="W1432" s="210"/>
      <c r="X1432" s="210"/>
      <c r="Y1432" s="210"/>
      <c r="Z1432" s="210"/>
      <c r="AA1432" s="210"/>
      <c r="AB1432" s="210"/>
      <c r="AC1432" s="210"/>
      <c r="AD1432" s="210"/>
      <c r="AE1432" s="210"/>
      <c r="AF1432" s="210"/>
      <c r="AG1432" s="210"/>
      <c r="AH1432" s="210"/>
      <c r="AI1432" s="210"/>
      <c r="AJ1432" s="210"/>
      <c r="AK1432" s="210"/>
      <c r="AL1432" s="210"/>
      <c r="AM1432" s="214"/>
      <c r="AN1432" s="210"/>
      <c r="AO1432" s="210"/>
      <c r="AP1432" s="210"/>
      <c r="AQ1432" s="210"/>
      <c r="AR1432" s="210"/>
      <c r="AS1432" s="210"/>
      <c r="AT1432" s="210"/>
      <c r="AU1432" s="210"/>
      <c r="AV1432" s="210"/>
      <c r="AW1432" s="210"/>
      <c r="AX1432" s="210"/>
      <c r="AY1432" s="210"/>
      <c r="AZ1432" s="210"/>
      <c r="BA1432" s="210"/>
      <c r="BB1432" s="210"/>
      <c r="BC1432" s="210"/>
      <c r="BD1432" s="210"/>
      <c r="BE1432" s="210"/>
      <c r="BF1432" s="210"/>
      <c r="BG1432" s="210"/>
      <c r="BH1432" s="210"/>
      <c r="BI1432" s="210"/>
      <c r="BJ1432" s="210"/>
      <c r="BK1432" s="210"/>
      <c r="BL1432" s="210"/>
      <c r="BM1432" s="210"/>
      <c r="BN1432" s="210"/>
      <c r="BO1432" s="210"/>
      <c r="BP1432" s="210"/>
      <c r="BQ1432" s="210"/>
      <c r="BR1432" s="210"/>
      <c r="BS1432" s="210"/>
      <c r="BT1432" s="210"/>
      <c r="BU1432" s="210"/>
      <c r="BV1432" s="210"/>
      <c r="BW1432" s="210"/>
      <c r="BX1432" s="210"/>
      <c r="BY1432" s="210"/>
      <c r="BZ1432" s="210"/>
      <c r="CA1432" s="210"/>
      <c r="CB1432" s="210"/>
      <c r="CC1432" s="210"/>
      <c r="CD1432" s="210"/>
      <c r="CE1432" s="210"/>
      <c r="CF1432" s="210"/>
      <c r="CG1432" s="210"/>
      <c r="CH1432" s="210"/>
      <c r="CI1432" s="210"/>
      <c r="CJ1432" s="210"/>
      <c r="CK1432" s="210"/>
    </row>
    <row r="1433">
      <c r="A1433" s="220"/>
      <c r="F1433" s="190"/>
      <c r="G1433" s="190"/>
      <c r="L1433" s="220"/>
      <c r="M1433" s="220"/>
      <c r="O1433" s="210"/>
      <c r="P1433" s="210"/>
      <c r="Q1433" s="210"/>
      <c r="R1433" s="210"/>
      <c r="S1433" s="210"/>
      <c r="T1433" s="210"/>
      <c r="U1433" s="210"/>
      <c r="V1433" s="210"/>
      <c r="W1433" s="210"/>
      <c r="X1433" s="210"/>
      <c r="Y1433" s="210"/>
      <c r="Z1433" s="210"/>
      <c r="AA1433" s="210"/>
      <c r="AB1433" s="210"/>
      <c r="AC1433" s="210"/>
      <c r="AD1433" s="210"/>
      <c r="AE1433" s="210"/>
      <c r="AF1433" s="210"/>
      <c r="AG1433" s="210"/>
      <c r="AH1433" s="210"/>
      <c r="AI1433" s="210"/>
      <c r="AJ1433" s="210"/>
      <c r="AK1433" s="210"/>
      <c r="AL1433" s="210"/>
      <c r="AM1433" s="214"/>
      <c r="AN1433" s="210"/>
      <c r="AO1433" s="210"/>
      <c r="AP1433" s="210"/>
      <c r="AQ1433" s="210"/>
      <c r="AR1433" s="210"/>
      <c r="AS1433" s="210"/>
      <c r="AT1433" s="210"/>
      <c r="AU1433" s="210"/>
      <c r="AV1433" s="210"/>
      <c r="AW1433" s="210"/>
      <c r="AX1433" s="210"/>
      <c r="AY1433" s="210"/>
      <c r="AZ1433" s="210"/>
      <c r="BA1433" s="210"/>
      <c r="BB1433" s="210"/>
      <c r="BC1433" s="210"/>
      <c r="BD1433" s="210"/>
      <c r="BE1433" s="210"/>
      <c r="BF1433" s="210"/>
      <c r="BG1433" s="210"/>
      <c r="BH1433" s="210"/>
      <c r="BI1433" s="210"/>
      <c r="BJ1433" s="210"/>
      <c r="BK1433" s="210"/>
      <c r="BL1433" s="210"/>
      <c r="BM1433" s="210"/>
      <c r="BN1433" s="210"/>
      <c r="BO1433" s="210"/>
      <c r="BP1433" s="210"/>
      <c r="BQ1433" s="210"/>
      <c r="BR1433" s="210"/>
      <c r="BS1433" s="210"/>
      <c r="BT1433" s="210"/>
      <c r="BU1433" s="210"/>
      <c r="BV1433" s="210"/>
      <c r="BW1433" s="210"/>
      <c r="BX1433" s="210"/>
      <c r="BY1433" s="210"/>
      <c r="BZ1433" s="210"/>
      <c r="CA1433" s="210"/>
      <c r="CB1433" s="210"/>
      <c r="CC1433" s="210"/>
      <c r="CD1433" s="210"/>
      <c r="CE1433" s="210"/>
      <c r="CF1433" s="210"/>
      <c r="CG1433" s="210"/>
      <c r="CH1433" s="210"/>
      <c r="CI1433" s="210"/>
      <c r="CJ1433" s="210"/>
      <c r="CK1433" s="210"/>
    </row>
    <row r="1434">
      <c r="A1434" s="220"/>
      <c r="F1434" s="190"/>
      <c r="G1434" s="190"/>
      <c r="L1434" s="220"/>
      <c r="M1434" s="220"/>
      <c r="O1434" s="210"/>
      <c r="P1434" s="210"/>
      <c r="Q1434" s="210"/>
      <c r="R1434" s="210"/>
      <c r="S1434" s="210"/>
      <c r="T1434" s="210"/>
      <c r="U1434" s="210"/>
      <c r="V1434" s="210"/>
      <c r="W1434" s="210"/>
      <c r="X1434" s="210"/>
      <c r="Y1434" s="210"/>
      <c r="Z1434" s="210"/>
      <c r="AA1434" s="210"/>
      <c r="AB1434" s="210"/>
      <c r="AC1434" s="210"/>
      <c r="AD1434" s="210"/>
      <c r="AE1434" s="210"/>
      <c r="AF1434" s="210"/>
      <c r="AG1434" s="210"/>
      <c r="AH1434" s="210"/>
      <c r="AI1434" s="210"/>
      <c r="AJ1434" s="210"/>
      <c r="AK1434" s="210"/>
      <c r="AL1434" s="210"/>
      <c r="AM1434" s="214"/>
      <c r="AN1434" s="210"/>
      <c r="AO1434" s="210"/>
      <c r="AP1434" s="210"/>
      <c r="AQ1434" s="210"/>
      <c r="AR1434" s="210"/>
      <c r="AS1434" s="210"/>
      <c r="AT1434" s="210"/>
      <c r="AU1434" s="210"/>
      <c r="AV1434" s="210"/>
      <c r="AW1434" s="210"/>
      <c r="AX1434" s="210"/>
      <c r="AY1434" s="210"/>
      <c r="AZ1434" s="210"/>
      <c r="BA1434" s="210"/>
      <c r="BB1434" s="210"/>
      <c r="BC1434" s="210"/>
      <c r="BD1434" s="210"/>
      <c r="BE1434" s="210"/>
      <c r="BF1434" s="210"/>
      <c r="BG1434" s="210"/>
      <c r="BH1434" s="210"/>
      <c r="BI1434" s="210"/>
      <c r="BJ1434" s="210"/>
      <c r="BK1434" s="210"/>
      <c r="BL1434" s="210"/>
      <c r="BM1434" s="210"/>
      <c r="BN1434" s="210"/>
      <c r="BO1434" s="210"/>
      <c r="BP1434" s="210"/>
      <c r="BQ1434" s="210"/>
      <c r="BR1434" s="210"/>
      <c r="BS1434" s="210"/>
      <c r="BT1434" s="210"/>
      <c r="BU1434" s="210"/>
      <c r="BV1434" s="210"/>
      <c r="BW1434" s="210"/>
      <c r="BX1434" s="210"/>
      <c r="BY1434" s="210"/>
      <c r="BZ1434" s="210"/>
      <c r="CA1434" s="210"/>
      <c r="CB1434" s="210"/>
      <c r="CC1434" s="210"/>
      <c r="CD1434" s="210"/>
      <c r="CE1434" s="210"/>
      <c r="CF1434" s="210"/>
      <c r="CG1434" s="210"/>
      <c r="CH1434" s="210"/>
      <c r="CI1434" s="210"/>
      <c r="CJ1434" s="210"/>
      <c r="CK1434" s="210"/>
    </row>
    <row r="1435">
      <c r="A1435" s="220"/>
      <c r="F1435" s="190"/>
      <c r="G1435" s="190"/>
      <c r="L1435" s="220"/>
      <c r="M1435" s="220"/>
      <c r="O1435" s="210"/>
      <c r="P1435" s="210"/>
      <c r="Q1435" s="210"/>
      <c r="R1435" s="210"/>
      <c r="S1435" s="210"/>
      <c r="T1435" s="210"/>
      <c r="U1435" s="210"/>
      <c r="V1435" s="210"/>
      <c r="W1435" s="210"/>
      <c r="X1435" s="210"/>
      <c r="Y1435" s="210"/>
      <c r="Z1435" s="210"/>
      <c r="AA1435" s="210"/>
      <c r="AB1435" s="210"/>
      <c r="AC1435" s="210"/>
      <c r="AD1435" s="210"/>
      <c r="AE1435" s="210"/>
      <c r="AF1435" s="210"/>
      <c r="AG1435" s="210"/>
      <c r="AH1435" s="210"/>
      <c r="AI1435" s="210"/>
      <c r="AJ1435" s="210"/>
      <c r="AK1435" s="210"/>
      <c r="AL1435" s="210"/>
      <c r="AM1435" s="214"/>
      <c r="AN1435" s="210"/>
      <c r="AO1435" s="210"/>
      <c r="AP1435" s="210"/>
      <c r="AQ1435" s="210"/>
      <c r="AR1435" s="210"/>
      <c r="AS1435" s="210"/>
      <c r="AT1435" s="210"/>
      <c r="AU1435" s="210"/>
      <c r="AV1435" s="210"/>
      <c r="AW1435" s="210"/>
      <c r="AX1435" s="210"/>
      <c r="AY1435" s="210"/>
      <c r="AZ1435" s="210"/>
      <c r="BA1435" s="210"/>
      <c r="BB1435" s="210"/>
      <c r="BC1435" s="210"/>
      <c r="BD1435" s="210"/>
      <c r="BE1435" s="210"/>
      <c r="BF1435" s="210"/>
      <c r="BG1435" s="210"/>
      <c r="BH1435" s="210"/>
      <c r="BI1435" s="210"/>
      <c r="BJ1435" s="210"/>
      <c r="BK1435" s="210"/>
      <c r="BL1435" s="210"/>
      <c r="BM1435" s="210"/>
      <c r="BN1435" s="210"/>
      <c r="BO1435" s="210"/>
      <c r="BP1435" s="210"/>
      <c r="BQ1435" s="210"/>
      <c r="BR1435" s="210"/>
      <c r="BS1435" s="210"/>
      <c r="BT1435" s="210"/>
      <c r="BU1435" s="210"/>
      <c r="BV1435" s="210"/>
      <c r="BW1435" s="210"/>
      <c r="BX1435" s="210"/>
      <c r="BY1435" s="210"/>
      <c r="BZ1435" s="210"/>
      <c r="CA1435" s="210"/>
      <c r="CB1435" s="210"/>
      <c r="CC1435" s="210"/>
      <c r="CD1435" s="210"/>
      <c r="CE1435" s="210"/>
      <c r="CF1435" s="210"/>
      <c r="CG1435" s="210"/>
      <c r="CH1435" s="210"/>
      <c r="CI1435" s="210"/>
      <c r="CJ1435" s="210"/>
      <c r="CK1435" s="210"/>
    </row>
    <row r="1436">
      <c r="A1436" s="220"/>
      <c r="F1436" s="190"/>
      <c r="G1436" s="190"/>
      <c r="L1436" s="220"/>
      <c r="M1436" s="220"/>
      <c r="O1436" s="210"/>
      <c r="P1436" s="210"/>
      <c r="Q1436" s="210"/>
      <c r="R1436" s="210"/>
      <c r="S1436" s="210"/>
      <c r="T1436" s="210"/>
      <c r="U1436" s="210"/>
      <c r="V1436" s="210"/>
      <c r="W1436" s="210"/>
      <c r="X1436" s="210"/>
      <c r="Y1436" s="210"/>
      <c r="Z1436" s="210"/>
      <c r="AA1436" s="210"/>
      <c r="AB1436" s="210"/>
      <c r="AC1436" s="210"/>
      <c r="AD1436" s="210"/>
      <c r="AE1436" s="210"/>
      <c r="AF1436" s="210"/>
      <c r="AG1436" s="210"/>
      <c r="AH1436" s="210"/>
      <c r="AI1436" s="210"/>
      <c r="AJ1436" s="210"/>
      <c r="AK1436" s="210"/>
      <c r="AL1436" s="210"/>
      <c r="AM1436" s="214"/>
      <c r="AN1436" s="210"/>
      <c r="AO1436" s="210"/>
      <c r="AP1436" s="210"/>
      <c r="AQ1436" s="210"/>
      <c r="AR1436" s="210"/>
      <c r="AS1436" s="210"/>
      <c r="AT1436" s="210"/>
      <c r="AU1436" s="210"/>
      <c r="AV1436" s="210"/>
      <c r="AW1436" s="210"/>
      <c r="AX1436" s="210"/>
      <c r="AY1436" s="210"/>
      <c r="AZ1436" s="210"/>
      <c r="BA1436" s="210"/>
      <c r="BB1436" s="210"/>
      <c r="BC1436" s="210"/>
      <c r="BD1436" s="210"/>
      <c r="BE1436" s="210"/>
      <c r="BF1436" s="210"/>
      <c r="BG1436" s="210"/>
      <c r="BH1436" s="210"/>
      <c r="BI1436" s="210"/>
      <c r="BJ1436" s="210"/>
      <c r="BK1436" s="210"/>
      <c r="BL1436" s="210"/>
      <c r="BM1436" s="210"/>
      <c r="BN1436" s="210"/>
      <c r="BO1436" s="210"/>
      <c r="BP1436" s="210"/>
      <c r="BQ1436" s="210"/>
      <c r="BR1436" s="210"/>
      <c r="BS1436" s="210"/>
      <c r="BT1436" s="210"/>
      <c r="BU1436" s="210"/>
      <c r="BV1436" s="210"/>
      <c r="BW1436" s="210"/>
      <c r="BX1436" s="210"/>
      <c r="BY1436" s="210"/>
      <c r="BZ1436" s="210"/>
      <c r="CA1436" s="210"/>
      <c r="CB1436" s="210"/>
      <c r="CC1436" s="210"/>
      <c r="CD1436" s="210"/>
      <c r="CE1436" s="210"/>
      <c r="CF1436" s="210"/>
      <c r="CG1436" s="210"/>
      <c r="CH1436" s="210"/>
      <c r="CI1436" s="210"/>
      <c r="CJ1436" s="210"/>
      <c r="CK1436" s="210"/>
    </row>
    <row r="1437">
      <c r="A1437" s="220"/>
      <c r="F1437" s="190"/>
      <c r="G1437" s="190"/>
      <c r="L1437" s="220"/>
      <c r="M1437" s="220"/>
      <c r="O1437" s="210"/>
      <c r="P1437" s="210"/>
      <c r="Q1437" s="210"/>
      <c r="R1437" s="210"/>
      <c r="S1437" s="210"/>
      <c r="T1437" s="210"/>
      <c r="U1437" s="210"/>
      <c r="V1437" s="210"/>
      <c r="W1437" s="210"/>
      <c r="X1437" s="210"/>
      <c r="Y1437" s="210"/>
      <c r="Z1437" s="210"/>
      <c r="AA1437" s="210"/>
      <c r="AB1437" s="210"/>
      <c r="AC1437" s="210"/>
      <c r="AD1437" s="210"/>
      <c r="AE1437" s="210"/>
      <c r="AF1437" s="210"/>
      <c r="AG1437" s="210"/>
      <c r="AH1437" s="210"/>
      <c r="AI1437" s="210"/>
      <c r="AJ1437" s="210"/>
      <c r="AK1437" s="210"/>
      <c r="AL1437" s="210"/>
      <c r="AM1437" s="214"/>
      <c r="AN1437" s="210"/>
      <c r="AO1437" s="210"/>
      <c r="AP1437" s="210"/>
      <c r="AQ1437" s="210"/>
      <c r="AR1437" s="210"/>
      <c r="AS1437" s="210"/>
      <c r="AT1437" s="210"/>
      <c r="AU1437" s="210"/>
      <c r="AV1437" s="210"/>
      <c r="AW1437" s="210"/>
      <c r="AX1437" s="210"/>
      <c r="AY1437" s="210"/>
      <c r="AZ1437" s="210"/>
      <c r="BA1437" s="210"/>
      <c r="BB1437" s="210"/>
      <c r="BC1437" s="210"/>
      <c r="BD1437" s="210"/>
      <c r="BE1437" s="210"/>
      <c r="BF1437" s="210"/>
      <c r="BG1437" s="210"/>
      <c r="BH1437" s="210"/>
      <c r="BI1437" s="210"/>
      <c r="BJ1437" s="210"/>
      <c r="BK1437" s="210"/>
      <c r="BL1437" s="210"/>
      <c r="BM1437" s="210"/>
      <c r="BN1437" s="210"/>
      <c r="BO1437" s="210"/>
      <c r="BP1437" s="210"/>
      <c r="BQ1437" s="210"/>
      <c r="BR1437" s="210"/>
      <c r="BS1437" s="210"/>
      <c r="BT1437" s="210"/>
      <c r="BU1437" s="210"/>
      <c r="BV1437" s="210"/>
      <c r="BW1437" s="210"/>
      <c r="BX1437" s="210"/>
      <c r="BY1437" s="210"/>
      <c r="BZ1437" s="210"/>
      <c r="CA1437" s="210"/>
      <c r="CB1437" s="210"/>
      <c r="CC1437" s="210"/>
      <c r="CD1437" s="210"/>
      <c r="CE1437" s="210"/>
      <c r="CF1437" s="210"/>
      <c r="CG1437" s="210"/>
      <c r="CH1437" s="210"/>
      <c r="CI1437" s="210"/>
      <c r="CJ1437" s="210"/>
      <c r="CK1437" s="210"/>
    </row>
    <row r="1438">
      <c r="A1438" s="220"/>
      <c r="F1438" s="190"/>
      <c r="G1438" s="190"/>
      <c r="L1438" s="220"/>
      <c r="M1438" s="220"/>
      <c r="O1438" s="210"/>
      <c r="P1438" s="210"/>
      <c r="Q1438" s="210"/>
      <c r="R1438" s="210"/>
      <c r="S1438" s="210"/>
      <c r="T1438" s="210"/>
      <c r="U1438" s="210"/>
      <c r="V1438" s="210"/>
      <c r="W1438" s="210"/>
      <c r="X1438" s="210"/>
      <c r="Y1438" s="210"/>
      <c r="Z1438" s="210"/>
      <c r="AA1438" s="210"/>
      <c r="AB1438" s="210"/>
      <c r="AC1438" s="210"/>
      <c r="AD1438" s="210"/>
      <c r="AE1438" s="210"/>
      <c r="AF1438" s="210"/>
      <c r="AG1438" s="210"/>
      <c r="AH1438" s="210"/>
      <c r="AI1438" s="210"/>
      <c r="AJ1438" s="210"/>
      <c r="AK1438" s="210"/>
      <c r="AL1438" s="210"/>
      <c r="AM1438" s="214"/>
      <c r="AN1438" s="210"/>
      <c r="AO1438" s="210"/>
      <c r="AP1438" s="210"/>
      <c r="AQ1438" s="210"/>
      <c r="AR1438" s="210"/>
      <c r="AS1438" s="210"/>
      <c r="AT1438" s="210"/>
      <c r="AU1438" s="210"/>
      <c r="AV1438" s="210"/>
      <c r="AW1438" s="210"/>
      <c r="AX1438" s="210"/>
      <c r="AY1438" s="210"/>
      <c r="AZ1438" s="210"/>
      <c r="BA1438" s="210"/>
      <c r="BB1438" s="210"/>
      <c r="BC1438" s="210"/>
      <c r="BD1438" s="210"/>
      <c r="BE1438" s="210"/>
      <c r="BF1438" s="210"/>
      <c r="BG1438" s="210"/>
      <c r="BH1438" s="210"/>
      <c r="BI1438" s="210"/>
      <c r="BJ1438" s="210"/>
      <c r="BK1438" s="210"/>
      <c r="BL1438" s="210"/>
      <c r="BM1438" s="210"/>
      <c r="BN1438" s="210"/>
      <c r="BO1438" s="210"/>
      <c r="BP1438" s="210"/>
      <c r="BQ1438" s="210"/>
      <c r="BR1438" s="210"/>
      <c r="BS1438" s="210"/>
      <c r="BT1438" s="210"/>
      <c r="BU1438" s="210"/>
      <c r="BV1438" s="210"/>
      <c r="BW1438" s="210"/>
      <c r="BX1438" s="210"/>
      <c r="BY1438" s="210"/>
      <c r="BZ1438" s="210"/>
      <c r="CA1438" s="210"/>
      <c r="CB1438" s="210"/>
      <c r="CC1438" s="210"/>
      <c r="CD1438" s="210"/>
      <c r="CE1438" s="210"/>
      <c r="CF1438" s="210"/>
      <c r="CG1438" s="210"/>
      <c r="CH1438" s="210"/>
      <c r="CI1438" s="210"/>
      <c r="CJ1438" s="210"/>
      <c r="CK1438" s="210"/>
    </row>
    <row r="1439">
      <c r="A1439" s="220"/>
      <c r="F1439" s="190"/>
      <c r="G1439" s="190"/>
      <c r="L1439" s="220"/>
      <c r="M1439" s="220"/>
      <c r="O1439" s="210"/>
      <c r="P1439" s="210"/>
      <c r="Q1439" s="210"/>
      <c r="R1439" s="210"/>
      <c r="S1439" s="210"/>
      <c r="T1439" s="210"/>
      <c r="U1439" s="210"/>
      <c r="V1439" s="210"/>
      <c r="W1439" s="210"/>
      <c r="X1439" s="210"/>
      <c r="Y1439" s="210"/>
      <c r="Z1439" s="210"/>
      <c r="AA1439" s="210"/>
      <c r="AB1439" s="210"/>
      <c r="AC1439" s="210"/>
      <c r="AD1439" s="210"/>
      <c r="AE1439" s="210"/>
      <c r="AF1439" s="210"/>
      <c r="AG1439" s="210"/>
      <c r="AH1439" s="210"/>
      <c r="AI1439" s="210"/>
      <c r="AJ1439" s="210"/>
      <c r="AK1439" s="210"/>
      <c r="AL1439" s="210"/>
      <c r="AM1439" s="214"/>
      <c r="AN1439" s="210"/>
      <c r="AO1439" s="210"/>
      <c r="AP1439" s="210"/>
      <c r="AQ1439" s="210"/>
      <c r="AR1439" s="210"/>
      <c r="AS1439" s="210"/>
      <c r="AT1439" s="210"/>
      <c r="AU1439" s="210"/>
      <c r="AV1439" s="210"/>
      <c r="AW1439" s="210"/>
      <c r="AX1439" s="210"/>
      <c r="AY1439" s="210"/>
      <c r="AZ1439" s="210"/>
      <c r="BA1439" s="210"/>
      <c r="BB1439" s="210"/>
      <c r="BC1439" s="210"/>
      <c r="BD1439" s="210"/>
      <c r="BE1439" s="210"/>
      <c r="BF1439" s="210"/>
      <c r="BG1439" s="210"/>
      <c r="BH1439" s="210"/>
      <c r="BI1439" s="210"/>
      <c r="BJ1439" s="210"/>
      <c r="BK1439" s="210"/>
      <c r="BL1439" s="210"/>
      <c r="BM1439" s="210"/>
      <c r="BN1439" s="210"/>
      <c r="BO1439" s="210"/>
      <c r="BP1439" s="210"/>
      <c r="BQ1439" s="210"/>
      <c r="BR1439" s="210"/>
      <c r="BS1439" s="210"/>
      <c r="BT1439" s="210"/>
      <c r="BU1439" s="210"/>
      <c r="BV1439" s="210"/>
      <c r="BW1439" s="210"/>
      <c r="BX1439" s="210"/>
      <c r="BY1439" s="210"/>
      <c r="BZ1439" s="210"/>
      <c r="CA1439" s="210"/>
      <c r="CB1439" s="210"/>
      <c r="CC1439" s="210"/>
      <c r="CD1439" s="210"/>
      <c r="CE1439" s="210"/>
      <c r="CF1439" s="210"/>
      <c r="CG1439" s="210"/>
      <c r="CH1439" s="210"/>
      <c r="CI1439" s="210"/>
      <c r="CJ1439" s="210"/>
      <c r="CK1439" s="210"/>
    </row>
    <row r="1440">
      <c r="A1440" s="220"/>
      <c r="F1440" s="190"/>
      <c r="G1440" s="190"/>
      <c r="L1440" s="220"/>
      <c r="M1440" s="220"/>
      <c r="O1440" s="210"/>
      <c r="P1440" s="210"/>
      <c r="Q1440" s="210"/>
      <c r="R1440" s="210"/>
      <c r="S1440" s="210"/>
      <c r="T1440" s="210"/>
      <c r="U1440" s="210"/>
      <c r="V1440" s="210"/>
      <c r="W1440" s="210"/>
      <c r="X1440" s="210"/>
      <c r="Y1440" s="210"/>
      <c r="Z1440" s="210"/>
      <c r="AA1440" s="210"/>
      <c r="AB1440" s="210"/>
      <c r="AC1440" s="210"/>
      <c r="AD1440" s="210"/>
      <c r="AE1440" s="210"/>
      <c r="AF1440" s="210"/>
      <c r="AG1440" s="210"/>
      <c r="AH1440" s="210"/>
      <c r="AI1440" s="210"/>
      <c r="AJ1440" s="210"/>
      <c r="AK1440" s="210"/>
      <c r="AL1440" s="210"/>
      <c r="AM1440" s="214"/>
      <c r="AN1440" s="210"/>
      <c r="AO1440" s="210"/>
      <c r="AP1440" s="210"/>
      <c r="AQ1440" s="210"/>
      <c r="AR1440" s="210"/>
      <c r="AS1440" s="210"/>
      <c r="AT1440" s="210"/>
      <c r="AU1440" s="210"/>
      <c r="AV1440" s="210"/>
      <c r="AW1440" s="210"/>
      <c r="AX1440" s="210"/>
      <c r="AY1440" s="210"/>
      <c r="AZ1440" s="210"/>
      <c r="BA1440" s="210"/>
      <c r="BB1440" s="210"/>
      <c r="BC1440" s="210"/>
      <c r="BD1440" s="210"/>
      <c r="BE1440" s="210"/>
      <c r="BF1440" s="210"/>
      <c r="BG1440" s="210"/>
      <c r="BH1440" s="210"/>
      <c r="BI1440" s="210"/>
      <c r="BJ1440" s="210"/>
      <c r="BK1440" s="210"/>
      <c r="BL1440" s="210"/>
      <c r="BM1440" s="210"/>
      <c r="BN1440" s="210"/>
      <c r="BO1440" s="210"/>
      <c r="BP1440" s="210"/>
      <c r="BQ1440" s="210"/>
      <c r="BR1440" s="210"/>
      <c r="BS1440" s="210"/>
      <c r="BT1440" s="210"/>
      <c r="BU1440" s="210"/>
      <c r="BV1440" s="210"/>
      <c r="BW1440" s="210"/>
      <c r="BX1440" s="210"/>
      <c r="BY1440" s="210"/>
      <c r="BZ1440" s="210"/>
      <c r="CA1440" s="210"/>
      <c r="CB1440" s="210"/>
      <c r="CC1440" s="210"/>
      <c r="CD1440" s="210"/>
      <c r="CE1440" s="210"/>
      <c r="CF1440" s="210"/>
      <c r="CG1440" s="210"/>
      <c r="CH1440" s="210"/>
      <c r="CI1440" s="210"/>
      <c r="CJ1440" s="210"/>
      <c r="CK1440" s="210"/>
    </row>
    <row r="1441">
      <c r="A1441" s="220"/>
      <c r="F1441" s="190"/>
      <c r="G1441" s="190"/>
      <c r="L1441" s="220"/>
      <c r="M1441" s="220"/>
      <c r="O1441" s="210"/>
      <c r="P1441" s="210"/>
      <c r="Q1441" s="210"/>
      <c r="R1441" s="210"/>
      <c r="S1441" s="210"/>
      <c r="T1441" s="210"/>
      <c r="U1441" s="210"/>
      <c r="V1441" s="210"/>
      <c r="W1441" s="210"/>
      <c r="X1441" s="210"/>
      <c r="Y1441" s="210"/>
      <c r="Z1441" s="210"/>
      <c r="AA1441" s="210"/>
      <c r="AB1441" s="210"/>
      <c r="AC1441" s="210"/>
      <c r="AD1441" s="210"/>
      <c r="AE1441" s="210"/>
      <c r="AF1441" s="210"/>
      <c r="AG1441" s="210"/>
      <c r="AH1441" s="210"/>
      <c r="AI1441" s="210"/>
      <c r="AJ1441" s="210"/>
      <c r="AK1441" s="210"/>
      <c r="AL1441" s="210"/>
      <c r="AM1441" s="214"/>
      <c r="AN1441" s="210"/>
      <c r="AO1441" s="210"/>
      <c r="AP1441" s="210"/>
      <c r="AQ1441" s="210"/>
      <c r="AR1441" s="210"/>
      <c r="AS1441" s="210"/>
      <c r="AT1441" s="210"/>
      <c r="AU1441" s="210"/>
      <c r="AV1441" s="210"/>
      <c r="AW1441" s="210"/>
      <c r="AX1441" s="210"/>
      <c r="AY1441" s="210"/>
      <c r="AZ1441" s="210"/>
      <c r="BA1441" s="210"/>
      <c r="BB1441" s="210"/>
      <c r="BC1441" s="210"/>
      <c r="BD1441" s="210"/>
      <c r="BE1441" s="210"/>
      <c r="BF1441" s="210"/>
      <c r="BG1441" s="210"/>
      <c r="BH1441" s="210"/>
      <c r="BI1441" s="210"/>
      <c r="BJ1441" s="210"/>
      <c r="BK1441" s="210"/>
      <c r="BL1441" s="210"/>
      <c r="BM1441" s="210"/>
      <c r="BN1441" s="210"/>
      <c r="BO1441" s="210"/>
      <c r="BP1441" s="210"/>
      <c r="BQ1441" s="210"/>
      <c r="BR1441" s="210"/>
      <c r="BS1441" s="210"/>
      <c r="BT1441" s="210"/>
      <c r="BU1441" s="210"/>
      <c r="BV1441" s="210"/>
      <c r="BW1441" s="210"/>
      <c r="BX1441" s="210"/>
      <c r="BY1441" s="210"/>
      <c r="BZ1441" s="210"/>
      <c r="CA1441" s="210"/>
      <c r="CB1441" s="210"/>
      <c r="CC1441" s="210"/>
      <c r="CD1441" s="210"/>
      <c r="CE1441" s="210"/>
      <c r="CF1441" s="210"/>
      <c r="CG1441" s="210"/>
      <c r="CH1441" s="210"/>
      <c r="CI1441" s="210"/>
      <c r="CJ1441" s="210"/>
      <c r="CK1441" s="210"/>
    </row>
    <row r="1442">
      <c r="A1442" s="220"/>
      <c r="F1442" s="190"/>
      <c r="G1442" s="190"/>
      <c r="L1442" s="220"/>
      <c r="M1442" s="220"/>
      <c r="O1442" s="210"/>
      <c r="P1442" s="210"/>
      <c r="Q1442" s="210"/>
      <c r="R1442" s="210"/>
      <c r="S1442" s="210"/>
      <c r="T1442" s="210"/>
      <c r="U1442" s="210"/>
      <c r="V1442" s="210"/>
      <c r="W1442" s="210"/>
      <c r="X1442" s="210"/>
      <c r="Y1442" s="210"/>
      <c r="Z1442" s="210"/>
      <c r="AA1442" s="210"/>
      <c r="AB1442" s="210"/>
      <c r="AC1442" s="210"/>
      <c r="AD1442" s="210"/>
      <c r="AE1442" s="210"/>
      <c r="AF1442" s="210"/>
      <c r="AG1442" s="210"/>
      <c r="AH1442" s="210"/>
      <c r="AI1442" s="210"/>
      <c r="AJ1442" s="210"/>
      <c r="AK1442" s="210"/>
      <c r="AL1442" s="210"/>
      <c r="AM1442" s="214"/>
      <c r="AN1442" s="210"/>
      <c r="AO1442" s="210"/>
      <c r="AP1442" s="210"/>
      <c r="AQ1442" s="210"/>
      <c r="AR1442" s="210"/>
      <c r="AS1442" s="210"/>
      <c r="AT1442" s="210"/>
      <c r="AU1442" s="210"/>
      <c r="AV1442" s="210"/>
      <c r="AW1442" s="210"/>
      <c r="AX1442" s="210"/>
      <c r="AY1442" s="210"/>
      <c r="AZ1442" s="210"/>
      <c r="BA1442" s="210"/>
      <c r="BB1442" s="210"/>
      <c r="BC1442" s="210"/>
      <c r="BD1442" s="210"/>
      <c r="BE1442" s="210"/>
      <c r="BF1442" s="210"/>
      <c r="BG1442" s="210"/>
      <c r="BH1442" s="210"/>
      <c r="BI1442" s="210"/>
      <c r="BJ1442" s="210"/>
      <c r="BK1442" s="210"/>
      <c r="BL1442" s="210"/>
      <c r="BM1442" s="210"/>
      <c r="BN1442" s="210"/>
      <c r="BO1442" s="210"/>
      <c r="BP1442" s="210"/>
      <c r="BQ1442" s="210"/>
      <c r="BR1442" s="210"/>
      <c r="BS1442" s="210"/>
      <c r="BT1442" s="210"/>
      <c r="BU1442" s="210"/>
      <c r="BV1442" s="210"/>
      <c r="BW1442" s="210"/>
      <c r="BX1442" s="210"/>
      <c r="BY1442" s="210"/>
      <c r="BZ1442" s="210"/>
      <c r="CA1442" s="210"/>
      <c r="CB1442" s="210"/>
      <c r="CC1442" s="210"/>
      <c r="CD1442" s="210"/>
      <c r="CE1442" s="210"/>
      <c r="CF1442" s="210"/>
      <c r="CG1442" s="210"/>
      <c r="CH1442" s="210"/>
      <c r="CI1442" s="210"/>
      <c r="CJ1442" s="210"/>
      <c r="CK1442" s="210"/>
    </row>
    <row r="1443">
      <c r="A1443" s="220"/>
      <c r="F1443" s="190"/>
      <c r="G1443" s="190"/>
      <c r="L1443" s="220"/>
      <c r="M1443" s="220"/>
      <c r="O1443" s="210"/>
      <c r="P1443" s="210"/>
      <c r="Q1443" s="210"/>
      <c r="R1443" s="210"/>
      <c r="S1443" s="210"/>
      <c r="T1443" s="210"/>
      <c r="U1443" s="210"/>
      <c r="V1443" s="210"/>
      <c r="W1443" s="210"/>
      <c r="X1443" s="210"/>
      <c r="Y1443" s="210"/>
      <c r="Z1443" s="210"/>
      <c r="AA1443" s="210"/>
      <c r="AB1443" s="210"/>
      <c r="AC1443" s="210"/>
      <c r="AD1443" s="210"/>
      <c r="AE1443" s="210"/>
      <c r="AF1443" s="210"/>
      <c r="AG1443" s="210"/>
      <c r="AH1443" s="210"/>
      <c r="AI1443" s="210"/>
      <c r="AJ1443" s="210"/>
      <c r="AK1443" s="210"/>
      <c r="AL1443" s="210"/>
      <c r="AM1443" s="214"/>
      <c r="AN1443" s="210"/>
      <c r="AO1443" s="210"/>
      <c r="AP1443" s="210"/>
      <c r="AQ1443" s="210"/>
      <c r="AR1443" s="210"/>
      <c r="AS1443" s="210"/>
      <c r="AT1443" s="210"/>
      <c r="AU1443" s="210"/>
      <c r="AV1443" s="210"/>
      <c r="AW1443" s="210"/>
      <c r="AX1443" s="210"/>
      <c r="AY1443" s="210"/>
      <c r="AZ1443" s="210"/>
      <c r="BA1443" s="210"/>
      <c r="BB1443" s="210"/>
      <c r="BC1443" s="210"/>
      <c r="BD1443" s="210"/>
      <c r="BE1443" s="210"/>
      <c r="BF1443" s="210"/>
      <c r="BG1443" s="210"/>
      <c r="BH1443" s="210"/>
      <c r="BI1443" s="210"/>
      <c r="BJ1443" s="210"/>
      <c r="BK1443" s="210"/>
      <c r="BL1443" s="210"/>
      <c r="BM1443" s="210"/>
      <c r="BN1443" s="210"/>
      <c r="BO1443" s="210"/>
      <c r="BP1443" s="210"/>
      <c r="BQ1443" s="210"/>
      <c r="BR1443" s="210"/>
      <c r="BS1443" s="210"/>
      <c r="BT1443" s="210"/>
      <c r="BU1443" s="210"/>
      <c r="BV1443" s="210"/>
      <c r="BW1443" s="210"/>
      <c r="BX1443" s="210"/>
      <c r="BY1443" s="210"/>
      <c r="BZ1443" s="210"/>
      <c r="CA1443" s="210"/>
      <c r="CB1443" s="210"/>
      <c r="CC1443" s="210"/>
      <c r="CD1443" s="210"/>
      <c r="CE1443" s="210"/>
      <c r="CF1443" s="210"/>
      <c r="CG1443" s="210"/>
      <c r="CH1443" s="210"/>
      <c r="CI1443" s="210"/>
      <c r="CJ1443" s="210"/>
      <c r="CK1443" s="210"/>
    </row>
    <row r="1444">
      <c r="A1444" s="220"/>
      <c r="F1444" s="190"/>
      <c r="G1444" s="190"/>
      <c r="L1444" s="220"/>
      <c r="M1444" s="220"/>
      <c r="O1444" s="210"/>
      <c r="P1444" s="210"/>
      <c r="Q1444" s="210"/>
      <c r="R1444" s="210"/>
      <c r="S1444" s="210"/>
      <c r="T1444" s="210"/>
      <c r="U1444" s="210"/>
      <c r="V1444" s="210"/>
      <c r="W1444" s="210"/>
      <c r="X1444" s="210"/>
      <c r="Y1444" s="210"/>
      <c r="Z1444" s="210"/>
      <c r="AA1444" s="210"/>
      <c r="AB1444" s="210"/>
      <c r="AC1444" s="210"/>
      <c r="AD1444" s="210"/>
      <c r="AE1444" s="210"/>
      <c r="AF1444" s="210"/>
      <c r="AG1444" s="210"/>
      <c r="AH1444" s="210"/>
      <c r="AI1444" s="210"/>
      <c r="AJ1444" s="210"/>
      <c r="AK1444" s="210"/>
      <c r="AL1444" s="210"/>
      <c r="AM1444" s="214"/>
      <c r="AN1444" s="210"/>
      <c r="AO1444" s="210"/>
      <c r="AP1444" s="210"/>
      <c r="AQ1444" s="210"/>
      <c r="AR1444" s="210"/>
      <c r="AS1444" s="210"/>
      <c r="AT1444" s="210"/>
      <c r="AU1444" s="210"/>
      <c r="AV1444" s="210"/>
      <c r="AW1444" s="210"/>
      <c r="AX1444" s="210"/>
      <c r="AY1444" s="210"/>
      <c r="AZ1444" s="210"/>
      <c r="BA1444" s="210"/>
      <c r="BB1444" s="210"/>
      <c r="BC1444" s="210"/>
      <c r="BD1444" s="210"/>
      <c r="BE1444" s="210"/>
      <c r="BF1444" s="210"/>
      <c r="BG1444" s="210"/>
      <c r="BH1444" s="210"/>
      <c r="BI1444" s="210"/>
      <c r="BJ1444" s="210"/>
      <c r="BK1444" s="210"/>
      <c r="BL1444" s="210"/>
      <c r="BM1444" s="210"/>
      <c r="BN1444" s="210"/>
      <c r="BO1444" s="210"/>
      <c r="BP1444" s="210"/>
      <c r="BQ1444" s="210"/>
      <c r="BR1444" s="210"/>
      <c r="BS1444" s="210"/>
      <c r="BT1444" s="210"/>
      <c r="BU1444" s="210"/>
      <c r="BV1444" s="210"/>
      <c r="BW1444" s="210"/>
      <c r="BX1444" s="210"/>
      <c r="BY1444" s="210"/>
      <c r="BZ1444" s="210"/>
      <c r="CA1444" s="210"/>
      <c r="CB1444" s="210"/>
      <c r="CC1444" s="210"/>
      <c r="CD1444" s="210"/>
      <c r="CE1444" s="210"/>
      <c r="CF1444" s="210"/>
      <c r="CG1444" s="210"/>
      <c r="CH1444" s="210"/>
      <c r="CI1444" s="210"/>
      <c r="CJ1444" s="210"/>
      <c r="CK1444" s="210"/>
    </row>
    <row r="1445">
      <c r="A1445" s="220"/>
      <c r="F1445" s="190"/>
      <c r="G1445" s="190"/>
      <c r="L1445" s="220"/>
      <c r="M1445" s="220"/>
      <c r="O1445" s="210"/>
      <c r="P1445" s="210"/>
      <c r="Q1445" s="210"/>
      <c r="R1445" s="210"/>
      <c r="S1445" s="210"/>
      <c r="T1445" s="210"/>
      <c r="U1445" s="210"/>
      <c r="V1445" s="210"/>
      <c r="W1445" s="210"/>
      <c r="X1445" s="210"/>
      <c r="Y1445" s="210"/>
      <c r="Z1445" s="210"/>
      <c r="AA1445" s="210"/>
      <c r="AB1445" s="210"/>
      <c r="AC1445" s="210"/>
      <c r="AD1445" s="210"/>
      <c r="AE1445" s="210"/>
      <c r="AF1445" s="210"/>
      <c r="AG1445" s="210"/>
      <c r="AH1445" s="210"/>
      <c r="AI1445" s="210"/>
      <c r="AJ1445" s="210"/>
      <c r="AK1445" s="210"/>
      <c r="AL1445" s="210"/>
      <c r="AM1445" s="214"/>
      <c r="AN1445" s="210"/>
      <c r="AO1445" s="210"/>
      <c r="AP1445" s="210"/>
      <c r="AQ1445" s="210"/>
      <c r="AR1445" s="210"/>
      <c r="AS1445" s="210"/>
      <c r="AT1445" s="210"/>
      <c r="AU1445" s="210"/>
      <c r="AV1445" s="210"/>
      <c r="AW1445" s="210"/>
      <c r="AX1445" s="210"/>
      <c r="AY1445" s="210"/>
      <c r="AZ1445" s="210"/>
      <c r="BA1445" s="210"/>
      <c r="BB1445" s="210"/>
      <c r="BC1445" s="210"/>
      <c r="BD1445" s="210"/>
      <c r="BE1445" s="210"/>
      <c r="BF1445" s="210"/>
      <c r="BG1445" s="210"/>
      <c r="BH1445" s="210"/>
      <c r="BI1445" s="210"/>
      <c r="BJ1445" s="210"/>
      <c r="BK1445" s="210"/>
      <c r="BL1445" s="210"/>
      <c r="BM1445" s="210"/>
      <c r="BN1445" s="210"/>
      <c r="BO1445" s="210"/>
      <c r="BP1445" s="210"/>
      <c r="BQ1445" s="210"/>
      <c r="BR1445" s="210"/>
      <c r="BS1445" s="210"/>
      <c r="BT1445" s="210"/>
      <c r="BU1445" s="210"/>
      <c r="BV1445" s="210"/>
      <c r="BW1445" s="210"/>
      <c r="BX1445" s="210"/>
      <c r="BY1445" s="210"/>
      <c r="BZ1445" s="210"/>
      <c r="CA1445" s="210"/>
      <c r="CB1445" s="210"/>
      <c r="CC1445" s="210"/>
      <c r="CD1445" s="210"/>
      <c r="CE1445" s="210"/>
      <c r="CF1445" s="210"/>
      <c r="CG1445" s="210"/>
      <c r="CH1445" s="210"/>
      <c r="CI1445" s="210"/>
      <c r="CJ1445" s="210"/>
      <c r="CK1445" s="210"/>
    </row>
    <row r="1446">
      <c r="A1446" s="220"/>
      <c r="F1446" s="190"/>
      <c r="G1446" s="190"/>
      <c r="L1446" s="220"/>
      <c r="M1446" s="220"/>
      <c r="O1446" s="210"/>
      <c r="P1446" s="210"/>
      <c r="Q1446" s="210"/>
      <c r="R1446" s="210"/>
      <c r="S1446" s="210"/>
      <c r="T1446" s="210"/>
      <c r="U1446" s="210"/>
      <c r="V1446" s="210"/>
      <c r="W1446" s="210"/>
      <c r="X1446" s="210"/>
      <c r="Y1446" s="210"/>
      <c r="Z1446" s="210"/>
      <c r="AA1446" s="210"/>
      <c r="AB1446" s="210"/>
      <c r="AC1446" s="210"/>
      <c r="AD1446" s="210"/>
      <c r="AE1446" s="210"/>
      <c r="AF1446" s="210"/>
      <c r="AG1446" s="210"/>
      <c r="AH1446" s="210"/>
      <c r="AI1446" s="210"/>
      <c r="AJ1446" s="210"/>
      <c r="AK1446" s="210"/>
      <c r="AL1446" s="210"/>
      <c r="AM1446" s="214"/>
      <c r="AN1446" s="210"/>
      <c r="AO1446" s="210"/>
      <c r="AP1446" s="210"/>
      <c r="AQ1446" s="210"/>
      <c r="AR1446" s="210"/>
      <c r="AS1446" s="210"/>
      <c r="AT1446" s="210"/>
      <c r="AU1446" s="210"/>
      <c r="AV1446" s="210"/>
      <c r="AW1446" s="210"/>
      <c r="AX1446" s="210"/>
      <c r="AY1446" s="210"/>
      <c r="AZ1446" s="210"/>
      <c r="BA1446" s="210"/>
      <c r="BB1446" s="210"/>
      <c r="BC1446" s="210"/>
      <c r="BD1446" s="210"/>
      <c r="BE1446" s="210"/>
      <c r="BF1446" s="210"/>
      <c r="BG1446" s="210"/>
      <c r="BH1446" s="210"/>
      <c r="BI1446" s="210"/>
      <c r="BJ1446" s="210"/>
      <c r="BK1446" s="210"/>
      <c r="BL1446" s="210"/>
      <c r="BM1446" s="210"/>
      <c r="BN1446" s="210"/>
      <c r="BO1446" s="210"/>
      <c r="BP1446" s="210"/>
      <c r="BQ1446" s="210"/>
      <c r="BR1446" s="210"/>
      <c r="BS1446" s="210"/>
      <c r="BT1446" s="210"/>
      <c r="BU1446" s="210"/>
      <c r="BV1446" s="210"/>
      <c r="BW1446" s="210"/>
      <c r="BX1446" s="210"/>
      <c r="BY1446" s="210"/>
      <c r="BZ1446" s="210"/>
      <c r="CA1446" s="210"/>
      <c r="CB1446" s="210"/>
      <c r="CC1446" s="210"/>
      <c r="CD1446" s="210"/>
      <c r="CE1446" s="210"/>
      <c r="CF1446" s="210"/>
      <c r="CG1446" s="210"/>
      <c r="CH1446" s="210"/>
      <c r="CI1446" s="210"/>
      <c r="CJ1446" s="210"/>
      <c r="CK1446" s="210"/>
    </row>
    <row r="1447">
      <c r="A1447" s="220"/>
      <c r="F1447" s="190"/>
      <c r="G1447" s="190"/>
      <c r="L1447" s="220"/>
      <c r="M1447" s="220"/>
      <c r="O1447" s="210"/>
      <c r="P1447" s="210"/>
      <c r="Q1447" s="210"/>
      <c r="R1447" s="210"/>
      <c r="S1447" s="210"/>
      <c r="T1447" s="210"/>
      <c r="U1447" s="210"/>
      <c r="V1447" s="210"/>
      <c r="W1447" s="210"/>
      <c r="X1447" s="210"/>
      <c r="Y1447" s="210"/>
      <c r="Z1447" s="210"/>
      <c r="AA1447" s="210"/>
      <c r="AB1447" s="210"/>
      <c r="AC1447" s="210"/>
      <c r="AD1447" s="210"/>
      <c r="AE1447" s="210"/>
      <c r="AF1447" s="210"/>
      <c r="AG1447" s="210"/>
      <c r="AH1447" s="210"/>
      <c r="AI1447" s="210"/>
      <c r="AJ1447" s="210"/>
      <c r="AK1447" s="210"/>
      <c r="AL1447" s="210"/>
      <c r="AM1447" s="214"/>
      <c r="AN1447" s="210"/>
      <c r="AO1447" s="210"/>
      <c r="AP1447" s="210"/>
      <c r="AQ1447" s="210"/>
      <c r="AR1447" s="210"/>
      <c r="AS1447" s="210"/>
      <c r="AT1447" s="210"/>
      <c r="AU1447" s="210"/>
      <c r="AV1447" s="210"/>
      <c r="AW1447" s="210"/>
      <c r="AX1447" s="210"/>
      <c r="AY1447" s="210"/>
      <c r="AZ1447" s="210"/>
      <c r="BA1447" s="210"/>
      <c r="BB1447" s="210"/>
      <c r="BC1447" s="210"/>
      <c r="BD1447" s="210"/>
      <c r="BE1447" s="210"/>
      <c r="BF1447" s="210"/>
      <c r="BG1447" s="210"/>
      <c r="BH1447" s="210"/>
      <c r="BI1447" s="210"/>
      <c r="BJ1447" s="210"/>
      <c r="BK1447" s="210"/>
      <c r="BL1447" s="210"/>
      <c r="BM1447" s="210"/>
      <c r="BN1447" s="210"/>
      <c r="BO1447" s="210"/>
      <c r="BP1447" s="210"/>
      <c r="BQ1447" s="210"/>
      <c r="BR1447" s="210"/>
      <c r="BS1447" s="210"/>
      <c r="BT1447" s="210"/>
      <c r="BU1447" s="210"/>
      <c r="BV1447" s="210"/>
      <c r="BW1447" s="210"/>
      <c r="BX1447" s="210"/>
      <c r="BY1447" s="210"/>
      <c r="BZ1447" s="210"/>
      <c r="CA1447" s="210"/>
      <c r="CB1447" s="210"/>
      <c r="CC1447" s="210"/>
      <c r="CD1447" s="210"/>
      <c r="CE1447" s="210"/>
      <c r="CF1447" s="210"/>
      <c r="CG1447" s="210"/>
      <c r="CH1447" s="210"/>
      <c r="CI1447" s="210"/>
      <c r="CJ1447" s="210"/>
      <c r="CK1447" s="210"/>
    </row>
    <row r="1448">
      <c r="A1448" s="220"/>
      <c r="F1448" s="190"/>
      <c r="G1448" s="190"/>
      <c r="L1448" s="220"/>
      <c r="M1448" s="220"/>
      <c r="O1448" s="210"/>
      <c r="P1448" s="210"/>
      <c r="Q1448" s="210"/>
      <c r="R1448" s="210"/>
      <c r="S1448" s="210"/>
      <c r="T1448" s="210"/>
      <c r="U1448" s="210"/>
      <c r="V1448" s="210"/>
      <c r="W1448" s="210"/>
      <c r="X1448" s="210"/>
      <c r="Y1448" s="210"/>
      <c r="Z1448" s="210"/>
      <c r="AA1448" s="210"/>
      <c r="AB1448" s="210"/>
      <c r="AC1448" s="210"/>
      <c r="AD1448" s="210"/>
      <c r="AE1448" s="210"/>
      <c r="AF1448" s="210"/>
      <c r="AG1448" s="210"/>
      <c r="AH1448" s="210"/>
      <c r="AI1448" s="210"/>
      <c r="AJ1448" s="210"/>
      <c r="AK1448" s="210"/>
      <c r="AL1448" s="210"/>
      <c r="AM1448" s="214"/>
      <c r="AN1448" s="210"/>
      <c r="AO1448" s="210"/>
      <c r="AP1448" s="210"/>
      <c r="AQ1448" s="210"/>
      <c r="AR1448" s="210"/>
      <c r="AS1448" s="210"/>
      <c r="AT1448" s="210"/>
      <c r="AU1448" s="210"/>
      <c r="AV1448" s="210"/>
      <c r="AW1448" s="210"/>
      <c r="AX1448" s="210"/>
      <c r="AY1448" s="210"/>
      <c r="AZ1448" s="210"/>
      <c r="BA1448" s="210"/>
      <c r="BB1448" s="210"/>
      <c r="BC1448" s="210"/>
      <c r="BD1448" s="210"/>
      <c r="BE1448" s="210"/>
      <c r="BF1448" s="210"/>
      <c r="BG1448" s="210"/>
      <c r="BH1448" s="210"/>
      <c r="BI1448" s="210"/>
      <c r="BJ1448" s="210"/>
      <c r="BK1448" s="210"/>
      <c r="BL1448" s="210"/>
      <c r="BM1448" s="210"/>
      <c r="BN1448" s="210"/>
      <c r="BO1448" s="210"/>
      <c r="BP1448" s="210"/>
      <c r="BQ1448" s="210"/>
      <c r="BR1448" s="210"/>
      <c r="BS1448" s="210"/>
      <c r="BT1448" s="210"/>
      <c r="BU1448" s="210"/>
      <c r="BV1448" s="210"/>
      <c r="BW1448" s="210"/>
      <c r="BX1448" s="210"/>
      <c r="BY1448" s="210"/>
      <c r="BZ1448" s="210"/>
      <c r="CA1448" s="210"/>
      <c r="CB1448" s="210"/>
      <c r="CC1448" s="210"/>
      <c r="CD1448" s="210"/>
      <c r="CE1448" s="210"/>
      <c r="CF1448" s="210"/>
      <c r="CG1448" s="210"/>
      <c r="CH1448" s="210"/>
      <c r="CI1448" s="210"/>
      <c r="CJ1448" s="210"/>
      <c r="CK1448" s="210"/>
    </row>
    <row r="1449">
      <c r="A1449" s="220"/>
      <c r="F1449" s="190"/>
      <c r="G1449" s="190"/>
      <c r="L1449" s="220"/>
      <c r="M1449" s="220"/>
      <c r="O1449" s="210"/>
      <c r="P1449" s="210"/>
      <c r="Q1449" s="210"/>
      <c r="R1449" s="210"/>
      <c r="S1449" s="210"/>
      <c r="T1449" s="210"/>
      <c r="U1449" s="210"/>
      <c r="V1449" s="210"/>
      <c r="W1449" s="210"/>
      <c r="X1449" s="210"/>
      <c r="Y1449" s="210"/>
      <c r="Z1449" s="210"/>
      <c r="AA1449" s="210"/>
      <c r="AB1449" s="210"/>
      <c r="AC1449" s="210"/>
      <c r="AD1449" s="210"/>
      <c r="AE1449" s="210"/>
      <c r="AF1449" s="210"/>
      <c r="AG1449" s="210"/>
      <c r="AH1449" s="210"/>
      <c r="AI1449" s="210"/>
      <c r="AJ1449" s="210"/>
      <c r="AK1449" s="210"/>
      <c r="AL1449" s="210"/>
      <c r="AM1449" s="214"/>
      <c r="AN1449" s="210"/>
      <c r="AO1449" s="210"/>
      <c r="AP1449" s="210"/>
      <c r="AQ1449" s="210"/>
      <c r="AR1449" s="210"/>
      <c r="AS1449" s="210"/>
      <c r="AT1449" s="210"/>
      <c r="AU1449" s="210"/>
      <c r="AV1449" s="210"/>
      <c r="AW1449" s="210"/>
      <c r="AX1449" s="210"/>
      <c r="AY1449" s="210"/>
      <c r="AZ1449" s="210"/>
      <c r="BA1449" s="210"/>
      <c r="BB1449" s="210"/>
      <c r="BC1449" s="210"/>
      <c r="BD1449" s="210"/>
      <c r="BE1449" s="210"/>
      <c r="BF1449" s="210"/>
      <c r="BG1449" s="210"/>
      <c r="BH1449" s="210"/>
      <c r="BI1449" s="210"/>
      <c r="BJ1449" s="210"/>
      <c r="BK1449" s="210"/>
      <c r="BL1449" s="210"/>
      <c r="BM1449" s="210"/>
      <c r="BN1449" s="210"/>
      <c r="BO1449" s="210"/>
      <c r="BP1449" s="210"/>
      <c r="BQ1449" s="210"/>
      <c r="BR1449" s="210"/>
      <c r="BS1449" s="210"/>
      <c r="BT1449" s="210"/>
      <c r="BU1449" s="210"/>
      <c r="BV1449" s="210"/>
      <c r="BW1449" s="210"/>
      <c r="BX1449" s="210"/>
      <c r="BY1449" s="210"/>
      <c r="BZ1449" s="210"/>
      <c r="CA1449" s="210"/>
      <c r="CB1449" s="210"/>
      <c r="CC1449" s="210"/>
      <c r="CD1449" s="210"/>
      <c r="CE1449" s="210"/>
      <c r="CF1449" s="210"/>
      <c r="CG1449" s="210"/>
      <c r="CH1449" s="210"/>
      <c r="CI1449" s="210"/>
      <c r="CJ1449" s="210"/>
      <c r="CK1449" s="210"/>
    </row>
    <row r="1450">
      <c r="A1450" s="220"/>
      <c r="F1450" s="190"/>
      <c r="G1450" s="190"/>
      <c r="L1450" s="220"/>
      <c r="M1450" s="220"/>
      <c r="O1450" s="210"/>
      <c r="P1450" s="210"/>
      <c r="Q1450" s="210"/>
      <c r="R1450" s="210"/>
      <c r="S1450" s="210"/>
      <c r="T1450" s="210"/>
      <c r="U1450" s="210"/>
      <c r="V1450" s="210"/>
      <c r="W1450" s="210"/>
      <c r="X1450" s="210"/>
      <c r="Y1450" s="210"/>
      <c r="Z1450" s="210"/>
      <c r="AA1450" s="210"/>
      <c r="AB1450" s="210"/>
      <c r="AC1450" s="210"/>
      <c r="AD1450" s="210"/>
      <c r="AE1450" s="210"/>
      <c r="AF1450" s="210"/>
      <c r="AG1450" s="210"/>
      <c r="AH1450" s="210"/>
      <c r="AI1450" s="210"/>
      <c r="AJ1450" s="210"/>
      <c r="AK1450" s="210"/>
      <c r="AL1450" s="210"/>
      <c r="AM1450" s="214"/>
      <c r="AN1450" s="210"/>
      <c r="AO1450" s="210"/>
      <c r="AP1450" s="210"/>
      <c r="AQ1450" s="210"/>
      <c r="AR1450" s="210"/>
      <c r="AS1450" s="210"/>
      <c r="AT1450" s="210"/>
      <c r="AU1450" s="210"/>
      <c r="AV1450" s="210"/>
      <c r="AW1450" s="210"/>
      <c r="AX1450" s="210"/>
      <c r="AY1450" s="210"/>
      <c r="AZ1450" s="210"/>
      <c r="BA1450" s="210"/>
      <c r="BB1450" s="210"/>
      <c r="BC1450" s="210"/>
      <c r="BD1450" s="210"/>
      <c r="BE1450" s="210"/>
      <c r="BF1450" s="210"/>
      <c r="BG1450" s="210"/>
      <c r="BH1450" s="210"/>
      <c r="BI1450" s="210"/>
      <c r="BJ1450" s="210"/>
      <c r="BK1450" s="210"/>
      <c r="BL1450" s="210"/>
      <c r="BM1450" s="210"/>
      <c r="BN1450" s="210"/>
      <c r="BO1450" s="210"/>
      <c r="BP1450" s="210"/>
      <c r="BQ1450" s="210"/>
      <c r="BR1450" s="210"/>
      <c r="BS1450" s="210"/>
      <c r="BT1450" s="210"/>
      <c r="BU1450" s="210"/>
      <c r="BV1450" s="210"/>
      <c r="BW1450" s="210"/>
      <c r="BX1450" s="210"/>
      <c r="BY1450" s="210"/>
      <c r="BZ1450" s="210"/>
      <c r="CA1450" s="210"/>
      <c r="CB1450" s="210"/>
      <c r="CC1450" s="210"/>
      <c r="CD1450" s="210"/>
      <c r="CE1450" s="210"/>
      <c r="CF1450" s="210"/>
      <c r="CG1450" s="210"/>
      <c r="CH1450" s="210"/>
      <c r="CI1450" s="210"/>
      <c r="CJ1450" s="210"/>
      <c r="CK1450" s="210"/>
    </row>
    <row r="1451">
      <c r="A1451" s="220"/>
      <c r="F1451" s="190"/>
      <c r="G1451" s="190"/>
      <c r="L1451" s="220"/>
      <c r="M1451" s="220"/>
      <c r="O1451" s="210"/>
      <c r="P1451" s="210"/>
      <c r="Q1451" s="210"/>
      <c r="R1451" s="210"/>
      <c r="S1451" s="210"/>
      <c r="T1451" s="210"/>
      <c r="U1451" s="210"/>
      <c r="V1451" s="210"/>
      <c r="W1451" s="210"/>
      <c r="X1451" s="210"/>
      <c r="Y1451" s="210"/>
      <c r="Z1451" s="210"/>
      <c r="AA1451" s="210"/>
      <c r="AB1451" s="210"/>
      <c r="AC1451" s="210"/>
      <c r="AD1451" s="210"/>
      <c r="AE1451" s="210"/>
      <c r="AF1451" s="210"/>
      <c r="AG1451" s="210"/>
      <c r="AH1451" s="210"/>
      <c r="AI1451" s="210"/>
      <c r="AJ1451" s="210"/>
      <c r="AK1451" s="210"/>
      <c r="AL1451" s="210"/>
      <c r="AM1451" s="214"/>
      <c r="AN1451" s="210"/>
      <c r="AO1451" s="210"/>
      <c r="AP1451" s="210"/>
      <c r="AQ1451" s="210"/>
      <c r="AR1451" s="210"/>
      <c r="AS1451" s="210"/>
      <c r="AT1451" s="210"/>
      <c r="AU1451" s="210"/>
      <c r="AV1451" s="210"/>
      <c r="AW1451" s="210"/>
      <c r="AX1451" s="210"/>
      <c r="AY1451" s="210"/>
      <c r="AZ1451" s="210"/>
      <c r="BA1451" s="210"/>
      <c r="BB1451" s="210"/>
      <c r="BC1451" s="210"/>
      <c r="BD1451" s="210"/>
      <c r="BE1451" s="210"/>
      <c r="BF1451" s="210"/>
      <c r="BG1451" s="210"/>
      <c r="BH1451" s="210"/>
      <c r="BI1451" s="210"/>
      <c r="BJ1451" s="210"/>
      <c r="BK1451" s="210"/>
      <c r="BL1451" s="210"/>
      <c r="BM1451" s="210"/>
      <c r="BN1451" s="210"/>
      <c r="BO1451" s="210"/>
      <c r="BP1451" s="210"/>
      <c r="BQ1451" s="210"/>
      <c r="BR1451" s="210"/>
      <c r="BS1451" s="210"/>
      <c r="BT1451" s="210"/>
      <c r="BU1451" s="210"/>
      <c r="BV1451" s="210"/>
      <c r="BW1451" s="210"/>
      <c r="BX1451" s="210"/>
      <c r="BY1451" s="210"/>
      <c r="BZ1451" s="210"/>
      <c r="CA1451" s="210"/>
      <c r="CB1451" s="210"/>
      <c r="CC1451" s="210"/>
      <c r="CD1451" s="210"/>
      <c r="CE1451" s="210"/>
      <c r="CF1451" s="210"/>
      <c r="CG1451" s="210"/>
      <c r="CH1451" s="210"/>
      <c r="CI1451" s="210"/>
      <c r="CJ1451" s="210"/>
      <c r="CK1451" s="210"/>
    </row>
    <row r="1452">
      <c r="A1452" s="220"/>
      <c r="F1452" s="190"/>
      <c r="G1452" s="190"/>
      <c r="L1452" s="220"/>
      <c r="M1452" s="220"/>
      <c r="O1452" s="210"/>
      <c r="P1452" s="210"/>
      <c r="Q1452" s="210"/>
      <c r="R1452" s="210"/>
      <c r="S1452" s="210"/>
      <c r="T1452" s="210"/>
      <c r="U1452" s="210"/>
      <c r="V1452" s="210"/>
      <c r="W1452" s="210"/>
      <c r="X1452" s="210"/>
      <c r="Y1452" s="210"/>
      <c r="Z1452" s="210"/>
      <c r="AA1452" s="210"/>
      <c r="AB1452" s="210"/>
      <c r="AC1452" s="210"/>
      <c r="AD1452" s="210"/>
      <c r="AE1452" s="210"/>
      <c r="AF1452" s="210"/>
      <c r="AG1452" s="210"/>
      <c r="AH1452" s="210"/>
      <c r="AI1452" s="210"/>
      <c r="AJ1452" s="210"/>
      <c r="AK1452" s="210"/>
      <c r="AL1452" s="210"/>
      <c r="AM1452" s="214"/>
      <c r="AN1452" s="210"/>
      <c r="AO1452" s="210"/>
      <c r="AP1452" s="210"/>
      <c r="AQ1452" s="210"/>
      <c r="AR1452" s="210"/>
      <c r="AS1452" s="210"/>
      <c r="AT1452" s="210"/>
      <c r="AU1452" s="210"/>
      <c r="AV1452" s="210"/>
      <c r="AW1452" s="210"/>
      <c r="AX1452" s="210"/>
      <c r="AY1452" s="210"/>
      <c r="AZ1452" s="210"/>
      <c r="BA1452" s="210"/>
      <c r="BB1452" s="210"/>
      <c r="BC1452" s="210"/>
      <c r="BD1452" s="210"/>
      <c r="BE1452" s="210"/>
      <c r="BF1452" s="210"/>
      <c r="BG1452" s="210"/>
      <c r="BH1452" s="210"/>
      <c r="BI1452" s="210"/>
      <c r="BJ1452" s="210"/>
      <c r="BK1452" s="210"/>
      <c r="BL1452" s="210"/>
      <c r="BM1452" s="210"/>
      <c r="BN1452" s="210"/>
      <c r="BO1452" s="210"/>
      <c r="BP1452" s="210"/>
      <c r="BQ1452" s="210"/>
      <c r="BR1452" s="210"/>
      <c r="BS1452" s="210"/>
      <c r="BT1452" s="210"/>
      <c r="BU1452" s="210"/>
      <c r="BV1452" s="210"/>
      <c r="BW1452" s="210"/>
      <c r="BX1452" s="210"/>
      <c r="BY1452" s="210"/>
      <c r="BZ1452" s="210"/>
      <c r="CA1452" s="210"/>
      <c r="CB1452" s="210"/>
      <c r="CC1452" s="210"/>
      <c r="CD1452" s="210"/>
      <c r="CE1452" s="210"/>
      <c r="CF1452" s="210"/>
      <c r="CG1452" s="210"/>
      <c r="CH1452" s="210"/>
      <c r="CI1452" s="210"/>
      <c r="CJ1452" s="210"/>
      <c r="CK1452" s="210"/>
    </row>
    <row r="1453">
      <c r="A1453" s="220"/>
      <c r="F1453" s="190"/>
      <c r="G1453" s="190"/>
      <c r="L1453" s="220"/>
      <c r="M1453" s="220"/>
      <c r="O1453" s="210"/>
      <c r="P1453" s="210"/>
      <c r="Q1453" s="210"/>
      <c r="R1453" s="210"/>
      <c r="S1453" s="210"/>
      <c r="T1453" s="210"/>
      <c r="U1453" s="210"/>
      <c r="V1453" s="210"/>
      <c r="W1453" s="210"/>
      <c r="X1453" s="210"/>
      <c r="Y1453" s="210"/>
      <c r="Z1453" s="210"/>
      <c r="AA1453" s="210"/>
      <c r="AB1453" s="210"/>
      <c r="AC1453" s="210"/>
      <c r="AD1453" s="210"/>
      <c r="AE1453" s="210"/>
      <c r="AF1453" s="210"/>
      <c r="AG1453" s="210"/>
      <c r="AH1453" s="210"/>
      <c r="AI1453" s="210"/>
      <c r="AJ1453" s="210"/>
      <c r="AK1453" s="210"/>
      <c r="AL1453" s="210"/>
      <c r="AM1453" s="214"/>
      <c r="AN1453" s="210"/>
      <c r="AO1453" s="210"/>
      <c r="AP1453" s="210"/>
      <c r="AQ1453" s="210"/>
      <c r="AR1453" s="210"/>
      <c r="AS1453" s="210"/>
      <c r="AT1453" s="210"/>
      <c r="AU1453" s="210"/>
      <c r="AV1453" s="210"/>
      <c r="AW1453" s="210"/>
      <c r="AX1453" s="210"/>
      <c r="AY1453" s="210"/>
      <c r="AZ1453" s="210"/>
      <c r="BA1453" s="210"/>
      <c r="BB1453" s="210"/>
      <c r="BC1453" s="210"/>
      <c r="BD1453" s="210"/>
      <c r="BE1453" s="210"/>
      <c r="BF1453" s="210"/>
      <c r="BG1453" s="210"/>
      <c r="BH1453" s="210"/>
      <c r="BI1453" s="210"/>
      <c r="BJ1453" s="210"/>
      <c r="BK1453" s="210"/>
      <c r="BL1453" s="210"/>
      <c r="BM1453" s="210"/>
      <c r="BN1453" s="210"/>
      <c r="BO1453" s="210"/>
      <c r="BP1453" s="210"/>
      <c r="BQ1453" s="210"/>
      <c r="BR1453" s="210"/>
      <c r="BS1453" s="210"/>
      <c r="BT1453" s="210"/>
      <c r="BU1453" s="210"/>
      <c r="BV1453" s="210"/>
      <c r="BW1453" s="210"/>
      <c r="BX1453" s="210"/>
      <c r="BY1453" s="210"/>
      <c r="BZ1453" s="210"/>
      <c r="CA1453" s="210"/>
      <c r="CB1453" s="210"/>
      <c r="CC1453" s="210"/>
      <c r="CD1453" s="210"/>
      <c r="CE1453" s="210"/>
      <c r="CF1453" s="210"/>
      <c r="CG1453" s="210"/>
      <c r="CH1453" s="210"/>
      <c r="CI1453" s="210"/>
      <c r="CJ1453" s="210"/>
      <c r="CK1453" s="210"/>
    </row>
    <row r="1454">
      <c r="A1454" s="220"/>
      <c r="F1454" s="190"/>
      <c r="G1454" s="190"/>
      <c r="L1454" s="220"/>
      <c r="M1454" s="220"/>
      <c r="O1454" s="210"/>
      <c r="P1454" s="210"/>
      <c r="Q1454" s="210"/>
      <c r="R1454" s="210"/>
      <c r="S1454" s="210"/>
      <c r="T1454" s="210"/>
      <c r="U1454" s="210"/>
      <c r="V1454" s="210"/>
      <c r="W1454" s="210"/>
      <c r="X1454" s="210"/>
      <c r="Y1454" s="210"/>
      <c r="Z1454" s="210"/>
      <c r="AA1454" s="210"/>
      <c r="AB1454" s="210"/>
      <c r="AC1454" s="210"/>
      <c r="AD1454" s="210"/>
      <c r="AE1454" s="210"/>
      <c r="AF1454" s="210"/>
      <c r="AG1454" s="210"/>
      <c r="AH1454" s="210"/>
      <c r="AI1454" s="210"/>
      <c r="AJ1454" s="210"/>
      <c r="AK1454" s="210"/>
      <c r="AL1454" s="210"/>
      <c r="AM1454" s="214"/>
      <c r="AN1454" s="210"/>
      <c r="AO1454" s="210"/>
      <c r="AP1454" s="210"/>
      <c r="AQ1454" s="210"/>
      <c r="AR1454" s="210"/>
      <c r="AS1454" s="210"/>
      <c r="AT1454" s="210"/>
      <c r="AU1454" s="210"/>
      <c r="AV1454" s="210"/>
      <c r="AW1454" s="210"/>
      <c r="AX1454" s="210"/>
      <c r="AY1454" s="210"/>
      <c r="AZ1454" s="210"/>
      <c r="BA1454" s="210"/>
      <c r="BB1454" s="210"/>
      <c r="BC1454" s="210"/>
      <c r="BD1454" s="210"/>
      <c r="BE1454" s="210"/>
      <c r="BF1454" s="210"/>
      <c r="BG1454" s="210"/>
      <c r="BH1454" s="210"/>
      <c r="BI1454" s="210"/>
      <c r="BJ1454" s="210"/>
      <c r="BK1454" s="210"/>
      <c r="BL1454" s="210"/>
      <c r="BM1454" s="210"/>
      <c r="BN1454" s="210"/>
      <c r="BO1454" s="210"/>
      <c r="BP1454" s="210"/>
      <c r="BQ1454" s="210"/>
      <c r="BR1454" s="210"/>
      <c r="BS1454" s="210"/>
      <c r="BT1454" s="210"/>
      <c r="BU1454" s="210"/>
      <c r="BV1454" s="210"/>
      <c r="BW1454" s="210"/>
      <c r="BX1454" s="210"/>
      <c r="BY1454" s="210"/>
      <c r="BZ1454" s="210"/>
      <c r="CA1454" s="210"/>
      <c r="CB1454" s="210"/>
      <c r="CC1454" s="210"/>
      <c r="CD1454" s="210"/>
      <c r="CE1454" s="210"/>
      <c r="CF1454" s="210"/>
      <c r="CG1454" s="210"/>
      <c r="CH1454" s="210"/>
      <c r="CI1454" s="210"/>
      <c r="CJ1454" s="210"/>
      <c r="CK1454" s="210"/>
    </row>
    <row r="1455">
      <c r="A1455" s="220"/>
      <c r="F1455" s="190"/>
      <c r="G1455" s="190"/>
      <c r="L1455" s="220"/>
      <c r="M1455" s="220"/>
      <c r="O1455" s="210"/>
      <c r="P1455" s="210"/>
      <c r="Q1455" s="210"/>
      <c r="R1455" s="210"/>
      <c r="S1455" s="210"/>
      <c r="T1455" s="210"/>
      <c r="U1455" s="210"/>
      <c r="V1455" s="210"/>
      <c r="W1455" s="210"/>
      <c r="X1455" s="210"/>
      <c r="Y1455" s="210"/>
      <c r="Z1455" s="210"/>
      <c r="AA1455" s="210"/>
      <c r="AB1455" s="210"/>
      <c r="AC1455" s="210"/>
      <c r="AD1455" s="210"/>
      <c r="AE1455" s="210"/>
      <c r="AF1455" s="210"/>
      <c r="AG1455" s="210"/>
      <c r="AH1455" s="210"/>
      <c r="AI1455" s="210"/>
      <c r="AJ1455" s="210"/>
      <c r="AK1455" s="210"/>
      <c r="AL1455" s="210"/>
      <c r="AM1455" s="214"/>
      <c r="AN1455" s="210"/>
      <c r="AO1455" s="210"/>
      <c r="AP1455" s="210"/>
      <c r="AQ1455" s="210"/>
      <c r="AR1455" s="210"/>
      <c r="AS1455" s="210"/>
      <c r="AT1455" s="210"/>
      <c r="AU1455" s="210"/>
      <c r="AV1455" s="210"/>
      <c r="AW1455" s="210"/>
      <c r="AX1455" s="210"/>
      <c r="AY1455" s="210"/>
      <c r="AZ1455" s="210"/>
      <c r="BA1455" s="210"/>
      <c r="BB1455" s="210"/>
      <c r="BC1455" s="210"/>
      <c r="BD1455" s="210"/>
      <c r="BE1455" s="210"/>
      <c r="BF1455" s="210"/>
      <c r="BG1455" s="210"/>
      <c r="BH1455" s="210"/>
      <c r="BI1455" s="210"/>
      <c r="BJ1455" s="210"/>
      <c r="BK1455" s="210"/>
      <c r="BL1455" s="210"/>
      <c r="BM1455" s="210"/>
      <c r="BN1455" s="210"/>
      <c r="BO1455" s="210"/>
      <c r="BP1455" s="210"/>
      <c r="BQ1455" s="210"/>
      <c r="BR1455" s="210"/>
      <c r="BS1455" s="210"/>
      <c r="BT1455" s="210"/>
      <c r="BU1455" s="210"/>
      <c r="BV1455" s="210"/>
      <c r="BW1455" s="210"/>
      <c r="BX1455" s="210"/>
      <c r="BY1455" s="210"/>
      <c r="BZ1455" s="210"/>
      <c r="CA1455" s="210"/>
      <c r="CB1455" s="210"/>
      <c r="CC1455" s="210"/>
      <c r="CD1455" s="210"/>
      <c r="CE1455" s="210"/>
      <c r="CF1455" s="210"/>
      <c r="CG1455" s="210"/>
      <c r="CH1455" s="210"/>
      <c r="CI1455" s="210"/>
      <c r="CJ1455" s="210"/>
      <c r="CK1455" s="210"/>
    </row>
    <row r="1456">
      <c r="A1456" s="220"/>
      <c r="F1456" s="190"/>
      <c r="G1456" s="190"/>
      <c r="L1456" s="220"/>
      <c r="M1456" s="220"/>
      <c r="O1456" s="210"/>
      <c r="P1456" s="210"/>
      <c r="Q1456" s="210"/>
      <c r="R1456" s="210"/>
      <c r="S1456" s="210"/>
      <c r="T1456" s="210"/>
      <c r="U1456" s="210"/>
      <c r="V1456" s="210"/>
      <c r="W1456" s="210"/>
      <c r="X1456" s="210"/>
      <c r="Y1456" s="210"/>
      <c r="Z1456" s="210"/>
      <c r="AA1456" s="210"/>
      <c r="AB1456" s="210"/>
      <c r="AC1456" s="210"/>
      <c r="AD1456" s="210"/>
      <c r="AE1456" s="210"/>
      <c r="AF1456" s="210"/>
      <c r="AG1456" s="210"/>
      <c r="AH1456" s="210"/>
      <c r="AI1456" s="210"/>
      <c r="AJ1456" s="210"/>
      <c r="AK1456" s="210"/>
      <c r="AL1456" s="210"/>
      <c r="AM1456" s="214"/>
      <c r="AN1456" s="210"/>
      <c r="AO1456" s="210"/>
      <c r="AP1456" s="210"/>
      <c r="AQ1456" s="210"/>
      <c r="AR1456" s="210"/>
      <c r="AS1456" s="210"/>
      <c r="AT1456" s="210"/>
      <c r="AU1456" s="210"/>
      <c r="AV1456" s="210"/>
      <c r="AW1456" s="210"/>
      <c r="AX1456" s="210"/>
      <c r="AY1456" s="210"/>
      <c r="AZ1456" s="210"/>
      <c r="BA1456" s="210"/>
      <c r="BB1456" s="210"/>
      <c r="BC1456" s="210"/>
      <c r="BD1456" s="210"/>
      <c r="BE1456" s="210"/>
      <c r="BF1456" s="210"/>
      <c r="BG1456" s="210"/>
      <c r="BH1456" s="210"/>
      <c r="BI1456" s="210"/>
      <c r="BJ1456" s="210"/>
      <c r="BK1456" s="210"/>
      <c r="BL1456" s="210"/>
      <c r="BM1456" s="210"/>
      <c r="BN1456" s="210"/>
      <c r="BO1456" s="210"/>
      <c r="BP1456" s="210"/>
      <c r="BQ1456" s="210"/>
      <c r="BR1456" s="210"/>
      <c r="BS1456" s="210"/>
      <c r="BT1456" s="210"/>
      <c r="BU1456" s="210"/>
      <c r="BV1456" s="210"/>
      <c r="BW1456" s="210"/>
      <c r="BX1456" s="210"/>
      <c r="BY1456" s="210"/>
      <c r="BZ1456" s="210"/>
      <c r="CA1456" s="210"/>
      <c r="CB1456" s="210"/>
      <c r="CC1456" s="210"/>
      <c r="CD1456" s="210"/>
      <c r="CE1456" s="210"/>
      <c r="CF1456" s="210"/>
      <c r="CG1456" s="210"/>
      <c r="CH1456" s="210"/>
      <c r="CI1456" s="210"/>
      <c r="CJ1456" s="210"/>
      <c r="CK1456" s="210"/>
    </row>
    <row r="1457">
      <c r="A1457" s="220"/>
      <c r="F1457" s="190"/>
      <c r="G1457" s="190"/>
      <c r="L1457" s="220"/>
      <c r="M1457" s="220"/>
      <c r="O1457" s="210"/>
      <c r="P1457" s="210"/>
      <c r="Q1457" s="210"/>
      <c r="R1457" s="210"/>
      <c r="S1457" s="210"/>
      <c r="T1457" s="210"/>
      <c r="U1457" s="210"/>
      <c r="V1457" s="210"/>
      <c r="W1457" s="210"/>
      <c r="X1457" s="210"/>
      <c r="Y1457" s="210"/>
      <c r="Z1457" s="210"/>
      <c r="AA1457" s="210"/>
      <c r="AB1457" s="210"/>
      <c r="AC1457" s="210"/>
      <c r="AD1457" s="210"/>
      <c r="AE1457" s="210"/>
      <c r="AF1457" s="210"/>
      <c r="AG1457" s="210"/>
      <c r="AH1457" s="210"/>
      <c r="AI1457" s="210"/>
      <c r="AJ1457" s="210"/>
      <c r="AK1457" s="210"/>
      <c r="AL1457" s="210"/>
      <c r="AM1457" s="214"/>
      <c r="AN1457" s="210"/>
      <c r="AO1457" s="210"/>
      <c r="AP1457" s="210"/>
      <c r="AQ1457" s="210"/>
      <c r="AR1457" s="210"/>
      <c r="AS1457" s="210"/>
      <c r="AT1457" s="210"/>
      <c r="AU1457" s="210"/>
      <c r="AV1457" s="210"/>
      <c r="AW1457" s="210"/>
      <c r="AX1457" s="210"/>
      <c r="AY1457" s="210"/>
      <c r="AZ1457" s="210"/>
      <c r="BA1457" s="210"/>
      <c r="BB1457" s="210"/>
      <c r="BC1457" s="210"/>
      <c r="BD1457" s="210"/>
      <c r="BE1457" s="210"/>
      <c r="BF1457" s="210"/>
      <c r="BG1457" s="210"/>
      <c r="BH1457" s="210"/>
      <c r="BI1457" s="210"/>
      <c r="BJ1457" s="210"/>
      <c r="BK1457" s="210"/>
      <c r="BL1457" s="210"/>
      <c r="BM1457" s="210"/>
      <c r="BN1457" s="210"/>
      <c r="BO1457" s="210"/>
      <c r="BP1457" s="210"/>
      <c r="BQ1457" s="210"/>
      <c r="BR1457" s="210"/>
      <c r="BS1457" s="210"/>
      <c r="BT1457" s="210"/>
      <c r="BU1457" s="210"/>
      <c r="BV1457" s="210"/>
      <c r="BW1457" s="210"/>
      <c r="BX1457" s="210"/>
      <c r="BY1457" s="210"/>
      <c r="BZ1457" s="210"/>
      <c r="CA1457" s="210"/>
      <c r="CB1457" s="210"/>
      <c r="CC1457" s="210"/>
      <c r="CD1457" s="210"/>
      <c r="CE1457" s="210"/>
      <c r="CF1457" s="210"/>
      <c r="CG1457" s="210"/>
      <c r="CH1457" s="210"/>
      <c r="CI1457" s="210"/>
      <c r="CJ1457" s="210"/>
      <c r="CK1457" s="210"/>
    </row>
    <row r="1458">
      <c r="A1458" s="220"/>
      <c r="F1458" s="190"/>
      <c r="G1458" s="190"/>
      <c r="L1458" s="220"/>
      <c r="M1458" s="220"/>
      <c r="O1458" s="210"/>
      <c r="P1458" s="210"/>
      <c r="Q1458" s="210"/>
      <c r="R1458" s="210"/>
      <c r="S1458" s="210"/>
      <c r="T1458" s="210"/>
      <c r="U1458" s="210"/>
      <c r="V1458" s="210"/>
      <c r="W1458" s="210"/>
      <c r="X1458" s="210"/>
      <c r="Y1458" s="210"/>
      <c r="Z1458" s="210"/>
      <c r="AA1458" s="210"/>
      <c r="AB1458" s="210"/>
      <c r="AC1458" s="210"/>
      <c r="AD1458" s="210"/>
      <c r="AE1458" s="210"/>
      <c r="AF1458" s="210"/>
      <c r="AG1458" s="210"/>
      <c r="AH1458" s="210"/>
      <c r="AI1458" s="210"/>
      <c r="AJ1458" s="210"/>
      <c r="AK1458" s="210"/>
      <c r="AL1458" s="210"/>
      <c r="AM1458" s="214"/>
      <c r="AN1458" s="210"/>
      <c r="AO1458" s="210"/>
      <c r="AP1458" s="210"/>
      <c r="AQ1458" s="210"/>
      <c r="AR1458" s="210"/>
      <c r="AS1458" s="210"/>
      <c r="AT1458" s="210"/>
      <c r="AU1458" s="210"/>
      <c r="AV1458" s="210"/>
      <c r="AW1458" s="210"/>
      <c r="AX1458" s="210"/>
      <c r="AY1458" s="210"/>
      <c r="AZ1458" s="210"/>
      <c r="BA1458" s="210"/>
      <c r="BB1458" s="210"/>
      <c r="BC1458" s="210"/>
      <c r="BD1458" s="210"/>
      <c r="BE1458" s="210"/>
      <c r="BF1458" s="210"/>
      <c r="BG1458" s="210"/>
      <c r="BH1458" s="210"/>
      <c r="BI1458" s="210"/>
      <c r="BJ1458" s="210"/>
      <c r="BK1458" s="210"/>
      <c r="BL1458" s="210"/>
      <c r="BM1458" s="210"/>
      <c r="BN1458" s="210"/>
      <c r="BO1458" s="210"/>
      <c r="BP1458" s="210"/>
      <c r="BQ1458" s="210"/>
      <c r="BR1458" s="210"/>
      <c r="BS1458" s="210"/>
      <c r="BT1458" s="210"/>
      <c r="BU1458" s="210"/>
      <c r="BV1458" s="210"/>
      <c r="BW1458" s="210"/>
      <c r="BX1458" s="210"/>
      <c r="BY1458" s="210"/>
      <c r="BZ1458" s="210"/>
      <c r="CA1458" s="210"/>
      <c r="CB1458" s="210"/>
      <c r="CC1458" s="210"/>
      <c r="CD1458" s="210"/>
      <c r="CE1458" s="210"/>
      <c r="CF1458" s="210"/>
      <c r="CG1458" s="210"/>
      <c r="CH1458" s="210"/>
      <c r="CI1458" s="210"/>
      <c r="CJ1458" s="210"/>
      <c r="CK1458" s="210"/>
    </row>
    <row r="1459">
      <c r="A1459" s="220"/>
      <c r="F1459" s="190"/>
      <c r="G1459" s="190"/>
      <c r="L1459" s="220"/>
      <c r="M1459" s="220"/>
      <c r="O1459" s="210"/>
      <c r="P1459" s="210"/>
      <c r="Q1459" s="210"/>
      <c r="R1459" s="210"/>
      <c r="S1459" s="210"/>
      <c r="T1459" s="210"/>
      <c r="U1459" s="210"/>
      <c r="V1459" s="210"/>
      <c r="W1459" s="210"/>
      <c r="X1459" s="210"/>
      <c r="Y1459" s="210"/>
      <c r="Z1459" s="210"/>
      <c r="AA1459" s="210"/>
      <c r="AB1459" s="210"/>
      <c r="AC1459" s="210"/>
      <c r="AD1459" s="210"/>
      <c r="AE1459" s="210"/>
      <c r="AF1459" s="210"/>
      <c r="AG1459" s="210"/>
      <c r="AH1459" s="210"/>
      <c r="AI1459" s="210"/>
      <c r="AJ1459" s="210"/>
      <c r="AK1459" s="210"/>
      <c r="AL1459" s="210"/>
      <c r="AM1459" s="214"/>
      <c r="AN1459" s="210"/>
      <c r="AO1459" s="210"/>
      <c r="AP1459" s="210"/>
      <c r="AQ1459" s="210"/>
      <c r="AR1459" s="210"/>
      <c r="AS1459" s="210"/>
      <c r="AT1459" s="210"/>
      <c r="AU1459" s="210"/>
      <c r="AV1459" s="210"/>
      <c r="AW1459" s="210"/>
      <c r="AX1459" s="210"/>
      <c r="AY1459" s="210"/>
      <c r="AZ1459" s="210"/>
      <c r="BA1459" s="210"/>
      <c r="BB1459" s="210"/>
      <c r="BC1459" s="210"/>
      <c r="BD1459" s="210"/>
      <c r="BE1459" s="210"/>
      <c r="BF1459" s="210"/>
      <c r="BG1459" s="210"/>
      <c r="BH1459" s="210"/>
      <c r="BI1459" s="210"/>
      <c r="BJ1459" s="210"/>
      <c r="BK1459" s="210"/>
      <c r="BL1459" s="210"/>
      <c r="BM1459" s="210"/>
      <c r="BN1459" s="210"/>
      <c r="BO1459" s="210"/>
      <c r="BP1459" s="210"/>
      <c r="BQ1459" s="210"/>
      <c r="BR1459" s="210"/>
      <c r="BS1459" s="210"/>
      <c r="BT1459" s="210"/>
      <c r="BU1459" s="210"/>
      <c r="BV1459" s="210"/>
      <c r="BW1459" s="210"/>
      <c r="BX1459" s="210"/>
      <c r="BY1459" s="210"/>
      <c r="BZ1459" s="210"/>
      <c r="CA1459" s="210"/>
      <c r="CB1459" s="210"/>
      <c r="CC1459" s="210"/>
      <c r="CD1459" s="210"/>
      <c r="CE1459" s="210"/>
      <c r="CF1459" s="210"/>
      <c r="CG1459" s="210"/>
      <c r="CH1459" s="210"/>
      <c r="CI1459" s="210"/>
      <c r="CJ1459" s="210"/>
      <c r="CK1459" s="210"/>
    </row>
    <row r="1460">
      <c r="A1460" s="220"/>
      <c r="F1460" s="190"/>
      <c r="G1460" s="190"/>
      <c r="L1460" s="220"/>
      <c r="M1460" s="220"/>
      <c r="O1460" s="210"/>
      <c r="P1460" s="210"/>
      <c r="Q1460" s="210"/>
      <c r="R1460" s="210"/>
      <c r="S1460" s="210"/>
      <c r="T1460" s="210"/>
      <c r="U1460" s="210"/>
      <c r="V1460" s="210"/>
      <c r="W1460" s="210"/>
      <c r="X1460" s="210"/>
      <c r="Y1460" s="210"/>
      <c r="Z1460" s="210"/>
      <c r="AA1460" s="210"/>
      <c r="AB1460" s="210"/>
      <c r="AC1460" s="210"/>
      <c r="AD1460" s="210"/>
      <c r="AE1460" s="210"/>
      <c r="AF1460" s="210"/>
      <c r="AG1460" s="210"/>
      <c r="AH1460" s="210"/>
      <c r="AI1460" s="210"/>
      <c r="AJ1460" s="210"/>
      <c r="AK1460" s="210"/>
      <c r="AL1460" s="210"/>
      <c r="AM1460" s="214"/>
      <c r="AN1460" s="210"/>
      <c r="AO1460" s="210"/>
      <c r="AP1460" s="210"/>
      <c r="AQ1460" s="210"/>
      <c r="AR1460" s="210"/>
      <c r="AS1460" s="210"/>
      <c r="AT1460" s="210"/>
      <c r="AU1460" s="210"/>
      <c r="AV1460" s="210"/>
      <c r="AW1460" s="210"/>
      <c r="AX1460" s="210"/>
      <c r="AY1460" s="210"/>
      <c r="AZ1460" s="210"/>
      <c r="BA1460" s="210"/>
      <c r="BB1460" s="210"/>
      <c r="BC1460" s="210"/>
      <c r="BD1460" s="210"/>
      <c r="BE1460" s="210"/>
      <c r="BF1460" s="210"/>
      <c r="BG1460" s="210"/>
      <c r="BH1460" s="210"/>
      <c r="BI1460" s="210"/>
      <c r="BJ1460" s="210"/>
      <c r="BK1460" s="210"/>
      <c r="BL1460" s="210"/>
      <c r="BM1460" s="210"/>
      <c r="BN1460" s="210"/>
      <c r="BO1460" s="210"/>
      <c r="BP1460" s="210"/>
      <c r="BQ1460" s="210"/>
      <c r="BR1460" s="210"/>
      <c r="BS1460" s="210"/>
      <c r="BT1460" s="210"/>
      <c r="BU1460" s="210"/>
      <c r="BV1460" s="210"/>
      <c r="BW1460" s="210"/>
      <c r="BX1460" s="210"/>
      <c r="BY1460" s="210"/>
      <c r="BZ1460" s="210"/>
      <c r="CA1460" s="210"/>
      <c r="CB1460" s="210"/>
      <c r="CC1460" s="210"/>
      <c r="CD1460" s="210"/>
      <c r="CE1460" s="210"/>
      <c r="CF1460" s="210"/>
      <c r="CG1460" s="210"/>
      <c r="CH1460" s="210"/>
      <c r="CI1460" s="210"/>
      <c r="CJ1460" s="210"/>
      <c r="CK1460" s="210"/>
    </row>
    <row r="1461">
      <c r="A1461" s="220"/>
      <c r="F1461" s="190"/>
      <c r="G1461" s="190"/>
      <c r="L1461" s="220"/>
      <c r="M1461" s="220"/>
      <c r="O1461" s="210"/>
      <c r="P1461" s="210"/>
      <c r="Q1461" s="210"/>
      <c r="R1461" s="210"/>
      <c r="S1461" s="210"/>
      <c r="T1461" s="210"/>
      <c r="U1461" s="210"/>
      <c r="V1461" s="210"/>
      <c r="W1461" s="210"/>
      <c r="X1461" s="210"/>
      <c r="Y1461" s="210"/>
      <c r="Z1461" s="210"/>
      <c r="AA1461" s="210"/>
      <c r="AB1461" s="210"/>
      <c r="AC1461" s="210"/>
      <c r="AD1461" s="210"/>
      <c r="AE1461" s="210"/>
      <c r="AF1461" s="210"/>
      <c r="AG1461" s="210"/>
      <c r="AH1461" s="210"/>
      <c r="AI1461" s="210"/>
      <c r="AJ1461" s="210"/>
      <c r="AK1461" s="210"/>
      <c r="AL1461" s="210"/>
      <c r="AM1461" s="214"/>
      <c r="AN1461" s="210"/>
      <c r="AO1461" s="210"/>
      <c r="AP1461" s="210"/>
      <c r="AQ1461" s="210"/>
      <c r="AR1461" s="210"/>
      <c r="AS1461" s="210"/>
      <c r="AT1461" s="210"/>
      <c r="AU1461" s="210"/>
      <c r="AV1461" s="210"/>
      <c r="AW1461" s="210"/>
      <c r="AX1461" s="210"/>
      <c r="AY1461" s="210"/>
      <c r="AZ1461" s="210"/>
      <c r="BA1461" s="210"/>
      <c r="BB1461" s="210"/>
      <c r="BC1461" s="210"/>
      <c r="BD1461" s="210"/>
      <c r="BE1461" s="210"/>
      <c r="BF1461" s="210"/>
      <c r="BG1461" s="210"/>
      <c r="BH1461" s="210"/>
      <c r="BI1461" s="210"/>
      <c r="BJ1461" s="210"/>
      <c r="BK1461" s="210"/>
      <c r="BL1461" s="210"/>
      <c r="BM1461" s="210"/>
      <c r="BN1461" s="210"/>
      <c r="BO1461" s="210"/>
      <c r="BP1461" s="210"/>
      <c r="BQ1461" s="210"/>
      <c r="BR1461" s="210"/>
      <c r="BS1461" s="210"/>
      <c r="BT1461" s="210"/>
      <c r="BU1461" s="210"/>
      <c r="BV1461" s="210"/>
      <c r="BW1461" s="210"/>
      <c r="BX1461" s="210"/>
      <c r="BY1461" s="210"/>
      <c r="BZ1461" s="210"/>
      <c r="CA1461" s="210"/>
      <c r="CB1461" s="210"/>
      <c r="CC1461" s="210"/>
      <c r="CD1461" s="210"/>
      <c r="CE1461" s="210"/>
      <c r="CF1461" s="210"/>
      <c r="CG1461" s="210"/>
      <c r="CH1461" s="210"/>
      <c r="CI1461" s="210"/>
      <c r="CJ1461" s="210"/>
      <c r="CK1461" s="210"/>
    </row>
    <row r="1462">
      <c r="A1462" s="220"/>
      <c r="F1462" s="190"/>
      <c r="G1462" s="190"/>
      <c r="L1462" s="220"/>
      <c r="M1462" s="220"/>
      <c r="O1462" s="210"/>
      <c r="P1462" s="210"/>
      <c r="Q1462" s="210"/>
      <c r="R1462" s="210"/>
      <c r="S1462" s="210"/>
      <c r="T1462" s="210"/>
      <c r="U1462" s="210"/>
      <c r="V1462" s="210"/>
      <c r="W1462" s="210"/>
      <c r="X1462" s="210"/>
      <c r="Y1462" s="210"/>
      <c r="Z1462" s="210"/>
      <c r="AA1462" s="210"/>
      <c r="AB1462" s="210"/>
      <c r="AC1462" s="210"/>
      <c r="AD1462" s="210"/>
      <c r="AE1462" s="210"/>
      <c r="AF1462" s="210"/>
      <c r="AG1462" s="210"/>
      <c r="AH1462" s="210"/>
      <c r="AI1462" s="210"/>
      <c r="AJ1462" s="210"/>
      <c r="AK1462" s="210"/>
      <c r="AL1462" s="210"/>
      <c r="AM1462" s="214"/>
      <c r="AN1462" s="210"/>
      <c r="AO1462" s="210"/>
      <c r="AP1462" s="210"/>
      <c r="AQ1462" s="210"/>
      <c r="AR1462" s="210"/>
      <c r="AS1462" s="210"/>
      <c r="AT1462" s="210"/>
      <c r="AU1462" s="210"/>
      <c r="AV1462" s="210"/>
      <c r="AW1462" s="210"/>
      <c r="AX1462" s="210"/>
      <c r="AY1462" s="210"/>
      <c r="AZ1462" s="210"/>
      <c r="BA1462" s="210"/>
      <c r="BB1462" s="210"/>
      <c r="BC1462" s="210"/>
      <c r="BD1462" s="210"/>
      <c r="BE1462" s="210"/>
      <c r="BF1462" s="210"/>
      <c r="BG1462" s="210"/>
      <c r="BH1462" s="210"/>
      <c r="BI1462" s="210"/>
      <c r="BJ1462" s="210"/>
      <c r="BK1462" s="210"/>
      <c r="BL1462" s="210"/>
      <c r="BM1462" s="210"/>
      <c r="BN1462" s="210"/>
      <c r="BO1462" s="210"/>
      <c r="BP1462" s="210"/>
      <c r="BQ1462" s="210"/>
      <c r="BR1462" s="210"/>
      <c r="BS1462" s="210"/>
      <c r="BT1462" s="210"/>
      <c r="BU1462" s="210"/>
      <c r="BV1462" s="210"/>
      <c r="BW1462" s="210"/>
      <c r="BX1462" s="210"/>
      <c r="BY1462" s="210"/>
      <c r="BZ1462" s="210"/>
      <c r="CA1462" s="210"/>
      <c r="CB1462" s="210"/>
      <c r="CC1462" s="210"/>
      <c r="CD1462" s="210"/>
      <c r="CE1462" s="210"/>
      <c r="CF1462" s="210"/>
      <c r="CG1462" s="210"/>
      <c r="CH1462" s="210"/>
      <c r="CI1462" s="210"/>
      <c r="CJ1462" s="210"/>
      <c r="CK1462" s="210"/>
    </row>
    <row r="1463">
      <c r="A1463" s="220"/>
      <c r="F1463" s="190"/>
      <c r="G1463" s="190"/>
      <c r="L1463" s="220"/>
      <c r="M1463" s="220"/>
      <c r="O1463" s="210"/>
      <c r="P1463" s="210"/>
      <c r="Q1463" s="210"/>
      <c r="R1463" s="210"/>
      <c r="S1463" s="210"/>
      <c r="T1463" s="210"/>
      <c r="U1463" s="210"/>
      <c r="V1463" s="210"/>
      <c r="W1463" s="210"/>
      <c r="X1463" s="210"/>
      <c r="Y1463" s="210"/>
      <c r="Z1463" s="210"/>
      <c r="AA1463" s="210"/>
      <c r="AB1463" s="210"/>
      <c r="AC1463" s="210"/>
      <c r="AD1463" s="210"/>
      <c r="AE1463" s="210"/>
      <c r="AF1463" s="210"/>
      <c r="AG1463" s="210"/>
      <c r="AH1463" s="210"/>
      <c r="AI1463" s="210"/>
      <c r="AJ1463" s="210"/>
      <c r="AK1463" s="210"/>
      <c r="AL1463" s="210"/>
      <c r="AM1463" s="214"/>
      <c r="AN1463" s="210"/>
      <c r="AO1463" s="210"/>
      <c r="AP1463" s="210"/>
      <c r="AQ1463" s="210"/>
      <c r="AR1463" s="210"/>
      <c r="AS1463" s="210"/>
      <c r="AT1463" s="210"/>
      <c r="AU1463" s="210"/>
      <c r="AV1463" s="210"/>
      <c r="AW1463" s="210"/>
      <c r="AX1463" s="210"/>
      <c r="AY1463" s="210"/>
      <c r="AZ1463" s="210"/>
      <c r="BA1463" s="210"/>
      <c r="BB1463" s="210"/>
      <c r="BC1463" s="210"/>
      <c r="BD1463" s="210"/>
      <c r="BE1463" s="210"/>
      <c r="BF1463" s="210"/>
      <c r="BG1463" s="210"/>
      <c r="BH1463" s="210"/>
      <c r="BI1463" s="210"/>
      <c r="BJ1463" s="210"/>
      <c r="BK1463" s="210"/>
      <c r="BL1463" s="210"/>
      <c r="BM1463" s="210"/>
      <c r="BN1463" s="210"/>
      <c r="BO1463" s="210"/>
      <c r="BP1463" s="210"/>
      <c r="BQ1463" s="210"/>
      <c r="BR1463" s="210"/>
      <c r="BS1463" s="210"/>
      <c r="BT1463" s="210"/>
      <c r="BU1463" s="210"/>
      <c r="BV1463" s="210"/>
      <c r="BW1463" s="210"/>
      <c r="BX1463" s="210"/>
      <c r="BY1463" s="210"/>
      <c r="BZ1463" s="210"/>
      <c r="CA1463" s="210"/>
      <c r="CB1463" s="210"/>
      <c r="CC1463" s="210"/>
      <c r="CD1463" s="210"/>
      <c r="CE1463" s="210"/>
      <c r="CF1463" s="210"/>
      <c r="CG1463" s="210"/>
      <c r="CH1463" s="210"/>
      <c r="CI1463" s="210"/>
      <c r="CJ1463" s="210"/>
      <c r="CK1463" s="210"/>
    </row>
    <row r="1464">
      <c r="A1464" s="220"/>
      <c r="F1464" s="190"/>
      <c r="G1464" s="190"/>
      <c r="L1464" s="220"/>
      <c r="M1464" s="220"/>
      <c r="O1464" s="210"/>
      <c r="P1464" s="210"/>
      <c r="Q1464" s="210"/>
      <c r="R1464" s="210"/>
      <c r="S1464" s="210"/>
      <c r="T1464" s="210"/>
      <c r="U1464" s="210"/>
      <c r="V1464" s="210"/>
      <c r="W1464" s="210"/>
      <c r="X1464" s="210"/>
      <c r="Y1464" s="210"/>
      <c r="Z1464" s="210"/>
      <c r="AA1464" s="210"/>
      <c r="AB1464" s="210"/>
      <c r="AC1464" s="210"/>
      <c r="AD1464" s="210"/>
      <c r="AE1464" s="210"/>
      <c r="AF1464" s="210"/>
      <c r="AG1464" s="210"/>
      <c r="AH1464" s="210"/>
      <c r="AI1464" s="210"/>
      <c r="AJ1464" s="210"/>
      <c r="AK1464" s="210"/>
      <c r="AL1464" s="210"/>
      <c r="AM1464" s="214"/>
      <c r="AN1464" s="210"/>
      <c r="AO1464" s="210"/>
      <c r="AP1464" s="210"/>
      <c r="AQ1464" s="210"/>
      <c r="AR1464" s="210"/>
      <c r="AS1464" s="210"/>
      <c r="AT1464" s="210"/>
      <c r="AU1464" s="210"/>
      <c r="AV1464" s="210"/>
      <c r="AW1464" s="210"/>
      <c r="AX1464" s="210"/>
      <c r="AY1464" s="210"/>
      <c r="AZ1464" s="210"/>
      <c r="BA1464" s="210"/>
      <c r="BB1464" s="210"/>
      <c r="BC1464" s="210"/>
      <c r="BD1464" s="210"/>
      <c r="BE1464" s="210"/>
      <c r="BF1464" s="210"/>
      <c r="BG1464" s="210"/>
      <c r="BH1464" s="210"/>
      <c r="BI1464" s="210"/>
      <c r="BJ1464" s="210"/>
      <c r="BK1464" s="210"/>
      <c r="BL1464" s="210"/>
      <c r="BM1464" s="210"/>
      <c r="BN1464" s="210"/>
      <c r="BO1464" s="210"/>
      <c r="BP1464" s="210"/>
      <c r="BQ1464" s="210"/>
      <c r="BR1464" s="210"/>
      <c r="BS1464" s="210"/>
      <c r="BT1464" s="210"/>
      <c r="BU1464" s="210"/>
      <c r="BV1464" s="210"/>
      <c r="BW1464" s="210"/>
      <c r="BX1464" s="210"/>
      <c r="BY1464" s="210"/>
      <c r="BZ1464" s="210"/>
      <c r="CA1464" s="210"/>
      <c r="CB1464" s="210"/>
      <c r="CC1464" s="210"/>
      <c r="CD1464" s="210"/>
      <c r="CE1464" s="210"/>
      <c r="CF1464" s="210"/>
      <c r="CG1464" s="210"/>
      <c r="CH1464" s="210"/>
      <c r="CI1464" s="210"/>
      <c r="CJ1464" s="210"/>
      <c r="CK1464" s="210"/>
    </row>
    <row r="1465">
      <c r="A1465" s="220"/>
      <c r="F1465" s="190"/>
      <c r="G1465" s="190"/>
      <c r="L1465" s="220"/>
      <c r="M1465" s="220"/>
      <c r="O1465" s="210"/>
      <c r="P1465" s="210"/>
      <c r="Q1465" s="210"/>
      <c r="R1465" s="210"/>
      <c r="S1465" s="210"/>
      <c r="T1465" s="210"/>
      <c r="U1465" s="210"/>
      <c r="V1465" s="210"/>
      <c r="W1465" s="210"/>
      <c r="X1465" s="210"/>
      <c r="Y1465" s="210"/>
      <c r="Z1465" s="210"/>
      <c r="AA1465" s="210"/>
      <c r="AB1465" s="210"/>
      <c r="AC1465" s="210"/>
      <c r="AD1465" s="210"/>
      <c r="AE1465" s="210"/>
      <c r="AF1465" s="210"/>
      <c r="AG1465" s="210"/>
      <c r="AH1465" s="210"/>
      <c r="AI1465" s="210"/>
      <c r="AJ1465" s="210"/>
      <c r="AK1465" s="210"/>
      <c r="AL1465" s="210"/>
      <c r="AM1465" s="214"/>
      <c r="AN1465" s="210"/>
      <c r="AO1465" s="210"/>
      <c r="AP1465" s="210"/>
      <c r="AQ1465" s="210"/>
      <c r="AR1465" s="210"/>
      <c r="AS1465" s="210"/>
      <c r="AT1465" s="210"/>
      <c r="AU1465" s="210"/>
      <c r="AV1465" s="210"/>
      <c r="AW1465" s="210"/>
      <c r="AX1465" s="210"/>
      <c r="AY1465" s="210"/>
      <c r="AZ1465" s="210"/>
      <c r="BA1465" s="210"/>
      <c r="BB1465" s="210"/>
      <c r="BC1465" s="210"/>
      <c r="BD1465" s="210"/>
      <c r="BE1465" s="210"/>
      <c r="BF1465" s="210"/>
      <c r="BG1465" s="210"/>
      <c r="BH1465" s="210"/>
      <c r="BI1465" s="210"/>
      <c r="BJ1465" s="210"/>
      <c r="BK1465" s="210"/>
      <c r="BL1465" s="210"/>
      <c r="BM1465" s="210"/>
      <c r="BN1465" s="210"/>
      <c r="BO1465" s="210"/>
      <c r="BP1465" s="210"/>
      <c r="BQ1465" s="210"/>
      <c r="BR1465" s="210"/>
      <c r="BS1465" s="210"/>
      <c r="BT1465" s="210"/>
      <c r="BU1465" s="210"/>
      <c r="BV1465" s="210"/>
      <c r="BW1465" s="210"/>
      <c r="BX1465" s="210"/>
      <c r="BY1465" s="210"/>
      <c r="BZ1465" s="210"/>
      <c r="CA1465" s="210"/>
      <c r="CB1465" s="210"/>
      <c r="CC1465" s="210"/>
      <c r="CD1465" s="210"/>
      <c r="CE1465" s="210"/>
      <c r="CF1465" s="210"/>
      <c r="CG1465" s="210"/>
      <c r="CH1465" s="210"/>
      <c r="CI1465" s="210"/>
      <c r="CJ1465" s="210"/>
      <c r="CK1465" s="210"/>
    </row>
    <row r="1466">
      <c r="A1466" s="220"/>
      <c r="F1466" s="190"/>
      <c r="G1466" s="190"/>
      <c r="L1466" s="220"/>
      <c r="M1466" s="220"/>
      <c r="O1466" s="210"/>
      <c r="P1466" s="210"/>
      <c r="Q1466" s="210"/>
      <c r="R1466" s="210"/>
      <c r="S1466" s="210"/>
      <c r="T1466" s="210"/>
      <c r="U1466" s="210"/>
      <c r="V1466" s="210"/>
      <c r="W1466" s="210"/>
      <c r="X1466" s="210"/>
      <c r="Y1466" s="210"/>
      <c r="Z1466" s="210"/>
      <c r="AA1466" s="210"/>
      <c r="AB1466" s="210"/>
      <c r="AC1466" s="210"/>
      <c r="AD1466" s="210"/>
      <c r="AE1466" s="210"/>
      <c r="AF1466" s="210"/>
      <c r="AG1466" s="210"/>
      <c r="AH1466" s="210"/>
      <c r="AI1466" s="210"/>
      <c r="AJ1466" s="210"/>
      <c r="AK1466" s="210"/>
      <c r="AL1466" s="210"/>
      <c r="AM1466" s="214"/>
      <c r="AN1466" s="210"/>
      <c r="AO1466" s="210"/>
      <c r="AP1466" s="210"/>
      <c r="AQ1466" s="210"/>
      <c r="AR1466" s="210"/>
      <c r="AS1466" s="210"/>
      <c r="AT1466" s="210"/>
      <c r="AU1466" s="210"/>
      <c r="AV1466" s="210"/>
      <c r="AW1466" s="210"/>
      <c r="AX1466" s="210"/>
      <c r="AY1466" s="210"/>
      <c r="AZ1466" s="210"/>
      <c r="BA1466" s="210"/>
      <c r="BB1466" s="210"/>
      <c r="BC1466" s="210"/>
      <c r="BD1466" s="210"/>
      <c r="BE1466" s="210"/>
      <c r="BF1466" s="210"/>
      <c r="BG1466" s="210"/>
      <c r="BH1466" s="210"/>
      <c r="BI1466" s="210"/>
      <c r="BJ1466" s="210"/>
      <c r="BK1466" s="210"/>
      <c r="BL1466" s="210"/>
      <c r="BM1466" s="210"/>
      <c r="BN1466" s="210"/>
      <c r="BO1466" s="210"/>
      <c r="BP1466" s="210"/>
      <c r="BQ1466" s="210"/>
      <c r="BR1466" s="210"/>
      <c r="BS1466" s="210"/>
      <c r="BT1466" s="210"/>
      <c r="BU1466" s="210"/>
      <c r="BV1466" s="210"/>
      <c r="BW1466" s="210"/>
      <c r="BX1466" s="210"/>
      <c r="BY1466" s="210"/>
      <c r="BZ1466" s="210"/>
      <c r="CA1466" s="210"/>
      <c r="CB1466" s="210"/>
      <c r="CC1466" s="210"/>
      <c r="CD1466" s="210"/>
      <c r="CE1466" s="210"/>
      <c r="CF1466" s="210"/>
      <c r="CG1466" s="210"/>
      <c r="CH1466" s="210"/>
      <c r="CI1466" s="210"/>
      <c r="CJ1466" s="210"/>
      <c r="CK1466" s="210"/>
    </row>
    <row r="1467">
      <c r="A1467" s="220"/>
      <c r="F1467" s="190"/>
      <c r="G1467" s="190"/>
      <c r="L1467" s="220"/>
      <c r="M1467" s="220"/>
      <c r="O1467" s="210"/>
      <c r="P1467" s="210"/>
      <c r="Q1467" s="210"/>
      <c r="R1467" s="210"/>
      <c r="S1467" s="210"/>
      <c r="T1467" s="210"/>
      <c r="U1467" s="210"/>
      <c r="V1467" s="210"/>
      <c r="W1467" s="210"/>
      <c r="X1467" s="210"/>
      <c r="Y1467" s="210"/>
      <c r="Z1467" s="210"/>
      <c r="AA1467" s="210"/>
      <c r="AB1467" s="210"/>
      <c r="AC1467" s="210"/>
      <c r="AD1467" s="210"/>
      <c r="AE1467" s="210"/>
      <c r="AF1467" s="210"/>
      <c r="AG1467" s="210"/>
      <c r="AH1467" s="210"/>
      <c r="AI1467" s="210"/>
      <c r="AJ1467" s="210"/>
      <c r="AK1467" s="210"/>
      <c r="AL1467" s="210"/>
      <c r="AM1467" s="214"/>
      <c r="AN1467" s="210"/>
      <c r="AO1467" s="210"/>
      <c r="AP1467" s="210"/>
      <c r="AQ1467" s="210"/>
      <c r="AR1467" s="210"/>
      <c r="AS1467" s="210"/>
      <c r="AT1467" s="210"/>
      <c r="AU1467" s="210"/>
      <c r="AV1467" s="210"/>
      <c r="AW1467" s="210"/>
      <c r="AX1467" s="210"/>
      <c r="AY1467" s="210"/>
      <c r="AZ1467" s="210"/>
      <c r="BA1467" s="210"/>
      <c r="BB1467" s="210"/>
      <c r="BC1467" s="210"/>
      <c r="BD1467" s="210"/>
      <c r="BE1467" s="210"/>
      <c r="BF1467" s="210"/>
      <c r="BG1467" s="210"/>
      <c r="BH1467" s="210"/>
      <c r="BI1467" s="210"/>
      <c r="BJ1467" s="210"/>
      <c r="BK1467" s="210"/>
      <c r="BL1467" s="210"/>
      <c r="BM1467" s="210"/>
      <c r="BN1467" s="210"/>
      <c r="BO1467" s="210"/>
      <c r="BP1467" s="210"/>
      <c r="BQ1467" s="210"/>
      <c r="BR1467" s="210"/>
      <c r="BS1467" s="210"/>
      <c r="BT1467" s="210"/>
      <c r="BU1467" s="210"/>
      <c r="BV1467" s="210"/>
      <c r="BW1467" s="210"/>
      <c r="BX1467" s="210"/>
      <c r="BY1467" s="210"/>
      <c r="BZ1467" s="210"/>
      <c r="CA1467" s="210"/>
      <c r="CB1467" s="210"/>
      <c r="CC1467" s="210"/>
      <c r="CD1467" s="210"/>
      <c r="CE1467" s="210"/>
      <c r="CF1467" s="210"/>
      <c r="CG1467" s="210"/>
      <c r="CH1467" s="210"/>
      <c r="CI1467" s="210"/>
      <c r="CJ1467" s="210"/>
      <c r="CK1467" s="210"/>
    </row>
    <row r="1468">
      <c r="A1468" s="220"/>
      <c r="F1468" s="190"/>
      <c r="G1468" s="190"/>
      <c r="L1468" s="220"/>
      <c r="M1468" s="220"/>
      <c r="O1468" s="210"/>
      <c r="P1468" s="210"/>
      <c r="Q1468" s="210"/>
      <c r="R1468" s="210"/>
      <c r="S1468" s="210"/>
      <c r="T1468" s="210"/>
      <c r="U1468" s="210"/>
      <c r="V1468" s="210"/>
      <c r="W1468" s="210"/>
      <c r="X1468" s="210"/>
      <c r="Y1468" s="210"/>
      <c r="Z1468" s="210"/>
      <c r="AA1468" s="210"/>
      <c r="AB1468" s="210"/>
      <c r="AC1468" s="210"/>
      <c r="AD1468" s="210"/>
      <c r="AE1468" s="210"/>
      <c r="AF1468" s="210"/>
      <c r="AG1468" s="210"/>
      <c r="AH1468" s="210"/>
      <c r="AI1468" s="210"/>
      <c r="AJ1468" s="210"/>
      <c r="AK1468" s="210"/>
      <c r="AL1468" s="210"/>
      <c r="AM1468" s="214"/>
      <c r="AN1468" s="210"/>
      <c r="AO1468" s="210"/>
      <c r="AP1468" s="210"/>
      <c r="AQ1468" s="210"/>
      <c r="AR1468" s="210"/>
      <c r="AS1468" s="210"/>
      <c r="AT1468" s="210"/>
      <c r="AU1468" s="210"/>
      <c r="AV1468" s="210"/>
      <c r="AW1468" s="210"/>
      <c r="AX1468" s="210"/>
      <c r="AY1468" s="210"/>
      <c r="AZ1468" s="210"/>
      <c r="BA1468" s="210"/>
      <c r="BB1468" s="210"/>
      <c r="BC1468" s="210"/>
      <c r="BD1468" s="210"/>
      <c r="BE1468" s="210"/>
      <c r="BF1468" s="210"/>
      <c r="BG1468" s="210"/>
      <c r="BH1468" s="210"/>
      <c r="BI1468" s="210"/>
      <c r="BJ1468" s="210"/>
      <c r="BK1468" s="210"/>
      <c r="BL1468" s="210"/>
      <c r="BM1468" s="210"/>
      <c r="BN1468" s="210"/>
      <c r="BO1468" s="210"/>
      <c r="BP1468" s="210"/>
      <c r="BQ1468" s="210"/>
      <c r="BR1468" s="210"/>
      <c r="BS1468" s="210"/>
      <c r="BT1468" s="210"/>
      <c r="BU1468" s="210"/>
      <c r="BV1468" s="210"/>
      <c r="BW1468" s="210"/>
      <c r="BX1468" s="210"/>
      <c r="BY1468" s="210"/>
      <c r="BZ1468" s="210"/>
      <c r="CA1468" s="210"/>
      <c r="CB1468" s="210"/>
      <c r="CC1468" s="210"/>
      <c r="CD1468" s="210"/>
      <c r="CE1468" s="210"/>
      <c r="CF1468" s="210"/>
      <c r="CG1468" s="210"/>
      <c r="CH1468" s="210"/>
      <c r="CI1468" s="210"/>
      <c r="CJ1468" s="210"/>
      <c r="CK1468" s="210"/>
    </row>
    <row r="1469">
      <c r="A1469" s="220"/>
      <c r="F1469" s="190"/>
      <c r="G1469" s="190"/>
      <c r="L1469" s="220"/>
      <c r="M1469" s="220"/>
      <c r="O1469" s="210"/>
      <c r="P1469" s="210"/>
      <c r="Q1469" s="210"/>
      <c r="R1469" s="210"/>
      <c r="S1469" s="210"/>
      <c r="T1469" s="210"/>
      <c r="U1469" s="210"/>
      <c r="V1469" s="210"/>
      <c r="W1469" s="210"/>
      <c r="X1469" s="210"/>
      <c r="Y1469" s="210"/>
      <c r="Z1469" s="210"/>
      <c r="AA1469" s="210"/>
      <c r="AB1469" s="210"/>
      <c r="AC1469" s="210"/>
      <c r="AD1469" s="210"/>
      <c r="AE1469" s="210"/>
      <c r="AF1469" s="210"/>
      <c r="AG1469" s="210"/>
      <c r="AH1469" s="210"/>
      <c r="AI1469" s="210"/>
      <c r="AJ1469" s="210"/>
      <c r="AK1469" s="210"/>
      <c r="AL1469" s="210"/>
      <c r="AM1469" s="214"/>
      <c r="AN1469" s="210"/>
      <c r="AO1469" s="210"/>
      <c r="AP1469" s="210"/>
      <c r="AQ1469" s="210"/>
      <c r="AR1469" s="210"/>
      <c r="AS1469" s="210"/>
      <c r="AT1469" s="210"/>
      <c r="AU1469" s="210"/>
      <c r="AV1469" s="210"/>
      <c r="AW1469" s="210"/>
      <c r="AX1469" s="210"/>
      <c r="AY1469" s="210"/>
      <c r="AZ1469" s="210"/>
      <c r="BA1469" s="210"/>
      <c r="BB1469" s="210"/>
      <c r="BC1469" s="210"/>
      <c r="BD1469" s="210"/>
      <c r="BE1469" s="210"/>
      <c r="BF1469" s="210"/>
      <c r="BG1469" s="210"/>
      <c r="BH1469" s="210"/>
      <c r="BI1469" s="210"/>
      <c r="BJ1469" s="210"/>
      <c r="BK1469" s="210"/>
      <c r="BL1469" s="210"/>
      <c r="BM1469" s="210"/>
      <c r="BN1469" s="210"/>
      <c r="BO1469" s="210"/>
      <c r="BP1469" s="210"/>
      <c r="BQ1469" s="210"/>
      <c r="BR1469" s="210"/>
      <c r="BS1469" s="210"/>
      <c r="BT1469" s="210"/>
      <c r="BU1469" s="210"/>
      <c r="BV1469" s="210"/>
      <c r="BW1469" s="210"/>
      <c r="BX1469" s="210"/>
      <c r="BY1469" s="210"/>
      <c r="BZ1469" s="210"/>
      <c r="CA1469" s="210"/>
      <c r="CB1469" s="210"/>
      <c r="CC1469" s="210"/>
      <c r="CD1469" s="210"/>
      <c r="CE1469" s="210"/>
      <c r="CF1469" s="210"/>
      <c r="CG1469" s="210"/>
      <c r="CH1469" s="210"/>
      <c r="CI1469" s="210"/>
      <c r="CJ1469" s="210"/>
      <c r="CK1469" s="210"/>
    </row>
    <row r="1470">
      <c r="A1470" s="220"/>
      <c r="F1470" s="190"/>
      <c r="G1470" s="190"/>
      <c r="L1470" s="220"/>
      <c r="M1470" s="220"/>
      <c r="O1470" s="210"/>
      <c r="P1470" s="210"/>
      <c r="Q1470" s="210"/>
      <c r="R1470" s="210"/>
      <c r="S1470" s="210"/>
      <c r="T1470" s="210"/>
      <c r="U1470" s="210"/>
      <c r="V1470" s="210"/>
      <c r="W1470" s="210"/>
      <c r="X1470" s="210"/>
      <c r="Y1470" s="210"/>
      <c r="Z1470" s="210"/>
      <c r="AA1470" s="210"/>
      <c r="AB1470" s="210"/>
      <c r="AC1470" s="210"/>
      <c r="AD1470" s="210"/>
      <c r="AE1470" s="210"/>
      <c r="AF1470" s="210"/>
      <c r="AG1470" s="210"/>
      <c r="AH1470" s="210"/>
      <c r="AI1470" s="210"/>
      <c r="AJ1470" s="210"/>
      <c r="AK1470" s="210"/>
      <c r="AL1470" s="210"/>
      <c r="AM1470" s="214"/>
      <c r="AN1470" s="210"/>
      <c r="AO1470" s="210"/>
      <c r="AP1470" s="210"/>
      <c r="AQ1470" s="210"/>
      <c r="AR1470" s="210"/>
      <c r="AS1470" s="210"/>
      <c r="AT1470" s="210"/>
      <c r="AU1470" s="210"/>
      <c r="AV1470" s="210"/>
      <c r="AW1470" s="210"/>
      <c r="AX1470" s="210"/>
      <c r="AY1470" s="210"/>
      <c r="AZ1470" s="210"/>
      <c r="BA1470" s="210"/>
      <c r="BB1470" s="210"/>
      <c r="BC1470" s="210"/>
      <c r="BD1470" s="210"/>
      <c r="BE1470" s="210"/>
      <c r="BF1470" s="210"/>
      <c r="BG1470" s="210"/>
      <c r="BH1470" s="210"/>
      <c r="BI1470" s="210"/>
      <c r="BJ1470" s="210"/>
      <c r="BK1470" s="210"/>
      <c r="BL1470" s="210"/>
      <c r="BM1470" s="210"/>
      <c r="BN1470" s="210"/>
      <c r="BO1470" s="210"/>
      <c r="BP1470" s="210"/>
      <c r="BQ1470" s="210"/>
      <c r="BR1470" s="210"/>
      <c r="BS1470" s="210"/>
      <c r="BT1470" s="210"/>
      <c r="BU1470" s="210"/>
      <c r="BV1470" s="210"/>
      <c r="BW1470" s="210"/>
      <c r="BX1470" s="210"/>
      <c r="BY1470" s="210"/>
      <c r="BZ1470" s="210"/>
      <c r="CA1470" s="210"/>
      <c r="CB1470" s="210"/>
      <c r="CC1470" s="210"/>
      <c r="CD1470" s="210"/>
      <c r="CE1470" s="210"/>
      <c r="CF1470" s="210"/>
      <c r="CG1470" s="210"/>
      <c r="CH1470" s="210"/>
      <c r="CI1470" s="210"/>
      <c r="CJ1470" s="210"/>
      <c r="CK1470" s="210"/>
    </row>
    <row r="1471">
      <c r="A1471" s="220"/>
      <c r="F1471" s="190"/>
      <c r="G1471" s="190"/>
      <c r="L1471" s="220"/>
      <c r="M1471" s="220"/>
      <c r="O1471" s="210"/>
      <c r="P1471" s="210"/>
      <c r="Q1471" s="210"/>
      <c r="R1471" s="210"/>
      <c r="S1471" s="210"/>
      <c r="T1471" s="210"/>
      <c r="U1471" s="210"/>
      <c r="V1471" s="210"/>
      <c r="W1471" s="210"/>
      <c r="X1471" s="210"/>
      <c r="Y1471" s="210"/>
      <c r="Z1471" s="210"/>
      <c r="AA1471" s="210"/>
      <c r="AB1471" s="210"/>
      <c r="AC1471" s="210"/>
      <c r="AD1471" s="210"/>
      <c r="AE1471" s="210"/>
      <c r="AF1471" s="210"/>
      <c r="AG1471" s="210"/>
      <c r="AH1471" s="210"/>
      <c r="AI1471" s="210"/>
      <c r="AJ1471" s="210"/>
      <c r="AK1471" s="210"/>
      <c r="AL1471" s="210"/>
      <c r="AM1471" s="214"/>
      <c r="AN1471" s="210"/>
      <c r="AO1471" s="210"/>
      <c r="AP1471" s="210"/>
      <c r="AQ1471" s="210"/>
      <c r="AR1471" s="210"/>
      <c r="AS1471" s="210"/>
      <c r="AT1471" s="210"/>
      <c r="AU1471" s="210"/>
      <c r="AV1471" s="210"/>
      <c r="AW1471" s="210"/>
      <c r="AX1471" s="210"/>
      <c r="AY1471" s="210"/>
      <c r="AZ1471" s="210"/>
      <c r="BA1471" s="210"/>
      <c r="BB1471" s="210"/>
      <c r="BC1471" s="210"/>
      <c r="BD1471" s="210"/>
      <c r="BE1471" s="210"/>
      <c r="BF1471" s="210"/>
      <c r="BG1471" s="210"/>
      <c r="BH1471" s="210"/>
      <c r="BI1471" s="210"/>
      <c r="BJ1471" s="210"/>
      <c r="BK1471" s="210"/>
      <c r="BL1471" s="210"/>
      <c r="BM1471" s="210"/>
      <c r="BN1471" s="210"/>
      <c r="BO1471" s="210"/>
      <c r="BP1471" s="210"/>
      <c r="BQ1471" s="210"/>
      <c r="BR1471" s="210"/>
      <c r="BS1471" s="210"/>
      <c r="BT1471" s="210"/>
      <c r="BU1471" s="210"/>
      <c r="BV1471" s="210"/>
      <c r="BW1471" s="210"/>
      <c r="BX1471" s="210"/>
      <c r="BY1471" s="210"/>
      <c r="BZ1471" s="210"/>
      <c r="CA1471" s="210"/>
      <c r="CB1471" s="210"/>
      <c r="CC1471" s="210"/>
      <c r="CD1471" s="210"/>
      <c r="CE1471" s="210"/>
      <c r="CF1471" s="210"/>
      <c r="CG1471" s="210"/>
      <c r="CH1471" s="210"/>
      <c r="CI1471" s="210"/>
      <c r="CJ1471" s="210"/>
      <c r="CK1471" s="210"/>
    </row>
    <row r="1472">
      <c r="A1472" s="220"/>
      <c r="F1472" s="190"/>
      <c r="G1472" s="190"/>
      <c r="L1472" s="220"/>
      <c r="M1472" s="220"/>
      <c r="O1472" s="210"/>
      <c r="P1472" s="210"/>
      <c r="Q1472" s="210"/>
      <c r="R1472" s="210"/>
      <c r="S1472" s="210"/>
      <c r="T1472" s="210"/>
      <c r="U1472" s="210"/>
      <c r="V1472" s="210"/>
      <c r="W1472" s="210"/>
      <c r="X1472" s="210"/>
      <c r="Y1472" s="210"/>
      <c r="Z1472" s="210"/>
      <c r="AA1472" s="210"/>
      <c r="AB1472" s="210"/>
      <c r="AC1472" s="210"/>
      <c r="AD1472" s="210"/>
      <c r="AE1472" s="210"/>
      <c r="AF1472" s="210"/>
      <c r="AG1472" s="210"/>
      <c r="AH1472" s="210"/>
      <c r="AI1472" s="210"/>
      <c r="AJ1472" s="210"/>
      <c r="AK1472" s="210"/>
      <c r="AL1472" s="210"/>
      <c r="AM1472" s="214"/>
      <c r="AN1472" s="210"/>
      <c r="AO1472" s="210"/>
      <c r="AP1472" s="210"/>
      <c r="AQ1472" s="210"/>
      <c r="AR1472" s="210"/>
      <c r="AS1472" s="210"/>
      <c r="AT1472" s="210"/>
      <c r="AU1472" s="210"/>
      <c r="AV1472" s="210"/>
      <c r="AW1472" s="210"/>
      <c r="AX1472" s="210"/>
      <c r="AY1472" s="210"/>
      <c r="AZ1472" s="210"/>
      <c r="BA1472" s="210"/>
      <c r="BB1472" s="210"/>
      <c r="BC1472" s="210"/>
      <c r="BD1472" s="210"/>
      <c r="BE1472" s="210"/>
      <c r="BF1472" s="210"/>
      <c r="BG1472" s="210"/>
      <c r="BH1472" s="210"/>
      <c r="BI1472" s="210"/>
      <c r="BJ1472" s="210"/>
      <c r="BK1472" s="210"/>
      <c r="BL1472" s="210"/>
      <c r="BM1472" s="210"/>
      <c r="BN1472" s="210"/>
      <c r="BO1472" s="210"/>
      <c r="BP1472" s="210"/>
      <c r="BQ1472" s="210"/>
      <c r="BR1472" s="210"/>
      <c r="BS1472" s="210"/>
      <c r="BT1472" s="210"/>
      <c r="BU1472" s="210"/>
      <c r="BV1472" s="210"/>
      <c r="BW1472" s="210"/>
      <c r="BX1472" s="210"/>
      <c r="BY1472" s="210"/>
      <c r="BZ1472" s="210"/>
      <c r="CA1472" s="210"/>
      <c r="CB1472" s="210"/>
      <c r="CC1472" s="210"/>
      <c r="CD1472" s="210"/>
      <c r="CE1472" s="210"/>
      <c r="CF1472" s="210"/>
      <c r="CG1472" s="210"/>
      <c r="CH1472" s="210"/>
      <c r="CI1472" s="210"/>
      <c r="CJ1472" s="210"/>
      <c r="CK1472" s="210"/>
    </row>
    <row r="1473">
      <c r="A1473" s="220"/>
      <c r="F1473" s="190"/>
      <c r="G1473" s="190"/>
      <c r="L1473" s="220"/>
      <c r="M1473" s="220"/>
      <c r="O1473" s="210"/>
      <c r="P1473" s="210"/>
      <c r="Q1473" s="210"/>
      <c r="R1473" s="210"/>
      <c r="S1473" s="210"/>
      <c r="T1473" s="210"/>
      <c r="U1473" s="210"/>
      <c r="V1473" s="210"/>
      <c r="W1473" s="210"/>
      <c r="X1473" s="210"/>
      <c r="Y1473" s="210"/>
      <c r="Z1473" s="210"/>
      <c r="AA1473" s="210"/>
      <c r="AB1473" s="210"/>
      <c r="AC1473" s="210"/>
      <c r="AD1473" s="210"/>
      <c r="AE1473" s="210"/>
      <c r="AF1473" s="210"/>
      <c r="AG1473" s="210"/>
      <c r="AH1473" s="210"/>
      <c r="AI1473" s="210"/>
      <c r="AJ1473" s="210"/>
      <c r="AK1473" s="210"/>
      <c r="AL1473" s="210"/>
      <c r="AM1473" s="214"/>
      <c r="AN1473" s="210"/>
      <c r="AO1473" s="210"/>
      <c r="AP1473" s="210"/>
      <c r="AQ1473" s="210"/>
      <c r="AR1473" s="210"/>
      <c r="AS1473" s="210"/>
      <c r="AT1473" s="210"/>
      <c r="AU1473" s="210"/>
      <c r="AV1473" s="210"/>
      <c r="AW1473" s="210"/>
      <c r="AX1473" s="210"/>
      <c r="AY1473" s="210"/>
      <c r="AZ1473" s="210"/>
      <c r="BA1473" s="210"/>
      <c r="BB1473" s="210"/>
      <c r="BC1473" s="210"/>
      <c r="BD1473" s="210"/>
      <c r="BE1473" s="210"/>
      <c r="BF1473" s="210"/>
      <c r="BG1473" s="210"/>
      <c r="BH1473" s="210"/>
      <c r="BI1473" s="210"/>
      <c r="BJ1473" s="210"/>
      <c r="BK1473" s="210"/>
      <c r="BL1473" s="210"/>
      <c r="BM1473" s="210"/>
      <c r="BN1473" s="210"/>
      <c r="BO1473" s="210"/>
      <c r="BP1473" s="210"/>
      <c r="BQ1473" s="210"/>
      <c r="BR1473" s="210"/>
      <c r="BS1473" s="210"/>
      <c r="BT1473" s="210"/>
      <c r="BU1473" s="210"/>
      <c r="BV1473" s="210"/>
      <c r="BW1473" s="210"/>
      <c r="BX1473" s="210"/>
      <c r="BY1473" s="210"/>
      <c r="BZ1473" s="210"/>
      <c r="CA1473" s="210"/>
      <c r="CB1473" s="210"/>
      <c r="CC1473" s="210"/>
      <c r="CD1473" s="210"/>
      <c r="CE1473" s="210"/>
      <c r="CF1473" s="210"/>
      <c r="CG1473" s="210"/>
      <c r="CH1473" s="210"/>
      <c r="CI1473" s="210"/>
      <c r="CJ1473" s="210"/>
      <c r="CK1473" s="210"/>
    </row>
    <row r="1474">
      <c r="A1474" s="220"/>
      <c r="F1474" s="190"/>
      <c r="G1474" s="190"/>
      <c r="L1474" s="220"/>
      <c r="M1474" s="220"/>
      <c r="O1474" s="210"/>
      <c r="P1474" s="210"/>
      <c r="Q1474" s="210"/>
      <c r="R1474" s="210"/>
      <c r="S1474" s="210"/>
      <c r="T1474" s="210"/>
      <c r="U1474" s="210"/>
      <c r="V1474" s="210"/>
      <c r="W1474" s="210"/>
      <c r="X1474" s="210"/>
      <c r="Y1474" s="210"/>
      <c r="Z1474" s="210"/>
      <c r="AA1474" s="210"/>
      <c r="AB1474" s="210"/>
      <c r="AC1474" s="210"/>
      <c r="AD1474" s="210"/>
      <c r="AE1474" s="210"/>
      <c r="AF1474" s="210"/>
      <c r="AG1474" s="210"/>
      <c r="AH1474" s="210"/>
      <c r="AI1474" s="210"/>
      <c r="AJ1474" s="210"/>
      <c r="AK1474" s="210"/>
      <c r="AL1474" s="210"/>
      <c r="AM1474" s="214"/>
      <c r="AN1474" s="210"/>
      <c r="AO1474" s="210"/>
      <c r="AP1474" s="210"/>
      <c r="AQ1474" s="210"/>
      <c r="AR1474" s="210"/>
      <c r="AS1474" s="210"/>
      <c r="AT1474" s="210"/>
      <c r="AU1474" s="210"/>
      <c r="AV1474" s="210"/>
      <c r="AW1474" s="210"/>
      <c r="AX1474" s="210"/>
      <c r="AY1474" s="210"/>
      <c r="AZ1474" s="210"/>
      <c r="BA1474" s="210"/>
      <c r="BB1474" s="210"/>
      <c r="BC1474" s="210"/>
      <c r="BD1474" s="210"/>
      <c r="BE1474" s="210"/>
      <c r="BF1474" s="210"/>
      <c r="BG1474" s="210"/>
      <c r="BH1474" s="210"/>
      <c r="BI1474" s="210"/>
      <c r="BJ1474" s="210"/>
      <c r="BK1474" s="210"/>
      <c r="BL1474" s="210"/>
      <c r="BM1474" s="210"/>
      <c r="BN1474" s="210"/>
      <c r="BO1474" s="210"/>
      <c r="BP1474" s="210"/>
      <c r="BQ1474" s="210"/>
      <c r="BR1474" s="210"/>
      <c r="BS1474" s="210"/>
      <c r="BT1474" s="210"/>
      <c r="BU1474" s="210"/>
      <c r="BV1474" s="210"/>
      <c r="BW1474" s="210"/>
      <c r="BX1474" s="210"/>
      <c r="BY1474" s="210"/>
      <c r="BZ1474" s="210"/>
      <c r="CA1474" s="210"/>
      <c r="CB1474" s="210"/>
      <c r="CC1474" s="210"/>
      <c r="CD1474" s="210"/>
      <c r="CE1474" s="210"/>
      <c r="CF1474" s="210"/>
      <c r="CG1474" s="210"/>
      <c r="CH1474" s="210"/>
      <c r="CI1474" s="210"/>
      <c r="CJ1474" s="210"/>
      <c r="CK1474" s="210"/>
    </row>
    <row r="1475">
      <c r="A1475" s="220"/>
      <c r="F1475" s="190"/>
      <c r="G1475" s="190"/>
      <c r="L1475" s="220"/>
      <c r="M1475" s="220"/>
      <c r="O1475" s="210"/>
      <c r="P1475" s="210"/>
      <c r="Q1475" s="210"/>
      <c r="R1475" s="210"/>
      <c r="S1475" s="210"/>
      <c r="T1475" s="210"/>
      <c r="U1475" s="210"/>
      <c r="V1475" s="210"/>
      <c r="W1475" s="210"/>
      <c r="X1475" s="210"/>
      <c r="Y1475" s="210"/>
      <c r="Z1475" s="210"/>
      <c r="AA1475" s="210"/>
      <c r="AB1475" s="210"/>
      <c r="AC1475" s="210"/>
      <c r="AD1475" s="210"/>
      <c r="AE1475" s="210"/>
      <c r="AF1475" s="210"/>
      <c r="AG1475" s="210"/>
      <c r="AH1475" s="210"/>
      <c r="AI1475" s="210"/>
      <c r="AJ1475" s="210"/>
      <c r="AK1475" s="210"/>
      <c r="AL1475" s="210"/>
      <c r="AM1475" s="214"/>
      <c r="AN1475" s="210"/>
      <c r="AO1475" s="210"/>
      <c r="AP1475" s="210"/>
      <c r="AQ1475" s="210"/>
      <c r="AR1475" s="210"/>
      <c r="AS1475" s="210"/>
      <c r="AT1475" s="210"/>
      <c r="AU1475" s="210"/>
      <c r="AV1475" s="210"/>
      <c r="AW1475" s="210"/>
      <c r="AX1475" s="210"/>
      <c r="AY1475" s="210"/>
      <c r="AZ1475" s="210"/>
      <c r="BA1475" s="210"/>
      <c r="BB1475" s="210"/>
      <c r="BC1475" s="210"/>
      <c r="BD1475" s="210"/>
      <c r="BE1475" s="210"/>
      <c r="BF1475" s="210"/>
      <c r="BG1475" s="210"/>
      <c r="BH1475" s="210"/>
      <c r="BI1475" s="210"/>
      <c r="BJ1475" s="210"/>
      <c r="BK1475" s="210"/>
      <c r="BL1475" s="210"/>
      <c r="BM1475" s="210"/>
      <c r="BN1475" s="210"/>
      <c r="BO1475" s="210"/>
      <c r="BP1475" s="210"/>
      <c r="BQ1475" s="210"/>
      <c r="BR1475" s="210"/>
      <c r="BS1475" s="210"/>
      <c r="BT1475" s="210"/>
      <c r="BU1475" s="210"/>
      <c r="BV1475" s="210"/>
      <c r="BW1475" s="210"/>
      <c r="BX1475" s="210"/>
      <c r="BY1475" s="210"/>
      <c r="BZ1475" s="210"/>
      <c r="CA1475" s="210"/>
      <c r="CB1475" s="210"/>
      <c r="CC1475" s="210"/>
      <c r="CD1475" s="210"/>
      <c r="CE1475" s="210"/>
      <c r="CF1475" s="210"/>
      <c r="CG1475" s="210"/>
      <c r="CH1475" s="210"/>
      <c r="CI1475" s="210"/>
      <c r="CJ1475" s="210"/>
      <c r="CK1475" s="210"/>
    </row>
    <row r="1476">
      <c r="A1476" s="220"/>
      <c r="F1476" s="190"/>
      <c r="G1476" s="190"/>
      <c r="L1476" s="220"/>
      <c r="M1476" s="220"/>
      <c r="O1476" s="210"/>
      <c r="P1476" s="210"/>
      <c r="Q1476" s="210"/>
      <c r="R1476" s="210"/>
      <c r="S1476" s="210"/>
      <c r="T1476" s="210"/>
      <c r="U1476" s="210"/>
      <c r="V1476" s="210"/>
      <c r="W1476" s="210"/>
      <c r="X1476" s="210"/>
      <c r="Y1476" s="210"/>
      <c r="Z1476" s="210"/>
      <c r="AA1476" s="210"/>
      <c r="AB1476" s="210"/>
      <c r="AC1476" s="210"/>
      <c r="AD1476" s="210"/>
      <c r="AE1476" s="210"/>
      <c r="AF1476" s="210"/>
      <c r="AG1476" s="210"/>
      <c r="AH1476" s="210"/>
      <c r="AI1476" s="210"/>
      <c r="AJ1476" s="210"/>
      <c r="AK1476" s="210"/>
      <c r="AL1476" s="210"/>
      <c r="AM1476" s="214"/>
      <c r="AN1476" s="210"/>
      <c r="AO1476" s="210"/>
      <c r="AP1476" s="210"/>
      <c r="AQ1476" s="210"/>
      <c r="AR1476" s="210"/>
      <c r="AS1476" s="210"/>
      <c r="AT1476" s="210"/>
      <c r="AU1476" s="210"/>
      <c r="AV1476" s="210"/>
      <c r="AW1476" s="210"/>
      <c r="AX1476" s="210"/>
      <c r="AY1476" s="210"/>
      <c r="AZ1476" s="210"/>
      <c r="BA1476" s="210"/>
      <c r="BB1476" s="210"/>
      <c r="BC1476" s="210"/>
      <c r="BD1476" s="210"/>
      <c r="BE1476" s="210"/>
      <c r="BF1476" s="210"/>
      <c r="BG1476" s="210"/>
      <c r="BH1476" s="210"/>
      <c r="BI1476" s="210"/>
      <c r="BJ1476" s="210"/>
      <c r="BK1476" s="210"/>
      <c r="BL1476" s="210"/>
      <c r="BM1476" s="210"/>
      <c r="BN1476" s="210"/>
      <c r="BO1476" s="210"/>
      <c r="BP1476" s="210"/>
      <c r="BQ1476" s="210"/>
      <c r="BR1476" s="210"/>
      <c r="BS1476" s="210"/>
      <c r="BT1476" s="210"/>
      <c r="BU1476" s="210"/>
      <c r="BV1476" s="210"/>
      <c r="BW1476" s="210"/>
      <c r="BX1476" s="210"/>
      <c r="BY1476" s="210"/>
      <c r="BZ1476" s="210"/>
      <c r="CA1476" s="210"/>
      <c r="CB1476" s="210"/>
      <c r="CC1476" s="210"/>
      <c r="CD1476" s="210"/>
      <c r="CE1476" s="210"/>
      <c r="CF1476" s="210"/>
      <c r="CG1476" s="210"/>
      <c r="CH1476" s="210"/>
      <c r="CI1476" s="210"/>
      <c r="CJ1476" s="210"/>
      <c r="CK1476" s="210"/>
    </row>
    <row r="1477">
      <c r="A1477" s="220"/>
      <c r="F1477" s="190"/>
      <c r="G1477" s="190"/>
      <c r="L1477" s="220"/>
      <c r="M1477" s="220"/>
      <c r="O1477" s="210"/>
      <c r="P1477" s="210"/>
      <c r="Q1477" s="210"/>
      <c r="R1477" s="210"/>
      <c r="S1477" s="210"/>
      <c r="T1477" s="210"/>
      <c r="U1477" s="210"/>
      <c r="V1477" s="210"/>
      <c r="W1477" s="210"/>
      <c r="X1477" s="210"/>
      <c r="Y1477" s="210"/>
      <c r="Z1477" s="210"/>
      <c r="AA1477" s="210"/>
      <c r="AB1477" s="210"/>
      <c r="AC1477" s="210"/>
      <c r="AD1477" s="210"/>
      <c r="AE1477" s="210"/>
      <c r="AF1477" s="210"/>
      <c r="AG1477" s="210"/>
      <c r="AH1477" s="210"/>
      <c r="AI1477" s="210"/>
      <c r="AJ1477" s="210"/>
      <c r="AK1477" s="210"/>
      <c r="AL1477" s="210"/>
      <c r="AM1477" s="214"/>
      <c r="AN1477" s="210"/>
      <c r="AO1477" s="210"/>
      <c r="AP1477" s="210"/>
      <c r="AQ1477" s="210"/>
      <c r="AR1477" s="210"/>
      <c r="AS1477" s="210"/>
      <c r="AT1477" s="210"/>
      <c r="AU1477" s="210"/>
      <c r="AV1477" s="210"/>
      <c r="AW1477" s="210"/>
      <c r="AX1477" s="210"/>
      <c r="AY1477" s="210"/>
      <c r="AZ1477" s="210"/>
      <c r="BA1477" s="210"/>
      <c r="BB1477" s="210"/>
      <c r="BC1477" s="210"/>
      <c r="BD1477" s="210"/>
      <c r="BE1477" s="210"/>
      <c r="BF1477" s="210"/>
      <c r="BG1477" s="210"/>
      <c r="BH1477" s="210"/>
      <c r="BI1477" s="210"/>
      <c r="BJ1477" s="210"/>
      <c r="BK1477" s="210"/>
      <c r="BL1477" s="210"/>
      <c r="BM1477" s="210"/>
      <c r="BN1477" s="210"/>
      <c r="BO1477" s="210"/>
      <c r="BP1477" s="210"/>
      <c r="BQ1477" s="210"/>
      <c r="BR1477" s="210"/>
      <c r="BS1477" s="210"/>
      <c r="BT1477" s="210"/>
      <c r="BU1477" s="210"/>
      <c r="BV1477" s="210"/>
      <c r="BW1477" s="210"/>
      <c r="BX1477" s="210"/>
      <c r="BY1477" s="210"/>
      <c r="BZ1477" s="210"/>
      <c r="CA1477" s="210"/>
      <c r="CB1477" s="210"/>
      <c r="CC1477" s="210"/>
      <c r="CD1477" s="210"/>
      <c r="CE1477" s="210"/>
      <c r="CF1477" s="210"/>
      <c r="CG1477" s="210"/>
      <c r="CH1477" s="210"/>
      <c r="CI1477" s="210"/>
      <c r="CJ1477" s="210"/>
      <c r="CK1477" s="210"/>
    </row>
    <row r="1478">
      <c r="A1478" s="220"/>
      <c r="F1478" s="190"/>
      <c r="G1478" s="190"/>
      <c r="L1478" s="220"/>
      <c r="M1478" s="220"/>
      <c r="O1478" s="210"/>
      <c r="P1478" s="210"/>
      <c r="Q1478" s="210"/>
      <c r="R1478" s="210"/>
      <c r="S1478" s="210"/>
      <c r="T1478" s="210"/>
      <c r="U1478" s="210"/>
      <c r="V1478" s="210"/>
      <c r="W1478" s="210"/>
      <c r="X1478" s="210"/>
      <c r="Y1478" s="210"/>
      <c r="Z1478" s="210"/>
      <c r="AA1478" s="210"/>
      <c r="AB1478" s="210"/>
      <c r="AC1478" s="210"/>
      <c r="AD1478" s="210"/>
      <c r="AE1478" s="210"/>
      <c r="AF1478" s="210"/>
      <c r="AG1478" s="210"/>
      <c r="AH1478" s="210"/>
      <c r="AI1478" s="210"/>
      <c r="AJ1478" s="210"/>
      <c r="AK1478" s="210"/>
      <c r="AL1478" s="210"/>
      <c r="AM1478" s="214"/>
      <c r="AN1478" s="210"/>
      <c r="AO1478" s="210"/>
      <c r="AP1478" s="210"/>
      <c r="AQ1478" s="210"/>
      <c r="AR1478" s="210"/>
      <c r="AS1478" s="210"/>
      <c r="AT1478" s="210"/>
      <c r="AU1478" s="210"/>
      <c r="AV1478" s="210"/>
      <c r="AW1478" s="210"/>
      <c r="AX1478" s="210"/>
      <c r="AY1478" s="210"/>
      <c r="AZ1478" s="210"/>
      <c r="BA1478" s="210"/>
      <c r="BB1478" s="210"/>
      <c r="BC1478" s="210"/>
      <c r="BD1478" s="210"/>
      <c r="BE1478" s="210"/>
      <c r="BF1478" s="210"/>
      <c r="BG1478" s="210"/>
      <c r="BH1478" s="210"/>
      <c r="BI1478" s="210"/>
      <c r="BJ1478" s="210"/>
      <c r="BK1478" s="210"/>
      <c r="BL1478" s="210"/>
      <c r="BM1478" s="210"/>
      <c r="BN1478" s="210"/>
      <c r="BO1478" s="210"/>
      <c r="BP1478" s="210"/>
      <c r="BQ1478" s="210"/>
      <c r="BR1478" s="210"/>
      <c r="BS1478" s="210"/>
      <c r="BT1478" s="210"/>
      <c r="BU1478" s="210"/>
      <c r="BV1478" s="210"/>
      <c r="BW1478" s="210"/>
      <c r="BX1478" s="210"/>
      <c r="BY1478" s="210"/>
      <c r="BZ1478" s="210"/>
      <c r="CA1478" s="210"/>
      <c r="CB1478" s="210"/>
      <c r="CC1478" s="210"/>
      <c r="CD1478" s="210"/>
      <c r="CE1478" s="210"/>
      <c r="CF1478" s="210"/>
      <c r="CG1478" s="210"/>
      <c r="CH1478" s="210"/>
      <c r="CI1478" s="210"/>
      <c r="CJ1478" s="210"/>
      <c r="CK1478" s="210"/>
    </row>
    <row r="1479">
      <c r="A1479" s="220"/>
      <c r="F1479" s="190"/>
      <c r="G1479" s="190"/>
      <c r="L1479" s="220"/>
      <c r="M1479" s="220"/>
      <c r="O1479" s="210"/>
      <c r="P1479" s="210"/>
      <c r="Q1479" s="210"/>
      <c r="R1479" s="210"/>
      <c r="S1479" s="210"/>
      <c r="T1479" s="210"/>
      <c r="U1479" s="210"/>
      <c r="V1479" s="210"/>
      <c r="W1479" s="210"/>
      <c r="X1479" s="210"/>
      <c r="Y1479" s="210"/>
      <c r="Z1479" s="210"/>
      <c r="AA1479" s="210"/>
      <c r="AB1479" s="210"/>
      <c r="AC1479" s="210"/>
      <c r="AD1479" s="210"/>
      <c r="AE1479" s="210"/>
      <c r="AF1479" s="210"/>
      <c r="AG1479" s="210"/>
      <c r="AH1479" s="210"/>
      <c r="AI1479" s="210"/>
      <c r="AJ1479" s="210"/>
      <c r="AK1479" s="210"/>
      <c r="AL1479" s="210"/>
      <c r="AM1479" s="214"/>
      <c r="AN1479" s="210"/>
      <c r="AO1479" s="210"/>
      <c r="AP1479" s="210"/>
      <c r="AQ1479" s="210"/>
      <c r="AR1479" s="210"/>
      <c r="AS1479" s="210"/>
      <c r="AT1479" s="210"/>
      <c r="AU1479" s="210"/>
      <c r="AV1479" s="210"/>
      <c r="AW1479" s="210"/>
      <c r="AX1479" s="210"/>
      <c r="AY1479" s="210"/>
      <c r="AZ1479" s="210"/>
      <c r="BA1479" s="210"/>
      <c r="BB1479" s="210"/>
      <c r="BC1479" s="210"/>
      <c r="BD1479" s="210"/>
      <c r="BE1479" s="210"/>
      <c r="BF1479" s="210"/>
      <c r="BG1479" s="210"/>
      <c r="BH1479" s="210"/>
      <c r="BI1479" s="210"/>
      <c r="BJ1479" s="210"/>
      <c r="BK1479" s="210"/>
      <c r="BL1479" s="210"/>
      <c r="BM1479" s="210"/>
      <c r="BN1479" s="210"/>
      <c r="BO1479" s="210"/>
      <c r="BP1479" s="210"/>
      <c r="BQ1479" s="210"/>
      <c r="BR1479" s="210"/>
      <c r="BS1479" s="210"/>
      <c r="BT1479" s="210"/>
      <c r="BU1479" s="210"/>
      <c r="BV1479" s="210"/>
      <c r="BW1479" s="210"/>
      <c r="BX1479" s="210"/>
      <c r="BY1479" s="210"/>
      <c r="BZ1479" s="210"/>
      <c r="CA1479" s="210"/>
      <c r="CB1479" s="210"/>
      <c r="CC1479" s="210"/>
      <c r="CD1479" s="210"/>
      <c r="CE1479" s="210"/>
      <c r="CF1479" s="210"/>
      <c r="CG1479" s="210"/>
      <c r="CH1479" s="210"/>
      <c r="CI1479" s="210"/>
      <c r="CJ1479" s="210"/>
      <c r="CK1479" s="210"/>
    </row>
    <row r="1480">
      <c r="A1480" s="220"/>
      <c r="F1480" s="190"/>
      <c r="G1480" s="190"/>
      <c r="L1480" s="220"/>
      <c r="M1480" s="220"/>
      <c r="O1480" s="210"/>
      <c r="P1480" s="210"/>
      <c r="Q1480" s="210"/>
      <c r="R1480" s="210"/>
      <c r="S1480" s="210"/>
      <c r="T1480" s="210"/>
      <c r="U1480" s="210"/>
      <c r="V1480" s="210"/>
      <c r="W1480" s="210"/>
      <c r="X1480" s="210"/>
      <c r="Y1480" s="210"/>
      <c r="Z1480" s="210"/>
      <c r="AA1480" s="210"/>
      <c r="AB1480" s="210"/>
      <c r="AC1480" s="210"/>
      <c r="AD1480" s="210"/>
      <c r="AE1480" s="210"/>
      <c r="AF1480" s="210"/>
      <c r="AG1480" s="210"/>
      <c r="AH1480" s="210"/>
      <c r="AI1480" s="210"/>
      <c r="AJ1480" s="210"/>
      <c r="AK1480" s="210"/>
      <c r="AL1480" s="210"/>
      <c r="AM1480" s="214"/>
      <c r="AN1480" s="210"/>
      <c r="AO1480" s="210"/>
      <c r="AP1480" s="210"/>
      <c r="AQ1480" s="210"/>
      <c r="AR1480" s="210"/>
      <c r="AS1480" s="210"/>
      <c r="AT1480" s="210"/>
      <c r="AU1480" s="210"/>
      <c r="AV1480" s="210"/>
      <c r="AW1480" s="210"/>
      <c r="AX1480" s="210"/>
      <c r="AY1480" s="210"/>
      <c r="AZ1480" s="210"/>
      <c r="BA1480" s="210"/>
      <c r="BB1480" s="210"/>
      <c r="BC1480" s="210"/>
      <c r="BD1480" s="210"/>
      <c r="BE1480" s="210"/>
      <c r="BF1480" s="210"/>
      <c r="BG1480" s="210"/>
      <c r="BH1480" s="210"/>
      <c r="BI1480" s="210"/>
      <c r="BJ1480" s="210"/>
      <c r="BK1480" s="210"/>
      <c r="BL1480" s="210"/>
      <c r="BM1480" s="210"/>
      <c r="BN1480" s="210"/>
      <c r="BO1480" s="210"/>
      <c r="BP1480" s="210"/>
      <c r="BQ1480" s="210"/>
      <c r="BR1480" s="210"/>
      <c r="BS1480" s="210"/>
      <c r="BT1480" s="210"/>
      <c r="BU1480" s="210"/>
      <c r="BV1480" s="210"/>
      <c r="BW1480" s="210"/>
      <c r="BX1480" s="210"/>
      <c r="BY1480" s="210"/>
      <c r="BZ1480" s="210"/>
      <c r="CA1480" s="210"/>
      <c r="CB1480" s="210"/>
      <c r="CC1480" s="210"/>
      <c r="CD1480" s="210"/>
      <c r="CE1480" s="210"/>
      <c r="CF1480" s="210"/>
      <c r="CG1480" s="210"/>
      <c r="CH1480" s="210"/>
      <c r="CI1480" s="210"/>
      <c r="CJ1480" s="210"/>
      <c r="CK1480" s="210"/>
    </row>
    <row r="1481">
      <c r="A1481" s="220"/>
      <c r="F1481" s="190"/>
      <c r="G1481" s="190"/>
      <c r="L1481" s="220"/>
      <c r="M1481" s="220"/>
      <c r="O1481" s="210"/>
      <c r="P1481" s="210"/>
      <c r="Q1481" s="210"/>
      <c r="R1481" s="210"/>
      <c r="S1481" s="210"/>
      <c r="T1481" s="210"/>
      <c r="U1481" s="210"/>
      <c r="V1481" s="210"/>
      <c r="W1481" s="210"/>
      <c r="X1481" s="210"/>
      <c r="Y1481" s="210"/>
      <c r="Z1481" s="210"/>
      <c r="AA1481" s="210"/>
      <c r="AB1481" s="210"/>
      <c r="AC1481" s="210"/>
      <c r="AD1481" s="210"/>
      <c r="AE1481" s="210"/>
      <c r="AF1481" s="210"/>
      <c r="AG1481" s="210"/>
      <c r="AH1481" s="210"/>
      <c r="AI1481" s="210"/>
      <c r="AJ1481" s="210"/>
      <c r="AK1481" s="210"/>
      <c r="AL1481" s="210"/>
      <c r="AM1481" s="214"/>
      <c r="AN1481" s="210"/>
      <c r="AO1481" s="210"/>
      <c r="AP1481" s="210"/>
      <c r="AQ1481" s="210"/>
      <c r="AR1481" s="210"/>
      <c r="AS1481" s="210"/>
      <c r="AT1481" s="210"/>
      <c r="AU1481" s="210"/>
      <c r="AV1481" s="210"/>
      <c r="AW1481" s="210"/>
      <c r="AX1481" s="210"/>
      <c r="AY1481" s="210"/>
      <c r="AZ1481" s="210"/>
      <c r="BA1481" s="210"/>
      <c r="BB1481" s="210"/>
      <c r="BC1481" s="210"/>
      <c r="BD1481" s="210"/>
      <c r="BE1481" s="210"/>
      <c r="BF1481" s="210"/>
      <c r="BG1481" s="210"/>
      <c r="BH1481" s="210"/>
      <c r="BI1481" s="210"/>
      <c r="BJ1481" s="210"/>
      <c r="BK1481" s="210"/>
      <c r="BL1481" s="210"/>
      <c r="BM1481" s="210"/>
      <c r="BN1481" s="210"/>
      <c r="BO1481" s="210"/>
      <c r="BP1481" s="210"/>
      <c r="BQ1481" s="210"/>
      <c r="BR1481" s="210"/>
      <c r="BS1481" s="210"/>
      <c r="BT1481" s="210"/>
      <c r="BU1481" s="210"/>
      <c r="BV1481" s="210"/>
      <c r="BW1481" s="210"/>
      <c r="BX1481" s="210"/>
      <c r="BY1481" s="210"/>
      <c r="BZ1481" s="210"/>
      <c r="CA1481" s="210"/>
      <c r="CB1481" s="210"/>
      <c r="CC1481" s="210"/>
      <c r="CD1481" s="210"/>
      <c r="CE1481" s="210"/>
      <c r="CF1481" s="210"/>
      <c r="CG1481" s="210"/>
      <c r="CH1481" s="210"/>
      <c r="CI1481" s="210"/>
      <c r="CJ1481" s="210"/>
      <c r="CK1481" s="210"/>
    </row>
    <row r="1482">
      <c r="A1482" s="220"/>
      <c r="F1482" s="190"/>
      <c r="G1482" s="190"/>
      <c r="L1482" s="220"/>
      <c r="M1482" s="220"/>
      <c r="O1482" s="210"/>
      <c r="P1482" s="210"/>
      <c r="Q1482" s="210"/>
      <c r="R1482" s="210"/>
      <c r="S1482" s="210"/>
      <c r="T1482" s="210"/>
      <c r="U1482" s="210"/>
      <c r="V1482" s="210"/>
      <c r="W1482" s="210"/>
      <c r="X1482" s="210"/>
      <c r="Y1482" s="210"/>
      <c r="Z1482" s="210"/>
      <c r="AA1482" s="210"/>
      <c r="AB1482" s="210"/>
      <c r="AC1482" s="210"/>
      <c r="AD1482" s="210"/>
      <c r="AE1482" s="210"/>
      <c r="AF1482" s="210"/>
      <c r="AG1482" s="210"/>
      <c r="AH1482" s="210"/>
      <c r="AI1482" s="210"/>
      <c r="AJ1482" s="210"/>
      <c r="AK1482" s="210"/>
      <c r="AL1482" s="210"/>
      <c r="AM1482" s="214"/>
      <c r="AN1482" s="210"/>
      <c r="AO1482" s="210"/>
      <c r="AP1482" s="210"/>
      <c r="AQ1482" s="210"/>
      <c r="AR1482" s="210"/>
      <c r="AS1482" s="210"/>
      <c r="AT1482" s="210"/>
      <c r="AU1482" s="210"/>
      <c r="AV1482" s="210"/>
      <c r="AW1482" s="210"/>
      <c r="AX1482" s="210"/>
      <c r="AY1482" s="210"/>
      <c r="AZ1482" s="210"/>
      <c r="BA1482" s="210"/>
      <c r="BB1482" s="210"/>
      <c r="BC1482" s="210"/>
      <c r="BD1482" s="210"/>
      <c r="BE1482" s="210"/>
      <c r="BF1482" s="210"/>
      <c r="BG1482" s="210"/>
      <c r="BH1482" s="210"/>
      <c r="BI1482" s="210"/>
      <c r="BJ1482" s="210"/>
      <c r="BK1482" s="210"/>
      <c r="BL1482" s="210"/>
      <c r="BM1482" s="210"/>
      <c r="BN1482" s="210"/>
      <c r="BO1482" s="210"/>
      <c r="BP1482" s="210"/>
      <c r="BQ1482" s="210"/>
      <c r="BR1482" s="210"/>
      <c r="BS1482" s="210"/>
      <c r="BT1482" s="210"/>
      <c r="BU1482" s="210"/>
      <c r="BV1482" s="210"/>
      <c r="BW1482" s="210"/>
      <c r="BX1482" s="210"/>
      <c r="BY1482" s="210"/>
      <c r="BZ1482" s="210"/>
      <c r="CA1482" s="210"/>
      <c r="CB1482" s="210"/>
      <c r="CC1482" s="210"/>
      <c r="CD1482" s="210"/>
      <c r="CE1482" s="210"/>
      <c r="CF1482" s="210"/>
      <c r="CG1482" s="210"/>
      <c r="CH1482" s="210"/>
      <c r="CI1482" s="210"/>
      <c r="CJ1482" s="210"/>
      <c r="CK1482" s="210"/>
    </row>
    <row r="1483">
      <c r="A1483" s="220"/>
      <c r="F1483" s="190"/>
      <c r="G1483" s="190"/>
      <c r="L1483" s="220"/>
      <c r="M1483" s="220"/>
      <c r="O1483" s="210"/>
      <c r="P1483" s="210"/>
      <c r="Q1483" s="210"/>
      <c r="R1483" s="210"/>
      <c r="S1483" s="210"/>
      <c r="T1483" s="210"/>
      <c r="U1483" s="210"/>
      <c r="V1483" s="210"/>
      <c r="W1483" s="210"/>
      <c r="X1483" s="210"/>
      <c r="Y1483" s="210"/>
      <c r="Z1483" s="210"/>
      <c r="AA1483" s="210"/>
      <c r="AB1483" s="210"/>
      <c r="AC1483" s="210"/>
      <c r="AD1483" s="210"/>
      <c r="AE1483" s="210"/>
      <c r="AF1483" s="210"/>
      <c r="AG1483" s="210"/>
      <c r="AH1483" s="210"/>
      <c r="AI1483" s="210"/>
      <c r="AJ1483" s="210"/>
      <c r="AK1483" s="210"/>
      <c r="AL1483" s="210"/>
      <c r="AM1483" s="214"/>
      <c r="AN1483" s="210"/>
      <c r="AO1483" s="210"/>
      <c r="AP1483" s="210"/>
      <c r="AQ1483" s="210"/>
      <c r="AR1483" s="210"/>
      <c r="AS1483" s="210"/>
      <c r="AT1483" s="210"/>
      <c r="AU1483" s="210"/>
      <c r="AV1483" s="210"/>
      <c r="AW1483" s="210"/>
      <c r="AX1483" s="210"/>
      <c r="AY1483" s="210"/>
      <c r="AZ1483" s="210"/>
      <c r="BA1483" s="210"/>
      <c r="BB1483" s="210"/>
      <c r="BC1483" s="210"/>
      <c r="BD1483" s="210"/>
      <c r="BE1483" s="210"/>
      <c r="BF1483" s="210"/>
      <c r="BG1483" s="210"/>
      <c r="BH1483" s="210"/>
      <c r="BI1483" s="210"/>
      <c r="BJ1483" s="210"/>
      <c r="BK1483" s="210"/>
      <c r="BL1483" s="210"/>
      <c r="BM1483" s="210"/>
      <c r="BN1483" s="210"/>
      <c r="BO1483" s="210"/>
      <c r="BP1483" s="210"/>
      <c r="BQ1483" s="210"/>
      <c r="BR1483" s="210"/>
      <c r="BS1483" s="210"/>
      <c r="BT1483" s="210"/>
      <c r="BU1483" s="210"/>
      <c r="BV1483" s="210"/>
      <c r="BW1483" s="210"/>
      <c r="BX1483" s="210"/>
      <c r="BY1483" s="210"/>
      <c r="BZ1483" s="210"/>
      <c r="CA1483" s="210"/>
      <c r="CB1483" s="210"/>
      <c r="CC1483" s="210"/>
      <c r="CD1483" s="210"/>
      <c r="CE1483" s="210"/>
      <c r="CF1483" s="210"/>
      <c r="CG1483" s="210"/>
      <c r="CH1483" s="210"/>
      <c r="CI1483" s="210"/>
      <c r="CJ1483" s="210"/>
      <c r="CK1483" s="210"/>
    </row>
    <row r="1484">
      <c r="A1484" s="220"/>
      <c r="F1484" s="190"/>
      <c r="G1484" s="190"/>
      <c r="L1484" s="220"/>
      <c r="M1484" s="220"/>
      <c r="O1484" s="210"/>
      <c r="P1484" s="210"/>
      <c r="Q1484" s="210"/>
      <c r="R1484" s="210"/>
      <c r="S1484" s="210"/>
      <c r="T1484" s="210"/>
      <c r="U1484" s="210"/>
      <c r="V1484" s="210"/>
      <c r="W1484" s="210"/>
      <c r="X1484" s="210"/>
      <c r="Y1484" s="210"/>
      <c r="Z1484" s="210"/>
      <c r="AA1484" s="210"/>
      <c r="AB1484" s="210"/>
      <c r="AC1484" s="210"/>
      <c r="AD1484" s="210"/>
      <c r="AE1484" s="210"/>
      <c r="AF1484" s="210"/>
      <c r="AG1484" s="210"/>
      <c r="AH1484" s="210"/>
      <c r="AI1484" s="210"/>
      <c r="AJ1484" s="210"/>
      <c r="AK1484" s="210"/>
      <c r="AL1484" s="210"/>
      <c r="AM1484" s="214"/>
      <c r="AN1484" s="210"/>
      <c r="AO1484" s="210"/>
      <c r="AP1484" s="210"/>
      <c r="AQ1484" s="210"/>
      <c r="AR1484" s="210"/>
      <c r="AS1484" s="210"/>
      <c r="AT1484" s="210"/>
      <c r="AU1484" s="210"/>
      <c r="AV1484" s="210"/>
      <c r="AW1484" s="210"/>
      <c r="AX1484" s="210"/>
      <c r="AY1484" s="210"/>
      <c r="AZ1484" s="210"/>
      <c r="BA1484" s="210"/>
      <c r="BB1484" s="210"/>
      <c r="BC1484" s="210"/>
      <c r="BD1484" s="210"/>
      <c r="BE1484" s="210"/>
      <c r="BF1484" s="210"/>
      <c r="BG1484" s="210"/>
      <c r="BH1484" s="210"/>
      <c r="BI1484" s="210"/>
      <c r="BJ1484" s="210"/>
      <c r="BK1484" s="210"/>
      <c r="BL1484" s="210"/>
      <c r="BM1484" s="210"/>
      <c r="BN1484" s="210"/>
      <c r="BO1484" s="210"/>
      <c r="BP1484" s="210"/>
      <c r="BQ1484" s="210"/>
      <c r="BR1484" s="210"/>
      <c r="BS1484" s="210"/>
      <c r="BT1484" s="210"/>
      <c r="BU1484" s="210"/>
      <c r="BV1484" s="210"/>
      <c r="BW1484" s="210"/>
      <c r="BX1484" s="210"/>
      <c r="BY1484" s="210"/>
      <c r="BZ1484" s="210"/>
      <c r="CA1484" s="210"/>
      <c r="CB1484" s="210"/>
      <c r="CC1484" s="210"/>
      <c r="CD1484" s="210"/>
      <c r="CE1484" s="210"/>
      <c r="CF1484" s="210"/>
      <c r="CG1484" s="210"/>
      <c r="CH1484" s="210"/>
      <c r="CI1484" s="210"/>
      <c r="CJ1484" s="210"/>
      <c r="CK1484" s="210"/>
    </row>
    <row r="1485">
      <c r="A1485" s="220"/>
      <c r="F1485" s="190"/>
      <c r="G1485" s="190"/>
      <c r="L1485" s="220"/>
      <c r="M1485" s="220"/>
      <c r="O1485" s="210"/>
      <c r="P1485" s="210"/>
      <c r="Q1485" s="210"/>
      <c r="R1485" s="210"/>
      <c r="S1485" s="210"/>
      <c r="T1485" s="210"/>
      <c r="U1485" s="210"/>
      <c r="V1485" s="210"/>
      <c r="W1485" s="210"/>
      <c r="X1485" s="210"/>
      <c r="Y1485" s="210"/>
      <c r="Z1485" s="210"/>
      <c r="AA1485" s="210"/>
      <c r="AB1485" s="210"/>
      <c r="AC1485" s="210"/>
      <c r="AD1485" s="210"/>
      <c r="AE1485" s="210"/>
      <c r="AF1485" s="210"/>
      <c r="AG1485" s="210"/>
      <c r="AH1485" s="210"/>
      <c r="AI1485" s="210"/>
      <c r="AJ1485" s="210"/>
      <c r="AK1485" s="210"/>
      <c r="AL1485" s="210"/>
      <c r="AM1485" s="214"/>
      <c r="AN1485" s="210"/>
      <c r="AO1485" s="210"/>
      <c r="AP1485" s="210"/>
      <c r="AQ1485" s="210"/>
      <c r="AR1485" s="210"/>
      <c r="AS1485" s="210"/>
      <c r="AT1485" s="210"/>
      <c r="AU1485" s="210"/>
      <c r="AV1485" s="210"/>
      <c r="AW1485" s="210"/>
      <c r="AX1485" s="210"/>
      <c r="AY1485" s="210"/>
      <c r="AZ1485" s="210"/>
      <c r="BA1485" s="210"/>
      <c r="BB1485" s="210"/>
      <c r="BC1485" s="210"/>
      <c r="BD1485" s="210"/>
      <c r="BE1485" s="210"/>
      <c r="BF1485" s="210"/>
      <c r="BG1485" s="210"/>
      <c r="BH1485" s="210"/>
      <c r="BI1485" s="210"/>
      <c r="BJ1485" s="210"/>
      <c r="BK1485" s="210"/>
      <c r="BL1485" s="210"/>
      <c r="BM1485" s="210"/>
      <c r="BN1485" s="210"/>
      <c r="BO1485" s="210"/>
      <c r="BP1485" s="210"/>
      <c r="BQ1485" s="210"/>
      <c r="BR1485" s="210"/>
      <c r="BS1485" s="210"/>
      <c r="BT1485" s="210"/>
      <c r="BU1485" s="210"/>
      <c r="BV1485" s="210"/>
      <c r="BW1485" s="210"/>
      <c r="BX1485" s="210"/>
      <c r="BY1485" s="210"/>
      <c r="BZ1485" s="210"/>
      <c r="CA1485" s="210"/>
      <c r="CB1485" s="210"/>
      <c r="CC1485" s="210"/>
      <c r="CD1485" s="210"/>
      <c r="CE1485" s="210"/>
      <c r="CF1485" s="210"/>
      <c r="CG1485" s="210"/>
      <c r="CH1485" s="210"/>
      <c r="CI1485" s="210"/>
      <c r="CJ1485" s="210"/>
      <c r="CK1485" s="210"/>
    </row>
    <row r="1486">
      <c r="A1486" s="220"/>
      <c r="F1486" s="190"/>
      <c r="G1486" s="190"/>
      <c r="L1486" s="220"/>
      <c r="M1486" s="220"/>
      <c r="O1486" s="210"/>
      <c r="P1486" s="210"/>
      <c r="Q1486" s="210"/>
      <c r="R1486" s="210"/>
      <c r="S1486" s="210"/>
      <c r="T1486" s="210"/>
      <c r="U1486" s="210"/>
      <c r="V1486" s="210"/>
      <c r="W1486" s="210"/>
      <c r="X1486" s="210"/>
      <c r="Y1486" s="210"/>
      <c r="Z1486" s="210"/>
      <c r="AA1486" s="210"/>
      <c r="AB1486" s="210"/>
      <c r="AC1486" s="210"/>
      <c r="AD1486" s="210"/>
      <c r="AE1486" s="210"/>
      <c r="AF1486" s="210"/>
      <c r="AG1486" s="210"/>
      <c r="AH1486" s="210"/>
      <c r="AI1486" s="210"/>
      <c r="AJ1486" s="210"/>
      <c r="AK1486" s="210"/>
      <c r="AL1486" s="210"/>
      <c r="AM1486" s="214"/>
      <c r="AN1486" s="210"/>
      <c r="AO1486" s="210"/>
      <c r="AP1486" s="210"/>
      <c r="AQ1486" s="210"/>
      <c r="AR1486" s="210"/>
      <c r="AS1486" s="210"/>
      <c r="AT1486" s="210"/>
      <c r="AU1486" s="210"/>
      <c r="AV1486" s="210"/>
      <c r="AW1486" s="210"/>
      <c r="AX1486" s="210"/>
      <c r="AY1486" s="210"/>
      <c r="AZ1486" s="210"/>
      <c r="BA1486" s="210"/>
      <c r="BB1486" s="210"/>
      <c r="BC1486" s="210"/>
      <c r="BD1486" s="210"/>
      <c r="BE1486" s="210"/>
      <c r="BF1486" s="210"/>
      <c r="BG1486" s="210"/>
      <c r="BH1486" s="210"/>
      <c r="BI1486" s="210"/>
      <c r="BJ1486" s="210"/>
      <c r="BK1486" s="210"/>
      <c r="BL1486" s="210"/>
      <c r="BM1486" s="210"/>
      <c r="BN1486" s="210"/>
      <c r="BO1486" s="210"/>
      <c r="BP1486" s="210"/>
      <c r="BQ1486" s="210"/>
      <c r="BR1486" s="210"/>
      <c r="BS1486" s="210"/>
      <c r="BT1486" s="210"/>
      <c r="BU1486" s="210"/>
      <c r="BV1486" s="210"/>
      <c r="BW1486" s="210"/>
      <c r="BX1486" s="210"/>
      <c r="BY1486" s="210"/>
      <c r="BZ1486" s="210"/>
      <c r="CA1486" s="210"/>
      <c r="CB1486" s="210"/>
      <c r="CC1486" s="210"/>
      <c r="CD1486" s="210"/>
      <c r="CE1486" s="210"/>
      <c r="CF1486" s="210"/>
      <c r="CG1486" s="210"/>
      <c r="CH1486" s="210"/>
      <c r="CI1486" s="210"/>
      <c r="CJ1486" s="210"/>
      <c r="CK1486" s="210"/>
    </row>
    <row r="1487">
      <c r="A1487" s="220"/>
      <c r="F1487" s="190"/>
      <c r="G1487" s="190"/>
      <c r="L1487" s="220"/>
      <c r="M1487" s="220"/>
      <c r="O1487" s="210"/>
      <c r="P1487" s="210"/>
      <c r="Q1487" s="210"/>
      <c r="R1487" s="210"/>
      <c r="S1487" s="210"/>
      <c r="T1487" s="210"/>
      <c r="U1487" s="210"/>
      <c r="V1487" s="210"/>
      <c r="W1487" s="210"/>
      <c r="X1487" s="210"/>
      <c r="Y1487" s="210"/>
      <c r="Z1487" s="210"/>
      <c r="AA1487" s="210"/>
      <c r="AB1487" s="210"/>
      <c r="AC1487" s="210"/>
      <c r="AD1487" s="210"/>
      <c r="AE1487" s="210"/>
      <c r="AF1487" s="210"/>
      <c r="AG1487" s="210"/>
      <c r="AH1487" s="210"/>
      <c r="AI1487" s="210"/>
      <c r="AJ1487" s="210"/>
      <c r="AK1487" s="210"/>
      <c r="AL1487" s="210"/>
      <c r="AM1487" s="214"/>
      <c r="AN1487" s="210"/>
      <c r="AO1487" s="210"/>
      <c r="AP1487" s="210"/>
      <c r="AQ1487" s="210"/>
      <c r="AR1487" s="210"/>
      <c r="AS1487" s="210"/>
      <c r="AT1487" s="210"/>
      <c r="AU1487" s="210"/>
      <c r="AV1487" s="210"/>
      <c r="AW1487" s="210"/>
      <c r="AX1487" s="210"/>
      <c r="AY1487" s="210"/>
      <c r="AZ1487" s="210"/>
      <c r="BA1487" s="210"/>
      <c r="BB1487" s="210"/>
      <c r="BC1487" s="210"/>
      <c r="BD1487" s="210"/>
      <c r="BE1487" s="210"/>
      <c r="BF1487" s="210"/>
      <c r="BG1487" s="210"/>
      <c r="BH1487" s="210"/>
      <c r="BI1487" s="210"/>
      <c r="BJ1487" s="210"/>
      <c r="BK1487" s="210"/>
      <c r="BL1487" s="210"/>
      <c r="BM1487" s="210"/>
      <c r="BN1487" s="210"/>
      <c r="BO1487" s="210"/>
      <c r="BP1487" s="210"/>
      <c r="BQ1487" s="210"/>
      <c r="BR1487" s="210"/>
      <c r="BS1487" s="210"/>
      <c r="BT1487" s="210"/>
      <c r="BU1487" s="210"/>
      <c r="BV1487" s="210"/>
      <c r="BW1487" s="210"/>
      <c r="BX1487" s="210"/>
      <c r="BY1487" s="210"/>
      <c r="BZ1487" s="210"/>
      <c r="CA1487" s="210"/>
      <c r="CB1487" s="210"/>
      <c r="CC1487" s="210"/>
      <c r="CD1487" s="210"/>
      <c r="CE1487" s="210"/>
      <c r="CF1487" s="210"/>
      <c r="CG1487" s="210"/>
      <c r="CH1487" s="210"/>
      <c r="CI1487" s="210"/>
      <c r="CJ1487" s="210"/>
      <c r="CK1487" s="210"/>
    </row>
    <row r="1488">
      <c r="A1488" s="220"/>
      <c r="F1488" s="190"/>
      <c r="G1488" s="190"/>
      <c r="L1488" s="220"/>
      <c r="M1488" s="220"/>
      <c r="O1488" s="210"/>
      <c r="P1488" s="210"/>
      <c r="Q1488" s="210"/>
      <c r="R1488" s="210"/>
      <c r="S1488" s="210"/>
      <c r="T1488" s="210"/>
      <c r="U1488" s="210"/>
      <c r="V1488" s="210"/>
      <c r="W1488" s="210"/>
      <c r="X1488" s="210"/>
      <c r="Y1488" s="210"/>
      <c r="Z1488" s="210"/>
      <c r="AA1488" s="210"/>
      <c r="AB1488" s="210"/>
      <c r="AC1488" s="210"/>
      <c r="AD1488" s="210"/>
      <c r="AE1488" s="210"/>
      <c r="AF1488" s="210"/>
      <c r="AG1488" s="210"/>
      <c r="AH1488" s="210"/>
      <c r="AI1488" s="210"/>
      <c r="AJ1488" s="210"/>
      <c r="AK1488" s="210"/>
      <c r="AL1488" s="210"/>
      <c r="AM1488" s="214"/>
      <c r="AN1488" s="210"/>
      <c r="AO1488" s="210"/>
      <c r="AP1488" s="210"/>
      <c r="AQ1488" s="210"/>
      <c r="AR1488" s="210"/>
      <c r="AS1488" s="210"/>
      <c r="AT1488" s="210"/>
      <c r="AU1488" s="210"/>
      <c r="AV1488" s="210"/>
      <c r="AW1488" s="210"/>
      <c r="AX1488" s="210"/>
      <c r="AY1488" s="210"/>
      <c r="AZ1488" s="210"/>
      <c r="BA1488" s="210"/>
      <c r="BB1488" s="210"/>
      <c r="BC1488" s="210"/>
      <c r="BD1488" s="210"/>
      <c r="BE1488" s="210"/>
      <c r="BF1488" s="210"/>
      <c r="BG1488" s="210"/>
      <c r="BH1488" s="210"/>
      <c r="BI1488" s="210"/>
      <c r="BJ1488" s="210"/>
      <c r="BK1488" s="210"/>
      <c r="BL1488" s="210"/>
      <c r="BM1488" s="210"/>
      <c r="BN1488" s="210"/>
      <c r="BO1488" s="210"/>
      <c r="BP1488" s="210"/>
      <c r="BQ1488" s="210"/>
      <c r="BR1488" s="210"/>
      <c r="BS1488" s="210"/>
      <c r="BT1488" s="210"/>
      <c r="BU1488" s="210"/>
      <c r="BV1488" s="210"/>
      <c r="BW1488" s="210"/>
      <c r="BX1488" s="210"/>
      <c r="BY1488" s="210"/>
      <c r="BZ1488" s="210"/>
      <c r="CA1488" s="210"/>
      <c r="CB1488" s="210"/>
      <c r="CC1488" s="210"/>
      <c r="CD1488" s="210"/>
      <c r="CE1488" s="210"/>
      <c r="CF1488" s="210"/>
      <c r="CG1488" s="210"/>
      <c r="CH1488" s="210"/>
      <c r="CI1488" s="210"/>
      <c r="CJ1488" s="210"/>
      <c r="CK1488" s="210"/>
    </row>
    <row r="1489">
      <c r="A1489" s="220"/>
      <c r="F1489" s="190"/>
      <c r="G1489" s="190"/>
      <c r="L1489" s="220"/>
      <c r="M1489" s="220"/>
      <c r="O1489" s="210"/>
      <c r="P1489" s="210"/>
      <c r="Q1489" s="210"/>
      <c r="R1489" s="210"/>
      <c r="S1489" s="210"/>
      <c r="T1489" s="210"/>
      <c r="U1489" s="210"/>
      <c r="V1489" s="210"/>
      <c r="W1489" s="210"/>
      <c r="X1489" s="210"/>
      <c r="Y1489" s="210"/>
      <c r="Z1489" s="210"/>
      <c r="AA1489" s="210"/>
      <c r="AB1489" s="210"/>
      <c r="AC1489" s="210"/>
      <c r="AD1489" s="210"/>
      <c r="AE1489" s="210"/>
      <c r="AF1489" s="210"/>
      <c r="AG1489" s="210"/>
      <c r="AH1489" s="210"/>
      <c r="AI1489" s="210"/>
      <c r="AJ1489" s="210"/>
      <c r="AK1489" s="210"/>
      <c r="AL1489" s="210"/>
      <c r="AM1489" s="214"/>
      <c r="AN1489" s="210"/>
      <c r="AO1489" s="210"/>
      <c r="AP1489" s="210"/>
      <c r="AQ1489" s="210"/>
      <c r="AR1489" s="210"/>
      <c r="AS1489" s="210"/>
      <c r="AT1489" s="210"/>
      <c r="AU1489" s="210"/>
      <c r="AV1489" s="210"/>
      <c r="AW1489" s="210"/>
      <c r="AX1489" s="210"/>
      <c r="AY1489" s="210"/>
      <c r="AZ1489" s="210"/>
      <c r="BA1489" s="210"/>
      <c r="BB1489" s="210"/>
      <c r="BC1489" s="210"/>
      <c r="BD1489" s="210"/>
      <c r="BE1489" s="210"/>
      <c r="BF1489" s="210"/>
      <c r="BG1489" s="210"/>
      <c r="BH1489" s="210"/>
      <c r="BI1489" s="210"/>
      <c r="BJ1489" s="210"/>
      <c r="BK1489" s="210"/>
      <c r="BL1489" s="210"/>
      <c r="BM1489" s="210"/>
      <c r="BN1489" s="210"/>
      <c r="BO1489" s="210"/>
      <c r="BP1489" s="210"/>
      <c r="BQ1489" s="210"/>
      <c r="BR1489" s="210"/>
      <c r="BS1489" s="210"/>
      <c r="BT1489" s="210"/>
      <c r="BU1489" s="210"/>
      <c r="BV1489" s="210"/>
      <c r="BW1489" s="210"/>
      <c r="BX1489" s="210"/>
      <c r="BY1489" s="210"/>
      <c r="BZ1489" s="210"/>
      <c r="CA1489" s="210"/>
      <c r="CB1489" s="210"/>
      <c r="CC1489" s="210"/>
      <c r="CD1489" s="210"/>
      <c r="CE1489" s="210"/>
      <c r="CF1489" s="210"/>
      <c r="CG1489" s="210"/>
      <c r="CH1489" s="210"/>
      <c r="CI1489" s="210"/>
      <c r="CJ1489" s="210"/>
      <c r="CK1489" s="210"/>
    </row>
    <row r="1490">
      <c r="A1490" s="220"/>
      <c r="F1490" s="190"/>
      <c r="G1490" s="190"/>
      <c r="L1490" s="220"/>
      <c r="M1490" s="220"/>
      <c r="O1490" s="210"/>
      <c r="P1490" s="210"/>
      <c r="Q1490" s="210"/>
      <c r="R1490" s="210"/>
      <c r="S1490" s="210"/>
      <c r="T1490" s="210"/>
      <c r="U1490" s="210"/>
      <c r="V1490" s="210"/>
      <c r="W1490" s="210"/>
      <c r="X1490" s="210"/>
      <c r="Y1490" s="210"/>
      <c r="Z1490" s="210"/>
      <c r="AA1490" s="210"/>
      <c r="AB1490" s="210"/>
      <c r="AC1490" s="210"/>
      <c r="AD1490" s="210"/>
      <c r="AE1490" s="210"/>
      <c r="AF1490" s="210"/>
      <c r="AG1490" s="210"/>
      <c r="AH1490" s="210"/>
      <c r="AI1490" s="210"/>
      <c r="AJ1490" s="210"/>
      <c r="AK1490" s="210"/>
      <c r="AL1490" s="210"/>
      <c r="AM1490" s="214"/>
      <c r="AN1490" s="210"/>
      <c r="AO1490" s="210"/>
      <c r="AP1490" s="210"/>
      <c r="AQ1490" s="210"/>
      <c r="AR1490" s="210"/>
      <c r="AS1490" s="210"/>
      <c r="AT1490" s="210"/>
      <c r="AU1490" s="210"/>
      <c r="AV1490" s="210"/>
      <c r="AW1490" s="210"/>
      <c r="AX1490" s="210"/>
      <c r="AY1490" s="210"/>
      <c r="AZ1490" s="210"/>
      <c r="BA1490" s="210"/>
      <c r="BB1490" s="210"/>
      <c r="BC1490" s="210"/>
      <c r="BD1490" s="210"/>
      <c r="BE1490" s="210"/>
      <c r="BF1490" s="210"/>
      <c r="BG1490" s="210"/>
      <c r="BH1490" s="210"/>
      <c r="BI1490" s="210"/>
      <c r="BJ1490" s="210"/>
      <c r="BK1490" s="210"/>
      <c r="BL1490" s="210"/>
      <c r="BM1490" s="210"/>
      <c r="BN1490" s="210"/>
      <c r="BO1490" s="210"/>
      <c r="BP1490" s="210"/>
      <c r="BQ1490" s="210"/>
      <c r="BR1490" s="210"/>
      <c r="BS1490" s="210"/>
      <c r="BT1490" s="210"/>
      <c r="BU1490" s="210"/>
      <c r="BV1490" s="210"/>
      <c r="BW1490" s="210"/>
      <c r="BX1490" s="210"/>
      <c r="BY1490" s="210"/>
      <c r="BZ1490" s="210"/>
      <c r="CA1490" s="210"/>
      <c r="CB1490" s="210"/>
      <c r="CC1490" s="210"/>
      <c r="CD1490" s="210"/>
      <c r="CE1490" s="210"/>
      <c r="CF1490" s="210"/>
      <c r="CG1490" s="210"/>
      <c r="CH1490" s="210"/>
      <c r="CI1490" s="210"/>
      <c r="CJ1490" s="210"/>
      <c r="CK1490" s="210"/>
    </row>
    <row r="1491">
      <c r="A1491" s="220"/>
      <c r="F1491" s="190"/>
      <c r="G1491" s="190"/>
      <c r="L1491" s="220"/>
      <c r="M1491" s="220"/>
      <c r="O1491" s="210"/>
      <c r="P1491" s="210"/>
      <c r="Q1491" s="210"/>
      <c r="R1491" s="210"/>
      <c r="S1491" s="210"/>
      <c r="T1491" s="210"/>
      <c r="U1491" s="210"/>
      <c r="V1491" s="210"/>
      <c r="W1491" s="210"/>
      <c r="X1491" s="210"/>
      <c r="Y1491" s="210"/>
      <c r="Z1491" s="210"/>
      <c r="AA1491" s="210"/>
      <c r="AB1491" s="210"/>
      <c r="AC1491" s="210"/>
      <c r="AD1491" s="210"/>
      <c r="AE1491" s="210"/>
      <c r="AF1491" s="210"/>
      <c r="AG1491" s="210"/>
      <c r="AH1491" s="210"/>
      <c r="AI1491" s="210"/>
      <c r="AJ1491" s="210"/>
      <c r="AK1491" s="210"/>
      <c r="AL1491" s="210"/>
      <c r="AM1491" s="214"/>
      <c r="AN1491" s="210"/>
      <c r="AO1491" s="210"/>
      <c r="AP1491" s="210"/>
      <c r="AQ1491" s="210"/>
      <c r="AR1491" s="210"/>
      <c r="AS1491" s="210"/>
      <c r="AT1491" s="210"/>
      <c r="AU1491" s="210"/>
      <c r="AV1491" s="210"/>
      <c r="AW1491" s="210"/>
      <c r="AX1491" s="210"/>
      <c r="AY1491" s="210"/>
      <c r="AZ1491" s="210"/>
      <c r="BA1491" s="210"/>
      <c r="BB1491" s="210"/>
      <c r="BC1491" s="210"/>
      <c r="BD1491" s="210"/>
      <c r="BE1491" s="210"/>
      <c r="BF1491" s="210"/>
      <c r="BG1491" s="210"/>
      <c r="BH1491" s="210"/>
      <c r="BI1491" s="210"/>
      <c r="BJ1491" s="210"/>
      <c r="BK1491" s="210"/>
      <c r="BL1491" s="210"/>
      <c r="BM1491" s="210"/>
      <c r="BN1491" s="210"/>
      <c r="BO1491" s="210"/>
      <c r="BP1491" s="210"/>
      <c r="BQ1491" s="210"/>
      <c r="BR1491" s="210"/>
      <c r="BS1491" s="210"/>
      <c r="BT1491" s="210"/>
      <c r="BU1491" s="210"/>
      <c r="BV1491" s="210"/>
      <c r="BW1491" s="210"/>
      <c r="BX1491" s="210"/>
      <c r="BY1491" s="210"/>
      <c r="BZ1491" s="210"/>
      <c r="CA1491" s="210"/>
      <c r="CB1491" s="210"/>
      <c r="CC1491" s="210"/>
      <c r="CD1491" s="210"/>
      <c r="CE1491" s="210"/>
      <c r="CF1491" s="210"/>
      <c r="CG1491" s="210"/>
      <c r="CH1491" s="210"/>
      <c r="CI1491" s="210"/>
      <c r="CJ1491" s="210"/>
      <c r="CK1491" s="210"/>
    </row>
    <row r="1492">
      <c r="A1492" s="220"/>
      <c r="F1492" s="190"/>
      <c r="G1492" s="190"/>
      <c r="L1492" s="220"/>
      <c r="M1492" s="220"/>
      <c r="O1492" s="210"/>
      <c r="P1492" s="210"/>
      <c r="Q1492" s="210"/>
      <c r="R1492" s="210"/>
      <c r="S1492" s="210"/>
      <c r="T1492" s="210"/>
      <c r="U1492" s="210"/>
      <c r="V1492" s="210"/>
      <c r="W1492" s="210"/>
      <c r="X1492" s="210"/>
      <c r="Y1492" s="210"/>
      <c r="Z1492" s="210"/>
      <c r="AA1492" s="210"/>
      <c r="AB1492" s="210"/>
      <c r="AC1492" s="210"/>
      <c r="AD1492" s="210"/>
      <c r="AE1492" s="210"/>
      <c r="AF1492" s="210"/>
      <c r="AG1492" s="210"/>
      <c r="AH1492" s="210"/>
      <c r="AI1492" s="210"/>
      <c r="AJ1492" s="210"/>
      <c r="AK1492" s="210"/>
      <c r="AL1492" s="210"/>
      <c r="AM1492" s="214"/>
      <c r="AN1492" s="210"/>
      <c r="AO1492" s="210"/>
      <c r="AP1492" s="210"/>
      <c r="AQ1492" s="210"/>
      <c r="AR1492" s="210"/>
      <c r="AS1492" s="210"/>
      <c r="AT1492" s="210"/>
      <c r="AU1492" s="210"/>
      <c r="AV1492" s="210"/>
      <c r="AW1492" s="210"/>
      <c r="AX1492" s="210"/>
      <c r="AY1492" s="210"/>
      <c r="AZ1492" s="210"/>
      <c r="BA1492" s="210"/>
      <c r="BB1492" s="210"/>
      <c r="BC1492" s="210"/>
      <c r="BD1492" s="210"/>
      <c r="BE1492" s="210"/>
      <c r="BF1492" s="210"/>
      <c r="BG1492" s="210"/>
      <c r="BH1492" s="210"/>
      <c r="BI1492" s="210"/>
      <c r="BJ1492" s="210"/>
      <c r="BK1492" s="210"/>
      <c r="BL1492" s="210"/>
      <c r="BM1492" s="210"/>
      <c r="BN1492" s="210"/>
      <c r="BO1492" s="210"/>
      <c r="BP1492" s="210"/>
      <c r="BQ1492" s="210"/>
      <c r="BR1492" s="210"/>
      <c r="BS1492" s="210"/>
      <c r="BT1492" s="210"/>
      <c r="BU1492" s="210"/>
      <c r="BV1492" s="210"/>
      <c r="BW1492" s="210"/>
      <c r="BX1492" s="210"/>
      <c r="BY1492" s="210"/>
      <c r="BZ1492" s="210"/>
      <c r="CA1492" s="210"/>
      <c r="CB1492" s="210"/>
      <c r="CC1492" s="210"/>
      <c r="CD1492" s="210"/>
      <c r="CE1492" s="210"/>
      <c r="CF1492" s="210"/>
      <c r="CG1492" s="210"/>
      <c r="CH1492" s="210"/>
      <c r="CI1492" s="210"/>
      <c r="CJ1492" s="210"/>
      <c r="CK1492" s="210"/>
    </row>
    <row r="1493">
      <c r="A1493" s="220"/>
      <c r="F1493" s="190"/>
      <c r="G1493" s="190"/>
      <c r="L1493" s="220"/>
      <c r="M1493" s="220"/>
      <c r="O1493" s="210"/>
      <c r="P1493" s="210"/>
      <c r="Q1493" s="210"/>
      <c r="R1493" s="210"/>
      <c r="S1493" s="210"/>
      <c r="T1493" s="210"/>
      <c r="U1493" s="210"/>
      <c r="V1493" s="210"/>
      <c r="W1493" s="210"/>
      <c r="X1493" s="210"/>
      <c r="Y1493" s="210"/>
      <c r="Z1493" s="210"/>
      <c r="AA1493" s="210"/>
      <c r="AB1493" s="210"/>
      <c r="AC1493" s="210"/>
      <c r="AD1493" s="210"/>
      <c r="AE1493" s="210"/>
      <c r="AF1493" s="210"/>
      <c r="AG1493" s="210"/>
      <c r="AH1493" s="210"/>
      <c r="AI1493" s="210"/>
      <c r="AJ1493" s="210"/>
      <c r="AK1493" s="210"/>
      <c r="AL1493" s="210"/>
      <c r="AM1493" s="214"/>
      <c r="AN1493" s="210"/>
      <c r="AO1493" s="210"/>
      <c r="AP1493" s="210"/>
      <c r="AQ1493" s="210"/>
      <c r="AR1493" s="210"/>
      <c r="AS1493" s="210"/>
      <c r="AT1493" s="210"/>
      <c r="AU1493" s="210"/>
      <c r="AV1493" s="210"/>
      <c r="AW1493" s="210"/>
      <c r="AX1493" s="210"/>
      <c r="AY1493" s="210"/>
      <c r="AZ1493" s="210"/>
      <c r="BA1493" s="210"/>
      <c r="BB1493" s="210"/>
      <c r="BC1493" s="210"/>
      <c r="BD1493" s="210"/>
      <c r="BE1493" s="210"/>
      <c r="BF1493" s="210"/>
      <c r="BG1493" s="210"/>
      <c r="BH1493" s="210"/>
      <c r="BI1493" s="210"/>
      <c r="BJ1493" s="210"/>
      <c r="BK1493" s="210"/>
      <c r="BL1493" s="210"/>
      <c r="BM1493" s="210"/>
      <c r="BN1493" s="210"/>
      <c r="BO1493" s="210"/>
      <c r="BP1493" s="210"/>
      <c r="BQ1493" s="210"/>
      <c r="BR1493" s="210"/>
      <c r="BS1493" s="210"/>
      <c r="BT1493" s="210"/>
      <c r="BU1493" s="210"/>
      <c r="BV1493" s="210"/>
      <c r="BW1493" s="210"/>
      <c r="BX1493" s="210"/>
      <c r="BY1493" s="210"/>
      <c r="BZ1493" s="210"/>
      <c r="CA1493" s="210"/>
      <c r="CB1493" s="210"/>
      <c r="CC1493" s="210"/>
      <c r="CD1493" s="210"/>
      <c r="CE1493" s="210"/>
      <c r="CF1493" s="210"/>
      <c r="CG1493" s="210"/>
      <c r="CH1493" s="210"/>
      <c r="CI1493" s="210"/>
      <c r="CJ1493" s="210"/>
      <c r="CK1493" s="210"/>
    </row>
    <row r="1494">
      <c r="A1494" s="220"/>
      <c r="F1494" s="190"/>
      <c r="G1494" s="190"/>
      <c r="L1494" s="220"/>
      <c r="M1494" s="220"/>
      <c r="O1494" s="210"/>
      <c r="P1494" s="210"/>
      <c r="Q1494" s="210"/>
      <c r="R1494" s="210"/>
      <c r="S1494" s="210"/>
      <c r="T1494" s="210"/>
      <c r="U1494" s="210"/>
      <c r="V1494" s="210"/>
      <c r="W1494" s="210"/>
      <c r="X1494" s="210"/>
      <c r="Y1494" s="210"/>
      <c r="Z1494" s="210"/>
      <c r="AA1494" s="210"/>
      <c r="AB1494" s="210"/>
      <c r="AC1494" s="210"/>
      <c r="AD1494" s="210"/>
      <c r="AE1494" s="210"/>
      <c r="AF1494" s="210"/>
      <c r="AG1494" s="210"/>
      <c r="AH1494" s="210"/>
      <c r="AI1494" s="210"/>
      <c r="AJ1494" s="210"/>
      <c r="AK1494" s="210"/>
      <c r="AL1494" s="210"/>
      <c r="AM1494" s="214"/>
      <c r="AN1494" s="210"/>
      <c r="AO1494" s="210"/>
      <c r="AP1494" s="210"/>
      <c r="AQ1494" s="210"/>
      <c r="AR1494" s="210"/>
      <c r="AS1494" s="210"/>
      <c r="AT1494" s="210"/>
      <c r="AU1494" s="210"/>
      <c r="AV1494" s="210"/>
      <c r="AW1494" s="210"/>
      <c r="AX1494" s="210"/>
      <c r="AY1494" s="210"/>
      <c r="AZ1494" s="210"/>
      <c r="BA1494" s="210"/>
      <c r="BB1494" s="210"/>
      <c r="BC1494" s="210"/>
      <c r="BD1494" s="210"/>
      <c r="BE1494" s="210"/>
      <c r="BF1494" s="210"/>
      <c r="BG1494" s="210"/>
      <c r="BH1494" s="210"/>
      <c r="BI1494" s="210"/>
      <c r="BJ1494" s="210"/>
      <c r="BK1494" s="210"/>
      <c r="BL1494" s="210"/>
      <c r="BM1494" s="210"/>
      <c r="BN1494" s="210"/>
      <c r="BO1494" s="210"/>
      <c r="BP1494" s="210"/>
      <c r="BQ1494" s="210"/>
      <c r="BR1494" s="210"/>
      <c r="BS1494" s="210"/>
      <c r="BT1494" s="210"/>
      <c r="BU1494" s="210"/>
      <c r="BV1494" s="210"/>
      <c r="BW1494" s="210"/>
      <c r="BX1494" s="210"/>
      <c r="BY1494" s="210"/>
      <c r="BZ1494" s="210"/>
      <c r="CA1494" s="210"/>
      <c r="CB1494" s="210"/>
      <c r="CC1494" s="210"/>
      <c r="CD1494" s="210"/>
      <c r="CE1494" s="210"/>
      <c r="CF1494" s="210"/>
      <c r="CG1494" s="210"/>
      <c r="CH1494" s="210"/>
      <c r="CI1494" s="210"/>
      <c r="CJ1494" s="210"/>
      <c r="CK1494" s="210"/>
    </row>
    <row r="1495">
      <c r="A1495" s="220"/>
      <c r="F1495" s="190"/>
      <c r="G1495" s="190"/>
      <c r="L1495" s="220"/>
      <c r="M1495" s="220"/>
      <c r="O1495" s="210"/>
      <c r="P1495" s="210"/>
      <c r="Q1495" s="210"/>
      <c r="R1495" s="210"/>
      <c r="S1495" s="210"/>
      <c r="T1495" s="210"/>
      <c r="U1495" s="210"/>
      <c r="V1495" s="210"/>
      <c r="W1495" s="210"/>
      <c r="X1495" s="210"/>
      <c r="Y1495" s="210"/>
      <c r="Z1495" s="210"/>
      <c r="AA1495" s="210"/>
      <c r="AB1495" s="210"/>
      <c r="AC1495" s="210"/>
      <c r="AD1495" s="210"/>
      <c r="AE1495" s="210"/>
      <c r="AF1495" s="210"/>
      <c r="AG1495" s="210"/>
      <c r="AH1495" s="210"/>
      <c r="AI1495" s="210"/>
      <c r="AJ1495" s="210"/>
      <c r="AK1495" s="210"/>
      <c r="AL1495" s="210"/>
      <c r="AM1495" s="214"/>
      <c r="AN1495" s="210"/>
      <c r="AO1495" s="210"/>
      <c r="AP1495" s="210"/>
      <c r="AQ1495" s="210"/>
      <c r="AR1495" s="210"/>
      <c r="AS1495" s="210"/>
      <c r="AT1495" s="210"/>
      <c r="AU1495" s="210"/>
      <c r="AV1495" s="210"/>
      <c r="AW1495" s="210"/>
      <c r="AX1495" s="210"/>
      <c r="AY1495" s="210"/>
      <c r="AZ1495" s="210"/>
      <c r="BA1495" s="210"/>
      <c r="BB1495" s="210"/>
      <c r="BC1495" s="210"/>
      <c r="BD1495" s="210"/>
      <c r="BE1495" s="210"/>
      <c r="BF1495" s="210"/>
      <c r="BG1495" s="210"/>
      <c r="BH1495" s="210"/>
      <c r="BI1495" s="210"/>
      <c r="BJ1495" s="210"/>
      <c r="BK1495" s="210"/>
      <c r="BL1495" s="210"/>
      <c r="BM1495" s="210"/>
      <c r="BN1495" s="210"/>
      <c r="BO1495" s="210"/>
      <c r="BP1495" s="210"/>
      <c r="BQ1495" s="210"/>
      <c r="BR1495" s="210"/>
      <c r="BS1495" s="210"/>
      <c r="BT1495" s="210"/>
      <c r="BU1495" s="210"/>
      <c r="BV1495" s="210"/>
      <c r="BW1495" s="210"/>
      <c r="BX1495" s="210"/>
      <c r="BY1495" s="210"/>
      <c r="BZ1495" s="210"/>
      <c r="CA1495" s="210"/>
      <c r="CB1495" s="210"/>
      <c r="CC1495" s="210"/>
      <c r="CD1495" s="210"/>
      <c r="CE1495" s="210"/>
      <c r="CF1495" s="210"/>
      <c r="CG1495" s="210"/>
      <c r="CH1495" s="210"/>
      <c r="CI1495" s="210"/>
      <c r="CJ1495" s="210"/>
      <c r="CK1495" s="210"/>
    </row>
    <row r="1496">
      <c r="A1496" s="220"/>
      <c r="F1496" s="190"/>
      <c r="G1496" s="190"/>
      <c r="L1496" s="220"/>
      <c r="M1496" s="220"/>
      <c r="O1496" s="210"/>
      <c r="P1496" s="210"/>
      <c r="Q1496" s="210"/>
      <c r="R1496" s="210"/>
      <c r="S1496" s="210"/>
      <c r="T1496" s="210"/>
      <c r="U1496" s="210"/>
      <c r="V1496" s="210"/>
      <c r="W1496" s="210"/>
      <c r="X1496" s="210"/>
      <c r="Y1496" s="210"/>
      <c r="Z1496" s="210"/>
      <c r="AA1496" s="210"/>
      <c r="AB1496" s="210"/>
      <c r="AC1496" s="210"/>
      <c r="AD1496" s="210"/>
      <c r="AE1496" s="210"/>
      <c r="AF1496" s="210"/>
      <c r="AG1496" s="210"/>
      <c r="AH1496" s="210"/>
      <c r="AI1496" s="210"/>
      <c r="AJ1496" s="210"/>
      <c r="AK1496" s="210"/>
      <c r="AL1496" s="210"/>
      <c r="AM1496" s="214"/>
      <c r="AN1496" s="210"/>
      <c r="AO1496" s="210"/>
      <c r="AP1496" s="210"/>
      <c r="AQ1496" s="210"/>
      <c r="AR1496" s="210"/>
      <c r="AS1496" s="210"/>
      <c r="AT1496" s="210"/>
      <c r="AU1496" s="210"/>
      <c r="AV1496" s="210"/>
      <c r="AW1496" s="210"/>
      <c r="AX1496" s="210"/>
      <c r="AY1496" s="210"/>
      <c r="AZ1496" s="210"/>
      <c r="BA1496" s="210"/>
      <c r="BB1496" s="210"/>
      <c r="BC1496" s="210"/>
      <c r="BD1496" s="210"/>
      <c r="BE1496" s="210"/>
      <c r="BF1496" s="210"/>
      <c r="BG1496" s="210"/>
      <c r="BH1496" s="210"/>
      <c r="BI1496" s="210"/>
      <c r="BJ1496" s="210"/>
      <c r="BK1496" s="210"/>
      <c r="BL1496" s="210"/>
      <c r="BM1496" s="210"/>
      <c r="BN1496" s="210"/>
      <c r="BO1496" s="210"/>
      <c r="BP1496" s="210"/>
      <c r="BQ1496" s="210"/>
      <c r="BR1496" s="210"/>
      <c r="BS1496" s="210"/>
      <c r="BT1496" s="210"/>
      <c r="BU1496" s="210"/>
      <c r="BV1496" s="210"/>
      <c r="BW1496" s="210"/>
      <c r="BX1496" s="210"/>
      <c r="BY1496" s="210"/>
      <c r="BZ1496" s="210"/>
      <c r="CA1496" s="210"/>
      <c r="CB1496" s="210"/>
      <c r="CC1496" s="210"/>
      <c r="CD1496" s="210"/>
      <c r="CE1496" s="210"/>
      <c r="CF1496" s="210"/>
      <c r="CG1496" s="210"/>
      <c r="CH1496" s="210"/>
      <c r="CI1496" s="210"/>
      <c r="CJ1496" s="210"/>
      <c r="CK1496" s="210"/>
    </row>
    <row r="1497">
      <c r="A1497" s="220"/>
      <c r="F1497" s="190"/>
      <c r="G1497" s="190"/>
      <c r="L1497" s="220"/>
      <c r="M1497" s="220"/>
      <c r="O1497" s="210"/>
      <c r="P1497" s="210"/>
      <c r="Q1497" s="210"/>
      <c r="R1497" s="210"/>
      <c r="S1497" s="210"/>
      <c r="T1497" s="210"/>
      <c r="U1497" s="210"/>
      <c r="V1497" s="210"/>
      <c r="W1497" s="210"/>
      <c r="X1497" s="210"/>
      <c r="Y1497" s="210"/>
      <c r="Z1497" s="210"/>
      <c r="AA1497" s="210"/>
      <c r="AB1497" s="210"/>
      <c r="AC1497" s="210"/>
      <c r="AD1497" s="210"/>
      <c r="AE1497" s="210"/>
      <c r="AF1497" s="210"/>
      <c r="AG1497" s="210"/>
      <c r="AH1497" s="210"/>
      <c r="AI1497" s="210"/>
      <c r="AJ1497" s="210"/>
      <c r="AK1497" s="210"/>
      <c r="AL1497" s="210"/>
      <c r="AM1497" s="214"/>
      <c r="AN1497" s="210"/>
      <c r="AO1497" s="210"/>
      <c r="AP1497" s="210"/>
      <c r="AQ1497" s="210"/>
      <c r="AR1497" s="210"/>
      <c r="AS1497" s="210"/>
      <c r="AT1497" s="210"/>
      <c r="AU1497" s="210"/>
      <c r="AV1497" s="210"/>
      <c r="AW1497" s="210"/>
      <c r="AX1497" s="210"/>
      <c r="AY1497" s="210"/>
      <c r="AZ1497" s="210"/>
      <c r="BA1497" s="210"/>
      <c r="BB1497" s="210"/>
      <c r="BC1497" s="210"/>
      <c r="BD1497" s="210"/>
      <c r="BE1497" s="210"/>
      <c r="BF1497" s="210"/>
      <c r="BG1497" s="210"/>
      <c r="BH1497" s="210"/>
      <c r="BI1497" s="210"/>
      <c r="BJ1497" s="210"/>
      <c r="BK1497" s="210"/>
      <c r="BL1497" s="210"/>
      <c r="BM1497" s="210"/>
      <c r="BN1497" s="210"/>
      <c r="BO1497" s="210"/>
      <c r="BP1497" s="210"/>
      <c r="BQ1497" s="210"/>
      <c r="BR1497" s="210"/>
      <c r="BS1497" s="210"/>
      <c r="BT1497" s="210"/>
      <c r="BU1497" s="210"/>
      <c r="BV1497" s="210"/>
      <c r="BW1497" s="210"/>
      <c r="BX1497" s="210"/>
      <c r="BY1497" s="210"/>
      <c r="BZ1497" s="210"/>
      <c r="CA1497" s="210"/>
      <c r="CB1497" s="210"/>
      <c r="CC1497" s="210"/>
      <c r="CD1497" s="210"/>
      <c r="CE1497" s="210"/>
      <c r="CF1497" s="210"/>
      <c r="CG1497" s="210"/>
      <c r="CH1497" s="210"/>
      <c r="CI1497" s="210"/>
      <c r="CJ1497" s="210"/>
      <c r="CK1497" s="210"/>
    </row>
    <row r="1498">
      <c r="A1498" s="220"/>
      <c r="F1498" s="190"/>
      <c r="G1498" s="190"/>
      <c r="L1498" s="220"/>
      <c r="M1498" s="220"/>
      <c r="O1498" s="210"/>
      <c r="P1498" s="210"/>
      <c r="Q1498" s="210"/>
      <c r="R1498" s="210"/>
      <c r="S1498" s="210"/>
      <c r="T1498" s="210"/>
      <c r="U1498" s="210"/>
      <c r="V1498" s="210"/>
      <c r="W1498" s="210"/>
      <c r="X1498" s="210"/>
      <c r="Y1498" s="210"/>
      <c r="Z1498" s="210"/>
      <c r="AA1498" s="210"/>
      <c r="AB1498" s="210"/>
      <c r="AC1498" s="210"/>
      <c r="AD1498" s="210"/>
      <c r="AE1498" s="210"/>
      <c r="AF1498" s="210"/>
      <c r="AG1498" s="210"/>
      <c r="AH1498" s="210"/>
      <c r="AI1498" s="210"/>
      <c r="AJ1498" s="210"/>
      <c r="AK1498" s="210"/>
      <c r="AL1498" s="210"/>
      <c r="AM1498" s="214"/>
      <c r="AN1498" s="210"/>
      <c r="AO1498" s="210"/>
      <c r="AP1498" s="210"/>
      <c r="AQ1498" s="210"/>
      <c r="AR1498" s="210"/>
      <c r="AS1498" s="210"/>
      <c r="AT1498" s="210"/>
      <c r="AU1498" s="210"/>
      <c r="AV1498" s="210"/>
      <c r="AW1498" s="210"/>
      <c r="AX1498" s="210"/>
      <c r="AY1498" s="210"/>
      <c r="AZ1498" s="210"/>
      <c r="BA1498" s="210"/>
      <c r="BB1498" s="210"/>
      <c r="BC1498" s="210"/>
      <c r="BD1498" s="210"/>
      <c r="BE1498" s="210"/>
      <c r="BF1498" s="210"/>
      <c r="BG1498" s="210"/>
      <c r="BH1498" s="210"/>
      <c r="BI1498" s="210"/>
      <c r="BJ1498" s="210"/>
      <c r="BK1498" s="210"/>
      <c r="BL1498" s="210"/>
      <c r="BM1498" s="210"/>
      <c r="BN1498" s="210"/>
      <c r="BO1498" s="210"/>
      <c r="BP1498" s="210"/>
      <c r="BQ1498" s="210"/>
      <c r="BR1498" s="210"/>
      <c r="BS1498" s="210"/>
      <c r="BT1498" s="210"/>
      <c r="BU1498" s="210"/>
      <c r="BV1498" s="210"/>
      <c r="BW1498" s="210"/>
      <c r="BX1498" s="210"/>
      <c r="BY1498" s="210"/>
      <c r="BZ1498" s="210"/>
      <c r="CA1498" s="210"/>
      <c r="CB1498" s="210"/>
      <c r="CC1498" s="210"/>
      <c r="CD1498" s="210"/>
      <c r="CE1498" s="210"/>
      <c r="CF1498" s="210"/>
      <c r="CG1498" s="210"/>
      <c r="CH1498" s="210"/>
      <c r="CI1498" s="210"/>
      <c r="CJ1498" s="210"/>
      <c r="CK1498" s="210"/>
    </row>
    <row r="1499">
      <c r="A1499" s="220"/>
      <c r="F1499" s="190"/>
      <c r="G1499" s="190"/>
      <c r="L1499" s="220"/>
      <c r="M1499" s="220"/>
      <c r="O1499" s="210"/>
      <c r="P1499" s="210"/>
      <c r="Q1499" s="210"/>
      <c r="R1499" s="210"/>
      <c r="S1499" s="210"/>
      <c r="T1499" s="210"/>
      <c r="U1499" s="210"/>
      <c r="V1499" s="210"/>
      <c r="W1499" s="210"/>
      <c r="X1499" s="210"/>
      <c r="Y1499" s="210"/>
      <c r="Z1499" s="210"/>
      <c r="AA1499" s="210"/>
      <c r="AB1499" s="210"/>
      <c r="AC1499" s="210"/>
      <c r="AD1499" s="210"/>
      <c r="AE1499" s="210"/>
      <c r="AF1499" s="210"/>
      <c r="AG1499" s="210"/>
      <c r="AH1499" s="210"/>
      <c r="AI1499" s="210"/>
      <c r="AJ1499" s="210"/>
      <c r="AK1499" s="210"/>
      <c r="AL1499" s="210"/>
      <c r="AM1499" s="214"/>
      <c r="AN1499" s="210"/>
      <c r="AO1499" s="210"/>
      <c r="AP1499" s="210"/>
      <c r="AQ1499" s="210"/>
      <c r="AR1499" s="210"/>
      <c r="AS1499" s="210"/>
      <c r="AT1499" s="210"/>
      <c r="AU1499" s="210"/>
      <c r="AV1499" s="210"/>
      <c r="AW1499" s="210"/>
      <c r="AX1499" s="210"/>
      <c r="AY1499" s="210"/>
      <c r="AZ1499" s="210"/>
      <c r="BA1499" s="210"/>
      <c r="BB1499" s="210"/>
      <c r="BC1499" s="210"/>
      <c r="BD1499" s="210"/>
      <c r="BE1499" s="210"/>
      <c r="BF1499" s="210"/>
      <c r="BG1499" s="210"/>
      <c r="BH1499" s="210"/>
      <c r="BI1499" s="210"/>
      <c r="BJ1499" s="210"/>
      <c r="BK1499" s="210"/>
      <c r="BL1499" s="210"/>
      <c r="BM1499" s="210"/>
      <c r="BN1499" s="210"/>
      <c r="BO1499" s="210"/>
      <c r="BP1499" s="210"/>
      <c r="BQ1499" s="210"/>
      <c r="BR1499" s="210"/>
      <c r="BS1499" s="210"/>
      <c r="BT1499" s="210"/>
      <c r="BU1499" s="210"/>
      <c r="BV1499" s="210"/>
      <c r="BW1499" s="210"/>
      <c r="BX1499" s="210"/>
      <c r="BY1499" s="210"/>
      <c r="BZ1499" s="210"/>
      <c r="CA1499" s="210"/>
      <c r="CB1499" s="210"/>
      <c r="CC1499" s="210"/>
      <c r="CD1499" s="210"/>
      <c r="CE1499" s="210"/>
      <c r="CF1499" s="210"/>
      <c r="CG1499" s="210"/>
      <c r="CH1499" s="210"/>
      <c r="CI1499" s="210"/>
      <c r="CJ1499" s="210"/>
      <c r="CK1499" s="210"/>
    </row>
    <row r="1500">
      <c r="A1500" s="220"/>
      <c r="F1500" s="190"/>
      <c r="G1500" s="190"/>
      <c r="L1500" s="220"/>
      <c r="M1500" s="220"/>
      <c r="O1500" s="210"/>
      <c r="P1500" s="210"/>
      <c r="Q1500" s="210"/>
      <c r="R1500" s="210"/>
      <c r="S1500" s="210"/>
      <c r="T1500" s="210"/>
      <c r="U1500" s="210"/>
      <c r="V1500" s="210"/>
      <c r="W1500" s="210"/>
      <c r="X1500" s="210"/>
      <c r="Y1500" s="210"/>
      <c r="Z1500" s="210"/>
      <c r="AA1500" s="210"/>
      <c r="AB1500" s="210"/>
      <c r="AC1500" s="210"/>
      <c r="AD1500" s="210"/>
      <c r="AE1500" s="210"/>
      <c r="AF1500" s="210"/>
      <c r="AG1500" s="210"/>
      <c r="AH1500" s="210"/>
      <c r="AI1500" s="210"/>
      <c r="AJ1500" s="210"/>
      <c r="AK1500" s="210"/>
      <c r="AL1500" s="210"/>
      <c r="AM1500" s="214"/>
      <c r="AN1500" s="210"/>
      <c r="AO1500" s="210"/>
      <c r="AP1500" s="210"/>
      <c r="AQ1500" s="210"/>
      <c r="AR1500" s="210"/>
      <c r="AS1500" s="210"/>
      <c r="AT1500" s="210"/>
      <c r="AU1500" s="210"/>
      <c r="AV1500" s="210"/>
      <c r="AW1500" s="210"/>
      <c r="AX1500" s="210"/>
      <c r="AY1500" s="210"/>
      <c r="AZ1500" s="210"/>
      <c r="BA1500" s="210"/>
      <c r="BB1500" s="210"/>
      <c r="BC1500" s="210"/>
      <c r="BD1500" s="210"/>
      <c r="BE1500" s="210"/>
      <c r="BF1500" s="210"/>
      <c r="BG1500" s="210"/>
      <c r="BH1500" s="210"/>
      <c r="BI1500" s="210"/>
      <c r="BJ1500" s="210"/>
      <c r="BK1500" s="210"/>
      <c r="BL1500" s="210"/>
      <c r="BM1500" s="210"/>
      <c r="BN1500" s="210"/>
      <c r="BO1500" s="210"/>
      <c r="BP1500" s="210"/>
      <c r="BQ1500" s="210"/>
      <c r="BR1500" s="210"/>
      <c r="BS1500" s="210"/>
      <c r="BT1500" s="210"/>
      <c r="BU1500" s="210"/>
      <c r="BV1500" s="210"/>
      <c r="BW1500" s="210"/>
      <c r="BX1500" s="210"/>
      <c r="BY1500" s="210"/>
      <c r="BZ1500" s="210"/>
      <c r="CA1500" s="210"/>
      <c r="CB1500" s="210"/>
      <c r="CC1500" s="210"/>
      <c r="CD1500" s="210"/>
      <c r="CE1500" s="210"/>
      <c r="CF1500" s="210"/>
      <c r="CG1500" s="210"/>
      <c r="CH1500" s="210"/>
      <c r="CI1500" s="210"/>
      <c r="CJ1500" s="210"/>
      <c r="CK1500" s="210"/>
    </row>
    <row r="1501">
      <c r="A1501" s="220"/>
      <c r="F1501" s="190"/>
      <c r="G1501" s="190"/>
      <c r="L1501" s="220"/>
      <c r="M1501" s="220"/>
      <c r="O1501" s="210"/>
      <c r="P1501" s="210"/>
      <c r="Q1501" s="210"/>
      <c r="R1501" s="210"/>
      <c r="S1501" s="210"/>
      <c r="T1501" s="210"/>
      <c r="U1501" s="210"/>
      <c r="V1501" s="210"/>
      <c r="W1501" s="210"/>
      <c r="X1501" s="210"/>
      <c r="Y1501" s="210"/>
      <c r="Z1501" s="210"/>
      <c r="AA1501" s="210"/>
      <c r="AB1501" s="210"/>
      <c r="AC1501" s="210"/>
      <c r="AD1501" s="210"/>
      <c r="AE1501" s="210"/>
      <c r="AF1501" s="210"/>
      <c r="AG1501" s="210"/>
      <c r="AH1501" s="210"/>
      <c r="AI1501" s="210"/>
      <c r="AJ1501" s="210"/>
      <c r="AK1501" s="210"/>
      <c r="AL1501" s="210"/>
      <c r="AM1501" s="214"/>
      <c r="AN1501" s="210"/>
      <c r="AO1501" s="210"/>
      <c r="AP1501" s="210"/>
      <c r="AQ1501" s="210"/>
      <c r="AR1501" s="210"/>
      <c r="AS1501" s="210"/>
      <c r="AT1501" s="210"/>
      <c r="AU1501" s="210"/>
      <c r="AV1501" s="210"/>
      <c r="AW1501" s="210"/>
      <c r="AX1501" s="210"/>
      <c r="AY1501" s="210"/>
      <c r="AZ1501" s="210"/>
      <c r="BA1501" s="210"/>
      <c r="BB1501" s="210"/>
      <c r="BC1501" s="210"/>
      <c r="BD1501" s="210"/>
      <c r="BE1501" s="210"/>
      <c r="BF1501" s="210"/>
      <c r="BG1501" s="210"/>
      <c r="BH1501" s="210"/>
      <c r="BI1501" s="210"/>
      <c r="BJ1501" s="210"/>
      <c r="BK1501" s="210"/>
      <c r="BL1501" s="210"/>
      <c r="BM1501" s="210"/>
      <c r="BN1501" s="210"/>
      <c r="BO1501" s="210"/>
      <c r="BP1501" s="210"/>
      <c r="BQ1501" s="210"/>
      <c r="BR1501" s="210"/>
      <c r="BS1501" s="210"/>
      <c r="BT1501" s="210"/>
      <c r="BU1501" s="210"/>
      <c r="BV1501" s="210"/>
      <c r="BW1501" s="210"/>
      <c r="BX1501" s="210"/>
      <c r="BY1501" s="210"/>
      <c r="BZ1501" s="210"/>
      <c r="CA1501" s="210"/>
      <c r="CB1501" s="210"/>
      <c r="CC1501" s="210"/>
      <c r="CD1501" s="210"/>
      <c r="CE1501" s="210"/>
      <c r="CF1501" s="210"/>
      <c r="CG1501" s="210"/>
      <c r="CH1501" s="210"/>
      <c r="CI1501" s="210"/>
      <c r="CJ1501" s="210"/>
      <c r="CK1501" s="210"/>
    </row>
    <row r="1502">
      <c r="A1502" s="220"/>
      <c r="F1502" s="190"/>
      <c r="G1502" s="190"/>
      <c r="L1502" s="220"/>
      <c r="M1502" s="220"/>
      <c r="O1502" s="210"/>
      <c r="P1502" s="210"/>
      <c r="Q1502" s="210"/>
      <c r="R1502" s="210"/>
      <c r="S1502" s="210"/>
      <c r="T1502" s="210"/>
      <c r="U1502" s="210"/>
      <c r="V1502" s="210"/>
      <c r="W1502" s="210"/>
      <c r="X1502" s="210"/>
      <c r="Y1502" s="210"/>
      <c r="Z1502" s="210"/>
      <c r="AA1502" s="210"/>
      <c r="AB1502" s="210"/>
      <c r="AC1502" s="210"/>
      <c r="AD1502" s="210"/>
      <c r="AE1502" s="210"/>
      <c r="AF1502" s="210"/>
      <c r="AG1502" s="210"/>
      <c r="AH1502" s="210"/>
      <c r="AI1502" s="210"/>
      <c r="AJ1502" s="210"/>
      <c r="AK1502" s="210"/>
      <c r="AL1502" s="210"/>
      <c r="AM1502" s="214"/>
      <c r="AN1502" s="210"/>
      <c r="AO1502" s="210"/>
      <c r="AP1502" s="210"/>
      <c r="AQ1502" s="210"/>
      <c r="AR1502" s="210"/>
      <c r="AS1502" s="210"/>
      <c r="AT1502" s="210"/>
      <c r="AU1502" s="210"/>
      <c r="AV1502" s="210"/>
      <c r="AW1502" s="210"/>
      <c r="AX1502" s="210"/>
      <c r="AY1502" s="210"/>
      <c r="AZ1502" s="210"/>
      <c r="BA1502" s="210"/>
      <c r="BB1502" s="210"/>
      <c r="BC1502" s="210"/>
      <c r="BD1502" s="210"/>
      <c r="BE1502" s="210"/>
      <c r="BF1502" s="210"/>
      <c r="BG1502" s="210"/>
      <c r="BH1502" s="210"/>
      <c r="BI1502" s="210"/>
      <c r="BJ1502" s="210"/>
      <c r="BK1502" s="210"/>
      <c r="BL1502" s="210"/>
      <c r="BM1502" s="210"/>
      <c r="BN1502" s="210"/>
      <c r="BO1502" s="210"/>
      <c r="BP1502" s="210"/>
      <c r="BQ1502" s="210"/>
      <c r="BR1502" s="210"/>
      <c r="BS1502" s="210"/>
      <c r="BT1502" s="210"/>
      <c r="BU1502" s="210"/>
      <c r="BV1502" s="210"/>
      <c r="BW1502" s="210"/>
      <c r="BX1502" s="210"/>
      <c r="BY1502" s="210"/>
      <c r="BZ1502" s="210"/>
      <c r="CA1502" s="210"/>
      <c r="CB1502" s="210"/>
      <c r="CC1502" s="210"/>
      <c r="CD1502" s="210"/>
      <c r="CE1502" s="210"/>
      <c r="CF1502" s="210"/>
      <c r="CG1502" s="210"/>
      <c r="CH1502" s="210"/>
      <c r="CI1502" s="210"/>
      <c r="CJ1502" s="210"/>
      <c r="CK1502" s="210"/>
    </row>
    <row r="1503">
      <c r="A1503" s="220"/>
      <c r="F1503" s="190"/>
      <c r="G1503" s="190"/>
      <c r="L1503" s="220"/>
      <c r="M1503" s="220"/>
      <c r="O1503" s="210"/>
      <c r="P1503" s="210"/>
      <c r="Q1503" s="210"/>
      <c r="R1503" s="210"/>
      <c r="S1503" s="210"/>
      <c r="T1503" s="210"/>
      <c r="U1503" s="210"/>
      <c r="V1503" s="210"/>
      <c r="W1503" s="210"/>
      <c r="X1503" s="210"/>
      <c r="Y1503" s="210"/>
      <c r="Z1503" s="210"/>
      <c r="AA1503" s="210"/>
      <c r="AB1503" s="210"/>
      <c r="AC1503" s="210"/>
      <c r="AD1503" s="210"/>
      <c r="AE1503" s="210"/>
      <c r="AF1503" s="210"/>
      <c r="AG1503" s="210"/>
      <c r="AH1503" s="210"/>
      <c r="AI1503" s="210"/>
      <c r="AJ1503" s="210"/>
      <c r="AK1503" s="210"/>
      <c r="AL1503" s="210"/>
      <c r="AM1503" s="214"/>
      <c r="AN1503" s="210"/>
      <c r="AO1503" s="210"/>
      <c r="AP1503" s="210"/>
      <c r="AQ1503" s="210"/>
      <c r="AR1503" s="210"/>
      <c r="AS1503" s="210"/>
      <c r="AT1503" s="210"/>
      <c r="AU1503" s="210"/>
      <c r="AV1503" s="210"/>
      <c r="AW1503" s="210"/>
      <c r="AX1503" s="210"/>
      <c r="AY1503" s="210"/>
      <c r="AZ1503" s="210"/>
      <c r="BA1503" s="210"/>
      <c r="BB1503" s="210"/>
      <c r="BC1503" s="210"/>
      <c r="BD1503" s="210"/>
      <c r="BE1503" s="210"/>
      <c r="BF1503" s="210"/>
      <c r="BG1503" s="210"/>
      <c r="BH1503" s="210"/>
      <c r="BI1503" s="210"/>
      <c r="BJ1503" s="210"/>
      <c r="BK1503" s="210"/>
      <c r="BL1503" s="210"/>
      <c r="BM1503" s="210"/>
      <c r="BN1503" s="210"/>
      <c r="BO1503" s="210"/>
      <c r="BP1503" s="210"/>
      <c r="BQ1503" s="210"/>
      <c r="BR1503" s="210"/>
      <c r="BS1503" s="210"/>
      <c r="BT1503" s="210"/>
      <c r="BU1503" s="210"/>
      <c r="BV1503" s="210"/>
      <c r="BW1503" s="210"/>
      <c r="BX1503" s="210"/>
      <c r="BY1503" s="210"/>
      <c r="BZ1503" s="210"/>
      <c r="CA1503" s="210"/>
      <c r="CB1503" s="210"/>
      <c r="CC1503" s="210"/>
      <c r="CD1503" s="210"/>
      <c r="CE1503" s="210"/>
      <c r="CF1503" s="210"/>
      <c r="CG1503" s="210"/>
      <c r="CH1503" s="210"/>
      <c r="CI1503" s="210"/>
      <c r="CJ1503" s="210"/>
      <c r="CK1503" s="210"/>
    </row>
    <row r="1504">
      <c r="A1504" s="220"/>
      <c r="F1504" s="190"/>
      <c r="G1504" s="190"/>
      <c r="L1504" s="220"/>
      <c r="M1504" s="220"/>
      <c r="O1504" s="210"/>
      <c r="P1504" s="210"/>
      <c r="Q1504" s="210"/>
      <c r="R1504" s="210"/>
      <c r="S1504" s="210"/>
      <c r="T1504" s="210"/>
      <c r="U1504" s="210"/>
      <c r="V1504" s="210"/>
      <c r="W1504" s="210"/>
      <c r="X1504" s="210"/>
      <c r="Y1504" s="210"/>
      <c r="Z1504" s="210"/>
      <c r="AA1504" s="210"/>
      <c r="AB1504" s="210"/>
      <c r="AC1504" s="210"/>
      <c r="AD1504" s="210"/>
      <c r="AE1504" s="210"/>
      <c r="AF1504" s="210"/>
      <c r="AG1504" s="210"/>
      <c r="AH1504" s="210"/>
      <c r="AI1504" s="210"/>
      <c r="AJ1504" s="210"/>
      <c r="AK1504" s="210"/>
      <c r="AL1504" s="210"/>
      <c r="AM1504" s="214"/>
      <c r="AN1504" s="210"/>
      <c r="AO1504" s="210"/>
      <c r="AP1504" s="210"/>
      <c r="AQ1504" s="210"/>
      <c r="AR1504" s="210"/>
      <c r="AS1504" s="210"/>
      <c r="AT1504" s="210"/>
      <c r="AU1504" s="210"/>
      <c r="AV1504" s="210"/>
      <c r="AW1504" s="210"/>
      <c r="AX1504" s="210"/>
      <c r="AY1504" s="210"/>
      <c r="AZ1504" s="210"/>
      <c r="BA1504" s="210"/>
      <c r="BB1504" s="210"/>
      <c r="BC1504" s="210"/>
      <c r="BD1504" s="210"/>
      <c r="BE1504" s="210"/>
      <c r="BF1504" s="210"/>
      <c r="BG1504" s="210"/>
      <c r="BH1504" s="210"/>
      <c r="BI1504" s="210"/>
      <c r="BJ1504" s="210"/>
      <c r="BK1504" s="210"/>
      <c r="BL1504" s="210"/>
      <c r="BM1504" s="210"/>
      <c r="BN1504" s="210"/>
      <c r="BO1504" s="210"/>
      <c r="BP1504" s="210"/>
      <c r="BQ1504" s="210"/>
      <c r="BR1504" s="210"/>
      <c r="BS1504" s="210"/>
      <c r="BT1504" s="210"/>
      <c r="BU1504" s="210"/>
      <c r="BV1504" s="210"/>
      <c r="BW1504" s="210"/>
      <c r="BX1504" s="210"/>
      <c r="BY1504" s="210"/>
      <c r="BZ1504" s="210"/>
      <c r="CA1504" s="210"/>
      <c r="CB1504" s="210"/>
      <c r="CC1504" s="210"/>
      <c r="CD1504" s="210"/>
      <c r="CE1504" s="210"/>
      <c r="CF1504" s="210"/>
      <c r="CG1504" s="210"/>
      <c r="CH1504" s="210"/>
      <c r="CI1504" s="210"/>
      <c r="CJ1504" s="210"/>
      <c r="CK1504" s="210"/>
    </row>
    <row r="1505">
      <c r="A1505" s="220"/>
      <c r="F1505" s="190"/>
      <c r="G1505" s="190"/>
      <c r="L1505" s="220"/>
      <c r="M1505" s="220"/>
      <c r="O1505" s="210"/>
      <c r="P1505" s="210"/>
      <c r="Q1505" s="210"/>
      <c r="R1505" s="210"/>
      <c r="S1505" s="210"/>
      <c r="T1505" s="210"/>
      <c r="U1505" s="210"/>
      <c r="V1505" s="210"/>
      <c r="W1505" s="210"/>
      <c r="X1505" s="210"/>
      <c r="Y1505" s="210"/>
      <c r="Z1505" s="210"/>
      <c r="AA1505" s="210"/>
      <c r="AB1505" s="210"/>
      <c r="AC1505" s="210"/>
      <c r="AD1505" s="210"/>
      <c r="AE1505" s="210"/>
      <c r="AF1505" s="210"/>
      <c r="AG1505" s="210"/>
      <c r="AH1505" s="210"/>
      <c r="AI1505" s="210"/>
      <c r="AJ1505" s="210"/>
      <c r="AK1505" s="210"/>
      <c r="AL1505" s="210"/>
      <c r="AM1505" s="214"/>
      <c r="AN1505" s="210"/>
      <c r="AO1505" s="210"/>
      <c r="AP1505" s="210"/>
      <c r="AQ1505" s="210"/>
      <c r="AR1505" s="210"/>
      <c r="AS1505" s="210"/>
      <c r="AT1505" s="210"/>
      <c r="AU1505" s="210"/>
      <c r="AV1505" s="210"/>
      <c r="AW1505" s="210"/>
      <c r="AX1505" s="210"/>
      <c r="AY1505" s="210"/>
      <c r="AZ1505" s="210"/>
      <c r="BA1505" s="210"/>
      <c r="BB1505" s="210"/>
      <c r="BC1505" s="210"/>
      <c r="BD1505" s="210"/>
      <c r="BE1505" s="210"/>
      <c r="BF1505" s="210"/>
      <c r="BG1505" s="210"/>
      <c r="BH1505" s="210"/>
      <c r="BI1505" s="210"/>
      <c r="BJ1505" s="210"/>
      <c r="BK1505" s="210"/>
      <c r="BL1505" s="210"/>
      <c r="BM1505" s="210"/>
      <c r="BN1505" s="210"/>
      <c r="BO1505" s="210"/>
      <c r="BP1505" s="210"/>
      <c r="BQ1505" s="210"/>
      <c r="BR1505" s="210"/>
      <c r="BS1505" s="210"/>
      <c r="BT1505" s="210"/>
      <c r="BU1505" s="210"/>
      <c r="BV1505" s="210"/>
      <c r="BW1505" s="210"/>
      <c r="BX1505" s="210"/>
      <c r="BY1505" s="210"/>
      <c r="BZ1505" s="210"/>
      <c r="CA1505" s="210"/>
      <c r="CB1505" s="210"/>
      <c r="CC1505" s="210"/>
      <c r="CD1505" s="210"/>
      <c r="CE1505" s="210"/>
      <c r="CF1505" s="210"/>
      <c r="CG1505" s="210"/>
      <c r="CH1505" s="210"/>
      <c r="CI1505" s="210"/>
      <c r="CJ1505" s="210"/>
      <c r="CK1505" s="210"/>
    </row>
    <row r="1506">
      <c r="A1506" s="220"/>
      <c r="F1506" s="190"/>
      <c r="G1506" s="190"/>
      <c r="L1506" s="220"/>
      <c r="M1506" s="220"/>
      <c r="O1506" s="210"/>
      <c r="P1506" s="210"/>
      <c r="Q1506" s="210"/>
      <c r="R1506" s="210"/>
      <c r="S1506" s="210"/>
      <c r="T1506" s="210"/>
      <c r="U1506" s="210"/>
      <c r="V1506" s="210"/>
      <c r="W1506" s="210"/>
      <c r="X1506" s="210"/>
      <c r="Y1506" s="210"/>
      <c r="Z1506" s="210"/>
      <c r="AA1506" s="210"/>
      <c r="AB1506" s="210"/>
      <c r="AC1506" s="210"/>
      <c r="AD1506" s="210"/>
      <c r="AE1506" s="210"/>
      <c r="AF1506" s="210"/>
      <c r="AG1506" s="210"/>
      <c r="AH1506" s="210"/>
      <c r="AI1506" s="210"/>
      <c r="AJ1506" s="210"/>
      <c r="AK1506" s="210"/>
      <c r="AL1506" s="210"/>
      <c r="AM1506" s="214"/>
      <c r="AN1506" s="210"/>
      <c r="AO1506" s="210"/>
      <c r="AP1506" s="210"/>
      <c r="AQ1506" s="210"/>
      <c r="AR1506" s="210"/>
      <c r="AS1506" s="210"/>
      <c r="AT1506" s="210"/>
      <c r="AU1506" s="210"/>
      <c r="AV1506" s="210"/>
      <c r="AW1506" s="210"/>
      <c r="AX1506" s="210"/>
      <c r="AY1506" s="210"/>
      <c r="AZ1506" s="210"/>
      <c r="BA1506" s="210"/>
      <c r="BB1506" s="210"/>
      <c r="BC1506" s="210"/>
      <c r="BD1506" s="210"/>
      <c r="BE1506" s="210"/>
      <c r="BF1506" s="210"/>
      <c r="BG1506" s="210"/>
      <c r="BH1506" s="210"/>
      <c r="BI1506" s="210"/>
      <c r="BJ1506" s="210"/>
      <c r="BK1506" s="210"/>
      <c r="BL1506" s="210"/>
      <c r="BM1506" s="210"/>
      <c r="BN1506" s="210"/>
      <c r="BO1506" s="210"/>
      <c r="BP1506" s="210"/>
      <c r="BQ1506" s="210"/>
      <c r="BR1506" s="210"/>
      <c r="BS1506" s="210"/>
      <c r="BT1506" s="210"/>
      <c r="BU1506" s="210"/>
      <c r="BV1506" s="210"/>
      <c r="BW1506" s="210"/>
      <c r="BX1506" s="210"/>
      <c r="BY1506" s="210"/>
      <c r="BZ1506" s="210"/>
      <c r="CA1506" s="210"/>
      <c r="CB1506" s="210"/>
      <c r="CC1506" s="210"/>
      <c r="CD1506" s="210"/>
      <c r="CE1506" s="210"/>
      <c r="CF1506" s="210"/>
      <c r="CG1506" s="210"/>
      <c r="CH1506" s="210"/>
      <c r="CI1506" s="210"/>
      <c r="CJ1506" s="210"/>
      <c r="CK1506" s="210"/>
    </row>
    <row r="1507">
      <c r="A1507" s="220"/>
      <c r="F1507" s="190"/>
      <c r="G1507" s="190"/>
      <c r="L1507" s="220"/>
      <c r="M1507" s="220"/>
      <c r="O1507" s="210"/>
      <c r="P1507" s="210"/>
      <c r="Q1507" s="210"/>
      <c r="R1507" s="210"/>
      <c r="S1507" s="210"/>
      <c r="T1507" s="210"/>
      <c r="U1507" s="210"/>
      <c r="V1507" s="210"/>
      <c r="W1507" s="210"/>
      <c r="X1507" s="210"/>
      <c r="Y1507" s="210"/>
      <c r="Z1507" s="210"/>
      <c r="AA1507" s="210"/>
      <c r="AB1507" s="210"/>
      <c r="AC1507" s="210"/>
      <c r="AD1507" s="210"/>
      <c r="AE1507" s="210"/>
      <c r="AF1507" s="210"/>
      <c r="AG1507" s="210"/>
      <c r="AH1507" s="210"/>
      <c r="AI1507" s="210"/>
      <c r="AJ1507" s="210"/>
      <c r="AK1507" s="210"/>
      <c r="AL1507" s="210"/>
      <c r="AM1507" s="214"/>
      <c r="AN1507" s="210"/>
      <c r="AO1507" s="210"/>
      <c r="AP1507" s="210"/>
      <c r="AQ1507" s="210"/>
      <c r="AR1507" s="210"/>
      <c r="AS1507" s="210"/>
      <c r="AT1507" s="210"/>
      <c r="AU1507" s="210"/>
      <c r="AV1507" s="210"/>
      <c r="AW1507" s="210"/>
      <c r="AX1507" s="210"/>
      <c r="AY1507" s="210"/>
      <c r="AZ1507" s="210"/>
      <c r="BA1507" s="210"/>
      <c r="BB1507" s="210"/>
      <c r="BC1507" s="210"/>
      <c r="BD1507" s="210"/>
      <c r="BE1507" s="210"/>
      <c r="BF1507" s="210"/>
      <c r="BG1507" s="210"/>
      <c r="BH1507" s="210"/>
      <c r="BI1507" s="210"/>
      <c r="BJ1507" s="210"/>
      <c r="BK1507" s="210"/>
      <c r="BL1507" s="210"/>
      <c r="BM1507" s="210"/>
      <c r="BN1507" s="210"/>
      <c r="BO1507" s="210"/>
      <c r="BP1507" s="210"/>
      <c r="BQ1507" s="210"/>
      <c r="BR1507" s="210"/>
      <c r="BS1507" s="210"/>
      <c r="BT1507" s="210"/>
      <c r="BU1507" s="210"/>
      <c r="BV1507" s="210"/>
      <c r="BW1507" s="210"/>
      <c r="BX1507" s="210"/>
      <c r="BY1507" s="210"/>
      <c r="BZ1507" s="210"/>
      <c r="CA1507" s="210"/>
      <c r="CB1507" s="210"/>
      <c r="CC1507" s="210"/>
      <c r="CD1507" s="210"/>
      <c r="CE1507" s="210"/>
      <c r="CF1507" s="210"/>
      <c r="CG1507" s="210"/>
      <c r="CH1507" s="210"/>
      <c r="CI1507" s="210"/>
      <c r="CJ1507" s="210"/>
      <c r="CK1507" s="210"/>
    </row>
    <row r="1508">
      <c r="A1508" s="220"/>
      <c r="F1508" s="190"/>
      <c r="G1508" s="190"/>
      <c r="L1508" s="220"/>
      <c r="M1508" s="220"/>
      <c r="O1508" s="210"/>
      <c r="P1508" s="210"/>
      <c r="Q1508" s="210"/>
      <c r="R1508" s="210"/>
      <c r="S1508" s="210"/>
      <c r="T1508" s="210"/>
      <c r="U1508" s="210"/>
      <c r="V1508" s="210"/>
      <c r="W1508" s="210"/>
      <c r="X1508" s="210"/>
      <c r="Y1508" s="210"/>
      <c r="Z1508" s="210"/>
      <c r="AA1508" s="210"/>
      <c r="AB1508" s="210"/>
      <c r="AC1508" s="210"/>
      <c r="AD1508" s="210"/>
      <c r="AE1508" s="210"/>
      <c r="AF1508" s="210"/>
      <c r="AG1508" s="210"/>
      <c r="AH1508" s="210"/>
      <c r="AI1508" s="210"/>
      <c r="AJ1508" s="210"/>
      <c r="AK1508" s="210"/>
      <c r="AL1508" s="210"/>
      <c r="AM1508" s="214"/>
      <c r="AN1508" s="210"/>
      <c r="AO1508" s="210"/>
      <c r="AP1508" s="210"/>
      <c r="AQ1508" s="210"/>
      <c r="AR1508" s="210"/>
      <c r="AS1508" s="210"/>
      <c r="AT1508" s="210"/>
      <c r="AU1508" s="210"/>
      <c r="AV1508" s="210"/>
      <c r="AW1508" s="210"/>
      <c r="AX1508" s="210"/>
      <c r="AY1508" s="210"/>
      <c r="AZ1508" s="210"/>
      <c r="BA1508" s="210"/>
      <c r="BB1508" s="210"/>
      <c r="BC1508" s="210"/>
      <c r="BD1508" s="210"/>
      <c r="BE1508" s="210"/>
      <c r="BF1508" s="210"/>
      <c r="BG1508" s="210"/>
      <c r="BH1508" s="210"/>
      <c r="BI1508" s="210"/>
      <c r="BJ1508" s="210"/>
      <c r="BK1508" s="210"/>
      <c r="BL1508" s="210"/>
      <c r="BM1508" s="210"/>
      <c r="BN1508" s="210"/>
      <c r="BO1508" s="210"/>
      <c r="BP1508" s="210"/>
      <c r="BQ1508" s="210"/>
      <c r="BR1508" s="210"/>
      <c r="BS1508" s="210"/>
      <c r="BT1508" s="210"/>
      <c r="BU1508" s="210"/>
      <c r="BV1508" s="210"/>
      <c r="BW1508" s="210"/>
      <c r="BX1508" s="210"/>
      <c r="BY1508" s="210"/>
      <c r="BZ1508" s="210"/>
      <c r="CA1508" s="210"/>
      <c r="CB1508" s="210"/>
      <c r="CC1508" s="210"/>
      <c r="CD1508" s="210"/>
      <c r="CE1508" s="210"/>
      <c r="CF1508" s="210"/>
      <c r="CG1508" s="210"/>
      <c r="CH1508" s="210"/>
      <c r="CI1508" s="210"/>
      <c r="CJ1508" s="210"/>
      <c r="CK1508" s="210"/>
    </row>
    <row r="1509">
      <c r="A1509" s="220"/>
      <c r="F1509" s="190"/>
      <c r="G1509" s="190"/>
      <c r="L1509" s="220"/>
      <c r="M1509" s="220"/>
      <c r="O1509" s="210"/>
      <c r="P1509" s="210"/>
      <c r="Q1509" s="210"/>
      <c r="R1509" s="210"/>
      <c r="S1509" s="210"/>
      <c r="T1509" s="210"/>
      <c r="U1509" s="210"/>
      <c r="V1509" s="210"/>
      <c r="W1509" s="210"/>
      <c r="X1509" s="210"/>
      <c r="Y1509" s="210"/>
      <c r="Z1509" s="210"/>
      <c r="AA1509" s="210"/>
      <c r="AB1509" s="210"/>
      <c r="AC1509" s="210"/>
      <c r="AD1509" s="210"/>
      <c r="AE1509" s="210"/>
      <c r="AF1509" s="210"/>
      <c r="AG1509" s="210"/>
      <c r="AH1509" s="210"/>
      <c r="AI1509" s="210"/>
      <c r="AJ1509" s="210"/>
      <c r="AK1509" s="210"/>
      <c r="AL1509" s="210"/>
      <c r="AM1509" s="214"/>
      <c r="AN1509" s="210"/>
      <c r="AO1509" s="210"/>
      <c r="AP1509" s="210"/>
      <c r="AQ1509" s="210"/>
      <c r="AR1509" s="210"/>
      <c r="AS1509" s="210"/>
      <c r="AT1509" s="210"/>
      <c r="AU1509" s="210"/>
      <c r="AV1509" s="210"/>
      <c r="AW1509" s="210"/>
      <c r="AX1509" s="210"/>
      <c r="AY1509" s="210"/>
      <c r="AZ1509" s="210"/>
      <c r="BA1509" s="210"/>
      <c r="BB1509" s="210"/>
      <c r="BC1509" s="210"/>
      <c r="BD1509" s="210"/>
      <c r="BE1509" s="210"/>
      <c r="BF1509" s="210"/>
      <c r="BG1509" s="210"/>
      <c r="BH1509" s="210"/>
      <c r="BI1509" s="210"/>
      <c r="BJ1509" s="210"/>
      <c r="BK1509" s="210"/>
      <c r="BL1509" s="210"/>
      <c r="BM1509" s="210"/>
      <c r="BN1509" s="210"/>
      <c r="BO1509" s="210"/>
      <c r="BP1509" s="210"/>
      <c r="BQ1509" s="210"/>
      <c r="BR1509" s="210"/>
      <c r="BS1509" s="210"/>
      <c r="BT1509" s="210"/>
      <c r="BU1509" s="210"/>
      <c r="BV1509" s="210"/>
      <c r="BW1509" s="210"/>
      <c r="BX1509" s="210"/>
      <c r="BY1509" s="210"/>
      <c r="BZ1509" s="210"/>
      <c r="CA1509" s="210"/>
      <c r="CB1509" s="210"/>
      <c r="CC1509" s="210"/>
      <c r="CD1509" s="210"/>
      <c r="CE1509" s="210"/>
      <c r="CF1509" s="210"/>
      <c r="CG1509" s="210"/>
      <c r="CH1509" s="210"/>
      <c r="CI1509" s="210"/>
      <c r="CJ1509" s="210"/>
      <c r="CK1509" s="210"/>
    </row>
    <row r="1510">
      <c r="A1510" s="220"/>
      <c r="F1510" s="190"/>
      <c r="G1510" s="190"/>
      <c r="L1510" s="220"/>
      <c r="M1510" s="220"/>
      <c r="O1510" s="210"/>
      <c r="P1510" s="210"/>
      <c r="Q1510" s="210"/>
      <c r="R1510" s="210"/>
      <c r="S1510" s="210"/>
      <c r="T1510" s="210"/>
      <c r="U1510" s="210"/>
      <c r="V1510" s="210"/>
      <c r="W1510" s="210"/>
      <c r="X1510" s="210"/>
      <c r="Y1510" s="210"/>
      <c r="Z1510" s="210"/>
      <c r="AA1510" s="210"/>
      <c r="AB1510" s="210"/>
      <c r="AC1510" s="210"/>
      <c r="AD1510" s="210"/>
      <c r="AE1510" s="210"/>
      <c r="AF1510" s="210"/>
      <c r="AG1510" s="210"/>
      <c r="AH1510" s="210"/>
      <c r="AI1510" s="210"/>
      <c r="AJ1510" s="210"/>
      <c r="AK1510" s="210"/>
      <c r="AL1510" s="210"/>
      <c r="AM1510" s="214"/>
      <c r="AN1510" s="210"/>
      <c r="AO1510" s="210"/>
      <c r="AP1510" s="210"/>
      <c r="AQ1510" s="210"/>
      <c r="AR1510" s="210"/>
      <c r="AS1510" s="210"/>
      <c r="AT1510" s="210"/>
      <c r="AU1510" s="210"/>
      <c r="AV1510" s="210"/>
      <c r="AW1510" s="210"/>
      <c r="AX1510" s="210"/>
      <c r="AY1510" s="210"/>
      <c r="AZ1510" s="210"/>
      <c r="BA1510" s="210"/>
      <c r="BB1510" s="210"/>
      <c r="BC1510" s="210"/>
      <c r="BD1510" s="210"/>
      <c r="BE1510" s="210"/>
      <c r="BF1510" s="210"/>
      <c r="BG1510" s="210"/>
      <c r="BH1510" s="210"/>
      <c r="BI1510" s="210"/>
      <c r="BJ1510" s="210"/>
      <c r="BK1510" s="210"/>
      <c r="BL1510" s="210"/>
      <c r="BM1510" s="210"/>
      <c r="BN1510" s="210"/>
      <c r="BO1510" s="210"/>
      <c r="BP1510" s="210"/>
      <c r="BQ1510" s="210"/>
      <c r="BR1510" s="210"/>
      <c r="BS1510" s="210"/>
      <c r="BT1510" s="210"/>
      <c r="BU1510" s="210"/>
      <c r="BV1510" s="210"/>
      <c r="BW1510" s="210"/>
      <c r="BX1510" s="210"/>
      <c r="BY1510" s="210"/>
      <c r="BZ1510" s="210"/>
      <c r="CA1510" s="210"/>
      <c r="CB1510" s="210"/>
      <c r="CC1510" s="210"/>
      <c r="CD1510" s="210"/>
      <c r="CE1510" s="210"/>
      <c r="CF1510" s="210"/>
      <c r="CG1510" s="210"/>
      <c r="CH1510" s="210"/>
      <c r="CI1510" s="210"/>
      <c r="CJ1510" s="210"/>
      <c r="CK1510" s="210"/>
    </row>
    <row r="1511">
      <c r="A1511" s="220"/>
      <c r="F1511" s="190"/>
      <c r="G1511" s="190"/>
      <c r="L1511" s="220"/>
      <c r="M1511" s="220"/>
      <c r="O1511" s="210"/>
      <c r="P1511" s="210"/>
      <c r="Q1511" s="210"/>
      <c r="R1511" s="210"/>
      <c r="S1511" s="210"/>
      <c r="T1511" s="210"/>
      <c r="U1511" s="210"/>
      <c r="V1511" s="210"/>
      <c r="W1511" s="210"/>
      <c r="X1511" s="210"/>
      <c r="Y1511" s="210"/>
      <c r="Z1511" s="210"/>
      <c r="AA1511" s="210"/>
      <c r="AB1511" s="210"/>
      <c r="AC1511" s="210"/>
      <c r="AD1511" s="210"/>
      <c r="AE1511" s="210"/>
      <c r="AF1511" s="210"/>
      <c r="AG1511" s="210"/>
      <c r="AH1511" s="210"/>
      <c r="AI1511" s="210"/>
      <c r="AJ1511" s="210"/>
      <c r="AK1511" s="210"/>
      <c r="AL1511" s="210"/>
      <c r="AM1511" s="214"/>
      <c r="AN1511" s="210"/>
      <c r="AO1511" s="210"/>
      <c r="AP1511" s="210"/>
      <c r="AQ1511" s="210"/>
      <c r="AR1511" s="210"/>
      <c r="AS1511" s="210"/>
      <c r="AT1511" s="210"/>
      <c r="AU1511" s="210"/>
      <c r="AV1511" s="210"/>
      <c r="AW1511" s="210"/>
      <c r="AX1511" s="210"/>
      <c r="AY1511" s="210"/>
      <c r="AZ1511" s="210"/>
      <c r="BA1511" s="210"/>
      <c r="BB1511" s="210"/>
      <c r="BC1511" s="210"/>
      <c r="BD1511" s="210"/>
      <c r="BE1511" s="210"/>
      <c r="BF1511" s="210"/>
      <c r="BG1511" s="210"/>
      <c r="BH1511" s="210"/>
      <c r="BI1511" s="210"/>
      <c r="BJ1511" s="210"/>
      <c r="BK1511" s="210"/>
      <c r="BL1511" s="210"/>
      <c r="BM1511" s="210"/>
      <c r="BN1511" s="210"/>
      <c r="BO1511" s="210"/>
      <c r="BP1511" s="210"/>
      <c r="BQ1511" s="210"/>
      <c r="BR1511" s="210"/>
      <c r="BS1511" s="210"/>
      <c r="BT1511" s="210"/>
      <c r="BU1511" s="210"/>
      <c r="BV1511" s="210"/>
      <c r="BW1511" s="210"/>
      <c r="BX1511" s="210"/>
      <c r="BY1511" s="210"/>
      <c r="BZ1511" s="210"/>
      <c r="CA1511" s="210"/>
      <c r="CB1511" s="210"/>
      <c r="CC1511" s="210"/>
      <c r="CD1511" s="210"/>
      <c r="CE1511" s="210"/>
      <c r="CF1511" s="210"/>
      <c r="CG1511" s="210"/>
      <c r="CH1511" s="210"/>
      <c r="CI1511" s="210"/>
      <c r="CJ1511" s="210"/>
      <c r="CK1511" s="210"/>
    </row>
    <row r="1512">
      <c r="A1512" s="220"/>
      <c r="F1512" s="190"/>
      <c r="G1512" s="190"/>
      <c r="L1512" s="220"/>
      <c r="M1512" s="220"/>
      <c r="O1512" s="210"/>
      <c r="P1512" s="210"/>
      <c r="Q1512" s="210"/>
      <c r="R1512" s="210"/>
      <c r="S1512" s="210"/>
      <c r="T1512" s="210"/>
      <c r="U1512" s="210"/>
      <c r="V1512" s="210"/>
      <c r="W1512" s="210"/>
      <c r="X1512" s="210"/>
      <c r="Y1512" s="210"/>
      <c r="Z1512" s="210"/>
      <c r="AA1512" s="210"/>
      <c r="AB1512" s="210"/>
      <c r="AC1512" s="210"/>
      <c r="AD1512" s="210"/>
      <c r="AE1512" s="210"/>
      <c r="AF1512" s="210"/>
      <c r="AG1512" s="210"/>
      <c r="AH1512" s="210"/>
      <c r="AI1512" s="210"/>
      <c r="AJ1512" s="210"/>
      <c r="AK1512" s="210"/>
      <c r="AL1512" s="210"/>
      <c r="AM1512" s="214"/>
      <c r="AN1512" s="210"/>
      <c r="AO1512" s="210"/>
      <c r="AP1512" s="210"/>
      <c r="AQ1512" s="210"/>
      <c r="AR1512" s="210"/>
      <c r="AS1512" s="210"/>
      <c r="AT1512" s="210"/>
      <c r="AU1512" s="210"/>
      <c r="AV1512" s="210"/>
      <c r="AW1512" s="210"/>
      <c r="AX1512" s="210"/>
      <c r="AY1512" s="210"/>
      <c r="AZ1512" s="210"/>
      <c r="BA1512" s="210"/>
      <c r="BB1512" s="210"/>
      <c r="BC1512" s="210"/>
      <c r="BD1512" s="210"/>
      <c r="BE1512" s="210"/>
      <c r="BF1512" s="210"/>
      <c r="BG1512" s="210"/>
      <c r="BH1512" s="210"/>
      <c r="BI1512" s="210"/>
      <c r="BJ1512" s="210"/>
      <c r="BK1512" s="210"/>
      <c r="BL1512" s="210"/>
      <c r="BM1512" s="210"/>
      <c r="BN1512" s="210"/>
      <c r="BO1512" s="210"/>
      <c r="BP1512" s="210"/>
      <c r="BQ1512" s="210"/>
      <c r="BR1512" s="210"/>
      <c r="BS1512" s="210"/>
      <c r="BT1512" s="210"/>
      <c r="BU1512" s="210"/>
      <c r="BV1512" s="210"/>
      <c r="BW1512" s="210"/>
      <c r="BX1512" s="210"/>
      <c r="BY1512" s="210"/>
      <c r="BZ1512" s="210"/>
      <c r="CA1512" s="210"/>
      <c r="CB1512" s="210"/>
      <c r="CC1512" s="210"/>
      <c r="CD1512" s="210"/>
      <c r="CE1512" s="210"/>
      <c r="CF1512" s="210"/>
      <c r="CG1512" s="210"/>
      <c r="CH1512" s="210"/>
      <c r="CI1512" s="210"/>
      <c r="CJ1512" s="210"/>
      <c r="CK1512" s="210"/>
    </row>
    <row r="1513">
      <c r="A1513" s="220"/>
      <c r="F1513" s="190"/>
      <c r="G1513" s="190"/>
      <c r="L1513" s="220"/>
      <c r="M1513" s="220"/>
      <c r="O1513" s="210"/>
      <c r="P1513" s="210"/>
      <c r="Q1513" s="210"/>
      <c r="R1513" s="210"/>
      <c r="S1513" s="210"/>
      <c r="T1513" s="210"/>
      <c r="U1513" s="210"/>
      <c r="V1513" s="210"/>
      <c r="W1513" s="210"/>
      <c r="X1513" s="210"/>
      <c r="Y1513" s="210"/>
      <c r="Z1513" s="210"/>
      <c r="AA1513" s="210"/>
      <c r="AB1513" s="210"/>
      <c r="AC1513" s="210"/>
      <c r="AD1513" s="210"/>
      <c r="AE1513" s="210"/>
      <c r="AF1513" s="210"/>
      <c r="AG1513" s="210"/>
      <c r="AH1513" s="210"/>
      <c r="AI1513" s="210"/>
      <c r="AJ1513" s="210"/>
      <c r="AK1513" s="210"/>
      <c r="AL1513" s="210"/>
      <c r="AM1513" s="214"/>
      <c r="AN1513" s="210"/>
      <c r="AO1513" s="210"/>
      <c r="AP1513" s="210"/>
      <c r="AQ1513" s="210"/>
      <c r="AR1513" s="210"/>
      <c r="AS1513" s="210"/>
      <c r="AT1513" s="210"/>
      <c r="AU1513" s="210"/>
      <c r="AV1513" s="210"/>
      <c r="AW1513" s="210"/>
      <c r="AX1513" s="210"/>
      <c r="AY1513" s="210"/>
      <c r="AZ1513" s="210"/>
      <c r="BA1513" s="210"/>
      <c r="BB1513" s="210"/>
      <c r="BC1513" s="210"/>
      <c r="BD1513" s="210"/>
      <c r="BE1513" s="210"/>
      <c r="BF1513" s="210"/>
      <c r="BG1513" s="210"/>
      <c r="BH1513" s="210"/>
      <c r="BI1513" s="210"/>
      <c r="BJ1513" s="210"/>
      <c r="BK1513" s="210"/>
      <c r="BL1513" s="210"/>
      <c r="BM1513" s="210"/>
      <c r="BN1513" s="210"/>
      <c r="BO1513" s="210"/>
      <c r="BP1513" s="210"/>
      <c r="BQ1513" s="210"/>
      <c r="BR1513" s="210"/>
      <c r="BS1513" s="210"/>
      <c r="BT1513" s="210"/>
      <c r="BU1513" s="210"/>
      <c r="BV1513" s="210"/>
      <c r="BW1513" s="210"/>
      <c r="BX1513" s="210"/>
      <c r="BY1513" s="210"/>
      <c r="BZ1513" s="210"/>
      <c r="CA1513" s="210"/>
      <c r="CB1513" s="210"/>
      <c r="CC1513" s="210"/>
      <c r="CD1513" s="210"/>
      <c r="CE1513" s="210"/>
      <c r="CF1513" s="210"/>
      <c r="CG1513" s="210"/>
      <c r="CH1513" s="210"/>
      <c r="CI1513" s="210"/>
      <c r="CJ1513" s="210"/>
      <c r="CK1513" s="210"/>
    </row>
    <row r="1514">
      <c r="A1514" s="220"/>
      <c r="F1514" s="190"/>
      <c r="G1514" s="190"/>
      <c r="L1514" s="220"/>
      <c r="M1514" s="220"/>
      <c r="O1514" s="210"/>
      <c r="P1514" s="210"/>
      <c r="Q1514" s="210"/>
      <c r="R1514" s="210"/>
      <c r="S1514" s="210"/>
      <c r="T1514" s="210"/>
      <c r="U1514" s="210"/>
      <c r="V1514" s="210"/>
      <c r="W1514" s="210"/>
      <c r="X1514" s="210"/>
      <c r="Y1514" s="210"/>
      <c r="Z1514" s="210"/>
      <c r="AA1514" s="210"/>
      <c r="AB1514" s="210"/>
      <c r="AC1514" s="210"/>
      <c r="AD1514" s="210"/>
      <c r="AE1514" s="210"/>
      <c r="AF1514" s="210"/>
      <c r="AG1514" s="210"/>
      <c r="AH1514" s="210"/>
      <c r="AI1514" s="210"/>
      <c r="AJ1514" s="210"/>
      <c r="AK1514" s="210"/>
      <c r="AL1514" s="210"/>
      <c r="AM1514" s="214"/>
      <c r="AN1514" s="210"/>
      <c r="AO1514" s="210"/>
      <c r="AP1514" s="210"/>
      <c r="AQ1514" s="210"/>
      <c r="AR1514" s="210"/>
      <c r="AS1514" s="210"/>
      <c r="AT1514" s="210"/>
      <c r="AU1514" s="210"/>
      <c r="AV1514" s="210"/>
      <c r="AW1514" s="210"/>
      <c r="AX1514" s="210"/>
      <c r="AY1514" s="210"/>
      <c r="AZ1514" s="210"/>
      <c r="BA1514" s="210"/>
      <c r="BB1514" s="210"/>
      <c r="BC1514" s="210"/>
      <c r="BD1514" s="210"/>
      <c r="BE1514" s="210"/>
      <c r="BF1514" s="210"/>
      <c r="BG1514" s="210"/>
      <c r="BH1514" s="210"/>
      <c r="BI1514" s="210"/>
      <c r="BJ1514" s="210"/>
      <c r="BK1514" s="210"/>
      <c r="BL1514" s="210"/>
      <c r="BM1514" s="210"/>
      <c r="BN1514" s="210"/>
      <c r="BO1514" s="210"/>
      <c r="BP1514" s="210"/>
      <c r="BQ1514" s="210"/>
      <c r="BR1514" s="210"/>
      <c r="BS1514" s="210"/>
      <c r="BT1514" s="210"/>
      <c r="BU1514" s="210"/>
      <c r="BV1514" s="210"/>
      <c r="BW1514" s="210"/>
      <c r="BX1514" s="210"/>
      <c r="BY1514" s="210"/>
      <c r="BZ1514" s="210"/>
      <c r="CA1514" s="210"/>
      <c r="CB1514" s="210"/>
      <c r="CC1514" s="210"/>
      <c r="CD1514" s="210"/>
      <c r="CE1514" s="210"/>
      <c r="CF1514" s="210"/>
      <c r="CG1514" s="210"/>
      <c r="CH1514" s="210"/>
      <c r="CI1514" s="210"/>
      <c r="CJ1514" s="210"/>
      <c r="CK1514" s="210"/>
    </row>
    <row r="1515">
      <c r="A1515" s="220"/>
      <c r="F1515" s="190"/>
      <c r="G1515" s="190"/>
      <c r="L1515" s="220"/>
      <c r="M1515" s="220"/>
      <c r="O1515" s="210"/>
      <c r="P1515" s="210"/>
      <c r="Q1515" s="210"/>
      <c r="R1515" s="210"/>
      <c r="S1515" s="210"/>
      <c r="T1515" s="210"/>
      <c r="U1515" s="210"/>
      <c r="V1515" s="210"/>
      <c r="W1515" s="210"/>
      <c r="X1515" s="210"/>
      <c r="Y1515" s="210"/>
      <c r="Z1515" s="210"/>
      <c r="AA1515" s="210"/>
      <c r="AB1515" s="210"/>
      <c r="AC1515" s="210"/>
      <c r="AD1515" s="210"/>
      <c r="AE1515" s="210"/>
      <c r="AF1515" s="210"/>
      <c r="AG1515" s="210"/>
      <c r="AH1515" s="210"/>
      <c r="AI1515" s="210"/>
      <c r="AJ1515" s="210"/>
      <c r="AK1515" s="210"/>
      <c r="AL1515" s="210"/>
      <c r="AM1515" s="214"/>
      <c r="AN1515" s="210"/>
      <c r="AO1515" s="210"/>
      <c r="AP1515" s="210"/>
      <c r="AQ1515" s="210"/>
      <c r="AR1515" s="210"/>
      <c r="AS1515" s="210"/>
      <c r="AT1515" s="210"/>
      <c r="AU1515" s="210"/>
      <c r="AV1515" s="210"/>
      <c r="AW1515" s="210"/>
      <c r="AX1515" s="210"/>
      <c r="AY1515" s="210"/>
      <c r="AZ1515" s="210"/>
      <c r="BA1515" s="210"/>
      <c r="BB1515" s="210"/>
      <c r="BC1515" s="210"/>
      <c r="BD1515" s="210"/>
      <c r="BE1515" s="210"/>
      <c r="BF1515" s="210"/>
      <c r="BG1515" s="210"/>
      <c r="BH1515" s="210"/>
      <c r="BI1515" s="210"/>
      <c r="BJ1515" s="210"/>
      <c r="BK1515" s="210"/>
      <c r="BL1515" s="210"/>
      <c r="BM1515" s="210"/>
      <c r="BN1515" s="210"/>
      <c r="BO1515" s="210"/>
      <c r="BP1515" s="210"/>
      <c r="BQ1515" s="210"/>
      <c r="BR1515" s="210"/>
      <c r="BS1515" s="210"/>
      <c r="BT1515" s="210"/>
      <c r="BU1515" s="210"/>
      <c r="BV1515" s="210"/>
      <c r="BW1515" s="210"/>
      <c r="BX1515" s="210"/>
      <c r="BY1515" s="210"/>
      <c r="BZ1515" s="210"/>
      <c r="CA1515" s="210"/>
      <c r="CB1515" s="210"/>
      <c r="CC1515" s="210"/>
      <c r="CD1515" s="210"/>
      <c r="CE1515" s="210"/>
      <c r="CF1515" s="210"/>
      <c r="CG1515" s="210"/>
      <c r="CH1515" s="210"/>
      <c r="CI1515" s="210"/>
      <c r="CJ1515" s="210"/>
      <c r="CK1515" s="210"/>
    </row>
    <row r="1516">
      <c r="A1516" s="220"/>
      <c r="F1516" s="190"/>
      <c r="G1516" s="190"/>
      <c r="L1516" s="220"/>
      <c r="M1516" s="220"/>
      <c r="O1516" s="210"/>
      <c r="P1516" s="210"/>
      <c r="Q1516" s="210"/>
      <c r="R1516" s="210"/>
      <c r="S1516" s="210"/>
      <c r="T1516" s="210"/>
      <c r="U1516" s="210"/>
      <c r="V1516" s="210"/>
      <c r="W1516" s="210"/>
      <c r="X1516" s="210"/>
      <c r="Y1516" s="210"/>
      <c r="Z1516" s="210"/>
      <c r="AA1516" s="210"/>
      <c r="AB1516" s="210"/>
      <c r="AC1516" s="210"/>
      <c r="AD1516" s="210"/>
      <c r="AE1516" s="210"/>
      <c r="AF1516" s="210"/>
      <c r="AG1516" s="210"/>
      <c r="AH1516" s="210"/>
      <c r="AI1516" s="210"/>
      <c r="AJ1516" s="210"/>
      <c r="AK1516" s="210"/>
      <c r="AL1516" s="210"/>
      <c r="AM1516" s="214"/>
      <c r="AN1516" s="210"/>
      <c r="AO1516" s="210"/>
      <c r="AP1516" s="210"/>
      <c r="AQ1516" s="210"/>
      <c r="AR1516" s="210"/>
      <c r="AS1516" s="210"/>
      <c r="AT1516" s="210"/>
      <c r="AU1516" s="210"/>
      <c r="AV1516" s="210"/>
      <c r="AW1516" s="210"/>
      <c r="AX1516" s="210"/>
      <c r="AY1516" s="210"/>
      <c r="AZ1516" s="210"/>
      <c r="BA1516" s="210"/>
      <c r="BB1516" s="210"/>
      <c r="BC1516" s="210"/>
      <c r="BD1516" s="210"/>
      <c r="BE1516" s="210"/>
      <c r="BF1516" s="210"/>
      <c r="BG1516" s="210"/>
      <c r="BH1516" s="210"/>
      <c r="BI1516" s="210"/>
      <c r="BJ1516" s="210"/>
      <c r="BK1516" s="210"/>
      <c r="BL1516" s="210"/>
      <c r="BM1516" s="210"/>
      <c r="BN1516" s="210"/>
      <c r="BO1516" s="210"/>
      <c r="BP1516" s="210"/>
      <c r="BQ1516" s="210"/>
      <c r="BR1516" s="210"/>
      <c r="BS1516" s="210"/>
      <c r="BT1516" s="210"/>
      <c r="BU1516" s="210"/>
      <c r="BV1516" s="210"/>
      <c r="BW1516" s="210"/>
      <c r="BX1516" s="210"/>
      <c r="BY1516" s="210"/>
      <c r="BZ1516" s="210"/>
      <c r="CA1516" s="210"/>
      <c r="CB1516" s="210"/>
      <c r="CC1516" s="210"/>
      <c r="CD1516" s="210"/>
      <c r="CE1516" s="210"/>
      <c r="CF1516" s="210"/>
      <c r="CG1516" s="210"/>
      <c r="CH1516" s="210"/>
      <c r="CI1516" s="210"/>
      <c r="CJ1516" s="210"/>
      <c r="CK1516" s="210"/>
    </row>
    <row r="1517">
      <c r="A1517" s="220"/>
      <c r="F1517" s="190"/>
      <c r="G1517" s="190"/>
      <c r="L1517" s="220"/>
      <c r="M1517" s="220"/>
      <c r="O1517" s="210"/>
      <c r="P1517" s="210"/>
      <c r="Q1517" s="210"/>
      <c r="R1517" s="210"/>
      <c r="S1517" s="210"/>
      <c r="T1517" s="210"/>
      <c r="U1517" s="210"/>
      <c r="V1517" s="210"/>
      <c r="W1517" s="210"/>
      <c r="X1517" s="210"/>
      <c r="Y1517" s="210"/>
      <c r="Z1517" s="210"/>
      <c r="AA1517" s="210"/>
      <c r="AB1517" s="210"/>
      <c r="AC1517" s="210"/>
      <c r="AD1517" s="210"/>
      <c r="AE1517" s="210"/>
      <c r="AF1517" s="210"/>
      <c r="AG1517" s="210"/>
      <c r="AH1517" s="210"/>
      <c r="AI1517" s="210"/>
      <c r="AJ1517" s="210"/>
      <c r="AK1517" s="210"/>
      <c r="AL1517" s="210"/>
      <c r="AM1517" s="214"/>
      <c r="AN1517" s="210"/>
      <c r="AO1517" s="210"/>
      <c r="AP1517" s="210"/>
      <c r="AQ1517" s="210"/>
      <c r="AR1517" s="210"/>
      <c r="AS1517" s="210"/>
      <c r="AT1517" s="210"/>
      <c r="AU1517" s="210"/>
      <c r="AV1517" s="210"/>
      <c r="AW1517" s="210"/>
      <c r="AX1517" s="210"/>
      <c r="AY1517" s="210"/>
      <c r="AZ1517" s="210"/>
      <c r="BA1517" s="210"/>
      <c r="BB1517" s="210"/>
      <c r="BC1517" s="210"/>
      <c r="BD1517" s="210"/>
      <c r="BE1517" s="210"/>
      <c r="BF1517" s="210"/>
      <c r="BG1517" s="210"/>
      <c r="BH1517" s="210"/>
      <c r="BI1517" s="210"/>
      <c r="BJ1517" s="210"/>
      <c r="BK1517" s="210"/>
      <c r="BL1517" s="210"/>
      <c r="BM1517" s="210"/>
      <c r="BN1517" s="210"/>
      <c r="BO1517" s="210"/>
      <c r="BP1517" s="210"/>
      <c r="BQ1517" s="210"/>
      <c r="BR1517" s="210"/>
      <c r="BS1517" s="210"/>
      <c r="BT1517" s="210"/>
      <c r="BU1517" s="210"/>
      <c r="BV1517" s="210"/>
      <c r="BW1517" s="210"/>
      <c r="BX1517" s="210"/>
      <c r="BY1517" s="210"/>
      <c r="BZ1517" s="210"/>
      <c r="CA1517" s="210"/>
      <c r="CB1517" s="210"/>
      <c r="CC1517" s="210"/>
      <c r="CD1517" s="210"/>
      <c r="CE1517" s="210"/>
      <c r="CF1517" s="210"/>
      <c r="CG1517" s="210"/>
      <c r="CH1517" s="210"/>
      <c r="CI1517" s="210"/>
      <c r="CJ1517" s="210"/>
      <c r="CK1517" s="210"/>
    </row>
    <row r="1518">
      <c r="A1518" s="220"/>
      <c r="F1518" s="190"/>
      <c r="G1518" s="190"/>
      <c r="L1518" s="220"/>
      <c r="M1518" s="220"/>
      <c r="O1518" s="210"/>
      <c r="P1518" s="210"/>
      <c r="Q1518" s="210"/>
      <c r="R1518" s="210"/>
      <c r="S1518" s="210"/>
      <c r="T1518" s="210"/>
      <c r="U1518" s="210"/>
      <c r="V1518" s="210"/>
      <c r="W1518" s="210"/>
      <c r="X1518" s="210"/>
      <c r="Y1518" s="210"/>
      <c r="Z1518" s="210"/>
      <c r="AA1518" s="210"/>
      <c r="AB1518" s="210"/>
      <c r="AC1518" s="210"/>
      <c r="AD1518" s="210"/>
      <c r="AE1518" s="210"/>
      <c r="AF1518" s="210"/>
      <c r="AG1518" s="210"/>
      <c r="AH1518" s="210"/>
      <c r="AI1518" s="210"/>
      <c r="AJ1518" s="210"/>
      <c r="AK1518" s="210"/>
      <c r="AL1518" s="210"/>
      <c r="AM1518" s="214"/>
      <c r="AN1518" s="210"/>
      <c r="AO1518" s="210"/>
      <c r="AP1518" s="210"/>
      <c r="AQ1518" s="210"/>
      <c r="AR1518" s="210"/>
      <c r="AS1518" s="210"/>
      <c r="AT1518" s="210"/>
      <c r="AU1518" s="210"/>
      <c r="AV1518" s="210"/>
      <c r="AW1518" s="210"/>
      <c r="AX1518" s="210"/>
      <c r="AY1518" s="210"/>
      <c r="AZ1518" s="210"/>
      <c r="BA1518" s="210"/>
      <c r="BB1518" s="210"/>
      <c r="BC1518" s="210"/>
      <c r="BD1518" s="210"/>
      <c r="BE1518" s="210"/>
      <c r="BF1518" s="210"/>
      <c r="BG1518" s="210"/>
      <c r="BH1518" s="210"/>
      <c r="BI1518" s="210"/>
      <c r="BJ1518" s="210"/>
      <c r="BK1518" s="210"/>
      <c r="BL1518" s="210"/>
      <c r="BM1518" s="210"/>
      <c r="BN1518" s="210"/>
      <c r="BO1518" s="210"/>
      <c r="BP1518" s="210"/>
      <c r="BQ1518" s="210"/>
      <c r="BR1518" s="210"/>
      <c r="BS1518" s="210"/>
      <c r="BT1518" s="210"/>
      <c r="BU1518" s="210"/>
      <c r="BV1518" s="210"/>
      <c r="BW1518" s="210"/>
      <c r="BX1518" s="210"/>
      <c r="BY1518" s="210"/>
      <c r="BZ1518" s="210"/>
      <c r="CA1518" s="210"/>
      <c r="CB1518" s="210"/>
      <c r="CC1518" s="210"/>
      <c r="CD1518" s="210"/>
      <c r="CE1518" s="210"/>
      <c r="CF1518" s="210"/>
      <c r="CG1518" s="210"/>
      <c r="CH1518" s="210"/>
      <c r="CI1518" s="210"/>
      <c r="CJ1518" s="210"/>
      <c r="CK1518" s="210"/>
    </row>
    <row r="1519">
      <c r="A1519" s="220"/>
      <c r="F1519" s="190"/>
      <c r="G1519" s="190"/>
      <c r="L1519" s="220"/>
      <c r="M1519" s="220"/>
      <c r="O1519" s="210"/>
      <c r="P1519" s="210"/>
      <c r="Q1519" s="210"/>
      <c r="R1519" s="210"/>
      <c r="S1519" s="210"/>
      <c r="T1519" s="210"/>
      <c r="U1519" s="210"/>
      <c r="V1519" s="210"/>
      <c r="W1519" s="210"/>
      <c r="X1519" s="210"/>
      <c r="Y1519" s="210"/>
      <c r="Z1519" s="210"/>
      <c r="AA1519" s="210"/>
      <c r="AB1519" s="210"/>
      <c r="AC1519" s="210"/>
      <c r="AD1519" s="210"/>
      <c r="AE1519" s="210"/>
      <c r="AF1519" s="210"/>
      <c r="AG1519" s="210"/>
      <c r="AH1519" s="210"/>
      <c r="AI1519" s="210"/>
      <c r="AJ1519" s="210"/>
      <c r="AK1519" s="210"/>
      <c r="AL1519" s="210"/>
      <c r="AM1519" s="214"/>
      <c r="AN1519" s="210"/>
      <c r="AO1519" s="210"/>
      <c r="AP1519" s="210"/>
      <c r="AQ1519" s="210"/>
      <c r="AR1519" s="210"/>
      <c r="AS1519" s="210"/>
      <c r="AT1519" s="210"/>
      <c r="AU1519" s="210"/>
      <c r="AV1519" s="210"/>
      <c r="AW1519" s="210"/>
      <c r="AX1519" s="210"/>
      <c r="AY1519" s="210"/>
      <c r="AZ1519" s="210"/>
      <c r="BA1519" s="210"/>
      <c r="BB1519" s="210"/>
      <c r="BC1519" s="210"/>
      <c r="BD1519" s="210"/>
      <c r="BE1519" s="210"/>
      <c r="BF1519" s="210"/>
      <c r="BG1519" s="210"/>
      <c r="BH1519" s="210"/>
      <c r="BI1519" s="210"/>
      <c r="BJ1519" s="210"/>
      <c r="BK1519" s="210"/>
      <c r="BL1519" s="210"/>
      <c r="BM1519" s="210"/>
      <c r="BN1519" s="210"/>
      <c r="BO1519" s="210"/>
      <c r="BP1519" s="210"/>
      <c r="BQ1519" s="210"/>
      <c r="BR1519" s="210"/>
      <c r="BS1519" s="210"/>
      <c r="BT1519" s="210"/>
      <c r="BU1519" s="210"/>
      <c r="BV1519" s="210"/>
      <c r="BW1519" s="210"/>
      <c r="BX1519" s="210"/>
      <c r="BY1519" s="210"/>
      <c r="BZ1519" s="210"/>
      <c r="CA1519" s="210"/>
      <c r="CB1519" s="210"/>
      <c r="CC1519" s="210"/>
      <c r="CD1519" s="210"/>
      <c r="CE1519" s="210"/>
      <c r="CF1519" s="210"/>
      <c r="CG1519" s="210"/>
      <c r="CH1519" s="210"/>
      <c r="CI1519" s="210"/>
      <c r="CJ1519" s="210"/>
      <c r="CK1519" s="210"/>
    </row>
    <row r="1520">
      <c r="A1520" s="220"/>
      <c r="F1520" s="190"/>
      <c r="G1520" s="190"/>
      <c r="L1520" s="220"/>
      <c r="M1520" s="220"/>
      <c r="O1520" s="210"/>
      <c r="P1520" s="210"/>
      <c r="Q1520" s="210"/>
      <c r="R1520" s="210"/>
      <c r="S1520" s="210"/>
      <c r="T1520" s="210"/>
      <c r="U1520" s="210"/>
      <c r="V1520" s="210"/>
      <c r="W1520" s="210"/>
      <c r="X1520" s="210"/>
      <c r="Y1520" s="210"/>
      <c r="Z1520" s="210"/>
      <c r="AA1520" s="210"/>
      <c r="AB1520" s="210"/>
      <c r="AC1520" s="210"/>
      <c r="AD1520" s="210"/>
      <c r="AE1520" s="210"/>
      <c r="AF1520" s="210"/>
      <c r="AG1520" s="210"/>
      <c r="AH1520" s="210"/>
      <c r="AI1520" s="210"/>
      <c r="AJ1520" s="210"/>
      <c r="AK1520" s="210"/>
      <c r="AL1520" s="210"/>
      <c r="AM1520" s="214"/>
      <c r="AN1520" s="210"/>
      <c r="AO1520" s="210"/>
      <c r="AP1520" s="210"/>
      <c r="AQ1520" s="210"/>
      <c r="AR1520" s="210"/>
      <c r="AS1520" s="210"/>
      <c r="AT1520" s="210"/>
      <c r="AU1520" s="210"/>
      <c r="AV1520" s="210"/>
      <c r="AW1520" s="210"/>
      <c r="AX1520" s="210"/>
      <c r="AY1520" s="210"/>
      <c r="AZ1520" s="210"/>
      <c r="BA1520" s="210"/>
      <c r="BB1520" s="210"/>
      <c r="BC1520" s="210"/>
      <c r="BD1520" s="210"/>
      <c r="BE1520" s="210"/>
      <c r="BF1520" s="210"/>
      <c r="BG1520" s="210"/>
      <c r="BH1520" s="210"/>
      <c r="BI1520" s="210"/>
      <c r="BJ1520" s="210"/>
      <c r="BK1520" s="210"/>
      <c r="BL1520" s="210"/>
      <c r="BM1520" s="210"/>
      <c r="BN1520" s="210"/>
      <c r="BO1520" s="210"/>
      <c r="BP1520" s="210"/>
      <c r="BQ1520" s="210"/>
      <c r="BR1520" s="210"/>
      <c r="BS1520" s="210"/>
      <c r="BT1520" s="210"/>
      <c r="BU1520" s="210"/>
      <c r="BV1520" s="210"/>
      <c r="BW1520" s="210"/>
      <c r="BX1520" s="210"/>
      <c r="BY1520" s="210"/>
      <c r="BZ1520" s="210"/>
      <c r="CA1520" s="210"/>
      <c r="CB1520" s="210"/>
      <c r="CC1520" s="210"/>
      <c r="CD1520" s="210"/>
      <c r="CE1520" s="210"/>
      <c r="CF1520" s="210"/>
      <c r="CG1520" s="210"/>
      <c r="CH1520" s="210"/>
      <c r="CI1520" s="210"/>
      <c r="CJ1520" s="210"/>
      <c r="CK1520" s="210"/>
    </row>
    <row r="1521">
      <c r="A1521" s="220"/>
      <c r="F1521" s="190"/>
      <c r="G1521" s="190"/>
      <c r="L1521" s="220"/>
      <c r="M1521" s="220"/>
      <c r="O1521" s="210"/>
      <c r="P1521" s="210"/>
      <c r="Q1521" s="210"/>
      <c r="R1521" s="210"/>
      <c r="S1521" s="210"/>
      <c r="T1521" s="210"/>
      <c r="U1521" s="210"/>
      <c r="V1521" s="210"/>
      <c r="W1521" s="210"/>
      <c r="X1521" s="210"/>
      <c r="Y1521" s="210"/>
      <c r="Z1521" s="210"/>
      <c r="AA1521" s="210"/>
      <c r="AB1521" s="210"/>
      <c r="AC1521" s="210"/>
      <c r="AD1521" s="210"/>
      <c r="AE1521" s="210"/>
      <c r="AF1521" s="210"/>
      <c r="AG1521" s="210"/>
      <c r="AH1521" s="210"/>
      <c r="AI1521" s="210"/>
      <c r="AJ1521" s="210"/>
      <c r="AK1521" s="210"/>
      <c r="AL1521" s="210"/>
      <c r="AM1521" s="214"/>
      <c r="AN1521" s="210"/>
      <c r="AO1521" s="210"/>
      <c r="AP1521" s="210"/>
      <c r="AQ1521" s="210"/>
      <c r="AR1521" s="210"/>
      <c r="AS1521" s="210"/>
      <c r="AT1521" s="210"/>
      <c r="AU1521" s="210"/>
      <c r="AV1521" s="210"/>
      <c r="AW1521" s="210"/>
      <c r="AX1521" s="210"/>
      <c r="AY1521" s="210"/>
      <c r="AZ1521" s="210"/>
      <c r="BA1521" s="210"/>
      <c r="BB1521" s="210"/>
      <c r="BC1521" s="210"/>
      <c r="BD1521" s="210"/>
      <c r="BE1521" s="210"/>
      <c r="BF1521" s="210"/>
      <c r="BG1521" s="210"/>
      <c r="BH1521" s="210"/>
      <c r="BI1521" s="210"/>
      <c r="BJ1521" s="210"/>
      <c r="BK1521" s="210"/>
      <c r="BL1521" s="210"/>
      <c r="BM1521" s="210"/>
      <c r="BN1521" s="210"/>
      <c r="BO1521" s="210"/>
      <c r="BP1521" s="210"/>
      <c r="BQ1521" s="210"/>
      <c r="BR1521" s="210"/>
      <c r="BS1521" s="210"/>
      <c r="BT1521" s="210"/>
      <c r="BU1521" s="210"/>
      <c r="BV1521" s="210"/>
      <c r="BW1521" s="210"/>
      <c r="BX1521" s="210"/>
      <c r="BY1521" s="210"/>
      <c r="BZ1521" s="210"/>
      <c r="CA1521" s="210"/>
      <c r="CB1521" s="210"/>
      <c r="CC1521" s="210"/>
      <c r="CD1521" s="210"/>
      <c r="CE1521" s="210"/>
      <c r="CF1521" s="210"/>
      <c r="CG1521" s="210"/>
      <c r="CH1521" s="210"/>
      <c r="CI1521" s="210"/>
      <c r="CJ1521" s="210"/>
      <c r="CK1521" s="210"/>
    </row>
    <row r="1522">
      <c r="A1522" s="220"/>
      <c r="F1522" s="190"/>
      <c r="G1522" s="190"/>
      <c r="L1522" s="220"/>
      <c r="M1522" s="220"/>
      <c r="O1522" s="210"/>
      <c r="P1522" s="210"/>
      <c r="Q1522" s="210"/>
      <c r="R1522" s="210"/>
      <c r="S1522" s="210"/>
      <c r="T1522" s="210"/>
      <c r="U1522" s="210"/>
      <c r="V1522" s="210"/>
      <c r="W1522" s="210"/>
      <c r="X1522" s="210"/>
      <c r="Y1522" s="210"/>
      <c r="Z1522" s="210"/>
      <c r="AA1522" s="210"/>
      <c r="AB1522" s="210"/>
      <c r="AC1522" s="210"/>
      <c r="AD1522" s="210"/>
      <c r="AE1522" s="210"/>
      <c r="AF1522" s="210"/>
      <c r="AG1522" s="210"/>
      <c r="AH1522" s="210"/>
      <c r="AI1522" s="210"/>
      <c r="AJ1522" s="210"/>
      <c r="AK1522" s="210"/>
      <c r="AL1522" s="210"/>
      <c r="AM1522" s="214"/>
      <c r="AN1522" s="210"/>
      <c r="AO1522" s="210"/>
      <c r="AP1522" s="210"/>
      <c r="AQ1522" s="210"/>
      <c r="AR1522" s="210"/>
      <c r="AS1522" s="210"/>
      <c r="AT1522" s="210"/>
      <c r="AU1522" s="210"/>
      <c r="AV1522" s="210"/>
      <c r="AW1522" s="210"/>
      <c r="AX1522" s="210"/>
      <c r="AY1522" s="210"/>
      <c r="AZ1522" s="210"/>
      <c r="BA1522" s="210"/>
      <c r="BB1522" s="210"/>
      <c r="BC1522" s="210"/>
      <c r="BD1522" s="210"/>
      <c r="BE1522" s="210"/>
      <c r="BF1522" s="210"/>
      <c r="BG1522" s="210"/>
      <c r="BH1522" s="210"/>
      <c r="BI1522" s="210"/>
      <c r="BJ1522" s="210"/>
      <c r="BK1522" s="210"/>
      <c r="BL1522" s="210"/>
      <c r="BM1522" s="210"/>
      <c r="BN1522" s="210"/>
      <c r="BO1522" s="210"/>
      <c r="BP1522" s="210"/>
      <c r="BQ1522" s="210"/>
      <c r="BR1522" s="210"/>
      <c r="BS1522" s="210"/>
      <c r="BT1522" s="210"/>
      <c r="BU1522" s="210"/>
      <c r="BV1522" s="210"/>
      <c r="BW1522" s="210"/>
      <c r="BX1522" s="210"/>
      <c r="BY1522" s="210"/>
      <c r="BZ1522" s="210"/>
      <c r="CA1522" s="210"/>
      <c r="CB1522" s="210"/>
      <c r="CC1522" s="210"/>
      <c r="CD1522" s="210"/>
      <c r="CE1522" s="210"/>
      <c r="CF1522" s="210"/>
      <c r="CG1522" s="210"/>
      <c r="CH1522" s="210"/>
      <c r="CI1522" s="210"/>
      <c r="CJ1522" s="210"/>
      <c r="CK1522" s="210"/>
    </row>
    <row r="1523">
      <c r="A1523" s="220"/>
      <c r="F1523" s="190"/>
      <c r="G1523" s="190"/>
      <c r="L1523" s="220"/>
      <c r="M1523" s="220"/>
      <c r="O1523" s="210"/>
      <c r="P1523" s="210"/>
      <c r="Q1523" s="210"/>
      <c r="R1523" s="210"/>
      <c r="S1523" s="210"/>
      <c r="T1523" s="210"/>
      <c r="U1523" s="210"/>
      <c r="V1523" s="210"/>
      <c r="W1523" s="210"/>
      <c r="X1523" s="210"/>
      <c r="Y1523" s="210"/>
      <c r="Z1523" s="210"/>
      <c r="AA1523" s="210"/>
      <c r="AB1523" s="210"/>
      <c r="AC1523" s="210"/>
      <c r="AD1523" s="210"/>
      <c r="AE1523" s="210"/>
      <c r="AF1523" s="210"/>
      <c r="AG1523" s="210"/>
      <c r="AH1523" s="210"/>
      <c r="AI1523" s="210"/>
      <c r="AJ1523" s="210"/>
      <c r="AK1523" s="210"/>
      <c r="AL1523" s="210"/>
      <c r="AM1523" s="214"/>
      <c r="AN1523" s="210"/>
      <c r="AO1523" s="210"/>
      <c r="AP1523" s="210"/>
      <c r="AQ1523" s="210"/>
      <c r="AR1523" s="210"/>
      <c r="AS1523" s="210"/>
      <c r="AT1523" s="210"/>
      <c r="AU1523" s="210"/>
      <c r="AV1523" s="210"/>
      <c r="AW1523" s="210"/>
      <c r="AX1523" s="210"/>
      <c r="AY1523" s="210"/>
      <c r="AZ1523" s="210"/>
      <c r="BA1523" s="210"/>
      <c r="BB1523" s="210"/>
      <c r="BC1523" s="210"/>
      <c r="BD1523" s="210"/>
      <c r="BE1523" s="210"/>
      <c r="BF1523" s="210"/>
      <c r="BG1523" s="210"/>
      <c r="BH1523" s="210"/>
      <c r="BI1523" s="210"/>
      <c r="BJ1523" s="210"/>
      <c r="BK1523" s="210"/>
      <c r="BL1523" s="210"/>
      <c r="BM1523" s="210"/>
      <c r="BN1523" s="210"/>
      <c r="BO1523" s="210"/>
      <c r="BP1523" s="210"/>
      <c r="BQ1523" s="210"/>
      <c r="BR1523" s="210"/>
      <c r="BS1523" s="210"/>
      <c r="BT1523" s="210"/>
      <c r="BU1523" s="210"/>
      <c r="BV1523" s="210"/>
      <c r="BW1523" s="210"/>
      <c r="BX1523" s="210"/>
      <c r="BY1523" s="210"/>
      <c r="BZ1523" s="210"/>
      <c r="CA1523" s="210"/>
      <c r="CB1523" s="210"/>
      <c r="CC1523" s="210"/>
      <c r="CD1523" s="210"/>
      <c r="CE1523" s="210"/>
      <c r="CF1523" s="210"/>
      <c r="CG1523" s="210"/>
      <c r="CH1523" s="210"/>
      <c r="CI1523" s="210"/>
      <c r="CJ1523" s="210"/>
      <c r="CK1523" s="210"/>
    </row>
    <row r="1524">
      <c r="A1524" s="220"/>
      <c r="F1524" s="190"/>
      <c r="G1524" s="190"/>
      <c r="L1524" s="220"/>
      <c r="M1524" s="220"/>
      <c r="O1524" s="210"/>
      <c r="P1524" s="210"/>
      <c r="Q1524" s="210"/>
      <c r="R1524" s="210"/>
      <c r="S1524" s="210"/>
      <c r="T1524" s="210"/>
      <c r="U1524" s="210"/>
      <c r="V1524" s="210"/>
      <c r="W1524" s="210"/>
      <c r="X1524" s="210"/>
      <c r="Y1524" s="210"/>
      <c r="Z1524" s="210"/>
      <c r="AA1524" s="210"/>
      <c r="AB1524" s="210"/>
      <c r="AC1524" s="210"/>
      <c r="AD1524" s="210"/>
      <c r="AE1524" s="210"/>
      <c r="AF1524" s="210"/>
      <c r="AG1524" s="210"/>
      <c r="AH1524" s="210"/>
      <c r="AI1524" s="210"/>
      <c r="AJ1524" s="210"/>
      <c r="AK1524" s="210"/>
      <c r="AL1524" s="210"/>
      <c r="AM1524" s="214"/>
      <c r="AN1524" s="210"/>
      <c r="AO1524" s="210"/>
      <c r="AP1524" s="210"/>
      <c r="AQ1524" s="210"/>
      <c r="AR1524" s="210"/>
      <c r="AS1524" s="210"/>
      <c r="AT1524" s="210"/>
      <c r="AU1524" s="210"/>
      <c r="AV1524" s="210"/>
      <c r="AW1524" s="210"/>
      <c r="AX1524" s="210"/>
      <c r="AY1524" s="210"/>
      <c r="AZ1524" s="210"/>
      <c r="BA1524" s="210"/>
      <c r="BB1524" s="210"/>
      <c r="BC1524" s="210"/>
      <c r="BD1524" s="210"/>
      <c r="BE1524" s="210"/>
      <c r="BF1524" s="210"/>
      <c r="BG1524" s="210"/>
      <c r="BH1524" s="210"/>
      <c r="BI1524" s="210"/>
      <c r="BJ1524" s="210"/>
      <c r="BK1524" s="210"/>
      <c r="BL1524" s="210"/>
      <c r="BM1524" s="210"/>
      <c r="BN1524" s="210"/>
      <c r="BO1524" s="210"/>
      <c r="BP1524" s="210"/>
      <c r="BQ1524" s="210"/>
      <c r="BR1524" s="210"/>
      <c r="BS1524" s="210"/>
      <c r="BT1524" s="210"/>
      <c r="BU1524" s="210"/>
      <c r="BV1524" s="210"/>
      <c r="BW1524" s="210"/>
      <c r="BX1524" s="210"/>
      <c r="BY1524" s="210"/>
      <c r="BZ1524" s="210"/>
      <c r="CA1524" s="210"/>
      <c r="CB1524" s="210"/>
      <c r="CC1524" s="210"/>
      <c r="CD1524" s="210"/>
      <c r="CE1524" s="210"/>
      <c r="CF1524" s="210"/>
      <c r="CG1524" s="210"/>
      <c r="CH1524" s="210"/>
      <c r="CI1524" s="210"/>
      <c r="CJ1524" s="210"/>
      <c r="CK1524" s="210"/>
    </row>
    <row r="1525">
      <c r="A1525" s="220"/>
      <c r="F1525" s="190"/>
      <c r="G1525" s="190"/>
      <c r="L1525" s="220"/>
      <c r="M1525" s="220"/>
      <c r="O1525" s="210"/>
      <c r="P1525" s="210"/>
      <c r="Q1525" s="210"/>
      <c r="R1525" s="210"/>
      <c r="S1525" s="210"/>
      <c r="T1525" s="210"/>
      <c r="U1525" s="210"/>
      <c r="V1525" s="210"/>
      <c r="W1525" s="210"/>
      <c r="X1525" s="210"/>
      <c r="Y1525" s="210"/>
      <c r="Z1525" s="210"/>
      <c r="AA1525" s="210"/>
      <c r="AB1525" s="210"/>
      <c r="AC1525" s="210"/>
      <c r="AD1525" s="210"/>
      <c r="AE1525" s="210"/>
      <c r="AF1525" s="210"/>
      <c r="AG1525" s="210"/>
      <c r="AH1525" s="210"/>
      <c r="AI1525" s="210"/>
      <c r="AJ1525" s="210"/>
      <c r="AK1525" s="210"/>
      <c r="AL1525" s="210"/>
      <c r="AM1525" s="214"/>
      <c r="AN1525" s="210"/>
      <c r="AO1525" s="210"/>
      <c r="AP1525" s="210"/>
      <c r="AQ1525" s="210"/>
      <c r="AR1525" s="210"/>
      <c r="AS1525" s="210"/>
      <c r="AT1525" s="210"/>
      <c r="AU1525" s="210"/>
      <c r="AV1525" s="210"/>
      <c r="AW1525" s="210"/>
      <c r="AX1525" s="210"/>
      <c r="AY1525" s="210"/>
      <c r="AZ1525" s="210"/>
      <c r="BA1525" s="210"/>
      <c r="BB1525" s="210"/>
      <c r="BC1525" s="210"/>
      <c r="BD1525" s="210"/>
      <c r="BE1525" s="210"/>
      <c r="BF1525" s="210"/>
      <c r="BG1525" s="210"/>
      <c r="BH1525" s="210"/>
      <c r="BI1525" s="210"/>
      <c r="BJ1525" s="210"/>
      <c r="BK1525" s="210"/>
      <c r="BL1525" s="210"/>
      <c r="BM1525" s="210"/>
      <c r="BN1525" s="210"/>
      <c r="BO1525" s="210"/>
      <c r="BP1525" s="210"/>
      <c r="BQ1525" s="210"/>
      <c r="BR1525" s="210"/>
      <c r="BS1525" s="210"/>
      <c r="BT1525" s="210"/>
      <c r="BU1525" s="210"/>
      <c r="BV1525" s="210"/>
      <c r="BW1525" s="210"/>
      <c r="BX1525" s="210"/>
      <c r="BY1525" s="210"/>
      <c r="BZ1525" s="210"/>
      <c r="CA1525" s="210"/>
      <c r="CB1525" s="210"/>
      <c r="CC1525" s="210"/>
      <c r="CD1525" s="210"/>
      <c r="CE1525" s="210"/>
      <c r="CF1525" s="210"/>
      <c r="CG1525" s="210"/>
      <c r="CH1525" s="210"/>
      <c r="CI1525" s="210"/>
      <c r="CJ1525" s="210"/>
      <c r="CK1525" s="210"/>
    </row>
    <row r="1526">
      <c r="A1526" s="220"/>
      <c r="F1526" s="190"/>
      <c r="G1526" s="190"/>
      <c r="L1526" s="220"/>
      <c r="M1526" s="220"/>
      <c r="O1526" s="210"/>
      <c r="P1526" s="210"/>
      <c r="Q1526" s="210"/>
      <c r="R1526" s="210"/>
      <c r="S1526" s="210"/>
      <c r="T1526" s="210"/>
      <c r="U1526" s="210"/>
      <c r="V1526" s="210"/>
      <c r="W1526" s="210"/>
      <c r="X1526" s="210"/>
      <c r="Y1526" s="210"/>
      <c r="Z1526" s="210"/>
      <c r="AA1526" s="210"/>
      <c r="AB1526" s="210"/>
      <c r="AC1526" s="210"/>
      <c r="AD1526" s="210"/>
      <c r="AE1526" s="210"/>
      <c r="AF1526" s="210"/>
      <c r="AG1526" s="210"/>
      <c r="AH1526" s="210"/>
      <c r="AI1526" s="210"/>
      <c r="AJ1526" s="210"/>
      <c r="AK1526" s="210"/>
      <c r="AL1526" s="210"/>
      <c r="AM1526" s="214"/>
      <c r="AN1526" s="210"/>
      <c r="AO1526" s="210"/>
      <c r="AP1526" s="210"/>
      <c r="AQ1526" s="210"/>
      <c r="AR1526" s="210"/>
      <c r="AS1526" s="210"/>
      <c r="AT1526" s="210"/>
      <c r="AU1526" s="210"/>
      <c r="AV1526" s="210"/>
      <c r="AW1526" s="210"/>
      <c r="AX1526" s="210"/>
      <c r="AY1526" s="210"/>
      <c r="AZ1526" s="210"/>
      <c r="BA1526" s="210"/>
      <c r="BB1526" s="210"/>
      <c r="BC1526" s="210"/>
      <c r="BD1526" s="210"/>
      <c r="BE1526" s="210"/>
      <c r="BF1526" s="210"/>
      <c r="BG1526" s="210"/>
      <c r="BH1526" s="210"/>
      <c r="BI1526" s="210"/>
      <c r="BJ1526" s="210"/>
      <c r="BK1526" s="210"/>
      <c r="BL1526" s="210"/>
      <c r="BM1526" s="210"/>
      <c r="BN1526" s="210"/>
      <c r="BO1526" s="210"/>
      <c r="BP1526" s="210"/>
      <c r="BQ1526" s="210"/>
      <c r="BR1526" s="210"/>
      <c r="BS1526" s="210"/>
      <c r="BT1526" s="210"/>
      <c r="BU1526" s="210"/>
      <c r="BV1526" s="210"/>
      <c r="BW1526" s="210"/>
      <c r="BX1526" s="210"/>
      <c r="BY1526" s="210"/>
      <c r="BZ1526" s="210"/>
      <c r="CA1526" s="210"/>
      <c r="CB1526" s="210"/>
      <c r="CC1526" s="210"/>
      <c r="CD1526" s="210"/>
      <c r="CE1526" s="210"/>
      <c r="CF1526" s="210"/>
      <c r="CG1526" s="210"/>
      <c r="CH1526" s="210"/>
      <c r="CI1526" s="210"/>
      <c r="CJ1526" s="210"/>
      <c r="CK1526" s="210"/>
    </row>
    <row r="1527">
      <c r="A1527" s="220"/>
      <c r="F1527" s="190"/>
      <c r="G1527" s="190"/>
      <c r="L1527" s="220"/>
      <c r="M1527" s="220"/>
      <c r="O1527" s="210"/>
      <c r="P1527" s="210"/>
      <c r="Q1527" s="210"/>
      <c r="R1527" s="210"/>
      <c r="S1527" s="210"/>
      <c r="T1527" s="210"/>
      <c r="U1527" s="210"/>
      <c r="V1527" s="210"/>
      <c r="W1527" s="210"/>
      <c r="X1527" s="210"/>
      <c r="Y1527" s="210"/>
      <c r="Z1527" s="210"/>
      <c r="AA1527" s="210"/>
      <c r="AB1527" s="210"/>
      <c r="AC1527" s="210"/>
      <c r="AD1527" s="210"/>
      <c r="AE1527" s="210"/>
      <c r="AF1527" s="210"/>
      <c r="AG1527" s="210"/>
      <c r="AH1527" s="210"/>
      <c r="AI1527" s="210"/>
      <c r="AJ1527" s="210"/>
      <c r="AK1527" s="210"/>
      <c r="AL1527" s="210"/>
      <c r="AM1527" s="214"/>
      <c r="AN1527" s="210"/>
      <c r="AO1527" s="210"/>
      <c r="AP1527" s="210"/>
      <c r="AQ1527" s="210"/>
      <c r="AR1527" s="210"/>
      <c r="AS1527" s="210"/>
      <c r="AT1527" s="210"/>
      <c r="AU1527" s="210"/>
      <c r="AV1527" s="210"/>
      <c r="AW1527" s="210"/>
      <c r="AX1527" s="210"/>
      <c r="AY1527" s="210"/>
      <c r="AZ1527" s="210"/>
      <c r="BA1527" s="210"/>
      <c r="BB1527" s="210"/>
      <c r="BC1527" s="210"/>
      <c r="BD1527" s="210"/>
      <c r="BE1527" s="210"/>
      <c r="BF1527" s="210"/>
      <c r="BG1527" s="210"/>
      <c r="BH1527" s="210"/>
      <c r="BI1527" s="210"/>
      <c r="BJ1527" s="210"/>
      <c r="BK1527" s="210"/>
      <c r="BL1527" s="210"/>
      <c r="BM1527" s="210"/>
      <c r="BN1527" s="210"/>
      <c r="BO1527" s="210"/>
      <c r="BP1527" s="210"/>
      <c r="BQ1527" s="210"/>
      <c r="BR1527" s="210"/>
      <c r="BS1527" s="210"/>
      <c r="BT1527" s="210"/>
      <c r="BU1527" s="210"/>
      <c r="BV1527" s="210"/>
      <c r="BW1527" s="210"/>
      <c r="BX1527" s="210"/>
      <c r="BY1527" s="210"/>
      <c r="BZ1527" s="210"/>
      <c r="CA1527" s="210"/>
      <c r="CB1527" s="210"/>
      <c r="CC1527" s="210"/>
      <c r="CD1527" s="210"/>
      <c r="CE1527" s="210"/>
      <c r="CF1527" s="210"/>
      <c r="CG1527" s="210"/>
      <c r="CH1527" s="210"/>
      <c r="CI1527" s="210"/>
      <c r="CJ1527" s="210"/>
      <c r="CK1527" s="210"/>
    </row>
    <row r="1528">
      <c r="A1528" s="220"/>
      <c r="F1528" s="190"/>
      <c r="G1528" s="190"/>
      <c r="L1528" s="220"/>
      <c r="M1528" s="220"/>
      <c r="O1528" s="210"/>
      <c r="P1528" s="210"/>
      <c r="Q1528" s="210"/>
      <c r="R1528" s="210"/>
      <c r="S1528" s="210"/>
      <c r="T1528" s="210"/>
      <c r="U1528" s="210"/>
      <c r="V1528" s="210"/>
      <c r="W1528" s="210"/>
      <c r="X1528" s="210"/>
      <c r="Y1528" s="210"/>
      <c r="Z1528" s="210"/>
      <c r="AA1528" s="210"/>
      <c r="AB1528" s="210"/>
      <c r="AC1528" s="210"/>
      <c r="AD1528" s="210"/>
      <c r="AE1528" s="210"/>
      <c r="AF1528" s="210"/>
      <c r="AG1528" s="210"/>
      <c r="AH1528" s="210"/>
      <c r="AI1528" s="210"/>
      <c r="AJ1528" s="210"/>
      <c r="AK1528" s="210"/>
      <c r="AL1528" s="210"/>
      <c r="AM1528" s="214"/>
      <c r="AN1528" s="210"/>
      <c r="AO1528" s="210"/>
      <c r="AP1528" s="210"/>
      <c r="AQ1528" s="210"/>
      <c r="AR1528" s="210"/>
      <c r="AS1528" s="210"/>
      <c r="AT1528" s="210"/>
      <c r="AU1528" s="210"/>
      <c r="AV1528" s="210"/>
      <c r="AW1528" s="210"/>
      <c r="AX1528" s="210"/>
      <c r="AY1528" s="210"/>
      <c r="AZ1528" s="210"/>
      <c r="BA1528" s="210"/>
      <c r="BB1528" s="210"/>
      <c r="BC1528" s="210"/>
      <c r="BD1528" s="210"/>
      <c r="BE1528" s="210"/>
      <c r="BF1528" s="210"/>
      <c r="BG1528" s="210"/>
      <c r="BH1528" s="210"/>
      <c r="BI1528" s="210"/>
      <c r="BJ1528" s="210"/>
      <c r="BK1528" s="210"/>
      <c r="BL1528" s="210"/>
      <c r="BM1528" s="210"/>
      <c r="BN1528" s="210"/>
      <c r="BO1528" s="210"/>
      <c r="BP1528" s="210"/>
      <c r="BQ1528" s="210"/>
      <c r="BR1528" s="210"/>
      <c r="BS1528" s="210"/>
      <c r="BT1528" s="210"/>
      <c r="BU1528" s="210"/>
      <c r="BV1528" s="210"/>
      <c r="BW1528" s="210"/>
      <c r="BX1528" s="210"/>
      <c r="BY1528" s="210"/>
      <c r="BZ1528" s="210"/>
      <c r="CA1528" s="210"/>
      <c r="CB1528" s="210"/>
      <c r="CC1528" s="210"/>
      <c r="CD1528" s="210"/>
      <c r="CE1528" s="210"/>
      <c r="CF1528" s="210"/>
      <c r="CG1528" s="210"/>
      <c r="CH1528" s="210"/>
      <c r="CI1528" s="210"/>
      <c r="CJ1528" s="210"/>
      <c r="CK1528" s="210"/>
    </row>
    <row r="1529">
      <c r="A1529" s="220"/>
      <c r="F1529" s="190"/>
      <c r="G1529" s="190"/>
      <c r="L1529" s="220"/>
      <c r="M1529" s="220"/>
      <c r="O1529" s="210"/>
      <c r="P1529" s="210"/>
      <c r="Q1529" s="210"/>
      <c r="R1529" s="210"/>
      <c r="S1529" s="210"/>
      <c r="T1529" s="210"/>
      <c r="U1529" s="210"/>
      <c r="V1529" s="210"/>
      <c r="W1529" s="210"/>
      <c r="X1529" s="210"/>
      <c r="Y1529" s="210"/>
      <c r="Z1529" s="210"/>
      <c r="AA1529" s="210"/>
      <c r="AB1529" s="210"/>
      <c r="AC1529" s="210"/>
      <c r="AD1529" s="210"/>
      <c r="AE1529" s="210"/>
      <c r="AF1529" s="210"/>
      <c r="AG1529" s="210"/>
      <c r="AH1529" s="210"/>
      <c r="AI1529" s="210"/>
      <c r="AJ1529" s="210"/>
      <c r="AK1529" s="210"/>
      <c r="AL1529" s="210"/>
      <c r="AM1529" s="214"/>
      <c r="AN1529" s="210"/>
      <c r="AO1529" s="210"/>
      <c r="AP1529" s="210"/>
      <c r="AQ1529" s="210"/>
      <c r="AR1529" s="210"/>
      <c r="AS1529" s="210"/>
      <c r="AT1529" s="210"/>
      <c r="AU1529" s="210"/>
      <c r="AV1529" s="210"/>
      <c r="AW1529" s="210"/>
      <c r="AX1529" s="210"/>
      <c r="AY1529" s="210"/>
      <c r="AZ1529" s="210"/>
      <c r="BA1529" s="210"/>
      <c r="BB1529" s="210"/>
      <c r="BC1529" s="210"/>
      <c r="BD1529" s="210"/>
      <c r="BE1529" s="210"/>
      <c r="BF1529" s="210"/>
      <c r="BG1529" s="210"/>
      <c r="BH1529" s="210"/>
      <c r="BI1529" s="210"/>
      <c r="BJ1529" s="210"/>
      <c r="BK1529" s="210"/>
      <c r="BL1529" s="210"/>
      <c r="BM1529" s="210"/>
      <c r="BN1529" s="210"/>
      <c r="BO1529" s="210"/>
      <c r="BP1529" s="210"/>
      <c r="BQ1529" s="210"/>
      <c r="BR1529" s="210"/>
      <c r="BS1529" s="210"/>
      <c r="BT1529" s="210"/>
      <c r="BU1529" s="210"/>
      <c r="BV1529" s="210"/>
      <c r="BW1529" s="210"/>
      <c r="BX1529" s="210"/>
      <c r="BY1529" s="210"/>
      <c r="BZ1529" s="210"/>
      <c r="CA1529" s="210"/>
      <c r="CB1529" s="210"/>
      <c r="CC1529" s="210"/>
      <c r="CD1529" s="210"/>
      <c r="CE1529" s="210"/>
      <c r="CF1529" s="210"/>
      <c r="CG1529" s="210"/>
      <c r="CH1529" s="210"/>
      <c r="CI1529" s="210"/>
      <c r="CJ1529" s="210"/>
      <c r="CK1529" s="210"/>
    </row>
    <row r="1530">
      <c r="A1530" s="220"/>
      <c r="F1530" s="190"/>
      <c r="G1530" s="190"/>
      <c r="L1530" s="220"/>
      <c r="M1530" s="220"/>
      <c r="O1530" s="210"/>
      <c r="P1530" s="210"/>
      <c r="Q1530" s="210"/>
      <c r="R1530" s="210"/>
      <c r="S1530" s="210"/>
      <c r="T1530" s="210"/>
      <c r="U1530" s="210"/>
      <c r="V1530" s="210"/>
      <c r="W1530" s="210"/>
      <c r="X1530" s="210"/>
      <c r="Y1530" s="210"/>
      <c r="Z1530" s="210"/>
      <c r="AA1530" s="210"/>
      <c r="AB1530" s="210"/>
      <c r="AC1530" s="210"/>
      <c r="AD1530" s="210"/>
      <c r="AE1530" s="210"/>
      <c r="AF1530" s="210"/>
      <c r="AG1530" s="210"/>
      <c r="AH1530" s="210"/>
      <c r="AI1530" s="210"/>
      <c r="AJ1530" s="210"/>
      <c r="AK1530" s="210"/>
      <c r="AL1530" s="210"/>
      <c r="AM1530" s="214"/>
      <c r="AN1530" s="210"/>
      <c r="AO1530" s="210"/>
      <c r="AP1530" s="210"/>
      <c r="AQ1530" s="210"/>
      <c r="AR1530" s="210"/>
      <c r="AS1530" s="210"/>
      <c r="AT1530" s="210"/>
      <c r="AU1530" s="210"/>
      <c r="AV1530" s="210"/>
      <c r="AW1530" s="210"/>
      <c r="AX1530" s="210"/>
      <c r="AY1530" s="210"/>
      <c r="AZ1530" s="210"/>
      <c r="BA1530" s="210"/>
      <c r="BB1530" s="210"/>
      <c r="BC1530" s="210"/>
      <c r="BD1530" s="210"/>
      <c r="BE1530" s="210"/>
      <c r="BF1530" s="210"/>
      <c r="BG1530" s="210"/>
      <c r="BH1530" s="210"/>
      <c r="BI1530" s="210"/>
      <c r="BJ1530" s="210"/>
      <c r="BK1530" s="210"/>
      <c r="BL1530" s="210"/>
      <c r="BM1530" s="210"/>
      <c r="BN1530" s="210"/>
      <c r="BO1530" s="210"/>
      <c r="BP1530" s="210"/>
      <c r="BQ1530" s="210"/>
      <c r="BR1530" s="210"/>
      <c r="BS1530" s="210"/>
      <c r="BT1530" s="210"/>
      <c r="BU1530" s="210"/>
      <c r="BV1530" s="210"/>
      <c r="BW1530" s="210"/>
      <c r="BX1530" s="210"/>
      <c r="BY1530" s="210"/>
      <c r="BZ1530" s="210"/>
      <c r="CA1530" s="210"/>
      <c r="CB1530" s="210"/>
      <c r="CC1530" s="210"/>
      <c r="CD1530" s="210"/>
      <c r="CE1530" s="210"/>
      <c r="CF1530" s="210"/>
      <c r="CG1530" s="210"/>
      <c r="CH1530" s="210"/>
      <c r="CI1530" s="210"/>
      <c r="CJ1530" s="210"/>
      <c r="CK1530" s="210"/>
    </row>
    <row r="1531">
      <c r="A1531" s="220"/>
      <c r="F1531" s="190"/>
      <c r="G1531" s="190"/>
      <c r="L1531" s="220"/>
      <c r="M1531" s="220"/>
      <c r="O1531" s="210"/>
      <c r="P1531" s="210"/>
      <c r="Q1531" s="210"/>
      <c r="R1531" s="210"/>
      <c r="S1531" s="210"/>
      <c r="T1531" s="210"/>
      <c r="U1531" s="210"/>
      <c r="V1531" s="210"/>
      <c r="W1531" s="210"/>
      <c r="X1531" s="210"/>
      <c r="Y1531" s="210"/>
      <c r="Z1531" s="210"/>
      <c r="AA1531" s="210"/>
      <c r="AB1531" s="210"/>
      <c r="AC1531" s="210"/>
      <c r="AD1531" s="210"/>
      <c r="AE1531" s="210"/>
      <c r="AF1531" s="210"/>
      <c r="AG1531" s="210"/>
      <c r="AH1531" s="210"/>
      <c r="AI1531" s="210"/>
      <c r="AJ1531" s="210"/>
      <c r="AK1531" s="210"/>
      <c r="AL1531" s="210"/>
      <c r="AM1531" s="214"/>
      <c r="AN1531" s="210"/>
      <c r="AO1531" s="210"/>
      <c r="AP1531" s="210"/>
      <c r="AQ1531" s="210"/>
      <c r="AR1531" s="210"/>
      <c r="AS1531" s="210"/>
      <c r="AT1531" s="210"/>
      <c r="AU1531" s="210"/>
      <c r="AV1531" s="210"/>
      <c r="AW1531" s="210"/>
      <c r="AX1531" s="210"/>
      <c r="AY1531" s="210"/>
      <c r="AZ1531" s="210"/>
      <c r="BA1531" s="210"/>
      <c r="BB1531" s="210"/>
      <c r="BC1531" s="210"/>
      <c r="BD1531" s="210"/>
      <c r="BE1531" s="210"/>
      <c r="BF1531" s="210"/>
      <c r="BG1531" s="210"/>
      <c r="BH1531" s="210"/>
      <c r="BI1531" s="210"/>
      <c r="BJ1531" s="210"/>
      <c r="BK1531" s="210"/>
      <c r="BL1531" s="210"/>
      <c r="BM1531" s="210"/>
      <c r="BN1531" s="210"/>
      <c r="BO1531" s="210"/>
      <c r="BP1531" s="210"/>
      <c r="BQ1531" s="210"/>
      <c r="BR1531" s="210"/>
      <c r="BS1531" s="210"/>
      <c r="BT1531" s="210"/>
      <c r="BU1531" s="210"/>
      <c r="BV1531" s="210"/>
      <c r="BW1531" s="210"/>
      <c r="BX1531" s="210"/>
      <c r="BY1531" s="210"/>
      <c r="BZ1531" s="210"/>
      <c r="CA1531" s="210"/>
      <c r="CB1531" s="210"/>
      <c r="CC1531" s="210"/>
      <c r="CD1531" s="210"/>
      <c r="CE1531" s="210"/>
      <c r="CF1531" s="210"/>
      <c r="CG1531" s="210"/>
      <c r="CH1531" s="210"/>
      <c r="CI1531" s="210"/>
      <c r="CJ1531" s="210"/>
      <c r="CK1531" s="210"/>
    </row>
    <row r="1532">
      <c r="A1532" s="220"/>
      <c r="F1532" s="190"/>
      <c r="G1532" s="190"/>
      <c r="L1532" s="220"/>
      <c r="M1532" s="220"/>
      <c r="O1532" s="210"/>
      <c r="P1532" s="210"/>
      <c r="Q1532" s="210"/>
      <c r="R1532" s="210"/>
      <c r="S1532" s="210"/>
      <c r="T1532" s="210"/>
      <c r="U1532" s="210"/>
      <c r="V1532" s="210"/>
      <c r="W1532" s="210"/>
      <c r="X1532" s="210"/>
      <c r="Y1532" s="210"/>
      <c r="Z1532" s="210"/>
      <c r="AA1532" s="210"/>
      <c r="AB1532" s="210"/>
      <c r="AC1532" s="210"/>
      <c r="AD1532" s="210"/>
      <c r="AE1532" s="210"/>
      <c r="AF1532" s="210"/>
      <c r="AG1532" s="210"/>
      <c r="AH1532" s="210"/>
      <c r="AI1532" s="210"/>
      <c r="AJ1532" s="210"/>
      <c r="AK1532" s="210"/>
      <c r="AL1532" s="210"/>
      <c r="AM1532" s="214"/>
      <c r="AN1532" s="210"/>
      <c r="AO1532" s="210"/>
      <c r="AP1532" s="210"/>
      <c r="AQ1532" s="210"/>
      <c r="AR1532" s="210"/>
      <c r="AS1532" s="210"/>
      <c r="AT1532" s="210"/>
      <c r="AU1532" s="210"/>
      <c r="AV1532" s="210"/>
      <c r="AW1532" s="210"/>
      <c r="AX1532" s="210"/>
      <c r="AY1532" s="210"/>
      <c r="AZ1532" s="210"/>
      <c r="BA1532" s="210"/>
      <c r="BB1532" s="210"/>
      <c r="BC1532" s="210"/>
      <c r="BD1532" s="210"/>
      <c r="BE1532" s="210"/>
      <c r="BF1532" s="210"/>
      <c r="BG1532" s="210"/>
      <c r="BH1532" s="210"/>
      <c r="BI1532" s="210"/>
      <c r="BJ1532" s="210"/>
      <c r="BK1532" s="210"/>
      <c r="BL1532" s="210"/>
      <c r="BM1532" s="210"/>
      <c r="BN1532" s="210"/>
      <c r="BO1532" s="210"/>
      <c r="BP1532" s="210"/>
      <c r="BQ1532" s="210"/>
      <c r="BR1532" s="210"/>
      <c r="BS1532" s="210"/>
      <c r="BT1532" s="210"/>
      <c r="BU1532" s="210"/>
      <c r="BV1532" s="210"/>
      <c r="BW1532" s="210"/>
      <c r="BX1532" s="210"/>
      <c r="BY1532" s="210"/>
      <c r="BZ1532" s="210"/>
      <c r="CA1532" s="210"/>
      <c r="CB1532" s="210"/>
      <c r="CC1532" s="210"/>
      <c r="CD1532" s="210"/>
      <c r="CE1532" s="210"/>
      <c r="CF1532" s="210"/>
      <c r="CG1532" s="210"/>
      <c r="CH1532" s="210"/>
      <c r="CI1532" s="210"/>
      <c r="CJ1532" s="210"/>
      <c r="CK1532" s="210"/>
    </row>
    <row r="1533">
      <c r="A1533" s="220"/>
      <c r="F1533" s="190"/>
      <c r="G1533" s="190"/>
      <c r="L1533" s="220"/>
      <c r="M1533" s="220"/>
      <c r="O1533" s="210"/>
      <c r="P1533" s="210"/>
      <c r="Q1533" s="210"/>
      <c r="R1533" s="210"/>
      <c r="S1533" s="210"/>
      <c r="T1533" s="210"/>
      <c r="U1533" s="210"/>
      <c r="V1533" s="210"/>
      <c r="W1533" s="210"/>
      <c r="X1533" s="210"/>
      <c r="Y1533" s="210"/>
      <c r="Z1533" s="210"/>
      <c r="AA1533" s="210"/>
      <c r="AB1533" s="210"/>
      <c r="AC1533" s="210"/>
      <c r="AD1533" s="210"/>
      <c r="AE1533" s="210"/>
      <c r="AF1533" s="210"/>
      <c r="AG1533" s="210"/>
      <c r="AH1533" s="210"/>
      <c r="AI1533" s="210"/>
      <c r="AJ1533" s="210"/>
      <c r="AK1533" s="210"/>
      <c r="AL1533" s="210"/>
      <c r="AM1533" s="214"/>
      <c r="AN1533" s="210"/>
      <c r="AO1533" s="210"/>
      <c r="AP1533" s="210"/>
      <c r="AQ1533" s="210"/>
      <c r="AR1533" s="210"/>
      <c r="AS1533" s="210"/>
      <c r="AT1533" s="210"/>
      <c r="AU1533" s="210"/>
      <c r="AV1533" s="210"/>
      <c r="AW1533" s="210"/>
      <c r="AX1533" s="210"/>
      <c r="AY1533" s="210"/>
      <c r="AZ1533" s="210"/>
      <c r="BA1533" s="210"/>
      <c r="BB1533" s="210"/>
      <c r="BC1533" s="210"/>
      <c r="BD1533" s="210"/>
      <c r="BE1533" s="210"/>
      <c r="BF1533" s="210"/>
      <c r="BG1533" s="210"/>
      <c r="BH1533" s="210"/>
      <c r="BI1533" s="210"/>
      <c r="BJ1533" s="210"/>
      <c r="BK1533" s="210"/>
      <c r="BL1533" s="210"/>
      <c r="BM1533" s="210"/>
      <c r="BN1533" s="210"/>
      <c r="BO1533" s="210"/>
      <c r="BP1533" s="210"/>
      <c r="BQ1533" s="210"/>
      <c r="BR1533" s="210"/>
      <c r="BS1533" s="210"/>
      <c r="BT1533" s="210"/>
      <c r="BU1533" s="210"/>
      <c r="BV1533" s="210"/>
      <c r="BW1533" s="210"/>
      <c r="BX1533" s="210"/>
      <c r="BY1533" s="210"/>
      <c r="BZ1533" s="210"/>
      <c r="CA1533" s="210"/>
      <c r="CB1533" s="210"/>
      <c r="CC1533" s="210"/>
      <c r="CD1533" s="210"/>
      <c r="CE1533" s="210"/>
      <c r="CF1533" s="210"/>
      <c r="CG1533" s="210"/>
      <c r="CH1533" s="210"/>
      <c r="CI1533" s="210"/>
      <c r="CJ1533" s="210"/>
      <c r="CK1533" s="210"/>
    </row>
    <row r="1534">
      <c r="A1534" s="220"/>
      <c r="F1534" s="190"/>
      <c r="G1534" s="190"/>
      <c r="L1534" s="220"/>
      <c r="M1534" s="220"/>
      <c r="O1534" s="210"/>
      <c r="P1534" s="210"/>
      <c r="Q1534" s="210"/>
      <c r="R1534" s="210"/>
      <c r="S1534" s="210"/>
      <c r="T1534" s="210"/>
      <c r="U1534" s="210"/>
      <c r="V1534" s="210"/>
      <c r="W1534" s="210"/>
      <c r="X1534" s="210"/>
      <c r="Y1534" s="210"/>
      <c r="Z1534" s="210"/>
      <c r="AA1534" s="210"/>
      <c r="AB1534" s="210"/>
      <c r="AC1534" s="210"/>
      <c r="AD1534" s="210"/>
      <c r="AE1534" s="210"/>
      <c r="AF1534" s="210"/>
      <c r="AG1534" s="210"/>
      <c r="AH1534" s="210"/>
      <c r="AI1534" s="210"/>
      <c r="AJ1534" s="210"/>
      <c r="AK1534" s="210"/>
      <c r="AL1534" s="210"/>
      <c r="AM1534" s="214"/>
      <c r="AN1534" s="210"/>
      <c r="AO1534" s="210"/>
      <c r="AP1534" s="210"/>
      <c r="AQ1534" s="210"/>
      <c r="AR1534" s="210"/>
      <c r="AS1534" s="210"/>
      <c r="AT1534" s="210"/>
      <c r="AU1534" s="210"/>
      <c r="AV1534" s="210"/>
      <c r="AW1534" s="210"/>
      <c r="AX1534" s="210"/>
      <c r="AY1534" s="210"/>
      <c r="AZ1534" s="210"/>
      <c r="BA1534" s="210"/>
      <c r="BB1534" s="210"/>
      <c r="BC1534" s="210"/>
      <c r="BD1534" s="210"/>
      <c r="BE1534" s="210"/>
      <c r="BF1534" s="210"/>
      <c r="BG1534" s="210"/>
      <c r="BH1534" s="210"/>
      <c r="BI1534" s="210"/>
      <c r="BJ1534" s="210"/>
      <c r="BK1534" s="210"/>
      <c r="BL1534" s="210"/>
      <c r="BM1534" s="210"/>
      <c r="BN1534" s="210"/>
      <c r="BO1534" s="210"/>
      <c r="BP1534" s="210"/>
      <c r="BQ1534" s="210"/>
      <c r="BR1534" s="210"/>
      <c r="BS1534" s="210"/>
      <c r="BT1534" s="210"/>
      <c r="BU1534" s="210"/>
      <c r="BV1534" s="210"/>
      <c r="BW1534" s="210"/>
      <c r="BX1534" s="210"/>
      <c r="BY1534" s="210"/>
      <c r="BZ1534" s="210"/>
      <c r="CA1534" s="210"/>
      <c r="CB1534" s="210"/>
      <c r="CC1534" s="210"/>
      <c r="CD1534" s="210"/>
      <c r="CE1534" s="210"/>
      <c r="CF1534" s="210"/>
      <c r="CG1534" s="210"/>
      <c r="CH1534" s="210"/>
      <c r="CI1534" s="210"/>
      <c r="CJ1534" s="210"/>
      <c r="CK1534" s="210"/>
    </row>
    <row r="1535">
      <c r="A1535" s="220"/>
      <c r="F1535" s="190"/>
      <c r="G1535" s="190"/>
      <c r="L1535" s="220"/>
      <c r="M1535" s="220"/>
      <c r="O1535" s="210"/>
      <c r="P1535" s="210"/>
      <c r="Q1535" s="210"/>
      <c r="R1535" s="210"/>
      <c r="S1535" s="210"/>
      <c r="T1535" s="210"/>
      <c r="U1535" s="210"/>
      <c r="V1535" s="210"/>
      <c r="W1535" s="210"/>
      <c r="X1535" s="210"/>
      <c r="Y1535" s="210"/>
      <c r="Z1535" s="210"/>
      <c r="AA1535" s="210"/>
      <c r="AB1535" s="210"/>
      <c r="AC1535" s="210"/>
      <c r="AD1535" s="210"/>
      <c r="AE1535" s="210"/>
      <c r="AF1535" s="210"/>
      <c r="AG1535" s="210"/>
      <c r="AH1535" s="210"/>
      <c r="AI1535" s="210"/>
      <c r="AJ1535" s="210"/>
      <c r="AK1535" s="210"/>
      <c r="AL1535" s="210"/>
      <c r="AM1535" s="214"/>
      <c r="AN1535" s="210"/>
      <c r="AO1535" s="210"/>
      <c r="AP1535" s="210"/>
      <c r="AQ1535" s="210"/>
      <c r="AR1535" s="210"/>
      <c r="AS1535" s="210"/>
      <c r="AT1535" s="210"/>
      <c r="AU1535" s="210"/>
      <c r="AV1535" s="210"/>
      <c r="AW1535" s="210"/>
      <c r="AX1535" s="210"/>
      <c r="AY1535" s="210"/>
      <c r="AZ1535" s="210"/>
      <c r="BA1535" s="210"/>
      <c r="BB1535" s="210"/>
      <c r="BC1535" s="210"/>
      <c r="BD1535" s="210"/>
      <c r="BE1535" s="210"/>
      <c r="BF1535" s="210"/>
      <c r="BG1535" s="210"/>
      <c r="BH1535" s="210"/>
      <c r="BI1535" s="210"/>
      <c r="BJ1535" s="210"/>
      <c r="BK1535" s="210"/>
      <c r="BL1535" s="210"/>
      <c r="BM1535" s="210"/>
      <c r="BN1535" s="210"/>
      <c r="BO1535" s="210"/>
      <c r="BP1535" s="210"/>
      <c r="BQ1535" s="210"/>
      <c r="BR1535" s="210"/>
      <c r="BS1535" s="210"/>
      <c r="BT1535" s="210"/>
      <c r="BU1535" s="210"/>
      <c r="BV1535" s="210"/>
      <c r="BW1535" s="210"/>
      <c r="BX1535" s="210"/>
      <c r="BY1535" s="210"/>
      <c r="BZ1535" s="210"/>
      <c r="CA1535" s="210"/>
      <c r="CB1535" s="210"/>
      <c r="CC1535" s="210"/>
      <c r="CD1535" s="210"/>
      <c r="CE1535" s="210"/>
      <c r="CF1535" s="210"/>
      <c r="CG1535" s="210"/>
      <c r="CH1535" s="210"/>
      <c r="CI1535" s="210"/>
      <c r="CJ1535" s="210"/>
      <c r="CK1535" s="210"/>
    </row>
    <row r="1536">
      <c r="A1536" s="220"/>
      <c r="F1536" s="190"/>
      <c r="G1536" s="190"/>
      <c r="L1536" s="220"/>
      <c r="M1536" s="220"/>
      <c r="O1536" s="210"/>
      <c r="P1536" s="210"/>
      <c r="Q1536" s="210"/>
      <c r="R1536" s="210"/>
      <c r="S1536" s="210"/>
      <c r="T1536" s="210"/>
      <c r="U1536" s="210"/>
      <c r="V1536" s="210"/>
      <c r="W1536" s="210"/>
      <c r="X1536" s="210"/>
      <c r="Y1536" s="210"/>
      <c r="Z1536" s="210"/>
      <c r="AA1536" s="210"/>
      <c r="AB1536" s="210"/>
      <c r="AC1536" s="210"/>
      <c r="AD1536" s="210"/>
      <c r="AE1536" s="210"/>
      <c r="AF1536" s="210"/>
      <c r="AG1536" s="210"/>
      <c r="AH1536" s="210"/>
      <c r="AI1536" s="210"/>
      <c r="AJ1536" s="210"/>
      <c r="AK1536" s="210"/>
      <c r="AL1536" s="210"/>
      <c r="AM1536" s="214"/>
      <c r="AN1536" s="210"/>
      <c r="AO1536" s="210"/>
      <c r="AP1536" s="210"/>
      <c r="AQ1536" s="210"/>
      <c r="AR1536" s="210"/>
      <c r="AS1536" s="210"/>
      <c r="AT1536" s="210"/>
      <c r="AU1536" s="210"/>
      <c r="AV1536" s="210"/>
      <c r="AW1536" s="210"/>
      <c r="AX1536" s="210"/>
      <c r="AY1536" s="210"/>
      <c r="AZ1536" s="210"/>
      <c r="BA1536" s="210"/>
      <c r="BB1536" s="210"/>
      <c r="BC1536" s="210"/>
      <c r="BD1536" s="210"/>
      <c r="BE1536" s="210"/>
      <c r="BF1536" s="210"/>
      <c r="BG1536" s="210"/>
      <c r="BH1536" s="210"/>
      <c r="BI1536" s="210"/>
      <c r="BJ1536" s="210"/>
      <c r="BK1536" s="210"/>
      <c r="BL1536" s="210"/>
      <c r="BM1536" s="210"/>
      <c r="BN1536" s="210"/>
      <c r="BO1536" s="210"/>
      <c r="BP1536" s="210"/>
      <c r="BQ1536" s="210"/>
      <c r="BR1536" s="210"/>
      <c r="BS1536" s="210"/>
      <c r="BT1536" s="210"/>
      <c r="BU1536" s="210"/>
      <c r="BV1536" s="210"/>
      <c r="BW1536" s="210"/>
      <c r="BX1536" s="210"/>
      <c r="BY1536" s="210"/>
      <c r="BZ1536" s="210"/>
      <c r="CA1536" s="210"/>
      <c r="CB1536" s="210"/>
      <c r="CC1536" s="210"/>
      <c r="CD1536" s="210"/>
      <c r="CE1536" s="210"/>
      <c r="CF1536" s="210"/>
      <c r="CG1536" s="210"/>
      <c r="CH1536" s="210"/>
      <c r="CI1536" s="210"/>
      <c r="CJ1536" s="210"/>
      <c r="CK1536" s="210"/>
    </row>
    <row r="1537">
      <c r="A1537" s="220"/>
      <c r="F1537" s="190"/>
      <c r="G1537" s="190"/>
      <c r="L1537" s="220"/>
      <c r="M1537" s="220"/>
      <c r="O1537" s="210"/>
      <c r="P1537" s="210"/>
      <c r="Q1537" s="210"/>
      <c r="R1537" s="210"/>
      <c r="S1537" s="210"/>
      <c r="T1537" s="210"/>
      <c r="U1537" s="210"/>
      <c r="V1537" s="210"/>
      <c r="W1537" s="210"/>
      <c r="X1537" s="210"/>
      <c r="Y1537" s="210"/>
      <c r="Z1537" s="210"/>
      <c r="AA1537" s="210"/>
      <c r="AB1537" s="210"/>
      <c r="AC1537" s="210"/>
      <c r="AD1537" s="210"/>
      <c r="AE1537" s="210"/>
      <c r="AF1537" s="210"/>
      <c r="AG1537" s="210"/>
      <c r="AH1537" s="210"/>
      <c r="AI1537" s="210"/>
      <c r="AJ1537" s="210"/>
      <c r="AK1537" s="210"/>
      <c r="AL1537" s="210"/>
      <c r="AM1537" s="214"/>
      <c r="AN1537" s="210"/>
      <c r="AO1537" s="210"/>
      <c r="AP1537" s="210"/>
      <c r="AQ1537" s="210"/>
      <c r="AR1537" s="210"/>
      <c r="AS1537" s="210"/>
      <c r="AT1537" s="210"/>
      <c r="AU1537" s="210"/>
      <c r="AV1537" s="210"/>
      <c r="AW1537" s="210"/>
      <c r="AX1537" s="210"/>
      <c r="AY1537" s="210"/>
      <c r="AZ1537" s="210"/>
      <c r="BA1537" s="210"/>
      <c r="BB1537" s="210"/>
      <c r="BC1537" s="210"/>
      <c r="BD1537" s="210"/>
      <c r="BE1537" s="210"/>
      <c r="BF1537" s="210"/>
      <c r="BG1537" s="210"/>
      <c r="BH1537" s="210"/>
      <c r="BI1537" s="210"/>
      <c r="BJ1537" s="210"/>
      <c r="BK1537" s="210"/>
      <c r="BL1537" s="210"/>
      <c r="BM1537" s="210"/>
      <c r="BN1537" s="210"/>
      <c r="BO1537" s="210"/>
      <c r="BP1537" s="210"/>
      <c r="BQ1537" s="210"/>
      <c r="BR1537" s="210"/>
      <c r="BS1537" s="210"/>
      <c r="BT1537" s="210"/>
      <c r="BU1537" s="210"/>
      <c r="BV1537" s="210"/>
      <c r="BW1537" s="210"/>
      <c r="BX1537" s="210"/>
      <c r="BY1537" s="210"/>
      <c r="BZ1537" s="210"/>
      <c r="CA1537" s="210"/>
      <c r="CB1537" s="210"/>
      <c r="CC1537" s="210"/>
      <c r="CD1537" s="210"/>
      <c r="CE1537" s="210"/>
      <c r="CF1537" s="210"/>
      <c r="CG1537" s="210"/>
      <c r="CH1537" s="210"/>
      <c r="CI1537" s="210"/>
      <c r="CJ1537" s="210"/>
      <c r="CK1537" s="210"/>
    </row>
    <row r="1538">
      <c r="A1538" s="220"/>
      <c r="F1538" s="190"/>
      <c r="G1538" s="190"/>
      <c r="L1538" s="220"/>
      <c r="M1538" s="220"/>
      <c r="O1538" s="210"/>
      <c r="P1538" s="210"/>
      <c r="Q1538" s="210"/>
      <c r="R1538" s="210"/>
      <c r="S1538" s="210"/>
      <c r="T1538" s="210"/>
      <c r="U1538" s="210"/>
      <c r="V1538" s="210"/>
      <c r="W1538" s="210"/>
      <c r="X1538" s="210"/>
      <c r="Y1538" s="210"/>
      <c r="Z1538" s="210"/>
      <c r="AA1538" s="210"/>
      <c r="AB1538" s="210"/>
      <c r="AC1538" s="210"/>
      <c r="AD1538" s="210"/>
      <c r="AE1538" s="210"/>
      <c r="AF1538" s="210"/>
      <c r="AG1538" s="210"/>
      <c r="AH1538" s="210"/>
      <c r="AI1538" s="210"/>
      <c r="AJ1538" s="210"/>
      <c r="AK1538" s="210"/>
      <c r="AL1538" s="210"/>
      <c r="AM1538" s="214"/>
      <c r="AN1538" s="210"/>
      <c r="AO1538" s="210"/>
      <c r="AP1538" s="210"/>
      <c r="AQ1538" s="210"/>
      <c r="AR1538" s="210"/>
      <c r="AS1538" s="210"/>
      <c r="AT1538" s="210"/>
      <c r="AU1538" s="210"/>
      <c r="AV1538" s="210"/>
      <c r="AW1538" s="210"/>
      <c r="AX1538" s="210"/>
      <c r="AY1538" s="210"/>
      <c r="AZ1538" s="210"/>
      <c r="BA1538" s="210"/>
      <c r="BB1538" s="210"/>
      <c r="BC1538" s="210"/>
      <c r="BD1538" s="210"/>
      <c r="BE1538" s="210"/>
      <c r="BF1538" s="210"/>
      <c r="BG1538" s="210"/>
      <c r="BH1538" s="210"/>
      <c r="BI1538" s="210"/>
      <c r="BJ1538" s="210"/>
      <c r="BK1538" s="210"/>
      <c r="BL1538" s="210"/>
      <c r="BM1538" s="210"/>
      <c r="BN1538" s="210"/>
      <c r="BO1538" s="210"/>
      <c r="BP1538" s="210"/>
      <c r="BQ1538" s="210"/>
      <c r="BR1538" s="210"/>
      <c r="BS1538" s="210"/>
      <c r="BT1538" s="210"/>
      <c r="BU1538" s="210"/>
      <c r="BV1538" s="210"/>
      <c r="BW1538" s="210"/>
      <c r="BX1538" s="210"/>
      <c r="BY1538" s="210"/>
      <c r="BZ1538" s="210"/>
      <c r="CA1538" s="210"/>
      <c r="CB1538" s="210"/>
      <c r="CC1538" s="210"/>
      <c r="CD1538" s="210"/>
      <c r="CE1538" s="210"/>
      <c r="CF1538" s="210"/>
      <c r="CG1538" s="210"/>
      <c r="CH1538" s="210"/>
      <c r="CI1538" s="210"/>
      <c r="CJ1538" s="210"/>
      <c r="CK1538" s="210"/>
    </row>
    <row r="1539">
      <c r="A1539" s="220"/>
      <c r="F1539" s="190"/>
      <c r="G1539" s="190"/>
      <c r="L1539" s="220"/>
      <c r="M1539" s="220"/>
      <c r="O1539" s="210"/>
      <c r="P1539" s="210"/>
      <c r="Q1539" s="210"/>
      <c r="R1539" s="210"/>
      <c r="S1539" s="210"/>
      <c r="T1539" s="210"/>
      <c r="U1539" s="210"/>
      <c r="V1539" s="210"/>
      <c r="W1539" s="210"/>
      <c r="X1539" s="210"/>
      <c r="Y1539" s="210"/>
      <c r="Z1539" s="210"/>
      <c r="AA1539" s="210"/>
      <c r="AB1539" s="210"/>
      <c r="AC1539" s="210"/>
      <c r="AD1539" s="210"/>
      <c r="AE1539" s="210"/>
      <c r="AF1539" s="210"/>
      <c r="AG1539" s="210"/>
      <c r="AH1539" s="210"/>
      <c r="AI1539" s="210"/>
      <c r="AJ1539" s="210"/>
      <c r="AK1539" s="210"/>
      <c r="AL1539" s="210"/>
      <c r="AM1539" s="214"/>
      <c r="AN1539" s="210"/>
      <c r="AO1539" s="210"/>
      <c r="AP1539" s="210"/>
      <c r="AQ1539" s="210"/>
      <c r="AR1539" s="210"/>
      <c r="AS1539" s="210"/>
      <c r="AT1539" s="210"/>
      <c r="AU1539" s="210"/>
      <c r="AV1539" s="210"/>
      <c r="AW1539" s="210"/>
      <c r="AX1539" s="210"/>
      <c r="AY1539" s="210"/>
      <c r="AZ1539" s="210"/>
      <c r="BA1539" s="210"/>
      <c r="BB1539" s="210"/>
      <c r="BC1539" s="210"/>
      <c r="BD1539" s="210"/>
      <c r="BE1539" s="210"/>
      <c r="BF1539" s="210"/>
      <c r="BG1539" s="210"/>
      <c r="BH1539" s="210"/>
      <c r="BI1539" s="210"/>
      <c r="BJ1539" s="210"/>
      <c r="BK1539" s="210"/>
      <c r="BL1539" s="210"/>
      <c r="BM1539" s="210"/>
      <c r="BN1539" s="210"/>
      <c r="BO1539" s="210"/>
      <c r="BP1539" s="210"/>
      <c r="BQ1539" s="210"/>
      <c r="BR1539" s="210"/>
      <c r="BS1539" s="210"/>
      <c r="BT1539" s="210"/>
      <c r="BU1539" s="210"/>
      <c r="BV1539" s="210"/>
      <c r="BW1539" s="210"/>
      <c r="BX1539" s="210"/>
      <c r="BY1539" s="210"/>
      <c r="BZ1539" s="210"/>
      <c r="CA1539" s="210"/>
      <c r="CB1539" s="210"/>
      <c r="CC1539" s="210"/>
      <c r="CD1539" s="210"/>
      <c r="CE1539" s="210"/>
      <c r="CF1539" s="210"/>
      <c r="CG1539" s="210"/>
      <c r="CH1539" s="210"/>
      <c r="CI1539" s="210"/>
      <c r="CJ1539" s="210"/>
      <c r="CK1539" s="210"/>
    </row>
    <row r="1540">
      <c r="A1540" s="220"/>
      <c r="F1540" s="190"/>
      <c r="G1540" s="190"/>
      <c r="L1540" s="220"/>
      <c r="M1540" s="220"/>
      <c r="O1540" s="210"/>
      <c r="P1540" s="210"/>
      <c r="Q1540" s="210"/>
      <c r="R1540" s="210"/>
      <c r="S1540" s="210"/>
      <c r="T1540" s="210"/>
      <c r="U1540" s="210"/>
      <c r="V1540" s="210"/>
      <c r="W1540" s="210"/>
      <c r="X1540" s="210"/>
      <c r="Y1540" s="210"/>
      <c r="Z1540" s="210"/>
      <c r="AA1540" s="210"/>
      <c r="AB1540" s="210"/>
      <c r="AC1540" s="210"/>
      <c r="AD1540" s="210"/>
      <c r="AE1540" s="210"/>
      <c r="AF1540" s="210"/>
      <c r="AG1540" s="210"/>
      <c r="AH1540" s="210"/>
      <c r="AI1540" s="210"/>
      <c r="AJ1540" s="210"/>
      <c r="AK1540" s="210"/>
      <c r="AL1540" s="210"/>
      <c r="AM1540" s="214"/>
      <c r="AN1540" s="210"/>
      <c r="AO1540" s="210"/>
      <c r="AP1540" s="210"/>
      <c r="AQ1540" s="210"/>
      <c r="AR1540" s="210"/>
      <c r="AS1540" s="210"/>
      <c r="AT1540" s="210"/>
      <c r="AU1540" s="210"/>
      <c r="AV1540" s="210"/>
      <c r="AW1540" s="210"/>
      <c r="AX1540" s="210"/>
      <c r="AY1540" s="210"/>
      <c r="AZ1540" s="210"/>
      <c r="BA1540" s="210"/>
      <c r="BB1540" s="210"/>
      <c r="BC1540" s="210"/>
      <c r="BD1540" s="210"/>
      <c r="BE1540" s="210"/>
      <c r="BF1540" s="210"/>
      <c r="BG1540" s="210"/>
      <c r="BH1540" s="210"/>
      <c r="BI1540" s="210"/>
      <c r="BJ1540" s="210"/>
      <c r="BK1540" s="210"/>
      <c r="BL1540" s="210"/>
      <c r="BM1540" s="210"/>
      <c r="BN1540" s="210"/>
      <c r="BO1540" s="210"/>
      <c r="BP1540" s="210"/>
      <c r="BQ1540" s="210"/>
      <c r="BR1540" s="210"/>
      <c r="BS1540" s="210"/>
      <c r="BT1540" s="210"/>
      <c r="BU1540" s="210"/>
      <c r="BV1540" s="210"/>
      <c r="BW1540" s="210"/>
      <c r="BX1540" s="210"/>
      <c r="BY1540" s="210"/>
      <c r="BZ1540" s="210"/>
      <c r="CA1540" s="210"/>
      <c r="CB1540" s="210"/>
      <c r="CC1540" s="210"/>
      <c r="CD1540" s="210"/>
      <c r="CE1540" s="210"/>
      <c r="CF1540" s="210"/>
      <c r="CG1540" s="210"/>
      <c r="CH1540" s="210"/>
      <c r="CI1540" s="210"/>
      <c r="CJ1540" s="210"/>
      <c r="CK1540" s="210"/>
    </row>
    <row r="1541">
      <c r="A1541" s="220"/>
      <c r="F1541" s="190"/>
      <c r="G1541" s="190"/>
      <c r="L1541" s="220"/>
      <c r="M1541" s="220"/>
      <c r="O1541" s="210"/>
      <c r="P1541" s="210"/>
      <c r="Q1541" s="210"/>
      <c r="R1541" s="210"/>
      <c r="S1541" s="210"/>
      <c r="T1541" s="210"/>
      <c r="U1541" s="210"/>
      <c r="V1541" s="210"/>
      <c r="W1541" s="210"/>
      <c r="X1541" s="210"/>
      <c r="Y1541" s="210"/>
      <c r="Z1541" s="210"/>
      <c r="AA1541" s="210"/>
      <c r="AB1541" s="210"/>
      <c r="AC1541" s="210"/>
      <c r="AD1541" s="210"/>
      <c r="AE1541" s="210"/>
      <c r="AF1541" s="210"/>
      <c r="AG1541" s="210"/>
      <c r="AH1541" s="210"/>
      <c r="AI1541" s="210"/>
      <c r="AJ1541" s="210"/>
      <c r="AK1541" s="210"/>
      <c r="AL1541" s="210"/>
      <c r="AM1541" s="214"/>
      <c r="AN1541" s="210"/>
      <c r="AO1541" s="210"/>
      <c r="AP1541" s="210"/>
      <c r="AQ1541" s="210"/>
      <c r="AR1541" s="210"/>
      <c r="AS1541" s="210"/>
      <c r="AT1541" s="210"/>
      <c r="AU1541" s="210"/>
      <c r="AV1541" s="210"/>
      <c r="AW1541" s="210"/>
      <c r="AX1541" s="210"/>
      <c r="AY1541" s="210"/>
      <c r="AZ1541" s="210"/>
      <c r="BA1541" s="210"/>
      <c r="BB1541" s="210"/>
      <c r="BC1541" s="210"/>
      <c r="BD1541" s="210"/>
      <c r="BE1541" s="210"/>
      <c r="BF1541" s="210"/>
      <c r="BG1541" s="210"/>
      <c r="BH1541" s="210"/>
      <c r="BI1541" s="210"/>
      <c r="BJ1541" s="210"/>
      <c r="BK1541" s="210"/>
      <c r="BL1541" s="210"/>
      <c r="BM1541" s="210"/>
      <c r="BN1541" s="210"/>
      <c r="BO1541" s="210"/>
      <c r="BP1541" s="210"/>
      <c r="BQ1541" s="210"/>
      <c r="BR1541" s="210"/>
      <c r="BS1541" s="210"/>
      <c r="BT1541" s="210"/>
      <c r="BU1541" s="210"/>
      <c r="BV1541" s="210"/>
      <c r="BW1541" s="210"/>
      <c r="BX1541" s="210"/>
      <c r="BY1541" s="210"/>
      <c r="BZ1541" s="210"/>
      <c r="CA1541" s="210"/>
      <c r="CB1541" s="210"/>
      <c r="CC1541" s="210"/>
      <c r="CD1541" s="210"/>
      <c r="CE1541" s="210"/>
      <c r="CF1541" s="210"/>
      <c r="CG1541" s="210"/>
      <c r="CH1541" s="210"/>
      <c r="CI1541" s="210"/>
      <c r="CJ1541" s="210"/>
      <c r="CK1541" s="210"/>
    </row>
    <row r="1542">
      <c r="A1542" s="220"/>
      <c r="F1542" s="190"/>
      <c r="G1542" s="190"/>
      <c r="L1542" s="220"/>
      <c r="M1542" s="220"/>
      <c r="O1542" s="210"/>
      <c r="P1542" s="210"/>
      <c r="Q1542" s="210"/>
      <c r="R1542" s="210"/>
      <c r="S1542" s="210"/>
      <c r="T1542" s="210"/>
      <c r="U1542" s="210"/>
      <c r="V1542" s="210"/>
      <c r="W1542" s="210"/>
      <c r="X1542" s="210"/>
      <c r="Y1542" s="210"/>
      <c r="Z1542" s="210"/>
      <c r="AA1542" s="210"/>
      <c r="AB1542" s="210"/>
      <c r="AC1542" s="210"/>
      <c r="AD1542" s="210"/>
      <c r="AE1542" s="210"/>
      <c r="AF1542" s="210"/>
      <c r="AG1542" s="210"/>
      <c r="AH1542" s="210"/>
      <c r="AI1542" s="210"/>
      <c r="AJ1542" s="210"/>
      <c r="AK1542" s="210"/>
      <c r="AL1542" s="210"/>
      <c r="AM1542" s="214"/>
      <c r="AN1542" s="210"/>
      <c r="AO1542" s="210"/>
      <c r="AP1542" s="210"/>
      <c r="AQ1542" s="210"/>
      <c r="AR1542" s="210"/>
      <c r="AS1542" s="210"/>
      <c r="AT1542" s="210"/>
      <c r="AU1542" s="210"/>
      <c r="AV1542" s="210"/>
      <c r="AW1542" s="210"/>
      <c r="AX1542" s="210"/>
      <c r="AY1542" s="210"/>
      <c r="AZ1542" s="210"/>
      <c r="BA1542" s="210"/>
      <c r="BB1542" s="210"/>
      <c r="BC1542" s="210"/>
      <c r="BD1542" s="210"/>
      <c r="BE1542" s="210"/>
      <c r="BF1542" s="210"/>
      <c r="BG1542" s="210"/>
      <c r="BH1542" s="210"/>
      <c r="BI1542" s="210"/>
      <c r="BJ1542" s="210"/>
      <c r="BK1542" s="210"/>
      <c r="BL1542" s="210"/>
      <c r="BM1542" s="210"/>
      <c r="BN1542" s="210"/>
      <c r="BO1542" s="210"/>
      <c r="BP1542" s="210"/>
      <c r="BQ1542" s="210"/>
      <c r="BR1542" s="210"/>
      <c r="BS1542" s="210"/>
      <c r="BT1542" s="210"/>
      <c r="BU1542" s="210"/>
      <c r="BV1542" s="210"/>
      <c r="BW1542" s="210"/>
      <c r="BX1542" s="210"/>
      <c r="BY1542" s="210"/>
      <c r="BZ1542" s="210"/>
      <c r="CA1542" s="210"/>
      <c r="CB1542" s="210"/>
      <c r="CC1542" s="210"/>
      <c r="CD1542" s="210"/>
      <c r="CE1542" s="210"/>
      <c r="CF1542" s="210"/>
      <c r="CG1542" s="210"/>
      <c r="CH1542" s="210"/>
      <c r="CI1542" s="210"/>
      <c r="CJ1542" s="210"/>
      <c r="CK1542" s="210"/>
    </row>
    <row r="1543">
      <c r="A1543" s="220"/>
      <c r="F1543" s="190"/>
      <c r="G1543" s="190"/>
      <c r="L1543" s="220"/>
      <c r="M1543" s="220"/>
      <c r="O1543" s="210"/>
      <c r="P1543" s="210"/>
      <c r="Q1543" s="210"/>
      <c r="R1543" s="210"/>
      <c r="S1543" s="210"/>
      <c r="T1543" s="210"/>
      <c r="U1543" s="210"/>
      <c r="V1543" s="210"/>
      <c r="W1543" s="210"/>
      <c r="X1543" s="210"/>
      <c r="Y1543" s="210"/>
      <c r="Z1543" s="210"/>
      <c r="AA1543" s="210"/>
      <c r="AB1543" s="210"/>
      <c r="AC1543" s="210"/>
      <c r="AD1543" s="210"/>
      <c r="AE1543" s="210"/>
      <c r="AF1543" s="210"/>
      <c r="AG1543" s="210"/>
      <c r="AH1543" s="210"/>
      <c r="AI1543" s="210"/>
      <c r="AJ1543" s="210"/>
      <c r="AK1543" s="210"/>
      <c r="AL1543" s="210"/>
      <c r="AM1543" s="214"/>
      <c r="AN1543" s="210"/>
      <c r="AO1543" s="210"/>
      <c r="AP1543" s="210"/>
      <c r="AQ1543" s="210"/>
      <c r="AR1543" s="210"/>
      <c r="AS1543" s="210"/>
      <c r="AT1543" s="210"/>
      <c r="AU1543" s="210"/>
      <c r="AV1543" s="210"/>
      <c r="AW1543" s="210"/>
      <c r="AX1543" s="210"/>
      <c r="AY1543" s="210"/>
      <c r="AZ1543" s="210"/>
      <c r="BA1543" s="210"/>
      <c r="BB1543" s="210"/>
      <c r="BC1543" s="210"/>
      <c r="BD1543" s="210"/>
      <c r="BE1543" s="210"/>
      <c r="BF1543" s="210"/>
      <c r="BG1543" s="210"/>
      <c r="BH1543" s="210"/>
      <c r="BI1543" s="210"/>
      <c r="BJ1543" s="210"/>
      <c r="BK1543" s="210"/>
      <c r="BL1543" s="210"/>
      <c r="BM1543" s="210"/>
      <c r="BN1543" s="210"/>
      <c r="BO1543" s="210"/>
      <c r="BP1543" s="210"/>
      <c r="BQ1543" s="210"/>
      <c r="BR1543" s="210"/>
      <c r="BS1543" s="210"/>
      <c r="BT1543" s="210"/>
      <c r="BU1543" s="210"/>
      <c r="BV1543" s="210"/>
      <c r="BW1543" s="210"/>
      <c r="BX1543" s="210"/>
      <c r="BY1543" s="210"/>
      <c r="BZ1543" s="210"/>
      <c r="CA1543" s="210"/>
      <c r="CB1543" s="210"/>
      <c r="CC1543" s="210"/>
      <c r="CD1543" s="210"/>
      <c r="CE1543" s="210"/>
      <c r="CF1543" s="210"/>
      <c r="CG1543" s="210"/>
      <c r="CH1543" s="210"/>
      <c r="CI1543" s="210"/>
      <c r="CJ1543" s="210"/>
      <c r="CK1543" s="210"/>
    </row>
    <row r="1544">
      <c r="A1544" s="220"/>
      <c r="F1544" s="190"/>
      <c r="G1544" s="190"/>
      <c r="L1544" s="220"/>
      <c r="M1544" s="220"/>
      <c r="O1544" s="210"/>
      <c r="P1544" s="210"/>
      <c r="Q1544" s="210"/>
      <c r="R1544" s="210"/>
      <c r="S1544" s="210"/>
      <c r="T1544" s="210"/>
      <c r="U1544" s="210"/>
      <c r="V1544" s="210"/>
      <c r="W1544" s="210"/>
      <c r="X1544" s="210"/>
      <c r="Y1544" s="210"/>
      <c r="Z1544" s="210"/>
      <c r="AA1544" s="210"/>
      <c r="AB1544" s="210"/>
      <c r="AC1544" s="210"/>
      <c r="AD1544" s="210"/>
      <c r="AE1544" s="210"/>
      <c r="AF1544" s="210"/>
      <c r="AG1544" s="210"/>
      <c r="AH1544" s="210"/>
      <c r="AI1544" s="210"/>
      <c r="AJ1544" s="210"/>
      <c r="AK1544" s="210"/>
      <c r="AL1544" s="210"/>
      <c r="AM1544" s="214"/>
      <c r="AN1544" s="210"/>
      <c r="AO1544" s="210"/>
      <c r="AP1544" s="210"/>
      <c r="AQ1544" s="210"/>
      <c r="AR1544" s="210"/>
      <c r="AS1544" s="210"/>
      <c r="AT1544" s="210"/>
      <c r="AU1544" s="210"/>
      <c r="AV1544" s="210"/>
      <c r="AW1544" s="210"/>
      <c r="AX1544" s="210"/>
      <c r="AY1544" s="210"/>
      <c r="AZ1544" s="210"/>
      <c r="BA1544" s="210"/>
      <c r="BB1544" s="210"/>
      <c r="BC1544" s="210"/>
      <c r="BD1544" s="210"/>
      <c r="BE1544" s="210"/>
      <c r="BF1544" s="210"/>
      <c r="BG1544" s="210"/>
      <c r="BH1544" s="210"/>
      <c r="BI1544" s="210"/>
      <c r="BJ1544" s="210"/>
      <c r="BK1544" s="210"/>
      <c r="BL1544" s="210"/>
      <c r="BM1544" s="210"/>
      <c r="BN1544" s="210"/>
      <c r="BO1544" s="210"/>
      <c r="BP1544" s="210"/>
      <c r="BQ1544" s="210"/>
      <c r="BR1544" s="210"/>
      <c r="BS1544" s="210"/>
      <c r="BT1544" s="210"/>
      <c r="BU1544" s="210"/>
      <c r="BV1544" s="210"/>
      <c r="BW1544" s="210"/>
      <c r="BX1544" s="210"/>
      <c r="BY1544" s="210"/>
      <c r="BZ1544" s="210"/>
      <c r="CA1544" s="210"/>
      <c r="CB1544" s="210"/>
      <c r="CC1544" s="210"/>
      <c r="CD1544" s="210"/>
      <c r="CE1544" s="210"/>
      <c r="CF1544" s="210"/>
      <c r="CG1544" s="210"/>
      <c r="CH1544" s="210"/>
      <c r="CI1544" s="210"/>
      <c r="CJ1544" s="210"/>
      <c r="CK1544" s="210"/>
    </row>
    <row r="1545">
      <c r="A1545" s="220"/>
      <c r="F1545" s="190"/>
      <c r="G1545" s="190"/>
      <c r="L1545" s="220"/>
      <c r="M1545" s="220"/>
      <c r="O1545" s="210"/>
      <c r="P1545" s="210"/>
      <c r="Q1545" s="210"/>
      <c r="R1545" s="210"/>
      <c r="S1545" s="210"/>
      <c r="T1545" s="210"/>
      <c r="U1545" s="210"/>
      <c r="V1545" s="210"/>
      <c r="W1545" s="210"/>
      <c r="X1545" s="210"/>
      <c r="Y1545" s="210"/>
      <c r="Z1545" s="210"/>
      <c r="AA1545" s="210"/>
      <c r="AB1545" s="210"/>
      <c r="AC1545" s="210"/>
      <c r="AD1545" s="210"/>
      <c r="AE1545" s="210"/>
      <c r="AF1545" s="210"/>
      <c r="AG1545" s="210"/>
      <c r="AH1545" s="210"/>
      <c r="AI1545" s="210"/>
      <c r="AJ1545" s="210"/>
      <c r="AK1545" s="210"/>
      <c r="AL1545" s="210"/>
      <c r="AM1545" s="214"/>
      <c r="AN1545" s="210"/>
      <c r="AO1545" s="210"/>
      <c r="AP1545" s="210"/>
      <c r="AQ1545" s="210"/>
      <c r="AR1545" s="210"/>
      <c r="AS1545" s="210"/>
      <c r="AT1545" s="210"/>
      <c r="AU1545" s="210"/>
      <c r="AV1545" s="210"/>
      <c r="AW1545" s="210"/>
      <c r="AX1545" s="210"/>
      <c r="AY1545" s="210"/>
      <c r="AZ1545" s="210"/>
      <c r="BA1545" s="210"/>
      <c r="BB1545" s="210"/>
      <c r="BC1545" s="210"/>
      <c r="BD1545" s="210"/>
      <c r="BE1545" s="210"/>
      <c r="BF1545" s="210"/>
      <c r="BG1545" s="210"/>
      <c r="BH1545" s="210"/>
      <c r="BI1545" s="210"/>
      <c r="BJ1545" s="210"/>
      <c r="BK1545" s="210"/>
      <c r="BL1545" s="210"/>
      <c r="BM1545" s="210"/>
      <c r="BN1545" s="210"/>
      <c r="BO1545" s="210"/>
      <c r="BP1545" s="210"/>
      <c r="BQ1545" s="210"/>
      <c r="BR1545" s="210"/>
      <c r="BS1545" s="210"/>
      <c r="BT1545" s="210"/>
      <c r="BU1545" s="210"/>
      <c r="BV1545" s="210"/>
      <c r="BW1545" s="210"/>
      <c r="BX1545" s="210"/>
      <c r="BY1545" s="210"/>
      <c r="BZ1545" s="210"/>
      <c r="CA1545" s="210"/>
      <c r="CB1545" s="210"/>
      <c r="CC1545" s="210"/>
      <c r="CD1545" s="210"/>
      <c r="CE1545" s="210"/>
      <c r="CF1545" s="210"/>
      <c r="CG1545" s="210"/>
      <c r="CH1545" s="210"/>
      <c r="CI1545" s="210"/>
      <c r="CJ1545" s="210"/>
      <c r="CK1545" s="210"/>
    </row>
    <row r="1546">
      <c r="A1546" s="220"/>
      <c r="F1546" s="190"/>
      <c r="G1546" s="190"/>
      <c r="L1546" s="220"/>
      <c r="M1546" s="220"/>
      <c r="O1546" s="210"/>
      <c r="P1546" s="210"/>
      <c r="Q1546" s="210"/>
      <c r="R1546" s="210"/>
      <c r="S1546" s="210"/>
      <c r="T1546" s="210"/>
      <c r="U1546" s="210"/>
      <c r="V1546" s="210"/>
      <c r="W1546" s="210"/>
      <c r="X1546" s="210"/>
      <c r="Y1546" s="210"/>
      <c r="Z1546" s="210"/>
      <c r="AA1546" s="210"/>
      <c r="AB1546" s="210"/>
      <c r="AC1546" s="210"/>
      <c r="AD1546" s="210"/>
      <c r="AE1546" s="210"/>
      <c r="AF1546" s="210"/>
      <c r="AG1546" s="210"/>
      <c r="AH1546" s="210"/>
      <c r="AI1546" s="210"/>
      <c r="AJ1546" s="210"/>
      <c r="AK1546" s="210"/>
      <c r="AL1546" s="210"/>
      <c r="AM1546" s="214"/>
      <c r="AN1546" s="210"/>
      <c r="AO1546" s="210"/>
      <c r="AP1546" s="210"/>
      <c r="AQ1546" s="210"/>
      <c r="AR1546" s="210"/>
      <c r="AS1546" s="210"/>
      <c r="AT1546" s="210"/>
      <c r="AU1546" s="210"/>
      <c r="AV1546" s="210"/>
      <c r="AW1546" s="210"/>
      <c r="AX1546" s="210"/>
      <c r="AY1546" s="210"/>
      <c r="AZ1546" s="210"/>
      <c r="BA1546" s="210"/>
      <c r="BB1546" s="210"/>
      <c r="BC1546" s="210"/>
      <c r="BD1546" s="210"/>
      <c r="BE1546" s="210"/>
      <c r="BF1546" s="210"/>
      <c r="BG1546" s="210"/>
      <c r="BH1546" s="210"/>
      <c r="BI1546" s="210"/>
      <c r="BJ1546" s="210"/>
      <c r="BK1546" s="210"/>
      <c r="BL1546" s="210"/>
      <c r="BM1546" s="210"/>
      <c r="BN1546" s="210"/>
      <c r="BO1546" s="210"/>
      <c r="BP1546" s="210"/>
      <c r="BQ1546" s="210"/>
      <c r="BR1546" s="210"/>
      <c r="BS1546" s="210"/>
      <c r="BT1546" s="210"/>
      <c r="BU1546" s="210"/>
      <c r="BV1546" s="210"/>
      <c r="BW1546" s="210"/>
      <c r="BX1546" s="210"/>
      <c r="BY1546" s="210"/>
      <c r="BZ1546" s="210"/>
      <c r="CA1546" s="210"/>
      <c r="CB1546" s="210"/>
      <c r="CC1546" s="210"/>
      <c r="CD1546" s="210"/>
      <c r="CE1546" s="210"/>
      <c r="CF1546" s="210"/>
      <c r="CG1546" s="210"/>
      <c r="CH1546" s="210"/>
      <c r="CI1546" s="210"/>
      <c r="CJ1546" s="210"/>
      <c r="CK1546" s="210"/>
    </row>
    <row r="1547">
      <c r="A1547" s="220"/>
      <c r="F1547" s="190"/>
      <c r="G1547" s="190"/>
      <c r="L1547" s="220"/>
      <c r="M1547" s="220"/>
      <c r="O1547" s="210"/>
      <c r="P1547" s="210"/>
      <c r="Q1547" s="210"/>
      <c r="R1547" s="210"/>
      <c r="S1547" s="210"/>
      <c r="T1547" s="210"/>
      <c r="U1547" s="210"/>
      <c r="V1547" s="210"/>
      <c r="W1547" s="210"/>
      <c r="X1547" s="210"/>
      <c r="Y1547" s="210"/>
      <c r="Z1547" s="210"/>
      <c r="AA1547" s="210"/>
      <c r="AB1547" s="210"/>
      <c r="AC1547" s="210"/>
      <c r="AD1547" s="210"/>
      <c r="AE1547" s="210"/>
      <c r="AF1547" s="210"/>
      <c r="AG1547" s="210"/>
      <c r="AH1547" s="210"/>
      <c r="AI1547" s="210"/>
      <c r="AJ1547" s="210"/>
      <c r="AK1547" s="210"/>
      <c r="AL1547" s="210"/>
      <c r="AM1547" s="214"/>
      <c r="AN1547" s="210"/>
      <c r="AO1547" s="210"/>
      <c r="AP1547" s="210"/>
      <c r="AQ1547" s="210"/>
      <c r="AR1547" s="210"/>
      <c r="AS1547" s="210"/>
      <c r="AT1547" s="210"/>
      <c r="AU1547" s="210"/>
      <c r="AV1547" s="210"/>
      <c r="AW1547" s="210"/>
      <c r="AX1547" s="210"/>
      <c r="AY1547" s="210"/>
      <c r="AZ1547" s="210"/>
      <c r="BA1547" s="210"/>
      <c r="BB1547" s="210"/>
      <c r="BC1547" s="210"/>
      <c r="BD1547" s="210"/>
      <c r="BE1547" s="210"/>
      <c r="BF1547" s="210"/>
      <c r="BG1547" s="210"/>
      <c r="BH1547" s="210"/>
      <c r="BI1547" s="210"/>
      <c r="BJ1547" s="210"/>
      <c r="BK1547" s="210"/>
      <c r="BL1547" s="210"/>
      <c r="BM1547" s="210"/>
      <c r="BN1547" s="210"/>
      <c r="BO1547" s="210"/>
      <c r="BP1547" s="210"/>
      <c r="BQ1547" s="210"/>
      <c r="BR1547" s="210"/>
      <c r="BS1547" s="210"/>
      <c r="BT1547" s="210"/>
      <c r="BU1547" s="210"/>
      <c r="BV1547" s="210"/>
      <c r="BW1547" s="210"/>
      <c r="BX1547" s="210"/>
      <c r="BY1547" s="210"/>
      <c r="BZ1547" s="210"/>
      <c r="CA1547" s="210"/>
      <c r="CB1547" s="210"/>
      <c r="CC1547" s="210"/>
      <c r="CD1547" s="210"/>
      <c r="CE1547" s="210"/>
      <c r="CF1547" s="210"/>
      <c r="CG1547" s="210"/>
      <c r="CH1547" s="210"/>
      <c r="CI1547" s="210"/>
      <c r="CJ1547" s="210"/>
      <c r="CK1547" s="210"/>
    </row>
    <row r="1548">
      <c r="A1548" s="220"/>
      <c r="F1548" s="190"/>
      <c r="G1548" s="190"/>
      <c r="L1548" s="220"/>
      <c r="M1548" s="220"/>
      <c r="O1548" s="210"/>
      <c r="P1548" s="210"/>
      <c r="Q1548" s="210"/>
      <c r="R1548" s="210"/>
      <c r="S1548" s="210"/>
      <c r="T1548" s="210"/>
      <c r="U1548" s="210"/>
      <c r="V1548" s="210"/>
      <c r="W1548" s="210"/>
      <c r="X1548" s="210"/>
      <c r="Y1548" s="210"/>
      <c r="Z1548" s="210"/>
      <c r="AA1548" s="210"/>
      <c r="AB1548" s="210"/>
      <c r="AC1548" s="210"/>
      <c r="AD1548" s="210"/>
      <c r="AE1548" s="210"/>
      <c r="AF1548" s="210"/>
      <c r="AG1548" s="210"/>
      <c r="AH1548" s="210"/>
      <c r="AI1548" s="210"/>
      <c r="AJ1548" s="210"/>
      <c r="AK1548" s="210"/>
      <c r="AL1548" s="210"/>
      <c r="AM1548" s="214"/>
      <c r="AN1548" s="210"/>
      <c r="AO1548" s="210"/>
      <c r="AP1548" s="210"/>
      <c r="AQ1548" s="210"/>
      <c r="AR1548" s="210"/>
      <c r="AS1548" s="210"/>
      <c r="AT1548" s="210"/>
      <c r="AU1548" s="210"/>
      <c r="AV1548" s="210"/>
      <c r="AW1548" s="210"/>
      <c r="AX1548" s="210"/>
      <c r="AY1548" s="210"/>
      <c r="AZ1548" s="210"/>
      <c r="BA1548" s="210"/>
      <c r="BB1548" s="210"/>
      <c r="BC1548" s="210"/>
      <c r="BD1548" s="210"/>
      <c r="BE1548" s="210"/>
      <c r="BF1548" s="210"/>
      <c r="BG1548" s="210"/>
      <c r="BH1548" s="210"/>
      <c r="BI1548" s="210"/>
      <c r="BJ1548" s="210"/>
      <c r="BK1548" s="210"/>
      <c r="BL1548" s="210"/>
      <c r="BM1548" s="210"/>
      <c r="BN1548" s="210"/>
      <c r="BO1548" s="210"/>
      <c r="BP1548" s="210"/>
      <c r="BQ1548" s="210"/>
      <c r="BR1548" s="210"/>
      <c r="BS1548" s="210"/>
      <c r="BT1548" s="210"/>
      <c r="BU1548" s="210"/>
      <c r="BV1548" s="210"/>
      <c r="BW1548" s="210"/>
      <c r="BX1548" s="210"/>
      <c r="BY1548" s="210"/>
      <c r="BZ1548" s="210"/>
      <c r="CA1548" s="210"/>
      <c r="CB1548" s="210"/>
      <c r="CC1548" s="210"/>
      <c r="CD1548" s="210"/>
      <c r="CE1548" s="210"/>
      <c r="CF1548" s="210"/>
      <c r="CG1548" s="210"/>
      <c r="CH1548" s="210"/>
      <c r="CI1548" s="210"/>
      <c r="CJ1548" s="210"/>
      <c r="CK1548" s="210"/>
    </row>
    <row r="1549">
      <c r="A1549" s="220"/>
      <c r="F1549" s="190"/>
      <c r="G1549" s="190"/>
      <c r="L1549" s="220"/>
      <c r="M1549" s="220"/>
      <c r="O1549" s="210"/>
      <c r="P1549" s="210"/>
      <c r="Q1549" s="210"/>
      <c r="R1549" s="210"/>
      <c r="S1549" s="210"/>
      <c r="T1549" s="210"/>
      <c r="U1549" s="210"/>
      <c r="V1549" s="210"/>
      <c r="W1549" s="210"/>
      <c r="X1549" s="210"/>
      <c r="Y1549" s="210"/>
      <c r="Z1549" s="210"/>
      <c r="AA1549" s="210"/>
      <c r="AB1549" s="210"/>
      <c r="AC1549" s="210"/>
      <c r="AD1549" s="210"/>
      <c r="AE1549" s="210"/>
      <c r="AF1549" s="210"/>
      <c r="AG1549" s="210"/>
      <c r="AH1549" s="210"/>
      <c r="AI1549" s="210"/>
      <c r="AJ1549" s="210"/>
      <c r="AK1549" s="210"/>
      <c r="AL1549" s="210"/>
      <c r="AM1549" s="214"/>
      <c r="AN1549" s="210"/>
      <c r="AO1549" s="210"/>
      <c r="AP1549" s="210"/>
      <c r="AQ1549" s="210"/>
      <c r="AR1549" s="210"/>
      <c r="AS1549" s="210"/>
      <c r="AT1549" s="210"/>
      <c r="AU1549" s="210"/>
      <c r="AV1549" s="210"/>
      <c r="AW1549" s="210"/>
      <c r="AX1549" s="210"/>
      <c r="AY1549" s="210"/>
      <c r="AZ1549" s="210"/>
      <c r="BA1549" s="210"/>
      <c r="BB1549" s="210"/>
      <c r="BC1549" s="210"/>
      <c r="BD1549" s="210"/>
      <c r="BE1549" s="210"/>
      <c r="BF1549" s="210"/>
      <c r="BG1549" s="210"/>
      <c r="BH1549" s="210"/>
      <c r="BI1549" s="210"/>
      <c r="BJ1549" s="210"/>
      <c r="BK1549" s="210"/>
      <c r="BL1549" s="210"/>
      <c r="BM1549" s="210"/>
      <c r="BN1549" s="210"/>
      <c r="BO1549" s="210"/>
      <c r="BP1549" s="210"/>
      <c r="BQ1549" s="210"/>
      <c r="BR1549" s="210"/>
      <c r="BS1549" s="210"/>
      <c r="BT1549" s="210"/>
      <c r="BU1549" s="210"/>
      <c r="BV1549" s="210"/>
      <c r="BW1549" s="210"/>
      <c r="BX1549" s="210"/>
      <c r="BY1549" s="210"/>
      <c r="BZ1549" s="210"/>
      <c r="CA1549" s="210"/>
      <c r="CB1549" s="210"/>
      <c r="CC1549" s="210"/>
      <c r="CD1549" s="210"/>
      <c r="CE1549" s="210"/>
      <c r="CF1549" s="210"/>
      <c r="CG1549" s="210"/>
      <c r="CH1549" s="210"/>
      <c r="CI1549" s="210"/>
      <c r="CJ1549" s="210"/>
      <c r="CK1549" s="210"/>
    </row>
    <row r="1550">
      <c r="A1550" s="220"/>
      <c r="F1550" s="190"/>
      <c r="G1550" s="190"/>
      <c r="L1550" s="220"/>
      <c r="M1550" s="220"/>
      <c r="O1550" s="210"/>
      <c r="P1550" s="210"/>
      <c r="Q1550" s="210"/>
      <c r="R1550" s="210"/>
      <c r="S1550" s="210"/>
      <c r="T1550" s="210"/>
      <c r="U1550" s="210"/>
      <c r="V1550" s="210"/>
      <c r="W1550" s="210"/>
      <c r="X1550" s="210"/>
      <c r="Y1550" s="210"/>
      <c r="Z1550" s="210"/>
      <c r="AA1550" s="210"/>
      <c r="AB1550" s="210"/>
      <c r="AC1550" s="210"/>
      <c r="AD1550" s="210"/>
      <c r="AE1550" s="210"/>
      <c r="AF1550" s="210"/>
      <c r="AG1550" s="210"/>
      <c r="AH1550" s="210"/>
      <c r="AI1550" s="210"/>
      <c r="AJ1550" s="210"/>
      <c r="AK1550" s="210"/>
      <c r="AL1550" s="210"/>
      <c r="AM1550" s="214"/>
      <c r="AN1550" s="210"/>
      <c r="AO1550" s="210"/>
      <c r="AP1550" s="210"/>
      <c r="AQ1550" s="210"/>
      <c r="AR1550" s="210"/>
      <c r="AS1550" s="210"/>
      <c r="AT1550" s="210"/>
      <c r="AU1550" s="210"/>
      <c r="AV1550" s="210"/>
      <c r="AW1550" s="210"/>
      <c r="AX1550" s="210"/>
      <c r="AY1550" s="210"/>
      <c r="AZ1550" s="210"/>
      <c r="BA1550" s="210"/>
      <c r="BB1550" s="210"/>
      <c r="BC1550" s="210"/>
      <c r="BD1550" s="210"/>
      <c r="BE1550" s="210"/>
      <c r="BF1550" s="210"/>
      <c r="BG1550" s="210"/>
      <c r="BH1550" s="210"/>
      <c r="BI1550" s="210"/>
      <c r="BJ1550" s="210"/>
      <c r="BK1550" s="210"/>
      <c r="BL1550" s="210"/>
      <c r="BM1550" s="210"/>
      <c r="BN1550" s="210"/>
      <c r="BO1550" s="210"/>
      <c r="BP1550" s="210"/>
      <c r="BQ1550" s="210"/>
      <c r="BR1550" s="210"/>
      <c r="BS1550" s="210"/>
      <c r="BT1550" s="210"/>
      <c r="BU1550" s="210"/>
      <c r="BV1550" s="210"/>
      <c r="BW1550" s="210"/>
      <c r="BX1550" s="210"/>
      <c r="BY1550" s="210"/>
      <c r="BZ1550" s="210"/>
      <c r="CA1550" s="210"/>
      <c r="CB1550" s="210"/>
      <c r="CC1550" s="210"/>
      <c r="CD1550" s="210"/>
      <c r="CE1550" s="210"/>
      <c r="CF1550" s="210"/>
      <c r="CG1550" s="210"/>
      <c r="CH1550" s="210"/>
      <c r="CI1550" s="210"/>
      <c r="CJ1550" s="210"/>
      <c r="CK1550" s="210"/>
    </row>
    <row r="1551">
      <c r="A1551" s="220"/>
      <c r="F1551" s="190"/>
      <c r="G1551" s="190"/>
      <c r="L1551" s="220"/>
      <c r="M1551" s="220"/>
      <c r="O1551" s="210"/>
      <c r="P1551" s="210"/>
      <c r="Q1551" s="210"/>
      <c r="R1551" s="210"/>
      <c r="S1551" s="210"/>
      <c r="T1551" s="210"/>
      <c r="U1551" s="210"/>
      <c r="V1551" s="210"/>
      <c r="W1551" s="210"/>
      <c r="X1551" s="210"/>
      <c r="Y1551" s="210"/>
      <c r="Z1551" s="210"/>
      <c r="AA1551" s="210"/>
      <c r="AB1551" s="210"/>
      <c r="AC1551" s="210"/>
      <c r="AD1551" s="210"/>
      <c r="AE1551" s="210"/>
      <c r="AF1551" s="210"/>
      <c r="AG1551" s="210"/>
      <c r="AH1551" s="210"/>
      <c r="AI1551" s="210"/>
      <c r="AJ1551" s="210"/>
      <c r="AK1551" s="210"/>
      <c r="AL1551" s="210"/>
      <c r="AM1551" s="214"/>
      <c r="AN1551" s="210"/>
      <c r="AO1551" s="210"/>
      <c r="AP1551" s="210"/>
      <c r="AQ1551" s="210"/>
      <c r="AR1551" s="210"/>
      <c r="AS1551" s="210"/>
      <c r="AT1551" s="210"/>
      <c r="AU1551" s="210"/>
      <c r="AV1551" s="210"/>
      <c r="AW1551" s="210"/>
      <c r="AX1551" s="210"/>
      <c r="AY1551" s="210"/>
      <c r="AZ1551" s="210"/>
      <c r="BA1551" s="210"/>
      <c r="BB1551" s="210"/>
      <c r="BC1551" s="210"/>
      <c r="BD1551" s="210"/>
      <c r="BE1551" s="210"/>
      <c r="BF1551" s="210"/>
      <c r="BG1551" s="210"/>
      <c r="BH1551" s="210"/>
      <c r="BI1551" s="210"/>
      <c r="BJ1551" s="210"/>
      <c r="BK1551" s="210"/>
      <c r="BL1551" s="210"/>
      <c r="BM1551" s="210"/>
      <c r="BN1551" s="210"/>
      <c r="BO1551" s="210"/>
      <c r="BP1551" s="210"/>
      <c r="BQ1551" s="210"/>
      <c r="BR1551" s="210"/>
      <c r="BS1551" s="210"/>
      <c r="BT1551" s="210"/>
      <c r="BU1551" s="210"/>
      <c r="BV1551" s="210"/>
      <c r="BW1551" s="210"/>
      <c r="BX1551" s="210"/>
      <c r="BY1551" s="210"/>
      <c r="BZ1551" s="210"/>
      <c r="CA1551" s="210"/>
      <c r="CB1551" s="210"/>
      <c r="CC1551" s="210"/>
      <c r="CD1551" s="210"/>
      <c r="CE1551" s="210"/>
      <c r="CF1551" s="210"/>
      <c r="CG1551" s="210"/>
      <c r="CH1551" s="210"/>
      <c r="CI1551" s="210"/>
      <c r="CJ1551" s="210"/>
      <c r="CK1551" s="210"/>
    </row>
    <row r="1552">
      <c r="A1552" s="220"/>
      <c r="F1552" s="190"/>
      <c r="G1552" s="190"/>
      <c r="L1552" s="220"/>
      <c r="M1552" s="220"/>
      <c r="O1552" s="210"/>
      <c r="P1552" s="210"/>
      <c r="Q1552" s="210"/>
      <c r="R1552" s="210"/>
      <c r="S1552" s="210"/>
      <c r="T1552" s="210"/>
      <c r="U1552" s="210"/>
      <c r="V1552" s="210"/>
      <c r="W1552" s="210"/>
      <c r="X1552" s="210"/>
      <c r="Y1552" s="210"/>
      <c r="Z1552" s="210"/>
      <c r="AA1552" s="210"/>
      <c r="AB1552" s="210"/>
      <c r="AC1552" s="210"/>
      <c r="AD1552" s="210"/>
      <c r="AE1552" s="210"/>
      <c r="AF1552" s="210"/>
      <c r="AG1552" s="210"/>
      <c r="AH1552" s="210"/>
      <c r="AI1552" s="210"/>
      <c r="AJ1552" s="210"/>
      <c r="AK1552" s="210"/>
      <c r="AL1552" s="210"/>
      <c r="AM1552" s="214"/>
      <c r="AN1552" s="210"/>
      <c r="AO1552" s="210"/>
      <c r="AP1552" s="210"/>
      <c r="AQ1552" s="210"/>
      <c r="AR1552" s="210"/>
      <c r="AS1552" s="210"/>
      <c r="AT1552" s="210"/>
      <c r="AU1552" s="210"/>
      <c r="AV1552" s="210"/>
      <c r="AW1552" s="210"/>
      <c r="AX1552" s="210"/>
      <c r="AY1552" s="210"/>
      <c r="AZ1552" s="210"/>
      <c r="BA1552" s="210"/>
      <c r="BB1552" s="210"/>
      <c r="BC1552" s="210"/>
      <c r="BD1552" s="210"/>
      <c r="BE1552" s="210"/>
      <c r="BF1552" s="210"/>
      <c r="BG1552" s="210"/>
      <c r="BH1552" s="210"/>
      <c r="BI1552" s="210"/>
      <c r="BJ1552" s="210"/>
      <c r="BK1552" s="210"/>
      <c r="BL1552" s="210"/>
      <c r="BM1552" s="210"/>
      <c r="BN1552" s="210"/>
      <c r="BO1552" s="210"/>
      <c r="BP1552" s="210"/>
      <c r="BQ1552" s="210"/>
      <c r="BR1552" s="210"/>
      <c r="BS1552" s="210"/>
      <c r="BT1552" s="210"/>
      <c r="BU1552" s="210"/>
      <c r="BV1552" s="210"/>
      <c r="BW1552" s="210"/>
      <c r="BX1552" s="210"/>
      <c r="BY1552" s="210"/>
      <c r="BZ1552" s="210"/>
      <c r="CA1552" s="210"/>
      <c r="CB1552" s="210"/>
      <c r="CC1552" s="210"/>
      <c r="CD1552" s="210"/>
      <c r="CE1552" s="210"/>
      <c r="CF1552" s="210"/>
      <c r="CG1552" s="210"/>
      <c r="CH1552" s="210"/>
      <c r="CI1552" s="210"/>
      <c r="CJ1552" s="210"/>
      <c r="CK1552" s="210"/>
    </row>
    <row r="1553">
      <c r="A1553" s="220"/>
      <c r="F1553" s="190"/>
      <c r="G1553" s="190"/>
      <c r="L1553" s="220"/>
      <c r="M1553" s="220"/>
      <c r="O1553" s="210"/>
      <c r="P1553" s="210"/>
      <c r="Q1553" s="210"/>
      <c r="R1553" s="210"/>
      <c r="S1553" s="210"/>
      <c r="T1553" s="210"/>
      <c r="U1553" s="210"/>
      <c r="V1553" s="210"/>
      <c r="W1553" s="210"/>
      <c r="X1553" s="210"/>
      <c r="Y1553" s="210"/>
      <c r="Z1553" s="210"/>
      <c r="AA1553" s="210"/>
      <c r="AB1553" s="210"/>
      <c r="AC1553" s="210"/>
      <c r="AD1553" s="210"/>
      <c r="AE1553" s="210"/>
      <c r="AF1553" s="210"/>
      <c r="AG1553" s="210"/>
      <c r="AH1553" s="210"/>
      <c r="AI1553" s="210"/>
      <c r="AJ1553" s="210"/>
      <c r="AK1553" s="210"/>
      <c r="AL1553" s="210"/>
      <c r="AM1553" s="214"/>
      <c r="AN1553" s="210"/>
      <c r="AO1553" s="210"/>
      <c r="AP1553" s="210"/>
      <c r="AQ1553" s="210"/>
      <c r="AR1553" s="210"/>
      <c r="AS1553" s="210"/>
      <c r="AT1553" s="210"/>
      <c r="AU1553" s="210"/>
      <c r="AV1553" s="210"/>
      <c r="AW1553" s="210"/>
      <c r="AX1553" s="210"/>
      <c r="AY1553" s="210"/>
      <c r="AZ1553" s="210"/>
      <c r="BA1553" s="210"/>
      <c r="BB1553" s="210"/>
      <c r="BC1553" s="210"/>
      <c r="BD1553" s="210"/>
      <c r="BE1553" s="210"/>
      <c r="BF1553" s="210"/>
      <c r="BG1553" s="210"/>
      <c r="BH1553" s="210"/>
      <c r="BI1553" s="210"/>
      <c r="BJ1553" s="210"/>
      <c r="BK1553" s="210"/>
      <c r="BL1553" s="210"/>
      <c r="BM1553" s="210"/>
      <c r="BN1553" s="210"/>
      <c r="BO1553" s="210"/>
      <c r="BP1553" s="210"/>
      <c r="BQ1553" s="210"/>
      <c r="BR1553" s="210"/>
      <c r="BS1553" s="210"/>
      <c r="BT1553" s="210"/>
      <c r="BU1553" s="210"/>
      <c r="BV1553" s="210"/>
      <c r="BW1553" s="210"/>
      <c r="BX1553" s="210"/>
      <c r="BY1553" s="210"/>
      <c r="BZ1553" s="210"/>
      <c r="CA1553" s="210"/>
      <c r="CB1553" s="210"/>
      <c r="CC1553" s="210"/>
      <c r="CD1553" s="210"/>
      <c r="CE1553" s="210"/>
      <c r="CF1553" s="210"/>
      <c r="CG1553" s="210"/>
      <c r="CH1553" s="210"/>
      <c r="CI1553" s="210"/>
      <c r="CJ1553" s="210"/>
      <c r="CK1553" s="210"/>
    </row>
    <row r="1554">
      <c r="A1554" s="220"/>
      <c r="F1554" s="190"/>
      <c r="G1554" s="190"/>
      <c r="L1554" s="220"/>
      <c r="M1554" s="220"/>
      <c r="O1554" s="210"/>
      <c r="P1554" s="210"/>
      <c r="Q1554" s="210"/>
      <c r="R1554" s="210"/>
      <c r="S1554" s="210"/>
      <c r="T1554" s="210"/>
      <c r="U1554" s="210"/>
      <c r="V1554" s="210"/>
      <c r="W1554" s="210"/>
      <c r="X1554" s="210"/>
      <c r="Y1554" s="210"/>
      <c r="Z1554" s="210"/>
      <c r="AA1554" s="210"/>
      <c r="AB1554" s="210"/>
      <c r="AC1554" s="210"/>
      <c r="AD1554" s="210"/>
      <c r="AE1554" s="210"/>
      <c r="AF1554" s="210"/>
      <c r="AG1554" s="210"/>
      <c r="AH1554" s="210"/>
      <c r="AI1554" s="210"/>
      <c r="AJ1554" s="210"/>
      <c r="AK1554" s="210"/>
      <c r="AL1554" s="210"/>
      <c r="AM1554" s="214"/>
      <c r="AN1554" s="210"/>
      <c r="AO1554" s="210"/>
      <c r="AP1554" s="210"/>
      <c r="AQ1554" s="210"/>
      <c r="AR1554" s="210"/>
      <c r="AS1554" s="210"/>
      <c r="AT1554" s="210"/>
      <c r="AU1554" s="210"/>
      <c r="AV1554" s="210"/>
      <c r="AW1554" s="210"/>
      <c r="AX1554" s="210"/>
      <c r="AY1554" s="210"/>
      <c r="AZ1554" s="210"/>
      <c r="BA1554" s="210"/>
      <c r="BB1554" s="210"/>
      <c r="BC1554" s="210"/>
      <c r="BD1554" s="210"/>
      <c r="BE1554" s="210"/>
      <c r="BF1554" s="210"/>
      <c r="BG1554" s="210"/>
      <c r="BH1554" s="210"/>
      <c r="BI1554" s="210"/>
      <c r="BJ1554" s="210"/>
      <c r="BK1554" s="210"/>
      <c r="BL1554" s="210"/>
      <c r="BM1554" s="210"/>
      <c r="BN1554" s="210"/>
      <c r="BO1554" s="210"/>
      <c r="BP1554" s="210"/>
      <c r="BQ1554" s="210"/>
      <c r="BR1554" s="210"/>
      <c r="BS1554" s="210"/>
      <c r="BT1554" s="210"/>
      <c r="BU1554" s="210"/>
      <c r="BV1554" s="210"/>
      <c r="BW1554" s="210"/>
      <c r="BX1554" s="210"/>
      <c r="BY1554" s="210"/>
      <c r="BZ1554" s="210"/>
      <c r="CA1554" s="210"/>
      <c r="CB1554" s="210"/>
      <c r="CC1554" s="210"/>
      <c r="CD1554" s="210"/>
      <c r="CE1554" s="210"/>
      <c r="CF1554" s="210"/>
      <c r="CG1554" s="210"/>
      <c r="CH1554" s="210"/>
      <c r="CI1554" s="210"/>
      <c r="CJ1554" s="210"/>
      <c r="CK1554" s="210"/>
    </row>
    <row r="1555">
      <c r="A1555" s="220"/>
      <c r="F1555" s="190"/>
      <c r="G1555" s="190"/>
      <c r="L1555" s="220"/>
      <c r="M1555" s="220"/>
      <c r="O1555" s="210"/>
      <c r="P1555" s="210"/>
      <c r="Q1555" s="210"/>
      <c r="R1555" s="210"/>
      <c r="S1555" s="210"/>
      <c r="T1555" s="210"/>
      <c r="U1555" s="210"/>
      <c r="V1555" s="210"/>
      <c r="W1555" s="210"/>
      <c r="X1555" s="210"/>
      <c r="Y1555" s="210"/>
      <c r="Z1555" s="210"/>
      <c r="AA1555" s="210"/>
      <c r="AB1555" s="210"/>
      <c r="AC1555" s="210"/>
      <c r="AD1555" s="210"/>
      <c r="AE1555" s="210"/>
      <c r="AF1555" s="210"/>
      <c r="AG1555" s="210"/>
      <c r="AH1555" s="210"/>
      <c r="AI1555" s="210"/>
      <c r="AJ1555" s="210"/>
      <c r="AK1555" s="210"/>
      <c r="AL1555" s="210"/>
      <c r="AM1555" s="214"/>
      <c r="AN1555" s="210"/>
      <c r="AO1555" s="210"/>
      <c r="AP1555" s="210"/>
      <c r="AQ1555" s="210"/>
      <c r="AR1555" s="210"/>
      <c r="AS1555" s="210"/>
      <c r="AT1555" s="210"/>
      <c r="AU1555" s="210"/>
      <c r="AV1555" s="210"/>
      <c r="AW1555" s="210"/>
      <c r="AX1555" s="210"/>
      <c r="AY1555" s="210"/>
      <c r="AZ1555" s="210"/>
      <c r="BA1555" s="210"/>
      <c r="BB1555" s="210"/>
      <c r="BC1555" s="210"/>
      <c r="BD1555" s="210"/>
      <c r="BE1555" s="210"/>
      <c r="BF1555" s="210"/>
      <c r="BG1555" s="210"/>
      <c r="BH1555" s="210"/>
      <c r="BI1555" s="210"/>
      <c r="BJ1555" s="210"/>
      <c r="BK1555" s="210"/>
      <c r="BL1555" s="210"/>
      <c r="BM1555" s="210"/>
      <c r="BN1555" s="210"/>
      <c r="BO1555" s="210"/>
      <c r="BP1555" s="210"/>
      <c r="BQ1555" s="210"/>
      <c r="BR1555" s="210"/>
      <c r="BS1555" s="210"/>
      <c r="BT1555" s="210"/>
      <c r="BU1555" s="210"/>
      <c r="BV1555" s="210"/>
      <c r="BW1555" s="210"/>
      <c r="BX1555" s="210"/>
      <c r="BY1555" s="210"/>
      <c r="BZ1555" s="210"/>
      <c r="CA1555" s="210"/>
      <c r="CB1555" s="210"/>
      <c r="CC1555" s="210"/>
      <c r="CD1555" s="210"/>
      <c r="CE1555" s="210"/>
      <c r="CF1555" s="210"/>
      <c r="CG1555" s="210"/>
      <c r="CH1555" s="210"/>
      <c r="CI1555" s="210"/>
      <c r="CJ1555" s="210"/>
      <c r="CK1555" s="210"/>
    </row>
    <row r="1556">
      <c r="A1556" s="220"/>
      <c r="F1556" s="190"/>
      <c r="G1556" s="190"/>
      <c r="L1556" s="220"/>
      <c r="M1556" s="220"/>
      <c r="O1556" s="210"/>
      <c r="P1556" s="210"/>
      <c r="Q1556" s="210"/>
      <c r="R1556" s="210"/>
      <c r="S1556" s="210"/>
      <c r="T1556" s="210"/>
      <c r="U1556" s="210"/>
      <c r="V1556" s="210"/>
      <c r="W1556" s="210"/>
      <c r="X1556" s="210"/>
      <c r="Y1556" s="210"/>
      <c r="Z1556" s="210"/>
      <c r="AA1556" s="210"/>
      <c r="AB1556" s="210"/>
      <c r="AC1556" s="210"/>
      <c r="AD1556" s="210"/>
      <c r="AE1556" s="210"/>
      <c r="AF1556" s="210"/>
      <c r="AG1556" s="210"/>
      <c r="AH1556" s="210"/>
      <c r="AI1556" s="210"/>
      <c r="AJ1556" s="210"/>
      <c r="AK1556" s="210"/>
      <c r="AL1556" s="210"/>
      <c r="AM1556" s="214"/>
      <c r="AN1556" s="210"/>
      <c r="AO1556" s="210"/>
      <c r="AP1556" s="210"/>
      <c r="AQ1556" s="210"/>
      <c r="AR1556" s="210"/>
      <c r="AS1556" s="210"/>
      <c r="AT1556" s="210"/>
      <c r="AU1556" s="210"/>
      <c r="AV1556" s="210"/>
      <c r="AW1556" s="210"/>
      <c r="AX1556" s="210"/>
      <c r="AY1556" s="210"/>
      <c r="AZ1556" s="210"/>
      <c r="BA1556" s="210"/>
      <c r="BB1556" s="210"/>
      <c r="BC1556" s="210"/>
      <c r="BD1556" s="210"/>
      <c r="BE1556" s="210"/>
      <c r="BF1556" s="210"/>
      <c r="BG1556" s="210"/>
      <c r="BH1556" s="210"/>
      <c r="BI1556" s="210"/>
      <c r="BJ1556" s="210"/>
      <c r="BK1556" s="210"/>
      <c r="BL1556" s="210"/>
      <c r="BM1556" s="210"/>
      <c r="BN1556" s="210"/>
      <c r="BO1556" s="210"/>
      <c r="BP1556" s="210"/>
      <c r="BQ1556" s="210"/>
      <c r="BR1556" s="210"/>
      <c r="BS1556" s="210"/>
      <c r="BT1556" s="210"/>
      <c r="BU1556" s="210"/>
      <c r="BV1556" s="210"/>
      <c r="BW1556" s="210"/>
      <c r="BX1556" s="210"/>
      <c r="BY1556" s="210"/>
      <c r="BZ1556" s="210"/>
      <c r="CA1556" s="210"/>
      <c r="CB1556" s="210"/>
      <c r="CC1556" s="210"/>
      <c r="CD1556" s="210"/>
      <c r="CE1556" s="210"/>
      <c r="CF1556" s="210"/>
      <c r="CG1556" s="210"/>
      <c r="CH1556" s="210"/>
      <c r="CI1556" s="210"/>
      <c r="CJ1556" s="210"/>
      <c r="CK1556" s="210"/>
    </row>
    <row r="1557">
      <c r="A1557" s="220"/>
      <c r="F1557" s="190"/>
      <c r="G1557" s="190"/>
      <c r="L1557" s="220"/>
      <c r="M1557" s="220"/>
      <c r="O1557" s="210"/>
      <c r="P1557" s="210"/>
      <c r="Q1557" s="210"/>
      <c r="R1557" s="210"/>
      <c r="S1557" s="210"/>
      <c r="T1557" s="210"/>
      <c r="U1557" s="210"/>
      <c r="V1557" s="210"/>
      <c r="W1557" s="210"/>
      <c r="X1557" s="210"/>
      <c r="Y1557" s="210"/>
      <c r="Z1557" s="210"/>
      <c r="AA1557" s="210"/>
      <c r="AB1557" s="210"/>
      <c r="AC1557" s="210"/>
      <c r="AD1557" s="210"/>
      <c r="AE1557" s="210"/>
      <c r="AF1557" s="210"/>
      <c r="AG1557" s="210"/>
      <c r="AH1557" s="210"/>
      <c r="AI1557" s="210"/>
      <c r="AJ1557" s="210"/>
      <c r="AK1557" s="210"/>
      <c r="AL1557" s="210"/>
      <c r="AM1557" s="214"/>
      <c r="AN1557" s="210"/>
      <c r="AO1557" s="210"/>
      <c r="AP1557" s="210"/>
      <c r="AQ1557" s="210"/>
      <c r="AR1557" s="210"/>
      <c r="AS1557" s="210"/>
      <c r="AT1557" s="210"/>
      <c r="AU1557" s="210"/>
      <c r="AV1557" s="210"/>
      <c r="AW1557" s="210"/>
      <c r="AX1557" s="210"/>
      <c r="AY1557" s="210"/>
      <c r="AZ1557" s="210"/>
      <c r="BA1557" s="210"/>
      <c r="BB1557" s="210"/>
      <c r="BC1557" s="210"/>
      <c r="BD1557" s="210"/>
      <c r="BE1557" s="210"/>
      <c r="BF1557" s="210"/>
      <c r="BG1557" s="210"/>
      <c r="BH1557" s="210"/>
      <c r="BI1557" s="210"/>
      <c r="BJ1557" s="210"/>
      <c r="BK1557" s="210"/>
      <c r="BL1557" s="210"/>
      <c r="BM1557" s="210"/>
      <c r="BN1557" s="210"/>
      <c r="BO1557" s="210"/>
      <c r="BP1557" s="210"/>
      <c r="BQ1557" s="210"/>
      <c r="BR1557" s="210"/>
      <c r="BS1557" s="210"/>
      <c r="BT1557" s="210"/>
      <c r="BU1557" s="210"/>
      <c r="BV1557" s="210"/>
      <c r="BW1557" s="210"/>
      <c r="BX1557" s="210"/>
      <c r="BY1557" s="210"/>
      <c r="BZ1557" s="210"/>
      <c r="CA1557" s="210"/>
      <c r="CB1557" s="210"/>
      <c r="CC1557" s="210"/>
      <c r="CD1557" s="210"/>
      <c r="CE1557" s="210"/>
      <c r="CF1557" s="210"/>
      <c r="CG1557" s="210"/>
      <c r="CH1557" s="210"/>
      <c r="CI1557" s="210"/>
      <c r="CJ1557" s="210"/>
      <c r="CK1557" s="210"/>
    </row>
    <row r="1558">
      <c r="A1558" s="220"/>
      <c r="F1558" s="190"/>
      <c r="G1558" s="190"/>
      <c r="L1558" s="220"/>
      <c r="M1558" s="220"/>
      <c r="O1558" s="210"/>
      <c r="P1558" s="210"/>
      <c r="Q1558" s="210"/>
      <c r="R1558" s="210"/>
      <c r="S1558" s="210"/>
      <c r="T1558" s="210"/>
      <c r="U1558" s="210"/>
      <c r="V1558" s="210"/>
      <c r="W1558" s="210"/>
      <c r="X1558" s="210"/>
      <c r="Y1558" s="210"/>
      <c r="Z1558" s="210"/>
      <c r="AA1558" s="210"/>
      <c r="AB1558" s="210"/>
      <c r="AC1558" s="210"/>
      <c r="AD1558" s="210"/>
      <c r="AE1558" s="210"/>
      <c r="AF1558" s="210"/>
      <c r="AG1558" s="210"/>
      <c r="AH1558" s="210"/>
      <c r="AI1558" s="210"/>
      <c r="AJ1558" s="210"/>
      <c r="AK1558" s="210"/>
      <c r="AL1558" s="210"/>
      <c r="AM1558" s="214"/>
      <c r="AN1558" s="210"/>
      <c r="AO1558" s="210"/>
      <c r="AP1558" s="210"/>
      <c r="AQ1558" s="210"/>
      <c r="AR1558" s="210"/>
      <c r="AS1558" s="210"/>
      <c r="AT1558" s="210"/>
      <c r="AU1558" s="210"/>
      <c r="AV1558" s="210"/>
      <c r="AW1558" s="210"/>
      <c r="AX1558" s="210"/>
      <c r="AY1558" s="210"/>
      <c r="AZ1558" s="210"/>
      <c r="BA1558" s="210"/>
      <c r="BB1558" s="210"/>
      <c r="BC1558" s="210"/>
      <c r="BD1558" s="210"/>
      <c r="BE1558" s="210"/>
      <c r="BF1558" s="210"/>
      <c r="BG1558" s="210"/>
      <c r="BH1558" s="210"/>
      <c r="BI1558" s="210"/>
      <c r="BJ1558" s="210"/>
      <c r="BK1558" s="210"/>
      <c r="BL1558" s="210"/>
      <c r="BM1558" s="210"/>
      <c r="BN1558" s="210"/>
      <c r="BO1558" s="210"/>
      <c r="BP1558" s="210"/>
      <c r="BQ1558" s="210"/>
      <c r="BR1558" s="210"/>
      <c r="BS1558" s="210"/>
      <c r="BT1558" s="210"/>
      <c r="BU1558" s="210"/>
      <c r="BV1558" s="210"/>
      <c r="BW1558" s="210"/>
      <c r="BX1558" s="210"/>
      <c r="BY1558" s="210"/>
      <c r="BZ1558" s="210"/>
      <c r="CA1558" s="210"/>
      <c r="CB1558" s="210"/>
      <c r="CC1558" s="210"/>
      <c r="CD1558" s="210"/>
      <c r="CE1558" s="210"/>
      <c r="CF1558" s="210"/>
      <c r="CG1558" s="210"/>
      <c r="CH1558" s="210"/>
      <c r="CI1558" s="210"/>
      <c r="CJ1558" s="210"/>
      <c r="CK1558" s="210"/>
    </row>
    <row r="1559">
      <c r="A1559" s="220"/>
      <c r="F1559" s="190"/>
      <c r="G1559" s="190"/>
      <c r="L1559" s="220"/>
      <c r="M1559" s="220"/>
      <c r="O1559" s="210"/>
      <c r="P1559" s="210"/>
      <c r="Q1559" s="210"/>
      <c r="R1559" s="210"/>
      <c r="S1559" s="210"/>
      <c r="T1559" s="210"/>
      <c r="U1559" s="210"/>
      <c r="V1559" s="210"/>
      <c r="W1559" s="210"/>
      <c r="X1559" s="210"/>
      <c r="Y1559" s="210"/>
      <c r="Z1559" s="210"/>
      <c r="AA1559" s="210"/>
      <c r="AB1559" s="210"/>
      <c r="AC1559" s="210"/>
      <c r="AD1559" s="210"/>
      <c r="AE1559" s="210"/>
      <c r="AF1559" s="210"/>
      <c r="AG1559" s="210"/>
      <c r="AH1559" s="210"/>
      <c r="AI1559" s="210"/>
      <c r="AJ1559" s="210"/>
      <c r="AK1559" s="210"/>
      <c r="AL1559" s="210"/>
      <c r="AM1559" s="214"/>
      <c r="AN1559" s="210"/>
      <c r="AO1559" s="210"/>
      <c r="AP1559" s="210"/>
      <c r="AQ1559" s="210"/>
      <c r="AR1559" s="210"/>
      <c r="AS1559" s="210"/>
      <c r="AT1559" s="210"/>
      <c r="AU1559" s="210"/>
      <c r="AV1559" s="210"/>
      <c r="AW1559" s="210"/>
      <c r="AX1559" s="210"/>
      <c r="AY1559" s="210"/>
      <c r="AZ1559" s="210"/>
      <c r="BA1559" s="210"/>
      <c r="BB1559" s="210"/>
      <c r="BC1559" s="210"/>
      <c r="BD1559" s="210"/>
      <c r="BE1559" s="210"/>
      <c r="BF1559" s="210"/>
      <c r="BG1559" s="210"/>
      <c r="BH1559" s="210"/>
      <c r="BI1559" s="210"/>
      <c r="BJ1559" s="210"/>
      <c r="BK1559" s="210"/>
      <c r="BL1559" s="210"/>
      <c r="BM1559" s="210"/>
      <c r="BN1559" s="210"/>
      <c r="BO1559" s="210"/>
      <c r="BP1559" s="210"/>
      <c r="BQ1559" s="210"/>
      <c r="BR1559" s="210"/>
      <c r="BS1559" s="210"/>
      <c r="BT1559" s="210"/>
      <c r="BU1559" s="210"/>
      <c r="BV1559" s="210"/>
      <c r="BW1559" s="210"/>
      <c r="BX1559" s="210"/>
      <c r="BY1559" s="210"/>
      <c r="BZ1559" s="210"/>
      <c r="CA1559" s="210"/>
      <c r="CB1559" s="210"/>
      <c r="CC1559" s="210"/>
      <c r="CD1559" s="210"/>
      <c r="CE1559" s="210"/>
      <c r="CF1559" s="210"/>
      <c r="CG1559" s="210"/>
      <c r="CH1559" s="210"/>
      <c r="CI1559" s="210"/>
      <c r="CJ1559" s="210"/>
      <c r="CK1559" s="210"/>
    </row>
    <row r="1560">
      <c r="A1560" s="220"/>
      <c r="F1560" s="190"/>
      <c r="G1560" s="190"/>
      <c r="L1560" s="220"/>
      <c r="M1560" s="220"/>
      <c r="O1560" s="210"/>
      <c r="P1560" s="210"/>
      <c r="Q1560" s="210"/>
      <c r="R1560" s="210"/>
      <c r="S1560" s="210"/>
      <c r="T1560" s="210"/>
      <c r="U1560" s="210"/>
      <c r="V1560" s="210"/>
      <c r="W1560" s="210"/>
      <c r="X1560" s="210"/>
      <c r="Y1560" s="210"/>
      <c r="Z1560" s="210"/>
      <c r="AA1560" s="210"/>
      <c r="AB1560" s="210"/>
      <c r="AC1560" s="210"/>
      <c r="AD1560" s="210"/>
      <c r="AE1560" s="210"/>
      <c r="AF1560" s="210"/>
      <c r="AG1560" s="210"/>
      <c r="AH1560" s="210"/>
      <c r="AI1560" s="210"/>
      <c r="AJ1560" s="210"/>
      <c r="AK1560" s="210"/>
      <c r="AL1560" s="210"/>
      <c r="AM1560" s="214"/>
      <c r="AN1560" s="210"/>
      <c r="AO1560" s="210"/>
      <c r="AP1560" s="210"/>
      <c r="AQ1560" s="210"/>
      <c r="AR1560" s="210"/>
      <c r="AS1560" s="210"/>
      <c r="AT1560" s="210"/>
      <c r="AU1560" s="210"/>
      <c r="AV1560" s="210"/>
      <c r="AW1560" s="210"/>
      <c r="AX1560" s="210"/>
      <c r="AY1560" s="210"/>
      <c r="AZ1560" s="210"/>
      <c r="BA1560" s="210"/>
      <c r="BB1560" s="210"/>
      <c r="BC1560" s="210"/>
      <c r="BD1560" s="210"/>
      <c r="BE1560" s="210"/>
      <c r="BF1560" s="210"/>
      <c r="BG1560" s="210"/>
      <c r="BH1560" s="210"/>
      <c r="BI1560" s="210"/>
      <c r="BJ1560" s="210"/>
      <c r="BK1560" s="210"/>
      <c r="BL1560" s="210"/>
      <c r="BM1560" s="210"/>
      <c r="BN1560" s="210"/>
      <c r="BO1560" s="210"/>
      <c r="BP1560" s="210"/>
      <c r="BQ1560" s="210"/>
      <c r="BR1560" s="210"/>
      <c r="BS1560" s="210"/>
      <c r="BT1560" s="210"/>
      <c r="BU1560" s="210"/>
      <c r="BV1560" s="210"/>
      <c r="BW1560" s="210"/>
      <c r="BX1560" s="210"/>
      <c r="BY1560" s="210"/>
      <c r="BZ1560" s="210"/>
      <c r="CA1560" s="210"/>
      <c r="CB1560" s="210"/>
      <c r="CC1560" s="210"/>
      <c r="CD1560" s="210"/>
      <c r="CE1560" s="210"/>
      <c r="CF1560" s="210"/>
      <c r="CG1560" s="210"/>
      <c r="CH1560" s="210"/>
      <c r="CI1560" s="210"/>
      <c r="CJ1560" s="210"/>
      <c r="CK1560" s="210"/>
    </row>
    <row r="1561">
      <c r="A1561" s="220"/>
      <c r="F1561" s="190"/>
      <c r="G1561" s="190"/>
      <c r="L1561" s="220"/>
      <c r="M1561" s="220"/>
      <c r="O1561" s="210"/>
      <c r="P1561" s="210"/>
      <c r="Q1561" s="210"/>
      <c r="R1561" s="210"/>
      <c r="S1561" s="210"/>
      <c r="T1561" s="210"/>
      <c r="U1561" s="210"/>
      <c r="V1561" s="210"/>
      <c r="W1561" s="210"/>
      <c r="X1561" s="210"/>
      <c r="Y1561" s="210"/>
      <c r="Z1561" s="210"/>
      <c r="AA1561" s="210"/>
      <c r="AB1561" s="210"/>
      <c r="AC1561" s="210"/>
      <c r="AD1561" s="210"/>
      <c r="AE1561" s="210"/>
      <c r="AF1561" s="210"/>
      <c r="AG1561" s="210"/>
      <c r="AH1561" s="210"/>
      <c r="AI1561" s="210"/>
      <c r="AJ1561" s="210"/>
      <c r="AK1561" s="210"/>
      <c r="AL1561" s="210"/>
      <c r="AM1561" s="214"/>
      <c r="AN1561" s="210"/>
      <c r="AO1561" s="210"/>
      <c r="AP1561" s="210"/>
      <c r="AQ1561" s="210"/>
      <c r="AR1561" s="210"/>
      <c r="AS1561" s="210"/>
      <c r="AT1561" s="210"/>
      <c r="AU1561" s="210"/>
      <c r="AV1561" s="210"/>
      <c r="AW1561" s="210"/>
      <c r="AX1561" s="210"/>
      <c r="AY1561" s="210"/>
      <c r="AZ1561" s="210"/>
      <c r="BA1561" s="210"/>
      <c r="BB1561" s="210"/>
      <c r="BC1561" s="210"/>
      <c r="BD1561" s="210"/>
      <c r="BE1561" s="210"/>
      <c r="BF1561" s="210"/>
      <c r="BG1561" s="210"/>
      <c r="BH1561" s="210"/>
      <c r="BI1561" s="210"/>
      <c r="BJ1561" s="210"/>
      <c r="BK1561" s="210"/>
      <c r="BL1561" s="210"/>
      <c r="BM1561" s="210"/>
      <c r="BN1561" s="210"/>
      <c r="BO1561" s="210"/>
      <c r="BP1561" s="210"/>
      <c r="BQ1561" s="210"/>
      <c r="BR1561" s="210"/>
      <c r="BS1561" s="210"/>
      <c r="BT1561" s="210"/>
      <c r="BU1561" s="210"/>
      <c r="BV1561" s="210"/>
      <c r="BW1561" s="210"/>
      <c r="BX1561" s="210"/>
      <c r="BY1561" s="210"/>
      <c r="BZ1561" s="210"/>
      <c r="CA1561" s="210"/>
      <c r="CB1561" s="210"/>
      <c r="CC1561" s="210"/>
      <c r="CD1561" s="210"/>
      <c r="CE1561" s="210"/>
      <c r="CF1561" s="210"/>
      <c r="CG1561" s="210"/>
      <c r="CH1561" s="210"/>
      <c r="CI1561" s="210"/>
      <c r="CJ1561" s="210"/>
      <c r="CK1561" s="210"/>
    </row>
    <row r="1562">
      <c r="A1562" s="220"/>
      <c r="F1562" s="190"/>
      <c r="G1562" s="190"/>
      <c r="L1562" s="220"/>
      <c r="M1562" s="220"/>
      <c r="O1562" s="210"/>
      <c r="P1562" s="210"/>
      <c r="Q1562" s="210"/>
      <c r="R1562" s="210"/>
      <c r="S1562" s="210"/>
      <c r="T1562" s="210"/>
      <c r="U1562" s="210"/>
      <c r="V1562" s="210"/>
      <c r="W1562" s="210"/>
      <c r="X1562" s="210"/>
      <c r="Y1562" s="210"/>
      <c r="Z1562" s="210"/>
      <c r="AA1562" s="210"/>
      <c r="AB1562" s="210"/>
      <c r="AC1562" s="210"/>
      <c r="AD1562" s="210"/>
      <c r="AE1562" s="210"/>
      <c r="AF1562" s="210"/>
      <c r="AG1562" s="210"/>
      <c r="AH1562" s="210"/>
      <c r="AI1562" s="210"/>
      <c r="AJ1562" s="210"/>
      <c r="AK1562" s="210"/>
      <c r="AL1562" s="210"/>
      <c r="AM1562" s="214"/>
      <c r="AN1562" s="210"/>
      <c r="AO1562" s="210"/>
      <c r="AP1562" s="210"/>
      <c r="AQ1562" s="210"/>
      <c r="AR1562" s="210"/>
      <c r="AS1562" s="210"/>
      <c r="AT1562" s="210"/>
      <c r="AU1562" s="210"/>
      <c r="AV1562" s="210"/>
      <c r="AW1562" s="210"/>
      <c r="AX1562" s="210"/>
      <c r="AY1562" s="210"/>
      <c r="AZ1562" s="210"/>
      <c r="BA1562" s="210"/>
      <c r="BB1562" s="210"/>
      <c r="BC1562" s="210"/>
      <c r="BD1562" s="210"/>
      <c r="BE1562" s="210"/>
      <c r="BF1562" s="210"/>
      <c r="BG1562" s="210"/>
      <c r="BH1562" s="210"/>
      <c r="BI1562" s="210"/>
      <c r="BJ1562" s="210"/>
      <c r="BK1562" s="210"/>
      <c r="BL1562" s="210"/>
      <c r="BM1562" s="210"/>
      <c r="BN1562" s="210"/>
      <c r="BO1562" s="210"/>
      <c r="BP1562" s="210"/>
      <c r="BQ1562" s="210"/>
      <c r="BR1562" s="210"/>
      <c r="BS1562" s="210"/>
      <c r="BT1562" s="210"/>
      <c r="BU1562" s="210"/>
      <c r="BV1562" s="210"/>
      <c r="BW1562" s="210"/>
      <c r="BX1562" s="210"/>
      <c r="BY1562" s="210"/>
      <c r="BZ1562" s="210"/>
      <c r="CA1562" s="210"/>
      <c r="CB1562" s="210"/>
      <c r="CC1562" s="210"/>
      <c r="CD1562" s="210"/>
      <c r="CE1562" s="210"/>
      <c r="CF1562" s="210"/>
      <c r="CG1562" s="210"/>
      <c r="CH1562" s="210"/>
      <c r="CI1562" s="210"/>
      <c r="CJ1562" s="210"/>
      <c r="CK1562" s="210"/>
    </row>
    <row r="1563">
      <c r="A1563" s="220"/>
      <c r="F1563" s="190"/>
      <c r="G1563" s="190"/>
      <c r="L1563" s="220"/>
      <c r="M1563" s="220"/>
      <c r="O1563" s="210"/>
      <c r="P1563" s="210"/>
      <c r="Q1563" s="210"/>
      <c r="R1563" s="210"/>
      <c r="S1563" s="210"/>
      <c r="T1563" s="210"/>
      <c r="U1563" s="210"/>
      <c r="V1563" s="210"/>
      <c r="W1563" s="210"/>
      <c r="X1563" s="210"/>
      <c r="Y1563" s="210"/>
      <c r="Z1563" s="210"/>
      <c r="AA1563" s="210"/>
      <c r="AB1563" s="210"/>
      <c r="AC1563" s="210"/>
      <c r="AD1563" s="210"/>
      <c r="AE1563" s="210"/>
      <c r="AF1563" s="210"/>
      <c r="AG1563" s="210"/>
      <c r="AH1563" s="210"/>
      <c r="AI1563" s="210"/>
      <c r="AJ1563" s="210"/>
      <c r="AK1563" s="210"/>
      <c r="AL1563" s="210"/>
      <c r="AM1563" s="214"/>
      <c r="AN1563" s="210"/>
      <c r="AO1563" s="210"/>
      <c r="AP1563" s="210"/>
      <c r="AQ1563" s="210"/>
      <c r="AR1563" s="210"/>
      <c r="AS1563" s="210"/>
      <c r="AT1563" s="210"/>
      <c r="AU1563" s="210"/>
      <c r="AV1563" s="210"/>
      <c r="AW1563" s="210"/>
      <c r="AX1563" s="210"/>
      <c r="AY1563" s="210"/>
      <c r="AZ1563" s="210"/>
      <c r="BA1563" s="210"/>
      <c r="BB1563" s="210"/>
      <c r="BC1563" s="210"/>
      <c r="BD1563" s="210"/>
      <c r="BE1563" s="210"/>
      <c r="BF1563" s="210"/>
      <c r="BG1563" s="210"/>
      <c r="BH1563" s="210"/>
      <c r="BI1563" s="210"/>
      <c r="BJ1563" s="210"/>
      <c r="BK1563" s="210"/>
      <c r="BL1563" s="210"/>
      <c r="BM1563" s="210"/>
      <c r="BN1563" s="210"/>
      <c r="BO1563" s="210"/>
      <c r="BP1563" s="210"/>
      <c r="BQ1563" s="210"/>
      <c r="BR1563" s="210"/>
      <c r="BS1563" s="210"/>
      <c r="BT1563" s="210"/>
      <c r="BU1563" s="210"/>
      <c r="BV1563" s="210"/>
      <c r="BW1563" s="210"/>
      <c r="BX1563" s="210"/>
      <c r="BY1563" s="210"/>
      <c r="BZ1563" s="210"/>
      <c r="CA1563" s="210"/>
      <c r="CB1563" s="210"/>
      <c r="CC1563" s="210"/>
      <c r="CD1563" s="210"/>
      <c r="CE1563" s="210"/>
      <c r="CF1563" s="210"/>
      <c r="CG1563" s="210"/>
      <c r="CH1563" s="210"/>
      <c r="CI1563" s="210"/>
      <c r="CJ1563" s="210"/>
      <c r="CK1563" s="210"/>
    </row>
    <row r="1564">
      <c r="A1564" s="220"/>
      <c r="F1564" s="190"/>
      <c r="G1564" s="190"/>
      <c r="L1564" s="220"/>
      <c r="M1564" s="220"/>
      <c r="O1564" s="210"/>
      <c r="P1564" s="210"/>
      <c r="Q1564" s="210"/>
      <c r="R1564" s="210"/>
      <c r="S1564" s="210"/>
      <c r="T1564" s="210"/>
      <c r="U1564" s="210"/>
      <c r="V1564" s="210"/>
      <c r="W1564" s="210"/>
      <c r="X1564" s="210"/>
      <c r="Y1564" s="210"/>
      <c r="Z1564" s="210"/>
      <c r="AA1564" s="210"/>
      <c r="AB1564" s="210"/>
      <c r="AC1564" s="210"/>
      <c r="AD1564" s="210"/>
      <c r="AE1564" s="210"/>
      <c r="AF1564" s="210"/>
      <c r="AG1564" s="210"/>
      <c r="AH1564" s="210"/>
      <c r="AI1564" s="210"/>
      <c r="AJ1564" s="210"/>
      <c r="AK1564" s="210"/>
      <c r="AL1564" s="210"/>
      <c r="AM1564" s="214"/>
      <c r="AN1564" s="210"/>
      <c r="AO1564" s="210"/>
      <c r="AP1564" s="210"/>
      <c r="AQ1564" s="210"/>
      <c r="AR1564" s="210"/>
      <c r="AS1564" s="210"/>
      <c r="AT1564" s="210"/>
      <c r="AU1564" s="210"/>
      <c r="AV1564" s="210"/>
      <c r="AW1564" s="210"/>
      <c r="AX1564" s="210"/>
      <c r="AY1564" s="210"/>
      <c r="AZ1564" s="210"/>
      <c r="BA1564" s="210"/>
      <c r="BB1564" s="210"/>
      <c r="BC1564" s="210"/>
      <c r="BD1564" s="210"/>
      <c r="BE1564" s="210"/>
      <c r="BF1564" s="210"/>
      <c r="BG1564" s="210"/>
      <c r="BH1564" s="210"/>
      <c r="BI1564" s="210"/>
      <c r="BJ1564" s="210"/>
      <c r="BK1564" s="210"/>
      <c r="BL1564" s="210"/>
      <c r="BM1564" s="210"/>
      <c r="BN1564" s="210"/>
      <c r="BO1564" s="210"/>
      <c r="BP1564" s="210"/>
      <c r="BQ1564" s="210"/>
      <c r="BR1564" s="210"/>
      <c r="BS1564" s="210"/>
      <c r="BT1564" s="210"/>
      <c r="BU1564" s="210"/>
      <c r="BV1564" s="210"/>
      <c r="BW1564" s="210"/>
      <c r="BX1564" s="210"/>
      <c r="BY1564" s="210"/>
      <c r="BZ1564" s="210"/>
      <c r="CA1564" s="210"/>
      <c r="CB1564" s="210"/>
      <c r="CC1564" s="210"/>
      <c r="CD1564" s="210"/>
      <c r="CE1564" s="210"/>
      <c r="CF1564" s="210"/>
      <c r="CG1564" s="210"/>
      <c r="CH1564" s="210"/>
      <c r="CI1564" s="210"/>
      <c r="CJ1564" s="210"/>
      <c r="CK1564" s="210"/>
    </row>
    <row r="1565">
      <c r="A1565" s="220"/>
      <c r="F1565" s="190"/>
      <c r="G1565" s="190"/>
      <c r="L1565" s="220"/>
      <c r="M1565" s="220"/>
      <c r="O1565" s="210"/>
      <c r="P1565" s="210"/>
      <c r="Q1565" s="210"/>
      <c r="R1565" s="210"/>
      <c r="S1565" s="210"/>
      <c r="T1565" s="210"/>
      <c r="U1565" s="210"/>
      <c r="V1565" s="210"/>
      <c r="W1565" s="210"/>
      <c r="X1565" s="210"/>
      <c r="Y1565" s="210"/>
      <c r="Z1565" s="210"/>
      <c r="AA1565" s="210"/>
      <c r="AB1565" s="210"/>
      <c r="AC1565" s="210"/>
      <c r="AD1565" s="210"/>
      <c r="AE1565" s="210"/>
      <c r="AF1565" s="210"/>
      <c r="AG1565" s="210"/>
      <c r="AH1565" s="210"/>
      <c r="AI1565" s="210"/>
      <c r="AJ1565" s="210"/>
      <c r="AK1565" s="210"/>
      <c r="AL1565" s="210"/>
      <c r="AM1565" s="214"/>
      <c r="AN1565" s="210"/>
      <c r="AO1565" s="210"/>
      <c r="AP1565" s="210"/>
      <c r="AQ1565" s="210"/>
      <c r="AR1565" s="210"/>
      <c r="AS1565" s="210"/>
      <c r="AT1565" s="210"/>
      <c r="AU1565" s="210"/>
      <c r="AV1565" s="210"/>
      <c r="AW1565" s="210"/>
      <c r="AX1565" s="210"/>
      <c r="AY1565" s="210"/>
      <c r="AZ1565" s="210"/>
      <c r="BA1565" s="210"/>
      <c r="BB1565" s="210"/>
      <c r="BC1565" s="210"/>
      <c r="BD1565" s="210"/>
      <c r="BE1565" s="210"/>
      <c r="BF1565" s="210"/>
      <c r="BG1565" s="210"/>
      <c r="BH1565" s="210"/>
      <c r="BI1565" s="210"/>
      <c r="BJ1565" s="210"/>
      <c r="BK1565" s="210"/>
      <c r="BL1565" s="210"/>
      <c r="BM1565" s="210"/>
      <c r="BN1565" s="210"/>
      <c r="BO1565" s="210"/>
      <c r="BP1565" s="210"/>
      <c r="BQ1565" s="210"/>
      <c r="BR1565" s="210"/>
      <c r="BS1565" s="210"/>
      <c r="BT1565" s="210"/>
      <c r="BU1565" s="210"/>
      <c r="BV1565" s="210"/>
      <c r="BW1565" s="210"/>
      <c r="BX1565" s="210"/>
      <c r="BY1565" s="210"/>
      <c r="BZ1565" s="210"/>
      <c r="CA1565" s="210"/>
      <c r="CB1565" s="210"/>
      <c r="CC1565" s="210"/>
      <c r="CD1565" s="210"/>
      <c r="CE1565" s="210"/>
      <c r="CF1565" s="210"/>
      <c r="CG1565" s="210"/>
      <c r="CH1565" s="210"/>
      <c r="CI1565" s="210"/>
      <c r="CJ1565" s="210"/>
      <c r="CK1565" s="210"/>
    </row>
    <row r="1566">
      <c r="A1566" s="220"/>
      <c r="F1566" s="190"/>
      <c r="G1566" s="190"/>
      <c r="L1566" s="220"/>
      <c r="M1566" s="220"/>
      <c r="O1566" s="210"/>
      <c r="P1566" s="210"/>
      <c r="Q1566" s="210"/>
      <c r="R1566" s="210"/>
      <c r="S1566" s="210"/>
      <c r="T1566" s="210"/>
      <c r="U1566" s="210"/>
      <c r="V1566" s="210"/>
      <c r="W1566" s="210"/>
      <c r="X1566" s="210"/>
      <c r="Y1566" s="210"/>
      <c r="Z1566" s="210"/>
      <c r="AA1566" s="210"/>
      <c r="AB1566" s="210"/>
      <c r="AC1566" s="210"/>
      <c r="AD1566" s="210"/>
      <c r="AE1566" s="210"/>
      <c r="AF1566" s="210"/>
      <c r="AG1566" s="210"/>
      <c r="AH1566" s="210"/>
      <c r="AI1566" s="210"/>
      <c r="AJ1566" s="210"/>
      <c r="AK1566" s="210"/>
      <c r="AL1566" s="210"/>
      <c r="AM1566" s="214"/>
      <c r="AN1566" s="210"/>
      <c r="AO1566" s="210"/>
      <c r="AP1566" s="210"/>
      <c r="AQ1566" s="210"/>
      <c r="AR1566" s="210"/>
      <c r="AS1566" s="210"/>
      <c r="AT1566" s="210"/>
      <c r="AU1566" s="210"/>
      <c r="AV1566" s="210"/>
      <c r="AW1566" s="210"/>
      <c r="AX1566" s="210"/>
      <c r="AY1566" s="210"/>
      <c r="AZ1566" s="210"/>
      <c r="BA1566" s="210"/>
      <c r="BB1566" s="210"/>
      <c r="BC1566" s="210"/>
      <c r="BD1566" s="210"/>
      <c r="BE1566" s="210"/>
      <c r="BF1566" s="210"/>
      <c r="BG1566" s="210"/>
      <c r="BH1566" s="210"/>
      <c r="BI1566" s="210"/>
      <c r="BJ1566" s="210"/>
      <c r="BK1566" s="210"/>
      <c r="BL1566" s="210"/>
      <c r="BM1566" s="210"/>
      <c r="BN1566" s="210"/>
      <c r="BO1566" s="210"/>
      <c r="BP1566" s="210"/>
      <c r="BQ1566" s="210"/>
      <c r="BR1566" s="210"/>
      <c r="BS1566" s="210"/>
      <c r="BT1566" s="210"/>
      <c r="BU1566" s="210"/>
      <c r="BV1566" s="210"/>
      <c r="BW1566" s="210"/>
      <c r="BX1566" s="210"/>
      <c r="BY1566" s="210"/>
      <c r="BZ1566" s="210"/>
      <c r="CA1566" s="210"/>
      <c r="CB1566" s="210"/>
      <c r="CC1566" s="210"/>
      <c r="CD1566" s="210"/>
      <c r="CE1566" s="210"/>
      <c r="CF1566" s="210"/>
      <c r="CG1566" s="210"/>
      <c r="CH1566" s="210"/>
      <c r="CI1566" s="210"/>
      <c r="CJ1566" s="210"/>
      <c r="CK1566" s="210"/>
    </row>
    <row r="1567">
      <c r="A1567" s="220"/>
      <c r="F1567" s="190"/>
      <c r="G1567" s="190"/>
      <c r="L1567" s="220"/>
      <c r="M1567" s="220"/>
      <c r="O1567" s="210"/>
      <c r="P1567" s="210"/>
      <c r="Q1567" s="210"/>
      <c r="R1567" s="210"/>
      <c r="S1567" s="210"/>
      <c r="T1567" s="210"/>
      <c r="U1567" s="210"/>
      <c r="V1567" s="210"/>
      <c r="W1567" s="210"/>
      <c r="X1567" s="210"/>
      <c r="Y1567" s="210"/>
      <c r="Z1567" s="210"/>
      <c r="AA1567" s="210"/>
      <c r="AB1567" s="210"/>
      <c r="AC1567" s="210"/>
      <c r="AD1567" s="210"/>
      <c r="AE1567" s="210"/>
      <c r="AF1567" s="210"/>
      <c r="AG1567" s="210"/>
      <c r="AH1567" s="210"/>
      <c r="AI1567" s="210"/>
      <c r="AJ1567" s="210"/>
      <c r="AK1567" s="210"/>
      <c r="AL1567" s="210"/>
      <c r="AM1567" s="214"/>
      <c r="AN1567" s="210"/>
      <c r="AO1567" s="210"/>
      <c r="AP1567" s="210"/>
      <c r="AQ1567" s="210"/>
      <c r="AR1567" s="210"/>
      <c r="AS1567" s="210"/>
      <c r="AT1567" s="210"/>
      <c r="AU1567" s="210"/>
      <c r="AV1567" s="210"/>
      <c r="AW1567" s="210"/>
      <c r="AX1567" s="210"/>
      <c r="AY1567" s="210"/>
      <c r="AZ1567" s="210"/>
      <c r="BA1567" s="210"/>
      <c r="BB1567" s="210"/>
      <c r="BC1567" s="210"/>
      <c r="BD1567" s="210"/>
      <c r="BE1567" s="210"/>
      <c r="BF1567" s="210"/>
      <c r="BG1567" s="210"/>
      <c r="BH1567" s="210"/>
      <c r="BI1567" s="210"/>
      <c r="BJ1567" s="210"/>
      <c r="BK1567" s="210"/>
      <c r="BL1567" s="210"/>
      <c r="BM1567" s="210"/>
      <c r="BN1567" s="210"/>
      <c r="BO1567" s="210"/>
      <c r="BP1567" s="210"/>
      <c r="BQ1567" s="210"/>
      <c r="BR1567" s="210"/>
      <c r="BS1567" s="210"/>
      <c r="BT1567" s="210"/>
      <c r="BU1567" s="210"/>
      <c r="BV1567" s="210"/>
      <c r="BW1567" s="210"/>
      <c r="BX1567" s="210"/>
      <c r="BY1567" s="210"/>
      <c r="BZ1567" s="210"/>
      <c r="CA1567" s="210"/>
      <c r="CB1567" s="210"/>
      <c r="CC1567" s="210"/>
      <c r="CD1567" s="210"/>
      <c r="CE1567" s="210"/>
      <c r="CF1567" s="210"/>
      <c r="CG1567" s="210"/>
      <c r="CH1567" s="210"/>
      <c r="CI1567" s="210"/>
      <c r="CJ1567" s="210"/>
      <c r="CK1567" s="210"/>
    </row>
    <row r="1568">
      <c r="A1568" s="220"/>
      <c r="F1568" s="190"/>
      <c r="G1568" s="190"/>
      <c r="L1568" s="220"/>
      <c r="M1568" s="220"/>
      <c r="O1568" s="210"/>
      <c r="P1568" s="210"/>
      <c r="Q1568" s="210"/>
      <c r="R1568" s="210"/>
      <c r="S1568" s="210"/>
      <c r="T1568" s="210"/>
      <c r="U1568" s="210"/>
      <c r="V1568" s="210"/>
      <c r="W1568" s="210"/>
      <c r="X1568" s="210"/>
      <c r="Y1568" s="210"/>
      <c r="Z1568" s="210"/>
      <c r="AA1568" s="210"/>
      <c r="AB1568" s="210"/>
      <c r="AC1568" s="210"/>
      <c r="AD1568" s="210"/>
      <c r="AE1568" s="210"/>
      <c r="AF1568" s="210"/>
      <c r="AG1568" s="210"/>
      <c r="AH1568" s="210"/>
      <c r="AI1568" s="210"/>
      <c r="AJ1568" s="210"/>
      <c r="AK1568" s="210"/>
      <c r="AL1568" s="210"/>
      <c r="AM1568" s="214"/>
      <c r="AN1568" s="210"/>
      <c r="AO1568" s="210"/>
      <c r="AP1568" s="210"/>
      <c r="AQ1568" s="210"/>
      <c r="AR1568" s="210"/>
      <c r="AS1568" s="210"/>
      <c r="AT1568" s="210"/>
      <c r="AU1568" s="210"/>
      <c r="AV1568" s="210"/>
      <c r="AW1568" s="210"/>
      <c r="AX1568" s="210"/>
      <c r="AY1568" s="210"/>
      <c r="AZ1568" s="210"/>
      <c r="BA1568" s="210"/>
      <c r="BB1568" s="210"/>
      <c r="BC1568" s="210"/>
      <c r="BD1568" s="210"/>
      <c r="BE1568" s="210"/>
      <c r="BF1568" s="210"/>
      <c r="BG1568" s="210"/>
      <c r="BH1568" s="210"/>
      <c r="BI1568" s="210"/>
      <c r="BJ1568" s="210"/>
      <c r="BK1568" s="210"/>
      <c r="BL1568" s="210"/>
      <c r="BM1568" s="210"/>
      <c r="BN1568" s="210"/>
      <c r="BO1568" s="210"/>
      <c r="BP1568" s="210"/>
      <c r="BQ1568" s="210"/>
      <c r="BR1568" s="210"/>
      <c r="BS1568" s="210"/>
      <c r="BT1568" s="210"/>
      <c r="BU1568" s="210"/>
      <c r="BV1568" s="210"/>
      <c r="BW1568" s="210"/>
      <c r="BX1568" s="210"/>
      <c r="BY1568" s="210"/>
      <c r="BZ1568" s="210"/>
      <c r="CA1568" s="210"/>
      <c r="CB1568" s="210"/>
      <c r="CC1568" s="210"/>
      <c r="CD1568" s="210"/>
      <c r="CE1568" s="210"/>
      <c r="CF1568" s="210"/>
      <c r="CG1568" s="210"/>
      <c r="CH1568" s="210"/>
      <c r="CI1568" s="210"/>
      <c r="CJ1568" s="210"/>
      <c r="CK1568" s="210"/>
    </row>
    <row r="1569">
      <c r="A1569" s="220"/>
      <c r="F1569" s="190"/>
      <c r="G1569" s="190"/>
      <c r="L1569" s="220"/>
      <c r="M1569" s="220"/>
      <c r="O1569" s="210"/>
      <c r="P1569" s="210"/>
      <c r="Q1569" s="210"/>
      <c r="R1569" s="210"/>
      <c r="S1569" s="210"/>
      <c r="T1569" s="210"/>
      <c r="U1569" s="210"/>
      <c r="V1569" s="210"/>
      <c r="W1569" s="210"/>
      <c r="X1569" s="210"/>
      <c r="Y1569" s="210"/>
      <c r="Z1569" s="210"/>
      <c r="AA1569" s="210"/>
      <c r="AB1569" s="210"/>
      <c r="AC1569" s="210"/>
      <c r="AD1569" s="210"/>
      <c r="AE1569" s="210"/>
      <c r="AF1569" s="210"/>
      <c r="AG1569" s="210"/>
      <c r="AH1569" s="210"/>
      <c r="AI1569" s="210"/>
      <c r="AJ1569" s="210"/>
      <c r="AK1569" s="210"/>
      <c r="AL1569" s="210"/>
      <c r="AM1569" s="214"/>
      <c r="AN1569" s="210"/>
      <c r="AO1569" s="210"/>
      <c r="AP1569" s="210"/>
      <c r="AQ1569" s="210"/>
      <c r="AR1569" s="210"/>
      <c r="AS1569" s="210"/>
      <c r="AT1569" s="210"/>
      <c r="AU1569" s="210"/>
      <c r="AV1569" s="210"/>
      <c r="AW1569" s="210"/>
      <c r="AX1569" s="210"/>
      <c r="AY1569" s="210"/>
      <c r="AZ1569" s="210"/>
      <c r="BA1569" s="210"/>
      <c r="BB1569" s="210"/>
      <c r="BC1569" s="210"/>
      <c r="BD1569" s="210"/>
      <c r="BE1569" s="210"/>
      <c r="BF1569" s="210"/>
      <c r="BG1569" s="210"/>
      <c r="BH1569" s="210"/>
      <c r="BI1569" s="210"/>
      <c r="BJ1569" s="210"/>
      <c r="BK1569" s="210"/>
      <c r="BL1569" s="210"/>
      <c r="BM1569" s="210"/>
      <c r="BN1569" s="210"/>
      <c r="BO1569" s="210"/>
      <c r="BP1569" s="210"/>
      <c r="BQ1569" s="210"/>
      <c r="BR1569" s="210"/>
      <c r="BS1569" s="210"/>
      <c r="BT1569" s="210"/>
      <c r="BU1569" s="210"/>
      <c r="BV1569" s="210"/>
      <c r="BW1569" s="210"/>
      <c r="BX1569" s="210"/>
      <c r="BY1569" s="210"/>
      <c r="BZ1569" s="210"/>
      <c r="CA1569" s="210"/>
      <c r="CB1569" s="210"/>
      <c r="CC1569" s="210"/>
      <c r="CD1569" s="210"/>
      <c r="CE1569" s="210"/>
      <c r="CF1569" s="210"/>
      <c r="CG1569" s="210"/>
      <c r="CH1569" s="210"/>
      <c r="CI1569" s="210"/>
      <c r="CJ1569" s="210"/>
      <c r="CK1569" s="210"/>
    </row>
    <row r="1570">
      <c r="A1570" s="220"/>
      <c r="F1570" s="190"/>
      <c r="G1570" s="190"/>
      <c r="L1570" s="220"/>
      <c r="M1570" s="220"/>
      <c r="O1570" s="210"/>
      <c r="P1570" s="210"/>
      <c r="Q1570" s="210"/>
      <c r="R1570" s="210"/>
      <c r="S1570" s="210"/>
      <c r="T1570" s="210"/>
      <c r="U1570" s="210"/>
      <c r="V1570" s="210"/>
      <c r="W1570" s="210"/>
      <c r="X1570" s="210"/>
      <c r="Y1570" s="210"/>
      <c r="Z1570" s="210"/>
      <c r="AA1570" s="210"/>
      <c r="AB1570" s="210"/>
      <c r="AC1570" s="210"/>
      <c r="AD1570" s="210"/>
      <c r="AE1570" s="210"/>
      <c r="AF1570" s="210"/>
      <c r="AG1570" s="210"/>
      <c r="AH1570" s="210"/>
      <c r="AI1570" s="210"/>
      <c r="AJ1570" s="210"/>
      <c r="AK1570" s="210"/>
      <c r="AL1570" s="210"/>
      <c r="AM1570" s="214"/>
      <c r="AN1570" s="210"/>
      <c r="AO1570" s="210"/>
      <c r="AP1570" s="210"/>
      <c r="AQ1570" s="210"/>
      <c r="AR1570" s="210"/>
      <c r="AS1570" s="210"/>
      <c r="AT1570" s="210"/>
      <c r="AU1570" s="210"/>
      <c r="AV1570" s="210"/>
      <c r="AW1570" s="210"/>
      <c r="AX1570" s="210"/>
      <c r="AY1570" s="210"/>
      <c r="AZ1570" s="210"/>
      <c r="BA1570" s="210"/>
      <c r="BB1570" s="210"/>
      <c r="BC1570" s="210"/>
      <c r="BD1570" s="210"/>
      <c r="BE1570" s="210"/>
      <c r="BF1570" s="210"/>
      <c r="BG1570" s="210"/>
      <c r="BH1570" s="210"/>
      <c r="BI1570" s="210"/>
      <c r="BJ1570" s="210"/>
      <c r="BK1570" s="210"/>
      <c r="BL1570" s="210"/>
      <c r="BM1570" s="210"/>
      <c r="BN1570" s="210"/>
      <c r="BO1570" s="210"/>
      <c r="BP1570" s="210"/>
      <c r="BQ1570" s="210"/>
      <c r="BR1570" s="210"/>
      <c r="BS1570" s="210"/>
      <c r="BT1570" s="210"/>
      <c r="BU1570" s="210"/>
      <c r="BV1570" s="210"/>
      <c r="BW1570" s="210"/>
      <c r="BX1570" s="210"/>
      <c r="BY1570" s="210"/>
      <c r="BZ1570" s="210"/>
      <c r="CA1570" s="210"/>
      <c r="CB1570" s="210"/>
      <c r="CC1570" s="210"/>
      <c r="CD1570" s="210"/>
      <c r="CE1570" s="210"/>
      <c r="CF1570" s="210"/>
      <c r="CG1570" s="210"/>
      <c r="CH1570" s="210"/>
      <c r="CI1570" s="210"/>
      <c r="CJ1570" s="210"/>
      <c r="CK1570" s="210"/>
    </row>
    <row r="1571">
      <c r="A1571" s="220"/>
      <c r="F1571" s="190"/>
      <c r="G1571" s="190"/>
      <c r="L1571" s="220"/>
      <c r="M1571" s="220"/>
      <c r="O1571" s="210"/>
      <c r="P1571" s="210"/>
      <c r="Q1571" s="210"/>
      <c r="R1571" s="210"/>
      <c r="S1571" s="210"/>
      <c r="T1571" s="210"/>
      <c r="U1571" s="210"/>
      <c r="V1571" s="210"/>
      <c r="W1571" s="210"/>
      <c r="X1571" s="210"/>
      <c r="Y1571" s="210"/>
      <c r="Z1571" s="210"/>
      <c r="AA1571" s="210"/>
      <c r="AB1571" s="210"/>
      <c r="AC1571" s="210"/>
      <c r="AD1571" s="210"/>
      <c r="AE1571" s="210"/>
      <c r="AF1571" s="210"/>
      <c r="AG1571" s="210"/>
      <c r="AH1571" s="210"/>
      <c r="AI1571" s="210"/>
      <c r="AJ1571" s="210"/>
      <c r="AK1571" s="210"/>
      <c r="AL1571" s="210"/>
      <c r="AM1571" s="214"/>
      <c r="AN1571" s="210"/>
      <c r="AO1571" s="210"/>
      <c r="AP1571" s="210"/>
      <c r="AQ1571" s="210"/>
      <c r="AR1571" s="210"/>
      <c r="AS1571" s="210"/>
      <c r="AT1571" s="210"/>
      <c r="AU1571" s="210"/>
      <c r="AV1571" s="210"/>
      <c r="AW1571" s="210"/>
      <c r="AX1571" s="210"/>
      <c r="AY1571" s="210"/>
      <c r="AZ1571" s="210"/>
      <c r="BA1571" s="210"/>
      <c r="BB1571" s="210"/>
      <c r="BC1571" s="210"/>
      <c r="BD1571" s="210"/>
      <c r="BE1571" s="210"/>
      <c r="BF1571" s="210"/>
      <c r="BG1571" s="210"/>
      <c r="BH1571" s="210"/>
      <c r="BI1571" s="210"/>
      <c r="BJ1571" s="210"/>
      <c r="BK1571" s="210"/>
      <c r="BL1571" s="210"/>
      <c r="BM1571" s="210"/>
      <c r="BN1571" s="210"/>
      <c r="BO1571" s="210"/>
      <c r="BP1571" s="210"/>
      <c r="BQ1571" s="210"/>
      <c r="BR1571" s="210"/>
      <c r="BS1571" s="210"/>
      <c r="BT1571" s="210"/>
      <c r="BU1571" s="210"/>
      <c r="BV1571" s="210"/>
      <c r="BW1571" s="210"/>
      <c r="BX1571" s="210"/>
      <c r="BY1571" s="210"/>
      <c r="BZ1571" s="210"/>
      <c r="CA1571" s="210"/>
      <c r="CB1571" s="210"/>
      <c r="CC1571" s="210"/>
      <c r="CD1571" s="210"/>
      <c r="CE1571" s="210"/>
      <c r="CF1571" s="210"/>
      <c r="CG1571" s="210"/>
      <c r="CH1571" s="210"/>
      <c r="CI1571" s="210"/>
      <c r="CJ1571" s="210"/>
      <c r="CK1571" s="210"/>
    </row>
    <row r="1572">
      <c r="A1572" s="220"/>
      <c r="F1572" s="190"/>
      <c r="G1572" s="190"/>
      <c r="L1572" s="220"/>
      <c r="M1572" s="220"/>
      <c r="O1572" s="210"/>
      <c r="P1572" s="210"/>
      <c r="Q1572" s="210"/>
      <c r="R1572" s="210"/>
      <c r="S1572" s="210"/>
      <c r="T1572" s="210"/>
      <c r="U1572" s="210"/>
      <c r="V1572" s="210"/>
      <c r="W1572" s="210"/>
      <c r="X1572" s="210"/>
      <c r="Y1572" s="210"/>
      <c r="Z1572" s="210"/>
      <c r="AA1572" s="210"/>
      <c r="AB1572" s="210"/>
      <c r="AC1572" s="210"/>
      <c r="AD1572" s="210"/>
      <c r="AE1572" s="210"/>
      <c r="AF1572" s="210"/>
      <c r="AG1572" s="210"/>
      <c r="AH1572" s="210"/>
      <c r="AI1572" s="210"/>
      <c r="AJ1572" s="210"/>
      <c r="AK1572" s="210"/>
      <c r="AL1572" s="210"/>
      <c r="AM1572" s="214"/>
      <c r="AN1572" s="210"/>
      <c r="AO1572" s="210"/>
      <c r="AP1572" s="210"/>
      <c r="AQ1572" s="210"/>
      <c r="AR1572" s="210"/>
      <c r="AS1572" s="210"/>
      <c r="AT1572" s="210"/>
      <c r="AU1572" s="210"/>
      <c r="AV1572" s="210"/>
      <c r="AW1572" s="210"/>
      <c r="AX1572" s="210"/>
      <c r="AY1572" s="210"/>
      <c r="AZ1572" s="210"/>
      <c r="BA1572" s="210"/>
      <c r="BB1572" s="210"/>
      <c r="BC1572" s="210"/>
      <c r="BD1572" s="210"/>
      <c r="BE1572" s="210"/>
      <c r="BF1572" s="210"/>
      <c r="BG1572" s="210"/>
      <c r="BH1572" s="210"/>
      <c r="BI1572" s="210"/>
      <c r="BJ1572" s="210"/>
      <c r="BK1572" s="210"/>
      <c r="BL1572" s="210"/>
      <c r="BM1572" s="210"/>
      <c r="BN1572" s="210"/>
      <c r="BO1572" s="210"/>
      <c r="BP1572" s="210"/>
      <c r="BQ1572" s="210"/>
      <c r="BR1572" s="210"/>
      <c r="BS1572" s="210"/>
      <c r="BT1572" s="210"/>
      <c r="BU1572" s="210"/>
      <c r="BV1572" s="210"/>
      <c r="BW1572" s="210"/>
      <c r="BX1572" s="210"/>
      <c r="BY1572" s="210"/>
      <c r="BZ1572" s="210"/>
      <c r="CA1572" s="210"/>
      <c r="CB1572" s="210"/>
      <c r="CC1572" s="210"/>
      <c r="CD1572" s="210"/>
      <c r="CE1572" s="210"/>
      <c r="CF1572" s="210"/>
      <c r="CG1572" s="210"/>
      <c r="CH1572" s="210"/>
      <c r="CI1572" s="210"/>
      <c r="CJ1572" s="210"/>
      <c r="CK1572" s="210"/>
    </row>
    <row r="1573">
      <c r="A1573" s="220"/>
      <c r="F1573" s="190"/>
      <c r="G1573" s="190"/>
      <c r="L1573" s="220"/>
      <c r="M1573" s="220"/>
      <c r="O1573" s="210"/>
      <c r="P1573" s="210"/>
      <c r="Q1573" s="210"/>
      <c r="R1573" s="210"/>
      <c r="S1573" s="210"/>
      <c r="T1573" s="210"/>
      <c r="U1573" s="210"/>
      <c r="V1573" s="210"/>
      <c r="W1573" s="210"/>
      <c r="X1573" s="210"/>
      <c r="Y1573" s="210"/>
      <c r="Z1573" s="210"/>
      <c r="AA1573" s="210"/>
      <c r="AB1573" s="210"/>
      <c r="AC1573" s="210"/>
      <c r="AD1573" s="210"/>
      <c r="AE1573" s="210"/>
      <c r="AF1573" s="210"/>
      <c r="AG1573" s="210"/>
      <c r="AH1573" s="210"/>
      <c r="AI1573" s="210"/>
      <c r="AJ1573" s="210"/>
      <c r="AK1573" s="210"/>
      <c r="AL1573" s="210"/>
      <c r="AM1573" s="214"/>
      <c r="AN1573" s="210"/>
      <c r="AO1573" s="210"/>
      <c r="AP1573" s="210"/>
      <c r="AQ1573" s="210"/>
      <c r="AR1573" s="210"/>
      <c r="AS1573" s="210"/>
      <c r="AT1573" s="210"/>
      <c r="AU1573" s="210"/>
      <c r="AV1573" s="210"/>
      <c r="AW1573" s="210"/>
      <c r="AX1573" s="210"/>
      <c r="AY1573" s="210"/>
      <c r="AZ1573" s="210"/>
      <c r="BA1573" s="210"/>
      <c r="BB1573" s="210"/>
      <c r="BC1573" s="210"/>
      <c r="BD1573" s="210"/>
      <c r="BE1573" s="210"/>
      <c r="BF1573" s="210"/>
      <c r="BG1573" s="210"/>
      <c r="BH1573" s="210"/>
      <c r="BI1573" s="210"/>
      <c r="BJ1573" s="210"/>
      <c r="BK1573" s="210"/>
      <c r="BL1573" s="210"/>
      <c r="BM1573" s="210"/>
      <c r="BN1573" s="210"/>
      <c r="BO1573" s="210"/>
      <c r="BP1573" s="210"/>
      <c r="BQ1573" s="210"/>
      <c r="BR1573" s="210"/>
      <c r="BS1573" s="210"/>
      <c r="BT1573" s="210"/>
      <c r="BU1573" s="210"/>
      <c r="BV1573" s="210"/>
      <c r="BW1573" s="210"/>
      <c r="BX1573" s="210"/>
      <c r="BY1573" s="210"/>
      <c r="BZ1573" s="210"/>
      <c r="CA1573" s="210"/>
      <c r="CB1573" s="210"/>
      <c r="CC1573" s="210"/>
      <c r="CD1573" s="210"/>
      <c r="CE1573" s="210"/>
      <c r="CF1573" s="210"/>
      <c r="CG1573" s="210"/>
      <c r="CH1573" s="210"/>
      <c r="CI1573" s="210"/>
      <c r="CJ1573" s="210"/>
      <c r="CK1573" s="210"/>
    </row>
    <row r="1574">
      <c r="A1574" s="220"/>
      <c r="F1574" s="190"/>
      <c r="G1574" s="190"/>
      <c r="L1574" s="220"/>
      <c r="M1574" s="220"/>
      <c r="O1574" s="210"/>
      <c r="P1574" s="210"/>
      <c r="Q1574" s="210"/>
      <c r="R1574" s="210"/>
      <c r="S1574" s="210"/>
      <c r="T1574" s="210"/>
      <c r="U1574" s="210"/>
      <c r="V1574" s="210"/>
      <c r="W1574" s="210"/>
      <c r="X1574" s="210"/>
      <c r="Y1574" s="210"/>
      <c r="Z1574" s="210"/>
      <c r="AA1574" s="210"/>
      <c r="AB1574" s="210"/>
      <c r="AC1574" s="210"/>
      <c r="AD1574" s="210"/>
      <c r="AE1574" s="210"/>
      <c r="AF1574" s="210"/>
      <c r="AG1574" s="210"/>
      <c r="AH1574" s="210"/>
      <c r="AI1574" s="210"/>
      <c r="AJ1574" s="210"/>
      <c r="AK1574" s="210"/>
      <c r="AL1574" s="210"/>
      <c r="AM1574" s="214"/>
      <c r="AN1574" s="210"/>
      <c r="AO1574" s="210"/>
      <c r="AP1574" s="210"/>
      <c r="AQ1574" s="210"/>
      <c r="AR1574" s="210"/>
      <c r="AS1574" s="210"/>
      <c r="AT1574" s="210"/>
      <c r="AU1574" s="210"/>
      <c r="AV1574" s="210"/>
      <c r="AW1574" s="210"/>
      <c r="AX1574" s="210"/>
      <c r="AY1574" s="210"/>
      <c r="AZ1574" s="210"/>
      <c r="BA1574" s="210"/>
      <c r="BB1574" s="210"/>
      <c r="BC1574" s="210"/>
      <c r="BD1574" s="210"/>
      <c r="BE1574" s="210"/>
      <c r="BF1574" s="210"/>
      <c r="BG1574" s="210"/>
      <c r="BH1574" s="210"/>
      <c r="BI1574" s="210"/>
      <c r="BJ1574" s="210"/>
      <c r="BK1574" s="210"/>
      <c r="BL1574" s="210"/>
      <c r="BM1574" s="210"/>
      <c r="BN1574" s="210"/>
      <c r="BO1574" s="210"/>
      <c r="BP1574" s="210"/>
      <c r="BQ1574" s="210"/>
      <c r="BR1574" s="210"/>
      <c r="BS1574" s="210"/>
      <c r="BT1574" s="210"/>
      <c r="BU1574" s="210"/>
      <c r="BV1574" s="210"/>
      <c r="BW1574" s="210"/>
      <c r="BX1574" s="210"/>
      <c r="BY1574" s="210"/>
      <c r="BZ1574" s="210"/>
      <c r="CA1574" s="210"/>
      <c r="CB1574" s="210"/>
      <c r="CC1574" s="210"/>
      <c r="CD1574" s="210"/>
      <c r="CE1574" s="210"/>
      <c r="CF1574" s="210"/>
      <c r="CG1574" s="210"/>
      <c r="CH1574" s="210"/>
      <c r="CI1574" s="210"/>
      <c r="CJ1574" s="210"/>
      <c r="CK1574" s="210"/>
    </row>
    <row r="1575">
      <c r="A1575" s="220"/>
      <c r="F1575" s="190"/>
      <c r="G1575" s="190"/>
      <c r="L1575" s="220"/>
      <c r="M1575" s="220"/>
      <c r="O1575" s="210"/>
      <c r="P1575" s="210"/>
      <c r="Q1575" s="210"/>
      <c r="R1575" s="210"/>
      <c r="S1575" s="210"/>
      <c r="T1575" s="210"/>
      <c r="U1575" s="210"/>
      <c r="V1575" s="210"/>
      <c r="W1575" s="210"/>
      <c r="X1575" s="210"/>
      <c r="Y1575" s="210"/>
      <c r="Z1575" s="210"/>
      <c r="AA1575" s="210"/>
      <c r="AB1575" s="210"/>
      <c r="AC1575" s="210"/>
      <c r="AD1575" s="210"/>
      <c r="AE1575" s="210"/>
      <c r="AF1575" s="210"/>
      <c r="AG1575" s="210"/>
      <c r="AH1575" s="210"/>
      <c r="AI1575" s="210"/>
      <c r="AJ1575" s="210"/>
      <c r="AK1575" s="210"/>
      <c r="AL1575" s="210"/>
      <c r="AM1575" s="214"/>
      <c r="AN1575" s="210"/>
      <c r="AO1575" s="210"/>
      <c r="AP1575" s="210"/>
      <c r="AQ1575" s="210"/>
      <c r="AR1575" s="210"/>
      <c r="AS1575" s="210"/>
      <c r="AT1575" s="210"/>
      <c r="AU1575" s="210"/>
      <c r="AV1575" s="210"/>
      <c r="AW1575" s="210"/>
      <c r="AX1575" s="210"/>
      <c r="AY1575" s="210"/>
      <c r="AZ1575" s="210"/>
      <c r="BA1575" s="210"/>
      <c r="BB1575" s="210"/>
      <c r="BC1575" s="210"/>
      <c r="BD1575" s="210"/>
      <c r="BE1575" s="210"/>
      <c r="BF1575" s="210"/>
      <c r="BG1575" s="210"/>
      <c r="BH1575" s="210"/>
      <c r="BI1575" s="210"/>
      <c r="BJ1575" s="210"/>
      <c r="BK1575" s="210"/>
      <c r="BL1575" s="210"/>
      <c r="BM1575" s="210"/>
      <c r="BN1575" s="210"/>
      <c r="BO1575" s="210"/>
      <c r="BP1575" s="210"/>
      <c r="BQ1575" s="210"/>
      <c r="BR1575" s="210"/>
      <c r="BS1575" s="210"/>
      <c r="BT1575" s="210"/>
      <c r="BU1575" s="210"/>
      <c r="BV1575" s="210"/>
      <c r="BW1575" s="210"/>
      <c r="BX1575" s="210"/>
      <c r="BY1575" s="210"/>
      <c r="BZ1575" s="210"/>
      <c r="CA1575" s="210"/>
      <c r="CB1575" s="210"/>
      <c r="CC1575" s="210"/>
      <c r="CD1575" s="210"/>
      <c r="CE1575" s="210"/>
      <c r="CF1575" s="210"/>
      <c r="CG1575" s="210"/>
      <c r="CH1575" s="210"/>
      <c r="CI1575" s="210"/>
      <c r="CJ1575" s="210"/>
      <c r="CK1575" s="210"/>
    </row>
    <row r="1576">
      <c r="A1576" s="220"/>
      <c r="F1576" s="190"/>
      <c r="G1576" s="190"/>
      <c r="L1576" s="220"/>
      <c r="M1576" s="220"/>
      <c r="O1576" s="210"/>
      <c r="P1576" s="210"/>
      <c r="Q1576" s="210"/>
      <c r="R1576" s="210"/>
      <c r="S1576" s="210"/>
      <c r="T1576" s="210"/>
      <c r="U1576" s="210"/>
      <c r="V1576" s="210"/>
      <c r="W1576" s="210"/>
      <c r="X1576" s="210"/>
      <c r="Y1576" s="210"/>
      <c r="Z1576" s="210"/>
      <c r="AA1576" s="210"/>
      <c r="AB1576" s="210"/>
      <c r="AC1576" s="210"/>
      <c r="AD1576" s="210"/>
      <c r="AE1576" s="210"/>
      <c r="AF1576" s="210"/>
      <c r="AG1576" s="210"/>
      <c r="AH1576" s="210"/>
      <c r="AI1576" s="210"/>
      <c r="AJ1576" s="210"/>
      <c r="AK1576" s="210"/>
      <c r="AL1576" s="210"/>
      <c r="AM1576" s="214"/>
      <c r="AN1576" s="210"/>
      <c r="AO1576" s="210"/>
      <c r="AP1576" s="210"/>
      <c r="AQ1576" s="210"/>
      <c r="AR1576" s="210"/>
      <c r="AS1576" s="210"/>
      <c r="AT1576" s="210"/>
      <c r="AU1576" s="210"/>
      <c r="AV1576" s="210"/>
      <c r="AW1576" s="210"/>
      <c r="AX1576" s="210"/>
      <c r="AY1576" s="210"/>
      <c r="AZ1576" s="210"/>
      <c r="BA1576" s="210"/>
      <c r="BB1576" s="210"/>
      <c r="BC1576" s="210"/>
      <c r="BD1576" s="210"/>
      <c r="BE1576" s="210"/>
      <c r="BF1576" s="210"/>
      <c r="BG1576" s="210"/>
      <c r="BH1576" s="210"/>
      <c r="BI1576" s="210"/>
      <c r="BJ1576" s="210"/>
      <c r="BK1576" s="210"/>
      <c r="BL1576" s="210"/>
      <c r="BM1576" s="210"/>
      <c r="BN1576" s="210"/>
      <c r="BO1576" s="210"/>
      <c r="BP1576" s="210"/>
      <c r="BQ1576" s="210"/>
      <c r="BR1576" s="210"/>
      <c r="BS1576" s="210"/>
      <c r="BT1576" s="210"/>
      <c r="BU1576" s="210"/>
      <c r="BV1576" s="210"/>
      <c r="BW1576" s="210"/>
      <c r="BX1576" s="210"/>
      <c r="BY1576" s="210"/>
      <c r="BZ1576" s="210"/>
      <c r="CA1576" s="210"/>
      <c r="CB1576" s="210"/>
      <c r="CC1576" s="210"/>
      <c r="CD1576" s="210"/>
      <c r="CE1576" s="210"/>
      <c r="CF1576" s="210"/>
      <c r="CG1576" s="210"/>
      <c r="CH1576" s="210"/>
      <c r="CI1576" s="210"/>
      <c r="CJ1576" s="210"/>
      <c r="CK1576" s="210"/>
    </row>
    <row r="1577">
      <c r="A1577" s="220"/>
      <c r="F1577" s="190"/>
      <c r="G1577" s="190"/>
      <c r="L1577" s="220"/>
      <c r="M1577" s="220"/>
      <c r="O1577" s="210"/>
      <c r="P1577" s="210"/>
      <c r="Q1577" s="210"/>
      <c r="R1577" s="210"/>
      <c r="S1577" s="210"/>
      <c r="T1577" s="210"/>
      <c r="U1577" s="210"/>
      <c r="V1577" s="210"/>
      <c r="W1577" s="210"/>
      <c r="X1577" s="210"/>
      <c r="Y1577" s="210"/>
      <c r="Z1577" s="210"/>
      <c r="AA1577" s="210"/>
      <c r="AB1577" s="210"/>
      <c r="AC1577" s="210"/>
      <c r="AD1577" s="210"/>
      <c r="AE1577" s="210"/>
      <c r="AF1577" s="210"/>
      <c r="AG1577" s="210"/>
      <c r="AH1577" s="210"/>
      <c r="AI1577" s="210"/>
      <c r="AJ1577" s="210"/>
      <c r="AK1577" s="210"/>
      <c r="AL1577" s="210"/>
      <c r="AM1577" s="214"/>
      <c r="AN1577" s="210"/>
      <c r="AO1577" s="210"/>
      <c r="AP1577" s="210"/>
      <c r="AQ1577" s="210"/>
      <c r="AR1577" s="210"/>
      <c r="AS1577" s="210"/>
      <c r="AT1577" s="210"/>
      <c r="AU1577" s="210"/>
      <c r="AV1577" s="210"/>
      <c r="AW1577" s="210"/>
      <c r="AX1577" s="210"/>
      <c r="AY1577" s="210"/>
      <c r="AZ1577" s="210"/>
      <c r="BA1577" s="210"/>
      <c r="BB1577" s="210"/>
      <c r="BC1577" s="210"/>
      <c r="BD1577" s="210"/>
      <c r="BE1577" s="210"/>
      <c r="BF1577" s="210"/>
      <c r="BG1577" s="210"/>
      <c r="BH1577" s="210"/>
      <c r="BI1577" s="210"/>
      <c r="BJ1577" s="210"/>
      <c r="BK1577" s="210"/>
      <c r="BL1577" s="210"/>
      <c r="BM1577" s="210"/>
      <c r="BN1577" s="210"/>
      <c r="BO1577" s="210"/>
      <c r="BP1577" s="210"/>
      <c r="BQ1577" s="210"/>
      <c r="BR1577" s="210"/>
      <c r="BS1577" s="210"/>
      <c r="BT1577" s="210"/>
      <c r="BU1577" s="210"/>
      <c r="BV1577" s="210"/>
      <c r="BW1577" s="210"/>
      <c r="BX1577" s="210"/>
      <c r="BY1577" s="210"/>
      <c r="BZ1577" s="210"/>
      <c r="CA1577" s="210"/>
      <c r="CB1577" s="210"/>
      <c r="CC1577" s="210"/>
      <c r="CD1577" s="210"/>
      <c r="CE1577" s="210"/>
      <c r="CF1577" s="210"/>
      <c r="CG1577" s="210"/>
      <c r="CH1577" s="210"/>
      <c r="CI1577" s="210"/>
      <c r="CJ1577" s="210"/>
      <c r="CK1577" s="210"/>
    </row>
    <row r="1578">
      <c r="A1578" s="220"/>
      <c r="F1578" s="190"/>
      <c r="G1578" s="190"/>
      <c r="L1578" s="220"/>
      <c r="M1578" s="220"/>
      <c r="O1578" s="210"/>
      <c r="P1578" s="210"/>
      <c r="Q1578" s="210"/>
      <c r="R1578" s="210"/>
      <c r="S1578" s="210"/>
      <c r="T1578" s="210"/>
      <c r="U1578" s="210"/>
      <c r="V1578" s="210"/>
      <c r="W1578" s="210"/>
      <c r="X1578" s="210"/>
      <c r="Y1578" s="210"/>
      <c r="Z1578" s="210"/>
      <c r="AA1578" s="210"/>
      <c r="AB1578" s="210"/>
      <c r="AC1578" s="210"/>
      <c r="AD1578" s="210"/>
      <c r="AE1578" s="210"/>
      <c r="AF1578" s="210"/>
      <c r="AG1578" s="210"/>
      <c r="AH1578" s="210"/>
      <c r="AI1578" s="210"/>
      <c r="AJ1578" s="210"/>
      <c r="AK1578" s="210"/>
      <c r="AL1578" s="210"/>
      <c r="AM1578" s="214"/>
      <c r="AN1578" s="210"/>
      <c r="AO1578" s="210"/>
      <c r="AP1578" s="210"/>
      <c r="AQ1578" s="210"/>
      <c r="AR1578" s="210"/>
      <c r="AS1578" s="210"/>
      <c r="AT1578" s="210"/>
      <c r="AU1578" s="210"/>
      <c r="AV1578" s="210"/>
      <c r="AW1578" s="210"/>
      <c r="AX1578" s="210"/>
      <c r="AY1578" s="210"/>
      <c r="AZ1578" s="210"/>
      <c r="BA1578" s="210"/>
      <c r="BB1578" s="210"/>
      <c r="BC1578" s="210"/>
      <c r="BD1578" s="210"/>
      <c r="BE1578" s="210"/>
      <c r="BF1578" s="210"/>
      <c r="BG1578" s="210"/>
      <c r="BH1578" s="210"/>
      <c r="BI1578" s="210"/>
      <c r="BJ1578" s="210"/>
      <c r="BK1578" s="210"/>
      <c r="BL1578" s="210"/>
      <c r="BM1578" s="210"/>
      <c r="BN1578" s="210"/>
      <c r="BO1578" s="210"/>
      <c r="BP1578" s="210"/>
      <c r="BQ1578" s="210"/>
      <c r="BR1578" s="210"/>
      <c r="BS1578" s="210"/>
      <c r="BT1578" s="210"/>
      <c r="BU1578" s="210"/>
      <c r="BV1578" s="210"/>
      <c r="BW1578" s="210"/>
      <c r="BX1578" s="210"/>
      <c r="BY1578" s="210"/>
      <c r="BZ1578" s="210"/>
      <c r="CA1578" s="210"/>
      <c r="CB1578" s="210"/>
      <c r="CC1578" s="210"/>
      <c r="CD1578" s="210"/>
      <c r="CE1578" s="210"/>
      <c r="CF1578" s="210"/>
      <c r="CG1578" s="210"/>
      <c r="CH1578" s="210"/>
      <c r="CI1578" s="210"/>
      <c r="CJ1578" s="210"/>
      <c r="CK1578" s="210"/>
    </row>
    <row r="1579">
      <c r="A1579" s="220"/>
      <c r="F1579" s="190"/>
      <c r="G1579" s="190"/>
      <c r="L1579" s="220"/>
      <c r="M1579" s="220"/>
      <c r="O1579" s="210"/>
      <c r="P1579" s="210"/>
      <c r="Q1579" s="210"/>
      <c r="R1579" s="210"/>
      <c r="S1579" s="210"/>
      <c r="T1579" s="210"/>
      <c r="U1579" s="210"/>
      <c r="V1579" s="210"/>
      <c r="W1579" s="210"/>
      <c r="X1579" s="210"/>
      <c r="Y1579" s="210"/>
      <c r="Z1579" s="210"/>
      <c r="AA1579" s="210"/>
      <c r="AB1579" s="210"/>
      <c r="AC1579" s="210"/>
      <c r="AD1579" s="210"/>
      <c r="AE1579" s="210"/>
      <c r="AF1579" s="210"/>
      <c r="AG1579" s="210"/>
      <c r="AH1579" s="210"/>
      <c r="AI1579" s="210"/>
      <c r="AJ1579" s="210"/>
      <c r="AK1579" s="210"/>
      <c r="AL1579" s="210"/>
      <c r="AM1579" s="214"/>
      <c r="AN1579" s="210"/>
      <c r="AO1579" s="210"/>
      <c r="AP1579" s="210"/>
      <c r="AQ1579" s="210"/>
      <c r="AR1579" s="210"/>
      <c r="AS1579" s="210"/>
      <c r="AT1579" s="210"/>
      <c r="AU1579" s="210"/>
      <c r="AV1579" s="210"/>
      <c r="AW1579" s="210"/>
      <c r="AX1579" s="210"/>
      <c r="AY1579" s="210"/>
      <c r="AZ1579" s="210"/>
      <c r="BA1579" s="210"/>
      <c r="BB1579" s="210"/>
      <c r="BC1579" s="210"/>
      <c r="BD1579" s="210"/>
      <c r="BE1579" s="210"/>
      <c r="BF1579" s="210"/>
      <c r="BG1579" s="210"/>
      <c r="BH1579" s="210"/>
      <c r="BI1579" s="210"/>
      <c r="BJ1579" s="210"/>
      <c r="BK1579" s="210"/>
      <c r="BL1579" s="210"/>
      <c r="BM1579" s="210"/>
      <c r="BN1579" s="210"/>
      <c r="BO1579" s="210"/>
      <c r="BP1579" s="210"/>
      <c r="BQ1579" s="210"/>
      <c r="BR1579" s="210"/>
      <c r="BS1579" s="210"/>
      <c r="BT1579" s="210"/>
      <c r="BU1579" s="210"/>
      <c r="BV1579" s="210"/>
      <c r="BW1579" s="210"/>
      <c r="BX1579" s="210"/>
      <c r="BY1579" s="210"/>
      <c r="BZ1579" s="210"/>
      <c r="CA1579" s="210"/>
      <c r="CB1579" s="210"/>
      <c r="CC1579" s="210"/>
      <c r="CD1579" s="210"/>
      <c r="CE1579" s="210"/>
      <c r="CF1579" s="210"/>
      <c r="CG1579" s="210"/>
      <c r="CH1579" s="210"/>
      <c r="CI1579" s="210"/>
      <c r="CJ1579" s="210"/>
      <c r="CK1579" s="210"/>
    </row>
    <row r="1580">
      <c r="A1580" s="220"/>
      <c r="F1580" s="190"/>
      <c r="G1580" s="190"/>
      <c r="L1580" s="220"/>
      <c r="M1580" s="220"/>
      <c r="O1580" s="210"/>
      <c r="P1580" s="210"/>
      <c r="Q1580" s="210"/>
      <c r="R1580" s="210"/>
      <c r="S1580" s="210"/>
      <c r="T1580" s="210"/>
      <c r="U1580" s="210"/>
      <c r="V1580" s="210"/>
      <c r="W1580" s="210"/>
      <c r="X1580" s="210"/>
      <c r="Y1580" s="210"/>
      <c r="Z1580" s="210"/>
      <c r="AA1580" s="210"/>
      <c r="AB1580" s="210"/>
      <c r="AC1580" s="210"/>
      <c r="AD1580" s="210"/>
      <c r="AE1580" s="210"/>
      <c r="AF1580" s="210"/>
      <c r="AG1580" s="210"/>
      <c r="AH1580" s="210"/>
      <c r="AI1580" s="210"/>
      <c r="AJ1580" s="210"/>
      <c r="AK1580" s="210"/>
      <c r="AL1580" s="210"/>
      <c r="AM1580" s="214"/>
      <c r="AN1580" s="210"/>
      <c r="AO1580" s="210"/>
      <c r="AP1580" s="210"/>
      <c r="AQ1580" s="210"/>
      <c r="AR1580" s="210"/>
      <c r="AS1580" s="210"/>
      <c r="AT1580" s="210"/>
      <c r="AU1580" s="210"/>
      <c r="AV1580" s="210"/>
      <c r="AW1580" s="210"/>
      <c r="AX1580" s="210"/>
      <c r="AY1580" s="210"/>
      <c r="AZ1580" s="210"/>
      <c r="BA1580" s="210"/>
      <c r="BB1580" s="210"/>
      <c r="BC1580" s="210"/>
      <c r="BD1580" s="210"/>
      <c r="BE1580" s="210"/>
      <c r="BF1580" s="210"/>
      <c r="BG1580" s="210"/>
      <c r="BH1580" s="210"/>
      <c r="BI1580" s="210"/>
      <c r="BJ1580" s="210"/>
      <c r="BK1580" s="210"/>
      <c r="BL1580" s="210"/>
      <c r="BM1580" s="210"/>
      <c r="BN1580" s="210"/>
      <c r="BO1580" s="210"/>
      <c r="BP1580" s="210"/>
      <c r="BQ1580" s="210"/>
      <c r="BR1580" s="210"/>
      <c r="BS1580" s="210"/>
      <c r="BT1580" s="210"/>
      <c r="BU1580" s="210"/>
      <c r="BV1580" s="210"/>
      <c r="BW1580" s="210"/>
      <c r="BX1580" s="210"/>
      <c r="BY1580" s="210"/>
      <c r="BZ1580" s="210"/>
      <c r="CA1580" s="210"/>
      <c r="CB1580" s="210"/>
      <c r="CC1580" s="210"/>
      <c r="CD1580" s="210"/>
      <c r="CE1580" s="210"/>
      <c r="CF1580" s="210"/>
      <c r="CG1580" s="210"/>
      <c r="CH1580" s="210"/>
      <c r="CI1580" s="210"/>
      <c r="CJ1580" s="210"/>
      <c r="CK1580" s="210"/>
    </row>
    <row r="1581">
      <c r="A1581" s="220"/>
      <c r="F1581" s="190"/>
      <c r="G1581" s="190"/>
      <c r="L1581" s="220"/>
      <c r="M1581" s="220"/>
      <c r="O1581" s="210"/>
      <c r="P1581" s="210"/>
      <c r="Q1581" s="210"/>
      <c r="R1581" s="210"/>
      <c r="S1581" s="210"/>
      <c r="T1581" s="210"/>
      <c r="U1581" s="210"/>
      <c r="V1581" s="210"/>
      <c r="W1581" s="210"/>
      <c r="X1581" s="210"/>
      <c r="Y1581" s="210"/>
      <c r="Z1581" s="210"/>
      <c r="AA1581" s="210"/>
      <c r="AB1581" s="210"/>
      <c r="AC1581" s="210"/>
      <c r="AD1581" s="210"/>
      <c r="AE1581" s="210"/>
      <c r="AF1581" s="210"/>
      <c r="AG1581" s="210"/>
      <c r="AH1581" s="210"/>
      <c r="AI1581" s="210"/>
      <c r="AJ1581" s="210"/>
      <c r="AK1581" s="210"/>
      <c r="AL1581" s="210"/>
      <c r="AM1581" s="214"/>
      <c r="AN1581" s="210"/>
      <c r="AO1581" s="210"/>
      <c r="AP1581" s="210"/>
      <c r="AQ1581" s="210"/>
      <c r="AR1581" s="210"/>
      <c r="AS1581" s="210"/>
      <c r="AT1581" s="210"/>
      <c r="AU1581" s="210"/>
      <c r="AV1581" s="210"/>
      <c r="AW1581" s="210"/>
      <c r="AX1581" s="210"/>
      <c r="AY1581" s="210"/>
      <c r="AZ1581" s="210"/>
      <c r="BA1581" s="210"/>
      <c r="BB1581" s="210"/>
      <c r="BC1581" s="210"/>
      <c r="BD1581" s="210"/>
      <c r="BE1581" s="210"/>
      <c r="BF1581" s="210"/>
      <c r="BG1581" s="210"/>
      <c r="BH1581" s="210"/>
      <c r="BI1581" s="210"/>
      <c r="BJ1581" s="210"/>
      <c r="BK1581" s="210"/>
      <c r="BL1581" s="210"/>
      <c r="BM1581" s="210"/>
      <c r="BN1581" s="210"/>
      <c r="BO1581" s="210"/>
      <c r="BP1581" s="210"/>
      <c r="BQ1581" s="210"/>
      <c r="BR1581" s="210"/>
      <c r="BS1581" s="210"/>
      <c r="BT1581" s="210"/>
      <c r="BU1581" s="210"/>
      <c r="BV1581" s="210"/>
      <c r="BW1581" s="210"/>
      <c r="BX1581" s="210"/>
      <c r="BY1581" s="210"/>
      <c r="BZ1581" s="210"/>
      <c r="CA1581" s="210"/>
      <c r="CB1581" s="210"/>
      <c r="CC1581" s="210"/>
      <c r="CD1581" s="210"/>
      <c r="CE1581" s="210"/>
      <c r="CF1581" s="210"/>
      <c r="CG1581" s="210"/>
      <c r="CH1581" s="210"/>
      <c r="CI1581" s="210"/>
      <c r="CJ1581" s="210"/>
      <c r="CK1581" s="210"/>
    </row>
    <row r="1582">
      <c r="A1582" s="220"/>
      <c r="F1582" s="190"/>
      <c r="G1582" s="190"/>
      <c r="L1582" s="220"/>
      <c r="M1582" s="220"/>
      <c r="O1582" s="210"/>
      <c r="P1582" s="210"/>
      <c r="Q1582" s="210"/>
      <c r="R1582" s="210"/>
      <c r="S1582" s="210"/>
      <c r="T1582" s="210"/>
      <c r="U1582" s="210"/>
      <c r="V1582" s="210"/>
      <c r="W1582" s="210"/>
      <c r="X1582" s="210"/>
      <c r="Y1582" s="210"/>
      <c r="Z1582" s="210"/>
      <c r="AA1582" s="210"/>
      <c r="AB1582" s="210"/>
      <c r="AC1582" s="210"/>
      <c r="AD1582" s="210"/>
      <c r="AE1582" s="210"/>
      <c r="AF1582" s="210"/>
      <c r="AG1582" s="210"/>
      <c r="AH1582" s="210"/>
      <c r="AI1582" s="210"/>
      <c r="AJ1582" s="210"/>
      <c r="AK1582" s="210"/>
      <c r="AL1582" s="210"/>
      <c r="AM1582" s="214"/>
      <c r="AN1582" s="210"/>
      <c r="AO1582" s="210"/>
      <c r="AP1582" s="210"/>
      <c r="AQ1582" s="210"/>
      <c r="AR1582" s="210"/>
      <c r="AS1582" s="210"/>
      <c r="AT1582" s="210"/>
      <c r="AU1582" s="210"/>
      <c r="AV1582" s="210"/>
      <c r="AW1582" s="210"/>
      <c r="AX1582" s="210"/>
      <c r="AY1582" s="210"/>
      <c r="AZ1582" s="210"/>
      <c r="BA1582" s="210"/>
      <c r="BB1582" s="210"/>
      <c r="BC1582" s="210"/>
      <c r="BD1582" s="210"/>
      <c r="BE1582" s="210"/>
      <c r="BF1582" s="210"/>
      <c r="BG1582" s="210"/>
      <c r="BH1582" s="210"/>
      <c r="BI1582" s="210"/>
      <c r="BJ1582" s="210"/>
      <c r="BK1582" s="210"/>
      <c r="BL1582" s="210"/>
      <c r="BM1582" s="210"/>
      <c r="BN1582" s="210"/>
      <c r="BO1582" s="210"/>
      <c r="BP1582" s="210"/>
      <c r="BQ1582" s="210"/>
      <c r="BR1582" s="210"/>
      <c r="BS1582" s="210"/>
      <c r="BT1582" s="210"/>
      <c r="BU1582" s="210"/>
      <c r="BV1582" s="210"/>
      <c r="BW1582" s="210"/>
      <c r="BX1582" s="210"/>
      <c r="BY1582" s="210"/>
      <c r="BZ1582" s="210"/>
      <c r="CA1582" s="210"/>
      <c r="CB1582" s="210"/>
      <c r="CC1582" s="210"/>
      <c r="CD1582" s="210"/>
      <c r="CE1582" s="210"/>
      <c r="CF1582" s="210"/>
      <c r="CG1582" s="210"/>
      <c r="CH1582" s="210"/>
      <c r="CI1582" s="210"/>
      <c r="CJ1582" s="210"/>
      <c r="CK1582" s="210"/>
    </row>
    <row r="1583">
      <c r="A1583" s="220"/>
      <c r="F1583" s="190"/>
      <c r="G1583" s="190"/>
      <c r="L1583" s="220"/>
      <c r="M1583" s="220"/>
      <c r="O1583" s="210"/>
      <c r="P1583" s="210"/>
      <c r="Q1583" s="210"/>
      <c r="R1583" s="210"/>
      <c r="S1583" s="210"/>
      <c r="T1583" s="210"/>
      <c r="U1583" s="210"/>
      <c r="V1583" s="210"/>
      <c r="W1583" s="210"/>
      <c r="X1583" s="210"/>
      <c r="Y1583" s="210"/>
      <c r="Z1583" s="210"/>
      <c r="AA1583" s="210"/>
      <c r="AB1583" s="210"/>
      <c r="AC1583" s="210"/>
      <c r="AD1583" s="210"/>
      <c r="AE1583" s="210"/>
      <c r="AF1583" s="210"/>
      <c r="AG1583" s="210"/>
      <c r="AH1583" s="210"/>
      <c r="AI1583" s="210"/>
      <c r="AJ1583" s="210"/>
      <c r="AK1583" s="210"/>
      <c r="AL1583" s="210"/>
      <c r="AM1583" s="214"/>
      <c r="AN1583" s="210"/>
      <c r="AO1583" s="210"/>
      <c r="AP1583" s="210"/>
      <c r="AQ1583" s="210"/>
      <c r="AR1583" s="210"/>
      <c r="AS1583" s="210"/>
      <c r="AT1583" s="210"/>
      <c r="AU1583" s="210"/>
      <c r="AV1583" s="210"/>
      <c r="AW1583" s="210"/>
      <c r="AX1583" s="210"/>
      <c r="AY1583" s="210"/>
      <c r="AZ1583" s="210"/>
      <c r="BA1583" s="210"/>
      <c r="BB1583" s="210"/>
      <c r="BC1583" s="210"/>
      <c r="BD1583" s="210"/>
      <c r="BE1583" s="210"/>
      <c r="BF1583" s="210"/>
      <c r="BG1583" s="210"/>
      <c r="BH1583" s="210"/>
      <c r="BI1583" s="210"/>
      <c r="BJ1583" s="210"/>
      <c r="BK1583" s="210"/>
      <c r="BL1583" s="210"/>
      <c r="BM1583" s="210"/>
      <c r="BN1583" s="210"/>
      <c r="BO1583" s="210"/>
      <c r="BP1583" s="210"/>
      <c r="BQ1583" s="210"/>
      <c r="BR1583" s="210"/>
      <c r="BS1583" s="210"/>
      <c r="BT1583" s="210"/>
      <c r="BU1583" s="210"/>
      <c r="BV1583" s="210"/>
      <c r="BW1583" s="210"/>
      <c r="BX1583" s="210"/>
      <c r="BY1583" s="210"/>
      <c r="BZ1583" s="210"/>
      <c r="CA1583" s="210"/>
      <c r="CB1583" s="210"/>
      <c r="CC1583" s="210"/>
      <c r="CD1583" s="210"/>
      <c r="CE1583" s="210"/>
      <c r="CF1583" s="210"/>
      <c r="CG1583" s="210"/>
      <c r="CH1583" s="210"/>
      <c r="CI1583" s="210"/>
      <c r="CJ1583" s="210"/>
      <c r="CK1583" s="210"/>
    </row>
    <row r="1584">
      <c r="A1584" s="220"/>
      <c r="F1584" s="190"/>
      <c r="G1584" s="190"/>
      <c r="L1584" s="220"/>
      <c r="M1584" s="220"/>
      <c r="O1584" s="210"/>
      <c r="P1584" s="210"/>
      <c r="Q1584" s="210"/>
      <c r="R1584" s="210"/>
      <c r="S1584" s="210"/>
      <c r="T1584" s="210"/>
      <c r="U1584" s="210"/>
      <c r="V1584" s="210"/>
      <c r="W1584" s="210"/>
      <c r="X1584" s="210"/>
      <c r="Y1584" s="210"/>
      <c r="Z1584" s="210"/>
      <c r="AA1584" s="210"/>
      <c r="AB1584" s="210"/>
      <c r="AC1584" s="210"/>
      <c r="AD1584" s="210"/>
      <c r="AE1584" s="210"/>
      <c r="AF1584" s="210"/>
      <c r="AG1584" s="210"/>
      <c r="AH1584" s="210"/>
      <c r="AI1584" s="210"/>
      <c r="AJ1584" s="210"/>
      <c r="AK1584" s="210"/>
      <c r="AL1584" s="210"/>
      <c r="AM1584" s="214"/>
      <c r="AN1584" s="210"/>
      <c r="AO1584" s="210"/>
      <c r="AP1584" s="210"/>
      <c r="AQ1584" s="210"/>
      <c r="AR1584" s="210"/>
      <c r="AS1584" s="210"/>
      <c r="AT1584" s="210"/>
      <c r="AU1584" s="210"/>
      <c r="AV1584" s="210"/>
      <c r="AW1584" s="210"/>
      <c r="AX1584" s="210"/>
      <c r="AY1584" s="210"/>
      <c r="AZ1584" s="210"/>
      <c r="BA1584" s="210"/>
      <c r="BB1584" s="210"/>
      <c r="BC1584" s="210"/>
      <c r="BD1584" s="210"/>
      <c r="BE1584" s="210"/>
      <c r="BF1584" s="210"/>
      <c r="BG1584" s="210"/>
      <c r="BH1584" s="210"/>
      <c r="BI1584" s="210"/>
      <c r="BJ1584" s="210"/>
      <c r="BK1584" s="210"/>
      <c r="BL1584" s="210"/>
      <c r="BM1584" s="210"/>
      <c r="BN1584" s="210"/>
      <c r="BO1584" s="210"/>
      <c r="BP1584" s="210"/>
      <c r="BQ1584" s="210"/>
      <c r="BR1584" s="210"/>
      <c r="BS1584" s="210"/>
      <c r="BT1584" s="210"/>
      <c r="BU1584" s="210"/>
      <c r="BV1584" s="210"/>
      <c r="BW1584" s="210"/>
      <c r="BX1584" s="210"/>
      <c r="BY1584" s="210"/>
      <c r="BZ1584" s="210"/>
      <c r="CA1584" s="210"/>
      <c r="CB1584" s="210"/>
      <c r="CC1584" s="210"/>
      <c r="CD1584" s="210"/>
      <c r="CE1584" s="210"/>
      <c r="CF1584" s="210"/>
      <c r="CG1584" s="210"/>
      <c r="CH1584" s="210"/>
      <c r="CI1584" s="210"/>
      <c r="CJ1584" s="210"/>
      <c r="CK1584" s="210"/>
    </row>
    <row r="1585">
      <c r="A1585" s="220"/>
      <c r="F1585" s="190"/>
      <c r="G1585" s="190"/>
      <c r="L1585" s="220"/>
      <c r="M1585" s="220"/>
      <c r="O1585" s="210"/>
      <c r="P1585" s="210"/>
      <c r="Q1585" s="210"/>
      <c r="R1585" s="210"/>
      <c r="S1585" s="210"/>
      <c r="T1585" s="210"/>
      <c r="U1585" s="210"/>
      <c r="V1585" s="210"/>
      <c r="W1585" s="210"/>
      <c r="X1585" s="210"/>
      <c r="Y1585" s="210"/>
      <c r="Z1585" s="210"/>
      <c r="AA1585" s="210"/>
      <c r="AB1585" s="210"/>
      <c r="AC1585" s="210"/>
      <c r="AD1585" s="210"/>
      <c r="AE1585" s="210"/>
      <c r="AF1585" s="210"/>
      <c r="AG1585" s="210"/>
      <c r="AH1585" s="210"/>
      <c r="AI1585" s="210"/>
      <c r="AJ1585" s="210"/>
      <c r="AK1585" s="210"/>
      <c r="AL1585" s="210"/>
      <c r="AM1585" s="214"/>
      <c r="AN1585" s="210"/>
      <c r="AO1585" s="210"/>
      <c r="AP1585" s="210"/>
      <c r="AQ1585" s="210"/>
      <c r="AR1585" s="210"/>
      <c r="AS1585" s="210"/>
      <c r="AT1585" s="210"/>
      <c r="AU1585" s="210"/>
      <c r="AV1585" s="210"/>
      <c r="AW1585" s="210"/>
      <c r="AX1585" s="210"/>
      <c r="AY1585" s="210"/>
      <c r="AZ1585" s="210"/>
      <c r="BA1585" s="210"/>
      <c r="BB1585" s="210"/>
      <c r="BC1585" s="210"/>
      <c r="BD1585" s="210"/>
      <c r="BE1585" s="210"/>
      <c r="BF1585" s="210"/>
      <c r="BG1585" s="210"/>
      <c r="BH1585" s="210"/>
      <c r="BI1585" s="210"/>
      <c r="BJ1585" s="210"/>
      <c r="BK1585" s="210"/>
      <c r="BL1585" s="210"/>
      <c r="BM1585" s="210"/>
      <c r="BN1585" s="210"/>
      <c r="BO1585" s="210"/>
      <c r="BP1585" s="210"/>
      <c r="BQ1585" s="210"/>
      <c r="BR1585" s="210"/>
      <c r="BS1585" s="210"/>
      <c r="BT1585" s="210"/>
      <c r="BU1585" s="210"/>
      <c r="BV1585" s="210"/>
      <c r="BW1585" s="210"/>
      <c r="BX1585" s="210"/>
      <c r="BY1585" s="210"/>
      <c r="BZ1585" s="210"/>
      <c r="CA1585" s="210"/>
      <c r="CB1585" s="210"/>
      <c r="CC1585" s="210"/>
      <c r="CD1585" s="210"/>
      <c r="CE1585" s="210"/>
      <c r="CF1585" s="210"/>
      <c r="CG1585" s="210"/>
      <c r="CH1585" s="210"/>
      <c r="CI1585" s="210"/>
      <c r="CJ1585" s="210"/>
      <c r="CK1585" s="210"/>
    </row>
    <row r="1586">
      <c r="A1586" s="220"/>
      <c r="F1586" s="190"/>
      <c r="G1586" s="190"/>
      <c r="L1586" s="220"/>
      <c r="M1586" s="220"/>
      <c r="O1586" s="210"/>
      <c r="P1586" s="210"/>
      <c r="Q1586" s="210"/>
      <c r="R1586" s="210"/>
      <c r="S1586" s="210"/>
      <c r="T1586" s="210"/>
      <c r="U1586" s="210"/>
      <c r="V1586" s="210"/>
      <c r="W1586" s="210"/>
      <c r="X1586" s="210"/>
      <c r="Y1586" s="210"/>
      <c r="Z1586" s="210"/>
      <c r="AA1586" s="210"/>
      <c r="AB1586" s="210"/>
      <c r="AC1586" s="210"/>
      <c r="AD1586" s="210"/>
      <c r="AE1586" s="210"/>
      <c r="AF1586" s="210"/>
      <c r="AG1586" s="210"/>
      <c r="AH1586" s="210"/>
      <c r="AI1586" s="210"/>
      <c r="AJ1586" s="210"/>
      <c r="AK1586" s="210"/>
      <c r="AL1586" s="210"/>
      <c r="AM1586" s="214"/>
      <c r="AN1586" s="210"/>
      <c r="AO1586" s="210"/>
      <c r="AP1586" s="210"/>
      <c r="AQ1586" s="210"/>
      <c r="AR1586" s="210"/>
      <c r="AS1586" s="210"/>
      <c r="AT1586" s="210"/>
      <c r="AU1586" s="210"/>
      <c r="AV1586" s="210"/>
      <c r="AW1586" s="210"/>
      <c r="AX1586" s="210"/>
      <c r="AY1586" s="210"/>
      <c r="AZ1586" s="210"/>
      <c r="BA1586" s="210"/>
      <c r="BB1586" s="210"/>
      <c r="BC1586" s="210"/>
      <c r="BD1586" s="210"/>
      <c r="BE1586" s="210"/>
      <c r="BF1586" s="210"/>
      <c r="BG1586" s="210"/>
      <c r="BH1586" s="210"/>
      <c r="BI1586" s="210"/>
      <c r="BJ1586" s="210"/>
      <c r="BK1586" s="210"/>
      <c r="BL1586" s="210"/>
      <c r="BM1586" s="210"/>
      <c r="BN1586" s="210"/>
      <c r="BO1586" s="210"/>
      <c r="BP1586" s="210"/>
      <c r="BQ1586" s="210"/>
      <c r="BR1586" s="210"/>
      <c r="BS1586" s="210"/>
      <c r="BT1586" s="210"/>
      <c r="BU1586" s="210"/>
      <c r="BV1586" s="210"/>
      <c r="BW1586" s="210"/>
      <c r="BX1586" s="210"/>
      <c r="BY1586" s="210"/>
      <c r="BZ1586" s="210"/>
      <c r="CA1586" s="210"/>
      <c r="CB1586" s="210"/>
      <c r="CC1586" s="210"/>
      <c r="CD1586" s="210"/>
      <c r="CE1586" s="210"/>
      <c r="CF1586" s="210"/>
      <c r="CG1586" s="210"/>
      <c r="CH1586" s="210"/>
      <c r="CI1586" s="210"/>
      <c r="CJ1586" s="210"/>
      <c r="CK1586" s="210"/>
    </row>
    <row r="1587">
      <c r="A1587" s="220"/>
      <c r="F1587" s="190"/>
      <c r="G1587" s="190"/>
      <c r="L1587" s="220"/>
      <c r="M1587" s="220"/>
      <c r="O1587" s="210"/>
      <c r="P1587" s="210"/>
      <c r="Q1587" s="210"/>
      <c r="R1587" s="210"/>
      <c r="S1587" s="210"/>
      <c r="T1587" s="210"/>
      <c r="U1587" s="210"/>
      <c r="V1587" s="210"/>
      <c r="W1587" s="210"/>
      <c r="X1587" s="210"/>
      <c r="Y1587" s="210"/>
      <c r="Z1587" s="210"/>
      <c r="AA1587" s="210"/>
      <c r="AB1587" s="210"/>
      <c r="AC1587" s="210"/>
      <c r="AD1587" s="210"/>
      <c r="AE1587" s="210"/>
      <c r="AF1587" s="210"/>
      <c r="AG1587" s="210"/>
      <c r="AH1587" s="210"/>
      <c r="AI1587" s="210"/>
      <c r="AJ1587" s="210"/>
      <c r="AK1587" s="210"/>
      <c r="AL1587" s="210"/>
      <c r="AM1587" s="214"/>
      <c r="AN1587" s="210"/>
      <c r="AO1587" s="210"/>
      <c r="AP1587" s="210"/>
      <c r="AQ1587" s="210"/>
      <c r="AR1587" s="210"/>
      <c r="AS1587" s="210"/>
      <c r="AT1587" s="210"/>
      <c r="AU1587" s="210"/>
      <c r="AV1587" s="210"/>
      <c r="AW1587" s="210"/>
      <c r="AX1587" s="210"/>
      <c r="AY1587" s="210"/>
      <c r="AZ1587" s="210"/>
      <c r="BA1587" s="210"/>
      <c r="BB1587" s="210"/>
      <c r="BC1587" s="210"/>
      <c r="BD1587" s="210"/>
      <c r="BE1587" s="210"/>
      <c r="BF1587" s="210"/>
      <c r="BG1587" s="210"/>
      <c r="BH1587" s="210"/>
      <c r="BI1587" s="210"/>
      <c r="BJ1587" s="210"/>
      <c r="BK1587" s="210"/>
      <c r="BL1587" s="210"/>
      <c r="BM1587" s="210"/>
      <c r="BN1587" s="210"/>
      <c r="BO1587" s="210"/>
      <c r="BP1587" s="210"/>
      <c r="BQ1587" s="210"/>
      <c r="BR1587" s="210"/>
      <c r="BS1587" s="210"/>
      <c r="BT1587" s="210"/>
      <c r="BU1587" s="210"/>
      <c r="BV1587" s="210"/>
      <c r="BW1587" s="210"/>
      <c r="BX1587" s="210"/>
      <c r="BY1587" s="210"/>
      <c r="BZ1587" s="210"/>
      <c r="CA1587" s="210"/>
      <c r="CB1587" s="210"/>
      <c r="CC1587" s="210"/>
      <c r="CD1587" s="210"/>
      <c r="CE1587" s="210"/>
      <c r="CF1587" s="210"/>
      <c r="CG1587" s="210"/>
      <c r="CH1587" s="210"/>
      <c r="CI1587" s="210"/>
      <c r="CJ1587" s="210"/>
      <c r="CK1587" s="210"/>
    </row>
    <row r="1588">
      <c r="A1588" s="220"/>
      <c r="F1588" s="190"/>
      <c r="G1588" s="190"/>
      <c r="L1588" s="220"/>
      <c r="M1588" s="220"/>
      <c r="O1588" s="210"/>
      <c r="P1588" s="210"/>
      <c r="Q1588" s="210"/>
      <c r="R1588" s="210"/>
      <c r="S1588" s="210"/>
      <c r="T1588" s="210"/>
      <c r="U1588" s="210"/>
      <c r="V1588" s="210"/>
      <c r="W1588" s="210"/>
      <c r="X1588" s="210"/>
      <c r="Y1588" s="210"/>
      <c r="Z1588" s="210"/>
      <c r="AA1588" s="210"/>
      <c r="AB1588" s="210"/>
      <c r="AC1588" s="210"/>
      <c r="AD1588" s="210"/>
      <c r="AE1588" s="210"/>
      <c r="AF1588" s="210"/>
      <c r="AG1588" s="210"/>
      <c r="AH1588" s="210"/>
      <c r="AI1588" s="210"/>
      <c r="AJ1588" s="210"/>
      <c r="AK1588" s="210"/>
      <c r="AL1588" s="210"/>
      <c r="AM1588" s="214"/>
      <c r="AN1588" s="210"/>
      <c r="AO1588" s="210"/>
      <c r="AP1588" s="210"/>
      <c r="AQ1588" s="210"/>
      <c r="AR1588" s="210"/>
      <c r="AS1588" s="210"/>
      <c r="AT1588" s="210"/>
      <c r="AU1588" s="210"/>
      <c r="AV1588" s="210"/>
      <c r="AW1588" s="210"/>
      <c r="AX1588" s="210"/>
      <c r="AY1588" s="210"/>
      <c r="AZ1588" s="210"/>
      <c r="BA1588" s="210"/>
      <c r="BB1588" s="210"/>
      <c r="BC1588" s="210"/>
      <c r="BD1588" s="210"/>
      <c r="BE1588" s="210"/>
      <c r="BF1588" s="210"/>
      <c r="BG1588" s="210"/>
      <c r="BH1588" s="210"/>
      <c r="BI1588" s="210"/>
      <c r="BJ1588" s="210"/>
      <c r="BK1588" s="210"/>
      <c r="BL1588" s="210"/>
      <c r="BM1588" s="210"/>
      <c r="BN1588" s="210"/>
      <c r="BO1588" s="210"/>
      <c r="BP1588" s="210"/>
      <c r="BQ1588" s="210"/>
      <c r="BR1588" s="210"/>
      <c r="BS1588" s="210"/>
      <c r="BT1588" s="210"/>
      <c r="BU1588" s="210"/>
      <c r="BV1588" s="210"/>
      <c r="BW1588" s="210"/>
      <c r="BX1588" s="210"/>
      <c r="BY1588" s="210"/>
      <c r="BZ1588" s="210"/>
      <c r="CA1588" s="210"/>
      <c r="CB1588" s="210"/>
      <c r="CC1588" s="210"/>
      <c r="CD1588" s="210"/>
      <c r="CE1588" s="210"/>
      <c r="CF1588" s="210"/>
      <c r="CG1588" s="210"/>
      <c r="CH1588" s="210"/>
      <c r="CI1588" s="210"/>
      <c r="CJ1588" s="210"/>
      <c r="CK1588" s="210"/>
    </row>
    <row r="1589">
      <c r="A1589" s="220"/>
      <c r="F1589" s="190"/>
      <c r="G1589" s="190"/>
      <c r="L1589" s="220"/>
      <c r="M1589" s="220"/>
      <c r="O1589" s="210"/>
      <c r="P1589" s="210"/>
      <c r="Q1589" s="210"/>
      <c r="R1589" s="210"/>
      <c r="S1589" s="210"/>
      <c r="T1589" s="210"/>
      <c r="U1589" s="210"/>
      <c r="V1589" s="210"/>
      <c r="W1589" s="210"/>
      <c r="X1589" s="210"/>
      <c r="Y1589" s="210"/>
      <c r="Z1589" s="210"/>
      <c r="AA1589" s="210"/>
      <c r="AB1589" s="210"/>
      <c r="AC1589" s="210"/>
      <c r="AD1589" s="210"/>
      <c r="AE1589" s="210"/>
      <c r="AF1589" s="210"/>
      <c r="AG1589" s="210"/>
      <c r="AH1589" s="210"/>
      <c r="AI1589" s="210"/>
      <c r="AJ1589" s="210"/>
      <c r="AK1589" s="210"/>
      <c r="AL1589" s="210"/>
      <c r="AM1589" s="214"/>
      <c r="AN1589" s="210"/>
      <c r="AO1589" s="210"/>
      <c r="AP1589" s="210"/>
      <c r="AQ1589" s="210"/>
      <c r="AR1589" s="210"/>
      <c r="AS1589" s="210"/>
      <c r="AT1589" s="210"/>
      <c r="AU1589" s="210"/>
      <c r="AV1589" s="210"/>
      <c r="AW1589" s="210"/>
      <c r="AX1589" s="210"/>
      <c r="AY1589" s="210"/>
      <c r="AZ1589" s="210"/>
      <c r="BA1589" s="210"/>
      <c r="BB1589" s="210"/>
      <c r="BC1589" s="210"/>
      <c r="BD1589" s="210"/>
      <c r="BE1589" s="210"/>
      <c r="BF1589" s="210"/>
      <c r="BG1589" s="210"/>
      <c r="BH1589" s="210"/>
      <c r="BI1589" s="210"/>
      <c r="BJ1589" s="210"/>
      <c r="BK1589" s="210"/>
      <c r="BL1589" s="210"/>
      <c r="BM1589" s="210"/>
      <c r="BN1589" s="210"/>
      <c r="BO1589" s="210"/>
      <c r="BP1589" s="210"/>
      <c r="BQ1589" s="210"/>
      <c r="BR1589" s="210"/>
      <c r="BS1589" s="210"/>
      <c r="BT1589" s="210"/>
      <c r="BU1589" s="210"/>
      <c r="BV1589" s="210"/>
      <c r="BW1589" s="210"/>
      <c r="BX1589" s="210"/>
      <c r="BY1589" s="210"/>
      <c r="BZ1589" s="210"/>
      <c r="CA1589" s="210"/>
      <c r="CB1589" s="210"/>
      <c r="CC1589" s="210"/>
      <c r="CD1589" s="210"/>
      <c r="CE1589" s="210"/>
      <c r="CF1589" s="210"/>
      <c r="CG1589" s="210"/>
      <c r="CH1589" s="210"/>
      <c r="CI1589" s="210"/>
      <c r="CJ1589" s="210"/>
      <c r="CK1589" s="210"/>
    </row>
    <row r="1590">
      <c r="A1590" s="220"/>
      <c r="F1590" s="190"/>
      <c r="G1590" s="190"/>
      <c r="L1590" s="220"/>
      <c r="M1590" s="220"/>
      <c r="O1590" s="210"/>
      <c r="P1590" s="210"/>
      <c r="Q1590" s="210"/>
      <c r="R1590" s="210"/>
      <c r="S1590" s="210"/>
      <c r="T1590" s="210"/>
      <c r="U1590" s="210"/>
      <c r="V1590" s="210"/>
      <c r="W1590" s="210"/>
      <c r="X1590" s="210"/>
      <c r="Y1590" s="210"/>
      <c r="Z1590" s="210"/>
      <c r="AA1590" s="210"/>
      <c r="AB1590" s="210"/>
      <c r="AC1590" s="210"/>
      <c r="AD1590" s="210"/>
      <c r="AE1590" s="210"/>
      <c r="AF1590" s="210"/>
      <c r="AG1590" s="210"/>
      <c r="AH1590" s="210"/>
      <c r="AI1590" s="210"/>
      <c r="AJ1590" s="210"/>
      <c r="AK1590" s="210"/>
      <c r="AL1590" s="210"/>
      <c r="AM1590" s="214"/>
      <c r="AN1590" s="210"/>
      <c r="AO1590" s="210"/>
      <c r="AP1590" s="210"/>
      <c r="AQ1590" s="210"/>
      <c r="AR1590" s="210"/>
      <c r="AS1590" s="210"/>
      <c r="AT1590" s="210"/>
      <c r="AU1590" s="210"/>
      <c r="AV1590" s="210"/>
      <c r="AW1590" s="210"/>
      <c r="AX1590" s="210"/>
      <c r="AY1590" s="210"/>
      <c r="AZ1590" s="210"/>
      <c r="BA1590" s="210"/>
      <c r="BB1590" s="210"/>
      <c r="BC1590" s="210"/>
      <c r="BD1590" s="210"/>
      <c r="BE1590" s="210"/>
      <c r="BF1590" s="210"/>
      <c r="BG1590" s="210"/>
      <c r="BH1590" s="210"/>
      <c r="BI1590" s="210"/>
      <c r="BJ1590" s="210"/>
      <c r="BK1590" s="210"/>
      <c r="BL1590" s="210"/>
      <c r="BM1590" s="210"/>
      <c r="BN1590" s="210"/>
      <c r="BO1590" s="210"/>
      <c r="BP1590" s="210"/>
      <c r="BQ1590" s="210"/>
      <c r="BR1590" s="210"/>
      <c r="BS1590" s="210"/>
      <c r="BT1590" s="210"/>
      <c r="BU1590" s="210"/>
      <c r="BV1590" s="210"/>
      <c r="BW1590" s="210"/>
      <c r="BX1590" s="210"/>
      <c r="BY1590" s="210"/>
      <c r="BZ1590" s="210"/>
      <c r="CA1590" s="210"/>
      <c r="CB1590" s="210"/>
      <c r="CC1590" s="210"/>
      <c r="CD1590" s="210"/>
      <c r="CE1590" s="210"/>
      <c r="CF1590" s="210"/>
      <c r="CG1590" s="210"/>
      <c r="CH1590" s="210"/>
      <c r="CI1590" s="210"/>
      <c r="CJ1590" s="210"/>
      <c r="CK1590" s="210"/>
    </row>
    <row r="1591">
      <c r="A1591" s="220"/>
      <c r="F1591" s="190"/>
      <c r="G1591" s="190"/>
      <c r="L1591" s="220"/>
      <c r="M1591" s="220"/>
      <c r="O1591" s="210"/>
      <c r="P1591" s="210"/>
      <c r="Q1591" s="210"/>
      <c r="R1591" s="210"/>
      <c r="S1591" s="210"/>
      <c r="T1591" s="210"/>
      <c r="U1591" s="210"/>
      <c r="V1591" s="210"/>
      <c r="W1591" s="210"/>
      <c r="X1591" s="210"/>
      <c r="Y1591" s="210"/>
      <c r="Z1591" s="210"/>
      <c r="AA1591" s="210"/>
      <c r="AB1591" s="210"/>
      <c r="AC1591" s="210"/>
      <c r="AD1591" s="210"/>
      <c r="AE1591" s="210"/>
      <c r="AF1591" s="210"/>
      <c r="AG1591" s="210"/>
      <c r="AH1591" s="210"/>
      <c r="AI1591" s="210"/>
      <c r="AJ1591" s="210"/>
      <c r="AK1591" s="210"/>
      <c r="AL1591" s="210"/>
      <c r="AM1591" s="214"/>
      <c r="AN1591" s="210"/>
      <c r="AO1591" s="210"/>
      <c r="AP1591" s="210"/>
      <c r="AQ1591" s="210"/>
      <c r="AR1591" s="210"/>
      <c r="AS1591" s="210"/>
      <c r="AT1591" s="210"/>
      <c r="AU1591" s="210"/>
      <c r="AV1591" s="210"/>
      <c r="AW1591" s="210"/>
      <c r="AX1591" s="210"/>
      <c r="AY1591" s="210"/>
      <c r="AZ1591" s="210"/>
      <c r="BA1591" s="210"/>
      <c r="BB1591" s="210"/>
      <c r="BC1591" s="210"/>
      <c r="BD1591" s="210"/>
      <c r="BE1591" s="210"/>
      <c r="BF1591" s="210"/>
      <c r="BG1591" s="210"/>
      <c r="BH1591" s="210"/>
      <c r="BI1591" s="210"/>
      <c r="BJ1591" s="210"/>
      <c r="BK1591" s="210"/>
      <c r="BL1591" s="210"/>
      <c r="BM1591" s="210"/>
      <c r="BN1591" s="210"/>
      <c r="BO1591" s="210"/>
      <c r="BP1591" s="210"/>
      <c r="BQ1591" s="210"/>
      <c r="BR1591" s="210"/>
      <c r="BS1591" s="210"/>
      <c r="BT1591" s="210"/>
      <c r="BU1591" s="210"/>
      <c r="BV1591" s="210"/>
      <c r="BW1591" s="210"/>
      <c r="BX1591" s="210"/>
      <c r="BY1591" s="210"/>
      <c r="BZ1591" s="210"/>
      <c r="CA1591" s="210"/>
      <c r="CB1591" s="210"/>
      <c r="CC1591" s="210"/>
      <c r="CD1591" s="210"/>
      <c r="CE1591" s="210"/>
      <c r="CF1591" s="210"/>
      <c r="CG1591" s="210"/>
      <c r="CH1591" s="210"/>
      <c r="CI1591" s="210"/>
      <c r="CJ1591" s="210"/>
      <c r="CK1591" s="210"/>
    </row>
    <row r="1592">
      <c r="A1592" s="220"/>
      <c r="F1592" s="190"/>
      <c r="G1592" s="190"/>
      <c r="L1592" s="220"/>
      <c r="M1592" s="220"/>
      <c r="O1592" s="210"/>
      <c r="P1592" s="210"/>
      <c r="Q1592" s="210"/>
      <c r="R1592" s="210"/>
      <c r="S1592" s="210"/>
      <c r="T1592" s="210"/>
      <c r="U1592" s="210"/>
      <c r="V1592" s="210"/>
      <c r="W1592" s="210"/>
      <c r="X1592" s="210"/>
      <c r="Y1592" s="210"/>
      <c r="Z1592" s="210"/>
      <c r="AA1592" s="210"/>
      <c r="AB1592" s="210"/>
      <c r="AC1592" s="210"/>
      <c r="AD1592" s="210"/>
      <c r="AE1592" s="210"/>
      <c r="AF1592" s="210"/>
      <c r="AG1592" s="210"/>
      <c r="AH1592" s="210"/>
      <c r="AI1592" s="210"/>
      <c r="AJ1592" s="210"/>
      <c r="AK1592" s="210"/>
      <c r="AL1592" s="210"/>
      <c r="AM1592" s="214"/>
      <c r="AN1592" s="210"/>
      <c r="AO1592" s="210"/>
      <c r="AP1592" s="210"/>
      <c r="AQ1592" s="210"/>
      <c r="AR1592" s="210"/>
      <c r="AS1592" s="210"/>
      <c r="AT1592" s="210"/>
      <c r="AU1592" s="210"/>
      <c r="AV1592" s="210"/>
      <c r="AW1592" s="210"/>
      <c r="AX1592" s="210"/>
      <c r="AY1592" s="210"/>
      <c r="AZ1592" s="210"/>
      <c r="BA1592" s="210"/>
      <c r="BB1592" s="210"/>
      <c r="BC1592" s="210"/>
      <c r="BD1592" s="210"/>
      <c r="BE1592" s="210"/>
      <c r="BF1592" s="210"/>
      <c r="BG1592" s="210"/>
      <c r="BH1592" s="210"/>
      <c r="BI1592" s="210"/>
      <c r="BJ1592" s="210"/>
      <c r="BK1592" s="210"/>
      <c r="BL1592" s="210"/>
      <c r="BM1592" s="210"/>
      <c r="BN1592" s="210"/>
      <c r="BO1592" s="210"/>
      <c r="BP1592" s="210"/>
      <c r="BQ1592" s="210"/>
      <c r="BR1592" s="210"/>
      <c r="BS1592" s="210"/>
      <c r="BT1592" s="210"/>
      <c r="BU1592" s="210"/>
      <c r="BV1592" s="210"/>
      <c r="BW1592" s="210"/>
      <c r="BX1592" s="210"/>
      <c r="BY1592" s="210"/>
      <c r="BZ1592" s="210"/>
      <c r="CA1592" s="210"/>
      <c r="CB1592" s="210"/>
      <c r="CC1592" s="210"/>
      <c r="CD1592" s="210"/>
      <c r="CE1592" s="210"/>
      <c r="CF1592" s="210"/>
      <c r="CG1592" s="210"/>
      <c r="CH1592" s="210"/>
      <c r="CI1592" s="210"/>
      <c r="CJ1592" s="210"/>
      <c r="CK1592" s="210"/>
    </row>
    <row r="1593">
      <c r="A1593" s="220"/>
      <c r="F1593" s="190"/>
      <c r="G1593" s="190"/>
      <c r="L1593" s="220"/>
      <c r="M1593" s="220"/>
      <c r="O1593" s="210"/>
      <c r="P1593" s="210"/>
      <c r="Q1593" s="210"/>
      <c r="R1593" s="210"/>
      <c r="S1593" s="210"/>
      <c r="T1593" s="210"/>
      <c r="U1593" s="210"/>
      <c r="V1593" s="210"/>
      <c r="W1593" s="210"/>
      <c r="X1593" s="210"/>
      <c r="Y1593" s="210"/>
      <c r="Z1593" s="210"/>
      <c r="AA1593" s="210"/>
      <c r="AB1593" s="210"/>
      <c r="AC1593" s="210"/>
      <c r="AD1593" s="210"/>
      <c r="AE1593" s="210"/>
      <c r="AF1593" s="210"/>
      <c r="AG1593" s="210"/>
      <c r="AH1593" s="210"/>
      <c r="AI1593" s="210"/>
      <c r="AJ1593" s="210"/>
      <c r="AK1593" s="210"/>
      <c r="AL1593" s="210"/>
      <c r="AM1593" s="214"/>
      <c r="AN1593" s="210"/>
      <c r="AO1593" s="210"/>
      <c r="AP1593" s="210"/>
      <c r="AQ1593" s="210"/>
      <c r="AR1593" s="210"/>
      <c r="AS1593" s="210"/>
      <c r="AT1593" s="210"/>
      <c r="AU1593" s="210"/>
      <c r="AV1593" s="210"/>
      <c r="AW1593" s="210"/>
      <c r="AX1593" s="210"/>
      <c r="AY1593" s="210"/>
      <c r="AZ1593" s="210"/>
      <c r="BA1593" s="210"/>
      <c r="BB1593" s="210"/>
      <c r="BC1593" s="210"/>
      <c r="BD1593" s="210"/>
      <c r="BE1593" s="210"/>
      <c r="BF1593" s="210"/>
      <c r="BG1593" s="210"/>
      <c r="BH1593" s="210"/>
      <c r="BI1593" s="210"/>
      <c r="BJ1593" s="210"/>
      <c r="BK1593" s="210"/>
      <c r="BL1593" s="210"/>
      <c r="BM1593" s="210"/>
      <c r="BN1593" s="210"/>
      <c r="BO1593" s="210"/>
      <c r="BP1593" s="210"/>
      <c r="BQ1593" s="210"/>
      <c r="BR1593" s="210"/>
      <c r="BS1593" s="210"/>
      <c r="BT1593" s="210"/>
      <c r="BU1593" s="210"/>
      <c r="BV1593" s="210"/>
      <c r="BW1593" s="210"/>
      <c r="BX1593" s="210"/>
      <c r="BY1593" s="210"/>
      <c r="BZ1593" s="210"/>
      <c r="CA1593" s="210"/>
      <c r="CB1593" s="210"/>
      <c r="CC1593" s="210"/>
      <c r="CD1593" s="210"/>
      <c r="CE1593" s="210"/>
      <c r="CF1593" s="210"/>
      <c r="CG1593" s="210"/>
      <c r="CH1593" s="210"/>
      <c r="CI1593" s="210"/>
      <c r="CJ1593" s="210"/>
      <c r="CK1593" s="210"/>
    </row>
    <row r="1594">
      <c r="A1594" s="220"/>
      <c r="F1594" s="190"/>
      <c r="G1594" s="190"/>
      <c r="L1594" s="220"/>
      <c r="M1594" s="220"/>
      <c r="O1594" s="210"/>
      <c r="P1594" s="210"/>
      <c r="Q1594" s="210"/>
      <c r="R1594" s="210"/>
      <c r="S1594" s="210"/>
      <c r="T1594" s="210"/>
      <c r="U1594" s="210"/>
      <c r="V1594" s="210"/>
      <c r="W1594" s="210"/>
      <c r="X1594" s="210"/>
      <c r="Y1594" s="210"/>
      <c r="Z1594" s="210"/>
      <c r="AA1594" s="210"/>
      <c r="AB1594" s="210"/>
      <c r="AC1594" s="210"/>
      <c r="AD1594" s="210"/>
      <c r="AE1594" s="210"/>
      <c r="AF1594" s="210"/>
      <c r="AG1594" s="210"/>
      <c r="AH1594" s="210"/>
      <c r="AI1594" s="210"/>
      <c r="AJ1594" s="210"/>
      <c r="AK1594" s="210"/>
      <c r="AL1594" s="210"/>
      <c r="AM1594" s="214"/>
      <c r="AN1594" s="210"/>
      <c r="AO1594" s="210"/>
      <c r="AP1594" s="210"/>
      <c r="AQ1594" s="210"/>
      <c r="AR1594" s="210"/>
      <c r="AS1594" s="210"/>
      <c r="AT1594" s="210"/>
      <c r="AU1594" s="210"/>
      <c r="AV1594" s="210"/>
      <c r="AW1594" s="210"/>
      <c r="AX1594" s="210"/>
      <c r="AY1594" s="210"/>
      <c r="AZ1594" s="210"/>
      <c r="BA1594" s="210"/>
      <c r="BB1594" s="210"/>
      <c r="BC1594" s="210"/>
      <c r="BD1594" s="210"/>
      <c r="BE1594" s="210"/>
      <c r="BF1594" s="210"/>
      <c r="BG1594" s="210"/>
      <c r="BH1594" s="210"/>
      <c r="BI1594" s="210"/>
      <c r="BJ1594" s="210"/>
      <c r="BK1594" s="210"/>
      <c r="BL1594" s="210"/>
      <c r="BM1594" s="210"/>
      <c r="BN1594" s="210"/>
      <c r="BO1594" s="210"/>
      <c r="BP1594" s="210"/>
      <c r="BQ1594" s="210"/>
      <c r="BR1594" s="210"/>
      <c r="BS1594" s="210"/>
      <c r="BT1594" s="210"/>
      <c r="BU1594" s="210"/>
      <c r="BV1594" s="210"/>
      <c r="BW1594" s="210"/>
      <c r="BX1594" s="210"/>
      <c r="BY1594" s="210"/>
      <c r="BZ1594" s="210"/>
      <c r="CA1594" s="210"/>
      <c r="CB1594" s="210"/>
      <c r="CC1594" s="210"/>
      <c r="CD1594" s="210"/>
      <c r="CE1594" s="210"/>
      <c r="CF1594" s="210"/>
      <c r="CG1594" s="210"/>
      <c r="CH1594" s="210"/>
      <c r="CI1594" s="210"/>
      <c r="CJ1594" s="210"/>
      <c r="CK1594" s="210"/>
    </row>
    <row r="1595">
      <c r="A1595" s="220"/>
      <c r="F1595" s="190"/>
      <c r="G1595" s="190"/>
      <c r="L1595" s="220"/>
      <c r="M1595" s="220"/>
      <c r="O1595" s="210"/>
      <c r="P1595" s="210"/>
      <c r="Q1595" s="210"/>
      <c r="R1595" s="210"/>
      <c r="S1595" s="210"/>
      <c r="T1595" s="210"/>
      <c r="U1595" s="210"/>
      <c r="V1595" s="210"/>
      <c r="W1595" s="210"/>
      <c r="X1595" s="210"/>
      <c r="Y1595" s="210"/>
      <c r="Z1595" s="210"/>
      <c r="AA1595" s="210"/>
      <c r="AB1595" s="210"/>
      <c r="AC1595" s="210"/>
      <c r="AD1595" s="210"/>
      <c r="AE1595" s="210"/>
      <c r="AF1595" s="210"/>
      <c r="AG1595" s="210"/>
      <c r="AH1595" s="210"/>
      <c r="AI1595" s="210"/>
      <c r="AJ1595" s="210"/>
      <c r="AK1595" s="210"/>
      <c r="AL1595" s="210"/>
      <c r="AM1595" s="214"/>
      <c r="AN1595" s="210"/>
      <c r="AO1595" s="210"/>
      <c r="AP1595" s="210"/>
      <c r="AQ1595" s="210"/>
      <c r="AR1595" s="210"/>
      <c r="AS1595" s="210"/>
      <c r="AT1595" s="210"/>
      <c r="AU1595" s="210"/>
      <c r="AV1595" s="210"/>
      <c r="AW1595" s="210"/>
      <c r="AX1595" s="210"/>
      <c r="AY1595" s="210"/>
      <c r="AZ1595" s="210"/>
      <c r="BA1595" s="210"/>
      <c r="BB1595" s="210"/>
      <c r="BC1595" s="210"/>
      <c r="BD1595" s="210"/>
      <c r="BE1595" s="210"/>
      <c r="BF1595" s="210"/>
      <c r="BG1595" s="210"/>
      <c r="BH1595" s="210"/>
      <c r="BI1595" s="210"/>
      <c r="BJ1595" s="210"/>
      <c r="BK1595" s="210"/>
      <c r="BL1595" s="210"/>
      <c r="BM1595" s="210"/>
      <c r="BN1595" s="210"/>
      <c r="BO1595" s="210"/>
      <c r="BP1595" s="210"/>
      <c r="BQ1595" s="210"/>
      <c r="BR1595" s="210"/>
      <c r="BS1595" s="210"/>
      <c r="BT1595" s="210"/>
      <c r="BU1595" s="210"/>
      <c r="BV1595" s="210"/>
      <c r="BW1595" s="210"/>
      <c r="BX1595" s="210"/>
      <c r="BY1595" s="210"/>
      <c r="BZ1595" s="210"/>
      <c r="CA1595" s="210"/>
      <c r="CB1595" s="210"/>
      <c r="CC1595" s="210"/>
      <c r="CD1595" s="210"/>
      <c r="CE1595" s="210"/>
      <c r="CF1595" s="210"/>
      <c r="CG1595" s="210"/>
      <c r="CH1595" s="210"/>
      <c r="CI1595" s="210"/>
      <c r="CJ1595" s="210"/>
      <c r="CK1595" s="210"/>
    </row>
    <row r="1596">
      <c r="A1596" s="220"/>
      <c r="F1596" s="190"/>
      <c r="G1596" s="190"/>
      <c r="L1596" s="220"/>
      <c r="M1596" s="220"/>
      <c r="O1596" s="210"/>
      <c r="P1596" s="210"/>
      <c r="Q1596" s="210"/>
      <c r="R1596" s="210"/>
      <c r="S1596" s="210"/>
      <c r="T1596" s="210"/>
      <c r="U1596" s="210"/>
      <c r="V1596" s="210"/>
      <c r="W1596" s="210"/>
      <c r="X1596" s="210"/>
      <c r="Y1596" s="210"/>
      <c r="Z1596" s="210"/>
      <c r="AA1596" s="210"/>
      <c r="AB1596" s="210"/>
      <c r="AC1596" s="210"/>
      <c r="AD1596" s="210"/>
      <c r="AE1596" s="210"/>
      <c r="AF1596" s="210"/>
      <c r="AG1596" s="210"/>
      <c r="AH1596" s="210"/>
      <c r="AI1596" s="210"/>
      <c r="AJ1596" s="210"/>
      <c r="AK1596" s="210"/>
      <c r="AL1596" s="210"/>
      <c r="AM1596" s="214"/>
      <c r="AN1596" s="210"/>
      <c r="AO1596" s="210"/>
      <c r="AP1596" s="210"/>
      <c r="AQ1596" s="210"/>
      <c r="AR1596" s="210"/>
      <c r="AS1596" s="210"/>
      <c r="AT1596" s="210"/>
      <c r="AU1596" s="210"/>
      <c r="AV1596" s="210"/>
      <c r="AW1596" s="210"/>
      <c r="AX1596" s="210"/>
      <c r="AY1596" s="210"/>
      <c r="AZ1596" s="210"/>
      <c r="BA1596" s="210"/>
      <c r="BB1596" s="210"/>
      <c r="BC1596" s="210"/>
      <c r="BD1596" s="210"/>
      <c r="BE1596" s="210"/>
      <c r="BF1596" s="210"/>
      <c r="BG1596" s="210"/>
      <c r="BH1596" s="210"/>
      <c r="BI1596" s="210"/>
      <c r="BJ1596" s="210"/>
      <c r="BK1596" s="210"/>
      <c r="BL1596" s="210"/>
      <c r="BM1596" s="210"/>
      <c r="BN1596" s="210"/>
      <c r="BO1596" s="210"/>
      <c r="BP1596" s="210"/>
      <c r="BQ1596" s="210"/>
      <c r="BR1596" s="210"/>
      <c r="BS1596" s="210"/>
      <c r="BT1596" s="210"/>
      <c r="BU1596" s="210"/>
      <c r="BV1596" s="210"/>
      <c r="BW1596" s="210"/>
      <c r="BX1596" s="210"/>
      <c r="BY1596" s="210"/>
      <c r="BZ1596" s="210"/>
      <c r="CA1596" s="210"/>
      <c r="CB1596" s="210"/>
      <c r="CC1596" s="210"/>
      <c r="CD1596" s="210"/>
      <c r="CE1596" s="210"/>
      <c r="CF1596" s="210"/>
      <c r="CG1596" s="210"/>
      <c r="CH1596" s="210"/>
      <c r="CI1596" s="210"/>
      <c r="CJ1596" s="210"/>
      <c r="CK1596" s="210"/>
    </row>
    <row r="1597">
      <c r="A1597" s="220"/>
      <c r="F1597" s="190"/>
      <c r="G1597" s="190"/>
      <c r="L1597" s="220"/>
      <c r="M1597" s="220"/>
      <c r="O1597" s="210"/>
      <c r="P1597" s="210"/>
      <c r="Q1597" s="210"/>
      <c r="R1597" s="210"/>
      <c r="S1597" s="210"/>
      <c r="T1597" s="210"/>
      <c r="U1597" s="210"/>
      <c r="V1597" s="210"/>
      <c r="W1597" s="210"/>
      <c r="X1597" s="210"/>
      <c r="Y1597" s="210"/>
      <c r="Z1597" s="210"/>
      <c r="AA1597" s="210"/>
      <c r="AB1597" s="210"/>
      <c r="AC1597" s="210"/>
      <c r="AD1597" s="210"/>
      <c r="AE1597" s="210"/>
      <c r="AF1597" s="210"/>
      <c r="AG1597" s="210"/>
      <c r="AH1597" s="210"/>
      <c r="AI1597" s="210"/>
      <c r="AJ1597" s="210"/>
      <c r="AK1597" s="210"/>
      <c r="AL1597" s="210"/>
      <c r="AM1597" s="214"/>
      <c r="AN1597" s="210"/>
      <c r="AO1597" s="210"/>
      <c r="AP1597" s="210"/>
      <c r="AQ1597" s="210"/>
      <c r="AR1597" s="210"/>
      <c r="AS1597" s="210"/>
      <c r="AT1597" s="210"/>
      <c r="AU1597" s="210"/>
      <c r="AV1597" s="210"/>
      <c r="AW1597" s="210"/>
      <c r="AX1597" s="210"/>
      <c r="AY1597" s="210"/>
      <c r="AZ1597" s="210"/>
      <c r="BA1597" s="210"/>
      <c r="BB1597" s="210"/>
      <c r="BC1597" s="210"/>
      <c r="BD1597" s="210"/>
      <c r="BE1597" s="210"/>
      <c r="BF1597" s="210"/>
      <c r="BG1597" s="210"/>
      <c r="BH1597" s="210"/>
      <c r="BI1597" s="210"/>
      <c r="BJ1597" s="210"/>
      <c r="BK1597" s="210"/>
      <c r="BL1597" s="210"/>
      <c r="BM1597" s="210"/>
      <c r="BN1597" s="210"/>
      <c r="BO1597" s="210"/>
      <c r="BP1597" s="210"/>
      <c r="BQ1597" s="210"/>
      <c r="BR1597" s="210"/>
      <c r="BS1597" s="210"/>
      <c r="BT1597" s="210"/>
      <c r="BU1597" s="210"/>
      <c r="BV1597" s="210"/>
      <c r="BW1597" s="210"/>
      <c r="BX1597" s="210"/>
      <c r="BY1597" s="210"/>
      <c r="BZ1597" s="210"/>
      <c r="CA1597" s="210"/>
      <c r="CB1597" s="210"/>
      <c r="CC1597" s="210"/>
      <c r="CD1597" s="210"/>
      <c r="CE1597" s="210"/>
      <c r="CF1597" s="210"/>
      <c r="CG1597" s="210"/>
      <c r="CH1597" s="210"/>
      <c r="CI1597" s="210"/>
      <c r="CJ1597" s="210"/>
      <c r="CK1597" s="210"/>
    </row>
    <row r="1598">
      <c r="A1598" s="220"/>
      <c r="F1598" s="190"/>
      <c r="G1598" s="190"/>
      <c r="L1598" s="220"/>
      <c r="M1598" s="220"/>
      <c r="O1598" s="210"/>
      <c r="P1598" s="210"/>
      <c r="Q1598" s="210"/>
      <c r="R1598" s="210"/>
      <c r="S1598" s="210"/>
      <c r="T1598" s="210"/>
      <c r="U1598" s="210"/>
      <c r="V1598" s="210"/>
      <c r="W1598" s="210"/>
      <c r="X1598" s="210"/>
      <c r="Y1598" s="210"/>
      <c r="Z1598" s="210"/>
      <c r="AA1598" s="210"/>
      <c r="AB1598" s="210"/>
      <c r="AC1598" s="210"/>
      <c r="AD1598" s="210"/>
      <c r="AE1598" s="210"/>
      <c r="AF1598" s="210"/>
      <c r="AG1598" s="210"/>
      <c r="AH1598" s="210"/>
      <c r="AI1598" s="210"/>
      <c r="AJ1598" s="210"/>
      <c r="AK1598" s="210"/>
      <c r="AL1598" s="210"/>
      <c r="AM1598" s="214"/>
      <c r="AN1598" s="210"/>
      <c r="AO1598" s="210"/>
      <c r="AP1598" s="210"/>
      <c r="AQ1598" s="210"/>
      <c r="AR1598" s="210"/>
      <c r="AS1598" s="210"/>
      <c r="AT1598" s="210"/>
      <c r="AU1598" s="210"/>
      <c r="AV1598" s="210"/>
      <c r="AW1598" s="210"/>
      <c r="AX1598" s="210"/>
      <c r="AY1598" s="210"/>
      <c r="AZ1598" s="210"/>
      <c r="BA1598" s="210"/>
      <c r="BB1598" s="210"/>
      <c r="BC1598" s="210"/>
      <c r="BD1598" s="210"/>
      <c r="BE1598" s="210"/>
      <c r="BF1598" s="210"/>
      <c r="BG1598" s="210"/>
      <c r="BH1598" s="210"/>
      <c r="BI1598" s="210"/>
      <c r="BJ1598" s="210"/>
      <c r="BK1598" s="210"/>
      <c r="BL1598" s="210"/>
      <c r="BM1598" s="210"/>
      <c r="BN1598" s="210"/>
      <c r="BO1598" s="210"/>
      <c r="BP1598" s="210"/>
      <c r="BQ1598" s="210"/>
      <c r="BR1598" s="210"/>
      <c r="BS1598" s="210"/>
      <c r="BT1598" s="210"/>
      <c r="BU1598" s="210"/>
      <c r="BV1598" s="210"/>
      <c r="BW1598" s="210"/>
      <c r="BX1598" s="210"/>
      <c r="BY1598" s="210"/>
      <c r="BZ1598" s="210"/>
      <c r="CA1598" s="210"/>
      <c r="CB1598" s="210"/>
      <c r="CC1598" s="210"/>
      <c r="CD1598" s="210"/>
      <c r="CE1598" s="210"/>
      <c r="CF1598" s="210"/>
      <c r="CG1598" s="210"/>
      <c r="CH1598" s="210"/>
      <c r="CI1598" s="210"/>
      <c r="CJ1598" s="210"/>
      <c r="CK1598" s="210"/>
    </row>
    <row r="1599">
      <c r="A1599" s="220"/>
      <c r="F1599" s="190"/>
      <c r="G1599" s="190"/>
      <c r="L1599" s="220"/>
      <c r="M1599" s="220"/>
      <c r="O1599" s="210"/>
      <c r="P1599" s="210"/>
      <c r="Q1599" s="210"/>
      <c r="R1599" s="210"/>
      <c r="S1599" s="210"/>
      <c r="T1599" s="210"/>
      <c r="U1599" s="210"/>
      <c r="V1599" s="210"/>
      <c r="W1599" s="210"/>
      <c r="X1599" s="210"/>
      <c r="Y1599" s="210"/>
      <c r="Z1599" s="210"/>
      <c r="AA1599" s="210"/>
      <c r="AB1599" s="210"/>
      <c r="AC1599" s="210"/>
      <c r="AD1599" s="210"/>
      <c r="AE1599" s="210"/>
      <c r="AF1599" s="210"/>
      <c r="AG1599" s="210"/>
      <c r="AH1599" s="210"/>
      <c r="AI1599" s="210"/>
      <c r="AJ1599" s="210"/>
      <c r="AK1599" s="210"/>
      <c r="AL1599" s="210"/>
      <c r="AM1599" s="214"/>
      <c r="AN1599" s="210"/>
      <c r="AO1599" s="210"/>
      <c r="AP1599" s="210"/>
      <c r="AQ1599" s="210"/>
      <c r="AR1599" s="210"/>
      <c r="AS1599" s="210"/>
      <c r="AT1599" s="210"/>
      <c r="AU1599" s="210"/>
      <c r="AV1599" s="210"/>
      <c r="AW1599" s="210"/>
      <c r="AX1599" s="210"/>
      <c r="AY1599" s="210"/>
      <c r="AZ1599" s="210"/>
      <c r="BA1599" s="210"/>
      <c r="BB1599" s="210"/>
      <c r="BC1599" s="210"/>
      <c r="BD1599" s="210"/>
      <c r="BE1599" s="210"/>
      <c r="BF1599" s="210"/>
      <c r="BG1599" s="210"/>
      <c r="BH1599" s="210"/>
      <c r="BI1599" s="210"/>
      <c r="BJ1599" s="210"/>
      <c r="BK1599" s="210"/>
      <c r="BL1599" s="210"/>
      <c r="BM1599" s="210"/>
      <c r="BN1599" s="210"/>
      <c r="BO1599" s="210"/>
      <c r="BP1599" s="210"/>
      <c r="BQ1599" s="210"/>
      <c r="BR1599" s="210"/>
      <c r="BS1599" s="210"/>
      <c r="BT1599" s="210"/>
      <c r="BU1599" s="210"/>
      <c r="BV1599" s="210"/>
      <c r="BW1599" s="210"/>
      <c r="BX1599" s="210"/>
      <c r="BY1599" s="210"/>
      <c r="BZ1599" s="210"/>
      <c r="CA1599" s="210"/>
      <c r="CB1599" s="210"/>
      <c r="CC1599" s="210"/>
      <c r="CD1599" s="210"/>
      <c r="CE1599" s="210"/>
      <c r="CF1599" s="210"/>
      <c r="CG1599" s="210"/>
      <c r="CH1599" s="210"/>
      <c r="CI1599" s="210"/>
      <c r="CJ1599" s="210"/>
      <c r="CK1599" s="210"/>
    </row>
  </sheetData>
  <autoFilter ref="$A$1:$R$543"/>
  <dataValidations>
    <dataValidation type="list" allowBlank="1" showErrorMessage="1" sqref="F2:G1599">
      <formula1>LEVEL_HELPER!$A$2:$A$15</formula1>
    </dataValidation>
  </dataValidation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1.14"/>
    <col customWidth="1" min="5" max="5" width="23.14"/>
    <col customWidth="1" min="6" max="6" width="23.29"/>
    <col customWidth="1" min="7" max="7" width="24.86"/>
    <col customWidth="1" min="15" max="15" width="12.29"/>
    <col customWidth="1" min="16" max="16" width="11.14"/>
    <col customWidth="1" min="17" max="17" width="10.0"/>
    <col customWidth="1" min="18" max="18" width="18.86"/>
    <col customWidth="1" hidden="1" min="19" max="19" width="18.86"/>
    <col customWidth="1" min="20" max="20" width="12.29"/>
    <col customWidth="1" min="21" max="21" width="5.86"/>
    <col customWidth="1" min="22" max="22" width="12.71"/>
    <col customWidth="1" min="23" max="27" width="11.14"/>
    <col customWidth="1" min="28" max="34" width="10.14"/>
    <col customWidth="1" min="35" max="36" width="11.14"/>
    <col customWidth="1" min="37" max="38" width="16.14"/>
    <col customWidth="1" min="39" max="39" width="5.43"/>
    <col customWidth="1" min="40" max="40" width="13.57"/>
    <col customWidth="1" min="41" max="43" width="11.14"/>
    <col customWidth="1" min="44" max="44" width="5.71"/>
    <col customWidth="1" min="45" max="89" width="11.14"/>
  </cols>
  <sheetData>
    <row r="1">
      <c r="A1" s="206" t="s">
        <v>123</v>
      </c>
      <c r="B1" s="207" t="s">
        <v>124</v>
      </c>
      <c r="C1" s="207" t="s">
        <v>44</v>
      </c>
      <c r="D1" s="207" t="s">
        <v>45</v>
      </c>
      <c r="E1" s="207" t="s">
        <v>14</v>
      </c>
      <c r="F1" s="207" t="s">
        <v>128</v>
      </c>
      <c r="G1" s="207" t="s">
        <v>894</v>
      </c>
      <c r="H1" s="195" t="s">
        <v>895</v>
      </c>
      <c r="I1" s="195" t="s">
        <v>896</v>
      </c>
      <c r="J1" s="195" t="s">
        <v>897</v>
      </c>
      <c r="K1" s="195" t="s">
        <v>898</v>
      </c>
      <c r="L1" s="195" t="s">
        <v>899</v>
      </c>
      <c r="M1" s="195" t="s">
        <v>125</v>
      </c>
      <c r="N1" s="195" t="s">
        <v>900</v>
      </c>
      <c r="O1" s="195" t="s">
        <v>901</v>
      </c>
      <c r="P1" s="195" t="s">
        <v>902</v>
      </c>
      <c r="Q1" s="195" t="s">
        <v>903</v>
      </c>
      <c r="R1" s="195" t="s">
        <v>904</v>
      </c>
      <c r="S1" s="208" t="s">
        <v>905</v>
      </c>
      <c r="T1" s="208"/>
      <c r="U1" s="208"/>
      <c r="V1" s="62" t="s">
        <v>906</v>
      </c>
      <c r="W1" s="62" t="s">
        <v>960</v>
      </c>
      <c r="X1" s="62" t="s">
        <v>908</v>
      </c>
      <c r="Y1" s="62" t="s">
        <v>961</v>
      </c>
      <c r="Z1" s="209"/>
      <c r="AA1" s="210" t="s">
        <v>910</v>
      </c>
      <c r="AB1" s="211" t="s">
        <v>911</v>
      </c>
      <c r="AC1" s="210"/>
      <c r="AD1" s="210"/>
      <c r="AE1" s="210"/>
      <c r="AF1" s="210"/>
      <c r="AG1" s="210"/>
      <c r="AH1" s="210"/>
      <c r="AI1" s="210"/>
      <c r="AJ1" s="210" t="s">
        <v>14</v>
      </c>
      <c r="AK1" s="212" t="s">
        <v>838</v>
      </c>
      <c r="AL1" s="213" t="s">
        <v>912</v>
      </c>
      <c r="AM1" s="214"/>
      <c r="AN1" s="215" t="s">
        <v>962</v>
      </c>
      <c r="AO1" s="62" t="s">
        <v>963</v>
      </c>
      <c r="AP1" s="62" t="s">
        <v>908</v>
      </c>
      <c r="AQ1" s="62" t="s">
        <v>964</v>
      </c>
      <c r="AR1" s="210"/>
      <c r="AZ1" s="210"/>
      <c r="BA1" s="210"/>
      <c r="BB1" s="210"/>
      <c r="BC1" s="210"/>
      <c r="BD1" s="210"/>
      <c r="BE1" s="210"/>
      <c r="BF1" s="210"/>
      <c r="BG1" s="210"/>
      <c r="BH1" s="210"/>
      <c r="BI1" s="210"/>
      <c r="BJ1" s="210"/>
      <c r="BK1" s="210"/>
      <c r="BL1" s="210"/>
      <c r="BM1" s="210"/>
      <c r="BN1" s="210"/>
      <c r="BO1" s="210"/>
      <c r="BP1" s="210"/>
      <c r="BQ1" s="210"/>
      <c r="BR1" s="210"/>
      <c r="BS1" s="210"/>
      <c r="BT1" s="210"/>
      <c r="BU1" s="210"/>
      <c r="BV1" s="210"/>
      <c r="BW1" s="210"/>
      <c r="BX1" s="210"/>
      <c r="BY1" s="210"/>
      <c r="BZ1" s="210"/>
      <c r="CA1" s="210"/>
      <c r="CB1" s="210"/>
      <c r="CC1" s="210"/>
      <c r="CD1" s="210"/>
      <c r="CE1" s="210"/>
      <c r="CF1" s="210"/>
      <c r="CG1" s="210"/>
      <c r="CH1" s="210"/>
      <c r="CI1" s="210"/>
      <c r="CJ1" s="210"/>
      <c r="CK1" s="210"/>
    </row>
    <row r="2">
      <c r="A2" s="216" t="s">
        <v>721</v>
      </c>
      <c r="B2" s="217" t="s">
        <v>722</v>
      </c>
      <c r="C2" s="218" t="s">
        <v>51</v>
      </c>
      <c r="D2" s="218" t="s">
        <v>844</v>
      </c>
      <c r="E2" s="217" t="s">
        <v>21</v>
      </c>
      <c r="F2" s="13" t="s">
        <v>917</v>
      </c>
      <c r="G2" s="13" t="s">
        <v>918</v>
      </c>
      <c r="H2" s="219">
        <f>IFERROR(
  MINIFS(ATTENDANCE_LOG!$F:$F,
         ATTENDANCE_LOG!$A:$A, C2,
         ATTENDANCE_LOG!$B:$B, E2),
"")</f>
        <v>45700.41667</v>
      </c>
      <c r="I2" s="219">
        <f t="shared" ref="I2:I543" si="2">IFERROR(
  MINIFS($H:$H, $A:$A, A2, $H:$H, "&gt;"&amp;0),
"")</f>
        <v>45700.41667</v>
      </c>
      <c r="J2" s="190">
        <f>IFERROR(VLOOKUP(F2, LEVEL_HELPER!$A:$B, 2, 0), "")</f>
        <v>2.5</v>
      </c>
      <c r="K2" s="190">
        <f>IFERROR(VLOOKUP(G2, LEVEL_HELPER!$A:$B, 2, 0), "")</f>
        <v>3</v>
      </c>
      <c r="L2" s="220" t="s">
        <v>919</v>
      </c>
      <c r="M2" s="220" t="s">
        <v>920</v>
      </c>
      <c r="N2" s="190">
        <f t="array" ref="N2">IFERROR(
  INDEX($J$2:$J$543,
    MATCH(A2&amp;TEXT(I2,"yyyy-mm-dd"),
          $A$2:$A$543&amp;TEXT($H$2:$H$543,"yyyy-mm-dd"),
          0)),
"")</f>
        <v>2.5</v>
      </c>
      <c r="O2" s="210">
        <f t="shared" ref="O2:O543" si="3">IFERROR(MAXIFS($K:$K, $A:$A, A2), "")</f>
        <v>3.5</v>
      </c>
      <c r="P2" s="210">
        <f t="shared" ref="P2:Q2" si="1">IF(N2="",0,IF(N2&lt;=2,1,IF(N2&lt;=4,2,IF(N2&lt;=5.5,3,4))))</f>
        <v>2</v>
      </c>
      <c r="Q2" s="210">
        <f t="shared" si="1"/>
        <v>2</v>
      </c>
      <c r="R2" s="210" t="str">
        <f t="shared" ref="R2:R543" si="5">IF(P2=0,"No Data",IF(Q2&lt;P2,"Regressed",IF(Q2=P2,IF(O2&gt;N2,"Progress within level","No Progress"),IF(Q2-P2=1,"Lv"&amp;P2&amp;" → Lv"&amp;Q2,"Lv"&amp;P2&amp;" → Lv"&amp;Q2&amp;" (multi)"))))</f>
        <v>Progress within level</v>
      </c>
      <c r="S2" s="210">
        <f t="shared" ref="S2:S543" si="6">IF(COUNTIF($A$2:A2,A2)=1,1,0)</f>
        <v>1</v>
      </c>
      <c r="T2" s="210"/>
      <c r="U2" s="210"/>
      <c r="V2" s="211" t="str">
        <f t="array" ref="V2:V306">unique(A2:A1599)</f>
        <v>227155</v>
      </c>
      <c r="W2" s="210" t="str">
        <f t="shared" ref="W2:W305" si="7">VLOOKUP(V2,$A$2:$P1599,12,0)</f>
        <v>QC</v>
      </c>
      <c r="X2" s="210" t="str">
        <f t="shared" ref="X2:X305" si="8">IFS(W2="QC","QC",OR(W2="BA",W2="BC"),"BA, BC",OR(W2="DEV",W2="TA"),"DEV, TA",OR(W2="HR",W2="Admin",W2="Management"),"HR, GA, Mgt",W2="GSD","GSD",OR(W2="PPO",W2="SM",W2="IM"),"PPO, SM, IM ",OR(W2="UI/UX",W2="Designer"),"UI/UX, Des")</f>
        <v>QC</v>
      </c>
      <c r="Y2" s="210" t="str">
        <f t="shared" ref="Y2:Y305" si="9">VLOOKUP(V2,$A$2:$P1599,13,0)</f>
        <v>POC</v>
      </c>
      <c r="Z2" s="210"/>
      <c r="AA2" s="211" t="s">
        <v>908</v>
      </c>
      <c r="AB2" s="210" t="s">
        <v>921</v>
      </c>
      <c r="AC2" s="210" t="s">
        <v>922</v>
      </c>
      <c r="AD2" s="210" t="s">
        <v>923</v>
      </c>
      <c r="AE2" s="210" t="s">
        <v>924</v>
      </c>
      <c r="AF2" s="210" t="s">
        <v>925</v>
      </c>
      <c r="AG2" s="210" t="s">
        <v>920</v>
      </c>
      <c r="AH2" s="210" t="s">
        <v>926</v>
      </c>
      <c r="AI2" s="210"/>
      <c r="AJ2" s="221"/>
      <c r="AK2" s="220">
        <v>0.0</v>
      </c>
      <c r="AL2" s="210">
        <v>0.0</v>
      </c>
      <c r="AM2" s="214"/>
      <c r="AN2" s="211" t="str">
        <f>IFERROR(__xludf.DUMMYFUNCTION("filter(STUDENTS!A3:A1599,STUDENTS!E3:E1599=""Active"")"),"213817")</f>
        <v>213817</v>
      </c>
      <c r="AO2" s="210" t="str">
        <f t="shared" ref="AO2:AO240" si="10">VLOOKUP(AN2,$A$2:$P1599,12,0)</f>
        <v>QC</v>
      </c>
      <c r="AP2" s="210" t="str">
        <f t="shared" ref="AP2:AP240" si="11">IFS(AO2="QC","QC",OR(AO2="BA",AO2="BC"),"BA, BC",OR(AO2="DEV",AO2="TA"),"DEV, TA",OR(AO2="HR",AO2="Admin",AO2="Management"),"HR, GA, Mgt",AO2="GSD","GSD",OR(AO2="PPO",AO2="SM",AO2="IM"),"PPO, SM, IM ",OR(AO2="UI/UX",AO2="Designer"),"UI/UX, Des")</f>
        <v>QC</v>
      </c>
      <c r="AQ2" s="210" t="str">
        <f t="shared" ref="AQ2:AQ240" si="12">VLOOKUP(AN2,$A$2:$P1599,13,0)</f>
        <v>ONC</v>
      </c>
      <c r="AR2" s="210"/>
      <c r="AZ2" s="210"/>
      <c r="BA2" s="210"/>
      <c r="BB2" s="210"/>
      <c r="BC2" s="210"/>
      <c r="BD2" s="210"/>
      <c r="BE2" s="210"/>
      <c r="BF2" s="210"/>
      <c r="BG2" s="210"/>
      <c r="BH2" s="210"/>
      <c r="BI2" s="210"/>
      <c r="BJ2" s="210"/>
      <c r="BK2" s="210"/>
      <c r="BL2" s="210"/>
      <c r="BM2" s="210"/>
      <c r="BN2" s="210"/>
      <c r="BO2" s="210"/>
      <c r="BP2" s="210"/>
      <c r="BQ2" s="210"/>
      <c r="BR2" s="210"/>
      <c r="BS2" s="210"/>
      <c r="BT2" s="210"/>
      <c r="BU2" s="210"/>
      <c r="BV2" s="210"/>
      <c r="BW2" s="210"/>
      <c r="BX2" s="210"/>
      <c r="BY2" s="210"/>
      <c r="BZ2" s="210"/>
      <c r="CA2" s="210"/>
      <c r="CB2" s="210"/>
      <c r="CC2" s="210"/>
      <c r="CD2" s="210"/>
      <c r="CE2" s="210"/>
      <c r="CF2" s="210"/>
      <c r="CG2" s="210"/>
      <c r="CH2" s="210"/>
      <c r="CI2" s="210"/>
      <c r="CJ2" s="210"/>
      <c r="CK2" s="210"/>
    </row>
    <row r="3">
      <c r="A3" s="222" t="s">
        <v>296</v>
      </c>
      <c r="B3" s="190" t="s">
        <v>297</v>
      </c>
      <c r="C3" s="223" t="s">
        <v>51</v>
      </c>
      <c r="D3" s="223" t="s">
        <v>844</v>
      </c>
      <c r="E3" s="190" t="s">
        <v>21</v>
      </c>
      <c r="F3" s="13" t="s">
        <v>927</v>
      </c>
      <c r="G3" s="13" t="s">
        <v>918</v>
      </c>
      <c r="H3" s="219">
        <f>IFERROR(
  MINIFS(ATTENDANCE_LOG!$F:$F,
         ATTENDANCE_LOG!$A:$A, C3,
         ATTENDANCE_LOG!$B:$B, E3),
"")</f>
        <v>45700.41667</v>
      </c>
      <c r="I3" s="219">
        <f t="shared" si="2"/>
        <v>45700.41667</v>
      </c>
      <c r="J3" s="190">
        <f>IFERROR(VLOOKUP(F3, LEVEL_HELPER!$A:$B, 2, 0), "")</f>
        <v>1</v>
      </c>
      <c r="K3" s="190">
        <f>IFERROR(VLOOKUP(G3, LEVEL_HELPER!$A:$B, 2, 0), "")</f>
        <v>3</v>
      </c>
      <c r="L3" s="220" t="s">
        <v>919</v>
      </c>
      <c r="M3" s="220" t="s">
        <v>920</v>
      </c>
      <c r="N3" s="190">
        <f t="array" ref="N3">IFERROR(
  INDEX($J$2:$J$543,
    MATCH(A3&amp;TEXT(I3,"yyyy-mm-dd"),
          $A$2:$A$543&amp;TEXT($H$2:$H$543,"yyyy-mm-dd"),
          0)),
"")</f>
        <v>1</v>
      </c>
      <c r="O3" s="210">
        <f t="shared" si="3"/>
        <v>3.5</v>
      </c>
      <c r="P3" s="210">
        <f t="shared" ref="P3:Q3" si="4">IF(N3="",0,IF(N3&lt;=2,1,IF(N3&lt;=4,2,IF(N3&lt;=5.5,3,4))))</f>
        <v>1</v>
      </c>
      <c r="Q3" s="210">
        <f t="shared" si="4"/>
        <v>2</v>
      </c>
      <c r="R3" s="210" t="str">
        <f t="shared" si="5"/>
        <v>Lv1 → Lv2</v>
      </c>
      <c r="S3" s="210">
        <f t="shared" si="6"/>
        <v>1</v>
      </c>
      <c r="T3" s="210"/>
      <c r="U3" s="210"/>
      <c r="V3" s="224" t="s">
        <v>296</v>
      </c>
      <c r="W3" s="210" t="str">
        <f t="shared" si="7"/>
        <v>QC</v>
      </c>
      <c r="X3" s="210" t="str">
        <f t="shared" si="8"/>
        <v>QC</v>
      </c>
      <c r="Y3" s="210" t="str">
        <f t="shared" si="9"/>
        <v>POC</v>
      </c>
      <c r="Z3" s="210"/>
      <c r="AA3" s="210" t="s">
        <v>928</v>
      </c>
      <c r="AB3" s="210"/>
      <c r="AC3" s="210"/>
      <c r="AD3" s="210">
        <v>4.0</v>
      </c>
      <c r="AE3" s="210">
        <v>2.0</v>
      </c>
      <c r="AF3" s="210"/>
      <c r="AG3" s="210">
        <v>1.0</v>
      </c>
      <c r="AH3" s="210">
        <v>2.0</v>
      </c>
      <c r="AI3" s="210"/>
      <c r="AJ3" s="221" t="s">
        <v>24</v>
      </c>
      <c r="AK3" s="220">
        <v>5.0</v>
      </c>
      <c r="AL3" s="210">
        <v>30.0</v>
      </c>
      <c r="AM3" s="214">
        <f t="shared" ref="AM3:AM9" si="14">AL3/AK3</f>
        <v>6</v>
      </c>
      <c r="AN3" s="211" t="str">
        <f>IFERROR(__xludf.DUMMYFUNCTION("""COMPUTED_VALUE"""),"237226")</f>
        <v>237226</v>
      </c>
      <c r="AO3" s="210" t="str">
        <f t="shared" si="10"/>
        <v>GSD</v>
      </c>
      <c r="AP3" s="210" t="str">
        <f t="shared" si="11"/>
        <v>GSD</v>
      </c>
      <c r="AQ3" s="210" t="str">
        <f t="shared" si="12"/>
        <v>LBU</v>
      </c>
      <c r="AR3" s="210"/>
      <c r="AZ3" s="210"/>
      <c r="BA3" s="210"/>
      <c r="BB3" s="210"/>
      <c r="BC3" s="210"/>
      <c r="BD3" s="210"/>
      <c r="BE3" s="210"/>
      <c r="BF3" s="210"/>
      <c r="BG3" s="210"/>
      <c r="BH3" s="210"/>
      <c r="BI3" s="210"/>
      <c r="BJ3" s="210"/>
      <c r="BK3" s="210"/>
      <c r="BL3" s="210"/>
      <c r="BM3" s="210"/>
      <c r="BN3" s="210"/>
      <c r="BO3" s="210"/>
      <c r="BP3" s="210"/>
      <c r="BQ3" s="210"/>
      <c r="BR3" s="210"/>
      <c r="BS3" s="210"/>
      <c r="BT3" s="210"/>
      <c r="BU3" s="210"/>
      <c r="BV3" s="210"/>
      <c r="BW3" s="210"/>
      <c r="BX3" s="210"/>
      <c r="BY3" s="210"/>
      <c r="BZ3" s="210"/>
      <c r="CA3" s="210"/>
      <c r="CB3" s="210"/>
      <c r="CC3" s="210"/>
      <c r="CD3" s="210"/>
      <c r="CE3" s="210"/>
      <c r="CF3" s="210"/>
      <c r="CG3" s="210"/>
      <c r="CH3" s="210"/>
      <c r="CI3" s="210"/>
      <c r="CJ3" s="210"/>
      <c r="CK3" s="210"/>
    </row>
    <row r="4">
      <c r="A4" s="222" t="s">
        <v>319</v>
      </c>
      <c r="B4" s="190" t="s">
        <v>320</v>
      </c>
      <c r="C4" s="223" t="s">
        <v>51</v>
      </c>
      <c r="D4" s="223" t="s">
        <v>844</v>
      </c>
      <c r="E4" s="190" t="s">
        <v>21</v>
      </c>
      <c r="F4" s="13" t="s">
        <v>927</v>
      </c>
      <c r="G4" s="13" t="s">
        <v>929</v>
      </c>
      <c r="H4" s="219">
        <f>IFERROR(
  MINIFS(ATTENDANCE_LOG!$F:$F,
         ATTENDANCE_LOG!$A:$A, C4,
         ATTENDANCE_LOG!$B:$B, E4),
"")</f>
        <v>45700.41667</v>
      </c>
      <c r="I4" s="219">
        <f t="shared" si="2"/>
        <v>45700.41667</v>
      </c>
      <c r="J4" s="190">
        <f>IFERROR(VLOOKUP(F4, LEVEL_HELPER!$A:$B, 2, 0), "")</f>
        <v>1</v>
      </c>
      <c r="K4" s="190">
        <f>IFERROR(VLOOKUP(G4, LEVEL_HELPER!$A:$B, 2, 0), "")</f>
        <v>1.5</v>
      </c>
      <c r="L4" s="220" t="s">
        <v>919</v>
      </c>
      <c r="M4" s="220" t="s">
        <v>920</v>
      </c>
      <c r="N4" s="190">
        <f t="array" ref="N4">IFERROR(
  INDEX($J$2:$J$543,
    MATCH(A4&amp;TEXT(I4,"yyyy-mm-dd"),
          $A$2:$A$543&amp;TEXT($H$2:$H$543,"yyyy-mm-dd"),
          0)),
"")</f>
        <v>1</v>
      </c>
      <c r="O4" s="210">
        <f t="shared" si="3"/>
        <v>2</v>
      </c>
      <c r="P4" s="210">
        <f t="shared" ref="P4:Q4" si="13">IF(N4="",0,IF(N4&lt;=2,1,IF(N4&lt;=4,2,IF(N4&lt;=5.5,3,4))))</f>
        <v>1</v>
      </c>
      <c r="Q4" s="210">
        <f t="shared" si="13"/>
        <v>1</v>
      </c>
      <c r="R4" s="210" t="str">
        <f t="shared" si="5"/>
        <v>Progress within level</v>
      </c>
      <c r="S4" s="210">
        <f t="shared" si="6"/>
        <v>1</v>
      </c>
      <c r="T4" s="210"/>
      <c r="U4" s="210"/>
      <c r="V4" s="211" t="s">
        <v>319</v>
      </c>
      <c r="W4" s="210" t="str">
        <f t="shared" si="7"/>
        <v>QC</v>
      </c>
      <c r="X4" s="210" t="str">
        <f t="shared" si="8"/>
        <v>QC</v>
      </c>
      <c r="Y4" s="210" t="str">
        <f t="shared" si="9"/>
        <v>POC</v>
      </c>
      <c r="Z4" s="210"/>
      <c r="AA4" s="210" t="s">
        <v>930</v>
      </c>
      <c r="AB4" s="210"/>
      <c r="AC4" s="210">
        <v>36.0</v>
      </c>
      <c r="AD4" s="210">
        <v>19.0</v>
      </c>
      <c r="AE4" s="210">
        <v>42.0</v>
      </c>
      <c r="AF4" s="210">
        <v>42.0</v>
      </c>
      <c r="AG4" s="210">
        <v>5.0</v>
      </c>
      <c r="AH4" s="210">
        <v>20.0</v>
      </c>
      <c r="AI4" s="210"/>
      <c r="AJ4" s="221" t="s">
        <v>21</v>
      </c>
      <c r="AK4" s="220">
        <v>46.0</v>
      </c>
      <c r="AL4" s="210">
        <v>280.0</v>
      </c>
      <c r="AM4" s="214">
        <f t="shared" si="14"/>
        <v>6.086956522</v>
      </c>
      <c r="AN4" s="211" t="str">
        <f>IFERROR(__xludf.DUMMYFUNCTION("""COMPUTED_VALUE"""),"213856")</f>
        <v>213856</v>
      </c>
      <c r="AO4" s="210" t="str">
        <f t="shared" si="10"/>
        <v>QC</v>
      </c>
      <c r="AP4" s="210" t="str">
        <f t="shared" si="11"/>
        <v>QC</v>
      </c>
      <c r="AQ4" s="210" t="str">
        <f t="shared" si="12"/>
        <v>ONC</v>
      </c>
      <c r="AR4" s="210"/>
      <c r="AZ4" s="210"/>
      <c r="BA4" s="210"/>
      <c r="BB4" s="210"/>
      <c r="BC4" s="210"/>
      <c r="BD4" s="210"/>
      <c r="BE4" s="210"/>
      <c r="BF4" s="210"/>
      <c r="BG4" s="210"/>
      <c r="BH4" s="210"/>
      <c r="BI4" s="210"/>
      <c r="BJ4" s="210"/>
      <c r="BK4" s="210"/>
      <c r="BL4" s="210"/>
      <c r="BM4" s="210"/>
      <c r="BN4" s="210"/>
      <c r="BO4" s="210"/>
      <c r="BP4" s="210"/>
      <c r="BQ4" s="210"/>
      <c r="BR4" s="210"/>
      <c r="BS4" s="210"/>
      <c r="BT4" s="210"/>
      <c r="BU4" s="210"/>
      <c r="BV4" s="210"/>
      <c r="BW4" s="210"/>
      <c r="BX4" s="210"/>
      <c r="BY4" s="210"/>
      <c r="BZ4" s="210"/>
      <c r="CA4" s="210"/>
      <c r="CB4" s="210"/>
      <c r="CC4" s="210"/>
      <c r="CD4" s="210"/>
      <c r="CE4" s="210"/>
      <c r="CF4" s="210"/>
      <c r="CG4" s="210"/>
      <c r="CH4" s="210"/>
      <c r="CI4" s="210"/>
      <c r="CJ4" s="210"/>
      <c r="CK4" s="210"/>
    </row>
    <row r="5">
      <c r="A5" s="222" t="s">
        <v>474</v>
      </c>
      <c r="B5" s="190" t="s">
        <v>475</v>
      </c>
      <c r="C5" s="223" t="s">
        <v>51</v>
      </c>
      <c r="D5" s="223" t="s">
        <v>844</v>
      </c>
      <c r="E5" s="190" t="s">
        <v>21</v>
      </c>
      <c r="F5" s="13" t="s">
        <v>927</v>
      </c>
      <c r="G5" s="13" t="s">
        <v>918</v>
      </c>
      <c r="H5" s="219">
        <f>IFERROR(
  MINIFS(ATTENDANCE_LOG!$F:$F,
         ATTENDANCE_LOG!$A:$A, C5,
         ATTENDANCE_LOG!$B:$B, E5),
"")</f>
        <v>45700.41667</v>
      </c>
      <c r="I5" s="219">
        <f t="shared" si="2"/>
        <v>45700.41667</v>
      </c>
      <c r="J5" s="190">
        <f>IFERROR(VLOOKUP(F5, LEVEL_HELPER!$A:$B, 2, 0), "")</f>
        <v>1</v>
      </c>
      <c r="K5" s="190">
        <f>IFERROR(VLOOKUP(G5, LEVEL_HELPER!$A:$B, 2, 0), "")</f>
        <v>3</v>
      </c>
      <c r="L5" s="220" t="s">
        <v>919</v>
      </c>
      <c r="M5" s="220" t="s">
        <v>920</v>
      </c>
      <c r="N5" s="190">
        <f t="array" ref="N5">IFERROR(
  INDEX($J$2:$J$543,
    MATCH(A5&amp;TEXT(I5,"yyyy-mm-dd"),
          $A$2:$A$543&amp;TEXT($H$2:$H$543,"yyyy-mm-dd"),
          0)),
"")</f>
        <v>1</v>
      </c>
      <c r="O5" s="210">
        <f t="shared" si="3"/>
        <v>3.5</v>
      </c>
      <c r="P5" s="210">
        <f t="shared" ref="P5:Q5" si="15">IF(N5="",0,IF(N5&lt;=2,1,IF(N5&lt;=4,2,IF(N5&lt;=5.5,3,4))))</f>
        <v>1</v>
      </c>
      <c r="Q5" s="210">
        <f t="shared" si="15"/>
        <v>2</v>
      </c>
      <c r="R5" s="210" t="str">
        <f t="shared" si="5"/>
        <v>Lv1 → Lv2</v>
      </c>
      <c r="S5" s="210">
        <f t="shared" si="6"/>
        <v>1</v>
      </c>
      <c r="T5" s="210"/>
      <c r="U5" s="210"/>
      <c r="V5" s="211" t="s">
        <v>474</v>
      </c>
      <c r="W5" s="210" t="str">
        <f t="shared" si="7"/>
        <v>QC</v>
      </c>
      <c r="X5" s="210" t="str">
        <f t="shared" si="8"/>
        <v>QC</v>
      </c>
      <c r="Y5" s="210" t="str">
        <f t="shared" si="9"/>
        <v>POC</v>
      </c>
      <c r="Z5" s="210"/>
      <c r="AA5" s="210" t="s">
        <v>931</v>
      </c>
      <c r="AB5" s="210"/>
      <c r="AC5" s="210">
        <v>1.0</v>
      </c>
      <c r="AD5" s="210">
        <v>20.0</v>
      </c>
      <c r="AE5" s="210">
        <v>7.0</v>
      </c>
      <c r="AF5" s="210">
        <v>2.0</v>
      </c>
      <c r="AG5" s="210">
        <v>16.0</v>
      </c>
      <c r="AH5" s="210">
        <v>8.0</v>
      </c>
      <c r="AI5" s="210"/>
      <c r="AJ5" s="221" t="s">
        <v>22</v>
      </c>
      <c r="AK5" s="220">
        <v>23.0</v>
      </c>
      <c r="AL5" s="210">
        <v>146.0</v>
      </c>
      <c r="AM5" s="214">
        <f t="shared" si="14"/>
        <v>6.347826087</v>
      </c>
      <c r="AN5" s="211" t="str">
        <f>IFERROR(__xludf.DUMMYFUNCTION("""COMPUTED_VALUE"""),"247423")</f>
        <v>247423</v>
      </c>
      <c r="AO5" s="210" t="str">
        <f t="shared" si="10"/>
        <v>DEV</v>
      </c>
      <c r="AP5" s="210" t="str">
        <f t="shared" si="11"/>
        <v>DEV, TA</v>
      </c>
      <c r="AQ5" s="210" t="str">
        <f t="shared" si="12"/>
        <v>MOC</v>
      </c>
      <c r="AR5" s="210"/>
      <c r="AZ5" s="210"/>
      <c r="BA5" s="210"/>
      <c r="BB5" s="210"/>
      <c r="BC5" s="210"/>
      <c r="BD5" s="210"/>
      <c r="BE5" s="210"/>
      <c r="BF5" s="210"/>
      <c r="BG5" s="210"/>
      <c r="BH5" s="210"/>
      <c r="BI5" s="210"/>
      <c r="BJ5" s="210"/>
      <c r="BK5" s="210"/>
      <c r="BL5" s="210"/>
      <c r="BM5" s="210"/>
      <c r="BN5" s="210"/>
      <c r="BO5" s="210"/>
      <c r="BP5" s="210"/>
      <c r="BQ5" s="210"/>
      <c r="BR5" s="210"/>
      <c r="BS5" s="210"/>
      <c r="BT5" s="210"/>
      <c r="BU5" s="210"/>
      <c r="BV5" s="210"/>
      <c r="BW5" s="210"/>
      <c r="BX5" s="210"/>
      <c r="BY5" s="210"/>
      <c r="BZ5" s="210"/>
      <c r="CA5" s="210"/>
      <c r="CB5" s="210"/>
      <c r="CC5" s="210"/>
      <c r="CD5" s="210"/>
      <c r="CE5" s="210"/>
      <c r="CF5" s="210"/>
      <c r="CG5" s="210"/>
      <c r="CH5" s="210"/>
      <c r="CI5" s="210"/>
      <c r="CJ5" s="210"/>
      <c r="CK5" s="210"/>
    </row>
    <row r="6">
      <c r="A6" s="222" t="s">
        <v>657</v>
      </c>
      <c r="B6" s="190" t="s">
        <v>658</v>
      </c>
      <c r="C6" s="223" t="s">
        <v>51</v>
      </c>
      <c r="D6" s="223" t="s">
        <v>844</v>
      </c>
      <c r="E6" s="190" t="s">
        <v>21</v>
      </c>
      <c r="F6" s="13" t="s">
        <v>932</v>
      </c>
      <c r="G6" s="13" t="s">
        <v>932</v>
      </c>
      <c r="H6" s="219">
        <f>IFERROR(
  MINIFS(ATTENDANCE_LOG!$F:$F,
         ATTENDANCE_LOG!$A:$A, C6,
         ATTENDANCE_LOG!$B:$B, E6),
"")</f>
        <v>45700.41667</v>
      </c>
      <c r="I6" s="219">
        <f t="shared" si="2"/>
        <v>45700.41667</v>
      </c>
      <c r="J6" s="190">
        <f>IFERROR(VLOOKUP(F6, LEVEL_HELPER!$A:$B, 2, 0), "")</f>
        <v>4.5</v>
      </c>
      <c r="K6" s="190">
        <f>IFERROR(VLOOKUP(G6, LEVEL_HELPER!$A:$B, 2, 0), "")</f>
        <v>4.5</v>
      </c>
      <c r="L6" s="220" t="s">
        <v>919</v>
      </c>
      <c r="M6" s="220" t="s">
        <v>920</v>
      </c>
      <c r="N6" s="190">
        <f t="array" ref="N6">IFERROR(
  INDEX($J$2:$J$543,
    MATCH(A6&amp;TEXT(I6,"yyyy-mm-dd"),
          $A$2:$A$543&amp;TEXT($H$2:$H$543,"yyyy-mm-dd"),
          0)),
"")</f>
        <v>4.5</v>
      </c>
      <c r="O6" s="210">
        <f t="shared" si="3"/>
        <v>5.5</v>
      </c>
      <c r="P6" s="210">
        <f t="shared" ref="P6:Q6" si="16">IF(N6="",0,IF(N6&lt;=2,1,IF(N6&lt;=4,2,IF(N6&lt;=5.5,3,4))))</f>
        <v>3</v>
      </c>
      <c r="Q6" s="210">
        <f t="shared" si="16"/>
        <v>3</v>
      </c>
      <c r="R6" s="210" t="str">
        <f t="shared" si="5"/>
        <v>Progress within level</v>
      </c>
      <c r="S6" s="210">
        <f t="shared" si="6"/>
        <v>1</v>
      </c>
      <c r="T6" s="210"/>
      <c r="U6" s="210"/>
      <c r="V6" s="211" t="s">
        <v>657</v>
      </c>
      <c r="W6" s="210" t="str">
        <f t="shared" si="7"/>
        <v>QC</v>
      </c>
      <c r="X6" s="210" t="str">
        <f t="shared" si="8"/>
        <v>QC</v>
      </c>
      <c r="Y6" s="210" t="str">
        <f t="shared" si="9"/>
        <v>POC</v>
      </c>
      <c r="Z6" s="210"/>
      <c r="AA6" s="210" t="s">
        <v>933</v>
      </c>
      <c r="AB6" s="210">
        <v>7.0</v>
      </c>
      <c r="AC6" s="210">
        <v>1.0</v>
      </c>
      <c r="AD6" s="210">
        <v>1.0</v>
      </c>
      <c r="AE6" s="210"/>
      <c r="AF6" s="210">
        <v>1.0</v>
      </c>
      <c r="AG6" s="210"/>
      <c r="AH6" s="210"/>
      <c r="AI6" s="210"/>
      <c r="AJ6" s="221" t="s">
        <v>23</v>
      </c>
      <c r="AK6" s="220">
        <v>3.0</v>
      </c>
      <c r="AL6" s="210">
        <v>22.0</v>
      </c>
      <c r="AM6" s="214">
        <f t="shared" si="14"/>
        <v>7.333333333</v>
      </c>
      <c r="AN6" s="211" t="str">
        <f>IFERROR(__xludf.DUMMYFUNCTION("""COMPUTED_VALUE"""),"183322")</f>
        <v>183322</v>
      </c>
      <c r="AO6" s="210" t="str">
        <f t="shared" si="10"/>
        <v>DEV</v>
      </c>
      <c r="AP6" s="210" t="str">
        <f t="shared" si="11"/>
        <v>DEV, TA</v>
      </c>
      <c r="AQ6" s="210" t="str">
        <f t="shared" si="12"/>
        <v>MOC</v>
      </c>
      <c r="AR6" s="210"/>
      <c r="AZ6" s="210"/>
      <c r="BA6" s="210"/>
      <c r="BB6" s="210"/>
      <c r="BC6" s="210"/>
      <c r="BD6" s="210"/>
      <c r="BE6" s="210"/>
      <c r="BF6" s="210"/>
      <c r="BG6" s="210"/>
      <c r="BH6" s="210"/>
      <c r="BI6" s="210"/>
      <c r="BJ6" s="210"/>
      <c r="BK6" s="210"/>
      <c r="BL6" s="210"/>
      <c r="BM6" s="210"/>
      <c r="BN6" s="210"/>
      <c r="BO6" s="210"/>
      <c r="BP6" s="210"/>
      <c r="BQ6" s="210"/>
      <c r="BR6" s="210"/>
      <c r="BS6" s="210"/>
      <c r="BT6" s="210"/>
      <c r="BU6" s="210"/>
      <c r="BV6" s="210"/>
      <c r="BW6" s="210"/>
      <c r="BX6" s="210"/>
      <c r="BY6" s="210"/>
      <c r="BZ6" s="210"/>
      <c r="CA6" s="210"/>
      <c r="CB6" s="210"/>
      <c r="CC6" s="210"/>
      <c r="CD6" s="210"/>
      <c r="CE6" s="210"/>
      <c r="CF6" s="210"/>
      <c r="CG6" s="210"/>
      <c r="CH6" s="210"/>
      <c r="CI6" s="210"/>
      <c r="CJ6" s="210"/>
      <c r="CK6" s="210"/>
    </row>
    <row r="7">
      <c r="A7" s="222" t="s">
        <v>659</v>
      </c>
      <c r="B7" s="190" t="s">
        <v>660</v>
      </c>
      <c r="C7" s="223" t="s">
        <v>51</v>
      </c>
      <c r="D7" s="223" t="s">
        <v>844</v>
      </c>
      <c r="E7" s="190" t="s">
        <v>21</v>
      </c>
      <c r="F7" s="13" t="s">
        <v>927</v>
      </c>
      <c r="G7" s="13" t="s">
        <v>935</v>
      </c>
      <c r="H7" s="219">
        <f>IFERROR(
  MINIFS(ATTENDANCE_LOG!$F:$F,
         ATTENDANCE_LOG!$A:$A, C7,
         ATTENDANCE_LOG!$B:$B, E7),
"")</f>
        <v>45700.41667</v>
      </c>
      <c r="I7" s="219">
        <f t="shared" si="2"/>
        <v>45700.41667</v>
      </c>
      <c r="J7" s="190">
        <f>IFERROR(VLOOKUP(F7, LEVEL_HELPER!$A:$B, 2, 0), "")</f>
        <v>1</v>
      </c>
      <c r="K7" s="190">
        <f>IFERROR(VLOOKUP(G7, LEVEL_HELPER!$A:$B, 2, 0), "")</f>
        <v>3.5</v>
      </c>
      <c r="L7" s="220" t="s">
        <v>919</v>
      </c>
      <c r="M7" s="220" t="s">
        <v>920</v>
      </c>
      <c r="N7" s="190">
        <f t="array" ref="N7">IFERROR(
  INDEX($J$2:$J$543,
    MATCH(A7&amp;TEXT(I7,"yyyy-mm-dd"),
          $A$2:$A$543&amp;TEXT($H$2:$H$543,"yyyy-mm-dd"),
          0)),
"")</f>
        <v>1</v>
      </c>
      <c r="O7" s="210">
        <f t="shared" si="3"/>
        <v>5</v>
      </c>
      <c r="P7" s="210">
        <f t="shared" ref="P7:Q7" si="17">IF(N7="",0,IF(N7&lt;=2,1,IF(N7&lt;=4,2,IF(N7&lt;=5.5,3,4))))</f>
        <v>1</v>
      </c>
      <c r="Q7" s="210">
        <f t="shared" si="17"/>
        <v>3</v>
      </c>
      <c r="R7" s="210" t="str">
        <f t="shared" si="5"/>
        <v>Lv1 → Lv3 (multi)</v>
      </c>
      <c r="S7" s="210">
        <f t="shared" si="6"/>
        <v>1</v>
      </c>
      <c r="T7" s="210"/>
      <c r="U7" s="210"/>
      <c r="V7" s="211" t="s">
        <v>659</v>
      </c>
      <c r="W7" s="210" t="str">
        <f t="shared" si="7"/>
        <v>QC</v>
      </c>
      <c r="X7" s="210" t="str">
        <f t="shared" si="8"/>
        <v>QC</v>
      </c>
      <c r="Y7" s="210" t="str">
        <f t="shared" si="9"/>
        <v>POC</v>
      </c>
      <c r="Z7" s="210"/>
      <c r="AA7" s="210" t="s">
        <v>934</v>
      </c>
      <c r="AB7" s="210"/>
      <c r="AC7" s="210">
        <v>6.0</v>
      </c>
      <c r="AD7" s="210"/>
      <c r="AE7" s="210"/>
      <c r="AF7" s="210"/>
      <c r="AG7" s="210"/>
      <c r="AH7" s="210">
        <v>1.0</v>
      </c>
      <c r="AI7" s="210"/>
      <c r="AJ7" s="210" t="s">
        <v>26</v>
      </c>
      <c r="AK7" s="210">
        <v>1.0</v>
      </c>
      <c r="AL7" s="210">
        <v>3.0</v>
      </c>
      <c r="AM7" s="214">
        <f t="shared" si="14"/>
        <v>3</v>
      </c>
      <c r="AN7" s="211" t="str">
        <f>IFERROR(__xludf.DUMMYFUNCTION("""COMPUTED_VALUE"""),"257134")</f>
        <v>257134</v>
      </c>
      <c r="AO7" s="210" t="str">
        <f t="shared" si="10"/>
        <v>Designer</v>
      </c>
      <c r="AP7" s="210" t="str">
        <f t="shared" si="11"/>
        <v>UI/UX, Des</v>
      </c>
      <c r="AQ7" s="210" t="str">
        <f t="shared" si="12"/>
        <v>LBU</v>
      </c>
      <c r="AR7" s="210"/>
      <c r="AZ7" s="210"/>
      <c r="BA7" s="210"/>
      <c r="BB7" s="210"/>
      <c r="BC7" s="210"/>
      <c r="BD7" s="210"/>
      <c r="BE7" s="210"/>
      <c r="BF7" s="210"/>
      <c r="BG7" s="210"/>
      <c r="BH7" s="210"/>
      <c r="BI7" s="210"/>
      <c r="BJ7" s="210"/>
      <c r="BK7" s="210"/>
      <c r="BL7" s="210"/>
      <c r="BM7" s="210"/>
      <c r="BN7" s="210"/>
      <c r="BO7" s="210"/>
      <c r="BP7" s="210"/>
      <c r="BQ7" s="210"/>
      <c r="BR7" s="210"/>
      <c r="BS7" s="210"/>
      <c r="BT7" s="210"/>
      <c r="BU7" s="210"/>
      <c r="BV7" s="210"/>
      <c r="BW7" s="210"/>
      <c r="BX7" s="210"/>
      <c r="BY7" s="210"/>
      <c r="BZ7" s="210"/>
      <c r="CA7" s="210"/>
      <c r="CB7" s="210"/>
      <c r="CC7" s="210"/>
      <c r="CD7" s="210"/>
      <c r="CE7" s="210"/>
      <c r="CF7" s="210"/>
      <c r="CG7" s="210"/>
      <c r="CH7" s="210"/>
      <c r="CI7" s="210"/>
      <c r="CJ7" s="210"/>
      <c r="CK7" s="210"/>
    </row>
    <row r="8">
      <c r="A8" s="216" t="s">
        <v>721</v>
      </c>
      <c r="B8" s="217" t="s">
        <v>722</v>
      </c>
      <c r="C8" s="218" t="s">
        <v>51</v>
      </c>
      <c r="D8" s="218" t="s">
        <v>844</v>
      </c>
      <c r="E8" s="217" t="s">
        <v>22</v>
      </c>
      <c r="F8" s="13" t="s">
        <v>918</v>
      </c>
      <c r="G8" s="13" t="s">
        <v>935</v>
      </c>
      <c r="H8" s="219">
        <f>IFERROR(
  MINIFS(ATTENDANCE_LOG!$F:$F,
         ATTENDANCE_LOG!$A:$A, C8,
         ATTENDANCE_LOG!$B:$B, E8),
"")</f>
        <v>45889.45833</v>
      </c>
      <c r="I8" s="219">
        <f t="shared" si="2"/>
        <v>45700.41667</v>
      </c>
      <c r="J8" s="190">
        <f>IFERROR(VLOOKUP(F8, LEVEL_HELPER!$A:$B, 2, 0), "")</f>
        <v>3</v>
      </c>
      <c r="K8" s="190">
        <f>IFERROR(VLOOKUP(G8, LEVEL_HELPER!$A:$B, 2, 0), "")</f>
        <v>3.5</v>
      </c>
      <c r="L8" s="220" t="s">
        <v>919</v>
      </c>
      <c r="M8" s="220" t="s">
        <v>920</v>
      </c>
      <c r="N8" s="190">
        <f t="array" ref="N8">IFERROR(
  INDEX($J$2:$J$543,
    MATCH(A8&amp;TEXT(I8,"yyyy-mm-dd"),
          $A$2:$A$543&amp;TEXT($H$2:$H$543,"yyyy-mm-dd"),
          0)),
"")</f>
        <v>2.5</v>
      </c>
      <c r="O8" s="210">
        <f t="shared" si="3"/>
        <v>3.5</v>
      </c>
      <c r="P8" s="210">
        <f t="shared" ref="P8:Q8" si="18">IF(N8="",0,IF(N8&lt;=2,1,IF(N8&lt;=4,2,IF(N8&lt;=5.5,3,4))))</f>
        <v>2</v>
      </c>
      <c r="Q8" s="210">
        <f t="shared" si="18"/>
        <v>2</v>
      </c>
      <c r="R8" s="210" t="str">
        <f t="shared" si="5"/>
        <v>Progress within level</v>
      </c>
      <c r="S8" s="210">
        <f t="shared" si="6"/>
        <v>0</v>
      </c>
      <c r="T8" s="210"/>
      <c r="U8" s="210"/>
      <c r="V8" s="211" t="s">
        <v>170</v>
      </c>
      <c r="W8" s="210" t="str">
        <f t="shared" si="7"/>
        <v>SM</v>
      </c>
      <c r="X8" s="210" t="str">
        <f t="shared" si="8"/>
        <v>PPO, SM, IM </v>
      </c>
      <c r="Y8" s="210" t="str">
        <f t="shared" si="9"/>
        <v>CHORUS</v>
      </c>
      <c r="Z8" s="210"/>
      <c r="AA8" s="210" t="s">
        <v>919</v>
      </c>
      <c r="AB8" s="210"/>
      <c r="AC8" s="210">
        <v>11.0</v>
      </c>
      <c r="AD8" s="210">
        <v>12.0</v>
      </c>
      <c r="AE8" s="210">
        <v>6.0</v>
      </c>
      <c r="AF8" s="210">
        <v>10.0</v>
      </c>
      <c r="AG8" s="210">
        <v>6.0</v>
      </c>
      <c r="AH8" s="210">
        <v>2.0</v>
      </c>
      <c r="AI8" s="210"/>
      <c r="AJ8" s="210" t="s">
        <v>25</v>
      </c>
      <c r="AK8" s="210">
        <v>5.0</v>
      </c>
      <c r="AL8" s="210">
        <v>41.0</v>
      </c>
      <c r="AM8" s="214">
        <f t="shared" si="14"/>
        <v>8.2</v>
      </c>
      <c r="AN8" s="211" t="str">
        <f>IFERROR(__xludf.DUMMYFUNCTION("""COMPUTED_VALUE"""),"237239")</f>
        <v>237239</v>
      </c>
      <c r="AO8" s="210" t="str">
        <f t="shared" si="10"/>
        <v>DEV</v>
      </c>
      <c r="AP8" s="210" t="str">
        <f t="shared" si="11"/>
        <v>DEV, TA</v>
      </c>
      <c r="AQ8" s="210" t="str">
        <f t="shared" si="12"/>
        <v>CHORUS</v>
      </c>
      <c r="AR8" s="210"/>
      <c r="AZ8" s="210"/>
      <c r="BA8" s="210"/>
      <c r="BB8" s="210"/>
      <c r="BC8" s="210"/>
      <c r="BD8" s="210"/>
      <c r="BE8" s="210"/>
      <c r="BF8" s="210"/>
      <c r="BG8" s="210"/>
      <c r="BH8" s="210"/>
      <c r="BI8" s="210"/>
      <c r="BJ8" s="210"/>
      <c r="BK8" s="210"/>
      <c r="BL8" s="210"/>
      <c r="BM8" s="210"/>
      <c r="BN8" s="210"/>
      <c r="BO8" s="210"/>
      <c r="BP8" s="210"/>
      <c r="BQ8" s="210"/>
      <c r="BR8" s="210"/>
      <c r="BS8" s="210"/>
      <c r="BT8" s="210"/>
      <c r="BU8" s="210"/>
      <c r="BV8" s="210"/>
      <c r="BW8" s="210"/>
      <c r="BX8" s="210"/>
      <c r="BY8" s="210"/>
      <c r="BZ8" s="210"/>
      <c r="CA8" s="210"/>
      <c r="CB8" s="210"/>
      <c r="CC8" s="210"/>
      <c r="CD8" s="210"/>
      <c r="CE8" s="210"/>
      <c r="CF8" s="210"/>
      <c r="CG8" s="210"/>
      <c r="CH8" s="210"/>
      <c r="CI8" s="210"/>
      <c r="CJ8" s="210"/>
      <c r="CK8" s="210"/>
    </row>
    <row r="9">
      <c r="A9" s="222" t="s">
        <v>296</v>
      </c>
      <c r="B9" s="190" t="s">
        <v>297</v>
      </c>
      <c r="C9" s="223" t="s">
        <v>51</v>
      </c>
      <c r="D9" s="223" t="s">
        <v>844</v>
      </c>
      <c r="E9" s="190" t="s">
        <v>22</v>
      </c>
      <c r="F9" s="13" t="s">
        <v>918</v>
      </c>
      <c r="G9" s="13" t="s">
        <v>935</v>
      </c>
      <c r="H9" s="219">
        <f>IFERROR(
  MINIFS(ATTENDANCE_LOG!$F:$F,
         ATTENDANCE_LOG!$A:$A, C9,
         ATTENDANCE_LOG!$B:$B, E9),
"")</f>
        <v>45889.45833</v>
      </c>
      <c r="I9" s="219">
        <f t="shared" si="2"/>
        <v>45700.41667</v>
      </c>
      <c r="J9" s="190">
        <f>IFERROR(VLOOKUP(F9, LEVEL_HELPER!$A:$B, 2, 0), "")</f>
        <v>3</v>
      </c>
      <c r="K9" s="190">
        <f>IFERROR(VLOOKUP(G9, LEVEL_HELPER!$A:$B, 2, 0), "")</f>
        <v>3.5</v>
      </c>
      <c r="L9" s="220" t="s">
        <v>919</v>
      </c>
      <c r="M9" s="220" t="s">
        <v>920</v>
      </c>
      <c r="N9" s="190">
        <f t="array" ref="N9">IFERROR(
  INDEX($J$2:$J$543,
    MATCH(A9&amp;TEXT(I9,"yyyy-mm-dd"),
          $A$2:$A$543&amp;TEXT($H$2:$H$543,"yyyy-mm-dd"),
          0)),
"")</f>
        <v>1</v>
      </c>
      <c r="O9" s="210">
        <f t="shared" si="3"/>
        <v>3.5</v>
      </c>
      <c r="P9" s="210">
        <f t="shared" ref="P9:Q9" si="19">IF(N9="",0,IF(N9&lt;=2,1,IF(N9&lt;=4,2,IF(N9&lt;=5.5,3,4))))</f>
        <v>1</v>
      </c>
      <c r="Q9" s="210">
        <f t="shared" si="19"/>
        <v>2</v>
      </c>
      <c r="R9" s="210" t="str">
        <f t="shared" si="5"/>
        <v>Lv1 → Lv2</v>
      </c>
      <c r="S9" s="210">
        <f t="shared" si="6"/>
        <v>0</v>
      </c>
      <c r="T9" s="210"/>
      <c r="U9" s="210"/>
      <c r="V9" s="211" t="s">
        <v>196</v>
      </c>
      <c r="W9" s="210" t="str">
        <f t="shared" si="7"/>
        <v>DEV</v>
      </c>
      <c r="X9" s="210" t="str">
        <f t="shared" si="8"/>
        <v>DEV, TA</v>
      </c>
      <c r="Y9" s="210" t="str">
        <f t="shared" si="9"/>
        <v>CHORUS</v>
      </c>
      <c r="Z9" s="210"/>
      <c r="AA9" s="210" t="s">
        <v>936</v>
      </c>
      <c r="AB9" s="210"/>
      <c r="AC9" s="210">
        <v>6.0</v>
      </c>
      <c r="AD9" s="210">
        <v>7.0</v>
      </c>
      <c r="AE9" s="210"/>
      <c r="AF9" s="210"/>
      <c r="AG9" s="210"/>
      <c r="AH9" s="210"/>
      <c r="AI9" s="225">
        <f>AI10/1200</f>
        <v>0.2533333333</v>
      </c>
      <c r="AJ9" s="210" t="s">
        <v>840</v>
      </c>
      <c r="AK9" s="210">
        <v>50.0</v>
      </c>
      <c r="AL9" s="226">
        <v>304.0</v>
      </c>
      <c r="AM9" s="214">
        <f t="shared" si="14"/>
        <v>6.08</v>
      </c>
      <c r="AN9" s="225" t="str">
        <f>IFERROR(__xludf.DUMMYFUNCTION("""COMPUTED_VALUE"""),"213835")</f>
        <v>213835</v>
      </c>
      <c r="AO9" s="210" t="str">
        <f t="shared" si="10"/>
        <v>DEV</v>
      </c>
      <c r="AP9" s="210" t="str">
        <f t="shared" si="11"/>
        <v>DEV, TA</v>
      </c>
      <c r="AQ9" s="210" t="str">
        <f t="shared" si="12"/>
        <v>MOC</v>
      </c>
      <c r="AR9" s="225"/>
      <c r="AZ9" s="210"/>
      <c r="BA9" s="225">
        <f>BA10/1200</f>
        <v>0</v>
      </c>
      <c r="BB9" s="225"/>
      <c r="BC9" s="225"/>
      <c r="BD9" s="225"/>
      <c r="BE9" s="225"/>
      <c r="BF9" s="225"/>
      <c r="BG9" s="225"/>
      <c r="BH9" s="225"/>
      <c r="BI9" s="225"/>
      <c r="BJ9" s="225"/>
      <c r="BK9" s="225"/>
      <c r="BL9" s="225"/>
      <c r="BM9" s="225"/>
      <c r="BN9" s="225"/>
      <c r="BO9" s="225"/>
      <c r="BP9" s="225"/>
      <c r="BQ9" s="225"/>
      <c r="BR9" s="225"/>
      <c r="BS9" s="225"/>
      <c r="BT9" s="225"/>
      <c r="BU9" s="225"/>
      <c r="BV9" s="225"/>
      <c r="BW9" s="225"/>
      <c r="BX9" s="225"/>
      <c r="BY9" s="225"/>
      <c r="BZ9" s="225"/>
      <c r="CA9" s="225"/>
      <c r="CB9" s="225"/>
      <c r="CC9" s="225"/>
      <c r="CD9" s="225"/>
      <c r="CE9" s="225"/>
      <c r="CF9" s="225"/>
      <c r="CG9" s="225"/>
      <c r="CH9" s="225"/>
      <c r="CI9" s="225"/>
      <c r="CJ9" s="225"/>
      <c r="CK9" s="225"/>
    </row>
    <row r="10">
      <c r="A10" s="222" t="s">
        <v>319</v>
      </c>
      <c r="B10" s="190" t="s">
        <v>320</v>
      </c>
      <c r="C10" s="223" t="s">
        <v>51</v>
      </c>
      <c r="D10" s="223" t="s">
        <v>844</v>
      </c>
      <c r="E10" s="190" t="s">
        <v>22</v>
      </c>
      <c r="F10" s="13" t="s">
        <v>929</v>
      </c>
      <c r="G10" s="13" t="s">
        <v>937</v>
      </c>
      <c r="H10" s="219">
        <f>IFERROR(
  MINIFS(ATTENDANCE_LOG!$F:$F,
         ATTENDANCE_LOG!$A:$A, C10,
         ATTENDANCE_LOG!$B:$B, E10),
"")</f>
        <v>45889.45833</v>
      </c>
      <c r="I10" s="219">
        <f t="shared" si="2"/>
        <v>45700.41667</v>
      </c>
      <c r="J10" s="190">
        <f>IFERROR(VLOOKUP(F10, LEVEL_HELPER!$A:$B, 2, 0), "")</f>
        <v>1.5</v>
      </c>
      <c r="K10" s="190">
        <f>IFERROR(VLOOKUP(G10, LEVEL_HELPER!$A:$B, 2, 0), "")</f>
        <v>2</v>
      </c>
      <c r="L10" s="220" t="s">
        <v>919</v>
      </c>
      <c r="M10" s="220" t="s">
        <v>920</v>
      </c>
      <c r="N10" s="190">
        <f t="array" ref="N10">IFERROR(
  INDEX($J$2:$J$543,
    MATCH(A10&amp;TEXT(I10,"yyyy-mm-dd"),
          $A$2:$A$543&amp;TEXT($H$2:$H$543,"yyyy-mm-dd"),
          0)),
"")</f>
        <v>1</v>
      </c>
      <c r="O10" s="210">
        <f t="shared" si="3"/>
        <v>2</v>
      </c>
      <c r="P10" s="210">
        <f t="shared" ref="P10:Q10" si="20">IF(N10="",0,IF(N10&lt;=2,1,IF(N10&lt;=4,2,IF(N10&lt;=5.5,3,4))))</f>
        <v>1</v>
      </c>
      <c r="Q10" s="210">
        <f t="shared" si="20"/>
        <v>1</v>
      </c>
      <c r="R10" s="210" t="str">
        <f t="shared" si="5"/>
        <v>Progress within level</v>
      </c>
      <c r="S10" s="210">
        <f t="shared" si="6"/>
        <v>0</v>
      </c>
      <c r="T10" s="210"/>
      <c r="U10" s="210"/>
      <c r="V10" s="211" t="s">
        <v>328</v>
      </c>
      <c r="W10" s="210" t="str">
        <f t="shared" si="7"/>
        <v>DEV</v>
      </c>
      <c r="X10" s="210" t="str">
        <f t="shared" si="8"/>
        <v>DEV, TA</v>
      </c>
      <c r="Y10" s="210" t="str">
        <f t="shared" si="9"/>
        <v>CHORUS</v>
      </c>
      <c r="Z10" s="210"/>
      <c r="AA10" s="210" t="s">
        <v>840</v>
      </c>
      <c r="AB10" s="210">
        <v>7.0</v>
      </c>
      <c r="AC10" s="210">
        <v>61.0</v>
      </c>
      <c r="AD10" s="210">
        <v>63.0</v>
      </c>
      <c r="AE10" s="210">
        <v>57.0</v>
      </c>
      <c r="AF10" s="210">
        <v>55.0</v>
      </c>
      <c r="AG10" s="210">
        <v>28.0</v>
      </c>
      <c r="AH10" s="210">
        <v>33.0</v>
      </c>
      <c r="AI10" s="227">
        <f>sum(AB10:AH10)</f>
        <v>304</v>
      </c>
      <c r="AJ10" s="227"/>
      <c r="AK10" s="227"/>
      <c r="AL10" s="227"/>
      <c r="AM10" s="214"/>
      <c r="AN10" s="211" t="str">
        <f>IFERROR(__xludf.DUMMYFUNCTION("""COMPUTED_VALUE"""),"247063")</f>
        <v>247063</v>
      </c>
      <c r="AO10" s="210" t="str">
        <f t="shared" si="10"/>
        <v>GSD</v>
      </c>
      <c r="AP10" s="210" t="str">
        <f t="shared" si="11"/>
        <v>GSD</v>
      </c>
      <c r="AQ10" s="210" t="str">
        <f t="shared" si="12"/>
        <v>POC</v>
      </c>
      <c r="AR10" s="227"/>
      <c r="AS10" s="210"/>
      <c r="AT10" s="210"/>
      <c r="AU10" s="210"/>
      <c r="AV10" s="210"/>
      <c r="AW10" s="210"/>
      <c r="AX10" s="210"/>
      <c r="AY10" s="210"/>
      <c r="AZ10" s="210"/>
      <c r="BA10" s="227">
        <f>sum(AT10:AZ10)</f>
        <v>0</v>
      </c>
      <c r="BB10" s="227"/>
      <c r="BC10" s="227"/>
      <c r="BD10" s="227"/>
      <c r="BE10" s="227"/>
      <c r="BF10" s="227"/>
      <c r="BG10" s="227"/>
      <c r="BH10" s="227"/>
      <c r="BI10" s="227"/>
      <c r="BJ10" s="227"/>
      <c r="BK10" s="227"/>
      <c r="BL10" s="227"/>
      <c r="BM10" s="227"/>
      <c r="BN10" s="227"/>
      <c r="BO10" s="227"/>
      <c r="BP10" s="227"/>
      <c r="BQ10" s="227"/>
      <c r="BR10" s="227"/>
      <c r="BS10" s="227"/>
      <c r="BT10" s="227"/>
      <c r="BU10" s="227"/>
      <c r="BV10" s="227"/>
      <c r="BW10" s="227"/>
      <c r="BX10" s="227"/>
      <c r="BY10" s="227"/>
      <c r="BZ10" s="227"/>
      <c r="CA10" s="227"/>
      <c r="CB10" s="227"/>
      <c r="CC10" s="227"/>
      <c r="CD10" s="227"/>
      <c r="CE10" s="227"/>
      <c r="CF10" s="227"/>
      <c r="CG10" s="227"/>
      <c r="CH10" s="227"/>
      <c r="CI10" s="227"/>
      <c r="CJ10" s="227"/>
      <c r="CK10" s="227"/>
    </row>
    <row r="11">
      <c r="A11" s="222" t="s">
        <v>474</v>
      </c>
      <c r="B11" s="190" t="s">
        <v>475</v>
      </c>
      <c r="C11" s="223" t="s">
        <v>51</v>
      </c>
      <c r="D11" s="223" t="s">
        <v>844</v>
      </c>
      <c r="E11" s="190" t="s">
        <v>22</v>
      </c>
      <c r="F11" s="13" t="s">
        <v>918</v>
      </c>
      <c r="G11" s="13" t="s">
        <v>935</v>
      </c>
      <c r="H11" s="219">
        <f>IFERROR(
  MINIFS(ATTENDANCE_LOG!$F:$F,
         ATTENDANCE_LOG!$A:$A, C11,
         ATTENDANCE_LOG!$B:$B, E11),
"")</f>
        <v>45889.45833</v>
      </c>
      <c r="I11" s="219">
        <f t="shared" si="2"/>
        <v>45700.41667</v>
      </c>
      <c r="J11" s="190">
        <f>IFERROR(VLOOKUP(F11, LEVEL_HELPER!$A:$B, 2, 0), "")</f>
        <v>3</v>
      </c>
      <c r="K11" s="190">
        <f>IFERROR(VLOOKUP(G11, LEVEL_HELPER!$A:$B, 2, 0), "")</f>
        <v>3.5</v>
      </c>
      <c r="L11" s="220" t="s">
        <v>919</v>
      </c>
      <c r="M11" s="220" t="s">
        <v>920</v>
      </c>
      <c r="N11" s="190">
        <f t="array" ref="N11">IFERROR(
  INDEX($J$2:$J$543,
    MATCH(A11&amp;TEXT(I11,"yyyy-mm-dd"),
          $A$2:$A$543&amp;TEXT($H$2:$H$543,"yyyy-mm-dd"),
          0)),
"")</f>
        <v>1</v>
      </c>
      <c r="O11" s="210">
        <f t="shared" si="3"/>
        <v>3.5</v>
      </c>
      <c r="P11" s="210">
        <f t="shared" ref="P11:Q11" si="21">IF(N11="",0,IF(N11&lt;=2,1,IF(N11&lt;=4,2,IF(N11&lt;=5.5,3,4))))</f>
        <v>1</v>
      </c>
      <c r="Q11" s="210">
        <f t="shared" si="21"/>
        <v>2</v>
      </c>
      <c r="R11" s="210" t="str">
        <f t="shared" si="5"/>
        <v>Lv1 → Lv2</v>
      </c>
      <c r="S11" s="210">
        <f t="shared" si="6"/>
        <v>0</v>
      </c>
      <c r="T11" s="210"/>
      <c r="U11" s="210"/>
      <c r="V11" s="211" t="s">
        <v>506</v>
      </c>
      <c r="W11" s="210" t="str">
        <f t="shared" si="7"/>
        <v>TA</v>
      </c>
      <c r="X11" s="210" t="str">
        <f t="shared" si="8"/>
        <v>DEV, TA</v>
      </c>
      <c r="Y11" s="210" t="str">
        <f t="shared" si="9"/>
        <v>CHORUS</v>
      </c>
      <c r="Z11" s="210"/>
      <c r="AM11" s="194"/>
      <c r="AN11" s="222" t="str">
        <f>IFERROR(__xludf.DUMMYFUNCTION("""COMPUTED_VALUE"""),"193588")</f>
        <v>193588</v>
      </c>
      <c r="AO11" s="210" t="str">
        <f t="shared" si="10"/>
        <v>DEV</v>
      </c>
      <c r="AP11" s="210" t="str">
        <f t="shared" si="11"/>
        <v>DEV, TA</v>
      </c>
      <c r="AQ11" s="210" t="str">
        <f t="shared" si="12"/>
        <v>MOC</v>
      </c>
    </row>
    <row r="12">
      <c r="A12" s="222" t="s">
        <v>657</v>
      </c>
      <c r="B12" s="190" t="s">
        <v>658</v>
      </c>
      <c r="C12" s="223" t="s">
        <v>51</v>
      </c>
      <c r="D12" s="223" t="s">
        <v>844</v>
      </c>
      <c r="E12" s="190" t="s">
        <v>22</v>
      </c>
      <c r="F12" s="13" t="s">
        <v>932</v>
      </c>
      <c r="G12" s="13" t="s">
        <v>938</v>
      </c>
      <c r="H12" s="219">
        <f>IFERROR(
  MINIFS(ATTENDANCE_LOG!$F:$F,
         ATTENDANCE_LOG!$A:$A, C12,
         ATTENDANCE_LOG!$B:$B, E12),
"")</f>
        <v>45889.45833</v>
      </c>
      <c r="I12" s="219">
        <f t="shared" si="2"/>
        <v>45700.41667</v>
      </c>
      <c r="J12" s="190">
        <f>IFERROR(VLOOKUP(F12, LEVEL_HELPER!$A:$B, 2, 0), "")</f>
        <v>4.5</v>
      </c>
      <c r="K12" s="190">
        <f>IFERROR(VLOOKUP(G12, LEVEL_HELPER!$A:$B, 2, 0), "")</f>
        <v>5.5</v>
      </c>
      <c r="L12" s="220" t="s">
        <v>919</v>
      </c>
      <c r="M12" s="220" t="s">
        <v>920</v>
      </c>
      <c r="N12" s="190">
        <f t="array" ref="N12">IFERROR(
  INDEX($J$2:$J$543,
    MATCH(A12&amp;TEXT(I12,"yyyy-mm-dd"),
          $A$2:$A$543&amp;TEXT($H$2:$H$543,"yyyy-mm-dd"),
          0)),
"")</f>
        <v>4.5</v>
      </c>
      <c r="O12" s="210">
        <f t="shared" si="3"/>
        <v>5.5</v>
      </c>
      <c r="P12" s="210">
        <f t="shared" ref="P12:Q12" si="22">IF(N12="",0,IF(N12&lt;=2,1,IF(N12&lt;=4,2,IF(N12&lt;=5.5,3,4))))</f>
        <v>3</v>
      </c>
      <c r="Q12" s="210">
        <f t="shared" si="22"/>
        <v>3</v>
      </c>
      <c r="R12" s="210" t="str">
        <f t="shared" si="5"/>
        <v>Progress within level</v>
      </c>
      <c r="S12" s="210">
        <f t="shared" si="6"/>
        <v>0</v>
      </c>
      <c r="T12" s="210"/>
      <c r="U12" s="210"/>
      <c r="V12" s="211" t="s">
        <v>605</v>
      </c>
      <c r="W12" s="210" t="str">
        <f t="shared" si="7"/>
        <v>DEV</v>
      </c>
      <c r="X12" s="210" t="str">
        <f t="shared" si="8"/>
        <v>DEV, TA</v>
      </c>
      <c r="Y12" s="210" t="str">
        <f t="shared" si="9"/>
        <v>LBU</v>
      </c>
      <c r="Z12" s="210"/>
      <c r="AA12" s="228" t="s">
        <v>939</v>
      </c>
      <c r="AB12" s="210"/>
      <c r="AC12" s="210"/>
      <c r="AD12" s="210"/>
      <c r="AE12" s="210"/>
      <c r="AF12" s="210"/>
      <c r="AG12" s="210"/>
      <c r="AI12" s="210"/>
      <c r="AJ12" s="210"/>
      <c r="AK12" s="210"/>
      <c r="AL12" s="210"/>
      <c r="AM12" s="214"/>
      <c r="AN12" s="211" t="str">
        <f>IFERROR(__xludf.DUMMYFUNCTION("""COMPUTED_VALUE"""),"213893")</f>
        <v>213893</v>
      </c>
      <c r="AO12" s="210" t="str">
        <f t="shared" si="10"/>
        <v>DEV</v>
      </c>
      <c r="AP12" s="210" t="str">
        <f t="shared" si="11"/>
        <v>DEV, TA</v>
      </c>
      <c r="AQ12" s="210" t="str">
        <f t="shared" si="12"/>
        <v>ONC</v>
      </c>
      <c r="AR12" s="210"/>
      <c r="AS12" s="228" t="s">
        <v>940</v>
      </c>
      <c r="AT12" s="228"/>
      <c r="AU12" s="210"/>
      <c r="AV12" s="210"/>
      <c r="AW12" s="210"/>
      <c r="AX12" s="210"/>
      <c r="AY12" s="210"/>
      <c r="AZ12" s="210"/>
      <c r="BA12" s="210"/>
      <c r="BB12" s="210"/>
      <c r="BC12" s="210"/>
      <c r="BD12" s="210"/>
      <c r="BE12" s="210"/>
      <c r="BF12" s="210"/>
      <c r="BG12" s="210"/>
      <c r="BH12" s="210"/>
      <c r="BI12" s="210"/>
      <c r="BJ12" s="210"/>
      <c r="BK12" s="210"/>
      <c r="BL12" s="210"/>
      <c r="BM12" s="210"/>
      <c r="BN12" s="210"/>
      <c r="BO12" s="210"/>
      <c r="BP12" s="210"/>
      <c r="BQ12" s="210"/>
      <c r="BR12" s="210"/>
      <c r="BS12" s="210"/>
      <c r="BT12" s="210"/>
      <c r="BU12" s="210"/>
      <c r="BV12" s="210"/>
      <c r="BW12" s="210"/>
      <c r="BX12" s="210"/>
      <c r="BY12" s="210"/>
      <c r="BZ12" s="210"/>
      <c r="CA12" s="210"/>
      <c r="CB12" s="210"/>
      <c r="CC12" s="210"/>
      <c r="CD12" s="210"/>
      <c r="CE12" s="210"/>
      <c r="CF12" s="210"/>
      <c r="CG12" s="210"/>
      <c r="CH12" s="210"/>
      <c r="CI12" s="210"/>
      <c r="CJ12" s="210"/>
      <c r="CK12" s="210"/>
    </row>
    <row r="13">
      <c r="A13" s="222" t="s">
        <v>659</v>
      </c>
      <c r="B13" s="190" t="s">
        <v>660</v>
      </c>
      <c r="C13" s="223" t="s">
        <v>51</v>
      </c>
      <c r="D13" s="223" t="s">
        <v>844</v>
      </c>
      <c r="E13" s="190" t="s">
        <v>22</v>
      </c>
      <c r="F13" s="13" t="s">
        <v>935</v>
      </c>
      <c r="G13" s="13" t="s">
        <v>941</v>
      </c>
      <c r="H13" s="219">
        <f>IFERROR(
  MINIFS(ATTENDANCE_LOG!$F:$F,
         ATTENDANCE_LOG!$A:$A, C13,
         ATTENDANCE_LOG!$B:$B, E13),
"")</f>
        <v>45889.45833</v>
      </c>
      <c r="I13" s="219">
        <f t="shared" si="2"/>
        <v>45700.41667</v>
      </c>
      <c r="J13" s="190">
        <f>IFERROR(VLOOKUP(F13, LEVEL_HELPER!$A:$B, 2, 0), "")</f>
        <v>3.5</v>
      </c>
      <c r="K13" s="190">
        <f>IFERROR(VLOOKUP(G13, LEVEL_HELPER!$A:$B, 2, 0), "")</f>
        <v>5</v>
      </c>
      <c r="L13" s="220" t="s">
        <v>919</v>
      </c>
      <c r="M13" s="220" t="s">
        <v>920</v>
      </c>
      <c r="N13" s="190">
        <f t="array" ref="N13">IFERROR(
  INDEX($J$2:$J$543,
    MATCH(A13&amp;TEXT(I13,"yyyy-mm-dd"),
          $A$2:$A$543&amp;TEXT($H$2:$H$543,"yyyy-mm-dd"),
          0)),
"")</f>
        <v>1</v>
      </c>
      <c r="O13" s="210">
        <f t="shared" si="3"/>
        <v>5</v>
      </c>
      <c r="P13" s="210">
        <f t="shared" ref="P13:Q13" si="23">IF(N13="",0,IF(N13&lt;=2,1,IF(N13&lt;=4,2,IF(N13&lt;=5.5,3,4))))</f>
        <v>1</v>
      </c>
      <c r="Q13" s="210">
        <f t="shared" si="23"/>
        <v>3</v>
      </c>
      <c r="R13" s="210" t="str">
        <f t="shared" si="5"/>
        <v>Lv1 → Lv3 (multi)</v>
      </c>
      <c r="S13" s="210">
        <f t="shared" si="6"/>
        <v>0</v>
      </c>
      <c r="T13" s="210"/>
      <c r="U13" s="210"/>
      <c r="V13" s="211" t="s">
        <v>677</v>
      </c>
      <c r="W13" s="210" t="str">
        <f t="shared" si="7"/>
        <v>DEV</v>
      </c>
      <c r="X13" s="210" t="str">
        <f t="shared" si="8"/>
        <v>DEV, TA</v>
      </c>
      <c r="Y13" s="210" t="str">
        <f t="shared" si="9"/>
        <v>CHORUS</v>
      </c>
      <c r="Z13" s="210"/>
      <c r="AA13" s="210"/>
      <c r="AB13" s="210"/>
      <c r="AC13" s="210"/>
      <c r="AD13" s="210"/>
      <c r="AE13" s="210"/>
      <c r="AF13" s="210"/>
      <c r="AG13" s="210"/>
      <c r="AH13" s="210"/>
      <c r="AI13" s="210"/>
      <c r="AJ13" s="210"/>
      <c r="AK13" s="210"/>
      <c r="AL13" s="210"/>
      <c r="AM13" s="214"/>
      <c r="AN13" s="211" t="str">
        <f>IFERROR(__xludf.DUMMYFUNCTION("""COMPUTED_VALUE"""),"213901")</f>
        <v>213901</v>
      </c>
      <c r="AO13" s="210" t="str">
        <f t="shared" si="10"/>
        <v>DEV</v>
      </c>
      <c r="AP13" s="210" t="str">
        <f t="shared" si="11"/>
        <v>DEV, TA</v>
      </c>
      <c r="AQ13" s="210" t="str">
        <f t="shared" si="12"/>
        <v>LBU</v>
      </c>
      <c r="AR13" s="210"/>
      <c r="AS13" s="210"/>
      <c r="AT13" s="210"/>
      <c r="AU13" s="210"/>
      <c r="AV13" s="210"/>
      <c r="AW13" s="210"/>
      <c r="AX13" s="210"/>
      <c r="AY13" s="210"/>
      <c r="AZ13" s="210"/>
      <c r="BA13" s="210"/>
      <c r="BB13" s="210"/>
      <c r="BC13" s="210"/>
      <c r="BD13" s="210"/>
      <c r="BE13" s="210"/>
      <c r="BF13" s="210"/>
      <c r="BG13" s="210"/>
      <c r="BH13" s="210"/>
      <c r="BI13" s="210"/>
      <c r="BJ13" s="210"/>
      <c r="BK13" s="210"/>
      <c r="BL13" s="210"/>
      <c r="BM13" s="210"/>
      <c r="BN13" s="210"/>
      <c r="BO13" s="210"/>
      <c r="BP13" s="210"/>
      <c r="BQ13" s="210"/>
      <c r="BR13" s="210"/>
      <c r="BS13" s="210"/>
      <c r="BT13" s="210"/>
      <c r="BU13" s="210"/>
      <c r="BV13" s="210"/>
      <c r="BW13" s="210"/>
      <c r="BX13" s="210"/>
      <c r="BY13" s="210"/>
      <c r="BZ13" s="210"/>
      <c r="CA13" s="210"/>
      <c r="CB13" s="210"/>
      <c r="CC13" s="210"/>
      <c r="CD13" s="210"/>
      <c r="CE13" s="210"/>
      <c r="CF13" s="210"/>
      <c r="CG13" s="210"/>
      <c r="CH13" s="210"/>
      <c r="CI13" s="210"/>
      <c r="CJ13" s="210"/>
      <c r="CK13" s="210"/>
    </row>
    <row r="14">
      <c r="A14" s="216" t="s">
        <v>721</v>
      </c>
      <c r="B14" s="217" t="s">
        <v>722</v>
      </c>
      <c r="C14" s="218" t="s">
        <v>51</v>
      </c>
      <c r="D14" s="218" t="s">
        <v>844</v>
      </c>
      <c r="E14" s="217" t="s">
        <v>24</v>
      </c>
      <c r="F14" s="190"/>
      <c r="G14" s="190"/>
      <c r="H14" s="219">
        <f>IFERROR(
  MINIFS(ATTENDANCE_LOG!$F:$F,
         ATTENDANCE_LOG!$A:$A, C14,
         ATTENDANCE_LOG!$B:$B, E14),
"")</f>
        <v>46084.54167</v>
      </c>
      <c r="I14" s="219">
        <f t="shared" si="2"/>
        <v>45700.41667</v>
      </c>
      <c r="J14" s="190" t="str">
        <f>IFERROR(VLOOKUP(F14, LEVEL_HELPER!$A:$B, 2, 0), "")</f>
        <v/>
      </c>
      <c r="K14" s="190" t="str">
        <f>IFERROR(VLOOKUP(G14, LEVEL_HELPER!$A:$B, 2, 0), "")</f>
        <v/>
      </c>
      <c r="L14" s="220" t="s">
        <v>919</v>
      </c>
      <c r="M14" s="220" t="s">
        <v>920</v>
      </c>
      <c r="N14" s="190">
        <f t="array" ref="N14">IFERROR(
  INDEX($J$2:$J$543,
    MATCH(A14&amp;TEXT(I14,"yyyy-mm-dd"),
          $A$2:$A$543&amp;TEXT($H$2:$H$543,"yyyy-mm-dd"),
          0)),
"")</f>
        <v>2.5</v>
      </c>
      <c r="O14" s="210">
        <f t="shared" si="3"/>
        <v>3.5</v>
      </c>
      <c r="P14" s="210">
        <f t="shared" ref="P14:Q14" si="24">IF(N14="",0,IF(N14&lt;=2,1,IF(N14&lt;=4,2,IF(N14&lt;=5.5,3,4))))</f>
        <v>2</v>
      </c>
      <c r="Q14" s="210">
        <f t="shared" si="24"/>
        <v>2</v>
      </c>
      <c r="R14" s="210" t="str">
        <f t="shared" si="5"/>
        <v>Progress within level</v>
      </c>
      <c r="S14" s="210">
        <f t="shared" si="6"/>
        <v>0</v>
      </c>
      <c r="T14" s="210"/>
      <c r="U14" s="210"/>
      <c r="V14" s="211" t="s">
        <v>687</v>
      </c>
      <c r="W14" s="210" t="str">
        <f t="shared" si="7"/>
        <v>DEV</v>
      </c>
      <c r="X14" s="210" t="str">
        <f t="shared" si="8"/>
        <v>DEV, TA</v>
      </c>
      <c r="Y14" s="210" t="str">
        <f t="shared" si="9"/>
        <v>CHORUS</v>
      </c>
      <c r="Z14" s="210"/>
      <c r="AA14" s="210"/>
      <c r="AB14" s="210"/>
      <c r="AC14" s="210"/>
      <c r="AD14" s="210"/>
      <c r="AE14" s="210"/>
      <c r="AF14" s="210"/>
      <c r="AG14" s="210"/>
      <c r="AH14" s="210"/>
      <c r="AI14" s="210"/>
      <c r="AJ14" s="210"/>
      <c r="AK14" s="210"/>
      <c r="AL14" s="210"/>
      <c r="AM14" s="214"/>
      <c r="AN14" s="211" t="str">
        <f>IFERROR(__xludf.DUMMYFUNCTION("""COMPUTED_VALUE"""),"227244")</f>
        <v>227244</v>
      </c>
      <c r="AO14" s="210" t="str">
        <f t="shared" si="10"/>
        <v>DEV</v>
      </c>
      <c r="AP14" s="210" t="str">
        <f t="shared" si="11"/>
        <v>DEV, TA</v>
      </c>
      <c r="AQ14" s="210" t="str">
        <f t="shared" si="12"/>
        <v>ONC</v>
      </c>
      <c r="AR14" s="210"/>
      <c r="AS14" s="210"/>
      <c r="AT14" s="210"/>
      <c r="AU14" s="210"/>
      <c r="AV14" s="210"/>
      <c r="AW14" s="210"/>
      <c r="AX14" s="210"/>
      <c r="AY14" s="210"/>
      <c r="AZ14" s="210"/>
      <c r="BA14" s="210"/>
      <c r="BB14" s="210"/>
      <c r="BC14" s="210"/>
      <c r="BD14" s="210"/>
      <c r="BE14" s="210"/>
      <c r="BF14" s="210"/>
      <c r="BG14" s="210"/>
      <c r="BH14" s="210"/>
      <c r="BI14" s="210"/>
      <c r="BJ14" s="210"/>
      <c r="BK14" s="210"/>
      <c r="BL14" s="210"/>
      <c r="BM14" s="210"/>
      <c r="BN14" s="210"/>
      <c r="BO14" s="210"/>
      <c r="BP14" s="210"/>
      <c r="BQ14" s="210"/>
      <c r="BR14" s="210"/>
      <c r="BS14" s="210"/>
      <c r="BT14" s="210"/>
      <c r="BU14" s="210"/>
      <c r="BV14" s="210"/>
      <c r="BW14" s="210"/>
      <c r="BX14" s="210"/>
      <c r="BY14" s="210"/>
      <c r="BZ14" s="210"/>
      <c r="CA14" s="210"/>
      <c r="CB14" s="210"/>
      <c r="CC14" s="210"/>
      <c r="CD14" s="210"/>
      <c r="CE14" s="210"/>
      <c r="CF14" s="210"/>
      <c r="CG14" s="210"/>
      <c r="CH14" s="210"/>
      <c r="CI14" s="210"/>
      <c r="CJ14" s="210"/>
      <c r="CK14" s="210"/>
    </row>
    <row r="15">
      <c r="A15" s="222" t="s">
        <v>657</v>
      </c>
      <c r="B15" s="190" t="s">
        <v>658</v>
      </c>
      <c r="C15" s="223" t="s">
        <v>51</v>
      </c>
      <c r="D15" s="223" t="s">
        <v>844</v>
      </c>
      <c r="E15" s="190" t="s">
        <v>24</v>
      </c>
      <c r="F15" s="190"/>
      <c r="G15" s="190"/>
      <c r="H15" s="219">
        <f>IFERROR(
  MINIFS(ATTENDANCE_LOG!$F:$F,
         ATTENDANCE_LOG!$A:$A, C15,
         ATTENDANCE_LOG!$B:$B, E15),
"")</f>
        <v>46084.54167</v>
      </c>
      <c r="I15" s="219">
        <f t="shared" si="2"/>
        <v>45700.41667</v>
      </c>
      <c r="J15" s="190" t="str">
        <f>IFERROR(VLOOKUP(F15, LEVEL_HELPER!$A:$B, 2, 0), "")</f>
        <v/>
      </c>
      <c r="K15" s="190" t="str">
        <f>IFERROR(VLOOKUP(G15, LEVEL_HELPER!$A:$B, 2, 0), "")</f>
        <v/>
      </c>
      <c r="L15" s="220" t="s">
        <v>919</v>
      </c>
      <c r="M15" s="220" t="s">
        <v>920</v>
      </c>
      <c r="N15" s="190">
        <f t="array" ref="N15">IFERROR(
  INDEX($J$2:$J$543,
    MATCH(A15&amp;TEXT(I15,"yyyy-mm-dd"),
          $A$2:$A$543&amp;TEXT($H$2:$H$543,"yyyy-mm-dd"),
          0)),
"")</f>
        <v>4.5</v>
      </c>
      <c r="O15" s="210">
        <f t="shared" si="3"/>
        <v>5.5</v>
      </c>
      <c r="P15" s="210">
        <f t="shared" ref="P15:Q15" si="25">IF(N15="",0,IF(N15&lt;=2,1,IF(N15&lt;=4,2,IF(N15&lt;=5.5,3,4))))</f>
        <v>3</v>
      </c>
      <c r="Q15" s="210">
        <f t="shared" si="25"/>
        <v>3</v>
      </c>
      <c r="R15" s="210" t="str">
        <f t="shared" si="5"/>
        <v>Progress within level</v>
      </c>
      <c r="S15" s="210">
        <f t="shared" si="6"/>
        <v>0</v>
      </c>
      <c r="T15" s="210"/>
      <c r="U15" s="210"/>
      <c r="V15" s="211" t="s">
        <v>701</v>
      </c>
      <c r="W15" s="210" t="str">
        <f t="shared" si="7"/>
        <v>DEV</v>
      </c>
      <c r="X15" s="210" t="str">
        <f t="shared" si="8"/>
        <v>DEV, TA</v>
      </c>
      <c r="Y15" s="210" t="str">
        <f t="shared" si="9"/>
        <v>CHORUS</v>
      </c>
      <c r="Z15" s="210"/>
      <c r="AA15" s="210"/>
      <c r="AB15" s="210"/>
      <c r="AC15" s="210"/>
      <c r="AD15" s="210"/>
      <c r="AE15" s="210"/>
      <c r="AF15" s="210"/>
      <c r="AG15" s="210"/>
      <c r="AH15" s="210"/>
      <c r="AI15" s="210"/>
      <c r="AJ15" s="210"/>
      <c r="AK15" s="210"/>
      <c r="AL15" s="210"/>
      <c r="AM15" s="214"/>
      <c r="AN15" s="211" t="str">
        <f>IFERROR(__xludf.DUMMYFUNCTION("""COMPUTED_VALUE"""),"237117")</f>
        <v>237117</v>
      </c>
      <c r="AO15" s="210" t="str">
        <f t="shared" si="10"/>
        <v>DEV</v>
      </c>
      <c r="AP15" s="210" t="str">
        <f t="shared" si="11"/>
        <v>DEV, TA</v>
      </c>
      <c r="AQ15" s="210" t="str">
        <f t="shared" si="12"/>
        <v>TBU</v>
      </c>
      <c r="AR15" s="210"/>
      <c r="AS15" s="210"/>
      <c r="AT15" s="210"/>
      <c r="AU15" s="210"/>
      <c r="AV15" s="210"/>
      <c r="AW15" s="210"/>
      <c r="AX15" s="210"/>
      <c r="AY15" s="210"/>
      <c r="AZ15" s="210"/>
      <c r="BA15" s="210"/>
      <c r="BB15" s="210"/>
      <c r="BC15" s="210"/>
      <c r="BD15" s="210"/>
      <c r="BE15" s="210"/>
      <c r="BF15" s="210"/>
      <c r="BG15" s="210"/>
      <c r="BH15" s="210"/>
      <c r="BI15" s="210"/>
      <c r="BJ15" s="210"/>
      <c r="BK15" s="210"/>
      <c r="BL15" s="210"/>
      <c r="BM15" s="210"/>
      <c r="BN15" s="210"/>
      <c r="BO15" s="210"/>
      <c r="BP15" s="210"/>
      <c r="BQ15" s="210"/>
      <c r="BR15" s="210"/>
      <c r="BS15" s="210"/>
      <c r="BT15" s="210"/>
      <c r="BU15" s="210"/>
      <c r="BV15" s="210"/>
      <c r="BW15" s="210"/>
      <c r="BX15" s="210"/>
      <c r="BY15" s="210"/>
      <c r="BZ15" s="210"/>
      <c r="CA15" s="210"/>
      <c r="CB15" s="210"/>
      <c r="CC15" s="210"/>
      <c r="CD15" s="210"/>
      <c r="CE15" s="210"/>
      <c r="CF15" s="210"/>
      <c r="CG15" s="210"/>
      <c r="CH15" s="210"/>
      <c r="CI15" s="210"/>
      <c r="CJ15" s="210"/>
      <c r="CK15" s="210"/>
    </row>
    <row r="16">
      <c r="A16" s="222" t="s">
        <v>659</v>
      </c>
      <c r="B16" s="190" t="s">
        <v>660</v>
      </c>
      <c r="C16" s="223" t="s">
        <v>51</v>
      </c>
      <c r="D16" s="223" t="s">
        <v>844</v>
      </c>
      <c r="E16" s="190" t="s">
        <v>24</v>
      </c>
      <c r="F16" s="190"/>
      <c r="G16" s="190"/>
      <c r="H16" s="219">
        <f>IFERROR(
  MINIFS(ATTENDANCE_LOG!$F:$F,
         ATTENDANCE_LOG!$A:$A, C16,
         ATTENDANCE_LOG!$B:$B, E16),
"")</f>
        <v>46084.54167</v>
      </c>
      <c r="I16" s="219">
        <f t="shared" si="2"/>
        <v>45700.41667</v>
      </c>
      <c r="J16" s="190" t="str">
        <f>IFERROR(VLOOKUP(F16, LEVEL_HELPER!$A:$B, 2, 0), "")</f>
        <v/>
      </c>
      <c r="K16" s="190" t="str">
        <f>IFERROR(VLOOKUP(G16, LEVEL_HELPER!$A:$B, 2, 0), "")</f>
        <v/>
      </c>
      <c r="L16" s="220" t="s">
        <v>919</v>
      </c>
      <c r="M16" s="220" t="s">
        <v>920</v>
      </c>
      <c r="N16" s="190">
        <f t="array" ref="N16">IFERROR(
  INDEX($J$2:$J$543,
    MATCH(A16&amp;TEXT(I16,"yyyy-mm-dd"),
          $A$2:$A$543&amp;TEXT($H$2:$H$543,"yyyy-mm-dd"),
          0)),
"")</f>
        <v>1</v>
      </c>
      <c r="O16" s="210">
        <f t="shared" si="3"/>
        <v>5</v>
      </c>
      <c r="P16" s="210">
        <f t="shared" ref="P16:Q16" si="26">IF(N16="",0,IF(N16&lt;=2,1,IF(N16&lt;=4,2,IF(N16&lt;=5.5,3,4))))</f>
        <v>1</v>
      </c>
      <c r="Q16" s="210">
        <f t="shared" si="26"/>
        <v>3</v>
      </c>
      <c r="R16" s="210" t="str">
        <f t="shared" si="5"/>
        <v>Lv1 → Lv3 (multi)</v>
      </c>
      <c r="S16" s="210">
        <f t="shared" si="6"/>
        <v>0</v>
      </c>
      <c r="T16" s="210"/>
      <c r="U16" s="210"/>
      <c r="V16" s="211" t="s">
        <v>534</v>
      </c>
      <c r="W16" s="210" t="str">
        <f t="shared" si="7"/>
        <v>QC</v>
      </c>
      <c r="X16" s="210" t="str">
        <f t="shared" si="8"/>
        <v>QC</v>
      </c>
      <c r="Y16" s="210" t="str">
        <f t="shared" si="9"/>
        <v>LBU</v>
      </c>
      <c r="Z16" s="210"/>
      <c r="AA16" s="210"/>
      <c r="AB16" s="210"/>
      <c r="AC16" s="210"/>
      <c r="AD16" s="210"/>
      <c r="AE16" s="210"/>
      <c r="AF16" s="210"/>
      <c r="AG16" s="210"/>
      <c r="AH16" s="210"/>
      <c r="AI16" s="210"/>
      <c r="AJ16" s="210"/>
      <c r="AK16" s="210"/>
      <c r="AL16" s="210"/>
      <c r="AM16" s="214"/>
      <c r="AN16" s="211" t="str">
        <f>IFERROR(__xludf.DUMMYFUNCTION("""COMPUTED_VALUE"""),"213859")</f>
        <v>213859</v>
      </c>
      <c r="AO16" s="210" t="str">
        <f t="shared" si="10"/>
        <v>GSD</v>
      </c>
      <c r="AP16" s="210" t="str">
        <f t="shared" si="11"/>
        <v>GSD</v>
      </c>
      <c r="AQ16" s="210" t="str">
        <f t="shared" si="12"/>
        <v>MOC</v>
      </c>
      <c r="AR16" s="210"/>
      <c r="AS16" s="210"/>
      <c r="AT16" s="210"/>
      <c r="AU16" s="210"/>
      <c r="AV16" s="210"/>
      <c r="AW16" s="210"/>
      <c r="AX16" s="210"/>
      <c r="AY16" s="210"/>
      <c r="AZ16" s="210"/>
      <c r="BA16" s="210"/>
      <c r="BB16" s="210"/>
      <c r="BC16" s="210"/>
      <c r="BD16" s="210"/>
      <c r="BE16" s="210"/>
      <c r="BF16" s="210"/>
      <c r="BG16" s="210"/>
      <c r="BH16" s="210"/>
      <c r="BI16" s="210"/>
      <c r="BJ16" s="210"/>
      <c r="BK16" s="210"/>
      <c r="BL16" s="210"/>
      <c r="BM16" s="210"/>
      <c r="BN16" s="210"/>
      <c r="BO16" s="210"/>
      <c r="BP16" s="210"/>
      <c r="BQ16" s="210"/>
      <c r="BR16" s="210"/>
      <c r="BS16" s="210"/>
      <c r="BT16" s="210"/>
      <c r="BU16" s="210"/>
      <c r="BV16" s="210"/>
      <c r="BW16" s="210"/>
      <c r="BX16" s="210"/>
      <c r="BY16" s="210"/>
      <c r="BZ16" s="210"/>
      <c r="CA16" s="210"/>
      <c r="CB16" s="210"/>
      <c r="CC16" s="210"/>
      <c r="CD16" s="210"/>
      <c r="CE16" s="210"/>
      <c r="CF16" s="210"/>
      <c r="CG16" s="210"/>
      <c r="CH16" s="210"/>
      <c r="CI16" s="210"/>
      <c r="CJ16" s="210"/>
      <c r="CK16" s="210"/>
    </row>
    <row r="17">
      <c r="A17" s="216" t="s">
        <v>170</v>
      </c>
      <c r="B17" s="217" t="s">
        <v>171</v>
      </c>
      <c r="C17" s="218" t="s">
        <v>52</v>
      </c>
      <c r="D17" s="218" t="s">
        <v>846</v>
      </c>
      <c r="E17" s="217" t="s">
        <v>21</v>
      </c>
      <c r="F17" s="13" t="s">
        <v>917</v>
      </c>
      <c r="G17" s="190"/>
      <c r="H17" s="219">
        <f>IFERROR(
  MINIFS(ATTENDANCE_LOG!$F:$F,
         ATTENDANCE_LOG!$A:$A, C17,
         ATTENDANCE_LOG!$B:$B, E17),
"")</f>
        <v>45715.41667</v>
      </c>
      <c r="I17" s="219">
        <f t="shared" si="2"/>
        <v>45715.41667</v>
      </c>
      <c r="J17" s="190">
        <f>IFERROR(VLOOKUP(F17, LEVEL_HELPER!$A:$B, 2, 0), "")</f>
        <v>2.5</v>
      </c>
      <c r="K17" s="190" t="str">
        <f>IFERROR(VLOOKUP(G17, LEVEL_HELPER!$A:$B, 2, 0), "")</f>
        <v/>
      </c>
      <c r="L17" s="220" t="s">
        <v>942</v>
      </c>
      <c r="M17" s="229" t="s">
        <v>922</v>
      </c>
      <c r="N17" s="190">
        <f t="array" ref="N17">IFERROR(
  INDEX($J$2:$J$543,
    MATCH(A17&amp;TEXT(I17,"yyyy-mm-dd"),
          $A$2:$A$543&amp;TEXT($H$2:$H$543,"yyyy-mm-dd"),
          0)),
"")</f>
        <v>2.5</v>
      </c>
      <c r="O17" s="210">
        <f t="shared" si="3"/>
        <v>0</v>
      </c>
      <c r="P17" s="210">
        <f t="shared" ref="P17:Q17" si="27">IF(N17="",0,IF(N17&lt;=2,1,IF(N17&lt;=4,2,IF(N17&lt;=5.5,3,4))))</f>
        <v>2</v>
      </c>
      <c r="Q17" s="210">
        <f t="shared" si="27"/>
        <v>1</v>
      </c>
      <c r="R17" s="210" t="str">
        <f t="shared" si="5"/>
        <v>Regressed</v>
      </c>
      <c r="S17" s="210">
        <f t="shared" si="6"/>
        <v>1</v>
      </c>
      <c r="T17" s="210"/>
      <c r="U17" s="210"/>
      <c r="V17" s="211" t="s">
        <v>325</v>
      </c>
      <c r="W17" s="210" t="str">
        <f t="shared" si="7"/>
        <v>UI/UX</v>
      </c>
      <c r="X17" s="210" t="str">
        <f t="shared" si="8"/>
        <v>UI/UX, Des</v>
      </c>
      <c r="Y17" s="210" t="str">
        <f t="shared" si="9"/>
        <v>CHORUS</v>
      </c>
      <c r="Z17" s="210"/>
      <c r="AA17" s="210"/>
      <c r="AB17" s="210"/>
      <c r="AC17" s="210"/>
      <c r="AD17" s="210"/>
      <c r="AE17" s="210"/>
      <c r="AF17" s="210"/>
      <c r="AG17" s="210"/>
      <c r="AH17" s="210"/>
      <c r="AI17" s="210"/>
      <c r="AJ17" s="210"/>
      <c r="AK17" s="210"/>
      <c r="AL17" s="210"/>
      <c r="AM17" s="214"/>
      <c r="AN17" s="211" t="str">
        <f>IFERROR(__xludf.DUMMYFUNCTION("""COMPUTED_VALUE"""),"193584")</f>
        <v>193584</v>
      </c>
      <c r="AO17" s="210" t="str">
        <f t="shared" si="10"/>
        <v>GSD</v>
      </c>
      <c r="AP17" s="210" t="str">
        <f t="shared" si="11"/>
        <v>GSD</v>
      </c>
      <c r="AQ17" s="210" t="str">
        <f t="shared" si="12"/>
        <v>LBU</v>
      </c>
      <c r="AR17" s="210"/>
      <c r="AS17" s="210"/>
      <c r="AT17" s="210"/>
      <c r="AU17" s="210"/>
      <c r="AV17" s="210"/>
      <c r="AW17" s="210"/>
      <c r="AX17" s="210"/>
      <c r="AY17" s="210"/>
      <c r="AZ17" s="210"/>
      <c r="BA17" s="210"/>
      <c r="BB17" s="210"/>
      <c r="BC17" s="210"/>
      <c r="BD17" s="210"/>
      <c r="BE17" s="210"/>
      <c r="BF17" s="210"/>
      <c r="BG17" s="210"/>
      <c r="BH17" s="210"/>
      <c r="BI17" s="210"/>
      <c r="BJ17" s="210"/>
      <c r="BK17" s="210"/>
      <c r="BL17" s="210"/>
      <c r="BM17" s="210"/>
      <c r="BN17" s="210"/>
      <c r="BO17" s="210"/>
      <c r="BP17" s="210"/>
      <c r="BQ17" s="210"/>
      <c r="BR17" s="210"/>
      <c r="BS17" s="210"/>
      <c r="BT17" s="210"/>
      <c r="BU17" s="210"/>
      <c r="BV17" s="210"/>
      <c r="BW17" s="210"/>
      <c r="BX17" s="210"/>
      <c r="BY17" s="210"/>
      <c r="BZ17" s="210"/>
      <c r="CA17" s="210"/>
      <c r="CB17" s="210"/>
      <c r="CC17" s="210"/>
      <c r="CD17" s="210"/>
      <c r="CE17" s="210"/>
      <c r="CF17" s="210"/>
      <c r="CG17" s="210"/>
      <c r="CH17" s="210"/>
      <c r="CI17" s="210"/>
      <c r="CJ17" s="210"/>
      <c r="CK17" s="210"/>
    </row>
    <row r="18">
      <c r="A18" s="222" t="s">
        <v>196</v>
      </c>
      <c r="B18" s="190" t="s">
        <v>197</v>
      </c>
      <c r="C18" s="223" t="s">
        <v>52</v>
      </c>
      <c r="D18" s="223" t="s">
        <v>846</v>
      </c>
      <c r="E18" s="190" t="s">
        <v>21</v>
      </c>
      <c r="F18" s="13" t="s">
        <v>927</v>
      </c>
      <c r="G18" s="13" t="s">
        <v>932</v>
      </c>
      <c r="H18" s="219">
        <f>IFERROR(
  MINIFS(ATTENDANCE_LOG!$F:$F,
         ATTENDANCE_LOG!$A:$A, C18,
         ATTENDANCE_LOG!$B:$B, E18),
"")</f>
        <v>45715.41667</v>
      </c>
      <c r="I18" s="219">
        <f t="shared" si="2"/>
        <v>45715.41667</v>
      </c>
      <c r="J18" s="190">
        <f>IFERROR(VLOOKUP(F18, LEVEL_HELPER!$A:$B, 2, 0), "")</f>
        <v>1</v>
      </c>
      <c r="K18" s="190">
        <f>IFERROR(VLOOKUP(G18, LEVEL_HELPER!$A:$B, 2, 0), "")</f>
        <v>4.5</v>
      </c>
      <c r="L18" s="220" t="s">
        <v>943</v>
      </c>
      <c r="M18" s="229" t="s">
        <v>922</v>
      </c>
      <c r="N18" s="190">
        <f t="array" ref="N18">IFERROR(
  INDEX($J$2:$J$543,
    MATCH(A18&amp;TEXT(I18,"yyyy-mm-dd"),
          $A$2:$A$543&amp;TEXT($H$2:$H$543,"yyyy-mm-dd"),
          0)),
"")</f>
        <v>1</v>
      </c>
      <c r="O18" s="210">
        <f t="shared" si="3"/>
        <v>4.5</v>
      </c>
      <c r="P18" s="210">
        <f t="shared" ref="P18:Q18" si="28">IF(N18="",0,IF(N18&lt;=2,1,IF(N18&lt;=4,2,IF(N18&lt;=5.5,3,4))))</f>
        <v>1</v>
      </c>
      <c r="Q18" s="210">
        <f t="shared" si="28"/>
        <v>3</v>
      </c>
      <c r="R18" s="210" t="str">
        <f t="shared" si="5"/>
        <v>Lv1 → Lv3 (multi)</v>
      </c>
      <c r="S18" s="210">
        <f t="shared" si="6"/>
        <v>1</v>
      </c>
      <c r="T18" s="210"/>
      <c r="U18" s="210"/>
      <c r="V18" s="211" t="s">
        <v>415</v>
      </c>
      <c r="W18" s="210" t="str">
        <f t="shared" si="7"/>
        <v>QC</v>
      </c>
      <c r="X18" s="210" t="str">
        <f t="shared" si="8"/>
        <v>QC</v>
      </c>
      <c r="Y18" s="210" t="str">
        <f t="shared" si="9"/>
        <v>CHORUS</v>
      </c>
      <c r="Z18" s="210"/>
      <c r="AA18" s="210"/>
      <c r="AB18" s="210"/>
      <c r="AC18" s="210"/>
      <c r="AD18" s="210"/>
      <c r="AE18" s="210"/>
      <c r="AF18" s="210"/>
      <c r="AG18" s="210"/>
      <c r="AH18" s="210"/>
      <c r="AI18" s="210"/>
      <c r="AJ18" s="210"/>
      <c r="AK18" s="210"/>
      <c r="AL18" s="210"/>
      <c r="AM18" s="214"/>
      <c r="AN18" s="211" t="str">
        <f>IFERROR(__xludf.DUMMYFUNCTION("""COMPUTED_VALUE"""),"203780")</f>
        <v>203780</v>
      </c>
      <c r="AO18" s="210" t="str">
        <f t="shared" si="10"/>
        <v>QC</v>
      </c>
      <c r="AP18" s="210" t="str">
        <f t="shared" si="11"/>
        <v>QC</v>
      </c>
      <c r="AQ18" s="210" t="str">
        <f t="shared" si="12"/>
        <v>TBU</v>
      </c>
      <c r="AR18" s="210"/>
      <c r="AS18" s="210"/>
      <c r="AT18" s="210"/>
      <c r="AU18" s="210"/>
      <c r="AV18" s="210"/>
      <c r="AW18" s="210"/>
      <c r="AX18" s="210"/>
      <c r="AY18" s="210"/>
      <c r="AZ18" s="210"/>
      <c r="BA18" s="210"/>
      <c r="BB18" s="210"/>
      <c r="BC18" s="210"/>
      <c r="BD18" s="210"/>
      <c r="BE18" s="210"/>
      <c r="BF18" s="210"/>
      <c r="BG18" s="210"/>
      <c r="BH18" s="210"/>
      <c r="BI18" s="210"/>
      <c r="BJ18" s="210"/>
      <c r="BK18" s="210"/>
      <c r="BL18" s="210"/>
      <c r="BM18" s="210"/>
      <c r="BN18" s="210"/>
      <c r="BO18" s="210"/>
      <c r="BP18" s="210"/>
      <c r="BQ18" s="210"/>
      <c r="BR18" s="210"/>
      <c r="BS18" s="210"/>
      <c r="BT18" s="210"/>
      <c r="BU18" s="210"/>
      <c r="BV18" s="210"/>
      <c r="BW18" s="210"/>
      <c r="BX18" s="210"/>
      <c r="BY18" s="210"/>
      <c r="BZ18" s="210"/>
      <c r="CA18" s="210"/>
      <c r="CB18" s="210"/>
      <c r="CC18" s="210"/>
      <c r="CD18" s="210"/>
      <c r="CE18" s="210"/>
      <c r="CF18" s="210"/>
      <c r="CG18" s="210"/>
      <c r="CH18" s="210"/>
      <c r="CI18" s="210"/>
      <c r="CJ18" s="210"/>
      <c r="CK18" s="210"/>
    </row>
    <row r="19">
      <c r="A19" s="222" t="s">
        <v>328</v>
      </c>
      <c r="B19" s="190" t="s">
        <v>329</v>
      </c>
      <c r="C19" s="223" t="s">
        <v>52</v>
      </c>
      <c r="D19" s="223" t="s">
        <v>846</v>
      </c>
      <c r="E19" s="190" t="s">
        <v>21</v>
      </c>
      <c r="F19" s="13" t="s">
        <v>927</v>
      </c>
      <c r="G19" s="13" t="s">
        <v>918</v>
      </c>
      <c r="H19" s="219">
        <f>IFERROR(
  MINIFS(ATTENDANCE_LOG!$F:$F,
         ATTENDANCE_LOG!$A:$A, C19,
         ATTENDANCE_LOG!$B:$B, E19),
"")</f>
        <v>45715.41667</v>
      </c>
      <c r="I19" s="219">
        <f t="shared" si="2"/>
        <v>45715.41667</v>
      </c>
      <c r="J19" s="190">
        <f>IFERROR(VLOOKUP(F19, LEVEL_HELPER!$A:$B, 2, 0), "")</f>
        <v>1</v>
      </c>
      <c r="K19" s="190">
        <f>IFERROR(VLOOKUP(G19, LEVEL_HELPER!$A:$B, 2, 0), "")</f>
        <v>3</v>
      </c>
      <c r="L19" s="220" t="s">
        <v>943</v>
      </c>
      <c r="M19" s="229" t="s">
        <v>922</v>
      </c>
      <c r="N19" s="190">
        <f t="array" ref="N19">IFERROR(
  INDEX($J$2:$J$543,
    MATCH(A19&amp;TEXT(I19,"yyyy-mm-dd"),
          $A$2:$A$543&amp;TEXT($H$2:$H$543,"yyyy-mm-dd"),
          0)),
"")</f>
        <v>1</v>
      </c>
      <c r="O19" s="210">
        <f t="shared" si="3"/>
        <v>3</v>
      </c>
      <c r="P19" s="210">
        <f t="shared" ref="P19:Q19" si="29">IF(N19="",0,IF(N19&lt;=2,1,IF(N19&lt;=4,2,IF(N19&lt;=5.5,3,4))))</f>
        <v>1</v>
      </c>
      <c r="Q19" s="210">
        <f t="shared" si="29"/>
        <v>2</v>
      </c>
      <c r="R19" s="210" t="str">
        <f t="shared" si="5"/>
        <v>Lv1 → Lv2</v>
      </c>
      <c r="S19" s="210">
        <f t="shared" si="6"/>
        <v>1</v>
      </c>
      <c r="T19" s="210"/>
      <c r="U19" s="210"/>
      <c r="V19" s="211" t="s">
        <v>461</v>
      </c>
      <c r="W19" s="210" t="str">
        <f t="shared" si="7"/>
        <v>QC</v>
      </c>
      <c r="X19" s="210" t="str">
        <f t="shared" si="8"/>
        <v>QC</v>
      </c>
      <c r="Y19" s="210" t="str">
        <f t="shared" si="9"/>
        <v>LBU</v>
      </c>
      <c r="Z19" s="210"/>
      <c r="AA19" s="210"/>
      <c r="AB19" s="210"/>
      <c r="AC19" s="210"/>
      <c r="AD19" s="210"/>
      <c r="AE19" s="210"/>
      <c r="AF19" s="210"/>
      <c r="AG19" s="210"/>
      <c r="AH19" s="210"/>
      <c r="AI19" s="210"/>
      <c r="AJ19" s="210"/>
      <c r="AK19" s="210"/>
      <c r="AL19" s="210"/>
      <c r="AM19" s="214"/>
      <c r="AN19" s="211" t="str">
        <f>IFERROR(__xludf.DUMMYFUNCTION("""COMPUTED_VALUE"""),"193534")</f>
        <v>193534</v>
      </c>
      <c r="AO19" s="210" t="str">
        <f t="shared" si="10"/>
        <v>DEV</v>
      </c>
      <c r="AP19" s="210" t="str">
        <f t="shared" si="11"/>
        <v>DEV, TA</v>
      </c>
      <c r="AQ19" s="210" t="str">
        <f t="shared" si="12"/>
        <v>POC</v>
      </c>
      <c r="AR19" s="210"/>
      <c r="AS19" s="210"/>
      <c r="AT19" s="210"/>
      <c r="AU19" s="210"/>
      <c r="AV19" s="210"/>
      <c r="AW19" s="210"/>
      <c r="AX19" s="210"/>
      <c r="AY19" s="210"/>
      <c r="AZ19" s="210"/>
      <c r="BA19" s="210"/>
      <c r="BB19" s="210"/>
      <c r="BC19" s="210"/>
      <c r="BD19" s="210"/>
      <c r="BE19" s="210"/>
      <c r="BF19" s="210"/>
      <c r="BG19" s="210"/>
      <c r="BH19" s="210"/>
      <c r="BI19" s="210"/>
      <c r="BJ19" s="210"/>
      <c r="BK19" s="210"/>
      <c r="BL19" s="210"/>
      <c r="BM19" s="210"/>
      <c r="BN19" s="210"/>
      <c r="BO19" s="210"/>
      <c r="BP19" s="210"/>
      <c r="BQ19" s="210"/>
      <c r="BR19" s="210"/>
      <c r="BS19" s="210"/>
      <c r="BT19" s="210"/>
      <c r="BU19" s="210"/>
      <c r="BV19" s="210"/>
      <c r="BW19" s="210"/>
      <c r="BX19" s="210"/>
      <c r="BY19" s="210"/>
      <c r="BZ19" s="210"/>
      <c r="CA19" s="210"/>
      <c r="CB19" s="210"/>
      <c r="CC19" s="210"/>
      <c r="CD19" s="210"/>
      <c r="CE19" s="210"/>
      <c r="CF19" s="210"/>
      <c r="CG19" s="210"/>
      <c r="CH19" s="210"/>
      <c r="CI19" s="210"/>
      <c r="CJ19" s="210"/>
      <c r="CK19" s="210"/>
    </row>
    <row r="20">
      <c r="A20" s="222" t="s">
        <v>506</v>
      </c>
      <c r="B20" s="190" t="s">
        <v>507</v>
      </c>
      <c r="C20" s="223" t="s">
        <v>52</v>
      </c>
      <c r="D20" s="223" t="s">
        <v>846</v>
      </c>
      <c r="E20" s="190" t="s">
        <v>21</v>
      </c>
      <c r="F20" s="13" t="s">
        <v>927</v>
      </c>
      <c r="G20" s="190"/>
      <c r="H20" s="219">
        <f>IFERROR(
  MINIFS(ATTENDANCE_LOG!$F:$F,
         ATTENDANCE_LOG!$A:$A, C20,
         ATTENDANCE_LOG!$B:$B, E20),
"")</f>
        <v>45715.41667</v>
      </c>
      <c r="I20" s="219">
        <f t="shared" si="2"/>
        <v>45715.41667</v>
      </c>
      <c r="J20" s="190">
        <f>IFERROR(VLOOKUP(F20, LEVEL_HELPER!$A:$B, 2, 0), "")</f>
        <v>1</v>
      </c>
      <c r="K20" s="190" t="str">
        <f>IFERROR(VLOOKUP(G20, LEVEL_HELPER!$A:$B, 2, 0), "")</f>
        <v/>
      </c>
      <c r="L20" s="220" t="s">
        <v>944</v>
      </c>
      <c r="M20" s="229" t="s">
        <v>922</v>
      </c>
      <c r="N20" s="190">
        <f t="array" ref="N20">IFERROR(
  INDEX($J$2:$J$543,
    MATCH(A20&amp;TEXT(I20,"yyyy-mm-dd"),
          $A$2:$A$543&amp;TEXT($H$2:$H$543,"yyyy-mm-dd"),
          0)),
"")</f>
        <v>1</v>
      </c>
      <c r="O20" s="210">
        <f t="shared" si="3"/>
        <v>0</v>
      </c>
      <c r="P20" s="210">
        <f t="shared" ref="P20:Q20" si="30">IF(N20="",0,IF(N20&lt;=2,1,IF(N20&lt;=4,2,IF(N20&lt;=5.5,3,4))))</f>
        <v>1</v>
      </c>
      <c r="Q20" s="210">
        <f t="shared" si="30"/>
        <v>1</v>
      </c>
      <c r="R20" s="210" t="str">
        <f t="shared" si="5"/>
        <v>No Progress</v>
      </c>
      <c r="S20" s="210">
        <f t="shared" si="6"/>
        <v>1</v>
      </c>
      <c r="T20" s="210"/>
      <c r="U20" s="210"/>
      <c r="V20" s="211" t="s">
        <v>560</v>
      </c>
      <c r="W20" s="210" t="str">
        <f t="shared" si="7"/>
        <v>QC</v>
      </c>
      <c r="X20" s="210" t="str">
        <f t="shared" si="8"/>
        <v>QC</v>
      </c>
      <c r="Y20" s="210" t="str">
        <f t="shared" si="9"/>
        <v>CHORUS</v>
      </c>
      <c r="Z20" s="210"/>
      <c r="AA20" s="210"/>
      <c r="AB20" s="210"/>
      <c r="AC20" s="210"/>
      <c r="AD20" s="210"/>
      <c r="AE20" s="210"/>
      <c r="AF20" s="210"/>
      <c r="AG20" s="210"/>
      <c r="AH20" s="210"/>
      <c r="AI20" s="210"/>
      <c r="AJ20" s="210"/>
      <c r="AK20" s="210"/>
      <c r="AL20" s="210"/>
      <c r="AM20" s="214"/>
      <c r="AN20" s="211" t="str">
        <f>IFERROR(__xludf.DUMMYFUNCTION("""COMPUTED_VALUE"""),"247185")</f>
        <v>247185</v>
      </c>
      <c r="AO20" s="210" t="str">
        <f t="shared" si="10"/>
        <v>QC</v>
      </c>
      <c r="AP20" s="210" t="str">
        <f t="shared" si="11"/>
        <v>QC</v>
      </c>
      <c r="AQ20" s="210" t="str">
        <f t="shared" si="12"/>
        <v>ONC</v>
      </c>
      <c r="AR20" s="210"/>
      <c r="AS20" s="210"/>
      <c r="AT20" s="210"/>
      <c r="AU20" s="210"/>
      <c r="AV20" s="210"/>
      <c r="AW20" s="210"/>
      <c r="AX20" s="210"/>
      <c r="AY20" s="210"/>
      <c r="AZ20" s="210"/>
      <c r="BA20" s="210"/>
      <c r="BB20" s="210"/>
      <c r="BC20" s="210"/>
      <c r="BD20" s="210"/>
      <c r="BE20" s="210"/>
      <c r="BF20" s="210"/>
      <c r="BG20" s="210"/>
      <c r="BH20" s="210"/>
      <c r="BI20" s="210"/>
      <c r="BJ20" s="210"/>
      <c r="BK20" s="210"/>
      <c r="BL20" s="210"/>
      <c r="BM20" s="210"/>
      <c r="BN20" s="210"/>
      <c r="BO20" s="210"/>
      <c r="BP20" s="210"/>
      <c r="BQ20" s="210"/>
      <c r="BR20" s="210"/>
      <c r="BS20" s="210"/>
      <c r="BT20" s="210"/>
      <c r="BU20" s="210"/>
      <c r="BV20" s="210"/>
      <c r="BW20" s="210"/>
      <c r="BX20" s="210"/>
      <c r="BY20" s="210"/>
      <c r="BZ20" s="210"/>
      <c r="CA20" s="210"/>
      <c r="CB20" s="210"/>
      <c r="CC20" s="210"/>
      <c r="CD20" s="210"/>
      <c r="CE20" s="210"/>
      <c r="CF20" s="210"/>
      <c r="CG20" s="210"/>
      <c r="CH20" s="210"/>
      <c r="CI20" s="210"/>
      <c r="CJ20" s="210"/>
      <c r="CK20" s="210"/>
    </row>
    <row r="21">
      <c r="A21" s="222" t="s">
        <v>605</v>
      </c>
      <c r="B21" s="190" t="s">
        <v>606</v>
      </c>
      <c r="C21" s="223" t="s">
        <v>52</v>
      </c>
      <c r="D21" s="223" t="s">
        <v>846</v>
      </c>
      <c r="E21" s="190" t="s">
        <v>21</v>
      </c>
      <c r="F21" s="13" t="s">
        <v>927</v>
      </c>
      <c r="G21" s="190"/>
      <c r="H21" s="219">
        <f>IFERROR(
  MINIFS(ATTENDANCE_LOG!$F:$F,
         ATTENDANCE_LOG!$A:$A, C21,
         ATTENDANCE_LOG!$B:$B, E21),
"")</f>
        <v>45715.41667</v>
      </c>
      <c r="I21" s="219">
        <f t="shared" si="2"/>
        <v>45715.41667</v>
      </c>
      <c r="J21" s="190">
        <f>IFERROR(VLOOKUP(F21, LEVEL_HELPER!$A:$B, 2, 0), "")</f>
        <v>1</v>
      </c>
      <c r="K21" s="190" t="str">
        <f>IFERROR(VLOOKUP(G21, LEVEL_HELPER!$A:$B, 2, 0), "")</f>
        <v/>
      </c>
      <c r="L21" s="220" t="s">
        <v>943</v>
      </c>
      <c r="M21" s="220" t="s">
        <v>923</v>
      </c>
      <c r="N21" s="190">
        <f t="array" ref="N21">IFERROR(
  INDEX($J$2:$J$543,
    MATCH(A21&amp;TEXT(I21,"yyyy-mm-dd"),
          $A$2:$A$543&amp;TEXT($H$2:$H$543,"yyyy-mm-dd"),
          0)),
"")</f>
        <v>1</v>
      </c>
      <c r="O21" s="210">
        <f t="shared" si="3"/>
        <v>0</v>
      </c>
      <c r="P21" s="210">
        <f t="shared" ref="P21:Q21" si="31">IF(N21="",0,IF(N21&lt;=2,1,IF(N21&lt;=4,2,IF(N21&lt;=5.5,3,4))))</f>
        <v>1</v>
      </c>
      <c r="Q21" s="210">
        <f t="shared" si="31"/>
        <v>1</v>
      </c>
      <c r="R21" s="210" t="str">
        <f t="shared" si="5"/>
        <v>No Progress</v>
      </c>
      <c r="S21" s="210">
        <f t="shared" si="6"/>
        <v>1</v>
      </c>
      <c r="T21" s="210"/>
      <c r="U21" s="210"/>
      <c r="V21" s="211" t="s">
        <v>399</v>
      </c>
      <c r="W21" s="210" t="str">
        <f t="shared" si="7"/>
        <v>UI/UX</v>
      </c>
      <c r="X21" s="210" t="str">
        <f t="shared" si="8"/>
        <v>UI/UX, Des</v>
      </c>
      <c r="Y21" s="210" t="str">
        <f t="shared" si="9"/>
        <v>LBU</v>
      </c>
      <c r="Z21" s="210"/>
      <c r="AA21" s="210"/>
      <c r="AB21" s="210"/>
      <c r="AC21" s="210"/>
      <c r="AD21" s="210"/>
      <c r="AE21" s="210"/>
      <c r="AF21" s="210"/>
      <c r="AG21" s="210"/>
      <c r="AH21" s="210"/>
      <c r="AI21" s="210"/>
      <c r="AJ21" s="210"/>
      <c r="AK21" s="210"/>
      <c r="AL21" s="210"/>
      <c r="AM21" s="214"/>
      <c r="AN21" s="211" t="str">
        <f>IFERROR(__xludf.DUMMYFUNCTION("""COMPUTED_VALUE"""),"213844")</f>
        <v>213844</v>
      </c>
      <c r="AO21" s="210" t="str">
        <f t="shared" si="10"/>
        <v>DEV</v>
      </c>
      <c r="AP21" s="210" t="str">
        <f t="shared" si="11"/>
        <v>DEV, TA</v>
      </c>
      <c r="AQ21" s="210" t="str">
        <f t="shared" si="12"/>
        <v>MOC</v>
      </c>
      <c r="AR21" s="210"/>
      <c r="AS21" s="210"/>
      <c r="AT21" s="210"/>
      <c r="AU21" s="210"/>
      <c r="AV21" s="210"/>
      <c r="AW21" s="210"/>
      <c r="AX21" s="210"/>
      <c r="AY21" s="210"/>
      <c r="AZ21" s="210"/>
      <c r="BA21" s="210"/>
      <c r="BB21" s="210"/>
      <c r="BC21" s="210"/>
      <c r="BD21" s="210"/>
      <c r="BE21" s="210"/>
      <c r="BF21" s="210"/>
      <c r="BG21" s="210"/>
      <c r="BH21" s="210"/>
      <c r="BI21" s="210"/>
      <c r="BJ21" s="210"/>
      <c r="BK21" s="210"/>
      <c r="BL21" s="210"/>
      <c r="BM21" s="210"/>
      <c r="BN21" s="210"/>
      <c r="BO21" s="210"/>
      <c r="BP21" s="210"/>
      <c r="BQ21" s="210"/>
      <c r="BR21" s="210"/>
      <c r="BS21" s="210"/>
      <c r="BT21" s="210"/>
      <c r="BU21" s="210"/>
      <c r="BV21" s="210"/>
      <c r="BW21" s="210"/>
      <c r="BX21" s="210"/>
      <c r="BY21" s="210"/>
      <c r="BZ21" s="210"/>
      <c r="CA21" s="210"/>
      <c r="CB21" s="210"/>
      <c r="CC21" s="210"/>
      <c r="CD21" s="210"/>
      <c r="CE21" s="210"/>
      <c r="CF21" s="210"/>
      <c r="CG21" s="210"/>
      <c r="CH21" s="210"/>
      <c r="CI21" s="210"/>
      <c r="CJ21" s="210"/>
      <c r="CK21" s="210"/>
    </row>
    <row r="22">
      <c r="A22" s="222" t="s">
        <v>677</v>
      </c>
      <c r="B22" s="190" t="s">
        <v>678</v>
      </c>
      <c r="C22" s="223" t="s">
        <v>52</v>
      </c>
      <c r="D22" s="223" t="s">
        <v>846</v>
      </c>
      <c r="E22" s="190" t="s">
        <v>21</v>
      </c>
      <c r="F22" s="13" t="s">
        <v>927</v>
      </c>
      <c r="G22" s="13" t="s">
        <v>918</v>
      </c>
      <c r="H22" s="219">
        <f>IFERROR(
  MINIFS(ATTENDANCE_LOG!$F:$F,
         ATTENDANCE_LOG!$A:$A, C22,
         ATTENDANCE_LOG!$B:$B, E22),
"")</f>
        <v>45715.41667</v>
      </c>
      <c r="I22" s="219">
        <f t="shared" si="2"/>
        <v>45715.41667</v>
      </c>
      <c r="J22" s="190">
        <f>IFERROR(VLOOKUP(F22, LEVEL_HELPER!$A:$B, 2, 0), "")</f>
        <v>1</v>
      </c>
      <c r="K22" s="190">
        <f>IFERROR(VLOOKUP(G22, LEVEL_HELPER!$A:$B, 2, 0), "")</f>
        <v>3</v>
      </c>
      <c r="L22" s="220" t="s">
        <v>943</v>
      </c>
      <c r="M22" s="229" t="s">
        <v>922</v>
      </c>
      <c r="N22" s="190">
        <f t="array" ref="N22">IFERROR(
  INDEX($J$2:$J$543,
    MATCH(A22&amp;TEXT(I22,"yyyy-mm-dd"),
          $A$2:$A$543&amp;TEXT($H$2:$H$543,"yyyy-mm-dd"),
          0)),
"")</f>
        <v>1</v>
      </c>
      <c r="O22" s="210">
        <f t="shared" si="3"/>
        <v>3</v>
      </c>
      <c r="P22" s="210">
        <f t="shared" ref="P22:Q22" si="32">IF(N22="",0,IF(N22&lt;=2,1,IF(N22&lt;=4,2,IF(N22&lt;=5.5,3,4))))</f>
        <v>1</v>
      </c>
      <c r="Q22" s="210">
        <f t="shared" si="32"/>
        <v>2</v>
      </c>
      <c r="R22" s="210" t="str">
        <f t="shared" si="5"/>
        <v>Lv1 → Lv2</v>
      </c>
      <c r="S22" s="210">
        <f t="shared" si="6"/>
        <v>1</v>
      </c>
      <c r="T22" s="210"/>
      <c r="U22" s="210"/>
      <c r="V22" s="211" t="s">
        <v>510</v>
      </c>
      <c r="W22" s="210" t="str">
        <f t="shared" si="7"/>
        <v>DEV</v>
      </c>
      <c r="X22" s="210" t="str">
        <f t="shared" si="8"/>
        <v>DEV, TA</v>
      </c>
      <c r="Y22" s="210" t="str">
        <f t="shared" si="9"/>
        <v>ONC</v>
      </c>
      <c r="Z22" s="210"/>
      <c r="AA22" s="210"/>
      <c r="AB22" s="210"/>
      <c r="AC22" s="210"/>
      <c r="AD22" s="210"/>
      <c r="AE22" s="210"/>
      <c r="AF22" s="210"/>
      <c r="AG22" s="210"/>
      <c r="AH22" s="210"/>
      <c r="AI22" s="210"/>
      <c r="AJ22" s="210"/>
      <c r="AK22" s="210"/>
      <c r="AL22" s="210"/>
      <c r="AM22" s="214"/>
      <c r="AN22" s="211" t="str">
        <f>IFERROR(__xludf.DUMMYFUNCTION("""COMPUTED_VALUE"""),"227047")</f>
        <v>227047</v>
      </c>
      <c r="AO22" s="210" t="str">
        <f t="shared" si="10"/>
        <v>DEV</v>
      </c>
      <c r="AP22" s="210" t="str">
        <f t="shared" si="11"/>
        <v>DEV, TA</v>
      </c>
      <c r="AQ22" s="210" t="str">
        <f t="shared" si="12"/>
        <v>POC</v>
      </c>
      <c r="AR22" s="210"/>
      <c r="AS22" s="210"/>
      <c r="AT22" s="210"/>
      <c r="AU22" s="210"/>
      <c r="AV22" s="210"/>
      <c r="AW22" s="210"/>
      <c r="AX22" s="210"/>
      <c r="AY22" s="210"/>
      <c r="AZ22" s="210"/>
      <c r="BA22" s="210"/>
      <c r="BB22" s="210"/>
      <c r="BC22" s="210"/>
      <c r="BD22" s="210"/>
      <c r="BE22" s="210"/>
      <c r="BF22" s="210"/>
      <c r="BG22" s="210"/>
      <c r="BH22" s="210"/>
      <c r="BI22" s="210"/>
      <c r="BJ22" s="210"/>
      <c r="BK22" s="210"/>
      <c r="BL22" s="210"/>
      <c r="BM22" s="210"/>
      <c r="BN22" s="210"/>
      <c r="BO22" s="210"/>
      <c r="BP22" s="210"/>
      <c r="BQ22" s="210"/>
      <c r="BR22" s="210"/>
      <c r="BS22" s="210"/>
      <c r="BT22" s="210"/>
      <c r="BU22" s="210"/>
      <c r="BV22" s="210"/>
      <c r="BW22" s="210"/>
      <c r="BX22" s="210"/>
      <c r="BY22" s="210"/>
      <c r="BZ22" s="210"/>
      <c r="CA22" s="210"/>
      <c r="CB22" s="210"/>
      <c r="CC22" s="210"/>
      <c r="CD22" s="210"/>
      <c r="CE22" s="210"/>
      <c r="CF22" s="210"/>
      <c r="CG22" s="210"/>
      <c r="CH22" s="210"/>
      <c r="CI22" s="210"/>
      <c r="CJ22" s="210"/>
      <c r="CK22" s="210"/>
    </row>
    <row r="23">
      <c r="A23" s="222" t="s">
        <v>687</v>
      </c>
      <c r="B23" s="190" t="s">
        <v>688</v>
      </c>
      <c r="C23" s="223" t="s">
        <v>52</v>
      </c>
      <c r="D23" s="223" t="s">
        <v>846</v>
      </c>
      <c r="E23" s="190" t="s">
        <v>21</v>
      </c>
      <c r="F23" s="13" t="s">
        <v>927</v>
      </c>
      <c r="G23" s="13" t="s">
        <v>918</v>
      </c>
      <c r="H23" s="219">
        <f>IFERROR(
  MINIFS(ATTENDANCE_LOG!$F:$F,
         ATTENDANCE_LOG!$A:$A, C23,
         ATTENDANCE_LOG!$B:$B, E23),
"")</f>
        <v>45715.41667</v>
      </c>
      <c r="I23" s="219">
        <f t="shared" si="2"/>
        <v>45715.41667</v>
      </c>
      <c r="J23" s="190">
        <f>IFERROR(VLOOKUP(F23, LEVEL_HELPER!$A:$B, 2, 0), "")</f>
        <v>1</v>
      </c>
      <c r="K23" s="190">
        <f>IFERROR(VLOOKUP(G23, LEVEL_HELPER!$A:$B, 2, 0), "")</f>
        <v>3</v>
      </c>
      <c r="L23" s="220" t="s">
        <v>943</v>
      </c>
      <c r="M23" s="229" t="s">
        <v>922</v>
      </c>
      <c r="N23" s="190">
        <f t="array" ref="N23">IFERROR(
  INDEX($J$2:$J$543,
    MATCH(A23&amp;TEXT(I23,"yyyy-mm-dd"),
          $A$2:$A$543&amp;TEXT($H$2:$H$543,"yyyy-mm-dd"),
          0)),
"")</f>
        <v>1</v>
      </c>
      <c r="O23" s="210">
        <f t="shared" si="3"/>
        <v>3</v>
      </c>
      <c r="P23" s="210">
        <f t="shared" ref="P23:Q23" si="33">IF(N23="",0,IF(N23&lt;=2,1,IF(N23&lt;=4,2,IF(N23&lt;=5.5,3,4))))</f>
        <v>1</v>
      </c>
      <c r="Q23" s="210">
        <f t="shared" si="33"/>
        <v>2</v>
      </c>
      <c r="R23" s="210" t="str">
        <f t="shared" si="5"/>
        <v>Lv1 → Lv2</v>
      </c>
      <c r="S23" s="210">
        <f t="shared" si="6"/>
        <v>1</v>
      </c>
      <c r="T23" s="210"/>
      <c r="U23" s="210"/>
      <c r="V23" s="211" t="s">
        <v>144</v>
      </c>
      <c r="W23" s="210" t="str">
        <f t="shared" si="7"/>
        <v>DEV</v>
      </c>
      <c r="X23" s="210" t="str">
        <f t="shared" si="8"/>
        <v>DEV, TA</v>
      </c>
      <c r="Y23" s="210" t="str">
        <f t="shared" si="9"/>
        <v>ONC</v>
      </c>
      <c r="Z23" s="210"/>
      <c r="AA23" s="210"/>
      <c r="AB23" s="210"/>
      <c r="AC23" s="210"/>
      <c r="AD23" s="210"/>
      <c r="AE23" s="210"/>
      <c r="AF23" s="210"/>
      <c r="AG23" s="210"/>
      <c r="AH23" s="210"/>
      <c r="AI23" s="210"/>
      <c r="AJ23" s="210"/>
      <c r="AK23" s="210"/>
      <c r="AL23" s="210"/>
      <c r="AM23" s="214"/>
      <c r="AN23" s="211" t="str">
        <f>IFERROR(__xludf.DUMMYFUNCTION("""COMPUTED_VALUE"""),"227116")</f>
        <v>227116</v>
      </c>
      <c r="AO23" s="210" t="str">
        <f t="shared" si="10"/>
        <v>DEV</v>
      </c>
      <c r="AP23" s="210" t="str">
        <f t="shared" si="11"/>
        <v>DEV, TA</v>
      </c>
      <c r="AQ23" s="210" t="str">
        <f t="shared" si="12"/>
        <v>CHORUS</v>
      </c>
      <c r="AR23" s="210"/>
      <c r="AS23" s="210"/>
      <c r="AT23" s="210"/>
      <c r="AU23" s="210"/>
      <c r="AV23" s="210"/>
      <c r="AW23" s="210"/>
      <c r="AX23" s="210"/>
      <c r="AY23" s="210"/>
      <c r="AZ23" s="210"/>
      <c r="BA23" s="210"/>
      <c r="BB23" s="210"/>
      <c r="BC23" s="210"/>
      <c r="BD23" s="210"/>
      <c r="BE23" s="210"/>
      <c r="BF23" s="210"/>
      <c r="BG23" s="210"/>
      <c r="BH23" s="210"/>
      <c r="BI23" s="210"/>
      <c r="BJ23" s="210"/>
      <c r="BK23" s="210"/>
      <c r="BL23" s="210"/>
      <c r="BM23" s="210"/>
      <c r="BN23" s="210"/>
      <c r="BO23" s="210"/>
      <c r="BP23" s="210"/>
      <c r="BQ23" s="210"/>
      <c r="BR23" s="210"/>
      <c r="BS23" s="210"/>
      <c r="BT23" s="210"/>
      <c r="BU23" s="210"/>
      <c r="BV23" s="210"/>
      <c r="BW23" s="210"/>
      <c r="BX23" s="210"/>
      <c r="BY23" s="210"/>
      <c r="BZ23" s="210"/>
      <c r="CA23" s="210"/>
      <c r="CB23" s="210"/>
      <c r="CC23" s="210"/>
      <c r="CD23" s="210"/>
      <c r="CE23" s="210"/>
      <c r="CF23" s="210"/>
      <c r="CG23" s="210"/>
      <c r="CH23" s="210"/>
      <c r="CI23" s="210"/>
      <c r="CJ23" s="210"/>
      <c r="CK23" s="210"/>
    </row>
    <row r="24">
      <c r="A24" s="222" t="s">
        <v>701</v>
      </c>
      <c r="B24" s="190" t="s">
        <v>702</v>
      </c>
      <c r="C24" s="223" t="s">
        <v>52</v>
      </c>
      <c r="D24" s="223" t="s">
        <v>846</v>
      </c>
      <c r="E24" s="190" t="s">
        <v>21</v>
      </c>
      <c r="F24" s="13" t="s">
        <v>927</v>
      </c>
      <c r="G24" s="13" t="s">
        <v>935</v>
      </c>
      <c r="H24" s="219">
        <f>IFERROR(
  MINIFS(ATTENDANCE_LOG!$F:$F,
         ATTENDANCE_LOG!$A:$A, C24,
         ATTENDANCE_LOG!$B:$B, E24),
"")</f>
        <v>45715.41667</v>
      </c>
      <c r="I24" s="219">
        <f t="shared" si="2"/>
        <v>45715.41667</v>
      </c>
      <c r="J24" s="190">
        <f>IFERROR(VLOOKUP(F24, LEVEL_HELPER!$A:$B, 2, 0), "")</f>
        <v>1</v>
      </c>
      <c r="K24" s="190">
        <f>IFERROR(VLOOKUP(G24, LEVEL_HELPER!$A:$B, 2, 0), "")</f>
        <v>3.5</v>
      </c>
      <c r="L24" s="220" t="s">
        <v>943</v>
      </c>
      <c r="M24" s="229" t="s">
        <v>922</v>
      </c>
      <c r="N24" s="190">
        <f t="array" ref="N24">IFERROR(
  INDEX($J$2:$J$543,
    MATCH(A24&amp;TEXT(I24,"yyyy-mm-dd"),
          $A$2:$A$543&amp;TEXT($H$2:$H$543,"yyyy-mm-dd"),
          0)),
"")</f>
        <v>1</v>
      </c>
      <c r="O24" s="210">
        <f t="shared" si="3"/>
        <v>3.5</v>
      </c>
      <c r="P24" s="210">
        <f t="shared" ref="P24:Q24" si="34">IF(N24="",0,IF(N24&lt;=2,1,IF(N24&lt;=4,2,IF(N24&lt;=5.5,3,4))))</f>
        <v>1</v>
      </c>
      <c r="Q24" s="210">
        <f t="shared" si="34"/>
        <v>2</v>
      </c>
      <c r="R24" s="210" t="str">
        <f t="shared" si="5"/>
        <v>Lv1 → Lv2</v>
      </c>
      <c r="S24" s="210">
        <f t="shared" si="6"/>
        <v>1</v>
      </c>
      <c r="T24" s="210"/>
      <c r="U24" s="210"/>
      <c r="V24" s="211" t="s">
        <v>155</v>
      </c>
      <c r="W24" s="210" t="str">
        <f t="shared" si="7"/>
        <v>DEV</v>
      </c>
      <c r="X24" s="210" t="str">
        <f t="shared" si="8"/>
        <v>DEV, TA</v>
      </c>
      <c r="Y24" s="210" t="str">
        <f t="shared" si="9"/>
        <v>ONC</v>
      </c>
      <c r="Z24" s="210"/>
      <c r="AA24" s="210"/>
      <c r="AB24" s="210"/>
      <c r="AC24" s="210"/>
      <c r="AD24" s="210"/>
      <c r="AE24" s="210"/>
      <c r="AF24" s="210"/>
      <c r="AG24" s="210"/>
      <c r="AH24" s="210"/>
      <c r="AI24" s="210"/>
      <c r="AJ24" s="210"/>
      <c r="AK24" s="210"/>
      <c r="AL24" s="210"/>
      <c r="AM24" s="214"/>
      <c r="AN24" s="211" t="str">
        <f>IFERROR(__xludf.DUMMYFUNCTION("""COMPUTED_VALUE"""),"257133")</f>
        <v>257133</v>
      </c>
      <c r="AO24" s="210" t="str">
        <f t="shared" si="10"/>
        <v>QC</v>
      </c>
      <c r="AP24" s="210" t="str">
        <f t="shared" si="11"/>
        <v>QC</v>
      </c>
      <c r="AQ24" s="210" t="str">
        <f t="shared" si="12"/>
        <v>ONC</v>
      </c>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c r="BU24" s="210"/>
      <c r="BV24" s="210"/>
      <c r="BW24" s="210"/>
      <c r="BX24" s="210"/>
      <c r="BY24" s="210"/>
      <c r="BZ24" s="210"/>
      <c r="CA24" s="210"/>
      <c r="CB24" s="210"/>
      <c r="CC24" s="210"/>
      <c r="CD24" s="210"/>
      <c r="CE24" s="210"/>
      <c r="CF24" s="210"/>
      <c r="CG24" s="210"/>
      <c r="CH24" s="210"/>
      <c r="CI24" s="210"/>
      <c r="CJ24" s="210"/>
      <c r="CK24" s="210"/>
    </row>
    <row r="25">
      <c r="A25" s="216" t="s">
        <v>534</v>
      </c>
      <c r="B25" s="217" t="s">
        <v>535</v>
      </c>
      <c r="C25" s="218" t="s">
        <v>53</v>
      </c>
      <c r="D25" s="218" t="s">
        <v>847</v>
      </c>
      <c r="E25" s="217" t="s">
        <v>21</v>
      </c>
      <c r="F25" s="13" t="s">
        <v>927</v>
      </c>
      <c r="G25" s="13" t="s">
        <v>918</v>
      </c>
      <c r="H25" s="219">
        <f>IFERROR(
  MINIFS(ATTENDANCE_LOG!$F:$F,
         ATTENDANCE_LOG!$A:$A, C25,
         ATTENDANCE_LOG!$B:$B, E25),
"")</f>
        <v>45715.45833</v>
      </c>
      <c r="I25" s="219">
        <f t="shared" si="2"/>
        <v>45715.45833</v>
      </c>
      <c r="J25" s="190">
        <f>IFERROR(VLOOKUP(F25, LEVEL_HELPER!$A:$B, 2, 0), "")</f>
        <v>1</v>
      </c>
      <c r="K25" s="190">
        <f>IFERROR(VLOOKUP(G25, LEVEL_HELPER!$A:$B, 2, 0), "")</f>
        <v>3</v>
      </c>
      <c r="L25" s="220" t="s">
        <v>919</v>
      </c>
      <c r="M25" s="220" t="s">
        <v>923</v>
      </c>
      <c r="N25" s="190">
        <f t="array" ref="N25">IFERROR(
  INDEX($J$2:$J$543,
    MATCH(A25&amp;TEXT(I25,"yyyy-mm-dd"),
          $A$2:$A$543&amp;TEXT($H$2:$H$543,"yyyy-mm-dd"),
          0)),
"")</f>
        <v>1</v>
      </c>
      <c r="O25" s="210">
        <f t="shared" si="3"/>
        <v>3</v>
      </c>
      <c r="P25" s="210">
        <f t="shared" ref="P25:Q25" si="35">IF(N25="",0,IF(N25&lt;=2,1,IF(N25&lt;=4,2,IF(N25&lt;=5.5,3,4))))</f>
        <v>1</v>
      </c>
      <c r="Q25" s="210">
        <f t="shared" si="35"/>
        <v>2</v>
      </c>
      <c r="R25" s="210" t="str">
        <f t="shared" si="5"/>
        <v>Lv1 → Lv2</v>
      </c>
      <c r="S25" s="210">
        <f t="shared" si="6"/>
        <v>1</v>
      </c>
      <c r="T25" s="210"/>
      <c r="U25" s="210"/>
      <c r="V25" s="211" t="s">
        <v>226</v>
      </c>
      <c r="W25" s="210" t="str">
        <f t="shared" si="7"/>
        <v>DEV</v>
      </c>
      <c r="X25" s="210" t="str">
        <f t="shared" si="8"/>
        <v>DEV, TA</v>
      </c>
      <c r="Y25" s="210" t="str">
        <f t="shared" si="9"/>
        <v>ONC</v>
      </c>
      <c r="Z25" s="210"/>
      <c r="AA25" s="210"/>
      <c r="AB25" s="210"/>
      <c r="AC25" s="210"/>
      <c r="AD25" s="210"/>
      <c r="AE25" s="210"/>
      <c r="AF25" s="210"/>
      <c r="AG25" s="210"/>
      <c r="AH25" s="210"/>
      <c r="AI25" s="210"/>
      <c r="AJ25" s="210"/>
      <c r="AK25" s="210"/>
      <c r="AL25" s="210"/>
      <c r="AM25" s="214"/>
      <c r="AN25" s="211" t="str">
        <f>IFERROR(__xludf.DUMMYFUNCTION("""COMPUTED_VALUE"""),"173246")</f>
        <v>173246</v>
      </c>
      <c r="AO25" s="210" t="str">
        <f t="shared" si="10"/>
        <v>GSD</v>
      </c>
      <c r="AP25" s="210" t="str">
        <f t="shared" si="11"/>
        <v>GSD</v>
      </c>
      <c r="AQ25" s="210" t="str">
        <f t="shared" si="12"/>
        <v>POC</v>
      </c>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c r="BU25" s="210"/>
      <c r="BV25" s="210"/>
      <c r="BW25" s="210"/>
      <c r="BX25" s="210"/>
      <c r="BY25" s="210"/>
      <c r="BZ25" s="210"/>
      <c r="CA25" s="210"/>
      <c r="CB25" s="210"/>
      <c r="CC25" s="210"/>
      <c r="CD25" s="210"/>
      <c r="CE25" s="210"/>
      <c r="CF25" s="210"/>
      <c r="CG25" s="210"/>
      <c r="CH25" s="210"/>
      <c r="CI25" s="210"/>
      <c r="CJ25" s="210"/>
      <c r="CK25" s="210"/>
    </row>
    <row r="26">
      <c r="A26" s="222" t="s">
        <v>325</v>
      </c>
      <c r="B26" s="190" t="s">
        <v>326</v>
      </c>
      <c r="C26" s="223" t="s">
        <v>53</v>
      </c>
      <c r="D26" s="223" t="s">
        <v>847</v>
      </c>
      <c r="E26" s="190" t="s">
        <v>21</v>
      </c>
      <c r="F26" s="13" t="s">
        <v>927</v>
      </c>
      <c r="G26" s="13" t="s">
        <v>927</v>
      </c>
      <c r="H26" s="219">
        <f>IFERROR(
  MINIFS(ATTENDANCE_LOG!$F:$F,
         ATTENDANCE_LOG!$A:$A, C26,
         ATTENDANCE_LOG!$B:$B, E26),
"")</f>
        <v>45715.45833</v>
      </c>
      <c r="I26" s="219">
        <f t="shared" si="2"/>
        <v>45715.45833</v>
      </c>
      <c r="J26" s="190">
        <f>IFERROR(VLOOKUP(F26, LEVEL_HELPER!$A:$B, 2, 0), "")</f>
        <v>1</v>
      </c>
      <c r="K26" s="190">
        <f>IFERROR(VLOOKUP(G26, LEVEL_HELPER!$A:$B, 2, 0), "")</f>
        <v>1</v>
      </c>
      <c r="L26" s="220" t="s">
        <v>945</v>
      </c>
      <c r="M26" s="229" t="s">
        <v>922</v>
      </c>
      <c r="N26" s="190">
        <f t="array" ref="N26">IFERROR(
  INDEX($J$2:$J$543,
    MATCH(A26&amp;TEXT(I26,"yyyy-mm-dd"),
          $A$2:$A$543&amp;TEXT($H$2:$H$543,"yyyy-mm-dd"),
          0)),
"")</f>
        <v>1</v>
      </c>
      <c r="O26" s="210">
        <f t="shared" si="3"/>
        <v>3.5</v>
      </c>
      <c r="P26" s="210">
        <f t="shared" ref="P26:Q26" si="36">IF(N26="",0,IF(N26&lt;=2,1,IF(N26&lt;=4,2,IF(N26&lt;=5.5,3,4))))</f>
        <v>1</v>
      </c>
      <c r="Q26" s="210">
        <f t="shared" si="36"/>
        <v>2</v>
      </c>
      <c r="R26" s="210" t="str">
        <f t="shared" si="5"/>
        <v>Lv1 → Lv2</v>
      </c>
      <c r="S26" s="210">
        <f t="shared" si="6"/>
        <v>1</v>
      </c>
      <c r="T26" s="210"/>
      <c r="U26" s="210"/>
      <c r="V26" s="211" t="s">
        <v>245</v>
      </c>
      <c r="W26" s="210" t="str">
        <f t="shared" si="7"/>
        <v>DEV</v>
      </c>
      <c r="X26" s="210" t="str">
        <f t="shared" si="8"/>
        <v>DEV, TA</v>
      </c>
      <c r="Y26" s="210" t="str">
        <f t="shared" si="9"/>
        <v>ONC</v>
      </c>
      <c r="Z26" s="210"/>
      <c r="AA26" s="210"/>
      <c r="AB26" s="210"/>
      <c r="AC26" s="210"/>
      <c r="AD26" s="210"/>
      <c r="AE26" s="210"/>
      <c r="AF26" s="210"/>
      <c r="AG26" s="210"/>
      <c r="AH26" s="210"/>
      <c r="AI26" s="210"/>
      <c r="AJ26" s="210"/>
      <c r="AK26" s="210"/>
      <c r="AL26" s="210"/>
      <c r="AM26" s="214"/>
      <c r="AN26" s="211" t="str">
        <f>IFERROR(__xludf.DUMMYFUNCTION("""COMPUTED_VALUE"""),"173230")</f>
        <v>173230</v>
      </c>
      <c r="AO26" s="210" t="str">
        <f t="shared" si="10"/>
        <v>QC</v>
      </c>
      <c r="AP26" s="210" t="str">
        <f t="shared" si="11"/>
        <v>QC</v>
      </c>
      <c r="AQ26" s="210" t="str">
        <f t="shared" si="12"/>
        <v>POC</v>
      </c>
      <c r="AR26" s="210"/>
      <c r="AS26" s="210"/>
      <c r="AT26" s="210"/>
      <c r="AU26" s="210"/>
      <c r="AV26" s="210"/>
      <c r="AW26" s="210"/>
      <c r="AX26" s="210"/>
      <c r="AY26" s="210"/>
      <c r="AZ26" s="210"/>
      <c r="BA26" s="210"/>
      <c r="BB26" s="210"/>
      <c r="BC26" s="210"/>
      <c r="BD26" s="210"/>
      <c r="BE26" s="210"/>
      <c r="BF26" s="210"/>
      <c r="BG26" s="210"/>
      <c r="BH26" s="210"/>
      <c r="BI26" s="210"/>
      <c r="BJ26" s="210"/>
      <c r="BK26" s="210"/>
      <c r="BL26" s="210"/>
      <c r="BM26" s="210"/>
      <c r="BN26" s="210"/>
      <c r="BO26" s="210"/>
      <c r="BP26" s="210"/>
      <c r="BQ26" s="210"/>
      <c r="BR26" s="210"/>
      <c r="BS26" s="210"/>
      <c r="BT26" s="210"/>
      <c r="BU26" s="210"/>
      <c r="BV26" s="210"/>
      <c r="BW26" s="210"/>
      <c r="BX26" s="210"/>
      <c r="BY26" s="210"/>
      <c r="BZ26" s="210"/>
      <c r="CA26" s="210"/>
      <c r="CB26" s="210"/>
      <c r="CC26" s="210"/>
      <c r="CD26" s="210"/>
      <c r="CE26" s="210"/>
      <c r="CF26" s="210"/>
      <c r="CG26" s="210"/>
      <c r="CH26" s="210"/>
      <c r="CI26" s="210"/>
      <c r="CJ26" s="210"/>
      <c r="CK26" s="210"/>
    </row>
    <row r="27">
      <c r="A27" s="222" t="s">
        <v>415</v>
      </c>
      <c r="B27" s="190" t="s">
        <v>416</v>
      </c>
      <c r="C27" s="223" t="s">
        <v>53</v>
      </c>
      <c r="D27" s="223" t="s">
        <v>847</v>
      </c>
      <c r="E27" s="190" t="s">
        <v>21</v>
      </c>
      <c r="F27" s="13" t="s">
        <v>927</v>
      </c>
      <c r="G27" s="13" t="s">
        <v>927</v>
      </c>
      <c r="H27" s="219">
        <f>IFERROR(
  MINIFS(ATTENDANCE_LOG!$F:$F,
         ATTENDANCE_LOG!$A:$A, C27,
         ATTENDANCE_LOG!$B:$B, E27),
"")</f>
        <v>45715.45833</v>
      </c>
      <c r="I27" s="219">
        <f t="shared" si="2"/>
        <v>45715.45833</v>
      </c>
      <c r="J27" s="190">
        <f>IFERROR(VLOOKUP(F27, LEVEL_HELPER!$A:$B, 2, 0), "")</f>
        <v>1</v>
      </c>
      <c r="K27" s="190">
        <f>IFERROR(VLOOKUP(G27, LEVEL_HELPER!$A:$B, 2, 0), "")</f>
        <v>1</v>
      </c>
      <c r="L27" s="220" t="s">
        <v>919</v>
      </c>
      <c r="M27" s="229" t="s">
        <v>922</v>
      </c>
      <c r="N27" s="190">
        <f t="array" ref="N27">IFERROR(
  INDEX($J$2:$J$543,
    MATCH(A27&amp;TEXT(I27,"yyyy-mm-dd"),
          $A$2:$A$543&amp;TEXT($H$2:$H$543,"yyyy-mm-dd"),
          0)),
"")</f>
        <v>1</v>
      </c>
      <c r="O27" s="210">
        <f t="shared" si="3"/>
        <v>1</v>
      </c>
      <c r="P27" s="210">
        <f t="shared" ref="P27:Q27" si="37">IF(N27="",0,IF(N27&lt;=2,1,IF(N27&lt;=4,2,IF(N27&lt;=5.5,3,4))))</f>
        <v>1</v>
      </c>
      <c r="Q27" s="210">
        <f t="shared" si="37"/>
        <v>1</v>
      </c>
      <c r="R27" s="210" t="str">
        <f t="shared" si="5"/>
        <v>No Progress</v>
      </c>
      <c r="S27" s="210">
        <f t="shared" si="6"/>
        <v>1</v>
      </c>
      <c r="T27" s="210"/>
      <c r="U27" s="210"/>
      <c r="V27" s="211" t="s">
        <v>352</v>
      </c>
      <c r="W27" s="210" t="str">
        <f t="shared" si="7"/>
        <v>DEV</v>
      </c>
      <c r="X27" s="210" t="str">
        <f t="shared" si="8"/>
        <v>DEV, TA</v>
      </c>
      <c r="Y27" s="210" t="str">
        <f t="shared" si="9"/>
        <v>ONC</v>
      </c>
      <c r="Z27" s="210"/>
      <c r="AA27" s="210"/>
      <c r="AB27" s="210"/>
      <c r="AC27" s="210"/>
      <c r="AD27" s="210"/>
      <c r="AE27" s="210"/>
      <c r="AF27" s="210"/>
      <c r="AG27" s="210"/>
      <c r="AH27" s="210"/>
      <c r="AI27" s="210"/>
      <c r="AJ27" s="210"/>
      <c r="AK27" s="210"/>
      <c r="AL27" s="210"/>
      <c r="AM27" s="214"/>
      <c r="AN27" s="211" t="str">
        <f>IFERROR(__xludf.DUMMYFUNCTION("""COMPUTED_VALUE"""),"183422")</f>
        <v>183422</v>
      </c>
      <c r="AO27" s="210" t="str">
        <f t="shared" si="10"/>
        <v>DEV</v>
      </c>
      <c r="AP27" s="210" t="str">
        <f t="shared" si="11"/>
        <v>DEV, TA</v>
      </c>
      <c r="AQ27" s="210" t="str">
        <f t="shared" si="12"/>
        <v>ONC</v>
      </c>
      <c r="AR27" s="210"/>
      <c r="AS27" s="210"/>
      <c r="AT27" s="210"/>
      <c r="AU27" s="210"/>
      <c r="AV27" s="210"/>
      <c r="AW27" s="210"/>
      <c r="AX27" s="210"/>
      <c r="AY27" s="210"/>
      <c r="AZ27" s="210"/>
      <c r="BA27" s="210"/>
      <c r="BB27" s="210"/>
      <c r="BC27" s="210"/>
      <c r="BD27" s="210"/>
      <c r="BE27" s="210"/>
      <c r="BF27" s="210"/>
      <c r="BG27" s="210"/>
      <c r="BH27" s="210"/>
      <c r="BI27" s="210"/>
      <c r="BJ27" s="210"/>
      <c r="BK27" s="210"/>
      <c r="BL27" s="210"/>
      <c r="BM27" s="210"/>
      <c r="BN27" s="210"/>
      <c r="BO27" s="210"/>
      <c r="BP27" s="210"/>
      <c r="BQ27" s="210"/>
      <c r="BR27" s="210"/>
      <c r="BS27" s="210"/>
      <c r="BT27" s="210"/>
      <c r="BU27" s="210"/>
      <c r="BV27" s="210"/>
      <c r="BW27" s="210"/>
      <c r="BX27" s="210"/>
      <c r="BY27" s="210"/>
      <c r="BZ27" s="210"/>
      <c r="CA27" s="210"/>
      <c r="CB27" s="210"/>
      <c r="CC27" s="210"/>
      <c r="CD27" s="210"/>
      <c r="CE27" s="210"/>
      <c r="CF27" s="210"/>
      <c r="CG27" s="210"/>
      <c r="CH27" s="210"/>
      <c r="CI27" s="210"/>
      <c r="CJ27" s="210"/>
      <c r="CK27" s="210"/>
    </row>
    <row r="28">
      <c r="A28" s="222" t="s">
        <v>461</v>
      </c>
      <c r="B28" s="190" t="s">
        <v>462</v>
      </c>
      <c r="C28" s="223" t="s">
        <v>53</v>
      </c>
      <c r="D28" s="223" t="s">
        <v>847</v>
      </c>
      <c r="E28" s="190" t="s">
        <v>21</v>
      </c>
      <c r="F28" s="13" t="s">
        <v>927</v>
      </c>
      <c r="G28" s="13" t="s">
        <v>927</v>
      </c>
      <c r="H28" s="219">
        <f>IFERROR(
  MINIFS(ATTENDANCE_LOG!$F:$F,
         ATTENDANCE_LOG!$A:$A, C28,
         ATTENDANCE_LOG!$B:$B, E28),
"")</f>
        <v>45715.45833</v>
      </c>
      <c r="I28" s="219">
        <f t="shared" si="2"/>
        <v>45715.45833</v>
      </c>
      <c r="J28" s="190">
        <f>IFERROR(VLOOKUP(F28, LEVEL_HELPER!$A:$B, 2, 0), "")</f>
        <v>1</v>
      </c>
      <c r="K28" s="190">
        <f>IFERROR(VLOOKUP(G28, LEVEL_HELPER!$A:$B, 2, 0), "")</f>
        <v>1</v>
      </c>
      <c r="L28" s="220" t="s">
        <v>919</v>
      </c>
      <c r="M28" s="220" t="s">
        <v>923</v>
      </c>
      <c r="N28" s="190">
        <f t="array" ref="N28">IFERROR(
  INDEX($J$2:$J$543,
    MATCH(A28&amp;TEXT(I28,"yyyy-mm-dd"),
          $A$2:$A$543&amp;TEXT($H$2:$H$543,"yyyy-mm-dd"),
          0)),
"")</f>
        <v>1</v>
      </c>
      <c r="O28" s="210">
        <f t="shared" si="3"/>
        <v>3.5</v>
      </c>
      <c r="P28" s="210">
        <f t="shared" ref="P28:Q28" si="38">IF(N28="",0,IF(N28&lt;=2,1,IF(N28&lt;=4,2,IF(N28&lt;=5.5,3,4))))</f>
        <v>1</v>
      </c>
      <c r="Q28" s="210">
        <f t="shared" si="38"/>
        <v>2</v>
      </c>
      <c r="R28" s="210" t="str">
        <f t="shared" si="5"/>
        <v>Lv1 → Lv2</v>
      </c>
      <c r="S28" s="210">
        <f t="shared" si="6"/>
        <v>1</v>
      </c>
      <c r="T28" s="210"/>
      <c r="U28" s="210"/>
      <c r="V28" s="211" t="s">
        <v>553</v>
      </c>
      <c r="W28" s="210" t="str">
        <f t="shared" si="7"/>
        <v>DEV</v>
      </c>
      <c r="X28" s="210" t="str">
        <f t="shared" si="8"/>
        <v>DEV, TA</v>
      </c>
      <c r="Y28" s="210" t="str">
        <f t="shared" si="9"/>
        <v>ONC</v>
      </c>
      <c r="Z28" s="210"/>
      <c r="AA28" s="210"/>
      <c r="AB28" s="210"/>
      <c r="AC28" s="210"/>
      <c r="AD28" s="210"/>
      <c r="AE28" s="210"/>
      <c r="AF28" s="210"/>
      <c r="AG28" s="210"/>
      <c r="AH28" s="210"/>
      <c r="AI28" s="210"/>
      <c r="AJ28" s="210"/>
      <c r="AK28" s="210"/>
      <c r="AL28" s="210"/>
      <c r="AM28" s="214"/>
      <c r="AN28" s="211" t="str">
        <f>IFERROR(__xludf.DUMMYFUNCTION("""COMPUTED_VALUE"""),"213889")</f>
        <v>213889</v>
      </c>
      <c r="AO28" s="210" t="str">
        <f t="shared" si="10"/>
        <v>DEV</v>
      </c>
      <c r="AP28" s="210" t="str">
        <f t="shared" si="11"/>
        <v>DEV, TA</v>
      </c>
      <c r="AQ28" s="210" t="str">
        <f t="shared" si="12"/>
        <v>MOC</v>
      </c>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c r="BU28" s="210"/>
      <c r="BV28" s="210"/>
      <c r="BW28" s="210"/>
      <c r="BX28" s="210"/>
      <c r="BY28" s="210"/>
      <c r="BZ28" s="210"/>
      <c r="CA28" s="210"/>
      <c r="CB28" s="210"/>
      <c r="CC28" s="210"/>
      <c r="CD28" s="210"/>
      <c r="CE28" s="210"/>
      <c r="CF28" s="210"/>
      <c r="CG28" s="210"/>
      <c r="CH28" s="210"/>
      <c r="CI28" s="210"/>
      <c r="CJ28" s="210"/>
      <c r="CK28" s="210"/>
    </row>
    <row r="29">
      <c r="A29" s="222" t="s">
        <v>560</v>
      </c>
      <c r="B29" s="190" t="s">
        <v>561</v>
      </c>
      <c r="C29" s="223" t="s">
        <v>53</v>
      </c>
      <c r="D29" s="223" t="s">
        <v>847</v>
      </c>
      <c r="E29" s="190" t="s">
        <v>21</v>
      </c>
      <c r="F29" s="13" t="s">
        <v>927</v>
      </c>
      <c r="G29" s="13" t="s">
        <v>927</v>
      </c>
      <c r="H29" s="219">
        <f>IFERROR(
  MINIFS(ATTENDANCE_LOG!$F:$F,
         ATTENDANCE_LOG!$A:$A, C29,
         ATTENDANCE_LOG!$B:$B, E29),
"")</f>
        <v>45715.45833</v>
      </c>
      <c r="I29" s="219">
        <f t="shared" si="2"/>
        <v>45715.45833</v>
      </c>
      <c r="J29" s="190">
        <f>IFERROR(VLOOKUP(F29, LEVEL_HELPER!$A:$B, 2, 0), "")</f>
        <v>1</v>
      </c>
      <c r="K29" s="190">
        <f>IFERROR(VLOOKUP(G29, LEVEL_HELPER!$A:$B, 2, 0), "")</f>
        <v>1</v>
      </c>
      <c r="L29" s="220" t="s">
        <v>919</v>
      </c>
      <c r="M29" s="229" t="s">
        <v>922</v>
      </c>
      <c r="N29" s="190">
        <f t="array" ref="N29">IFERROR(
  INDEX($J$2:$J$543,
    MATCH(A29&amp;TEXT(I29,"yyyy-mm-dd"),
          $A$2:$A$543&amp;TEXT($H$2:$H$543,"yyyy-mm-dd"),
          0)),
"")</f>
        <v>1</v>
      </c>
      <c r="O29" s="210">
        <f t="shared" si="3"/>
        <v>1</v>
      </c>
      <c r="P29" s="210">
        <f t="shared" ref="P29:Q29" si="39">IF(N29="",0,IF(N29&lt;=2,1,IF(N29&lt;=4,2,IF(N29&lt;=5.5,3,4))))</f>
        <v>1</v>
      </c>
      <c r="Q29" s="210">
        <f t="shared" si="39"/>
        <v>1</v>
      </c>
      <c r="R29" s="210" t="str">
        <f t="shared" si="5"/>
        <v>No Progress</v>
      </c>
      <c r="S29" s="210">
        <f t="shared" si="6"/>
        <v>1</v>
      </c>
      <c r="T29" s="210"/>
      <c r="U29" s="210"/>
      <c r="V29" s="211" t="s">
        <v>617</v>
      </c>
      <c r="W29" s="210" t="str">
        <f t="shared" si="7"/>
        <v>DEV</v>
      </c>
      <c r="X29" s="210" t="str">
        <f t="shared" si="8"/>
        <v>DEV, TA</v>
      </c>
      <c r="Y29" s="210" t="str">
        <f t="shared" si="9"/>
        <v>ONC</v>
      </c>
      <c r="Z29" s="210"/>
      <c r="AA29" s="210"/>
      <c r="AB29" s="210"/>
      <c r="AC29" s="210"/>
      <c r="AD29" s="210"/>
      <c r="AE29" s="210"/>
      <c r="AF29" s="210"/>
      <c r="AG29" s="210"/>
      <c r="AH29" s="210"/>
      <c r="AI29" s="210"/>
      <c r="AJ29" s="210"/>
      <c r="AK29" s="210"/>
      <c r="AL29" s="210"/>
      <c r="AM29" s="214"/>
      <c r="AN29" s="211" t="str">
        <f>IFERROR(__xludf.DUMMYFUNCTION("""COMPUTED_VALUE"""),"163188")</f>
        <v>163188</v>
      </c>
      <c r="AO29" s="210" t="str">
        <f t="shared" si="10"/>
        <v>DEV</v>
      </c>
      <c r="AP29" s="210" t="str">
        <f t="shared" si="11"/>
        <v>DEV, TA</v>
      </c>
      <c r="AQ29" s="210" t="str">
        <f t="shared" si="12"/>
        <v>MOC</v>
      </c>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c r="BU29" s="210"/>
      <c r="BV29" s="210"/>
      <c r="BW29" s="210"/>
      <c r="BX29" s="210"/>
      <c r="BY29" s="210"/>
      <c r="BZ29" s="210"/>
      <c r="CA29" s="210"/>
      <c r="CB29" s="210"/>
      <c r="CC29" s="210"/>
      <c r="CD29" s="210"/>
      <c r="CE29" s="210"/>
      <c r="CF29" s="210"/>
      <c r="CG29" s="210"/>
      <c r="CH29" s="210"/>
      <c r="CI29" s="210"/>
      <c r="CJ29" s="210"/>
      <c r="CK29" s="210"/>
    </row>
    <row r="30">
      <c r="A30" s="230" t="s">
        <v>399</v>
      </c>
      <c r="B30" s="13" t="s">
        <v>400</v>
      </c>
      <c r="C30" s="223" t="s">
        <v>53</v>
      </c>
      <c r="D30" s="223" t="s">
        <v>847</v>
      </c>
      <c r="E30" s="190" t="s">
        <v>21</v>
      </c>
      <c r="F30" s="13" t="s">
        <v>917</v>
      </c>
      <c r="G30" s="13" t="s">
        <v>935</v>
      </c>
      <c r="H30" s="219">
        <f>IFERROR(
  MINIFS(ATTENDANCE_LOG!$F:$F,
         ATTENDANCE_LOG!$A:$A, C30,
         ATTENDANCE_LOG!$B:$B, E30),
"")</f>
        <v>45715.45833</v>
      </c>
      <c r="I30" s="219">
        <f t="shared" si="2"/>
        <v>45715.45833</v>
      </c>
      <c r="J30" s="190">
        <f>IFERROR(VLOOKUP(F30, LEVEL_HELPER!$A:$B, 2, 0), "")</f>
        <v>2.5</v>
      </c>
      <c r="K30" s="190">
        <f>IFERROR(VLOOKUP(G30, LEVEL_HELPER!$A:$B, 2, 0), "")</f>
        <v>3.5</v>
      </c>
      <c r="L30" s="220" t="s">
        <v>945</v>
      </c>
      <c r="M30" s="220" t="s">
        <v>923</v>
      </c>
      <c r="N30" s="190">
        <f t="array" ref="N30">IFERROR(
  INDEX($J$2:$J$543,
    MATCH(A30&amp;TEXT(I30,"yyyy-mm-dd"),
          $A$2:$A$543&amp;TEXT($H$2:$H$543,"yyyy-mm-dd"),
          0)),
"")</f>
        <v>2.5</v>
      </c>
      <c r="O30" s="210">
        <f t="shared" si="3"/>
        <v>3.5</v>
      </c>
      <c r="P30" s="210">
        <f t="shared" ref="P30:Q30" si="40">IF(N30="",0,IF(N30&lt;=2,1,IF(N30&lt;=4,2,IF(N30&lt;=5.5,3,4))))</f>
        <v>2</v>
      </c>
      <c r="Q30" s="210">
        <f t="shared" si="40"/>
        <v>2</v>
      </c>
      <c r="R30" s="210" t="str">
        <f t="shared" si="5"/>
        <v>Progress within level</v>
      </c>
      <c r="S30" s="210">
        <f t="shared" si="6"/>
        <v>1</v>
      </c>
      <c r="T30" s="210"/>
      <c r="U30" s="210"/>
      <c r="V30" s="211" t="s">
        <v>695</v>
      </c>
      <c r="W30" s="210" t="str">
        <f t="shared" si="7"/>
        <v>DEV</v>
      </c>
      <c r="X30" s="210" t="str">
        <f t="shared" si="8"/>
        <v>DEV, TA</v>
      </c>
      <c r="Y30" s="210" t="str">
        <f t="shared" si="9"/>
        <v>ONC</v>
      </c>
      <c r="Z30" s="210"/>
      <c r="AA30" s="210"/>
      <c r="AB30" s="210"/>
      <c r="AC30" s="210"/>
      <c r="AD30" s="210"/>
      <c r="AE30" s="210"/>
      <c r="AF30" s="210"/>
      <c r="AG30" s="210"/>
      <c r="AH30" s="210"/>
      <c r="AI30" s="210"/>
      <c r="AJ30" s="210"/>
      <c r="AK30" s="210"/>
      <c r="AL30" s="210"/>
      <c r="AM30" s="214"/>
      <c r="AN30" s="211" t="str">
        <f>IFERROR(__xludf.DUMMYFUNCTION("""COMPUTED_VALUE"""),"133051")</f>
        <v>133051</v>
      </c>
      <c r="AO30" s="210" t="str">
        <f t="shared" si="10"/>
        <v>DEV</v>
      </c>
      <c r="AP30" s="210" t="str">
        <f t="shared" si="11"/>
        <v>DEV, TA</v>
      </c>
      <c r="AQ30" s="210" t="str">
        <f t="shared" si="12"/>
        <v>TBU</v>
      </c>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c r="BU30" s="210"/>
      <c r="BV30" s="210"/>
      <c r="BW30" s="210"/>
      <c r="BX30" s="210"/>
      <c r="BY30" s="210"/>
      <c r="BZ30" s="210"/>
      <c r="CA30" s="210"/>
      <c r="CB30" s="210"/>
      <c r="CC30" s="210"/>
      <c r="CD30" s="210"/>
      <c r="CE30" s="210"/>
      <c r="CF30" s="210"/>
      <c r="CG30" s="210"/>
      <c r="CH30" s="210"/>
      <c r="CI30" s="210"/>
      <c r="CJ30" s="210"/>
      <c r="CK30" s="210"/>
    </row>
    <row r="31">
      <c r="A31" s="216" t="s">
        <v>510</v>
      </c>
      <c r="B31" s="217" t="s">
        <v>511</v>
      </c>
      <c r="C31" s="218" t="s">
        <v>54</v>
      </c>
      <c r="D31" s="218" t="s">
        <v>848</v>
      </c>
      <c r="E31" s="217" t="s">
        <v>21</v>
      </c>
      <c r="F31" s="13" t="s">
        <v>917</v>
      </c>
      <c r="G31" s="13" t="s">
        <v>935</v>
      </c>
      <c r="H31" s="219">
        <f>IFERROR(
  MINIFS(ATTENDANCE_LOG!$F:$F,
         ATTENDANCE_LOG!$A:$A, C31,
         ATTENDANCE_LOG!$B:$B, E31),
"")</f>
        <v>45639.58333</v>
      </c>
      <c r="I31" s="219">
        <f t="shared" si="2"/>
        <v>45639.58333</v>
      </c>
      <c r="J31" s="190">
        <f>IFERROR(VLOOKUP(F31, LEVEL_HELPER!$A:$B, 2, 0), "")</f>
        <v>2.5</v>
      </c>
      <c r="K31" s="190">
        <f>IFERROR(VLOOKUP(G31, LEVEL_HELPER!$A:$B, 2, 0), "")</f>
        <v>3.5</v>
      </c>
      <c r="L31" s="229" t="s">
        <v>943</v>
      </c>
      <c r="M31" s="220" t="s">
        <v>925</v>
      </c>
      <c r="N31" s="190">
        <f t="array" ref="N31">IFERROR(
  INDEX($J$2:$J$543,
    MATCH(A31&amp;TEXT(I31,"yyyy-mm-dd"),
          $A$2:$A$543&amp;TEXT($H$2:$H$543,"yyyy-mm-dd"),
          0)),
"")</f>
        <v>2.5</v>
      </c>
      <c r="O31" s="210">
        <f t="shared" si="3"/>
        <v>5</v>
      </c>
      <c r="P31" s="210">
        <f t="shared" ref="P31:Q31" si="41">IF(N31="",0,IF(N31&lt;=2,1,IF(N31&lt;=4,2,IF(N31&lt;=5.5,3,4))))</f>
        <v>2</v>
      </c>
      <c r="Q31" s="210">
        <f t="shared" si="41"/>
        <v>3</v>
      </c>
      <c r="R31" s="210" t="str">
        <f t="shared" si="5"/>
        <v>Lv2 → Lv3</v>
      </c>
      <c r="S31" s="210">
        <f t="shared" si="6"/>
        <v>1</v>
      </c>
      <c r="T31" s="210"/>
      <c r="U31" s="210"/>
      <c r="V31" s="211" t="s">
        <v>330</v>
      </c>
      <c r="W31" s="210" t="str">
        <f t="shared" si="7"/>
        <v>DEV</v>
      </c>
      <c r="X31" s="210" t="str">
        <f t="shared" si="8"/>
        <v>DEV, TA</v>
      </c>
      <c r="Y31" s="210" t="str">
        <f t="shared" si="9"/>
        <v>LBU</v>
      </c>
      <c r="Z31" s="210"/>
      <c r="AC31" s="231"/>
      <c r="AD31" s="210"/>
      <c r="AE31" s="210"/>
      <c r="AF31" s="210"/>
      <c r="AG31" s="210"/>
      <c r="AH31" s="210"/>
      <c r="AI31" s="210"/>
      <c r="AJ31" s="210"/>
      <c r="AK31" s="210"/>
      <c r="AL31" s="210"/>
      <c r="AM31" s="214"/>
      <c r="AN31" s="211" t="str">
        <f>IFERROR(__xludf.DUMMYFUNCTION("""COMPUTED_VALUE"""),"143079")</f>
        <v>143079</v>
      </c>
      <c r="AO31" s="210" t="str">
        <f t="shared" si="10"/>
        <v>QC</v>
      </c>
      <c r="AP31" s="210" t="str">
        <f t="shared" si="11"/>
        <v>QC</v>
      </c>
      <c r="AQ31" s="210" t="str">
        <f t="shared" si="12"/>
        <v>POC</v>
      </c>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c r="BU31" s="210"/>
      <c r="BV31" s="210"/>
      <c r="BW31" s="210"/>
      <c r="BX31" s="210"/>
      <c r="BY31" s="210"/>
      <c r="BZ31" s="210"/>
      <c r="CA31" s="210"/>
      <c r="CB31" s="210"/>
      <c r="CC31" s="210"/>
      <c r="CD31" s="210"/>
      <c r="CE31" s="210"/>
      <c r="CF31" s="210"/>
      <c r="CG31" s="210"/>
      <c r="CH31" s="210"/>
      <c r="CI31" s="210"/>
      <c r="CJ31" s="210"/>
      <c r="CK31" s="210"/>
    </row>
    <row r="32">
      <c r="A32" s="222" t="s">
        <v>144</v>
      </c>
      <c r="B32" s="190" t="s">
        <v>145</v>
      </c>
      <c r="C32" s="223" t="s">
        <v>54</v>
      </c>
      <c r="D32" s="223" t="s">
        <v>848</v>
      </c>
      <c r="E32" s="190" t="s">
        <v>21</v>
      </c>
      <c r="F32" s="13" t="s">
        <v>927</v>
      </c>
      <c r="G32" s="13" t="s">
        <v>927</v>
      </c>
      <c r="H32" s="219">
        <f>IFERROR(
  MINIFS(ATTENDANCE_LOG!$F:$F,
         ATTENDANCE_LOG!$A:$A, C32,
         ATTENDANCE_LOG!$B:$B, E32),
"")</f>
        <v>45639.58333</v>
      </c>
      <c r="I32" s="219">
        <f t="shared" si="2"/>
        <v>45639.58333</v>
      </c>
      <c r="J32" s="190">
        <f>IFERROR(VLOOKUP(F32, LEVEL_HELPER!$A:$B, 2, 0), "")</f>
        <v>1</v>
      </c>
      <c r="K32" s="190">
        <f>IFERROR(VLOOKUP(G32, LEVEL_HELPER!$A:$B, 2, 0), "")</f>
        <v>1</v>
      </c>
      <c r="L32" s="220" t="s">
        <v>943</v>
      </c>
      <c r="M32" s="220" t="s">
        <v>925</v>
      </c>
      <c r="N32" s="190">
        <f t="array" ref="N32">IFERROR(
  INDEX($J$2:$J$543,
    MATCH(A32&amp;TEXT(I32,"yyyy-mm-dd"),
          $A$2:$A$543&amp;TEXT($H$2:$H$543,"yyyy-mm-dd"),
          0)),
"")</f>
        <v>1</v>
      </c>
      <c r="O32" s="210">
        <f t="shared" si="3"/>
        <v>3.5</v>
      </c>
      <c r="P32" s="210">
        <f t="shared" ref="P32:Q32" si="42">IF(N32="",0,IF(N32&lt;=2,1,IF(N32&lt;=4,2,IF(N32&lt;=5.5,3,4))))</f>
        <v>1</v>
      </c>
      <c r="Q32" s="210">
        <f t="shared" si="42"/>
        <v>2</v>
      </c>
      <c r="R32" s="210" t="str">
        <f t="shared" si="5"/>
        <v>Lv1 → Lv2</v>
      </c>
      <c r="S32" s="210">
        <f t="shared" si="6"/>
        <v>1</v>
      </c>
      <c r="T32" s="210"/>
      <c r="U32" s="210"/>
      <c r="V32" s="211" t="s">
        <v>294</v>
      </c>
      <c r="W32" s="210" t="str">
        <f t="shared" si="7"/>
        <v>GSD</v>
      </c>
      <c r="X32" s="210" t="str">
        <f t="shared" si="8"/>
        <v>GSD</v>
      </c>
      <c r="Y32" s="210" t="str">
        <f t="shared" si="9"/>
        <v>LBU</v>
      </c>
      <c r="Z32" s="210"/>
      <c r="AC32" s="210"/>
      <c r="AD32" s="210"/>
      <c r="AE32" s="210"/>
      <c r="AF32" s="210"/>
      <c r="AG32" s="210"/>
      <c r="AH32" s="210"/>
      <c r="AI32" s="210"/>
      <c r="AJ32" s="210"/>
      <c r="AK32" s="210"/>
      <c r="AL32" s="210"/>
      <c r="AM32" s="214"/>
      <c r="AN32" s="211" t="str">
        <f>IFERROR(__xludf.DUMMYFUNCTION("""COMPUTED_VALUE"""),"237035")</f>
        <v>237035</v>
      </c>
      <c r="AO32" s="210" t="str">
        <f t="shared" si="10"/>
        <v>DEV</v>
      </c>
      <c r="AP32" s="210" t="str">
        <f t="shared" si="11"/>
        <v>DEV, TA</v>
      </c>
      <c r="AQ32" s="210" t="str">
        <f t="shared" si="12"/>
        <v>ONC</v>
      </c>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c r="BU32" s="210"/>
      <c r="BV32" s="210"/>
      <c r="BW32" s="210"/>
      <c r="BX32" s="210"/>
      <c r="BY32" s="210"/>
      <c r="BZ32" s="210"/>
      <c r="CA32" s="210"/>
      <c r="CB32" s="210"/>
      <c r="CC32" s="210"/>
      <c r="CD32" s="210"/>
      <c r="CE32" s="210"/>
      <c r="CF32" s="210"/>
      <c r="CG32" s="210"/>
      <c r="CH32" s="210"/>
      <c r="CI32" s="210"/>
      <c r="CJ32" s="210"/>
      <c r="CK32" s="210"/>
    </row>
    <row r="33">
      <c r="A33" s="222" t="s">
        <v>155</v>
      </c>
      <c r="B33" s="190" t="s">
        <v>156</v>
      </c>
      <c r="C33" s="223" t="s">
        <v>54</v>
      </c>
      <c r="D33" s="223" t="s">
        <v>848</v>
      </c>
      <c r="E33" s="190" t="s">
        <v>21</v>
      </c>
      <c r="F33" s="13" t="s">
        <v>927</v>
      </c>
      <c r="G33" s="13" t="s">
        <v>941</v>
      </c>
      <c r="H33" s="219">
        <f>IFERROR(
  MINIFS(ATTENDANCE_LOG!$F:$F,
         ATTENDANCE_LOG!$A:$A, C33,
         ATTENDANCE_LOG!$B:$B, E33),
"")</f>
        <v>45639.58333</v>
      </c>
      <c r="I33" s="219">
        <f t="shared" si="2"/>
        <v>45639.58333</v>
      </c>
      <c r="J33" s="190">
        <f>IFERROR(VLOOKUP(F33, LEVEL_HELPER!$A:$B, 2, 0), "")</f>
        <v>1</v>
      </c>
      <c r="K33" s="190">
        <f>IFERROR(VLOOKUP(G33, LEVEL_HELPER!$A:$B, 2, 0), "")</f>
        <v>5</v>
      </c>
      <c r="L33" s="220" t="s">
        <v>943</v>
      </c>
      <c r="M33" s="220" t="s">
        <v>925</v>
      </c>
      <c r="N33" s="190">
        <f t="array" ref="N33">IFERROR(
  INDEX($J$2:$J$543,
    MATCH(A33&amp;TEXT(I33,"yyyy-mm-dd"),
          $A$2:$A$543&amp;TEXT($H$2:$H$543,"yyyy-mm-dd"),
          0)),
"")</f>
        <v>1</v>
      </c>
      <c r="O33" s="210">
        <f t="shared" si="3"/>
        <v>5</v>
      </c>
      <c r="P33" s="210">
        <f t="shared" ref="P33:Q33" si="43">IF(N33="",0,IF(N33&lt;=2,1,IF(N33&lt;=4,2,IF(N33&lt;=5.5,3,4))))</f>
        <v>1</v>
      </c>
      <c r="Q33" s="210">
        <f t="shared" si="43"/>
        <v>3</v>
      </c>
      <c r="R33" s="210" t="str">
        <f t="shared" si="5"/>
        <v>Lv1 → Lv3 (multi)</v>
      </c>
      <c r="S33" s="210">
        <f t="shared" si="6"/>
        <v>1</v>
      </c>
      <c r="T33" s="210"/>
      <c r="U33" s="210"/>
      <c r="V33" s="211" t="s">
        <v>411</v>
      </c>
      <c r="W33" s="210" t="str">
        <f t="shared" si="7"/>
        <v>GSD</v>
      </c>
      <c r="X33" s="210" t="str">
        <f t="shared" si="8"/>
        <v>GSD</v>
      </c>
      <c r="Y33" s="210" t="str">
        <f t="shared" si="9"/>
        <v>LBU</v>
      </c>
      <c r="Z33" s="210"/>
      <c r="AC33" s="210"/>
      <c r="AD33" s="210"/>
      <c r="AE33" s="210"/>
      <c r="AF33" s="210"/>
      <c r="AG33" s="210"/>
      <c r="AH33" s="210"/>
      <c r="AI33" s="210"/>
      <c r="AJ33" s="210"/>
      <c r="AK33" s="210"/>
      <c r="AL33" s="210"/>
      <c r="AM33" s="214"/>
      <c r="AN33" s="211" t="str">
        <f>IFERROR(__xludf.DUMMYFUNCTION("""COMPUTED_VALUE"""),"247413")</f>
        <v>247413</v>
      </c>
      <c r="AO33" s="210" t="str">
        <f t="shared" si="10"/>
        <v>DEV</v>
      </c>
      <c r="AP33" s="210" t="str">
        <f t="shared" si="11"/>
        <v>DEV, TA</v>
      </c>
      <c r="AQ33" s="210" t="str">
        <f t="shared" si="12"/>
        <v>CHORUS</v>
      </c>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c r="BU33" s="210"/>
      <c r="BV33" s="210"/>
      <c r="BW33" s="210"/>
      <c r="BX33" s="210"/>
      <c r="BY33" s="210"/>
      <c r="BZ33" s="210"/>
      <c r="CA33" s="210"/>
      <c r="CB33" s="210"/>
      <c r="CC33" s="210"/>
      <c r="CD33" s="210"/>
      <c r="CE33" s="210"/>
      <c r="CF33" s="210"/>
      <c r="CG33" s="210"/>
      <c r="CH33" s="210"/>
      <c r="CI33" s="210"/>
      <c r="CJ33" s="210"/>
      <c r="CK33" s="210"/>
    </row>
    <row r="34">
      <c r="A34" s="222" t="s">
        <v>226</v>
      </c>
      <c r="B34" s="190" t="s">
        <v>227</v>
      </c>
      <c r="C34" s="223" t="s">
        <v>54</v>
      </c>
      <c r="D34" s="223" t="s">
        <v>848</v>
      </c>
      <c r="E34" s="190" t="s">
        <v>21</v>
      </c>
      <c r="F34" s="13" t="s">
        <v>927</v>
      </c>
      <c r="G34" s="13" t="s">
        <v>929</v>
      </c>
      <c r="H34" s="219">
        <f>IFERROR(
  MINIFS(ATTENDANCE_LOG!$F:$F,
         ATTENDANCE_LOG!$A:$A, C34,
         ATTENDANCE_LOG!$B:$B, E34),
"")</f>
        <v>45639.58333</v>
      </c>
      <c r="I34" s="219">
        <f t="shared" si="2"/>
        <v>45639.58333</v>
      </c>
      <c r="J34" s="190">
        <f>IFERROR(VLOOKUP(F34, LEVEL_HELPER!$A:$B, 2, 0), "")</f>
        <v>1</v>
      </c>
      <c r="K34" s="190">
        <f>IFERROR(VLOOKUP(G34, LEVEL_HELPER!$A:$B, 2, 0), "")</f>
        <v>1.5</v>
      </c>
      <c r="L34" s="220" t="s">
        <v>943</v>
      </c>
      <c r="M34" s="220" t="s">
        <v>925</v>
      </c>
      <c r="N34" s="190">
        <f t="array" ref="N34">IFERROR(
  INDEX($J$2:$J$543,
    MATCH(A34&amp;TEXT(I34,"yyyy-mm-dd"),
          $A$2:$A$543&amp;TEXT($H$2:$H$543,"yyyy-mm-dd"),
          0)),
"")</f>
        <v>1</v>
      </c>
      <c r="O34" s="210">
        <f t="shared" si="3"/>
        <v>3.5</v>
      </c>
      <c r="P34" s="210">
        <f t="shared" ref="P34:Q34" si="44">IF(N34="",0,IF(N34&lt;=2,1,IF(N34&lt;=4,2,IF(N34&lt;=5.5,3,4))))</f>
        <v>1</v>
      </c>
      <c r="Q34" s="210">
        <f t="shared" si="44"/>
        <v>2</v>
      </c>
      <c r="R34" s="210" t="str">
        <f t="shared" si="5"/>
        <v>Lv1 → Lv2</v>
      </c>
      <c r="S34" s="210">
        <f t="shared" si="6"/>
        <v>1</v>
      </c>
      <c r="T34" s="210"/>
      <c r="U34" s="210"/>
      <c r="V34" s="211" t="s">
        <v>496</v>
      </c>
      <c r="W34" s="210" t="str">
        <f t="shared" si="7"/>
        <v>GSD</v>
      </c>
      <c r="X34" s="210" t="str">
        <f t="shared" si="8"/>
        <v>GSD</v>
      </c>
      <c r="Y34" s="210" t="str">
        <f t="shared" si="9"/>
        <v>ONC</v>
      </c>
      <c r="Z34" s="210"/>
      <c r="AC34" s="210"/>
      <c r="AD34" s="210"/>
      <c r="AE34" s="210"/>
      <c r="AF34" s="210"/>
      <c r="AG34" s="210"/>
      <c r="AH34" s="210"/>
      <c r="AI34" s="210"/>
      <c r="AJ34" s="210"/>
      <c r="AK34" s="210"/>
      <c r="AL34" s="210"/>
      <c r="AM34" s="214"/>
      <c r="AN34" s="211" t="str">
        <f>IFERROR(__xludf.DUMMYFUNCTION("""COMPUTED_VALUE"""),"153116")</f>
        <v>153116</v>
      </c>
      <c r="AO34" s="210" t="str">
        <f t="shared" si="10"/>
        <v>GSD</v>
      </c>
      <c r="AP34" s="210" t="str">
        <f t="shared" si="11"/>
        <v>GSD</v>
      </c>
      <c r="AQ34" s="210" t="str">
        <f t="shared" si="12"/>
        <v>POC</v>
      </c>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c r="BU34" s="210"/>
      <c r="BV34" s="210"/>
      <c r="BW34" s="210"/>
      <c r="BX34" s="210"/>
      <c r="BY34" s="210"/>
      <c r="BZ34" s="210"/>
      <c r="CA34" s="210"/>
      <c r="CB34" s="210"/>
      <c r="CC34" s="210"/>
      <c r="CD34" s="210"/>
      <c r="CE34" s="210"/>
      <c r="CF34" s="210"/>
      <c r="CG34" s="210"/>
      <c r="CH34" s="210"/>
      <c r="CI34" s="210"/>
      <c r="CJ34" s="210"/>
      <c r="CK34" s="210"/>
    </row>
    <row r="35">
      <c r="A35" s="222" t="s">
        <v>245</v>
      </c>
      <c r="B35" s="190" t="s">
        <v>246</v>
      </c>
      <c r="C35" s="223" t="s">
        <v>54</v>
      </c>
      <c r="D35" s="223" t="s">
        <v>848</v>
      </c>
      <c r="E35" s="190" t="s">
        <v>21</v>
      </c>
      <c r="F35" s="13" t="s">
        <v>927</v>
      </c>
      <c r="G35" s="13" t="s">
        <v>927</v>
      </c>
      <c r="H35" s="219">
        <f>IFERROR(
  MINIFS(ATTENDANCE_LOG!$F:$F,
         ATTENDANCE_LOG!$A:$A, C35,
         ATTENDANCE_LOG!$B:$B, E35),
"")</f>
        <v>45639.58333</v>
      </c>
      <c r="I35" s="219">
        <f t="shared" si="2"/>
        <v>45639.58333</v>
      </c>
      <c r="J35" s="190">
        <f>IFERROR(VLOOKUP(F35, LEVEL_HELPER!$A:$B, 2, 0), "")</f>
        <v>1</v>
      </c>
      <c r="K35" s="190">
        <f>IFERROR(VLOOKUP(G35, LEVEL_HELPER!$A:$B, 2, 0), "")</f>
        <v>1</v>
      </c>
      <c r="L35" s="220" t="s">
        <v>943</v>
      </c>
      <c r="M35" s="220" t="s">
        <v>925</v>
      </c>
      <c r="N35" s="190">
        <f t="array" ref="N35">IFERROR(
  INDEX($J$2:$J$543,
    MATCH(A35&amp;TEXT(I35,"yyyy-mm-dd"),
          $A$2:$A$543&amp;TEXT($H$2:$H$543,"yyyy-mm-dd"),
          0)),
"")</f>
        <v>1</v>
      </c>
      <c r="O35" s="210">
        <f t="shared" si="3"/>
        <v>3</v>
      </c>
      <c r="P35" s="210">
        <f t="shared" ref="P35:Q35" si="45">IF(N35="",0,IF(N35&lt;=2,1,IF(N35&lt;=4,2,IF(N35&lt;=5.5,3,4))))</f>
        <v>1</v>
      </c>
      <c r="Q35" s="210">
        <f t="shared" si="45"/>
        <v>2</v>
      </c>
      <c r="R35" s="210" t="str">
        <f t="shared" si="5"/>
        <v>Lv1 → Lv2</v>
      </c>
      <c r="S35" s="210">
        <f t="shared" si="6"/>
        <v>1</v>
      </c>
      <c r="T35" s="210"/>
      <c r="U35" s="210"/>
      <c r="V35" s="211" t="s">
        <v>547</v>
      </c>
      <c r="W35" s="210" t="str">
        <f t="shared" si="7"/>
        <v>GSD</v>
      </c>
      <c r="X35" s="210" t="str">
        <f t="shared" si="8"/>
        <v>GSD</v>
      </c>
      <c r="Y35" s="210" t="str">
        <f t="shared" si="9"/>
        <v>LBU</v>
      </c>
      <c r="Z35" s="210"/>
      <c r="AC35" s="210"/>
      <c r="AD35" s="210"/>
      <c r="AE35" s="210"/>
      <c r="AF35" s="210"/>
      <c r="AG35" s="210"/>
      <c r="AH35" s="210"/>
      <c r="AI35" s="210"/>
      <c r="AJ35" s="210"/>
      <c r="AK35" s="210"/>
      <c r="AL35" s="210"/>
      <c r="AM35" s="214"/>
      <c r="AN35" s="211" t="str">
        <f>IFERROR(__xludf.DUMMYFUNCTION("""COMPUTED_VALUE"""),"183382")</f>
        <v>183382</v>
      </c>
      <c r="AO35" s="210" t="str">
        <f t="shared" si="10"/>
        <v>DEV</v>
      </c>
      <c r="AP35" s="210" t="str">
        <f t="shared" si="11"/>
        <v>DEV, TA</v>
      </c>
      <c r="AQ35" s="210" t="str">
        <f t="shared" si="12"/>
        <v>CHORUS</v>
      </c>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c r="BU35" s="210"/>
      <c r="BV35" s="210"/>
      <c r="BW35" s="210"/>
      <c r="BX35" s="210"/>
      <c r="BY35" s="210"/>
      <c r="BZ35" s="210"/>
      <c r="CA35" s="210"/>
      <c r="CB35" s="210"/>
      <c r="CC35" s="210"/>
      <c r="CD35" s="210"/>
      <c r="CE35" s="210"/>
      <c r="CF35" s="210"/>
      <c r="CG35" s="210"/>
      <c r="CH35" s="210"/>
      <c r="CI35" s="210"/>
      <c r="CJ35" s="210"/>
      <c r="CK35" s="210"/>
    </row>
    <row r="36">
      <c r="A36" s="222" t="s">
        <v>352</v>
      </c>
      <c r="B36" s="190" t="s">
        <v>353</v>
      </c>
      <c r="C36" s="223" t="s">
        <v>54</v>
      </c>
      <c r="D36" s="223" t="s">
        <v>848</v>
      </c>
      <c r="E36" s="190" t="s">
        <v>21</v>
      </c>
      <c r="F36" s="13" t="s">
        <v>927</v>
      </c>
      <c r="G36" s="13" t="s">
        <v>929</v>
      </c>
      <c r="H36" s="219">
        <f>IFERROR(
  MINIFS(ATTENDANCE_LOG!$F:$F,
         ATTENDANCE_LOG!$A:$A, C36,
         ATTENDANCE_LOG!$B:$B, E36),
"")</f>
        <v>45639.58333</v>
      </c>
      <c r="I36" s="219">
        <f t="shared" si="2"/>
        <v>45639.58333</v>
      </c>
      <c r="J36" s="190">
        <f>IFERROR(VLOOKUP(F36, LEVEL_HELPER!$A:$B, 2, 0), "")</f>
        <v>1</v>
      </c>
      <c r="K36" s="190">
        <f>IFERROR(VLOOKUP(G36, LEVEL_HELPER!$A:$B, 2, 0), "")</f>
        <v>1.5</v>
      </c>
      <c r="L36" s="220" t="s">
        <v>943</v>
      </c>
      <c r="M36" s="220" t="s">
        <v>925</v>
      </c>
      <c r="N36" s="190">
        <f t="array" ref="N36">IFERROR(
  INDEX($J$2:$J$543,
    MATCH(A36&amp;TEXT(I36,"yyyy-mm-dd"),
          $A$2:$A$543&amp;TEXT($H$2:$H$543,"yyyy-mm-dd"),
          0)),
"")</f>
        <v>1</v>
      </c>
      <c r="O36" s="210">
        <f t="shared" si="3"/>
        <v>3</v>
      </c>
      <c r="P36" s="210">
        <f t="shared" ref="P36:Q36" si="46">IF(N36="",0,IF(N36&lt;=2,1,IF(N36&lt;=4,2,IF(N36&lt;=5.5,3,4))))</f>
        <v>1</v>
      </c>
      <c r="Q36" s="210">
        <f t="shared" si="46"/>
        <v>2</v>
      </c>
      <c r="R36" s="210" t="str">
        <f t="shared" si="5"/>
        <v>Lv1 → Lv2</v>
      </c>
      <c r="S36" s="210">
        <f t="shared" si="6"/>
        <v>1</v>
      </c>
      <c r="T36" s="210"/>
      <c r="U36" s="210"/>
      <c r="V36" s="211" t="s">
        <v>445</v>
      </c>
      <c r="W36" s="210" t="str">
        <f t="shared" si="7"/>
        <v>DEV</v>
      </c>
      <c r="X36" s="210" t="str">
        <f t="shared" si="8"/>
        <v>DEV, TA</v>
      </c>
      <c r="Y36" s="210" t="str">
        <f t="shared" si="9"/>
        <v>LBU</v>
      </c>
      <c r="Z36" s="210"/>
      <c r="AC36" s="210"/>
      <c r="AD36" s="210"/>
      <c r="AE36" s="210"/>
      <c r="AF36" s="210"/>
      <c r="AG36" s="210"/>
      <c r="AH36" s="210"/>
      <c r="AI36" s="210"/>
      <c r="AJ36" s="210"/>
      <c r="AK36" s="210"/>
      <c r="AL36" s="210"/>
      <c r="AM36" s="214"/>
      <c r="AN36" s="211" t="str">
        <f>IFERROR(__xludf.DUMMYFUNCTION("""COMPUTED_VALUE"""),"203664")</f>
        <v>203664</v>
      </c>
      <c r="AO36" s="210" t="str">
        <f t="shared" si="10"/>
        <v>DEV</v>
      </c>
      <c r="AP36" s="210" t="str">
        <f t="shared" si="11"/>
        <v>DEV, TA</v>
      </c>
      <c r="AQ36" s="210" t="str">
        <f t="shared" si="12"/>
        <v>ONC</v>
      </c>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c r="BU36" s="210"/>
      <c r="BV36" s="210"/>
      <c r="BW36" s="210"/>
      <c r="BX36" s="210"/>
      <c r="BY36" s="210"/>
      <c r="BZ36" s="210"/>
      <c r="CA36" s="210"/>
      <c r="CB36" s="210"/>
      <c r="CC36" s="210"/>
      <c r="CD36" s="210"/>
      <c r="CE36" s="210"/>
      <c r="CF36" s="210"/>
      <c r="CG36" s="210"/>
      <c r="CH36" s="210"/>
      <c r="CI36" s="210"/>
      <c r="CJ36" s="210"/>
      <c r="CK36" s="210"/>
    </row>
    <row r="37">
      <c r="A37" s="222" t="s">
        <v>553</v>
      </c>
      <c r="B37" s="190" t="s">
        <v>554</v>
      </c>
      <c r="C37" s="223" t="s">
        <v>54</v>
      </c>
      <c r="D37" s="223" t="s">
        <v>848</v>
      </c>
      <c r="E37" s="190" t="s">
        <v>21</v>
      </c>
      <c r="F37" s="13" t="s">
        <v>927</v>
      </c>
      <c r="G37" s="13" t="s">
        <v>935</v>
      </c>
      <c r="H37" s="219">
        <f>IFERROR(
  MINIFS(ATTENDANCE_LOG!$F:$F,
         ATTENDANCE_LOG!$A:$A, C37,
         ATTENDANCE_LOG!$B:$B, E37),
"")</f>
        <v>45639.58333</v>
      </c>
      <c r="I37" s="219">
        <f t="shared" si="2"/>
        <v>45639.58333</v>
      </c>
      <c r="J37" s="190">
        <f>IFERROR(VLOOKUP(F37, LEVEL_HELPER!$A:$B, 2, 0), "")</f>
        <v>1</v>
      </c>
      <c r="K37" s="190">
        <f>IFERROR(VLOOKUP(G37, LEVEL_HELPER!$A:$B, 2, 0), "")</f>
        <v>3.5</v>
      </c>
      <c r="L37" s="220" t="s">
        <v>943</v>
      </c>
      <c r="M37" s="220" t="s">
        <v>925</v>
      </c>
      <c r="N37" s="190">
        <f t="array" ref="N37">IFERROR(
  INDEX($J$2:$J$543,
    MATCH(A37&amp;TEXT(I37,"yyyy-mm-dd"),
          $A$2:$A$543&amp;TEXT($H$2:$H$543,"yyyy-mm-dd"),
          0)),
"")</f>
        <v>1</v>
      </c>
      <c r="O37" s="210">
        <f t="shared" si="3"/>
        <v>5</v>
      </c>
      <c r="P37" s="210">
        <f t="shared" ref="P37:Q37" si="47">IF(N37="",0,IF(N37&lt;=2,1,IF(N37&lt;=4,2,IF(N37&lt;=5.5,3,4))))</f>
        <v>1</v>
      </c>
      <c r="Q37" s="210">
        <f t="shared" si="47"/>
        <v>3</v>
      </c>
      <c r="R37" s="210" t="str">
        <f t="shared" si="5"/>
        <v>Lv1 → Lv3 (multi)</v>
      </c>
      <c r="S37" s="210">
        <f t="shared" si="6"/>
        <v>1</v>
      </c>
      <c r="T37" s="210"/>
      <c r="U37" s="210"/>
      <c r="V37" s="211" t="s">
        <v>176</v>
      </c>
      <c r="W37" s="210" t="str">
        <f t="shared" si="7"/>
        <v>GSD</v>
      </c>
      <c r="X37" s="210" t="str">
        <f t="shared" si="8"/>
        <v>GSD</v>
      </c>
      <c r="Y37" s="210" t="str">
        <f t="shared" si="9"/>
        <v>LBU</v>
      </c>
      <c r="Z37" s="210"/>
      <c r="AC37" s="210"/>
      <c r="AD37" s="210"/>
      <c r="AE37" s="210"/>
      <c r="AF37" s="210"/>
      <c r="AG37" s="210"/>
      <c r="AH37" s="210"/>
      <c r="AI37" s="210"/>
      <c r="AJ37" s="210"/>
      <c r="AK37" s="210"/>
      <c r="AL37" s="210"/>
      <c r="AM37" s="214"/>
      <c r="AN37" s="211" t="str">
        <f>IFERROR(__xludf.DUMMYFUNCTION("""COMPUTED_VALUE"""),"193633")</f>
        <v>193633</v>
      </c>
      <c r="AO37" s="210" t="str">
        <f t="shared" si="10"/>
        <v>QC</v>
      </c>
      <c r="AP37" s="210" t="str">
        <f t="shared" si="11"/>
        <v>QC</v>
      </c>
      <c r="AQ37" s="210" t="str">
        <f t="shared" si="12"/>
        <v>ONC</v>
      </c>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c r="BU37" s="210"/>
      <c r="BV37" s="210"/>
      <c r="BW37" s="210"/>
      <c r="BX37" s="210"/>
      <c r="BY37" s="210"/>
      <c r="BZ37" s="210"/>
      <c r="CA37" s="210"/>
      <c r="CB37" s="210"/>
      <c r="CC37" s="210"/>
      <c r="CD37" s="210"/>
      <c r="CE37" s="210"/>
      <c r="CF37" s="210"/>
      <c r="CG37" s="210"/>
      <c r="CH37" s="210"/>
      <c r="CI37" s="210"/>
      <c r="CJ37" s="210"/>
      <c r="CK37" s="210"/>
    </row>
    <row r="38">
      <c r="A38" s="222" t="s">
        <v>617</v>
      </c>
      <c r="B38" s="190" t="s">
        <v>618</v>
      </c>
      <c r="C38" s="223" t="s">
        <v>54</v>
      </c>
      <c r="D38" s="223" t="s">
        <v>848</v>
      </c>
      <c r="E38" s="190" t="s">
        <v>21</v>
      </c>
      <c r="F38" s="13" t="s">
        <v>927</v>
      </c>
      <c r="G38" s="13" t="s">
        <v>918</v>
      </c>
      <c r="H38" s="219">
        <f>IFERROR(
  MINIFS(ATTENDANCE_LOG!$F:$F,
         ATTENDANCE_LOG!$A:$A, C38,
         ATTENDANCE_LOG!$B:$B, E38),
"")</f>
        <v>45639.58333</v>
      </c>
      <c r="I38" s="219">
        <f t="shared" si="2"/>
        <v>45639.58333</v>
      </c>
      <c r="J38" s="190">
        <f>IFERROR(VLOOKUP(F38, LEVEL_HELPER!$A:$B, 2, 0), "")</f>
        <v>1</v>
      </c>
      <c r="K38" s="190">
        <f>IFERROR(VLOOKUP(G38, LEVEL_HELPER!$A:$B, 2, 0), "")</f>
        <v>3</v>
      </c>
      <c r="L38" s="220" t="s">
        <v>943</v>
      </c>
      <c r="M38" s="220" t="s">
        <v>925</v>
      </c>
      <c r="N38" s="190">
        <f t="array" ref="N38">IFERROR(
  INDEX($J$2:$J$543,
    MATCH(A38&amp;TEXT(I38,"yyyy-mm-dd"),
          $A$2:$A$543&amp;TEXT($H$2:$H$543,"yyyy-mm-dd"),
          0)),
"")</f>
        <v>1</v>
      </c>
      <c r="O38" s="210">
        <f t="shared" si="3"/>
        <v>3.5</v>
      </c>
      <c r="P38" s="210">
        <f t="shared" ref="P38:Q38" si="48">IF(N38="",0,IF(N38&lt;=2,1,IF(N38&lt;=4,2,IF(N38&lt;=5.5,3,4))))</f>
        <v>1</v>
      </c>
      <c r="Q38" s="210">
        <f t="shared" si="48"/>
        <v>2</v>
      </c>
      <c r="R38" s="210" t="str">
        <f t="shared" si="5"/>
        <v>Lv1 → Lv2</v>
      </c>
      <c r="S38" s="210">
        <f t="shared" si="6"/>
        <v>1</v>
      </c>
      <c r="T38" s="210"/>
      <c r="U38" s="210"/>
      <c r="V38" s="211" t="s">
        <v>228</v>
      </c>
      <c r="W38" s="210" t="str">
        <f t="shared" si="7"/>
        <v>DEV</v>
      </c>
      <c r="X38" s="210" t="str">
        <f t="shared" si="8"/>
        <v>DEV, TA</v>
      </c>
      <c r="Y38" s="210" t="str">
        <f t="shared" si="9"/>
        <v>LBU</v>
      </c>
      <c r="Z38" s="210"/>
      <c r="AC38" s="210"/>
      <c r="AD38" s="210"/>
      <c r="AE38" s="210"/>
      <c r="AF38" s="210"/>
      <c r="AG38" s="210"/>
      <c r="AH38" s="210"/>
      <c r="AI38" s="210"/>
      <c r="AJ38" s="210"/>
      <c r="AK38" s="210"/>
      <c r="AL38" s="210"/>
      <c r="AM38" s="214"/>
      <c r="AN38" s="211" t="str">
        <f>IFERROR(__xludf.DUMMYFUNCTION("""COMPUTED_VALUE"""),"227218")</f>
        <v>227218</v>
      </c>
      <c r="AO38" s="210" t="str">
        <f t="shared" si="10"/>
        <v>GSD</v>
      </c>
      <c r="AP38" s="210" t="str">
        <f t="shared" si="11"/>
        <v>GSD</v>
      </c>
      <c r="AQ38" s="210" t="str">
        <f t="shared" si="12"/>
        <v>POC</v>
      </c>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c r="BU38" s="210"/>
      <c r="BV38" s="210"/>
      <c r="BW38" s="210"/>
      <c r="BX38" s="210"/>
      <c r="BY38" s="210"/>
      <c r="BZ38" s="210"/>
      <c r="CA38" s="210"/>
      <c r="CB38" s="210"/>
      <c r="CC38" s="210"/>
      <c r="CD38" s="210"/>
      <c r="CE38" s="210"/>
      <c r="CF38" s="210"/>
      <c r="CG38" s="210"/>
      <c r="CH38" s="210"/>
      <c r="CI38" s="210"/>
      <c r="CJ38" s="210"/>
      <c r="CK38" s="210"/>
    </row>
    <row r="39">
      <c r="A39" s="222" t="s">
        <v>695</v>
      </c>
      <c r="B39" s="190" t="s">
        <v>696</v>
      </c>
      <c r="C39" s="223" t="s">
        <v>54</v>
      </c>
      <c r="D39" s="223" t="s">
        <v>848</v>
      </c>
      <c r="E39" s="190" t="s">
        <v>21</v>
      </c>
      <c r="F39" s="190"/>
      <c r="G39" s="190"/>
      <c r="H39" s="219">
        <f>IFERROR(
  MINIFS(ATTENDANCE_LOG!$F:$F,
         ATTENDANCE_LOG!$A:$A, C39,
         ATTENDANCE_LOG!$B:$B, E39),
"")</f>
        <v>45639.58333</v>
      </c>
      <c r="I39" s="219">
        <f t="shared" si="2"/>
        <v>45639.58333</v>
      </c>
      <c r="J39" s="190" t="str">
        <f>IFERROR(VLOOKUP(F39, LEVEL_HELPER!$A:$B, 2, 0), "")</f>
        <v/>
      </c>
      <c r="K39" s="190" t="str">
        <f>IFERROR(VLOOKUP(G39, LEVEL_HELPER!$A:$B, 2, 0), "")</f>
        <v/>
      </c>
      <c r="L39" s="229" t="s">
        <v>943</v>
      </c>
      <c r="M39" s="220" t="s">
        <v>925</v>
      </c>
      <c r="N39" s="190" t="str">
        <f t="array" ref="N39">IFERROR(
  INDEX($J$2:$J$543,
    MATCH(A39&amp;TEXT(I39,"yyyy-mm-dd"),
          $A$2:$A$543&amp;TEXT($H$2:$H$543,"yyyy-mm-dd"),
          0)),
"")</f>
        <v/>
      </c>
      <c r="O39" s="210">
        <f t="shared" si="3"/>
        <v>0</v>
      </c>
      <c r="P39" s="210">
        <f t="shared" ref="P39:Q39" si="49">IF(N39="",0,IF(N39&lt;=2,1,IF(N39&lt;=4,2,IF(N39&lt;=5.5,3,4))))</f>
        <v>0</v>
      </c>
      <c r="Q39" s="210">
        <f t="shared" si="49"/>
        <v>1</v>
      </c>
      <c r="R39" s="210" t="str">
        <f t="shared" si="5"/>
        <v>No Data</v>
      </c>
      <c r="S39" s="210">
        <f t="shared" si="6"/>
        <v>1</v>
      </c>
      <c r="T39" s="210"/>
      <c r="U39" s="210"/>
      <c r="V39" s="211" t="s">
        <v>482</v>
      </c>
      <c r="W39" s="210" t="str">
        <f t="shared" si="7"/>
        <v>QC</v>
      </c>
      <c r="X39" s="210" t="str">
        <f t="shared" si="8"/>
        <v>QC</v>
      </c>
      <c r="Y39" s="210" t="str">
        <f t="shared" si="9"/>
        <v>TBU</v>
      </c>
      <c r="Z39" s="210"/>
      <c r="AC39" s="210"/>
      <c r="AD39" s="210"/>
      <c r="AE39" s="210"/>
      <c r="AF39" s="210"/>
      <c r="AG39" s="210"/>
      <c r="AH39" s="210"/>
      <c r="AI39" s="210"/>
      <c r="AJ39" s="210"/>
      <c r="AK39" s="210"/>
      <c r="AL39" s="210"/>
      <c r="AM39" s="214"/>
      <c r="AN39" s="211" t="str">
        <f>IFERROR(__xludf.DUMMYFUNCTION("""COMPUTED_VALUE"""),"227081")</f>
        <v>227081</v>
      </c>
      <c r="AO39" s="210" t="str">
        <f t="shared" si="10"/>
        <v>DEV</v>
      </c>
      <c r="AP39" s="210" t="str">
        <f t="shared" si="11"/>
        <v>DEV, TA</v>
      </c>
      <c r="AQ39" s="210" t="str">
        <f t="shared" si="12"/>
        <v>MOC</v>
      </c>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c r="BU39" s="210"/>
      <c r="BV39" s="210"/>
      <c r="BW39" s="210"/>
      <c r="BX39" s="210"/>
      <c r="BY39" s="210"/>
      <c r="BZ39" s="210"/>
      <c r="CA39" s="210"/>
      <c r="CB39" s="210"/>
      <c r="CC39" s="210"/>
      <c r="CD39" s="210"/>
      <c r="CE39" s="210"/>
      <c r="CF39" s="210"/>
      <c r="CG39" s="210"/>
      <c r="CH39" s="210"/>
      <c r="CI39" s="210"/>
      <c r="CJ39" s="210"/>
      <c r="CK39" s="210"/>
    </row>
    <row r="40">
      <c r="A40" s="216" t="s">
        <v>510</v>
      </c>
      <c r="B40" s="217" t="s">
        <v>511</v>
      </c>
      <c r="C40" s="218" t="s">
        <v>54</v>
      </c>
      <c r="D40" s="218" t="s">
        <v>848</v>
      </c>
      <c r="E40" s="217" t="s">
        <v>22</v>
      </c>
      <c r="F40" s="13" t="s">
        <v>935</v>
      </c>
      <c r="G40" s="13" t="s">
        <v>941</v>
      </c>
      <c r="H40" s="219">
        <f>IFERROR(
  MINIFS(ATTENDANCE_LOG!$F:$F,
         ATTENDANCE_LOG!$A:$A, C40,
         ATTENDANCE_LOG!$B:$B, E40),
"")</f>
        <v>45869.58333</v>
      </c>
      <c r="I40" s="219">
        <f t="shared" si="2"/>
        <v>45639.58333</v>
      </c>
      <c r="J40" s="190">
        <f>IFERROR(VLOOKUP(F40, LEVEL_HELPER!$A:$B, 2, 0), "")</f>
        <v>3.5</v>
      </c>
      <c r="K40" s="190">
        <f>IFERROR(VLOOKUP(G40, LEVEL_HELPER!$A:$B, 2, 0), "")</f>
        <v>5</v>
      </c>
      <c r="L40" s="220" t="s">
        <v>943</v>
      </c>
      <c r="M40" s="220" t="s">
        <v>925</v>
      </c>
      <c r="N40" s="190">
        <f t="array" ref="N40">IFERROR(
  INDEX($J$2:$J$543,
    MATCH(A40&amp;TEXT(I40,"yyyy-mm-dd"),
          $A$2:$A$543&amp;TEXT($H$2:$H$543,"yyyy-mm-dd"),
          0)),
"")</f>
        <v>2.5</v>
      </c>
      <c r="O40" s="210">
        <f t="shared" si="3"/>
        <v>5</v>
      </c>
      <c r="P40" s="210">
        <f t="shared" ref="P40:Q40" si="50">IF(N40="",0,IF(N40&lt;=2,1,IF(N40&lt;=4,2,IF(N40&lt;=5.5,3,4))))</f>
        <v>2</v>
      </c>
      <c r="Q40" s="210">
        <f t="shared" si="50"/>
        <v>3</v>
      </c>
      <c r="R40" s="210" t="str">
        <f t="shared" si="5"/>
        <v>Lv2 → Lv3</v>
      </c>
      <c r="S40" s="210">
        <f t="shared" si="6"/>
        <v>0</v>
      </c>
      <c r="T40" s="210"/>
      <c r="U40" s="210"/>
      <c r="V40" s="211" t="s">
        <v>357</v>
      </c>
      <c r="W40" s="210" t="str">
        <f t="shared" si="7"/>
        <v>DEV</v>
      </c>
      <c r="X40" s="210" t="str">
        <f t="shared" si="8"/>
        <v>DEV, TA</v>
      </c>
      <c r="Y40" s="210" t="str">
        <f t="shared" si="9"/>
        <v>CHORUS</v>
      </c>
      <c r="Z40" s="210"/>
      <c r="AA40" s="210"/>
      <c r="AB40" s="210"/>
      <c r="AC40" s="210"/>
      <c r="AD40" s="210"/>
      <c r="AE40" s="210"/>
      <c r="AF40" s="210"/>
      <c r="AG40" s="210"/>
      <c r="AH40" s="210"/>
      <c r="AI40" s="210"/>
      <c r="AJ40" s="210"/>
      <c r="AK40" s="210"/>
      <c r="AL40" s="210"/>
      <c r="AM40" s="214"/>
      <c r="AN40" s="211" t="str">
        <f>IFERROR(__xludf.DUMMYFUNCTION("""COMPUTED_VALUE"""),"247313")</f>
        <v>247313</v>
      </c>
      <c r="AO40" s="210" t="str">
        <f t="shared" si="10"/>
        <v>SM</v>
      </c>
      <c r="AP40" s="210" t="str">
        <f t="shared" si="11"/>
        <v>PPO, SM, IM </v>
      </c>
      <c r="AQ40" s="210" t="str">
        <f t="shared" si="12"/>
        <v>TBU</v>
      </c>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c r="BU40" s="210"/>
      <c r="BV40" s="210"/>
      <c r="BW40" s="210"/>
      <c r="BX40" s="210"/>
      <c r="BY40" s="210"/>
      <c r="BZ40" s="210"/>
      <c r="CA40" s="210"/>
      <c r="CB40" s="210"/>
      <c r="CC40" s="210"/>
      <c r="CD40" s="210"/>
      <c r="CE40" s="210"/>
      <c r="CF40" s="210"/>
      <c r="CG40" s="210"/>
      <c r="CH40" s="210"/>
      <c r="CI40" s="210"/>
      <c r="CJ40" s="210"/>
      <c r="CK40" s="210"/>
    </row>
    <row r="41">
      <c r="A41" s="222" t="s">
        <v>144</v>
      </c>
      <c r="B41" s="190" t="s">
        <v>145</v>
      </c>
      <c r="C41" s="223" t="s">
        <v>54</v>
      </c>
      <c r="D41" s="223" t="s">
        <v>848</v>
      </c>
      <c r="E41" s="190" t="s">
        <v>22</v>
      </c>
      <c r="F41" s="13" t="s">
        <v>927</v>
      </c>
      <c r="G41" s="13" t="s">
        <v>935</v>
      </c>
      <c r="H41" s="219">
        <f>IFERROR(
  MINIFS(ATTENDANCE_LOG!$F:$F,
         ATTENDANCE_LOG!$A:$A, C41,
         ATTENDANCE_LOG!$B:$B, E41),
"")</f>
        <v>45869.58333</v>
      </c>
      <c r="I41" s="219">
        <f t="shared" si="2"/>
        <v>45639.58333</v>
      </c>
      <c r="J41" s="190">
        <f>IFERROR(VLOOKUP(F41, LEVEL_HELPER!$A:$B, 2, 0), "")</f>
        <v>1</v>
      </c>
      <c r="K41" s="190">
        <f>IFERROR(VLOOKUP(G41, LEVEL_HELPER!$A:$B, 2, 0), "")</f>
        <v>3.5</v>
      </c>
      <c r="L41" s="220" t="s">
        <v>943</v>
      </c>
      <c r="M41" s="220" t="s">
        <v>925</v>
      </c>
      <c r="N41" s="190">
        <f t="array" ref="N41">IFERROR(
  INDEX($J$2:$J$543,
    MATCH(A41&amp;TEXT(I41,"yyyy-mm-dd"),
          $A$2:$A$543&amp;TEXT($H$2:$H$543,"yyyy-mm-dd"),
          0)),
"")</f>
        <v>1</v>
      </c>
      <c r="O41" s="210">
        <f t="shared" si="3"/>
        <v>3.5</v>
      </c>
      <c r="P41" s="210">
        <f t="shared" ref="P41:Q41" si="51">IF(N41="",0,IF(N41&lt;=2,1,IF(N41&lt;=4,2,IF(N41&lt;=5.5,3,4))))</f>
        <v>1</v>
      </c>
      <c r="Q41" s="210">
        <f t="shared" si="51"/>
        <v>2</v>
      </c>
      <c r="R41" s="210" t="str">
        <f t="shared" si="5"/>
        <v>Lv1 → Lv2</v>
      </c>
      <c r="S41" s="210">
        <f t="shared" si="6"/>
        <v>0</v>
      </c>
      <c r="T41" s="210"/>
      <c r="U41" s="210"/>
      <c r="V41" s="211" t="s">
        <v>230</v>
      </c>
      <c r="W41" s="210" t="str">
        <f t="shared" si="7"/>
        <v>DEV</v>
      </c>
      <c r="X41" s="210" t="str">
        <f t="shared" si="8"/>
        <v>DEV, TA</v>
      </c>
      <c r="Y41" s="210" t="str">
        <f t="shared" si="9"/>
        <v>CHORUS</v>
      </c>
      <c r="Z41" s="210"/>
      <c r="AA41" s="210"/>
      <c r="AB41" s="210"/>
      <c r="AC41" s="210"/>
      <c r="AD41" s="210"/>
      <c r="AE41" s="210"/>
      <c r="AF41" s="210"/>
      <c r="AG41" s="210"/>
      <c r="AH41" s="210"/>
      <c r="AI41" s="210"/>
      <c r="AJ41" s="210"/>
      <c r="AK41" s="210"/>
      <c r="AL41" s="210"/>
      <c r="AM41" s="214"/>
      <c r="AN41" s="211" t="str">
        <f>IFERROR(__xludf.DUMMYFUNCTION("""COMPUTED_VALUE"""),"227103")</f>
        <v>227103</v>
      </c>
      <c r="AO41" s="210" t="str">
        <f t="shared" si="10"/>
        <v>DEV</v>
      </c>
      <c r="AP41" s="210" t="str">
        <f t="shared" si="11"/>
        <v>DEV, TA</v>
      </c>
      <c r="AQ41" s="210" t="str">
        <f t="shared" si="12"/>
        <v>CHORUS</v>
      </c>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c r="BU41" s="210"/>
      <c r="BV41" s="210"/>
      <c r="BW41" s="210"/>
      <c r="BX41" s="210"/>
      <c r="BY41" s="210"/>
      <c r="BZ41" s="210"/>
      <c r="CA41" s="210"/>
      <c r="CB41" s="210"/>
      <c r="CC41" s="210"/>
      <c r="CD41" s="210"/>
      <c r="CE41" s="210"/>
      <c r="CF41" s="210"/>
      <c r="CG41" s="210"/>
      <c r="CH41" s="210"/>
      <c r="CI41" s="210"/>
      <c r="CJ41" s="210"/>
      <c r="CK41" s="210"/>
    </row>
    <row r="42">
      <c r="A42" s="222" t="s">
        <v>155</v>
      </c>
      <c r="B42" s="190" t="s">
        <v>156</v>
      </c>
      <c r="C42" s="223" t="s">
        <v>54</v>
      </c>
      <c r="D42" s="223" t="s">
        <v>848</v>
      </c>
      <c r="E42" s="190" t="s">
        <v>22</v>
      </c>
      <c r="F42" s="13" t="s">
        <v>918</v>
      </c>
      <c r="G42" s="13" t="s">
        <v>918</v>
      </c>
      <c r="H42" s="219">
        <f>IFERROR(
  MINIFS(ATTENDANCE_LOG!$F:$F,
         ATTENDANCE_LOG!$A:$A, C42,
         ATTENDANCE_LOG!$B:$B, E42),
"")</f>
        <v>45869.58333</v>
      </c>
      <c r="I42" s="219">
        <f t="shared" si="2"/>
        <v>45639.58333</v>
      </c>
      <c r="J42" s="190">
        <f>IFERROR(VLOOKUP(F42, LEVEL_HELPER!$A:$B, 2, 0), "")</f>
        <v>3</v>
      </c>
      <c r="K42" s="190">
        <f>IFERROR(VLOOKUP(G42, LEVEL_HELPER!$A:$B, 2, 0), "")</f>
        <v>3</v>
      </c>
      <c r="L42" s="220" t="s">
        <v>943</v>
      </c>
      <c r="M42" s="220" t="s">
        <v>925</v>
      </c>
      <c r="N42" s="190">
        <f t="array" ref="N42">IFERROR(
  INDEX($J$2:$J$543,
    MATCH(A42&amp;TEXT(I42,"yyyy-mm-dd"),
          $A$2:$A$543&amp;TEXT($H$2:$H$543,"yyyy-mm-dd"),
          0)),
"")</f>
        <v>1</v>
      </c>
      <c r="O42" s="210">
        <f t="shared" si="3"/>
        <v>5</v>
      </c>
      <c r="P42" s="210">
        <f t="shared" ref="P42:Q42" si="52">IF(N42="",0,IF(N42&lt;=2,1,IF(N42&lt;=4,2,IF(N42&lt;=5.5,3,4))))</f>
        <v>1</v>
      </c>
      <c r="Q42" s="210">
        <f t="shared" si="52"/>
        <v>3</v>
      </c>
      <c r="R42" s="210" t="str">
        <f t="shared" si="5"/>
        <v>Lv1 → Lv3 (multi)</v>
      </c>
      <c r="S42" s="210">
        <f t="shared" si="6"/>
        <v>0</v>
      </c>
      <c r="T42" s="210"/>
      <c r="U42" s="210"/>
      <c r="V42" s="211" t="s">
        <v>568</v>
      </c>
      <c r="W42" s="210" t="str">
        <f t="shared" si="7"/>
        <v>DEV</v>
      </c>
      <c r="X42" s="210" t="str">
        <f t="shared" si="8"/>
        <v>DEV, TA</v>
      </c>
      <c r="Y42" s="210" t="str">
        <f t="shared" si="9"/>
        <v>LBU</v>
      </c>
      <c r="Z42" s="210"/>
      <c r="AA42" s="210"/>
      <c r="AB42" s="210"/>
      <c r="AC42" s="210"/>
      <c r="AD42" s="210"/>
      <c r="AE42" s="210"/>
      <c r="AF42" s="210"/>
      <c r="AG42" s="210"/>
      <c r="AH42" s="210"/>
      <c r="AI42" s="210"/>
      <c r="AJ42" s="210"/>
      <c r="AK42" s="210"/>
      <c r="AL42" s="210"/>
      <c r="AM42" s="214"/>
      <c r="AN42" s="211" t="str">
        <f>IFERROR(__xludf.DUMMYFUNCTION("""COMPUTED_VALUE"""),"227048")</f>
        <v>227048</v>
      </c>
      <c r="AO42" s="210" t="str">
        <f t="shared" si="10"/>
        <v>DEV</v>
      </c>
      <c r="AP42" s="210" t="str">
        <f t="shared" si="11"/>
        <v>DEV, TA</v>
      </c>
      <c r="AQ42" s="210" t="str">
        <f t="shared" si="12"/>
        <v>POC</v>
      </c>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c r="BU42" s="210"/>
      <c r="BV42" s="210"/>
      <c r="BW42" s="210"/>
      <c r="BX42" s="210"/>
      <c r="BY42" s="210"/>
      <c r="BZ42" s="210"/>
      <c r="CA42" s="210"/>
      <c r="CB42" s="210"/>
      <c r="CC42" s="210"/>
      <c r="CD42" s="210"/>
      <c r="CE42" s="210"/>
      <c r="CF42" s="210"/>
      <c r="CG42" s="210"/>
      <c r="CH42" s="210"/>
      <c r="CI42" s="210"/>
      <c r="CJ42" s="210"/>
      <c r="CK42" s="210"/>
    </row>
    <row r="43">
      <c r="A43" s="222" t="s">
        <v>226</v>
      </c>
      <c r="B43" s="190" t="s">
        <v>227</v>
      </c>
      <c r="C43" s="223" t="s">
        <v>54</v>
      </c>
      <c r="D43" s="223" t="s">
        <v>848</v>
      </c>
      <c r="E43" s="190" t="s">
        <v>22</v>
      </c>
      <c r="F43" s="13" t="s">
        <v>929</v>
      </c>
      <c r="G43" s="13" t="s">
        <v>935</v>
      </c>
      <c r="H43" s="219">
        <f>IFERROR(
  MINIFS(ATTENDANCE_LOG!$F:$F,
         ATTENDANCE_LOG!$A:$A, C43,
         ATTENDANCE_LOG!$B:$B, E43),
"")</f>
        <v>45869.58333</v>
      </c>
      <c r="I43" s="219">
        <f t="shared" si="2"/>
        <v>45639.58333</v>
      </c>
      <c r="J43" s="190">
        <f>IFERROR(VLOOKUP(F43, LEVEL_HELPER!$A:$B, 2, 0), "")</f>
        <v>1.5</v>
      </c>
      <c r="K43" s="190">
        <f>IFERROR(VLOOKUP(G43, LEVEL_HELPER!$A:$B, 2, 0), "")</f>
        <v>3.5</v>
      </c>
      <c r="L43" s="220" t="s">
        <v>943</v>
      </c>
      <c r="M43" s="220" t="s">
        <v>925</v>
      </c>
      <c r="N43" s="190">
        <f t="array" ref="N43">IFERROR(
  INDEX($J$2:$J$543,
    MATCH(A43&amp;TEXT(I43,"yyyy-mm-dd"),
          $A$2:$A$543&amp;TEXT($H$2:$H$543,"yyyy-mm-dd"),
          0)),
"")</f>
        <v>1</v>
      </c>
      <c r="O43" s="210">
        <f t="shared" si="3"/>
        <v>3.5</v>
      </c>
      <c r="P43" s="210">
        <f t="shared" ref="P43:Q43" si="53">IF(N43="",0,IF(N43&lt;=2,1,IF(N43&lt;=4,2,IF(N43&lt;=5.5,3,4))))</f>
        <v>1</v>
      </c>
      <c r="Q43" s="210">
        <f t="shared" si="53"/>
        <v>2</v>
      </c>
      <c r="R43" s="210" t="str">
        <f t="shared" si="5"/>
        <v>Lv1 → Lv2</v>
      </c>
      <c r="S43" s="210">
        <f t="shared" si="6"/>
        <v>0</v>
      </c>
      <c r="T43" s="210"/>
      <c r="U43" s="210"/>
      <c r="V43" s="211" t="s">
        <v>625</v>
      </c>
      <c r="W43" s="210" t="str">
        <f t="shared" si="7"/>
        <v>DEV</v>
      </c>
      <c r="X43" s="210" t="str">
        <f t="shared" si="8"/>
        <v>DEV, TA</v>
      </c>
      <c r="Y43" s="210" t="str">
        <f t="shared" si="9"/>
        <v>CHORUS</v>
      </c>
      <c r="Z43" s="210"/>
      <c r="AA43" s="210"/>
      <c r="AB43" s="210"/>
      <c r="AC43" s="210"/>
      <c r="AD43" s="210"/>
      <c r="AE43" s="210"/>
      <c r="AF43" s="210"/>
      <c r="AG43" s="210"/>
      <c r="AH43" s="210"/>
      <c r="AI43" s="210"/>
      <c r="AJ43" s="210"/>
      <c r="AK43" s="210"/>
      <c r="AL43" s="210"/>
      <c r="AM43" s="214"/>
      <c r="AN43" s="211" t="str">
        <f>IFERROR(__xludf.DUMMYFUNCTION("""COMPUTED_VALUE"""),"247172")</f>
        <v>247172</v>
      </c>
      <c r="AO43" s="210" t="str">
        <f t="shared" si="10"/>
        <v>DEV</v>
      </c>
      <c r="AP43" s="210" t="str">
        <f t="shared" si="11"/>
        <v>DEV, TA</v>
      </c>
      <c r="AQ43" s="210" t="str">
        <f t="shared" si="12"/>
        <v>MOC</v>
      </c>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c r="BU43" s="210"/>
      <c r="BV43" s="210"/>
      <c r="BW43" s="210"/>
      <c r="BX43" s="210"/>
      <c r="BY43" s="210"/>
      <c r="BZ43" s="210"/>
      <c r="CA43" s="210"/>
      <c r="CB43" s="210"/>
      <c r="CC43" s="210"/>
      <c r="CD43" s="210"/>
      <c r="CE43" s="210"/>
      <c r="CF43" s="210"/>
      <c r="CG43" s="210"/>
      <c r="CH43" s="210"/>
      <c r="CI43" s="210"/>
      <c r="CJ43" s="210"/>
      <c r="CK43" s="210"/>
    </row>
    <row r="44">
      <c r="A44" s="222" t="s">
        <v>245</v>
      </c>
      <c r="B44" s="190" t="s">
        <v>246</v>
      </c>
      <c r="C44" s="223" t="s">
        <v>54</v>
      </c>
      <c r="D44" s="223" t="s">
        <v>848</v>
      </c>
      <c r="E44" s="190" t="s">
        <v>22</v>
      </c>
      <c r="F44" s="13" t="s">
        <v>927</v>
      </c>
      <c r="G44" s="13" t="s">
        <v>918</v>
      </c>
      <c r="H44" s="219">
        <f>IFERROR(
  MINIFS(ATTENDANCE_LOG!$F:$F,
         ATTENDANCE_LOG!$A:$A, C44,
         ATTENDANCE_LOG!$B:$B, E44),
"")</f>
        <v>45869.58333</v>
      </c>
      <c r="I44" s="219">
        <f t="shared" si="2"/>
        <v>45639.58333</v>
      </c>
      <c r="J44" s="190">
        <f>IFERROR(VLOOKUP(F44, LEVEL_HELPER!$A:$B, 2, 0), "")</f>
        <v>1</v>
      </c>
      <c r="K44" s="190">
        <f>IFERROR(VLOOKUP(G44, LEVEL_HELPER!$A:$B, 2, 0), "")</f>
        <v>3</v>
      </c>
      <c r="L44" s="220" t="s">
        <v>943</v>
      </c>
      <c r="M44" s="220" t="s">
        <v>925</v>
      </c>
      <c r="N44" s="190">
        <f t="array" ref="N44">IFERROR(
  INDEX($J$2:$J$543,
    MATCH(A44&amp;TEXT(I44,"yyyy-mm-dd"),
          $A$2:$A$543&amp;TEXT($H$2:$H$543,"yyyy-mm-dd"),
          0)),
"")</f>
        <v>1</v>
      </c>
      <c r="O44" s="210">
        <f t="shared" si="3"/>
        <v>3</v>
      </c>
      <c r="P44" s="210">
        <f t="shared" ref="P44:Q44" si="54">IF(N44="",0,IF(N44&lt;=2,1,IF(N44&lt;=4,2,IF(N44&lt;=5.5,3,4))))</f>
        <v>1</v>
      </c>
      <c r="Q44" s="210">
        <f t="shared" si="54"/>
        <v>2</v>
      </c>
      <c r="R44" s="210" t="str">
        <f t="shared" si="5"/>
        <v>Lv1 → Lv2</v>
      </c>
      <c r="S44" s="210">
        <f t="shared" si="6"/>
        <v>0</v>
      </c>
      <c r="T44" s="210"/>
      <c r="U44" s="210"/>
      <c r="V44" s="211" t="s">
        <v>675</v>
      </c>
      <c r="W44" s="210" t="str">
        <f t="shared" si="7"/>
        <v>QC</v>
      </c>
      <c r="X44" s="210" t="str">
        <f t="shared" si="8"/>
        <v>QC</v>
      </c>
      <c r="Y44" s="210" t="str">
        <f t="shared" si="9"/>
        <v>MOC</v>
      </c>
      <c r="Z44" s="210"/>
      <c r="AA44" s="210"/>
      <c r="AB44" s="210"/>
      <c r="AC44" s="210"/>
      <c r="AD44" s="210"/>
      <c r="AE44" s="210"/>
      <c r="AF44" s="210"/>
      <c r="AG44" s="210"/>
      <c r="AH44" s="210"/>
      <c r="AI44" s="210"/>
      <c r="AJ44" s="210"/>
      <c r="AK44" s="210"/>
      <c r="AL44" s="210"/>
      <c r="AM44" s="214"/>
      <c r="AN44" s="211" t="str">
        <f>IFERROR(__xludf.DUMMYFUNCTION("""COMPUTED_VALUE"""),"237201")</f>
        <v>237201</v>
      </c>
      <c r="AO44" s="210" t="str">
        <f t="shared" si="10"/>
        <v>QC</v>
      </c>
      <c r="AP44" s="210" t="str">
        <f t="shared" si="11"/>
        <v>QC</v>
      </c>
      <c r="AQ44" s="210" t="str">
        <f t="shared" si="12"/>
        <v>CHORUS</v>
      </c>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c r="BU44" s="210"/>
      <c r="BV44" s="210"/>
      <c r="BW44" s="210"/>
      <c r="BX44" s="210"/>
      <c r="BY44" s="210"/>
      <c r="BZ44" s="210"/>
      <c r="CA44" s="210"/>
      <c r="CB44" s="210"/>
      <c r="CC44" s="210"/>
      <c r="CD44" s="210"/>
      <c r="CE44" s="210"/>
      <c r="CF44" s="210"/>
      <c r="CG44" s="210"/>
      <c r="CH44" s="210"/>
      <c r="CI44" s="210"/>
      <c r="CJ44" s="210"/>
      <c r="CK44" s="210"/>
    </row>
    <row r="45">
      <c r="A45" s="222" t="s">
        <v>352</v>
      </c>
      <c r="B45" s="190" t="s">
        <v>353</v>
      </c>
      <c r="C45" s="223" t="s">
        <v>54</v>
      </c>
      <c r="D45" s="223" t="s">
        <v>848</v>
      </c>
      <c r="E45" s="190" t="s">
        <v>22</v>
      </c>
      <c r="F45" s="13" t="s">
        <v>929</v>
      </c>
      <c r="G45" s="13" t="s">
        <v>918</v>
      </c>
      <c r="H45" s="219">
        <f>IFERROR(
  MINIFS(ATTENDANCE_LOG!$F:$F,
         ATTENDANCE_LOG!$A:$A, C45,
         ATTENDANCE_LOG!$B:$B, E45),
"")</f>
        <v>45869.58333</v>
      </c>
      <c r="I45" s="219">
        <f t="shared" si="2"/>
        <v>45639.58333</v>
      </c>
      <c r="J45" s="190">
        <f>IFERROR(VLOOKUP(F45, LEVEL_HELPER!$A:$B, 2, 0), "")</f>
        <v>1.5</v>
      </c>
      <c r="K45" s="190">
        <f>IFERROR(VLOOKUP(G45, LEVEL_HELPER!$A:$B, 2, 0), "")</f>
        <v>3</v>
      </c>
      <c r="L45" s="220" t="s">
        <v>943</v>
      </c>
      <c r="M45" s="220" t="s">
        <v>925</v>
      </c>
      <c r="N45" s="190">
        <f t="array" ref="N45">IFERROR(
  INDEX($J$2:$J$543,
    MATCH(A45&amp;TEXT(I45,"yyyy-mm-dd"),
          $A$2:$A$543&amp;TEXT($H$2:$H$543,"yyyy-mm-dd"),
          0)),
"")</f>
        <v>1</v>
      </c>
      <c r="O45" s="210">
        <f t="shared" si="3"/>
        <v>3</v>
      </c>
      <c r="P45" s="210">
        <f t="shared" ref="P45:Q45" si="55">IF(N45="",0,IF(N45&lt;=2,1,IF(N45&lt;=4,2,IF(N45&lt;=5.5,3,4))))</f>
        <v>1</v>
      </c>
      <c r="Q45" s="210">
        <f t="shared" si="55"/>
        <v>2</v>
      </c>
      <c r="R45" s="210" t="str">
        <f t="shared" si="5"/>
        <v>Lv1 → Lv2</v>
      </c>
      <c r="S45" s="210">
        <f t="shared" si="6"/>
        <v>0</v>
      </c>
      <c r="T45" s="210"/>
      <c r="U45" s="210"/>
      <c r="V45" s="211" t="s">
        <v>167</v>
      </c>
      <c r="W45" s="210" t="str">
        <f t="shared" si="7"/>
        <v>QC</v>
      </c>
      <c r="X45" s="210" t="str">
        <f t="shared" si="8"/>
        <v>QC</v>
      </c>
      <c r="Y45" s="210" t="str">
        <f t="shared" si="9"/>
        <v>LBU</v>
      </c>
      <c r="Z45" s="210"/>
      <c r="AA45" s="210"/>
      <c r="AB45" s="210"/>
      <c r="AC45" s="210"/>
      <c r="AD45" s="210"/>
      <c r="AE45" s="210"/>
      <c r="AF45" s="210"/>
      <c r="AG45" s="210"/>
      <c r="AH45" s="210"/>
      <c r="AI45" s="210"/>
      <c r="AJ45" s="210"/>
      <c r="AK45" s="210"/>
      <c r="AL45" s="210"/>
      <c r="AM45" s="214"/>
      <c r="AN45" s="211" t="str">
        <f>IFERROR(__xludf.DUMMYFUNCTION("""COMPUTED_VALUE"""),"227177")</f>
        <v>227177</v>
      </c>
      <c r="AO45" s="210" t="str">
        <f t="shared" si="10"/>
        <v>QC</v>
      </c>
      <c r="AP45" s="210" t="str">
        <f t="shared" si="11"/>
        <v>QC</v>
      </c>
      <c r="AQ45" s="210" t="str">
        <f t="shared" si="12"/>
        <v>ONC</v>
      </c>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c r="BU45" s="210"/>
      <c r="BV45" s="210"/>
      <c r="BW45" s="210"/>
      <c r="BX45" s="210"/>
      <c r="BY45" s="210"/>
      <c r="BZ45" s="210"/>
      <c r="CA45" s="210"/>
      <c r="CB45" s="210"/>
      <c r="CC45" s="210"/>
      <c r="CD45" s="210"/>
      <c r="CE45" s="210"/>
      <c r="CF45" s="210"/>
      <c r="CG45" s="210"/>
      <c r="CH45" s="210"/>
      <c r="CI45" s="210"/>
      <c r="CJ45" s="210"/>
      <c r="CK45" s="210"/>
    </row>
    <row r="46">
      <c r="A46" s="222" t="s">
        <v>553</v>
      </c>
      <c r="B46" s="190" t="s">
        <v>554</v>
      </c>
      <c r="C46" s="223" t="s">
        <v>54</v>
      </c>
      <c r="D46" s="223" t="s">
        <v>848</v>
      </c>
      <c r="E46" s="190" t="s">
        <v>22</v>
      </c>
      <c r="F46" s="13" t="s">
        <v>935</v>
      </c>
      <c r="G46" s="13" t="s">
        <v>941</v>
      </c>
      <c r="H46" s="219">
        <f>IFERROR(
  MINIFS(ATTENDANCE_LOG!$F:$F,
         ATTENDANCE_LOG!$A:$A, C46,
         ATTENDANCE_LOG!$B:$B, E46),
"")</f>
        <v>45869.58333</v>
      </c>
      <c r="I46" s="219">
        <f t="shared" si="2"/>
        <v>45639.58333</v>
      </c>
      <c r="J46" s="190">
        <f>IFERROR(VLOOKUP(F46, LEVEL_HELPER!$A:$B, 2, 0), "")</f>
        <v>3.5</v>
      </c>
      <c r="K46" s="190">
        <f>IFERROR(VLOOKUP(G46, LEVEL_HELPER!$A:$B, 2, 0), "")</f>
        <v>5</v>
      </c>
      <c r="L46" s="220" t="s">
        <v>943</v>
      </c>
      <c r="M46" s="220" t="s">
        <v>925</v>
      </c>
      <c r="N46" s="190">
        <f t="array" ref="N46">IFERROR(
  INDEX($J$2:$J$543,
    MATCH(A46&amp;TEXT(I46,"yyyy-mm-dd"),
          $A$2:$A$543&amp;TEXT($H$2:$H$543,"yyyy-mm-dd"),
          0)),
"")</f>
        <v>1</v>
      </c>
      <c r="O46" s="210">
        <f t="shared" si="3"/>
        <v>5</v>
      </c>
      <c r="P46" s="210">
        <f t="shared" ref="P46:Q46" si="56">IF(N46="",0,IF(N46&lt;=2,1,IF(N46&lt;=4,2,IF(N46&lt;=5.5,3,4))))</f>
        <v>1</v>
      </c>
      <c r="Q46" s="210">
        <f t="shared" si="56"/>
        <v>3</v>
      </c>
      <c r="R46" s="210" t="str">
        <f t="shared" si="5"/>
        <v>Lv1 → Lv3 (multi)</v>
      </c>
      <c r="S46" s="210">
        <f t="shared" si="6"/>
        <v>0</v>
      </c>
      <c r="T46" s="210"/>
      <c r="U46" s="210"/>
      <c r="V46" s="211" t="s">
        <v>184</v>
      </c>
      <c r="W46" s="210" t="str">
        <f t="shared" si="7"/>
        <v>DEV</v>
      </c>
      <c r="X46" s="210" t="str">
        <f t="shared" si="8"/>
        <v>DEV, TA</v>
      </c>
      <c r="Y46" s="210" t="str">
        <f t="shared" si="9"/>
        <v>TBU</v>
      </c>
      <c r="Z46" s="210"/>
      <c r="AA46" s="210"/>
      <c r="AB46" s="210"/>
      <c r="AC46" s="210"/>
      <c r="AD46" s="210"/>
      <c r="AE46" s="210"/>
      <c r="AF46" s="210"/>
      <c r="AG46" s="210"/>
      <c r="AH46" s="210"/>
      <c r="AI46" s="210"/>
      <c r="AJ46" s="210"/>
      <c r="AK46" s="210"/>
      <c r="AL46" s="210"/>
      <c r="AM46" s="214"/>
      <c r="AN46" s="211" t="str">
        <f>IFERROR(__xludf.DUMMYFUNCTION("""COMPUTED_VALUE"""),"227035")</f>
        <v>227035</v>
      </c>
      <c r="AO46" s="210" t="str">
        <f t="shared" si="10"/>
        <v>DEV</v>
      </c>
      <c r="AP46" s="210" t="str">
        <f t="shared" si="11"/>
        <v>DEV, TA</v>
      </c>
      <c r="AQ46" s="210" t="str">
        <f t="shared" si="12"/>
        <v>LBU</v>
      </c>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c r="BU46" s="210"/>
      <c r="BV46" s="210"/>
      <c r="BW46" s="210"/>
      <c r="BX46" s="210"/>
      <c r="BY46" s="210"/>
      <c r="BZ46" s="210"/>
      <c r="CA46" s="210"/>
      <c r="CB46" s="210"/>
      <c r="CC46" s="210"/>
      <c r="CD46" s="210"/>
      <c r="CE46" s="210"/>
      <c r="CF46" s="210"/>
      <c r="CG46" s="210"/>
      <c r="CH46" s="210"/>
      <c r="CI46" s="210"/>
      <c r="CJ46" s="210"/>
      <c r="CK46" s="210"/>
    </row>
    <row r="47">
      <c r="A47" s="222" t="s">
        <v>617</v>
      </c>
      <c r="B47" s="190" t="s">
        <v>618</v>
      </c>
      <c r="C47" s="223" t="s">
        <v>54</v>
      </c>
      <c r="D47" s="223" t="s">
        <v>848</v>
      </c>
      <c r="E47" s="190" t="s">
        <v>22</v>
      </c>
      <c r="F47" s="13" t="s">
        <v>918</v>
      </c>
      <c r="G47" s="13" t="s">
        <v>935</v>
      </c>
      <c r="H47" s="219">
        <f>IFERROR(
  MINIFS(ATTENDANCE_LOG!$F:$F,
         ATTENDANCE_LOG!$A:$A, C47,
         ATTENDANCE_LOG!$B:$B, E47),
"")</f>
        <v>45869.58333</v>
      </c>
      <c r="I47" s="219">
        <f t="shared" si="2"/>
        <v>45639.58333</v>
      </c>
      <c r="J47" s="190">
        <f>IFERROR(VLOOKUP(F47, LEVEL_HELPER!$A:$B, 2, 0), "")</f>
        <v>3</v>
      </c>
      <c r="K47" s="190">
        <f>IFERROR(VLOOKUP(G47, LEVEL_HELPER!$A:$B, 2, 0), "")</f>
        <v>3.5</v>
      </c>
      <c r="L47" s="220" t="s">
        <v>943</v>
      </c>
      <c r="M47" s="220" t="s">
        <v>925</v>
      </c>
      <c r="N47" s="190">
        <f t="array" ref="N47">IFERROR(
  INDEX($J$2:$J$543,
    MATCH(A47&amp;TEXT(I47,"yyyy-mm-dd"),
          $A$2:$A$543&amp;TEXT($H$2:$H$543,"yyyy-mm-dd"),
          0)),
"")</f>
        <v>1</v>
      </c>
      <c r="O47" s="210">
        <f t="shared" si="3"/>
        <v>3.5</v>
      </c>
      <c r="P47" s="210">
        <f t="shared" ref="P47:Q47" si="57">IF(N47="",0,IF(N47&lt;=2,1,IF(N47&lt;=4,2,IF(N47&lt;=5.5,3,4))))</f>
        <v>1</v>
      </c>
      <c r="Q47" s="210">
        <f t="shared" si="57"/>
        <v>2</v>
      </c>
      <c r="R47" s="210" t="str">
        <f t="shared" si="5"/>
        <v>Lv1 → Lv2</v>
      </c>
      <c r="S47" s="210">
        <f t="shared" si="6"/>
        <v>0</v>
      </c>
      <c r="T47" s="210"/>
      <c r="U47" s="210"/>
      <c r="V47" s="211" t="s">
        <v>188</v>
      </c>
      <c r="W47" s="210" t="str">
        <f t="shared" si="7"/>
        <v>QC</v>
      </c>
      <c r="X47" s="210" t="str">
        <f t="shared" si="8"/>
        <v>QC</v>
      </c>
      <c r="Y47" s="210" t="str">
        <f t="shared" si="9"/>
        <v>LBU</v>
      </c>
      <c r="Z47" s="210"/>
      <c r="AA47" s="210"/>
      <c r="AB47" s="210"/>
      <c r="AC47" s="210"/>
      <c r="AD47" s="210"/>
      <c r="AE47" s="210"/>
      <c r="AF47" s="210"/>
      <c r="AG47" s="210"/>
      <c r="AH47" s="210"/>
      <c r="AI47" s="210"/>
      <c r="AJ47" s="210"/>
      <c r="AK47" s="210"/>
      <c r="AL47" s="210"/>
      <c r="AM47" s="214"/>
      <c r="AN47" s="211" t="str">
        <f>IFERROR(__xludf.DUMMYFUNCTION("""COMPUTED_VALUE"""),"227214")</f>
        <v>227214</v>
      </c>
      <c r="AO47" s="210" t="str">
        <f t="shared" si="10"/>
        <v>GSD</v>
      </c>
      <c r="AP47" s="210" t="str">
        <f t="shared" si="11"/>
        <v>GSD</v>
      </c>
      <c r="AQ47" s="210" t="str">
        <f t="shared" si="12"/>
        <v>LBU</v>
      </c>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c r="BU47" s="210"/>
      <c r="BV47" s="210"/>
      <c r="BW47" s="210"/>
      <c r="BX47" s="210"/>
      <c r="BY47" s="210"/>
      <c r="BZ47" s="210"/>
      <c r="CA47" s="210"/>
      <c r="CB47" s="210"/>
      <c r="CC47" s="210"/>
      <c r="CD47" s="210"/>
      <c r="CE47" s="210"/>
      <c r="CF47" s="210"/>
      <c r="CG47" s="210"/>
      <c r="CH47" s="210"/>
      <c r="CI47" s="210"/>
      <c r="CJ47" s="210"/>
      <c r="CK47" s="210"/>
    </row>
    <row r="48">
      <c r="A48" s="222" t="s">
        <v>695</v>
      </c>
      <c r="B48" s="190" t="s">
        <v>696</v>
      </c>
      <c r="C48" s="223" t="s">
        <v>54</v>
      </c>
      <c r="D48" s="223" t="s">
        <v>848</v>
      </c>
      <c r="E48" s="190" t="s">
        <v>22</v>
      </c>
      <c r="F48" s="190"/>
      <c r="G48" s="190"/>
      <c r="H48" s="219">
        <f>IFERROR(
  MINIFS(ATTENDANCE_LOG!$F:$F,
         ATTENDANCE_LOG!$A:$A, C48,
         ATTENDANCE_LOG!$B:$B, E48),
"")</f>
        <v>45869.58333</v>
      </c>
      <c r="I48" s="219">
        <f t="shared" si="2"/>
        <v>45639.58333</v>
      </c>
      <c r="J48" s="190" t="str">
        <f>IFERROR(VLOOKUP(F48, LEVEL_HELPER!$A:$B, 2, 0), "")</f>
        <v/>
      </c>
      <c r="K48" s="190" t="str">
        <f>IFERROR(VLOOKUP(G48, LEVEL_HELPER!$A:$B, 2, 0), "")</f>
        <v/>
      </c>
      <c r="L48" s="220" t="s">
        <v>943</v>
      </c>
      <c r="M48" s="220" t="s">
        <v>925</v>
      </c>
      <c r="N48" s="190" t="str">
        <f t="array" ref="N48">IFERROR(
  INDEX($J$2:$J$543,
    MATCH(A48&amp;TEXT(I48,"yyyy-mm-dd"),
          $A$2:$A$543&amp;TEXT($H$2:$H$543,"yyyy-mm-dd"),
          0)),
"")</f>
        <v/>
      </c>
      <c r="O48" s="210">
        <f t="shared" si="3"/>
        <v>0</v>
      </c>
      <c r="P48" s="210">
        <f t="shared" ref="P48:Q48" si="58">IF(N48="",0,IF(N48&lt;=2,1,IF(N48&lt;=4,2,IF(N48&lt;=5.5,3,4))))</f>
        <v>0</v>
      </c>
      <c r="Q48" s="210">
        <f t="shared" si="58"/>
        <v>1</v>
      </c>
      <c r="R48" s="210" t="str">
        <f t="shared" si="5"/>
        <v>No Data</v>
      </c>
      <c r="S48" s="210">
        <f t="shared" si="6"/>
        <v>0</v>
      </c>
      <c r="T48" s="210"/>
      <c r="U48" s="210"/>
      <c r="V48" s="211" t="s">
        <v>697</v>
      </c>
      <c r="W48" s="210" t="str">
        <f t="shared" si="7"/>
        <v>DEV</v>
      </c>
      <c r="X48" s="210" t="str">
        <f t="shared" si="8"/>
        <v>DEV, TA</v>
      </c>
      <c r="Y48" s="210" t="str">
        <f t="shared" si="9"/>
        <v>TBU</v>
      </c>
      <c r="Z48" s="210"/>
      <c r="AA48" s="210"/>
      <c r="AB48" s="210"/>
      <c r="AC48" s="210"/>
      <c r="AD48" s="210"/>
      <c r="AE48" s="210"/>
      <c r="AF48" s="210"/>
      <c r="AG48" s="210"/>
      <c r="AH48" s="210"/>
      <c r="AI48" s="210"/>
      <c r="AJ48" s="210"/>
      <c r="AK48" s="210"/>
      <c r="AL48" s="210"/>
      <c r="AM48" s="214"/>
      <c r="AN48" s="211" t="str">
        <f>IFERROR(__xludf.DUMMYFUNCTION("""COMPUTED_VALUE"""),"247332")</f>
        <v>247332</v>
      </c>
      <c r="AO48" s="210" t="str">
        <f t="shared" si="10"/>
        <v>DEV</v>
      </c>
      <c r="AP48" s="210" t="str">
        <f t="shared" si="11"/>
        <v>DEV, TA</v>
      </c>
      <c r="AQ48" s="210" t="str">
        <f t="shared" si="12"/>
        <v>LBU</v>
      </c>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c r="BU48" s="210"/>
      <c r="BV48" s="210"/>
      <c r="BW48" s="210"/>
      <c r="BX48" s="210"/>
      <c r="BY48" s="210"/>
      <c r="BZ48" s="210"/>
      <c r="CA48" s="210"/>
      <c r="CB48" s="210"/>
      <c r="CC48" s="210"/>
      <c r="CD48" s="210"/>
      <c r="CE48" s="210"/>
      <c r="CF48" s="210"/>
      <c r="CG48" s="210"/>
      <c r="CH48" s="210"/>
      <c r="CI48" s="210"/>
      <c r="CJ48" s="210"/>
      <c r="CK48" s="210"/>
    </row>
    <row r="49">
      <c r="A49" s="216" t="s">
        <v>330</v>
      </c>
      <c r="B49" s="217" t="s">
        <v>331</v>
      </c>
      <c r="C49" s="218" t="s">
        <v>55</v>
      </c>
      <c r="D49" s="218" t="s">
        <v>849</v>
      </c>
      <c r="E49" s="217" t="s">
        <v>21</v>
      </c>
      <c r="F49" s="13" t="s">
        <v>917</v>
      </c>
      <c r="G49" s="13" t="s">
        <v>932</v>
      </c>
      <c r="H49" s="219">
        <f>IFERROR(
  MINIFS(ATTENDANCE_LOG!$F:$F,
         ATTENDANCE_LOG!$A:$A, C49,
         ATTENDANCE_LOG!$B:$B, E49),
"")</f>
        <v>45637.41667</v>
      </c>
      <c r="I49" s="219">
        <f t="shared" si="2"/>
        <v>45637.41667</v>
      </c>
      <c r="J49" s="190">
        <f>IFERROR(VLOOKUP(F49, LEVEL_HELPER!$A:$B, 2, 0), "")</f>
        <v>2.5</v>
      </c>
      <c r="K49" s="190">
        <f>IFERROR(VLOOKUP(G49, LEVEL_HELPER!$A:$B, 2, 0), "")</f>
        <v>4.5</v>
      </c>
      <c r="L49" s="220" t="s">
        <v>943</v>
      </c>
      <c r="M49" s="220" t="s">
        <v>923</v>
      </c>
      <c r="N49" s="190">
        <f t="array" ref="N49">IFERROR(
  INDEX($J$2:$J$543,
    MATCH(A49&amp;TEXT(I49,"yyyy-mm-dd"),
          $A$2:$A$543&amp;TEXT($H$2:$H$543,"yyyy-mm-dd"),
          0)),
"")</f>
        <v>2.5</v>
      </c>
      <c r="O49" s="210">
        <f t="shared" si="3"/>
        <v>5.5</v>
      </c>
      <c r="P49" s="210">
        <f t="shared" ref="P49:Q49" si="59">IF(N49="",0,IF(N49&lt;=2,1,IF(N49&lt;=4,2,IF(N49&lt;=5.5,3,4))))</f>
        <v>2</v>
      </c>
      <c r="Q49" s="210">
        <f t="shared" si="59"/>
        <v>3</v>
      </c>
      <c r="R49" s="210" t="str">
        <f t="shared" si="5"/>
        <v>Lv2 → Lv3</v>
      </c>
      <c r="S49" s="210">
        <f t="shared" si="6"/>
        <v>1</v>
      </c>
      <c r="T49" s="210"/>
      <c r="U49" s="210"/>
      <c r="V49" s="211" t="s">
        <v>603</v>
      </c>
      <c r="W49" s="210" t="str">
        <f t="shared" si="7"/>
        <v>DEV</v>
      </c>
      <c r="X49" s="210" t="str">
        <f t="shared" si="8"/>
        <v>DEV, TA</v>
      </c>
      <c r="Y49" s="210" t="str">
        <f t="shared" si="9"/>
        <v>TBU</v>
      </c>
      <c r="Z49" s="210"/>
      <c r="AA49" s="210"/>
      <c r="AB49" s="210"/>
      <c r="AC49" s="210"/>
      <c r="AD49" s="210"/>
      <c r="AE49" s="210"/>
      <c r="AF49" s="210"/>
      <c r="AG49" s="210"/>
      <c r="AH49" s="210"/>
      <c r="AI49" s="210"/>
      <c r="AJ49" s="210"/>
      <c r="AK49" s="210"/>
      <c r="AL49" s="210"/>
      <c r="AM49" s="214"/>
      <c r="AN49" s="211" t="str">
        <f>IFERROR(__xludf.DUMMYFUNCTION("""COMPUTED_VALUE"""),"173232")</f>
        <v>173232</v>
      </c>
      <c r="AO49" s="210" t="str">
        <f t="shared" si="10"/>
        <v>TA</v>
      </c>
      <c r="AP49" s="210" t="str">
        <f t="shared" si="11"/>
        <v>DEV, TA</v>
      </c>
      <c r="AQ49" s="210" t="str">
        <f t="shared" si="12"/>
        <v>MOC</v>
      </c>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c r="BU49" s="210"/>
      <c r="BV49" s="210"/>
      <c r="BW49" s="210"/>
      <c r="BX49" s="210"/>
      <c r="BY49" s="210"/>
      <c r="BZ49" s="210"/>
      <c r="CA49" s="210"/>
      <c r="CB49" s="210"/>
      <c r="CC49" s="210"/>
      <c r="CD49" s="210"/>
      <c r="CE49" s="210"/>
      <c r="CF49" s="210"/>
      <c r="CG49" s="210"/>
      <c r="CH49" s="210"/>
      <c r="CI49" s="210"/>
      <c r="CJ49" s="210"/>
      <c r="CK49" s="210"/>
    </row>
    <row r="50">
      <c r="A50" s="222" t="s">
        <v>294</v>
      </c>
      <c r="B50" s="190" t="s">
        <v>295</v>
      </c>
      <c r="C50" s="223" t="s">
        <v>55</v>
      </c>
      <c r="D50" s="223" t="s">
        <v>849</v>
      </c>
      <c r="E50" s="190" t="s">
        <v>21</v>
      </c>
      <c r="F50" s="13" t="s">
        <v>927</v>
      </c>
      <c r="G50" s="13" t="s">
        <v>929</v>
      </c>
      <c r="H50" s="219">
        <f>IFERROR(
  MINIFS(ATTENDANCE_LOG!$F:$F,
         ATTENDANCE_LOG!$A:$A, C50,
         ATTENDANCE_LOG!$B:$B, E50),
"")</f>
        <v>45637.41667</v>
      </c>
      <c r="I50" s="219">
        <f t="shared" si="2"/>
        <v>45637.41667</v>
      </c>
      <c r="J50" s="190">
        <f>IFERROR(VLOOKUP(F50, LEVEL_HELPER!$A:$B, 2, 0), "")</f>
        <v>1</v>
      </c>
      <c r="K50" s="190">
        <f>IFERROR(VLOOKUP(G50, LEVEL_HELPER!$A:$B, 2, 0), "")</f>
        <v>1.5</v>
      </c>
      <c r="L50" s="220" t="s">
        <v>931</v>
      </c>
      <c r="M50" s="220" t="s">
        <v>923</v>
      </c>
      <c r="N50" s="190">
        <f t="array" ref="N50">IFERROR(
  INDEX($J$2:$J$543,
    MATCH(A50&amp;TEXT(I50,"yyyy-mm-dd"),
          $A$2:$A$543&amp;TEXT($H$2:$H$543,"yyyy-mm-dd"),
          0)),
"")</f>
        <v>1</v>
      </c>
      <c r="O50" s="210">
        <f t="shared" si="3"/>
        <v>3</v>
      </c>
      <c r="P50" s="210">
        <f t="shared" ref="P50:Q50" si="60">IF(N50="",0,IF(N50&lt;=2,1,IF(N50&lt;=4,2,IF(N50&lt;=5.5,3,4))))</f>
        <v>1</v>
      </c>
      <c r="Q50" s="210">
        <f t="shared" si="60"/>
        <v>2</v>
      </c>
      <c r="R50" s="210" t="str">
        <f t="shared" si="5"/>
        <v>Lv1 → Lv2</v>
      </c>
      <c r="S50" s="210">
        <f t="shared" si="6"/>
        <v>1</v>
      </c>
      <c r="T50" s="210"/>
      <c r="U50" s="210"/>
      <c r="V50" s="211" t="s">
        <v>239</v>
      </c>
      <c r="W50" s="210" t="str">
        <f t="shared" si="7"/>
        <v>DEV</v>
      </c>
      <c r="X50" s="210" t="str">
        <f t="shared" si="8"/>
        <v>DEV, TA</v>
      </c>
      <c r="Y50" s="210" t="str">
        <f t="shared" si="9"/>
        <v>TBU</v>
      </c>
      <c r="Z50" s="210"/>
      <c r="AA50" s="210"/>
      <c r="AB50" s="210"/>
      <c r="AC50" s="210"/>
      <c r="AD50" s="210"/>
      <c r="AE50" s="210"/>
      <c r="AF50" s="210"/>
      <c r="AG50" s="210"/>
      <c r="AH50" s="210"/>
      <c r="AI50" s="210"/>
      <c r="AJ50" s="210"/>
      <c r="AK50" s="210"/>
      <c r="AL50" s="210"/>
      <c r="AM50" s="214"/>
      <c r="AN50" s="211" t="str">
        <f>IFERROR(__xludf.DUMMYFUNCTION("""COMPUTED_VALUE"""),"193613")</f>
        <v>193613</v>
      </c>
      <c r="AO50" s="210" t="str">
        <f t="shared" si="10"/>
        <v>DEV</v>
      </c>
      <c r="AP50" s="210" t="str">
        <f t="shared" si="11"/>
        <v>DEV, TA</v>
      </c>
      <c r="AQ50" s="210" t="str">
        <f t="shared" si="12"/>
        <v>MOC</v>
      </c>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c r="BU50" s="210"/>
      <c r="BV50" s="210"/>
      <c r="BW50" s="210"/>
      <c r="BX50" s="210"/>
      <c r="BY50" s="210"/>
      <c r="BZ50" s="210"/>
      <c r="CA50" s="210"/>
      <c r="CB50" s="210"/>
      <c r="CC50" s="210"/>
      <c r="CD50" s="210"/>
      <c r="CE50" s="210"/>
      <c r="CF50" s="210"/>
      <c r="CG50" s="210"/>
      <c r="CH50" s="210"/>
      <c r="CI50" s="210"/>
      <c r="CJ50" s="210"/>
      <c r="CK50" s="210"/>
    </row>
    <row r="51">
      <c r="A51" s="222" t="s">
        <v>411</v>
      </c>
      <c r="B51" s="190" t="s">
        <v>412</v>
      </c>
      <c r="C51" s="223" t="s">
        <v>55</v>
      </c>
      <c r="D51" s="223" t="s">
        <v>849</v>
      </c>
      <c r="E51" s="190" t="s">
        <v>21</v>
      </c>
      <c r="F51" s="13" t="s">
        <v>917</v>
      </c>
      <c r="G51" s="13" t="s">
        <v>929</v>
      </c>
      <c r="H51" s="219">
        <f>IFERROR(
  MINIFS(ATTENDANCE_LOG!$F:$F,
         ATTENDANCE_LOG!$A:$A, C51,
         ATTENDANCE_LOG!$B:$B, E51),
"")</f>
        <v>45637.41667</v>
      </c>
      <c r="I51" s="219">
        <f t="shared" si="2"/>
        <v>45637.41667</v>
      </c>
      <c r="J51" s="190">
        <f>IFERROR(VLOOKUP(F51, LEVEL_HELPER!$A:$B, 2, 0), "")</f>
        <v>2.5</v>
      </c>
      <c r="K51" s="190">
        <f>IFERROR(VLOOKUP(G51, LEVEL_HELPER!$A:$B, 2, 0), "")</f>
        <v>1.5</v>
      </c>
      <c r="L51" s="220" t="s">
        <v>931</v>
      </c>
      <c r="M51" s="220" t="s">
        <v>923</v>
      </c>
      <c r="N51" s="190">
        <f t="array" ref="N51">IFERROR(
  INDEX($J$2:$J$543,
    MATCH(A51&amp;TEXT(I51,"yyyy-mm-dd"),
          $A$2:$A$543&amp;TEXT($H$2:$H$543,"yyyy-mm-dd"),
          0)),
"")</f>
        <v>2.5</v>
      </c>
      <c r="O51" s="210">
        <f t="shared" si="3"/>
        <v>5</v>
      </c>
      <c r="P51" s="210">
        <f t="shared" ref="P51:Q51" si="61">IF(N51="",0,IF(N51&lt;=2,1,IF(N51&lt;=4,2,IF(N51&lt;=5.5,3,4))))</f>
        <v>2</v>
      </c>
      <c r="Q51" s="210">
        <f t="shared" si="61"/>
        <v>3</v>
      </c>
      <c r="R51" s="210" t="str">
        <f t="shared" si="5"/>
        <v>Lv2 → Lv3</v>
      </c>
      <c r="S51" s="210">
        <f t="shared" si="6"/>
        <v>1</v>
      </c>
      <c r="T51" s="210"/>
      <c r="U51" s="210"/>
      <c r="V51" s="211" t="s">
        <v>263</v>
      </c>
      <c r="W51" s="210" t="str">
        <f t="shared" si="7"/>
        <v>QC</v>
      </c>
      <c r="X51" s="210" t="str">
        <f t="shared" si="8"/>
        <v>QC</v>
      </c>
      <c r="Y51" s="210" t="str">
        <f t="shared" si="9"/>
        <v>TBU</v>
      </c>
      <c r="Z51" s="210"/>
      <c r="AA51" s="210"/>
      <c r="AB51" s="210"/>
      <c r="AC51" s="210"/>
      <c r="AD51" s="210"/>
      <c r="AE51" s="210"/>
      <c r="AF51" s="210"/>
      <c r="AG51" s="210"/>
      <c r="AH51" s="210"/>
      <c r="AI51" s="210"/>
      <c r="AJ51" s="210"/>
      <c r="AK51" s="210"/>
      <c r="AL51" s="210"/>
      <c r="AM51" s="214"/>
      <c r="AN51" s="211" t="str">
        <f>IFERROR(__xludf.DUMMYFUNCTION("""COMPUTED_VALUE"""),"203790")</f>
        <v>203790</v>
      </c>
      <c r="AO51" s="210" t="str">
        <f t="shared" si="10"/>
        <v>GSD</v>
      </c>
      <c r="AP51" s="210" t="str">
        <f t="shared" si="11"/>
        <v>GSD</v>
      </c>
      <c r="AQ51" s="210" t="str">
        <f t="shared" si="12"/>
        <v>LBU</v>
      </c>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c r="BU51" s="210"/>
      <c r="BV51" s="210"/>
      <c r="BW51" s="210"/>
      <c r="BX51" s="210"/>
      <c r="BY51" s="210"/>
      <c r="BZ51" s="210"/>
      <c r="CA51" s="210"/>
      <c r="CB51" s="210"/>
      <c r="CC51" s="210"/>
      <c r="CD51" s="210"/>
      <c r="CE51" s="210"/>
      <c r="CF51" s="210"/>
      <c r="CG51" s="210"/>
      <c r="CH51" s="210"/>
      <c r="CI51" s="210"/>
      <c r="CJ51" s="210"/>
      <c r="CK51" s="210"/>
    </row>
    <row r="52">
      <c r="A52" s="222" t="s">
        <v>496</v>
      </c>
      <c r="B52" s="190" t="s">
        <v>497</v>
      </c>
      <c r="C52" s="223" t="s">
        <v>55</v>
      </c>
      <c r="D52" s="223" t="s">
        <v>849</v>
      </c>
      <c r="E52" s="190" t="s">
        <v>21</v>
      </c>
      <c r="F52" s="190"/>
      <c r="G52" s="190"/>
      <c r="H52" s="219">
        <f>IFERROR(
  MINIFS(ATTENDANCE_LOG!$F:$F,
         ATTENDANCE_LOG!$A:$A, C52,
         ATTENDANCE_LOG!$B:$B, E52),
"")</f>
        <v>45637.41667</v>
      </c>
      <c r="I52" s="219">
        <f t="shared" si="2"/>
        <v>45637.41667</v>
      </c>
      <c r="J52" s="190" t="str">
        <f>IFERROR(VLOOKUP(F52, LEVEL_HELPER!$A:$B, 2, 0), "")</f>
        <v/>
      </c>
      <c r="K52" s="190" t="str">
        <f>IFERROR(VLOOKUP(G52, LEVEL_HELPER!$A:$B, 2, 0), "")</f>
        <v/>
      </c>
      <c r="L52" s="220" t="s">
        <v>931</v>
      </c>
      <c r="M52" s="220" t="s">
        <v>925</v>
      </c>
      <c r="N52" s="190" t="str">
        <f t="array" ref="N52">IFERROR(
  INDEX($J$2:$J$543,
    MATCH(A52&amp;TEXT(I52,"yyyy-mm-dd"),
          $A$2:$A$543&amp;TEXT($H$2:$H$543,"yyyy-mm-dd"),
          0)),
"")</f>
        <v/>
      </c>
      <c r="O52" s="210">
        <f t="shared" si="3"/>
        <v>0</v>
      </c>
      <c r="P52" s="210">
        <f t="shared" ref="P52:Q52" si="62">IF(N52="",0,IF(N52&lt;=2,1,IF(N52&lt;=4,2,IF(N52&lt;=5.5,3,4))))</f>
        <v>0</v>
      </c>
      <c r="Q52" s="210">
        <f t="shared" si="62"/>
        <v>1</v>
      </c>
      <c r="R52" s="210" t="str">
        <f t="shared" si="5"/>
        <v>No Data</v>
      </c>
      <c r="S52" s="210">
        <f t="shared" si="6"/>
        <v>1</v>
      </c>
      <c r="T52" s="210"/>
      <c r="U52" s="210"/>
      <c r="V52" s="211" t="s">
        <v>383</v>
      </c>
      <c r="W52" s="210" t="str">
        <f t="shared" si="7"/>
        <v>SM</v>
      </c>
      <c r="X52" s="210" t="str">
        <f t="shared" si="8"/>
        <v>PPO, SM, IM </v>
      </c>
      <c r="Y52" s="210" t="str">
        <f t="shared" si="9"/>
        <v>TBU</v>
      </c>
      <c r="Z52" s="210"/>
      <c r="AA52" s="210"/>
      <c r="AB52" s="210"/>
      <c r="AC52" s="210"/>
      <c r="AD52" s="210"/>
      <c r="AE52" s="210"/>
      <c r="AF52" s="210"/>
      <c r="AG52" s="210"/>
      <c r="AH52" s="210"/>
      <c r="AI52" s="210"/>
      <c r="AJ52" s="210"/>
      <c r="AK52" s="210"/>
      <c r="AL52" s="210"/>
      <c r="AM52" s="214"/>
      <c r="AN52" s="211" t="str">
        <f>IFERROR(__xludf.DUMMYFUNCTION("""COMPUTED_VALUE"""),"193632")</f>
        <v>193632</v>
      </c>
      <c r="AO52" s="210" t="str">
        <f t="shared" si="10"/>
        <v>GSD</v>
      </c>
      <c r="AP52" s="210" t="str">
        <f t="shared" si="11"/>
        <v>GSD</v>
      </c>
      <c r="AQ52" s="210" t="str">
        <f t="shared" si="12"/>
        <v>MOC</v>
      </c>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c r="BU52" s="210"/>
      <c r="BV52" s="210"/>
      <c r="BW52" s="210"/>
      <c r="BX52" s="210"/>
      <c r="BY52" s="210"/>
      <c r="BZ52" s="210"/>
      <c r="CA52" s="210"/>
      <c r="CB52" s="210"/>
      <c r="CC52" s="210"/>
      <c r="CD52" s="210"/>
      <c r="CE52" s="210"/>
      <c r="CF52" s="210"/>
      <c r="CG52" s="210"/>
      <c r="CH52" s="210"/>
      <c r="CI52" s="210"/>
      <c r="CJ52" s="210"/>
      <c r="CK52" s="210"/>
    </row>
    <row r="53">
      <c r="A53" s="222" t="s">
        <v>547</v>
      </c>
      <c r="B53" s="190" t="s">
        <v>548</v>
      </c>
      <c r="C53" s="223" t="s">
        <v>55</v>
      </c>
      <c r="D53" s="223" t="s">
        <v>849</v>
      </c>
      <c r="E53" s="190" t="s">
        <v>21</v>
      </c>
      <c r="F53" s="13" t="s">
        <v>932</v>
      </c>
      <c r="G53" s="13" t="s">
        <v>932</v>
      </c>
      <c r="H53" s="219">
        <f>IFERROR(
  MINIFS(ATTENDANCE_LOG!$F:$F,
         ATTENDANCE_LOG!$A:$A, C53,
         ATTENDANCE_LOG!$B:$B, E53),
"")</f>
        <v>45637.41667</v>
      </c>
      <c r="I53" s="219">
        <f t="shared" si="2"/>
        <v>45637.41667</v>
      </c>
      <c r="J53" s="190">
        <f>IFERROR(VLOOKUP(F53, LEVEL_HELPER!$A:$B, 2, 0), "")</f>
        <v>4.5</v>
      </c>
      <c r="K53" s="190">
        <f>IFERROR(VLOOKUP(G53, LEVEL_HELPER!$A:$B, 2, 0), "")</f>
        <v>4.5</v>
      </c>
      <c r="L53" s="220" t="s">
        <v>931</v>
      </c>
      <c r="M53" s="220" t="s">
        <v>923</v>
      </c>
      <c r="N53" s="190">
        <f t="array" ref="N53">IFERROR(
  INDEX($J$2:$J$543,
    MATCH(A53&amp;TEXT(I53,"yyyy-mm-dd"),
          $A$2:$A$543&amp;TEXT($H$2:$H$543,"yyyy-mm-dd"),
          0)),
"")</f>
        <v>4.5</v>
      </c>
      <c r="O53" s="210">
        <f t="shared" si="3"/>
        <v>5</v>
      </c>
      <c r="P53" s="210">
        <f t="shared" ref="P53:Q53" si="63">IF(N53="",0,IF(N53&lt;=2,1,IF(N53&lt;=4,2,IF(N53&lt;=5.5,3,4))))</f>
        <v>3</v>
      </c>
      <c r="Q53" s="210">
        <f t="shared" si="63"/>
        <v>3</v>
      </c>
      <c r="R53" s="210" t="str">
        <f t="shared" si="5"/>
        <v>Progress within level</v>
      </c>
      <c r="S53" s="210">
        <f t="shared" si="6"/>
        <v>1</v>
      </c>
      <c r="T53" s="210"/>
      <c r="U53" s="210"/>
      <c r="V53" s="211" t="s">
        <v>528</v>
      </c>
      <c r="W53" s="210" t="str">
        <f t="shared" si="7"/>
        <v>DEV</v>
      </c>
      <c r="X53" s="210" t="str">
        <f t="shared" si="8"/>
        <v>DEV, TA</v>
      </c>
      <c r="Y53" s="210" t="str">
        <f t="shared" si="9"/>
        <v>TBU</v>
      </c>
      <c r="Z53" s="210"/>
      <c r="AA53" s="210"/>
      <c r="AB53" s="210"/>
      <c r="AC53" s="210"/>
      <c r="AD53" s="210"/>
      <c r="AE53" s="210"/>
      <c r="AF53" s="210"/>
      <c r="AG53" s="210"/>
      <c r="AH53" s="210"/>
      <c r="AI53" s="210"/>
      <c r="AJ53" s="210"/>
      <c r="AK53" s="210"/>
      <c r="AL53" s="210"/>
      <c r="AM53" s="214"/>
      <c r="AN53" s="211" t="str">
        <f>IFERROR(__xludf.DUMMYFUNCTION("""COMPUTED_VALUE"""),"247097")</f>
        <v>247097</v>
      </c>
      <c r="AO53" s="210" t="str">
        <f t="shared" si="10"/>
        <v>DEV</v>
      </c>
      <c r="AP53" s="210" t="str">
        <f t="shared" si="11"/>
        <v>DEV, TA</v>
      </c>
      <c r="AQ53" s="210" t="str">
        <f t="shared" si="12"/>
        <v>MOC</v>
      </c>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c r="BU53" s="210"/>
      <c r="BV53" s="210"/>
      <c r="BW53" s="210"/>
      <c r="BX53" s="210"/>
      <c r="BY53" s="210"/>
      <c r="BZ53" s="210"/>
      <c r="CA53" s="210"/>
      <c r="CB53" s="210"/>
      <c r="CC53" s="210"/>
      <c r="CD53" s="210"/>
      <c r="CE53" s="210"/>
      <c r="CF53" s="210"/>
      <c r="CG53" s="210"/>
      <c r="CH53" s="210"/>
      <c r="CI53" s="210"/>
      <c r="CJ53" s="210"/>
      <c r="CK53" s="210"/>
    </row>
    <row r="54">
      <c r="A54" s="216" t="s">
        <v>445</v>
      </c>
      <c r="B54" s="217" t="s">
        <v>446</v>
      </c>
      <c r="C54" s="218" t="s">
        <v>56</v>
      </c>
      <c r="D54" s="218" t="s">
        <v>850</v>
      </c>
      <c r="E54" s="217" t="s">
        <v>21</v>
      </c>
      <c r="F54" s="13" t="s">
        <v>932</v>
      </c>
      <c r="G54" s="13" t="s">
        <v>932</v>
      </c>
      <c r="H54" s="219">
        <f>IFERROR(
  MINIFS(ATTENDANCE_LOG!$F:$F,
         ATTENDANCE_LOG!$A:$A, C54,
         ATTENDANCE_LOG!$B:$B, E54),
"")</f>
        <v>45639.41667</v>
      </c>
      <c r="I54" s="219">
        <f t="shared" si="2"/>
        <v>45639.41667</v>
      </c>
      <c r="J54" s="190">
        <f>IFERROR(VLOOKUP(F54, LEVEL_HELPER!$A:$B, 2, 0), "")</f>
        <v>4.5</v>
      </c>
      <c r="K54" s="190">
        <f>IFERROR(VLOOKUP(G54, LEVEL_HELPER!$A:$B, 2, 0), "")</f>
        <v>4.5</v>
      </c>
      <c r="L54" s="220" t="s">
        <v>943</v>
      </c>
      <c r="M54" s="220" t="s">
        <v>923</v>
      </c>
      <c r="N54" s="190">
        <f t="array" ref="N54">IFERROR(
  INDEX($J$2:$J$543,
    MATCH(A54&amp;TEXT(I54,"yyyy-mm-dd"),
          $A$2:$A$543&amp;TEXT($H$2:$H$543,"yyyy-mm-dd"),
          0)),
"")</f>
        <v>4.5</v>
      </c>
      <c r="O54" s="210">
        <f t="shared" si="3"/>
        <v>4.5</v>
      </c>
      <c r="P54" s="210">
        <f t="shared" ref="P54:Q54" si="64">IF(N54="",0,IF(N54&lt;=2,1,IF(N54&lt;=4,2,IF(N54&lt;=5.5,3,4))))</f>
        <v>3</v>
      </c>
      <c r="Q54" s="210">
        <f t="shared" si="64"/>
        <v>3</v>
      </c>
      <c r="R54" s="210" t="str">
        <f t="shared" si="5"/>
        <v>No Progress</v>
      </c>
      <c r="S54" s="210">
        <f t="shared" si="6"/>
        <v>1</v>
      </c>
      <c r="T54" s="210"/>
      <c r="U54" s="210"/>
      <c r="V54" s="211" t="s">
        <v>665</v>
      </c>
      <c r="W54" s="210" t="str">
        <f t="shared" si="7"/>
        <v>DEV</v>
      </c>
      <c r="X54" s="210" t="str">
        <f t="shared" si="8"/>
        <v>DEV, TA</v>
      </c>
      <c r="Y54" s="210" t="str">
        <f t="shared" si="9"/>
        <v>TBU</v>
      </c>
      <c r="Z54" s="210"/>
      <c r="AA54" s="210"/>
      <c r="AB54" s="210"/>
      <c r="AC54" s="210"/>
      <c r="AD54" s="210"/>
      <c r="AE54" s="210"/>
      <c r="AF54" s="210"/>
      <c r="AG54" s="210"/>
      <c r="AH54" s="210"/>
      <c r="AI54" s="210"/>
      <c r="AJ54" s="210"/>
      <c r="AK54" s="210"/>
      <c r="AL54" s="210"/>
      <c r="AM54" s="214"/>
      <c r="AN54" s="211" t="str">
        <f>IFERROR(__xludf.DUMMYFUNCTION("""COMPUTED_VALUE"""),"247062")</f>
        <v>247062</v>
      </c>
      <c r="AO54" s="210" t="str">
        <f t="shared" si="10"/>
        <v>GSD</v>
      </c>
      <c r="AP54" s="210" t="str">
        <f t="shared" si="11"/>
        <v>GSD</v>
      </c>
      <c r="AQ54" s="210" t="str">
        <f t="shared" si="12"/>
        <v>POC</v>
      </c>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c r="BU54" s="210"/>
      <c r="BV54" s="210"/>
      <c r="BW54" s="210"/>
      <c r="BX54" s="210"/>
      <c r="BY54" s="210"/>
      <c r="BZ54" s="210"/>
      <c r="CA54" s="210"/>
      <c r="CB54" s="210"/>
      <c r="CC54" s="210"/>
      <c r="CD54" s="210"/>
      <c r="CE54" s="210"/>
      <c r="CF54" s="210"/>
      <c r="CG54" s="210"/>
      <c r="CH54" s="210"/>
      <c r="CI54" s="210"/>
      <c r="CJ54" s="210"/>
      <c r="CK54" s="210"/>
    </row>
    <row r="55">
      <c r="A55" s="222" t="s">
        <v>176</v>
      </c>
      <c r="B55" s="190" t="s">
        <v>177</v>
      </c>
      <c r="C55" s="223" t="s">
        <v>56</v>
      </c>
      <c r="D55" s="223" t="s">
        <v>850</v>
      </c>
      <c r="E55" s="190" t="s">
        <v>21</v>
      </c>
      <c r="F55" s="13" t="s">
        <v>917</v>
      </c>
      <c r="G55" s="13" t="s">
        <v>932</v>
      </c>
      <c r="H55" s="219">
        <f>IFERROR(
  MINIFS(ATTENDANCE_LOG!$F:$F,
         ATTENDANCE_LOG!$A:$A, C55,
         ATTENDANCE_LOG!$B:$B, E55),
"")</f>
        <v>45639.41667</v>
      </c>
      <c r="I55" s="219">
        <f t="shared" si="2"/>
        <v>45639.41667</v>
      </c>
      <c r="J55" s="190">
        <f>IFERROR(VLOOKUP(F55, LEVEL_HELPER!$A:$B, 2, 0), "")</f>
        <v>2.5</v>
      </c>
      <c r="K55" s="190">
        <f>IFERROR(VLOOKUP(G55, LEVEL_HELPER!$A:$B, 2, 0), "")</f>
        <v>4.5</v>
      </c>
      <c r="L55" s="220" t="s">
        <v>931</v>
      </c>
      <c r="M55" s="220" t="s">
        <v>923</v>
      </c>
      <c r="N55" s="190">
        <f t="array" ref="N55">IFERROR(
  INDEX($J$2:$J$543,
    MATCH(A55&amp;TEXT(I55,"yyyy-mm-dd"),
          $A$2:$A$543&amp;TEXT($H$2:$H$543,"yyyy-mm-dd"),
          0)),
"")</f>
        <v>2.5</v>
      </c>
      <c r="O55" s="210">
        <f t="shared" si="3"/>
        <v>4.5</v>
      </c>
      <c r="P55" s="210">
        <f t="shared" ref="P55:Q55" si="65">IF(N55="",0,IF(N55&lt;=2,1,IF(N55&lt;=4,2,IF(N55&lt;=5.5,3,4))))</f>
        <v>2</v>
      </c>
      <c r="Q55" s="210">
        <f t="shared" si="65"/>
        <v>3</v>
      </c>
      <c r="R55" s="210" t="str">
        <f t="shared" si="5"/>
        <v>Lv2 → Lv3</v>
      </c>
      <c r="S55" s="210">
        <f t="shared" si="6"/>
        <v>1</v>
      </c>
      <c r="T55" s="210"/>
      <c r="U55" s="210"/>
      <c r="V55" s="211" t="s">
        <v>484</v>
      </c>
      <c r="W55" s="210" t="str">
        <f t="shared" si="7"/>
        <v>GSD</v>
      </c>
      <c r="X55" s="210" t="str">
        <f t="shared" si="8"/>
        <v>GSD</v>
      </c>
      <c r="Y55" s="210" t="str">
        <f t="shared" si="9"/>
        <v>ONC</v>
      </c>
      <c r="Z55" s="210"/>
      <c r="AA55" s="210"/>
      <c r="AB55" s="210"/>
      <c r="AC55" s="210"/>
      <c r="AD55" s="210"/>
      <c r="AE55" s="210"/>
      <c r="AF55" s="210"/>
      <c r="AG55" s="210"/>
      <c r="AH55" s="210"/>
      <c r="AI55" s="210"/>
      <c r="AJ55" s="210"/>
      <c r="AK55" s="210"/>
      <c r="AL55" s="210"/>
      <c r="AM55" s="214"/>
      <c r="AN55" s="211" t="str">
        <f>IFERROR(__xludf.DUMMYFUNCTION("""COMPUTED_VALUE"""),"247064")</f>
        <v>247064</v>
      </c>
      <c r="AO55" s="210" t="str">
        <f t="shared" si="10"/>
        <v>GSD</v>
      </c>
      <c r="AP55" s="210" t="str">
        <f t="shared" si="11"/>
        <v>GSD</v>
      </c>
      <c r="AQ55" s="210" t="str">
        <f t="shared" si="12"/>
        <v>POC</v>
      </c>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c r="BU55" s="210"/>
      <c r="BV55" s="210"/>
      <c r="BW55" s="210"/>
      <c r="BX55" s="210"/>
      <c r="BY55" s="210"/>
      <c r="BZ55" s="210"/>
      <c r="CA55" s="210"/>
      <c r="CB55" s="210"/>
      <c r="CC55" s="210"/>
      <c r="CD55" s="210"/>
      <c r="CE55" s="210"/>
      <c r="CF55" s="210"/>
      <c r="CG55" s="210"/>
      <c r="CH55" s="210"/>
      <c r="CI55" s="210"/>
      <c r="CJ55" s="210"/>
      <c r="CK55" s="210"/>
    </row>
    <row r="56">
      <c r="A56" s="222" t="s">
        <v>228</v>
      </c>
      <c r="B56" s="190" t="s">
        <v>229</v>
      </c>
      <c r="C56" s="223" t="s">
        <v>56</v>
      </c>
      <c r="D56" s="223" t="s">
        <v>850</v>
      </c>
      <c r="E56" s="190" t="s">
        <v>21</v>
      </c>
      <c r="F56" s="13" t="s">
        <v>927</v>
      </c>
      <c r="G56" s="13" t="s">
        <v>918</v>
      </c>
      <c r="H56" s="219">
        <f>IFERROR(
  MINIFS(ATTENDANCE_LOG!$F:$F,
         ATTENDANCE_LOG!$A:$A, C56,
         ATTENDANCE_LOG!$B:$B, E56),
"")</f>
        <v>45639.41667</v>
      </c>
      <c r="I56" s="219">
        <f t="shared" si="2"/>
        <v>45639.41667</v>
      </c>
      <c r="J56" s="190">
        <f>IFERROR(VLOOKUP(F56, LEVEL_HELPER!$A:$B, 2, 0), "")</f>
        <v>1</v>
      </c>
      <c r="K56" s="190">
        <f>IFERROR(VLOOKUP(G56, LEVEL_HELPER!$A:$B, 2, 0), "")</f>
        <v>3</v>
      </c>
      <c r="L56" s="220" t="s">
        <v>943</v>
      </c>
      <c r="M56" s="220" t="s">
        <v>923</v>
      </c>
      <c r="N56" s="190">
        <f t="array" ref="N56">IFERROR(
  INDEX($J$2:$J$543,
    MATCH(A56&amp;TEXT(I56,"yyyy-mm-dd"),
          $A$2:$A$543&amp;TEXT($H$2:$H$543,"yyyy-mm-dd"),
          0)),
"")</f>
        <v>1</v>
      </c>
      <c r="O56" s="210">
        <f t="shared" si="3"/>
        <v>3</v>
      </c>
      <c r="P56" s="210">
        <f t="shared" ref="P56:Q56" si="66">IF(N56="",0,IF(N56&lt;=2,1,IF(N56&lt;=4,2,IF(N56&lt;=5.5,3,4))))</f>
        <v>1</v>
      </c>
      <c r="Q56" s="210">
        <f t="shared" si="66"/>
        <v>2</v>
      </c>
      <c r="R56" s="210" t="str">
        <f t="shared" si="5"/>
        <v>Lv1 → Lv2</v>
      </c>
      <c r="S56" s="210">
        <f t="shared" si="6"/>
        <v>1</v>
      </c>
      <c r="T56" s="210"/>
      <c r="U56" s="210"/>
      <c r="V56" s="211" t="s">
        <v>159</v>
      </c>
      <c r="W56" s="210" t="str">
        <f t="shared" si="7"/>
        <v>GSD</v>
      </c>
      <c r="X56" s="210" t="str">
        <f t="shared" si="8"/>
        <v>GSD</v>
      </c>
      <c r="Y56" s="210" t="str">
        <f t="shared" si="9"/>
        <v>LBU</v>
      </c>
      <c r="Z56" s="210"/>
      <c r="AA56" s="210"/>
      <c r="AB56" s="210"/>
      <c r="AC56" s="210"/>
      <c r="AD56" s="210"/>
      <c r="AE56" s="210"/>
      <c r="AF56" s="210"/>
      <c r="AG56" s="210"/>
      <c r="AH56" s="210"/>
      <c r="AI56" s="210"/>
      <c r="AJ56" s="210"/>
      <c r="AK56" s="210"/>
      <c r="AL56" s="210"/>
      <c r="AM56" s="214"/>
      <c r="AN56" s="211" t="str">
        <f>IFERROR(__xludf.DUMMYFUNCTION("""COMPUTED_VALUE"""),"183330")</f>
        <v>183330</v>
      </c>
      <c r="AO56" s="210" t="str">
        <f t="shared" si="10"/>
        <v>GSD</v>
      </c>
      <c r="AP56" s="210" t="str">
        <f t="shared" si="11"/>
        <v>GSD</v>
      </c>
      <c r="AQ56" s="210" t="str">
        <f t="shared" si="12"/>
        <v>TBU</v>
      </c>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c r="BU56" s="210"/>
      <c r="BV56" s="210"/>
      <c r="BW56" s="210"/>
      <c r="BX56" s="210"/>
      <c r="BY56" s="210"/>
      <c r="BZ56" s="210"/>
      <c r="CA56" s="210"/>
      <c r="CB56" s="210"/>
      <c r="CC56" s="210"/>
      <c r="CD56" s="210"/>
      <c r="CE56" s="210"/>
      <c r="CF56" s="210"/>
      <c r="CG56" s="210"/>
      <c r="CH56" s="210"/>
      <c r="CI56" s="210"/>
      <c r="CJ56" s="210"/>
      <c r="CK56" s="210"/>
    </row>
    <row r="57">
      <c r="A57" s="222" t="s">
        <v>482</v>
      </c>
      <c r="B57" s="190" t="s">
        <v>483</v>
      </c>
      <c r="C57" s="223" t="s">
        <v>56</v>
      </c>
      <c r="D57" s="223" t="s">
        <v>850</v>
      </c>
      <c r="E57" s="190" t="s">
        <v>21</v>
      </c>
      <c r="F57" s="13" t="s">
        <v>917</v>
      </c>
      <c r="G57" s="13" t="s">
        <v>935</v>
      </c>
      <c r="H57" s="219">
        <f>IFERROR(
  MINIFS(ATTENDANCE_LOG!$F:$F,
         ATTENDANCE_LOG!$A:$A, C57,
         ATTENDANCE_LOG!$B:$B, E57),
"")</f>
        <v>45639.41667</v>
      </c>
      <c r="I57" s="219">
        <f t="shared" si="2"/>
        <v>45639.41667</v>
      </c>
      <c r="J57" s="190">
        <f>IFERROR(VLOOKUP(F57, LEVEL_HELPER!$A:$B, 2, 0), "")</f>
        <v>2.5</v>
      </c>
      <c r="K57" s="190">
        <f>IFERROR(VLOOKUP(G57, LEVEL_HELPER!$A:$B, 2, 0), "")</f>
        <v>3.5</v>
      </c>
      <c r="L57" s="220" t="s">
        <v>919</v>
      </c>
      <c r="M57" s="220" t="s">
        <v>926</v>
      </c>
      <c r="N57" s="190">
        <f t="array" ref="N57">IFERROR(
  INDEX($J$2:$J$543,
    MATCH(A57&amp;TEXT(I57,"yyyy-mm-dd"),
          $A$2:$A$543&amp;TEXT($H$2:$H$543,"yyyy-mm-dd"),
          0)),
"")</f>
        <v>2.5</v>
      </c>
      <c r="O57" s="210">
        <f t="shared" si="3"/>
        <v>3.5</v>
      </c>
      <c r="P57" s="210">
        <f t="shared" ref="P57:Q57" si="67">IF(N57="",0,IF(N57&lt;=2,1,IF(N57&lt;=4,2,IF(N57&lt;=5.5,3,4))))</f>
        <v>2</v>
      </c>
      <c r="Q57" s="210">
        <f t="shared" si="67"/>
        <v>2</v>
      </c>
      <c r="R57" s="210" t="str">
        <f t="shared" si="5"/>
        <v>Progress within level</v>
      </c>
      <c r="S57" s="210">
        <f t="shared" si="6"/>
        <v>1</v>
      </c>
      <c r="T57" s="210"/>
      <c r="U57" s="210"/>
      <c r="V57" s="211" t="s">
        <v>313</v>
      </c>
      <c r="W57" s="210" t="str">
        <f t="shared" si="7"/>
        <v>GSD</v>
      </c>
      <c r="X57" s="210" t="str">
        <f t="shared" si="8"/>
        <v>GSD</v>
      </c>
      <c r="Y57" s="210" t="str">
        <f t="shared" si="9"/>
        <v>LBU</v>
      </c>
      <c r="Z57" s="210"/>
      <c r="AA57" s="210"/>
      <c r="AB57" s="210"/>
      <c r="AC57" s="210"/>
      <c r="AD57" s="210"/>
      <c r="AE57" s="210"/>
      <c r="AF57" s="210"/>
      <c r="AG57" s="210"/>
      <c r="AH57" s="210"/>
      <c r="AI57" s="210"/>
      <c r="AJ57" s="210"/>
      <c r="AK57" s="210"/>
      <c r="AL57" s="210"/>
      <c r="AM57" s="214"/>
      <c r="AN57" s="211" t="str">
        <f>IFERROR(__xludf.DUMMYFUNCTION("""COMPUTED_VALUE"""),"227122")</f>
        <v>227122</v>
      </c>
      <c r="AO57" s="210" t="str">
        <f t="shared" si="10"/>
        <v>QC</v>
      </c>
      <c r="AP57" s="210" t="str">
        <f t="shared" si="11"/>
        <v>QC</v>
      </c>
      <c r="AQ57" s="210" t="str">
        <f t="shared" si="12"/>
        <v>POC</v>
      </c>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c r="BU57" s="210"/>
      <c r="BV57" s="210"/>
      <c r="BW57" s="210"/>
      <c r="BX57" s="210"/>
      <c r="BY57" s="210"/>
      <c r="BZ57" s="210"/>
      <c r="CA57" s="210"/>
      <c r="CB57" s="210"/>
      <c r="CC57" s="210"/>
      <c r="CD57" s="210"/>
      <c r="CE57" s="210"/>
      <c r="CF57" s="210"/>
      <c r="CG57" s="210"/>
      <c r="CH57" s="210"/>
      <c r="CI57" s="210"/>
      <c r="CJ57" s="210"/>
      <c r="CK57" s="210"/>
    </row>
    <row r="58">
      <c r="A58" s="216" t="s">
        <v>357</v>
      </c>
      <c r="B58" s="217" t="s">
        <v>358</v>
      </c>
      <c r="C58" s="218" t="s">
        <v>57</v>
      </c>
      <c r="D58" s="218" t="s">
        <v>851</v>
      </c>
      <c r="E58" s="217" t="s">
        <v>21</v>
      </c>
      <c r="F58" s="13" t="s">
        <v>917</v>
      </c>
      <c r="G58" s="13" t="s">
        <v>935</v>
      </c>
      <c r="H58" s="219">
        <f>IFERROR(
  MINIFS(ATTENDANCE_LOG!$F:$F,
         ATTENDANCE_LOG!$A:$A, C58,
         ATTENDANCE_LOG!$B:$B, E58),
"")</f>
        <v>45702.45833</v>
      </c>
      <c r="I58" s="219">
        <f t="shared" si="2"/>
        <v>45702.45833</v>
      </c>
      <c r="J58" s="190">
        <f>IFERROR(VLOOKUP(F58, LEVEL_HELPER!$A:$B, 2, 0), "")</f>
        <v>2.5</v>
      </c>
      <c r="K58" s="190">
        <f>IFERROR(VLOOKUP(G58, LEVEL_HELPER!$A:$B, 2, 0), "")</f>
        <v>3.5</v>
      </c>
      <c r="L58" s="220" t="s">
        <v>943</v>
      </c>
      <c r="M58" s="229" t="s">
        <v>922</v>
      </c>
      <c r="N58" s="190">
        <f t="array" ref="N58">IFERROR(
  INDEX($J$2:$J$543,
    MATCH(A58&amp;TEXT(I58,"yyyy-mm-dd"),
          $A$2:$A$543&amp;TEXT($H$2:$H$543,"yyyy-mm-dd"),
          0)),
"")</f>
        <v>2.5</v>
      </c>
      <c r="O58" s="210">
        <f t="shared" si="3"/>
        <v>3.5</v>
      </c>
      <c r="P58" s="210">
        <f t="shared" ref="P58:Q58" si="68">IF(N58="",0,IF(N58&lt;=2,1,IF(N58&lt;=4,2,IF(N58&lt;=5.5,3,4))))</f>
        <v>2</v>
      </c>
      <c r="Q58" s="210">
        <f t="shared" si="68"/>
        <v>2</v>
      </c>
      <c r="R58" s="210" t="str">
        <f t="shared" si="5"/>
        <v>Progress within level</v>
      </c>
      <c r="S58" s="210">
        <f t="shared" si="6"/>
        <v>1</v>
      </c>
      <c r="T58" s="210"/>
      <c r="U58" s="210"/>
      <c r="V58" s="211" t="s">
        <v>433</v>
      </c>
      <c r="W58" s="210" t="str">
        <f t="shared" si="7"/>
        <v>GSD</v>
      </c>
      <c r="X58" s="210" t="str">
        <f t="shared" si="8"/>
        <v>GSD</v>
      </c>
      <c r="Y58" s="210" t="str">
        <f t="shared" si="9"/>
        <v>LBU</v>
      </c>
      <c r="Z58" s="210"/>
      <c r="AA58" s="210"/>
      <c r="AB58" s="210"/>
      <c r="AC58" s="210"/>
      <c r="AD58" s="210"/>
      <c r="AE58" s="210"/>
      <c r="AF58" s="210"/>
      <c r="AG58" s="210"/>
      <c r="AH58" s="210"/>
      <c r="AI58" s="210"/>
      <c r="AJ58" s="210"/>
      <c r="AK58" s="210"/>
      <c r="AL58" s="210"/>
      <c r="AM58" s="214"/>
      <c r="AN58" s="211" t="str">
        <f>IFERROR(__xludf.DUMMYFUNCTION("""COMPUTED_VALUE"""),"247263")</f>
        <v>247263</v>
      </c>
      <c r="AO58" s="210" t="str">
        <f t="shared" si="10"/>
        <v>GSD</v>
      </c>
      <c r="AP58" s="210" t="str">
        <f t="shared" si="11"/>
        <v>GSD</v>
      </c>
      <c r="AQ58" s="210" t="str">
        <f t="shared" si="12"/>
        <v>MOC</v>
      </c>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c r="BU58" s="210"/>
      <c r="BV58" s="210"/>
      <c r="BW58" s="210"/>
      <c r="BX58" s="210"/>
      <c r="BY58" s="210"/>
      <c r="BZ58" s="210"/>
      <c r="CA58" s="210"/>
      <c r="CB58" s="210"/>
      <c r="CC58" s="210"/>
      <c r="CD58" s="210"/>
      <c r="CE58" s="210"/>
      <c r="CF58" s="210"/>
      <c r="CG58" s="210"/>
      <c r="CH58" s="210"/>
      <c r="CI58" s="210"/>
      <c r="CJ58" s="210"/>
      <c r="CK58" s="210"/>
    </row>
    <row r="59">
      <c r="A59" s="222" t="s">
        <v>230</v>
      </c>
      <c r="B59" s="190" t="s">
        <v>231</v>
      </c>
      <c r="C59" s="223" t="s">
        <v>57</v>
      </c>
      <c r="D59" s="223" t="s">
        <v>851</v>
      </c>
      <c r="E59" s="190" t="s">
        <v>21</v>
      </c>
      <c r="F59" s="13" t="s">
        <v>927</v>
      </c>
      <c r="G59" s="13" t="s">
        <v>918</v>
      </c>
      <c r="H59" s="219">
        <f>IFERROR(
  MINIFS(ATTENDANCE_LOG!$F:$F,
         ATTENDANCE_LOG!$A:$A, C59,
         ATTENDANCE_LOG!$B:$B, E59),
"")</f>
        <v>45702.45833</v>
      </c>
      <c r="I59" s="219">
        <f t="shared" si="2"/>
        <v>45702.45833</v>
      </c>
      <c r="J59" s="190">
        <f>IFERROR(VLOOKUP(F59, LEVEL_HELPER!$A:$B, 2, 0), "")</f>
        <v>1</v>
      </c>
      <c r="K59" s="190">
        <f>IFERROR(VLOOKUP(G59, LEVEL_HELPER!$A:$B, 2, 0), "")</f>
        <v>3</v>
      </c>
      <c r="L59" s="220" t="s">
        <v>943</v>
      </c>
      <c r="M59" s="229" t="s">
        <v>922</v>
      </c>
      <c r="N59" s="190">
        <f t="array" ref="N59">IFERROR(
  INDEX($J$2:$J$543,
    MATCH(A59&amp;TEXT(I59,"yyyy-mm-dd"),
          $A$2:$A$543&amp;TEXT($H$2:$H$543,"yyyy-mm-dd"),
          0)),
"")</f>
        <v>1</v>
      </c>
      <c r="O59" s="210">
        <f t="shared" si="3"/>
        <v>3</v>
      </c>
      <c r="P59" s="210">
        <f t="shared" ref="P59:Q59" si="69">IF(N59="",0,IF(N59&lt;=2,1,IF(N59&lt;=4,2,IF(N59&lt;=5.5,3,4))))</f>
        <v>1</v>
      </c>
      <c r="Q59" s="210">
        <f t="shared" si="69"/>
        <v>2</v>
      </c>
      <c r="R59" s="210" t="str">
        <f t="shared" si="5"/>
        <v>Lv1 → Lv2</v>
      </c>
      <c r="S59" s="210">
        <f t="shared" si="6"/>
        <v>1</v>
      </c>
      <c r="T59" s="210"/>
      <c r="U59" s="210"/>
      <c r="V59" s="211" t="s">
        <v>451</v>
      </c>
      <c r="W59" s="210" t="str">
        <f t="shared" si="7"/>
        <v>GSD</v>
      </c>
      <c r="X59" s="210" t="str">
        <f t="shared" si="8"/>
        <v>GSD</v>
      </c>
      <c r="Y59" s="210" t="str">
        <f t="shared" si="9"/>
        <v>LBU</v>
      </c>
      <c r="Z59" s="210"/>
      <c r="AA59" s="210"/>
      <c r="AB59" s="210"/>
      <c r="AC59" s="210"/>
      <c r="AD59" s="210"/>
      <c r="AE59" s="210"/>
      <c r="AF59" s="210"/>
      <c r="AG59" s="210"/>
      <c r="AH59" s="210"/>
      <c r="AI59" s="210"/>
      <c r="AJ59" s="210"/>
      <c r="AK59" s="210"/>
      <c r="AL59" s="210"/>
      <c r="AM59" s="214"/>
      <c r="AN59" s="211" t="str">
        <f>IFERROR(__xludf.DUMMYFUNCTION("""COMPUTED_VALUE"""),"247083")</f>
        <v>247083</v>
      </c>
      <c r="AO59" s="210" t="str">
        <f t="shared" si="10"/>
        <v>GSD</v>
      </c>
      <c r="AP59" s="210" t="str">
        <f t="shared" si="11"/>
        <v>GSD</v>
      </c>
      <c r="AQ59" s="210" t="str">
        <f t="shared" si="12"/>
        <v>LBU</v>
      </c>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c r="BU59" s="210"/>
      <c r="BV59" s="210"/>
      <c r="BW59" s="210"/>
      <c r="BX59" s="210"/>
      <c r="BY59" s="210"/>
      <c r="BZ59" s="210"/>
      <c r="CA59" s="210"/>
      <c r="CB59" s="210"/>
      <c r="CC59" s="210"/>
      <c r="CD59" s="210"/>
      <c r="CE59" s="210"/>
      <c r="CF59" s="210"/>
      <c r="CG59" s="210"/>
      <c r="CH59" s="210"/>
      <c r="CI59" s="210"/>
      <c r="CJ59" s="210"/>
      <c r="CK59" s="210"/>
    </row>
    <row r="60">
      <c r="A60" s="222" t="s">
        <v>568</v>
      </c>
      <c r="B60" s="190" t="s">
        <v>569</v>
      </c>
      <c r="C60" s="223" t="s">
        <v>57</v>
      </c>
      <c r="D60" s="223" t="s">
        <v>851</v>
      </c>
      <c r="E60" s="190" t="s">
        <v>21</v>
      </c>
      <c r="F60" s="13" t="s">
        <v>927</v>
      </c>
      <c r="G60" s="13" t="s">
        <v>918</v>
      </c>
      <c r="H60" s="219">
        <f>IFERROR(
  MINIFS(ATTENDANCE_LOG!$F:$F,
         ATTENDANCE_LOG!$A:$A, C60,
         ATTENDANCE_LOG!$B:$B, E60),
"")</f>
        <v>45702.45833</v>
      </c>
      <c r="I60" s="219">
        <f t="shared" si="2"/>
        <v>45702.45833</v>
      </c>
      <c r="J60" s="190">
        <f>IFERROR(VLOOKUP(F60, LEVEL_HELPER!$A:$B, 2, 0), "")</f>
        <v>1</v>
      </c>
      <c r="K60" s="190">
        <f>IFERROR(VLOOKUP(G60, LEVEL_HELPER!$A:$B, 2, 0), "")</f>
        <v>3</v>
      </c>
      <c r="L60" s="220" t="s">
        <v>943</v>
      </c>
      <c r="M60" s="220" t="s">
        <v>923</v>
      </c>
      <c r="N60" s="190">
        <f t="array" ref="N60">IFERROR(
  INDEX($J$2:$J$543,
    MATCH(A60&amp;TEXT(I60,"yyyy-mm-dd"),
          $A$2:$A$543&amp;TEXT($H$2:$H$543,"yyyy-mm-dd"),
          0)),
"")</f>
        <v>1</v>
      </c>
      <c r="O60" s="210">
        <f t="shared" si="3"/>
        <v>5</v>
      </c>
      <c r="P60" s="210">
        <f t="shared" ref="P60:Q60" si="70">IF(N60="",0,IF(N60&lt;=2,1,IF(N60&lt;=4,2,IF(N60&lt;=5.5,3,4))))</f>
        <v>1</v>
      </c>
      <c r="Q60" s="210">
        <f t="shared" si="70"/>
        <v>3</v>
      </c>
      <c r="R60" s="210" t="str">
        <f t="shared" si="5"/>
        <v>Lv1 → Lv3 (multi)</v>
      </c>
      <c r="S60" s="210">
        <f t="shared" si="6"/>
        <v>1</v>
      </c>
      <c r="T60" s="210"/>
      <c r="U60" s="210"/>
      <c r="V60" s="211" t="s">
        <v>466</v>
      </c>
      <c r="W60" s="210" t="str">
        <f t="shared" si="7"/>
        <v>GSD</v>
      </c>
      <c r="X60" s="210" t="str">
        <f t="shared" si="8"/>
        <v>GSD</v>
      </c>
      <c r="Y60" s="210" t="str">
        <f t="shared" si="9"/>
        <v>LBU</v>
      </c>
      <c r="Z60" s="210"/>
      <c r="AA60" s="210"/>
      <c r="AB60" s="210"/>
      <c r="AC60" s="210"/>
      <c r="AD60" s="210"/>
      <c r="AE60" s="210"/>
      <c r="AF60" s="210"/>
      <c r="AG60" s="210"/>
      <c r="AH60" s="210"/>
      <c r="AI60" s="210"/>
      <c r="AJ60" s="210"/>
      <c r="AK60" s="210"/>
      <c r="AL60" s="210"/>
      <c r="AM60" s="214"/>
      <c r="AN60" s="211" t="str">
        <f>IFERROR(__xludf.DUMMYFUNCTION("""COMPUTED_VALUE"""),"247178")</f>
        <v>247178</v>
      </c>
      <c r="AO60" s="210" t="str">
        <f t="shared" si="10"/>
        <v>GSD</v>
      </c>
      <c r="AP60" s="210" t="str">
        <f t="shared" si="11"/>
        <v>GSD</v>
      </c>
      <c r="AQ60" s="210" t="str">
        <f t="shared" si="12"/>
        <v>LBU</v>
      </c>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c r="BU60" s="210"/>
      <c r="BV60" s="210"/>
      <c r="BW60" s="210"/>
      <c r="BX60" s="210"/>
      <c r="BY60" s="210"/>
      <c r="BZ60" s="210"/>
      <c r="CA60" s="210"/>
      <c r="CB60" s="210"/>
      <c r="CC60" s="210"/>
      <c r="CD60" s="210"/>
      <c r="CE60" s="210"/>
      <c r="CF60" s="210"/>
      <c r="CG60" s="210"/>
      <c r="CH60" s="210"/>
      <c r="CI60" s="210"/>
      <c r="CJ60" s="210"/>
      <c r="CK60" s="210"/>
    </row>
    <row r="61">
      <c r="A61" s="222" t="s">
        <v>625</v>
      </c>
      <c r="B61" s="190" t="s">
        <v>626</v>
      </c>
      <c r="C61" s="223" t="s">
        <v>57</v>
      </c>
      <c r="D61" s="223" t="s">
        <v>851</v>
      </c>
      <c r="E61" s="190" t="s">
        <v>21</v>
      </c>
      <c r="F61" s="13" t="s">
        <v>927</v>
      </c>
      <c r="G61" s="13" t="s">
        <v>918</v>
      </c>
      <c r="H61" s="219">
        <f>IFERROR(
  MINIFS(ATTENDANCE_LOG!$F:$F,
         ATTENDANCE_LOG!$A:$A, C61,
         ATTENDANCE_LOG!$B:$B, E61),
"")</f>
        <v>45702.45833</v>
      </c>
      <c r="I61" s="219">
        <f t="shared" si="2"/>
        <v>45702.45833</v>
      </c>
      <c r="J61" s="190">
        <f>IFERROR(VLOOKUP(F61, LEVEL_HELPER!$A:$B, 2, 0), "")</f>
        <v>1</v>
      </c>
      <c r="K61" s="190">
        <f>IFERROR(VLOOKUP(G61, LEVEL_HELPER!$A:$B, 2, 0), "")</f>
        <v>3</v>
      </c>
      <c r="L61" s="220" t="s">
        <v>943</v>
      </c>
      <c r="M61" s="229" t="s">
        <v>922</v>
      </c>
      <c r="N61" s="190">
        <f t="array" ref="N61">IFERROR(
  INDEX($J$2:$J$543,
    MATCH(A61&amp;TEXT(I61,"yyyy-mm-dd"),
          $A$2:$A$543&amp;TEXT($H$2:$H$543,"yyyy-mm-dd"),
          0)),
"")</f>
        <v>1</v>
      </c>
      <c r="O61" s="210">
        <f t="shared" si="3"/>
        <v>3</v>
      </c>
      <c r="P61" s="210">
        <f t="shared" ref="P61:Q61" si="71">IF(N61="",0,IF(N61&lt;=2,1,IF(N61&lt;=4,2,IF(N61&lt;=5.5,3,4))))</f>
        <v>1</v>
      </c>
      <c r="Q61" s="210">
        <f t="shared" si="71"/>
        <v>2</v>
      </c>
      <c r="R61" s="210" t="str">
        <f t="shared" si="5"/>
        <v>Lv1 → Lv2</v>
      </c>
      <c r="S61" s="210">
        <f t="shared" si="6"/>
        <v>1</v>
      </c>
      <c r="T61" s="210"/>
      <c r="U61" s="210"/>
      <c r="V61" s="211" t="s">
        <v>247</v>
      </c>
      <c r="W61" s="210" t="str">
        <f t="shared" si="7"/>
        <v>GSD</v>
      </c>
      <c r="X61" s="210" t="str">
        <f t="shared" si="8"/>
        <v>GSD</v>
      </c>
      <c r="Y61" s="210" t="str">
        <f t="shared" si="9"/>
        <v>LBU</v>
      </c>
      <c r="Z61" s="210"/>
      <c r="AA61" s="210"/>
      <c r="AB61" s="210"/>
      <c r="AC61" s="210"/>
      <c r="AD61" s="210"/>
      <c r="AE61" s="210"/>
      <c r="AF61" s="210"/>
      <c r="AG61" s="210"/>
      <c r="AH61" s="210"/>
      <c r="AI61" s="210"/>
      <c r="AJ61" s="210"/>
      <c r="AK61" s="210"/>
      <c r="AL61" s="210"/>
      <c r="AM61" s="214"/>
      <c r="AN61" s="211" t="str">
        <f>IFERROR(__xludf.DUMMYFUNCTION("""COMPUTED_VALUE"""),"153139")</f>
        <v>153139</v>
      </c>
      <c r="AO61" s="210" t="str">
        <f t="shared" si="10"/>
        <v>BA</v>
      </c>
      <c r="AP61" s="210" t="str">
        <f t="shared" si="11"/>
        <v>BA, BC</v>
      </c>
      <c r="AQ61" s="210" t="str">
        <f t="shared" si="12"/>
        <v>POC</v>
      </c>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c r="BU61" s="210"/>
      <c r="BV61" s="210"/>
      <c r="BW61" s="210"/>
      <c r="BX61" s="210"/>
      <c r="BY61" s="210"/>
      <c r="BZ61" s="210"/>
      <c r="CA61" s="210"/>
      <c r="CB61" s="210"/>
      <c r="CC61" s="210"/>
      <c r="CD61" s="210"/>
      <c r="CE61" s="210"/>
      <c r="CF61" s="210"/>
      <c r="CG61" s="210"/>
      <c r="CH61" s="210"/>
      <c r="CI61" s="210"/>
      <c r="CJ61" s="210"/>
      <c r="CK61" s="210"/>
    </row>
    <row r="62">
      <c r="A62" s="222" t="s">
        <v>675</v>
      </c>
      <c r="B62" s="190" t="s">
        <v>676</v>
      </c>
      <c r="C62" s="223" t="s">
        <v>57</v>
      </c>
      <c r="D62" s="223" t="s">
        <v>851</v>
      </c>
      <c r="E62" s="190" t="s">
        <v>21</v>
      </c>
      <c r="F62" s="13" t="s">
        <v>917</v>
      </c>
      <c r="G62" s="13" t="s">
        <v>918</v>
      </c>
      <c r="H62" s="219">
        <f>IFERROR(
  MINIFS(ATTENDANCE_LOG!$F:$F,
         ATTENDANCE_LOG!$A:$A, C62,
         ATTENDANCE_LOG!$B:$B, E62),
"")</f>
        <v>45702.45833</v>
      </c>
      <c r="I62" s="219">
        <f t="shared" si="2"/>
        <v>45702.45833</v>
      </c>
      <c r="J62" s="190">
        <f>IFERROR(VLOOKUP(F62, LEVEL_HELPER!$A:$B, 2, 0), "")</f>
        <v>2.5</v>
      </c>
      <c r="K62" s="190">
        <f>IFERROR(VLOOKUP(G62, LEVEL_HELPER!$A:$B, 2, 0), "")</f>
        <v>3</v>
      </c>
      <c r="L62" s="220" t="s">
        <v>919</v>
      </c>
      <c r="M62" s="220" t="s">
        <v>924</v>
      </c>
      <c r="N62" s="190">
        <f t="array" ref="N62">IFERROR(
  INDEX($J$2:$J$543,
    MATCH(A62&amp;TEXT(I62,"yyyy-mm-dd"),
          $A$2:$A$543&amp;TEXT($H$2:$H$543,"yyyy-mm-dd"),
          0)),
"")</f>
        <v>2.5</v>
      </c>
      <c r="O62" s="210">
        <f t="shared" si="3"/>
        <v>3</v>
      </c>
      <c r="P62" s="210">
        <f t="shared" ref="P62:Q62" si="72">IF(N62="",0,IF(N62&lt;=2,1,IF(N62&lt;=4,2,IF(N62&lt;=5.5,3,4))))</f>
        <v>2</v>
      </c>
      <c r="Q62" s="210">
        <f t="shared" si="72"/>
        <v>2</v>
      </c>
      <c r="R62" s="210" t="str">
        <f t="shared" si="5"/>
        <v>Progress within level</v>
      </c>
      <c r="S62" s="210">
        <f t="shared" si="6"/>
        <v>1</v>
      </c>
      <c r="T62" s="210"/>
      <c r="U62" s="210"/>
      <c r="V62" s="211" t="s">
        <v>627</v>
      </c>
      <c r="W62" s="210" t="str">
        <f t="shared" si="7"/>
        <v>UI/UX</v>
      </c>
      <c r="X62" s="210" t="str">
        <f t="shared" si="8"/>
        <v>UI/UX, Des</v>
      </c>
      <c r="Y62" s="210" t="str">
        <f t="shared" si="9"/>
        <v>CHORUS</v>
      </c>
      <c r="Z62" s="210"/>
      <c r="AA62" s="210"/>
      <c r="AB62" s="210"/>
      <c r="AC62" s="210"/>
      <c r="AD62" s="210"/>
      <c r="AE62" s="210"/>
      <c r="AF62" s="210"/>
      <c r="AG62" s="210"/>
      <c r="AH62" s="210"/>
      <c r="AI62" s="210"/>
      <c r="AJ62" s="210"/>
      <c r="AK62" s="210"/>
      <c r="AL62" s="210"/>
      <c r="AM62" s="214"/>
      <c r="AN62" s="211" t="str">
        <f>IFERROR(__xludf.DUMMYFUNCTION("""COMPUTED_VALUE"""),"227091")</f>
        <v>227091</v>
      </c>
      <c r="AO62" s="210" t="str">
        <f t="shared" si="10"/>
        <v>GSD</v>
      </c>
      <c r="AP62" s="210" t="str">
        <f t="shared" si="11"/>
        <v>GSD</v>
      </c>
      <c r="AQ62" s="210" t="str">
        <f t="shared" si="12"/>
        <v>POC</v>
      </c>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c r="BU62" s="210"/>
      <c r="BV62" s="210"/>
      <c r="BW62" s="210"/>
      <c r="BX62" s="210"/>
      <c r="BY62" s="210"/>
      <c r="BZ62" s="210"/>
      <c r="CA62" s="210"/>
      <c r="CB62" s="210"/>
      <c r="CC62" s="210"/>
      <c r="CD62" s="210"/>
      <c r="CE62" s="210"/>
      <c r="CF62" s="210"/>
      <c r="CG62" s="210"/>
      <c r="CH62" s="210"/>
      <c r="CI62" s="210"/>
      <c r="CJ62" s="210"/>
      <c r="CK62" s="210"/>
    </row>
    <row r="63">
      <c r="A63" s="216" t="s">
        <v>357</v>
      </c>
      <c r="B63" s="217" t="s">
        <v>358</v>
      </c>
      <c r="C63" s="218" t="s">
        <v>57</v>
      </c>
      <c r="D63" s="218" t="s">
        <v>851</v>
      </c>
      <c r="E63" s="217" t="s">
        <v>22</v>
      </c>
      <c r="F63" s="13" t="s">
        <v>935</v>
      </c>
      <c r="G63" s="190"/>
      <c r="H63" s="219">
        <f>IFERROR(
  MINIFS(ATTENDANCE_LOG!$F:$F,
         ATTENDANCE_LOG!$A:$A, C63,
         ATTENDANCE_LOG!$B:$B, E63),
"")</f>
        <v>45841.58333</v>
      </c>
      <c r="I63" s="219">
        <f t="shared" si="2"/>
        <v>45702.45833</v>
      </c>
      <c r="J63" s="190">
        <f>IFERROR(VLOOKUP(F63, LEVEL_HELPER!$A:$B, 2, 0), "")</f>
        <v>3.5</v>
      </c>
      <c r="K63" s="190" t="str">
        <f>IFERROR(VLOOKUP(G63, LEVEL_HELPER!$A:$B, 2, 0), "")</f>
        <v/>
      </c>
      <c r="L63" s="220" t="s">
        <v>943</v>
      </c>
      <c r="M63" s="229" t="s">
        <v>922</v>
      </c>
      <c r="N63" s="190">
        <f t="array" ref="N63">IFERROR(
  INDEX($J$2:$J$543,
    MATCH(A63&amp;TEXT(I63,"yyyy-mm-dd"),
          $A$2:$A$543&amp;TEXT($H$2:$H$543,"yyyy-mm-dd"),
          0)),
"")</f>
        <v>2.5</v>
      </c>
      <c r="O63" s="210">
        <f t="shared" si="3"/>
        <v>3.5</v>
      </c>
      <c r="P63" s="210">
        <f t="shared" ref="P63:Q63" si="73">IF(N63="",0,IF(N63&lt;=2,1,IF(N63&lt;=4,2,IF(N63&lt;=5.5,3,4))))</f>
        <v>2</v>
      </c>
      <c r="Q63" s="210">
        <f t="shared" si="73"/>
        <v>2</v>
      </c>
      <c r="R63" s="210" t="str">
        <f t="shared" si="5"/>
        <v>Progress within level</v>
      </c>
      <c r="S63" s="210">
        <f t="shared" si="6"/>
        <v>0</v>
      </c>
      <c r="T63" s="210"/>
      <c r="U63" s="210"/>
      <c r="V63" s="211" t="s">
        <v>216</v>
      </c>
      <c r="W63" s="210" t="str">
        <f t="shared" si="7"/>
        <v>DEV</v>
      </c>
      <c r="X63" s="210" t="str">
        <f t="shared" si="8"/>
        <v>DEV, TA</v>
      </c>
      <c r="Y63" s="210" t="str">
        <f t="shared" si="9"/>
        <v>CHORUS</v>
      </c>
      <c r="Z63" s="210"/>
      <c r="AA63" s="210"/>
      <c r="AB63" s="210"/>
      <c r="AC63" s="210"/>
      <c r="AD63" s="210"/>
      <c r="AE63" s="210"/>
      <c r="AF63" s="210"/>
      <c r="AG63" s="210"/>
      <c r="AH63" s="210"/>
      <c r="AI63" s="210"/>
      <c r="AJ63" s="210"/>
      <c r="AK63" s="210"/>
      <c r="AL63" s="210"/>
      <c r="AM63" s="214"/>
      <c r="AN63" s="211" t="str">
        <f>IFERROR(__xludf.DUMMYFUNCTION("""COMPUTED_VALUE"""),"193523")</f>
        <v>193523</v>
      </c>
      <c r="AO63" s="210" t="str">
        <f t="shared" si="10"/>
        <v>DEV</v>
      </c>
      <c r="AP63" s="210" t="str">
        <f t="shared" si="11"/>
        <v>DEV, TA</v>
      </c>
      <c r="AQ63" s="210" t="str">
        <f t="shared" si="12"/>
        <v>TBU</v>
      </c>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c r="BU63" s="210"/>
      <c r="BV63" s="210"/>
      <c r="BW63" s="210"/>
      <c r="BX63" s="210"/>
      <c r="BY63" s="210"/>
      <c r="BZ63" s="210"/>
      <c r="CA63" s="210"/>
      <c r="CB63" s="210"/>
      <c r="CC63" s="210"/>
      <c r="CD63" s="210"/>
      <c r="CE63" s="210"/>
      <c r="CF63" s="210"/>
      <c r="CG63" s="210"/>
      <c r="CH63" s="210"/>
      <c r="CI63" s="210"/>
      <c r="CJ63" s="210"/>
      <c r="CK63" s="210"/>
    </row>
    <row r="64">
      <c r="A64" s="222" t="s">
        <v>167</v>
      </c>
      <c r="B64" s="190" t="s">
        <v>168</v>
      </c>
      <c r="C64" s="223" t="s">
        <v>57</v>
      </c>
      <c r="D64" s="223" t="s">
        <v>851</v>
      </c>
      <c r="E64" s="190" t="s">
        <v>22</v>
      </c>
      <c r="F64" s="190"/>
      <c r="G64" s="190"/>
      <c r="H64" s="219">
        <f>IFERROR(
  MINIFS(ATTENDANCE_LOG!$F:$F,
         ATTENDANCE_LOG!$A:$A, C64,
         ATTENDANCE_LOG!$B:$B, E64),
"")</f>
        <v>45841.58333</v>
      </c>
      <c r="I64" s="219">
        <f t="shared" si="2"/>
        <v>45638.41667</v>
      </c>
      <c r="J64" s="190" t="str">
        <f>IFERROR(VLOOKUP(F64, LEVEL_HELPER!$A:$B, 2, 0), "")</f>
        <v/>
      </c>
      <c r="K64" s="190" t="str">
        <f>IFERROR(VLOOKUP(G64, LEVEL_HELPER!$A:$B, 2, 0), "")</f>
        <v/>
      </c>
      <c r="L64" s="220" t="s">
        <v>919</v>
      </c>
      <c r="M64" s="220" t="s">
        <v>923</v>
      </c>
      <c r="N64" s="190">
        <f t="array" ref="N64">IFERROR(
  INDEX($J$2:$J$543,
    MATCH(A64&amp;TEXT(I64,"yyyy-mm-dd"),
          $A$2:$A$543&amp;TEXT($H$2:$H$543,"yyyy-mm-dd"),
          0)),
"")</f>
        <v>1</v>
      </c>
      <c r="O64" s="210">
        <f t="shared" si="3"/>
        <v>1.5</v>
      </c>
      <c r="P64" s="210">
        <f t="shared" ref="P64:Q64" si="74">IF(N64="",0,IF(N64&lt;=2,1,IF(N64&lt;=4,2,IF(N64&lt;=5.5,3,4))))</f>
        <v>1</v>
      </c>
      <c r="Q64" s="210">
        <f t="shared" si="74"/>
        <v>1</v>
      </c>
      <c r="R64" s="210" t="str">
        <f t="shared" si="5"/>
        <v>Progress within level</v>
      </c>
      <c r="S64" s="210">
        <f t="shared" si="6"/>
        <v>1</v>
      </c>
      <c r="T64" s="210"/>
      <c r="U64" s="210"/>
      <c r="V64" s="211" t="s">
        <v>232</v>
      </c>
      <c r="W64" s="210" t="str">
        <f t="shared" si="7"/>
        <v>DEV</v>
      </c>
      <c r="X64" s="210" t="str">
        <f t="shared" si="8"/>
        <v>DEV, TA</v>
      </c>
      <c r="Y64" s="210" t="str">
        <f t="shared" si="9"/>
        <v>CHORUS</v>
      </c>
      <c r="Z64" s="210"/>
      <c r="AA64" s="210"/>
      <c r="AB64" s="210"/>
      <c r="AC64" s="210"/>
      <c r="AD64" s="210"/>
      <c r="AE64" s="210"/>
      <c r="AF64" s="210"/>
      <c r="AG64" s="210"/>
      <c r="AH64" s="210"/>
      <c r="AI64" s="210"/>
      <c r="AJ64" s="210"/>
      <c r="AK64" s="210"/>
      <c r="AL64" s="210"/>
      <c r="AM64" s="214"/>
      <c r="AN64" s="211" t="str">
        <f>IFERROR(__xludf.DUMMYFUNCTION("""COMPUTED_VALUE"""),"247119")</f>
        <v>247119</v>
      </c>
      <c r="AO64" s="210" t="str">
        <f t="shared" si="10"/>
        <v>DEV</v>
      </c>
      <c r="AP64" s="210" t="str">
        <f t="shared" si="11"/>
        <v>DEV, TA</v>
      </c>
      <c r="AQ64" s="210" t="str">
        <f t="shared" si="12"/>
        <v>MOC</v>
      </c>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c r="BU64" s="210"/>
      <c r="BV64" s="210"/>
      <c r="BW64" s="210"/>
      <c r="BX64" s="210"/>
      <c r="BY64" s="210"/>
      <c r="BZ64" s="210"/>
      <c r="CA64" s="210"/>
      <c r="CB64" s="210"/>
      <c r="CC64" s="210"/>
      <c r="CD64" s="210"/>
      <c r="CE64" s="210"/>
      <c r="CF64" s="210"/>
      <c r="CG64" s="210"/>
      <c r="CH64" s="210"/>
      <c r="CI64" s="210"/>
      <c r="CJ64" s="210"/>
      <c r="CK64" s="210"/>
    </row>
    <row r="65">
      <c r="A65" s="222" t="s">
        <v>184</v>
      </c>
      <c r="B65" s="190" t="s">
        <v>185</v>
      </c>
      <c r="C65" s="223" t="s">
        <v>57</v>
      </c>
      <c r="D65" s="223" t="s">
        <v>851</v>
      </c>
      <c r="E65" s="190" t="s">
        <v>22</v>
      </c>
      <c r="F65" s="190"/>
      <c r="G65" s="190"/>
      <c r="H65" s="219">
        <f>IFERROR(
  MINIFS(ATTENDANCE_LOG!$F:$F,
         ATTENDANCE_LOG!$A:$A, C65,
         ATTENDANCE_LOG!$B:$B, E65),
"")</f>
        <v>45841.58333</v>
      </c>
      <c r="I65" s="219">
        <f t="shared" si="2"/>
        <v>45638.41667</v>
      </c>
      <c r="J65" s="190" t="str">
        <f>IFERROR(VLOOKUP(F65, LEVEL_HELPER!$A:$B, 2, 0), "")</f>
        <v/>
      </c>
      <c r="K65" s="190" t="str">
        <f>IFERROR(VLOOKUP(G65, LEVEL_HELPER!$A:$B, 2, 0), "")</f>
        <v/>
      </c>
      <c r="L65" s="220" t="s">
        <v>943</v>
      </c>
      <c r="M65" s="220" t="s">
        <v>926</v>
      </c>
      <c r="N65" s="190">
        <f t="array" ref="N65">IFERROR(
  INDEX($J$2:$J$543,
    MATCH(A65&amp;TEXT(I65,"yyyy-mm-dd"),
          $A$2:$A$543&amp;TEXT($H$2:$H$543,"yyyy-mm-dd"),
          0)),
"")</f>
        <v>1</v>
      </c>
      <c r="O65" s="210">
        <f t="shared" si="3"/>
        <v>3.5</v>
      </c>
      <c r="P65" s="210">
        <f t="shared" ref="P65:Q65" si="75">IF(N65="",0,IF(N65&lt;=2,1,IF(N65&lt;=4,2,IF(N65&lt;=5.5,3,4))))</f>
        <v>1</v>
      </c>
      <c r="Q65" s="210">
        <f t="shared" si="75"/>
        <v>2</v>
      </c>
      <c r="R65" s="210" t="str">
        <f t="shared" si="5"/>
        <v>Lv1 → Lv2</v>
      </c>
      <c r="S65" s="210">
        <f t="shared" si="6"/>
        <v>1</v>
      </c>
      <c r="T65" s="210"/>
      <c r="U65" s="210"/>
      <c r="V65" s="211" t="s">
        <v>321</v>
      </c>
      <c r="W65" s="210" t="str">
        <f t="shared" si="7"/>
        <v>QC</v>
      </c>
      <c r="X65" s="210" t="str">
        <f t="shared" si="8"/>
        <v>QC</v>
      </c>
      <c r="Y65" s="210" t="str">
        <f t="shared" si="9"/>
        <v>CHORUS</v>
      </c>
      <c r="Z65" s="210"/>
      <c r="AA65" s="210"/>
      <c r="AB65" s="210"/>
      <c r="AC65" s="210"/>
      <c r="AD65" s="210"/>
      <c r="AE65" s="210"/>
      <c r="AF65" s="210"/>
      <c r="AG65" s="210"/>
      <c r="AH65" s="210"/>
      <c r="AI65" s="210"/>
      <c r="AJ65" s="210"/>
      <c r="AK65" s="210"/>
      <c r="AL65" s="210"/>
      <c r="AM65" s="214"/>
      <c r="AN65" s="211" t="str">
        <f>IFERROR(__xludf.DUMMYFUNCTION("""COMPUTED_VALUE"""),"247147")</f>
        <v>247147</v>
      </c>
      <c r="AO65" s="210" t="str">
        <f t="shared" si="10"/>
        <v>GSD</v>
      </c>
      <c r="AP65" s="210" t="str">
        <f t="shared" si="11"/>
        <v>GSD</v>
      </c>
      <c r="AQ65" s="210" t="str">
        <f t="shared" si="12"/>
        <v>POC</v>
      </c>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c r="BU65" s="210"/>
      <c r="BV65" s="210"/>
      <c r="BW65" s="210"/>
      <c r="BX65" s="210"/>
      <c r="BY65" s="210"/>
      <c r="BZ65" s="210"/>
      <c r="CA65" s="210"/>
      <c r="CB65" s="210"/>
      <c r="CC65" s="210"/>
      <c r="CD65" s="210"/>
      <c r="CE65" s="210"/>
      <c r="CF65" s="210"/>
      <c r="CG65" s="210"/>
      <c r="CH65" s="210"/>
      <c r="CI65" s="210"/>
      <c r="CJ65" s="210"/>
      <c r="CK65" s="210"/>
    </row>
    <row r="66">
      <c r="A66" s="222" t="s">
        <v>188</v>
      </c>
      <c r="B66" s="190" t="s">
        <v>189</v>
      </c>
      <c r="C66" s="223" t="s">
        <v>57</v>
      </c>
      <c r="D66" s="223" t="s">
        <v>851</v>
      </c>
      <c r="E66" s="190" t="s">
        <v>22</v>
      </c>
      <c r="F66" s="190"/>
      <c r="G66" s="190"/>
      <c r="H66" s="219">
        <f>IFERROR(
  MINIFS(ATTENDANCE_LOG!$F:$F,
         ATTENDANCE_LOG!$A:$A, C66,
         ATTENDANCE_LOG!$B:$B, E66),
"")</f>
        <v>45841.58333</v>
      </c>
      <c r="I66" s="219">
        <f t="shared" si="2"/>
        <v>45638.41667</v>
      </c>
      <c r="J66" s="190" t="str">
        <f>IFERROR(VLOOKUP(F66, LEVEL_HELPER!$A:$B, 2, 0), "")</f>
        <v/>
      </c>
      <c r="K66" s="190" t="str">
        <f>IFERROR(VLOOKUP(G66, LEVEL_HELPER!$A:$B, 2, 0), "")</f>
        <v/>
      </c>
      <c r="L66" s="220" t="s">
        <v>919</v>
      </c>
      <c r="M66" s="220" t="s">
        <v>923</v>
      </c>
      <c r="N66" s="190">
        <f t="array" ref="N66">IFERROR(
  INDEX($J$2:$J$543,
    MATCH(A66&amp;TEXT(I66,"yyyy-mm-dd"),
          $A$2:$A$543&amp;TEXT($H$2:$H$543,"yyyy-mm-dd"),
          0)),
"")</f>
        <v>1</v>
      </c>
      <c r="O66" s="210">
        <f t="shared" si="3"/>
        <v>3.5</v>
      </c>
      <c r="P66" s="210">
        <f t="shared" ref="P66:Q66" si="76">IF(N66="",0,IF(N66&lt;=2,1,IF(N66&lt;=4,2,IF(N66&lt;=5.5,3,4))))</f>
        <v>1</v>
      </c>
      <c r="Q66" s="210">
        <f t="shared" si="76"/>
        <v>2</v>
      </c>
      <c r="R66" s="210" t="str">
        <f t="shared" si="5"/>
        <v>Lv1 → Lv2</v>
      </c>
      <c r="S66" s="210">
        <f t="shared" si="6"/>
        <v>1</v>
      </c>
      <c r="T66" s="210"/>
      <c r="U66" s="210"/>
      <c r="V66" s="211" t="s">
        <v>689</v>
      </c>
      <c r="W66" s="210" t="str">
        <f t="shared" si="7"/>
        <v>TA</v>
      </c>
      <c r="X66" s="210" t="str">
        <f t="shared" si="8"/>
        <v>DEV, TA</v>
      </c>
      <c r="Y66" s="210" t="str">
        <f t="shared" si="9"/>
        <v>CHORUS</v>
      </c>
      <c r="Z66" s="210"/>
      <c r="AA66" s="210"/>
      <c r="AB66" s="210"/>
      <c r="AC66" s="210"/>
      <c r="AD66" s="210"/>
      <c r="AE66" s="210"/>
      <c r="AF66" s="210"/>
      <c r="AG66" s="210"/>
      <c r="AH66" s="210"/>
      <c r="AI66" s="210"/>
      <c r="AJ66" s="210"/>
      <c r="AK66" s="210"/>
      <c r="AL66" s="210"/>
      <c r="AM66" s="214"/>
      <c r="AN66" s="211" t="str">
        <f>IFERROR(__xludf.DUMMYFUNCTION("""COMPUTED_VALUE"""),"203701")</f>
        <v>203701</v>
      </c>
      <c r="AO66" s="210" t="str">
        <f t="shared" si="10"/>
        <v>DEV</v>
      </c>
      <c r="AP66" s="210" t="str">
        <f t="shared" si="11"/>
        <v>DEV, TA</v>
      </c>
      <c r="AQ66" s="210" t="str">
        <f t="shared" si="12"/>
        <v>MOC</v>
      </c>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c r="BU66" s="210"/>
      <c r="BV66" s="210"/>
      <c r="BW66" s="210"/>
      <c r="BX66" s="210"/>
      <c r="BY66" s="210"/>
      <c r="BZ66" s="210"/>
      <c r="CA66" s="210"/>
      <c r="CB66" s="210"/>
      <c r="CC66" s="210"/>
      <c r="CD66" s="210"/>
      <c r="CE66" s="210"/>
      <c r="CF66" s="210"/>
      <c r="CG66" s="210"/>
      <c r="CH66" s="210"/>
      <c r="CI66" s="210"/>
      <c r="CJ66" s="210"/>
      <c r="CK66" s="210"/>
    </row>
    <row r="67">
      <c r="A67" s="222" t="s">
        <v>230</v>
      </c>
      <c r="B67" s="190" t="s">
        <v>231</v>
      </c>
      <c r="C67" s="223" t="s">
        <v>57</v>
      </c>
      <c r="D67" s="223" t="s">
        <v>851</v>
      </c>
      <c r="E67" s="190" t="s">
        <v>22</v>
      </c>
      <c r="F67" s="13" t="s">
        <v>918</v>
      </c>
      <c r="G67" s="190"/>
      <c r="H67" s="219">
        <f>IFERROR(
  MINIFS(ATTENDANCE_LOG!$F:$F,
         ATTENDANCE_LOG!$A:$A, C67,
         ATTENDANCE_LOG!$B:$B, E67),
"")</f>
        <v>45841.58333</v>
      </c>
      <c r="I67" s="219">
        <f t="shared" si="2"/>
        <v>45702.45833</v>
      </c>
      <c r="J67" s="190">
        <f>IFERROR(VLOOKUP(F67, LEVEL_HELPER!$A:$B, 2, 0), "")</f>
        <v>3</v>
      </c>
      <c r="K67" s="190" t="str">
        <f>IFERROR(VLOOKUP(G67, LEVEL_HELPER!$A:$B, 2, 0), "")</f>
        <v/>
      </c>
      <c r="L67" s="220" t="s">
        <v>943</v>
      </c>
      <c r="M67" s="229" t="s">
        <v>922</v>
      </c>
      <c r="N67" s="190">
        <f t="array" ref="N67">IFERROR(
  INDEX($J$2:$J$543,
    MATCH(A67&amp;TEXT(I67,"yyyy-mm-dd"),
          $A$2:$A$543&amp;TEXT($H$2:$H$543,"yyyy-mm-dd"),
          0)),
"")</f>
        <v>1</v>
      </c>
      <c r="O67" s="210">
        <f t="shared" si="3"/>
        <v>3</v>
      </c>
      <c r="P67" s="210">
        <f t="shared" ref="P67:Q67" si="77">IF(N67="",0,IF(N67&lt;=2,1,IF(N67&lt;=4,2,IF(N67&lt;=5.5,3,4))))</f>
        <v>1</v>
      </c>
      <c r="Q67" s="210">
        <f t="shared" si="77"/>
        <v>2</v>
      </c>
      <c r="R67" s="210" t="str">
        <f t="shared" si="5"/>
        <v>Lv1 → Lv2</v>
      </c>
      <c r="S67" s="210">
        <f t="shared" si="6"/>
        <v>0</v>
      </c>
      <c r="T67" s="210"/>
      <c r="U67" s="210"/>
      <c r="V67" s="211" t="s">
        <v>504</v>
      </c>
      <c r="W67" s="210" t="str">
        <f t="shared" si="7"/>
        <v>DEV</v>
      </c>
      <c r="X67" s="210" t="str">
        <f t="shared" si="8"/>
        <v>DEV, TA</v>
      </c>
      <c r="Y67" s="210" t="str">
        <f t="shared" si="9"/>
        <v>CHORUS</v>
      </c>
      <c r="Z67" s="210"/>
      <c r="AA67" s="210"/>
      <c r="AB67" s="210"/>
      <c r="AC67" s="210"/>
      <c r="AD67" s="210"/>
      <c r="AE67" s="210"/>
      <c r="AF67" s="210"/>
      <c r="AG67" s="210"/>
      <c r="AH67" s="210"/>
      <c r="AI67" s="210"/>
      <c r="AJ67" s="210"/>
      <c r="AK67" s="210"/>
      <c r="AL67" s="210"/>
      <c r="AM67" s="214"/>
      <c r="AN67" s="211" t="str">
        <f>IFERROR(__xludf.DUMMYFUNCTION("""COMPUTED_VALUE"""),"247065")</f>
        <v>247065</v>
      </c>
      <c r="AO67" s="210" t="str">
        <f t="shared" si="10"/>
        <v>DEV</v>
      </c>
      <c r="AP67" s="210" t="str">
        <f t="shared" si="11"/>
        <v>DEV, TA</v>
      </c>
      <c r="AQ67" s="210" t="str">
        <f t="shared" si="12"/>
        <v>ONC</v>
      </c>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c r="BU67" s="210"/>
      <c r="BV67" s="210"/>
      <c r="BW67" s="210"/>
      <c r="BX67" s="210"/>
      <c r="BY67" s="210"/>
      <c r="BZ67" s="210"/>
      <c r="CA67" s="210"/>
      <c r="CB67" s="210"/>
      <c r="CC67" s="210"/>
      <c r="CD67" s="210"/>
      <c r="CE67" s="210"/>
      <c r="CF67" s="210"/>
      <c r="CG67" s="210"/>
      <c r="CH67" s="210"/>
      <c r="CI67" s="210"/>
      <c r="CJ67" s="210"/>
      <c r="CK67" s="210"/>
    </row>
    <row r="68">
      <c r="A68" s="222" t="s">
        <v>568</v>
      </c>
      <c r="B68" s="190" t="s">
        <v>569</v>
      </c>
      <c r="C68" s="223" t="s">
        <v>57</v>
      </c>
      <c r="D68" s="223" t="s">
        <v>851</v>
      </c>
      <c r="E68" s="190" t="s">
        <v>22</v>
      </c>
      <c r="F68" s="13" t="s">
        <v>918</v>
      </c>
      <c r="G68" s="13" t="s">
        <v>941</v>
      </c>
      <c r="H68" s="219">
        <f>IFERROR(
  MINIFS(ATTENDANCE_LOG!$F:$F,
         ATTENDANCE_LOG!$A:$A, C68,
         ATTENDANCE_LOG!$B:$B, E68),
"")</f>
        <v>45841.58333</v>
      </c>
      <c r="I68" s="219">
        <f t="shared" si="2"/>
        <v>45702.45833</v>
      </c>
      <c r="J68" s="190">
        <f>IFERROR(VLOOKUP(F68, LEVEL_HELPER!$A:$B, 2, 0), "")</f>
        <v>3</v>
      </c>
      <c r="K68" s="190">
        <f>IFERROR(VLOOKUP(G68, LEVEL_HELPER!$A:$B, 2, 0), "")</f>
        <v>5</v>
      </c>
      <c r="L68" s="220" t="s">
        <v>943</v>
      </c>
      <c r="M68" s="220" t="s">
        <v>923</v>
      </c>
      <c r="N68" s="190">
        <f t="array" ref="N68">IFERROR(
  INDEX($J$2:$J$543,
    MATCH(A68&amp;TEXT(I68,"yyyy-mm-dd"),
          $A$2:$A$543&amp;TEXT($H$2:$H$543,"yyyy-mm-dd"),
          0)),
"")</f>
        <v>1</v>
      </c>
      <c r="O68" s="210">
        <f t="shared" si="3"/>
        <v>5</v>
      </c>
      <c r="P68" s="210">
        <f t="shared" ref="P68:Q68" si="78">IF(N68="",0,IF(N68&lt;=2,1,IF(N68&lt;=4,2,IF(N68&lt;=5.5,3,4))))</f>
        <v>1</v>
      </c>
      <c r="Q68" s="210">
        <f t="shared" si="78"/>
        <v>3</v>
      </c>
      <c r="R68" s="210" t="str">
        <f t="shared" si="5"/>
        <v>Lv1 → Lv3 (multi)</v>
      </c>
      <c r="S68" s="210">
        <f t="shared" si="6"/>
        <v>0</v>
      </c>
      <c r="T68" s="210"/>
      <c r="U68" s="210"/>
      <c r="V68" s="211" t="s">
        <v>140</v>
      </c>
      <c r="W68" s="210" t="str">
        <f t="shared" si="7"/>
        <v>DEV</v>
      </c>
      <c r="X68" s="210" t="str">
        <f t="shared" si="8"/>
        <v>DEV, TA</v>
      </c>
      <c r="Y68" s="210" t="str">
        <f t="shared" si="9"/>
        <v>CHORUS</v>
      </c>
      <c r="Z68" s="210"/>
      <c r="AA68" s="210"/>
      <c r="AB68" s="210"/>
      <c r="AC68" s="210"/>
      <c r="AD68" s="210"/>
      <c r="AE68" s="210"/>
      <c r="AF68" s="210"/>
      <c r="AG68" s="210"/>
      <c r="AH68" s="210"/>
      <c r="AI68" s="210"/>
      <c r="AJ68" s="210"/>
      <c r="AK68" s="210"/>
      <c r="AL68" s="210"/>
      <c r="AM68" s="214"/>
      <c r="AN68" s="211" t="str">
        <f>IFERROR(__xludf.DUMMYFUNCTION("""COMPUTED_VALUE"""),"193496")</f>
        <v>193496</v>
      </c>
      <c r="AO68" s="210" t="str">
        <f t="shared" si="10"/>
        <v>GSD</v>
      </c>
      <c r="AP68" s="210" t="str">
        <f t="shared" si="11"/>
        <v>GSD</v>
      </c>
      <c r="AQ68" s="210" t="str">
        <f t="shared" si="12"/>
        <v>POC</v>
      </c>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c r="BU68" s="210"/>
      <c r="BV68" s="210"/>
      <c r="BW68" s="210"/>
      <c r="BX68" s="210"/>
      <c r="BY68" s="210"/>
      <c r="BZ68" s="210"/>
      <c r="CA68" s="210"/>
      <c r="CB68" s="210"/>
      <c r="CC68" s="210"/>
      <c r="CD68" s="210"/>
      <c r="CE68" s="210"/>
      <c r="CF68" s="210"/>
      <c r="CG68" s="210"/>
      <c r="CH68" s="210"/>
      <c r="CI68" s="210"/>
      <c r="CJ68" s="210"/>
      <c r="CK68" s="210"/>
    </row>
    <row r="69">
      <c r="A69" s="222" t="s">
        <v>625</v>
      </c>
      <c r="B69" s="190" t="s">
        <v>626</v>
      </c>
      <c r="C69" s="223" t="s">
        <v>57</v>
      </c>
      <c r="D69" s="223" t="s">
        <v>851</v>
      </c>
      <c r="E69" s="190" t="s">
        <v>22</v>
      </c>
      <c r="F69" s="13" t="s">
        <v>918</v>
      </c>
      <c r="G69" s="190"/>
      <c r="H69" s="219">
        <f>IFERROR(
  MINIFS(ATTENDANCE_LOG!$F:$F,
         ATTENDANCE_LOG!$A:$A, C69,
         ATTENDANCE_LOG!$B:$B, E69),
"")</f>
        <v>45841.58333</v>
      </c>
      <c r="I69" s="219">
        <f t="shared" si="2"/>
        <v>45702.45833</v>
      </c>
      <c r="J69" s="190">
        <f>IFERROR(VLOOKUP(F69, LEVEL_HELPER!$A:$B, 2, 0), "")</f>
        <v>3</v>
      </c>
      <c r="K69" s="190" t="str">
        <f>IFERROR(VLOOKUP(G69, LEVEL_HELPER!$A:$B, 2, 0), "")</f>
        <v/>
      </c>
      <c r="L69" s="220" t="s">
        <v>943</v>
      </c>
      <c r="M69" s="229" t="s">
        <v>922</v>
      </c>
      <c r="N69" s="190">
        <f t="array" ref="N69">IFERROR(
  INDEX($J$2:$J$543,
    MATCH(A69&amp;TEXT(I69,"yyyy-mm-dd"),
          $A$2:$A$543&amp;TEXT($H$2:$H$543,"yyyy-mm-dd"),
          0)),
"")</f>
        <v>1</v>
      </c>
      <c r="O69" s="210">
        <f t="shared" si="3"/>
        <v>3</v>
      </c>
      <c r="P69" s="210">
        <f t="shared" ref="P69:Q69" si="79">IF(N69="",0,IF(N69&lt;=2,1,IF(N69&lt;=4,2,IF(N69&lt;=5.5,3,4))))</f>
        <v>1</v>
      </c>
      <c r="Q69" s="210">
        <f t="shared" si="79"/>
        <v>2</v>
      </c>
      <c r="R69" s="210" t="str">
        <f t="shared" si="5"/>
        <v>Lv1 → Lv2</v>
      </c>
      <c r="S69" s="210">
        <f t="shared" si="6"/>
        <v>0</v>
      </c>
      <c r="T69" s="210"/>
      <c r="U69" s="210"/>
      <c r="V69" s="211" t="s">
        <v>340</v>
      </c>
      <c r="W69" s="210" t="str">
        <f t="shared" si="7"/>
        <v>DEV</v>
      </c>
      <c r="X69" s="210" t="str">
        <f t="shared" si="8"/>
        <v>DEV, TA</v>
      </c>
      <c r="Y69" s="210" t="str">
        <f t="shared" si="9"/>
        <v>CHORUS</v>
      </c>
      <c r="Z69" s="210"/>
      <c r="AA69" s="210"/>
      <c r="AB69" s="210"/>
      <c r="AC69" s="210"/>
      <c r="AD69" s="210"/>
      <c r="AE69" s="210"/>
      <c r="AF69" s="210"/>
      <c r="AG69" s="210"/>
      <c r="AH69" s="210"/>
      <c r="AI69" s="210"/>
      <c r="AJ69" s="210"/>
      <c r="AK69" s="210"/>
      <c r="AL69" s="210"/>
      <c r="AM69" s="214"/>
      <c r="AN69" s="211" t="str">
        <f>IFERROR(__xludf.DUMMYFUNCTION("""COMPUTED_VALUE"""),"183427")</f>
        <v>183427</v>
      </c>
      <c r="AO69" s="210" t="str">
        <f t="shared" si="10"/>
        <v>DEV</v>
      </c>
      <c r="AP69" s="210" t="str">
        <f t="shared" si="11"/>
        <v>DEV, TA</v>
      </c>
      <c r="AQ69" s="210" t="str">
        <f t="shared" si="12"/>
        <v>ONC</v>
      </c>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c r="BU69" s="210"/>
      <c r="BV69" s="210"/>
      <c r="BW69" s="210"/>
      <c r="BX69" s="210"/>
      <c r="BY69" s="210"/>
      <c r="BZ69" s="210"/>
      <c r="CA69" s="210"/>
      <c r="CB69" s="210"/>
      <c r="CC69" s="210"/>
      <c r="CD69" s="210"/>
      <c r="CE69" s="210"/>
      <c r="CF69" s="210"/>
      <c r="CG69" s="210"/>
      <c r="CH69" s="210"/>
      <c r="CI69" s="210"/>
      <c r="CJ69" s="210"/>
      <c r="CK69" s="210"/>
    </row>
    <row r="70">
      <c r="A70" s="222" t="s">
        <v>697</v>
      </c>
      <c r="B70" s="190" t="s">
        <v>698</v>
      </c>
      <c r="C70" s="223" t="s">
        <v>57</v>
      </c>
      <c r="D70" s="223" t="s">
        <v>851</v>
      </c>
      <c r="E70" s="190" t="s">
        <v>22</v>
      </c>
      <c r="F70" s="190"/>
      <c r="G70" s="190"/>
      <c r="H70" s="219">
        <f>IFERROR(
  MINIFS(ATTENDANCE_LOG!$F:$F,
         ATTENDANCE_LOG!$A:$A, C70,
         ATTENDANCE_LOG!$B:$B, E70),
"")</f>
        <v>45841.58333</v>
      </c>
      <c r="I70" s="219">
        <f t="shared" si="2"/>
        <v>45638.41667</v>
      </c>
      <c r="J70" s="190" t="str">
        <f>IFERROR(VLOOKUP(F70, LEVEL_HELPER!$A:$B, 2, 0), "")</f>
        <v/>
      </c>
      <c r="K70" s="190" t="str">
        <f>IFERROR(VLOOKUP(G70, LEVEL_HELPER!$A:$B, 2, 0), "")</f>
        <v/>
      </c>
      <c r="L70" s="220" t="s">
        <v>943</v>
      </c>
      <c r="M70" s="220" t="s">
        <v>926</v>
      </c>
      <c r="N70" s="190">
        <f t="array" ref="N70">IFERROR(
  INDEX($J$2:$J$543,
    MATCH(A70&amp;TEXT(I70,"yyyy-mm-dd"),
          $A$2:$A$543&amp;TEXT($H$2:$H$543,"yyyy-mm-dd"),
          0)),
"")</f>
        <v>1</v>
      </c>
      <c r="O70" s="210">
        <f t="shared" si="3"/>
        <v>3</v>
      </c>
      <c r="P70" s="210">
        <f t="shared" ref="P70:Q70" si="80">IF(N70="",0,IF(N70&lt;=2,1,IF(N70&lt;=4,2,IF(N70&lt;=5.5,3,4))))</f>
        <v>1</v>
      </c>
      <c r="Q70" s="210">
        <f t="shared" si="80"/>
        <v>2</v>
      </c>
      <c r="R70" s="210" t="str">
        <f t="shared" si="5"/>
        <v>Lv1 → Lv2</v>
      </c>
      <c r="S70" s="210">
        <f t="shared" si="6"/>
        <v>1</v>
      </c>
      <c r="T70" s="210"/>
      <c r="U70" s="210"/>
      <c r="V70" s="211" t="s">
        <v>395</v>
      </c>
      <c r="W70" s="210" t="str">
        <f t="shared" si="7"/>
        <v>QC</v>
      </c>
      <c r="X70" s="210" t="str">
        <f t="shared" si="8"/>
        <v>QC</v>
      </c>
      <c r="Y70" s="210" t="str">
        <f t="shared" si="9"/>
        <v>CHORUS</v>
      </c>
      <c r="Z70" s="210"/>
      <c r="AA70" s="210"/>
      <c r="AB70" s="210"/>
      <c r="AC70" s="210"/>
      <c r="AD70" s="210"/>
      <c r="AE70" s="210"/>
      <c r="AF70" s="210"/>
      <c r="AG70" s="210"/>
      <c r="AH70" s="210"/>
      <c r="AI70" s="210"/>
      <c r="AJ70" s="210"/>
      <c r="AK70" s="210"/>
      <c r="AL70" s="210"/>
      <c r="AM70" s="214"/>
      <c r="AN70" s="211" t="str">
        <f>IFERROR(__xludf.DUMMYFUNCTION("""COMPUTED_VALUE"""),"193490")</f>
        <v>193490</v>
      </c>
      <c r="AO70" s="210" t="str">
        <f t="shared" si="10"/>
        <v>GSD</v>
      </c>
      <c r="AP70" s="210" t="str">
        <f t="shared" si="11"/>
        <v>GSD</v>
      </c>
      <c r="AQ70" s="210" t="str">
        <f t="shared" si="12"/>
        <v>POC</v>
      </c>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c r="BU70" s="210"/>
      <c r="BV70" s="210"/>
      <c r="BW70" s="210"/>
      <c r="BX70" s="210"/>
      <c r="BY70" s="210"/>
      <c r="BZ70" s="210"/>
      <c r="CA70" s="210"/>
      <c r="CB70" s="210"/>
      <c r="CC70" s="210"/>
      <c r="CD70" s="210"/>
      <c r="CE70" s="210"/>
      <c r="CF70" s="210"/>
      <c r="CG70" s="210"/>
      <c r="CH70" s="210"/>
      <c r="CI70" s="210"/>
      <c r="CJ70" s="210"/>
      <c r="CK70" s="210"/>
    </row>
    <row r="71">
      <c r="A71" s="216" t="s">
        <v>603</v>
      </c>
      <c r="B71" s="217" t="s">
        <v>604</v>
      </c>
      <c r="C71" s="218" t="s">
        <v>58</v>
      </c>
      <c r="D71" s="218" t="s">
        <v>852</v>
      </c>
      <c r="E71" s="217" t="s">
        <v>24</v>
      </c>
      <c r="F71" s="190"/>
      <c r="G71" s="190"/>
      <c r="H71" s="219">
        <f>IFERROR(
  MINIFS(ATTENDANCE_LOG!$F:$F,
         ATTENDANCE_LOG!$A:$A, C71,
         ATTENDANCE_LOG!$B:$B, E71),
"")</f>
        <v>0</v>
      </c>
      <c r="I71" s="219">
        <f t="shared" si="2"/>
        <v>45772.58333</v>
      </c>
      <c r="J71" s="190" t="str">
        <f>IFERROR(VLOOKUP(F71, LEVEL_HELPER!$A:$B, 2, 0), "")</f>
        <v/>
      </c>
      <c r="K71" s="190" t="str">
        <f>IFERROR(VLOOKUP(G71, LEVEL_HELPER!$A:$B, 2, 0), "")</f>
        <v/>
      </c>
      <c r="L71" s="220" t="s">
        <v>943</v>
      </c>
      <c r="M71" s="220" t="s">
        <v>926</v>
      </c>
      <c r="N71" s="190">
        <f t="array" ref="N71">IFERROR(
  INDEX($J$2:$J$543,
    MATCH(A71&amp;TEXT(I71,"yyyy-mm-dd"),
          $A$2:$A$543&amp;TEXT($H$2:$H$543,"yyyy-mm-dd"),
          0)),
"")</f>
        <v>1</v>
      </c>
      <c r="O71" s="210">
        <f t="shared" si="3"/>
        <v>5</v>
      </c>
      <c r="P71" s="210">
        <f t="shared" ref="P71:Q71" si="81">IF(N71="",0,IF(N71&lt;=2,1,IF(N71&lt;=4,2,IF(N71&lt;=5.5,3,4))))</f>
        <v>1</v>
      </c>
      <c r="Q71" s="210">
        <f t="shared" si="81"/>
        <v>3</v>
      </c>
      <c r="R71" s="210" t="str">
        <f t="shared" si="5"/>
        <v>Lv1 → Lv3 (multi)</v>
      </c>
      <c r="S71" s="210">
        <f t="shared" si="6"/>
        <v>1</v>
      </c>
      <c r="T71" s="210"/>
      <c r="U71" s="210"/>
      <c r="V71" s="211" t="s">
        <v>583</v>
      </c>
      <c r="W71" s="210" t="str">
        <f t="shared" si="7"/>
        <v>DEV</v>
      </c>
      <c r="X71" s="210" t="str">
        <f t="shared" si="8"/>
        <v>DEV, TA</v>
      </c>
      <c r="Y71" s="210" t="str">
        <f t="shared" si="9"/>
        <v>CHORUS</v>
      </c>
      <c r="Z71" s="210"/>
      <c r="AA71" s="210"/>
      <c r="AB71" s="210"/>
      <c r="AC71" s="210"/>
      <c r="AD71" s="210"/>
      <c r="AE71" s="210"/>
      <c r="AF71" s="210"/>
      <c r="AG71" s="210"/>
      <c r="AH71" s="210"/>
      <c r="AI71" s="210"/>
      <c r="AJ71" s="210"/>
      <c r="AK71" s="210"/>
      <c r="AL71" s="210"/>
      <c r="AM71" s="214"/>
      <c r="AN71" s="211" t="str">
        <f>IFERROR(__xludf.DUMMYFUNCTION("""COMPUTED_VALUE"""),"173268")</f>
        <v>173268</v>
      </c>
      <c r="AO71" s="210" t="str">
        <f t="shared" si="10"/>
        <v>GSD</v>
      </c>
      <c r="AP71" s="210" t="str">
        <f t="shared" si="11"/>
        <v>GSD</v>
      </c>
      <c r="AQ71" s="210" t="str">
        <f t="shared" si="12"/>
        <v>TBU</v>
      </c>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c r="BU71" s="210"/>
      <c r="BV71" s="210"/>
      <c r="BW71" s="210"/>
      <c r="BX71" s="210"/>
      <c r="BY71" s="210"/>
      <c r="BZ71" s="210"/>
      <c r="CA71" s="210"/>
      <c r="CB71" s="210"/>
      <c r="CC71" s="210"/>
      <c r="CD71" s="210"/>
      <c r="CE71" s="210"/>
      <c r="CF71" s="210"/>
      <c r="CG71" s="210"/>
      <c r="CH71" s="210"/>
      <c r="CI71" s="210"/>
      <c r="CJ71" s="210"/>
      <c r="CK71" s="210"/>
    </row>
    <row r="72">
      <c r="A72" s="222" t="s">
        <v>239</v>
      </c>
      <c r="B72" s="190" t="s">
        <v>240</v>
      </c>
      <c r="C72" s="223" t="s">
        <v>58</v>
      </c>
      <c r="D72" s="223" t="s">
        <v>852</v>
      </c>
      <c r="E72" s="190" t="s">
        <v>24</v>
      </c>
      <c r="F72" s="190"/>
      <c r="G72" s="190"/>
      <c r="H72" s="219">
        <f>IFERROR(
  MINIFS(ATTENDANCE_LOG!$F:$F,
         ATTENDANCE_LOG!$A:$A, C72,
         ATTENDANCE_LOG!$B:$B, E72),
"")</f>
        <v>0</v>
      </c>
      <c r="I72" s="219">
        <f t="shared" si="2"/>
        <v>45772.58333</v>
      </c>
      <c r="J72" s="190" t="str">
        <f>IFERROR(VLOOKUP(F72, LEVEL_HELPER!$A:$B, 2, 0), "")</f>
        <v/>
      </c>
      <c r="K72" s="190" t="str">
        <f>IFERROR(VLOOKUP(G72, LEVEL_HELPER!$A:$B, 2, 0), "")</f>
        <v/>
      </c>
      <c r="L72" s="220" t="s">
        <v>943</v>
      </c>
      <c r="M72" s="220" t="s">
        <v>926</v>
      </c>
      <c r="N72" s="190">
        <f t="array" ref="N72">IFERROR(
  INDEX($J$2:$J$543,
    MATCH(A72&amp;TEXT(I72,"yyyy-mm-dd"),
          $A$2:$A$543&amp;TEXT($H$2:$H$543,"yyyy-mm-dd"),
          0)),
"")</f>
        <v>1</v>
      </c>
      <c r="O72" s="210">
        <f t="shared" si="3"/>
        <v>5</v>
      </c>
      <c r="P72" s="210">
        <f t="shared" ref="P72:Q72" si="82">IF(N72="",0,IF(N72&lt;=2,1,IF(N72&lt;=4,2,IF(N72&lt;=5.5,3,4))))</f>
        <v>1</v>
      </c>
      <c r="Q72" s="210">
        <f t="shared" si="82"/>
        <v>3</v>
      </c>
      <c r="R72" s="210" t="str">
        <f t="shared" si="5"/>
        <v>Lv1 → Lv3 (multi)</v>
      </c>
      <c r="S72" s="210">
        <f t="shared" si="6"/>
        <v>1</v>
      </c>
      <c r="T72" s="210"/>
      <c r="U72" s="210"/>
      <c r="V72" s="211" t="s">
        <v>307</v>
      </c>
      <c r="W72" s="210" t="str">
        <f t="shared" si="7"/>
        <v>DEV</v>
      </c>
      <c r="X72" s="210" t="str">
        <f t="shared" si="8"/>
        <v>DEV, TA</v>
      </c>
      <c r="Y72" s="210" t="str">
        <f t="shared" si="9"/>
        <v>CHORUS</v>
      </c>
      <c r="Z72" s="210"/>
      <c r="AA72" s="210"/>
      <c r="AB72" s="210"/>
      <c r="AC72" s="210"/>
      <c r="AD72" s="210"/>
      <c r="AE72" s="210"/>
      <c r="AF72" s="210"/>
      <c r="AG72" s="210"/>
      <c r="AH72" s="210"/>
      <c r="AI72" s="210"/>
      <c r="AJ72" s="210"/>
      <c r="AK72" s="210"/>
      <c r="AL72" s="210"/>
      <c r="AM72" s="214"/>
      <c r="AN72" s="211" t="str">
        <f>IFERROR(__xludf.DUMMYFUNCTION("""COMPUTED_VALUE"""),"183379")</f>
        <v>183379</v>
      </c>
      <c r="AO72" s="210" t="str">
        <f t="shared" si="10"/>
        <v>DEV</v>
      </c>
      <c r="AP72" s="210" t="str">
        <f t="shared" si="11"/>
        <v>DEV, TA</v>
      </c>
      <c r="AQ72" s="210" t="str">
        <f t="shared" si="12"/>
        <v>ONC</v>
      </c>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c r="BU72" s="210"/>
      <c r="BV72" s="210"/>
      <c r="BW72" s="210"/>
      <c r="BX72" s="210"/>
      <c r="BY72" s="210"/>
      <c r="BZ72" s="210"/>
      <c r="CA72" s="210"/>
      <c r="CB72" s="210"/>
      <c r="CC72" s="210"/>
      <c r="CD72" s="210"/>
      <c r="CE72" s="210"/>
      <c r="CF72" s="210"/>
      <c r="CG72" s="210"/>
      <c r="CH72" s="210"/>
      <c r="CI72" s="210"/>
      <c r="CJ72" s="210"/>
      <c r="CK72" s="210"/>
    </row>
    <row r="73">
      <c r="A73" s="222" t="s">
        <v>263</v>
      </c>
      <c r="B73" s="190" t="s">
        <v>264</v>
      </c>
      <c r="C73" s="223" t="s">
        <v>58</v>
      </c>
      <c r="D73" s="223" t="s">
        <v>852</v>
      </c>
      <c r="E73" s="190" t="s">
        <v>24</v>
      </c>
      <c r="F73" s="190"/>
      <c r="G73" s="190"/>
      <c r="H73" s="219">
        <f>IFERROR(
  MINIFS(ATTENDANCE_LOG!$F:$F,
         ATTENDANCE_LOG!$A:$A, C73,
         ATTENDANCE_LOG!$B:$B, E73),
"")</f>
        <v>0</v>
      </c>
      <c r="I73" s="219">
        <f t="shared" si="2"/>
        <v>45772.58333</v>
      </c>
      <c r="J73" s="190" t="str">
        <f>IFERROR(VLOOKUP(F73, LEVEL_HELPER!$A:$B, 2, 0), "")</f>
        <v/>
      </c>
      <c r="K73" s="190" t="str">
        <f>IFERROR(VLOOKUP(G73, LEVEL_HELPER!$A:$B, 2, 0), "")</f>
        <v/>
      </c>
      <c r="L73" s="220" t="s">
        <v>919</v>
      </c>
      <c r="M73" s="220" t="s">
        <v>926</v>
      </c>
      <c r="N73" s="190">
        <f t="array" ref="N73">IFERROR(
  INDEX($J$2:$J$543,
    MATCH(A73&amp;TEXT(I73,"yyyy-mm-dd"),
          $A$2:$A$543&amp;TEXT($H$2:$H$543,"yyyy-mm-dd"),
          0)),
"")</f>
        <v>1</v>
      </c>
      <c r="O73" s="210">
        <f t="shared" si="3"/>
        <v>4.5</v>
      </c>
      <c r="P73" s="210">
        <f t="shared" ref="P73:Q73" si="83">IF(N73="",0,IF(N73&lt;=2,1,IF(N73&lt;=4,2,IF(N73&lt;=5.5,3,4))))</f>
        <v>1</v>
      </c>
      <c r="Q73" s="210">
        <f t="shared" si="83"/>
        <v>3</v>
      </c>
      <c r="R73" s="210" t="str">
        <f t="shared" si="5"/>
        <v>Lv1 → Lv3 (multi)</v>
      </c>
      <c r="S73" s="210">
        <f t="shared" si="6"/>
        <v>1</v>
      </c>
      <c r="T73" s="210"/>
      <c r="U73" s="210"/>
      <c r="V73" s="211" t="s">
        <v>190</v>
      </c>
      <c r="W73" s="210" t="str">
        <f t="shared" si="7"/>
        <v>TA</v>
      </c>
      <c r="X73" s="210" t="str">
        <f t="shared" si="8"/>
        <v>DEV, TA</v>
      </c>
      <c r="Y73" s="210" t="str">
        <f t="shared" si="9"/>
        <v>CHORUS</v>
      </c>
      <c r="Z73" s="210"/>
      <c r="AA73" s="210"/>
      <c r="AB73" s="210"/>
      <c r="AC73" s="210"/>
      <c r="AD73" s="210"/>
      <c r="AE73" s="210"/>
      <c r="AF73" s="210"/>
      <c r="AG73" s="210"/>
      <c r="AH73" s="210"/>
      <c r="AI73" s="210"/>
      <c r="AJ73" s="210"/>
      <c r="AK73" s="210"/>
      <c r="AL73" s="210"/>
      <c r="AM73" s="214"/>
      <c r="AN73" s="211" t="str">
        <f>IFERROR(__xludf.DUMMYFUNCTION("""COMPUTED_VALUE"""),"227101")</f>
        <v>227101</v>
      </c>
      <c r="AO73" s="210" t="str">
        <f t="shared" si="10"/>
        <v>DEV</v>
      </c>
      <c r="AP73" s="210" t="str">
        <f t="shared" si="11"/>
        <v>DEV, TA</v>
      </c>
      <c r="AQ73" s="210" t="str">
        <f t="shared" si="12"/>
        <v>ONC</v>
      </c>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c r="BU73" s="210"/>
      <c r="BV73" s="210"/>
      <c r="BW73" s="210"/>
      <c r="BX73" s="210"/>
      <c r="BY73" s="210"/>
      <c r="BZ73" s="210"/>
      <c r="CA73" s="210"/>
      <c r="CB73" s="210"/>
      <c r="CC73" s="210"/>
      <c r="CD73" s="210"/>
      <c r="CE73" s="210"/>
      <c r="CF73" s="210"/>
      <c r="CG73" s="210"/>
      <c r="CH73" s="210"/>
      <c r="CI73" s="210"/>
      <c r="CJ73" s="210"/>
      <c r="CK73" s="210"/>
    </row>
    <row r="74">
      <c r="A74" s="222" t="s">
        <v>383</v>
      </c>
      <c r="B74" s="190" t="s">
        <v>384</v>
      </c>
      <c r="C74" s="223" t="s">
        <v>58</v>
      </c>
      <c r="D74" s="223" t="s">
        <v>852</v>
      </c>
      <c r="E74" s="190" t="s">
        <v>24</v>
      </c>
      <c r="F74" s="190"/>
      <c r="G74" s="190"/>
      <c r="H74" s="219">
        <f>IFERROR(
  MINIFS(ATTENDANCE_LOG!$F:$F,
         ATTENDANCE_LOG!$A:$A, C74,
         ATTENDANCE_LOG!$B:$B, E74),
"")</f>
        <v>0</v>
      </c>
      <c r="I74" s="219">
        <f t="shared" si="2"/>
        <v>45813.45833</v>
      </c>
      <c r="J74" s="190" t="str">
        <f>IFERROR(VLOOKUP(F74, LEVEL_HELPER!$A:$B, 2, 0), "")</f>
        <v/>
      </c>
      <c r="K74" s="190" t="str">
        <f>IFERROR(VLOOKUP(G74, LEVEL_HELPER!$A:$B, 2, 0), "")</f>
        <v/>
      </c>
      <c r="L74" s="220" t="s">
        <v>942</v>
      </c>
      <c r="M74" s="220" t="s">
        <v>926</v>
      </c>
      <c r="N74" s="190">
        <f t="array" ref="N74">IFERROR(
  INDEX($J$2:$J$543,
    MATCH(A74&amp;TEXT(I74,"yyyy-mm-dd"),
          $A$2:$A$543&amp;TEXT($H$2:$H$543,"yyyy-mm-dd"),
          0)),
"")</f>
        <v>4.5</v>
      </c>
      <c r="O74" s="210">
        <f t="shared" si="3"/>
        <v>5.5</v>
      </c>
      <c r="P74" s="210">
        <f t="shared" ref="P74:Q74" si="84">IF(N74="",0,IF(N74&lt;=2,1,IF(N74&lt;=4,2,IF(N74&lt;=5.5,3,4))))</f>
        <v>3</v>
      </c>
      <c r="Q74" s="210">
        <f t="shared" si="84"/>
        <v>3</v>
      </c>
      <c r="R74" s="210" t="str">
        <f t="shared" si="5"/>
        <v>Progress within level</v>
      </c>
      <c r="S74" s="210">
        <f t="shared" si="6"/>
        <v>1</v>
      </c>
      <c r="T74" s="210"/>
      <c r="U74" s="210"/>
      <c r="V74" s="211" t="s">
        <v>198</v>
      </c>
      <c r="W74" s="210" t="str">
        <f t="shared" si="7"/>
        <v>DEV</v>
      </c>
      <c r="X74" s="210" t="str">
        <f t="shared" si="8"/>
        <v>DEV, TA</v>
      </c>
      <c r="Y74" s="210" t="str">
        <f t="shared" si="9"/>
        <v>TBU</v>
      </c>
      <c r="Z74" s="210"/>
      <c r="AA74" s="210"/>
      <c r="AB74" s="210"/>
      <c r="AC74" s="210"/>
      <c r="AD74" s="210"/>
      <c r="AE74" s="210"/>
      <c r="AF74" s="210"/>
      <c r="AG74" s="210"/>
      <c r="AH74" s="210"/>
      <c r="AI74" s="210"/>
      <c r="AJ74" s="210"/>
      <c r="AK74" s="210"/>
      <c r="AL74" s="210"/>
      <c r="AM74" s="214"/>
      <c r="AN74" s="211" t="str">
        <f>IFERROR(__xludf.DUMMYFUNCTION("""COMPUTED_VALUE"""),"193495")</f>
        <v>193495</v>
      </c>
      <c r="AO74" s="210" t="str">
        <f t="shared" si="10"/>
        <v>DEV</v>
      </c>
      <c r="AP74" s="210" t="str">
        <f t="shared" si="11"/>
        <v>DEV, TA</v>
      </c>
      <c r="AQ74" s="210" t="str">
        <f t="shared" si="12"/>
        <v>CHORUS</v>
      </c>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c r="BU74" s="210"/>
      <c r="BV74" s="210"/>
      <c r="BW74" s="210"/>
      <c r="BX74" s="210"/>
      <c r="BY74" s="210"/>
      <c r="BZ74" s="210"/>
      <c r="CA74" s="210"/>
      <c r="CB74" s="210"/>
      <c r="CC74" s="210"/>
      <c r="CD74" s="210"/>
      <c r="CE74" s="210"/>
      <c r="CF74" s="210"/>
      <c r="CG74" s="210"/>
      <c r="CH74" s="210"/>
      <c r="CI74" s="210"/>
      <c r="CJ74" s="210"/>
      <c r="CK74" s="210"/>
    </row>
    <row r="75">
      <c r="A75" s="222" t="s">
        <v>528</v>
      </c>
      <c r="B75" s="190" t="s">
        <v>529</v>
      </c>
      <c r="C75" s="223" t="s">
        <v>58</v>
      </c>
      <c r="D75" s="223" t="s">
        <v>852</v>
      </c>
      <c r="E75" s="190" t="s">
        <v>24</v>
      </c>
      <c r="F75" s="190"/>
      <c r="G75" s="190"/>
      <c r="H75" s="219">
        <f>IFERROR(
  MINIFS(ATTENDANCE_LOG!$F:$F,
         ATTENDANCE_LOG!$A:$A, C75,
         ATTENDANCE_LOG!$B:$B, E75),
"")</f>
        <v>0</v>
      </c>
      <c r="I75" s="219">
        <f t="shared" si="2"/>
        <v>45772.58333</v>
      </c>
      <c r="J75" s="190" t="str">
        <f>IFERROR(VLOOKUP(F75, LEVEL_HELPER!$A:$B, 2, 0), "")</f>
        <v/>
      </c>
      <c r="K75" s="190" t="str">
        <f>IFERROR(VLOOKUP(G75, LEVEL_HELPER!$A:$B, 2, 0), "")</f>
        <v/>
      </c>
      <c r="L75" s="220" t="s">
        <v>943</v>
      </c>
      <c r="M75" s="220" t="s">
        <v>926</v>
      </c>
      <c r="N75" s="190">
        <f t="array" ref="N75">IFERROR(
  INDEX($J$2:$J$543,
    MATCH(A75&amp;TEXT(I75,"yyyy-mm-dd"),
          $A$2:$A$543&amp;TEXT($H$2:$H$543,"yyyy-mm-dd"),
          0)),
"")</f>
        <v>1</v>
      </c>
      <c r="O75" s="210">
        <f t="shared" si="3"/>
        <v>5</v>
      </c>
      <c r="P75" s="210">
        <f t="shared" ref="P75:Q75" si="85">IF(N75="",0,IF(N75&lt;=2,1,IF(N75&lt;=4,2,IF(N75&lt;=5.5,3,4))))</f>
        <v>1</v>
      </c>
      <c r="Q75" s="210">
        <f t="shared" si="85"/>
        <v>3</v>
      </c>
      <c r="R75" s="210" t="str">
        <f t="shared" si="5"/>
        <v>Lv1 → Lv3 (multi)</v>
      </c>
      <c r="S75" s="210">
        <f t="shared" si="6"/>
        <v>1</v>
      </c>
      <c r="T75" s="210"/>
      <c r="U75" s="210"/>
      <c r="V75" s="211" t="s">
        <v>237</v>
      </c>
      <c r="W75" s="210" t="str">
        <f t="shared" si="7"/>
        <v>QC</v>
      </c>
      <c r="X75" s="210" t="str">
        <f t="shared" si="8"/>
        <v>QC</v>
      </c>
      <c r="Y75" s="210" t="str">
        <f t="shared" si="9"/>
        <v>CHORUS</v>
      </c>
      <c r="Z75" s="210"/>
      <c r="AA75" s="210"/>
      <c r="AB75" s="210"/>
      <c r="AC75" s="210"/>
      <c r="AD75" s="210"/>
      <c r="AE75" s="210"/>
      <c r="AF75" s="210"/>
      <c r="AG75" s="210"/>
      <c r="AH75" s="210"/>
      <c r="AI75" s="210"/>
      <c r="AJ75" s="210"/>
      <c r="AK75" s="210"/>
      <c r="AL75" s="210"/>
      <c r="AM75" s="214"/>
      <c r="AN75" s="211" t="str">
        <f>IFERROR(__xludf.DUMMYFUNCTION("""COMPUTED_VALUE"""),"247262")</f>
        <v>247262</v>
      </c>
      <c r="AO75" s="210" t="str">
        <f t="shared" si="10"/>
        <v>GSD</v>
      </c>
      <c r="AP75" s="210" t="str">
        <f t="shared" si="11"/>
        <v>GSD</v>
      </c>
      <c r="AQ75" s="210" t="str">
        <f t="shared" si="12"/>
        <v>MOC</v>
      </c>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c r="BU75" s="210"/>
      <c r="BV75" s="210"/>
      <c r="BW75" s="210"/>
      <c r="BX75" s="210"/>
      <c r="BY75" s="210"/>
      <c r="BZ75" s="210"/>
      <c r="CA75" s="210"/>
      <c r="CB75" s="210"/>
      <c r="CC75" s="210"/>
      <c r="CD75" s="210"/>
      <c r="CE75" s="210"/>
      <c r="CF75" s="210"/>
      <c r="CG75" s="210"/>
      <c r="CH75" s="210"/>
      <c r="CI75" s="210"/>
      <c r="CJ75" s="210"/>
      <c r="CK75" s="210"/>
    </row>
    <row r="76">
      <c r="A76" s="222" t="s">
        <v>665</v>
      </c>
      <c r="B76" s="190" t="s">
        <v>666</v>
      </c>
      <c r="C76" s="223" t="s">
        <v>58</v>
      </c>
      <c r="D76" s="223" t="s">
        <v>852</v>
      </c>
      <c r="E76" s="190" t="s">
        <v>24</v>
      </c>
      <c r="F76" s="190"/>
      <c r="G76" s="190"/>
      <c r="H76" s="219">
        <f>IFERROR(
  MINIFS(ATTENDANCE_LOG!$F:$F,
         ATTENDANCE_LOG!$A:$A, C76,
         ATTENDANCE_LOG!$B:$B, E76),
"")</f>
        <v>0</v>
      </c>
      <c r="I76" s="219">
        <f t="shared" si="2"/>
        <v>45772.58333</v>
      </c>
      <c r="J76" s="190" t="str">
        <f>IFERROR(VLOOKUP(F76, LEVEL_HELPER!$A:$B, 2, 0), "")</f>
        <v/>
      </c>
      <c r="K76" s="190" t="str">
        <f>IFERROR(VLOOKUP(G76, LEVEL_HELPER!$A:$B, 2, 0), "")</f>
        <v/>
      </c>
      <c r="L76" s="220" t="s">
        <v>943</v>
      </c>
      <c r="M76" s="220" t="s">
        <v>926</v>
      </c>
      <c r="N76" s="190">
        <f t="array" ref="N76">IFERROR(
  INDEX($J$2:$J$543,
    MATCH(A76&amp;TEXT(I76,"yyyy-mm-dd"),
          $A$2:$A$543&amp;TEXT($H$2:$H$543,"yyyy-mm-dd"),
          0)),
"")</f>
        <v>1</v>
      </c>
      <c r="O76" s="210">
        <f t="shared" si="3"/>
        <v>5</v>
      </c>
      <c r="P76" s="210">
        <f t="shared" ref="P76:Q76" si="86">IF(N76="",0,IF(N76&lt;=2,1,IF(N76&lt;=4,2,IF(N76&lt;=5.5,3,4))))</f>
        <v>1</v>
      </c>
      <c r="Q76" s="210">
        <f t="shared" si="86"/>
        <v>3</v>
      </c>
      <c r="R76" s="210" t="str">
        <f t="shared" si="5"/>
        <v>Lv1 → Lv3 (multi)</v>
      </c>
      <c r="S76" s="210">
        <f t="shared" si="6"/>
        <v>1</v>
      </c>
      <c r="T76" s="210"/>
      <c r="U76" s="210"/>
      <c r="V76" s="211" t="s">
        <v>249</v>
      </c>
      <c r="W76" s="210" t="str">
        <f t="shared" si="7"/>
        <v>DEV</v>
      </c>
      <c r="X76" s="210" t="str">
        <f t="shared" si="8"/>
        <v>DEV, TA</v>
      </c>
      <c r="Y76" s="210" t="str">
        <f t="shared" si="9"/>
        <v>CHORUS</v>
      </c>
      <c r="Z76" s="210"/>
      <c r="AA76" s="210"/>
      <c r="AB76" s="210"/>
      <c r="AC76" s="210"/>
      <c r="AD76" s="210"/>
      <c r="AE76" s="210"/>
      <c r="AF76" s="210"/>
      <c r="AG76" s="210"/>
      <c r="AH76" s="210"/>
      <c r="AI76" s="210"/>
      <c r="AJ76" s="210"/>
      <c r="AK76" s="210"/>
      <c r="AL76" s="210"/>
      <c r="AM76" s="214"/>
      <c r="AN76" s="211" t="str">
        <f>IFERROR(__xludf.DUMMYFUNCTION("""COMPUTED_VALUE"""),"193516")</f>
        <v>193516</v>
      </c>
      <c r="AO76" s="210" t="str">
        <f t="shared" si="10"/>
        <v>DEV</v>
      </c>
      <c r="AP76" s="210" t="str">
        <f t="shared" si="11"/>
        <v>DEV, TA</v>
      </c>
      <c r="AQ76" s="210" t="str">
        <f t="shared" si="12"/>
        <v>ONC</v>
      </c>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c r="BU76" s="210"/>
      <c r="BV76" s="210"/>
      <c r="BW76" s="210"/>
      <c r="BX76" s="210"/>
      <c r="BY76" s="210"/>
      <c r="BZ76" s="210"/>
      <c r="CA76" s="210"/>
      <c r="CB76" s="210"/>
      <c r="CC76" s="210"/>
      <c r="CD76" s="210"/>
      <c r="CE76" s="210"/>
      <c r="CF76" s="210"/>
      <c r="CG76" s="210"/>
      <c r="CH76" s="210"/>
      <c r="CI76" s="210"/>
      <c r="CJ76" s="210"/>
      <c r="CK76" s="210"/>
    </row>
    <row r="77">
      <c r="A77" s="216" t="s">
        <v>603</v>
      </c>
      <c r="B77" s="217" t="s">
        <v>604</v>
      </c>
      <c r="C77" s="218" t="s">
        <v>58</v>
      </c>
      <c r="D77" s="218" t="s">
        <v>852</v>
      </c>
      <c r="E77" s="217" t="s">
        <v>21</v>
      </c>
      <c r="F77" s="13" t="s">
        <v>927</v>
      </c>
      <c r="G77" s="13" t="s">
        <v>918</v>
      </c>
      <c r="H77" s="219">
        <f>IFERROR(
  MINIFS(ATTENDANCE_LOG!$F:$F,
         ATTENDANCE_LOG!$A:$A, C77,
         ATTENDANCE_LOG!$B:$B, E77),
"")</f>
        <v>45772.58333</v>
      </c>
      <c r="I77" s="219">
        <f t="shared" si="2"/>
        <v>45772.58333</v>
      </c>
      <c r="J77" s="190">
        <f>IFERROR(VLOOKUP(F77, LEVEL_HELPER!$A:$B, 2, 0), "")</f>
        <v>1</v>
      </c>
      <c r="K77" s="190">
        <f>IFERROR(VLOOKUP(G77, LEVEL_HELPER!$A:$B, 2, 0), "")</f>
        <v>3</v>
      </c>
      <c r="L77" s="220" t="s">
        <v>943</v>
      </c>
      <c r="M77" s="220" t="s">
        <v>926</v>
      </c>
      <c r="N77" s="190">
        <f t="array" ref="N77">IFERROR(
  INDEX($J$2:$J$543,
    MATCH(A77&amp;TEXT(I77,"yyyy-mm-dd"),
          $A$2:$A$543&amp;TEXT($H$2:$H$543,"yyyy-mm-dd"),
          0)),
"")</f>
        <v>1</v>
      </c>
      <c r="O77" s="210">
        <f t="shared" si="3"/>
        <v>5</v>
      </c>
      <c r="P77" s="210">
        <f t="shared" ref="P77:Q77" si="87">IF(N77="",0,IF(N77&lt;=2,1,IF(N77&lt;=4,2,IF(N77&lt;=5.5,3,4))))</f>
        <v>1</v>
      </c>
      <c r="Q77" s="210">
        <f t="shared" si="87"/>
        <v>3</v>
      </c>
      <c r="R77" s="210" t="str">
        <f t="shared" si="5"/>
        <v>Lv1 → Lv3 (multi)</v>
      </c>
      <c r="S77" s="210">
        <f t="shared" si="6"/>
        <v>0</v>
      </c>
      <c r="T77" s="210"/>
      <c r="U77" s="210"/>
      <c r="V77" s="211" t="s">
        <v>376</v>
      </c>
      <c r="W77" s="210" t="str">
        <f t="shared" si="7"/>
        <v>QC</v>
      </c>
      <c r="X77" s="210" t="str">
        <f t="shared" si="8"/>
        <v>QC</v>
      </c>
      <c r="Y77" s="210" t="str">
        <f t="shared" si="9"/>
        <v>CHORUS</v>
      </c>
      <c r="Z77" s="210"/>
      <c r="AA77" s="210"/>
      <c r="AB77" s="210"/>
      <c r="AC77" s="210"/>
      <c r="AD77" s="210"/>
      <c r="AE77" s="210"/>
      <c r="AF77" s="210"/>
      <c r="AG77" s="210"/>
      <c r="AH77" s="210"/>
      <c r="AI77" s="210"/>
      <c r="AJ77" s="210"/>
      <c r="AK77" s="210"/>
      <c r="AL77" s="210"/>
      <c r="AM77" s="214"/>
      <c r="AN77" s="211" t="str">
        <f>IFERROR(__xludf.DUMMYFUNCTION("""COMPUTED_VALUE"""),"193526")</f>
        <v>193526</v>
      </c>
      <c r="AO77" s="210" t="str">
        <f t="shared" si="10"/>
        <v>DEV</v>
      </c>
      <c r="AP77" s="210" t="str">
        <f t="shared" si="11"/>
        <v>DEV, TA</v>
      </c>
      <c r="AQ77" s="210" t="str">
        <f t="shared" si="12"/>
        <v>TBU</v>
      </c>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c r="BU77" s="210"/>
      <c r="BV77" s="210"/>
      <c r="BW77" s="210"/>
      <c r="BX77" s="210"/>
      <c r="BY77" s="210"/>
      <c r="BZ77" s="210"/>
      <c r="CA77" s="210"/>
      <c r="CB77" s="210"/>
      <c r="CC77" s="210"/>
      <c r="CD77" s="210"/>
      <c r="CE77" s="210"/>
      <c r="CF77" s="210"/>
      <c r="CG77" s="210"/>
      <c r="CH77" s="210"/>
      <c r="CI77" s="210"/>
      <c r="CJ77" s="210"/>
      <c r="CK77" s="210"/>
    </row>
    <row r="78">
      <c r="A78" s="222" t="s">
        <v>239</v>
      </c>
      <c r="B78" s="190" t="s">
        <v>240</v>
      </c>
      <c r="C78" s="223" t="s">
        <v>58</v>
      </c>
      <c r="D78" s="223" t="s">
        <v>852</v>
      </c>
      <c r="E78" s="190" t="s">
        <v>21</v>
      </c>
      <c r="F78" s="13" t="s">
        <v>927</v>
      </c>
      <c r="G78" s="13" t="s">
        <v>929</v>
      </c>
      <c r="H78" s="219">
        <f>IFERROR(
  MINIFS(ATTENDANCE_LOG!$F:$F,
         ATTENDANCE_LOG!$A:$A, C78,
         ATTENDANCE_LOG!$B:$B, E78),
"")</f>
        <v>45772.58333</v>
      </c>
      <c r="I78" s="219">
        <f t="shared" si="2"/>
        <v>45772.58333</v>
      </c>
      <c r="J78" s="190">
        <f>IFERROR(VLOOKUP(F78, LEVEL_HELPER!$A:$B, 2, 0), "")</f>
        <v>1</v>
      </c>
      <c r="K78" s="190">
        <f>IFERROR(VLOOKUP(G78, LEVEL_HELPER!$A:$B, 2, 0), "")</f>
        <v>1.5</v>
      </c>
      <c r="L78" s="220" t="s">
        <v>943</v>
      </c>
      <c r="M78" s="220" t="s">
        <v>926</v>
      </c>
      <c r="N78" s="190">
        <f t="array" ref="N78">IFERROR(
  INDEX($J$2:$J$543,
    MATCH(A78&amp;TEXT(I78,"yyyy-mm-dd"),
          $A$2:$A$543&amp;TEXT($H$2:$H$543,"yyyy-mm-dd"),
          0)),
"")</f>
        <v>1</v>
      </c>
      <c r="O78" s="210">
        <f t="shared" si="3"/>
        <v>5</v>
      </c>
      <c r="P78" s="210">
        <f t="shared" ref="P78:Q78" si="88">IF(N78="",0,IF(N78&lt;=2,1,IF(N78&lt;=4,2,IF(N78&lt;=5.5,3,4))))</f>
        <v>1</v>
      </c>
      <c r="Q78" s="210">
        <f t="shared" si="88"/>
        <v>3</v>
      </c>
      <c r="R78" s="210" t="str">
        <f t="shared" si="5"/>
        <v>Lv1 → Lv3 (multi)</v>
      </c>
      <c r="S78" s="210">
        <f t="shared" si="6"/>
        <v>0</v>
      </c>
      <c r="T78" s="210"/>
      <c r="U78" s="210"/>
      <c r="V78" s="211" t="s">
        <v>387</v>
      </c>
      <c r="W78" s="210" t="str">
        <f t="shared" si="7"/>
        <v>DEV</v>
      </c>
      <c r="X78" s="210" t="str">
        <f t="shared" si="8"/>
        <v>DEV, TA</v>
      </c>
      <c r="Y78" s="210" t="str">
        <f t="shared" si="9"/>
        <v>CHORUS</v>
      </c>
      <c r="Z78" s="210"/>
      <c r="AA78" s="210"/>
      <c r="AB78" s="210"/>
      <c r="AC78" s="210"/>
      <c r="AD78" s="210"/>
      <c r="AE78" s="210"/>
      <c r="AF78" s="210"/>
      <c r="AG78" s="210"/>
      <c r="AH78" s="210"/>
      <c r="AI78" s="210"/>
      <c r="AJ78" s="210"/>
      <c r="AK78" s="210"/>
      <c r="AL78" s="210"/>
      <c r="AM78" s="214"/>
      <c r="AN78" s="211" t="str">
        <f>IFERROR(__xludf.DUMMYFUNCTION("""COMPUTED_VALUE"""),"247102")</f>
        <v>247102</v>
      </c>
      <c r="AO78" s="210" t="str">
        <f t="shared" si="10"/>
        <v>GSD</v>
      </c>
      <c r="AP78" s="210" t="str">
        <f t="shared" si="11"/>
        <v>GSD</v>
      </c>
      <c r="AQ78" s="210" t="str">
        <f t="shared" si="12"/>
        <v>POC</v>
      </c>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c r="BU78" s="210"/>
      <c r="BV78" s="210"/>
      <c r="BW78" s="210"/>
      <c r="BX78" s="210"/>
      <c r="BY78" s="210"/>
      <c r="BZ78" s="210"/>
      <c r="CA78" s="210"/>
      <c r="CB78" s="210"/>
      <c r="CC78" s="210"/>
      <c r="CD78" s="210"/>
      <c r="CE78" s="210"/>
      <c r="CF78" s="210"/>
      <c r="CG78" s="210"/>
      <c r="CH78" s="210"/>
      <c r="CI78" s="210"/>
      <c r="CJ78" s="210"/>
      <c r="CK78" s="210"/>
    </row>
    <row r="79">
      <c r="A79" s="222" t="s">
        <v>263</v>
      </c>
      <c r="B79" s="190" t="s">
        <v>264</v>
      </c>
      <c r="C79" s="223" t="s">
        <v>58</v>
      </c>
      <c r="D79" s="223" t="s">
        <v>852</v>
      </c>
      <c r="E79" s="190" t="s">
        <v>21</v>
      </c>
      <c r="F79" s="13" t="s">
        <v>927</v>
      </c>
      <c r="G79" s="13" t="s">
        <v>918</v>
      </c>
      <c r="H79" s="219">
        <f>IFERROR(
  MINIFS(ATTENDANCE_LOG!$F:$F,
         ATTENDANCE_LOG!$A:$A, C79,
         ATTENDANCE_LOG!$B:$B, E79),
"")</f>
        <v>45772.58333</v>
      </c>
      <c r="I79" s="219">
        <f t="shared" si="2"/>
        <v>45772.58333</v>
      </c>
      <c r="J79" s="190">
        <f>IFERROR(VLOOKUP(F79, LEVEL_HELPER!$A:$B, 2, 0), "")</f>
        <v>1</v>
      </c>
      <c r="K79" s="190">
        <f>IFERROR(VLOOKUP(G79, LEVEL_HELPER!$A:$B, 2, 0), "")</f>
        <v>3</v>
      </c>
      <c r="L79" s="220" t="s">
        <v>919</v>
      </c>
      <c r="M79" s="220" t="s">
        <v>926</v>
      </c>
      <c r="N79" s="190">
        <f t="array" ref="N79">IFERROR(
  INDEX($J$2:$J$543,
    MATCH(A79&amp;TEXT(I79,"yyyy-mm-dd"),
          $A$2:$A$543&amp;TEXT($H$2:$H$543,"yyyy-mm-dd"),
          0)),
"")</f>
        <v>1</v>
      </c>
      <c r="O79" s="210">
        <f t="shared" si="3"/>
        <v>4.5</v>
      </c>
      <c r="P79" s="210">
        <f t="shared" ref="P79:Q79" si="89">IF(N79="",0,IF(N79&lt;=2,1,IF(N79&lt;=4,2,IF(N79&lt;=5.5,3,4))))</f>
        <v>1</v>
      </c>
      <c r="Q79" s="210">
        <f t="shared" si="89"/>
        <v>3</v>
      </c>
      <c r="R79" s="210" t="str">
        <f t="shared" si="5"/>
        <v>Lv1 → Lv3 (multi)</v>
      </c>
      <c r="S79" s="210">
        <f t="shared" si="6"/>
        <v>0</v>
      </c>
      <c r="T79" s="210"/>
      <c r="U79" s="210"/>
      <c r="V79" s="211" t="s">
        <v>298</v>
      </c>
      <c r="W79" s="210" t="str">
        <f t="shared" si="7"/>
        <v>DEV</v>
      </c>
      <c r="X79" s="210" t="str">
        <f t="shared" si="8"/>
        <v>DEV, TA</v>
      </c>
      <c r="Y79" s="210" t="str">
        <f t="shared" si="9"/>
        <v>ONC</v>
      </c>
      <c r="Z79" s="210"/>
      <c r="AA79" s="210"/>
      <c r="AB79" s="210"/>
      <c r="AC79" s="210"/>
      <c r="AD79" s="210"/>
      <c r="AE79" s="210"/>
      <c r="AF79" s="210"/>
      <c r="AG79" s="210"/>
      <c r="AH79" s="210"/>
      <c r="AI79" s="210"/>
      <c r="AJ79" s="210"/>
      <c r="AK79" s="210"/>
      <c r="AL79" s="210"/>
      <c r="AM79" s="214"/>
      <c r="AN79" s="211" t="str">
        <f>IFERROR(__xludf.DUMMYFUNCTION("""COMPUTED_VALUE"""),"247234")</f>
        <v>247234</v>
      </c>
      <c r="AO79" s="210" t="str">
        <f t="shared" si="10"/>
        <v>QC</v>
      </c>
      <c r="AP79" s="210" t="str">
        <f t="shared" si="11"/>
        <v>QC</v>
      </c>
      <c r="AQ79" s="210" t="str">
        <f t="shared" si="12"/>
        <v>LBU</v>
      </c>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c r="BU79" s="210"/>
      <c r="BV79" s="210"/>
      <c r="BW79" s="210"/>
      <c r="BX79" s="210"/>
      <c r="BY79" s="210"/>
      <c r="BZ79" s="210"/>
      <c r="CA79" s="210"/>
      <c r="CB79" s="210"/>
      <c r="CC79" s="210"/>
      <c r="CD79" s="210"/>
      <c r="CE79" s="210"/>
      <c r="CF79" s="210"/>
      <c r="CG79" s="210"/>
      <c r="CH79" s="210"/>
      <c r="CI79" s="210"/>
      <c r="CJ79" s="210"/>
      <c r="CK79" s="210"/>
    </row>
    <row r="80">
      <c r="A80" s="222" t="s">
        <v>528</v>
      </c>
      <c r="B80" s="190" t="s">
        <v>529</v>
      </c>
      <c r="C80" s="223" t="s">
        <v>58</v>
      </c>
      <c r="D80" s="223" t="s">
        <v>852</v>
      </c>
      <c r="E80" s="190" t="s">
        <v>21</v>
      </c>
      <c r="F80" s="13" t="s">
        <v>927</v>
      </c>
      <c r="G80" s="13" t="s">
        <v>929</v>
      </c>
      <c r="H80" s="219">
        <f>IFERROR(
  MINIFS(ATTENDANCE_LOG!$F:$F,
         ATTENDANCE_LOG!$A:$A, C80,
         ATTENDANCE_LOG!$B:$B, E80),
"")</f>
        <v>45772.58333</v>
      </c>
      <c r="I80" s="219">
        <f t="shared" si="2"/>
        <v>45772.58333</v>
      </c>
      <c r="J80" s="190">
        <f>IFERROR(VLOOKUP(F80, LEVEL_HELPER!$A:$B, 2, 0), "")</f>
        <v>1</v>
      </c>
      <c r="K80" s="190">
        <f>IFERROR(VLOOKUP(G80, LEVEL_HELPER!$A:$B, 2, 0), "")</f>
        <v>1.5</v>
      </c>
      <c r="L80" s="220" t="s">
        <v>943</v>
      </c>
      <c r="M80" s="220" t="s">
        <v>926</v>
      </c>
      <c r="N80" s="190">
        <f t="array" ref="N80">IFERROR(
  INDEX($J$2:$J$543,
    MATCH(A80&amp;TEXT(I80,"yyyy-mm-dd"),
          $A$2:$A$543&amp;TEXT($H$2:$H$543,"yyyy-mm-dd"),
          0)),
"")</f>
        <v>1</v>
      </c>
      <c r="O80" s="210">
        <f t="shared" si="3"/>
        <v>5</v>
      </c>
      <c r="P80" s="210">
        <f t="shared" ref="P80:Q80" si="90">IF(N80="",0,IF(N80&lt;=2,1,IF(N80&lt;=4,2,IF(N80&lt;=5.5,3,4))))</f>
        <v>1</v>
      </c>
      <c r="Q80" s="210">
        <f t="shared" si="90"/>
        <v>3</v>
      </c>
      <c r="R80" s="210" t="str">
        <f t="shared" si="5"/>
        <v>Lv1 → Lv3 (multi)</v>
      </c>
      <c r="S80" s="210">
        <f t="shared" si="6"/>
        <v>0</v>
      </c>
      <c r="T80" s="210"/>
      <c r="U80" s="210"/>
      <c r="V80" s="211" t="s">
        <v>220</v>
      </c>
      <c r="W80" s="210" t="str">
        <f t="shared" si="7"/>
        <v>DEV</v>
      </c>
      <c r="X80" s="210" t="str">
        <f t="shared" si="8"/>
        <v>DEV, TA</v>
      </c>
      <c r="Y80" s="210" t="str">
        <f t="shared" si="9"/>
        <v>ONC</v>
      </c>
      <c r="Z80" s="210"/>
      <c r="AA80" s="210"/>
      <c r="AB80" s="210"/>
      <c r="AC80" s="210"/>
      <c r="AD80" s="210"/>
      <c r="AE80" s="210"/>
      <c r="AF80" s="210"/>
      <c r="AG80" s="210"/>
      <c r="AH80" s="210"/>
      <c r="AI80" s="210"/>
      <c r="AJ80" s="210"/>
      <c r="AK80" s="210"/>
      <c r="AL80" s="210"/>
      <c r="AM80" s="214"/>
      <c r="AN80" s="211" t="str">
        <f>IFERROR(__xludf.DUMMYFUNCTION("""COMPUTED_VALUE"""),"193530")</f>
        <v>193530</v>
      </c>
      <c r="AO80" s="210" t="str">
        <f t="shared" si="10"/>
        <v>DEV</v>
      </c>
      <c r="AP80" s="210" t="str">
        <f t="shared" si="11"/>
        <v>DEV, TA</v>
      </c>
      <c r="AQ80" s="210" t="str">
        <f t="shared" si="12"/>
        <v>ONC</v>
      </c>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c r="BU80" s="210"/>
      <c r="BV80" s="210"/>
      <c r="BW80" s="210"/>
      <c r="BX80" s="210"/>
      <c r="BY80" s="210"/>
      <c r="BZ80" s="210"/>
      <c r="CA80" s="210"/>
      <c r="CB80" s="210"/>
      <c r="CC80" s="210"/>
      <c r="CD80" s="210"/>
      <c r="CE80" s="210"/>
      <c r="CF80" s="210"/>
      <c r="CG80" s="210"/>
      <c r="CH80" s="210"/>
      <c r="CI80" s="210"/>
      <c r="CJ80" s="210"/>
      <c r="CK80" s="210"/>
    </row>
    <row r="81">
      <c r="A81" s="222" t="s">
        <v>665</v>
      </c>
      <c r="B81" s="190" t="s">
        <v>666</v>
      </c>
      <c r="C81" s="223" t="s">
        <v>58</v>
      </c>
      <c r="D81" s="223" t="s">
        <v>852</v>
      </c>
      <c r="E81" s="190" t="s">
        <v>21</v>
      </c>
      <c r="F81" s="13" t="s">
        <v>927</v>
      </c>
      <c r="G81" s="13" t="s">
        <v>935</v>
      </c>
      <c r="H81" s="219">
        <f>IFERROR(
  MINIFS(ATTENDANCE_LOG!$F:$F,
         ATTENDANCE_LOG!$A:$A, C81,
         ATTENDANCE_LOG!$B:$B, E81),
"")</f>
        <v>45772.58333</v>
      </c>
      <c r="I81" s="219">
        <f t="shared" si="2"/>
        <v>45772.58333</v>
      </c>
      <c r="J81" s="190">
        <f>IFERROR(VLOOKUP(F81, LEVEL_HELPER!$A:$B, 2, 0), "")</f>
        <v>1</v>
      </c>
      <c r="K81" s="190">
        <f>IFERROR(VLOOKUP(G81, LEVEL_HELPER!$A:$B, 2, 0), "")</f>
        <v>3.5</v>
      </c>
      <c r="L81" s="220" t="s">
        <v>943</v>
      </c>
      <c r="M81" s="220" t="s">
        <v>926</v>
      </c>
      <c r="N81" s="190">
        <f t="array" ref="N81">IFERROR(
  INDEX($J$2:$J$543,
    MATCH(A81&amp;TEXT(I81,"yyyy-mm-dd"),
          $A$2:$A$543&amp;TEXT($H$2:$H$543,"yyyy-mm-dd"),
          0)),
"")</f>
        <v>1</v>
      </c>
      <c r="O81" s="210">
        <f t="shared" si="3"/>
        <v>5</v>
      </c>
      <c r="P81" s="210">
        <f t="shared" ref="P81:Q81" si="91">IF(N81="",0,IF(N81&lt;=2,1,IF(N81&lt;=4,2,IF(N81&lt;=5.5,3,4))))</f>
        <v>1</v>
      </c>
      <c r="Q81" s="210">
        <f t="shared" si="91"/>
        <v>3</v>
      </c>
      <c r="R81" s="210" t="str">
        <f t="shared" si="5"/>
        <v>Lv1 → Lv3 (multi)</v>
      </c>
      <c r="S81" s="210">
        <f t="shared" si="6"/>
        <v>0</v>
      </c>
      <c r="T81" s="210"/>
      <c r="U81" s="210"/>
      <c r="V81" s="211" t="s">
        <v>234</v>
      </c>
      <c r="W81" s="210" t="str">
        <f t="shared" si="7"/>
        <v>DEV</v>
      </c>
      <c r="X81" s="210" t="str">
        <f t="shared" si="8"/>
        <v>DEV, TA</v>
      </c>
      <c r="Y81" s="210" t="str">
        <f t="shared" si="9"/>
        <v>ONC</v>
      </c>
      <c r="Z81" s="210"/>
      <c r="AA81" s="210"/>
      <c r="AB81" s="210"/>
      <c r="AC81" s="210"/>
      <c r="AD81" s="210"/>
      <c r="AE81" s="210"/>
      <c r="AF81" s="210"/>
      <c r="AG81" s="210"/>
      <c r="AH81" s="210"/>
      <c r="AI81" s="210"/>
      <c r="AJ81" s="210"/>
      <c r="AK81" s="210"/>
      <c r="AL81" s="210"/>
      <c r="AM81" s="214"/>
      <c r="AN81" s="211" t="str">
        <f>IFERROR(__xludf.DUMMYFUNCTION("""COMPUTED_VALUE"""),"203764")</f>
        <v>203764</v>
      </c>
      <c r="AO81" s="210" t="str">
        <f t="shared" si="10"/>
        <v>DEV</v>
      </c>
      <c r="AP81" s="210" t="str">
        <f t="shared" si="11"/>
        <v>DEV, TA</v>
      </c>
      <c r="AQ81" s="210" t="str">
        <f t="shared" si="12"/>
        <v>MOC</v>
      </c>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c r="BU81" s="210"/>
      <c r="BV81" s="210"/>
      <c r="BW81" s="210"/>
      <c r="BX81" s="210"/>
      <c r="BY81" s="210"/>
      <c r="BZ81" s="210"/>
      <c r="CA81" s="210"/>
      <c r="CB81" s="210"/>
      <c r="CC81" s="210"/>
      <c r="CD81" s="210"/>
      <c r="CE81" s="210"/>
      <c r="CF81" s="210"/>
      <c r="CG81" s="210"/>
      <c r="CH81" s="210"/>
      <c r="CI81" s="210"/>
      <c r="CJ81" s="210"/>
      <c r="CK81" s="210"/>
    </row>
    <row r="82">
      <c r="A82" s="216" t="s">
        <v>603</v>
      </c>
      <c r="B82" s="217" t="s">
        <v>604</v>
      </c>
      <c r="C82" s="218" t="s">
        <v>58</v>
      </c>
      <c r="D82" s="218" t="s">
        <v>852</v>
      </c>
      <c r="E82" s="217" t="s">
        <v>22</v>
      </c>
      <c r="F82" s="13" t="s">
        <v>918</v>
      </c>
      <c r="G82" s="13" t="s">
        <v>941</v>
      </c>
      <c r="H82" s="219">
        <f>IFERROR(
  MINIFS(ATTENDANCE_LOG!$F:$F,
         ATTENDANCE_LOG!$A:$A, C82,
         ATTENDANCE_LOG!$B:$B, E82),
"")</f>
        <v>45946.45833</v>
      </c>
      <c r="I82" s="219">
        <f t="shared" si="2"/>
        <v>45772.58333</v>
      </c>
      <c r="J82" s="190">
        <f>IFERROR(VLOOKUP(F82, LEVEL_HELPER!$A:$B, 2, 0), "")</f>
        <v>3</v>
      </c>
      <c r="K82" s="190">
        <f>IFERROR(VLOOKUP(G82, LEVEL_HELPER!$A:$B, 2, 0), "")</f>
        <v>5</v>
      </c>
      <c r="L82" s="220" t="s">
        <v>943</v>
      </c>
      <c r="M82" s="220" t="s">
        <v>926</v>
      </c>
      <c r="N82" s="190">
        <f t="array" ref="N82">IFERROR(
  INDEX($J$2:$J$543,
    MATCH(A82&amp;TEXT(I82,"yyyy-mm-dd"),
          $A$2:$A$543&amp;TEXT($H$2:$H$543,"yyyy-mm-dd"),
          0)),
"")</f>
        <v>1</v>
      </c>
      <c r="O82" s="210">
        <f t="shared" si="3"/>
        <v>5</v>
      </c>
      <c r="P82" s="210">
        <f t="shared" ref="P82:Q82" si="92">IF(N82="",0,IF(N82&lt;=2,1,IF(N82&lt;=4,2,IF(N82&lt;=5.5,3,4))))</f>
        <v>1</v>
      </c>
      <c r="Q82" s="210">
        <f t="shared" si="92"/>
        <v>3</v>
      </c>
      <c r="R82" s="210" t="str">
        <f t="shared" si="5"/>
        <v>Lv1 → Lv3 (multi)</v>
      </c>
      <c r="S82" s="210">
        <f t="shared" si="6"/>
        <v>0</v>
      </c>
      <c r="T82" s="210"/>
      <c r="U82" s="210"/>
      <c r="V82" s="211" t="s">
        <v>438</v>
      </c>
      <c r="W82" s="210" t="str">
        <f t="shared" si="7"/>
        <v>DEV</v>
      </c>
      <c r="X82" s="210" t="str">
        <f t="shared" si="8"/>
        <v>DEV, TA</v>
      </c>
      <c r="Y82" s="210" t="str">
        <f t="shared" si="9"/>
        <v>ONC</v>
      </c>
      <c r="Z82" s="210"/>
      <c r="AA82" s="210"/>
      <c r="AB82" s="210"/>
      <c r="AC82" s="210"/>
      <c r="AD82" s="210"/>
      <c r="AE82" s="210"/>
      <c r="AF82" s="210"/>
      <c r="AG82" s="210"/>
      <c r="AH82" s="210"/>
      <c r="AI82" s="210"/>
      <c r="AJ82" s="210"/>
      <c r="AK82" s="210"/>
      <c r="AL82" s="210"/>
      <c r="AM82" s="214"/>
      <c r="AN82" s="211" t="str">
        <f>IFERROR(__xludf.DUMMYFUNCTION("""COMPUTED_VALUE"""),"237147")</f>
        <v>237147</v>
      </c>
      <c r="AO82" s="210" t="str">
        <f t="shared" si="10"/>
        <v>GSD</v>
      </c>
      <c r="AP82" s="210" t="str">
        <f t="shared" si="11"/>
        <v>GSD</v>
      </c>
      <c r="AQ82" s="210" t="str">
        <f t="shared" si="12"/>
        <v>MOC</v>
      </c>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c r="BU82" s="210"/>
      <c r="BV82" s="210"/>
      <c r="BW82" s="210"/>
      <c r="BX82" s="210"/>
      <c r="BY82" s="210"/>
      <c r="BZ82" s="210"/>
      <c r="CA82" s="210"/>
      <c r="CB82" s="210"/>
      <c r="CC82" s="210"/>
      <c r="CD82" s="210"/>
      <c r="CE82" s="210"/>
      <c r="CF82" s="210"/>
      <c r="CG82" s="210"/>
      <c r="CH82" s="210"/>
      <c r="CI82" s="210"/>
      <c r="CJ82" s="210"/>
      <c r="CK82" s="210"/>
    </row>
    <row r="83">
      <c r="A83" s="222" t="s">
        <v>239</v>
      </c>
      <c r="B83" s="190" t="s">
        <v>240</v>
      </c>
      <c r="C83" s="223" t="s">
        <v>58</v>
      </c>
      <c r="D83" s="223" t="s">
        <v>852</v>
      </c>
      <c r="E83" s="190" t="s">
        <v>22</v>
      </c>
      <c r="F83" s="13" t="s">
        <v>929</v>
      </c>
      <c r="G83" s="13" t="s">
        <v>941</v>
      </c>
      <c r="H83" s="219">
        <f>IFERROR(
  MINIFS(ATTENDANCE_LOG!$F:$F,
         ATTENDANCE_LOG!$A:$A, C83,
         ATTENDANCE_LOG!$B:$B, E83),
"")</f>
        <v>45946.45833</v>
      </c>
      <c r="I83" s="219">
        <f t="shared" si="2"/>
        <v>45772.58333</v>
      </c>
      <c r="J83" s="190">
        <f>IFERROR(VLOOKUP(F83, LEVEL_HELPER!$A:$B, 2, 0), "")</f>
        <v>1.5</v>
      </c>
      <c r="K83" s="190">
        <f>IFERROR(VLOOKUP(G83, LEVEL_HELPER!$A:$B, 2, 0), "")</f>
        <v>5</v>
      </c>
      <c r="L83" s="220" t="s">
        <v>943</v>
      </c>
      <c r="M83" s="220" t="s">
        <v>926</v>
      </c>
      <c r="N83" s="190">
        <f t="array" ref="N83">IFERROR(
  INDEX($J$2:$J$543,
    MATCH(A83&amp;TEXT(I83,"yyyy-mm-dd"),
          $A$2:$A$543&amp;TEXT($H$2:$H$543,"yyyy-mm-dd"),
          0)),
"")</f>
        <v>1</v>
      </c>
      <c r="O83" s="210">
        <f t="shared" si="3"/>
        <v>5</v>
      </c>
      <c r="P83" s="210">
        <f t="shared" ref="P83:Q83" si="93">IF(N83="",0,IF(N83&lt;=2,1,IF(N83&lt;=4,2,IF(N83&lt;=5.5,3,4))))</f>
        <v>1</v>
      </c>
      <c r="Q83" s="210">
        <f t="shared" si="93"/>
        <v>3</v>
      </c>
      <c r="R83" s="210" t="str">
        <f t="shared" si="5"/>
        <v>Lv1 → Lv3 (multi)</v>
      </c>
      <c r="S83" s="210">
        <f t="shared" si="6"/>
        <v>0</v>
      </c>
      <c r="T83" s="210"/>
      <c r="U83" s="210"/>
      <c r="V83" s="211" t="s">
        <v>599</v>
      </c>
      <c r="W83" s="210" t="str">
        <f t="shared" si="7"/>
        <v>DEV</v>
      </c>
      <c r="X83" s="210" t="str">
        <f t="shared" si="8"/>
        <v>DEV, TA</v>
      </c>
      <c r="Y83" s="210" t="str">
        <f t="shared" si="9"/>
        <v>ONC</v>
      </c>
      <c r="Z83" s="210"/>
      <c r="AA83" s="210"/>
      <c r="AB83" s="210"/>
      <c r="AC83" s="210"/>
      <c r="AD83" s="210"/>
      <c r="AE83" s="210"/>
      <c r="AF83" s="210"/>
      <c r="AG83" s="210"/>
      <c r="AH83" s="210"/>
      <c r="AI83" s="210"/>
      <c r="AJ83" s="210"/>
      <c r="AK83" s="210"/>
      <c r="AL83" s="210"/>
      <c r="AM83" s="214"/>
      <c r="AN83" s="211" t="str">
        <f>IFERROR(__xludf.DUMMYFUNCTION("""COMPUTED_VALUE"""),"257132")</f>
        <v>257132</v>
      </c>
      <c r="AO83" s="210" t="str">
        <f t="shared" si="10"/>
        <v>QC</v>
      </c>
      <c r="AP83" s="210" t="str">
        <f t="shared" si="11"/>
        <v>QC</v>
      </c>
      <c r="AQ83" s="210" t="str">
        <f t="shared" si="12"/>
        <v>ONC</v>
      </c>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c r="BU83" s="210"/>
      <c r="BV83" s="210"/>
      <c r="BW83" s="210"/>
      <c r="BX83" s="210"/>
      <c r="BY83" s="210"/>
      <c r="BZ83" s="210"/>
      <c r="CA83" s="210"/>
      <c r="CB83" s="210"/>
      <c r="CC83" s="210"/>
      <c r="CD83" s="210"/>
      <c r="CE83" s="210"/>
      <c r="CF83" s="210"/>
      <c r="CG83" s="210"/>
      <c r="CH83" s="210"/>
      <c r="CI83" s="210"/>
      <c r="CJ83" s="210"/>
      <c r="CK83" s="210"/>
    </row>
    <row r="84">
      <c r="A84" s="222" t="s">
        <v>263</v>
      </c>
      <c r="B84" s="190" t="s">
        <v>264</v>
      </c>
      <c r="C84" s="223" t="s">
        <v>58</v>
      </c>
      <c r="D84" s="223" t="s">
        <v>852</v>
      </c>
      <c r="E84" s="190" t="s">
        <v>22</v>
      </c>
      <c r="F84" s="13" t="s">
        <v>918</v>
      </c>
      <c r="G84" s="13" t="s">
        <v>932</v>
      </c>
      <c r="H84" s="219">
        <f>IFERROR(
  MINIFS(ATTENDANCE_LOG!$F:$F,
         ATTENDANCE_LOG!$A:$A, C84,
         ATTENDANCE_LOG!$B:$B, E84),
"")</f>
        <v>45946.45833</v>
      </c>
      <c r="I84" s="219">
        <f t="shared" si="2"/>
        <v>45772.58333</v>
      </c>
      <c r="J84" s="190">
        <f>IFERROR(VLOOKUP(F84, LEVEL_HELPER!$A:$B, 2, 0), "")</f>
        <v>3</v>
      </c>
      <c r="K84" s="190">
        <f>IFERROR(VLOOKUP(G84, LEVEL_HELPER!$A:$B, 2, 0), "")</f>
        <v>4.5</v>
      </c>
      <c r="L84" s="220" t="s">
        <v>919</v>
      </c>
      <c r="M84" s="220" t="s">
        <v>926</v>
      </c>
      <c r="N84" s="190">
        <f t="array" ref="N84">IFERROR(
  INDEX($J$2:$J$543,
    MATCH(A84&amp;TEXT(I84,"yyyy-mm-dd"),
          $A$2:$A$543&amp;TEXT($H$2:$H$543,"yyyy-mm-dd"),
          0)),
"")</f>
        <v>1</v>
      </c>
      <c r="O84" s="210">
        <f t="shared" si="3"/>
        <v>4.5</v>
      </c>
      <c r="P84" s="210">
        <f t="shared" ref="P84:Q84" si="94">IF(N84="",0,IF(N84&lt;=2,1,IF(N84&lt;=4,2,IF(N84&lt;=5.5,3,4))))</f>
        <v>1</v>
      </c>
      <c r="Q84" s="210">
        <f t="shared" si="94"/>
        <v>3</v>
      </c>
      <c r="R84" s="210" t="str">
        <f t="shared" si="5"/>
        <v>Lv1 → Lv3 (multi)</v>
      </c>
      <c r="S84" s="210">
        <f t="shared" si="6"/>
        <v>0</v>
      </c>
      <c r="T84" s="210"/>
      <c r="U84" s="210"/>
      <c r="V84" s="211" t="s">
        <v>611</v>
      </c>
      <c r="W84" s="210" t="str">
        <f t="shared" si="7"/>
        <v>QC</v>
      </c>
      <c r="X84" s="210" t="str">
        <f t="shared" si="8"/>
        <v>QC</v>
      </c>
      <c r="Y84" s="210" t="str">
        <f t="shared" si="9"/>
        <v>LBU</v>
      </c>
      <c r="Z84" s="210"/>
      <c r="AA84" s="210"/>
      <c r="AB84" s="210"/>
      <c r="AC84" s="210"/>
      <c r="AD84" s="210"/>
      <c r="AE84" s="210"/>
      <c r="AF84" s="210"/>
      <c r="AG84" s="210"/>
      <c r="AH84" s="210"/>
      <c r="AI84" s="210"/>
      <c r="AJ84" s="210"/>
      <c r="AK84" s="210"/>
      <c r="AL84" s="210"/>
      <c r="AM84" s="214"/>
      <c r="AN84" s="211" t="str">
        <f>IFERROR(__xludf.DUMMYFUNCTION("""COMPUTED_VALUE"""),"237050")</f>
        <v>237050</v>
      </c>
      <c r="AO84" s="210" t="str">
        <f t="shared" si="10"/>
        <v>QC</v>
      </c>
      <c r="AP84" s="210" t="str">
        <f t="shared" si="11"/>
        <v>QC</v>
      </c>
      <c r="AQ84" s="210" t="str">
        <f t="shared" si="12"/>
        <v>POC</v>
      </c>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c r="BU84" s="210"/>
      <c r="BV84" s="210"/>
      <c r="BW84" s="210"/>
      <c r="BX84" s="210"/>
      <c r="BY84" s="210"/>
      <c r="BZ84" s="210"/>
      <c r="CA84" s="210"/>
      <c r="CB84" s="210"/>
      <c r="CC84" s="210"/>
      <c r="CD84" s="210"/>
      <c r="CE84" s="210"/>
      <c r="CF84" s="210"/>
      <c r="CG84" s="210"/>
      <c r="CH84" s="210"/>
      <c r="CI84" s="210"/>
      <c r="CJ84" s="210"/>
      <c r="CK84" s="210"/>
    </row>
    <row r="85">
      <c r="A85" s="222" t="s">
        <v>528</v>
      </c>
      <c r="B85" s="190" t="s">
        <v>529</v>
      </c>
      <c r="C85" s="223" t="s">
        <v>58</v>
      </c>
      <c r="D85" s="223" t="s">
        <v>852</v>
      </c>
      <c r="E85" s="190" t="s">
        <v>22</v>
      </c>
      <c r="F85" s="13" t="s">
        <v>929</v>
      </c>
      <c r="G85" s="13" t="s">
        <v>941</v>
      </c>
      <c r="H85" s="219">
        <f>IFERROR(
  MINIFS(ATTENDANCE_LOG!$F:$F,
         ATTENDANCE_LOG!$A:$A, C85,
         ATTENDANCE_LOG!$B:$B, E85),
"")</f>
        <v>45946.45833</v>
      </c>
      <c r="I85" s="219">
        <f t="shared" si="2"/>
        <v>45772.58333</v>
      </c>
      <c r="J85" s="190">
        <f>IFERROR(VLOOKUP(F85, LEVEL_HELPER!$A:$B, 2, 0), "")</f>
        <v>1.5</v>
      </c>
      <c r="K85" s="190">
        <f>IFERROR(VLOOKUP(G85, LEVEL_HELPER!$A:$B, 2, 0), "")</f>
        <v>5</v>
      </c>
      <c r="L85" s="220" t="s">
        <v>943</v>
      </c>
      <c r="M85" s="220" t="s">
        <v>926</v>
      </c>
      <c r="N85" s="190">
        <f t="array" ref="N85">IFERROR(
  INDEX($J$2:$J$543,
    MATCH(A85&amp;TEXT(I85,"yyyy-mm-dd"),
          $A$2:$A$543&amp;TEXT($H$2:$H$543,"yyyy-mm-dd"),
          0)),
"")</f>
        <v>1</v>
      </c>
      <c r="O85" s="210">
        <f t="shared" si="3"/>
        <v>5</v>
      </c>
      <c r="P85" s="210">
        <f t="shared" ref="P85:Q85" si="95">IF(N85="",0,IF(N85&lt;=2,1,IF(N85&lt;=4,2,IF(N85&lt;=5.5,3,4))))</f>
        <v>1</v>
      </c>
      <c r="Q85" s="210">
        <f t="shared" si="95"/>
        <v>3</v>
      </c>
      <c r="R85" s="210" t="str">
        <f t="shared" si="5"/>
        <v>Lv1 → Lv3 (multi)</v>
      </c>
      <c r="S85" s="210">
        <f t="shared" si="6"/>
        <v>0</v>
      </c>
      <c r="T85" s="210"/>
      <c r="U85" s="210"/>
      <c r="V85" s="211" t="s">
        <v>946</v>
      </c>
      <c r="W85" s="210" t="str">
        <f t="shared" si="7"/>
        <v>QC</v>
      </c>
      <c r="X85" s="210" t="str">
        <f t="shared" si="8"/>
        <v>QC</v>
      </c>
      <c r="Y85" s="210" t="str">
        <f t="shared" si="9"/>
        <v>LBU</v>
      </c>
      <c r="Z85" s="210"/>
      <c r="AA85" s="210"/>
      <c r="AB85" s="210"/>
      <c r="AC85" s="210"/>
      <c r="AD85" s="210"/>
      <c r="AE85" s="210"/>
      <c r="AF85" s="210"/>
      <c r="AG85" s="210"/>
      <c r="AH85" s="210"/>
      <c r="AI85" s="210"/>
      <c r="AJ85" s="210"/>
      <c r="AK85" s="210"/>
      <c r="AL85" s="210"/>
      <c r="AM85" s="214"/>
      <c r="AN85" s="211" t="str">
        <f>IFERROR(__xludf.DUMMYFUNCTION("""COMPUTED_VALUE"""),"227148")</f>
        <v>227148</v>
      </c>
      <c r="AO85" s="210" t="str">
        <f t="shared" si="10"/>
        <v>QC</v>
      </c>
      <c r="AP85" s="210" t="str">
        <f t="shared" si="11"/>
        <v>QC</v>
      </c>
      <c r="AQ85" s="210" t="str">
        <f t="shared" si="12"/>
        <v>POC</v>
      </c>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c r="BU85" s="210"/>
      <c r="BV85" s="210"/>
      <c r="BW85" s="210"/>
      <c r="BX85" s="210"/>
      <c r="BY85" s="210"/>
      <c r="BZ85" s="210"/>
      <c r="CA85" s="210"/>
      <c r="CB85" s="210"/>
      <c r="CC85" s="210"/>
      <c r="CD85" s="210"/>
      <c r="CE85" s="210"/>
      <c r="CF85" s="210"/>
      <c r="CG85" s="210"/>
      <c r="CH85" s="210"/>
      <c r="CI85" s="210"/>
      <c r="CJ85" s="210"/>
      <c r="CK85" s="210"/>
    </row>
    <row r="86">
      <c r="A86" s="222" t="s">
        <v>665</v>
      </c>
      <c r="B86" s="190" t="s">
        <v>666</v>
      </c>
      <c r="C86" s="223" t="s">
        <v>58</v>
      </c>
      <c r="D86" s="223" t="s">
        <v>852</v>
      </c>
      <c r="E86" s="190" t="s">
        <v>22</v>
      </c>
      <c r="F86" s="13" t="s">
        <v>935</v>
      </c>
      <c r="G86" s="13" t="s">
        <v>941</v>
      </c>
      <c r="H86" s="219">
        <f>IFERROR(
  MINIFS(ATTENDANCE_LOG!$F:$F,
         ATTENDANCE_LOG!$A:$A, C86,
         ATTENDANCE_LOG!$B:$B, E86),
"")</f>
        <v>45946.45833</v>
      </c>
      <c r="I86" s="219">
        <f t="shared" si="2"/>
        <v>45772.58333</v>
      </c>
      <c r="J86" s="190">
        <f>IFERROR(VLOOKUP(F86, LEVEL_HELPER!$A:$B, 2, 0), "")</f>
        <v>3.5</v>
      </c>
      <c r="K86" s="190">
        <f>IFERROR(VLOOKUP(G86, LEVEL_HELPER!$A:$B, 2, 0), "")</f>
        <v>5</v>
      </c>
      <c r="L86" s="220" t="s">
        <v>943</v>
      </c>
      <c r="M86" s="220" t="s">
        <v>926</v>
      </c>
      <c r="N86" s="190">
        <f t="array" ref="N86">IFERROR(
  INDEX($J$2:$J$543,
    MATCH(A86&amp;TEXT(I86,"yyyy-mm-dd"),
          $A$2:$A$543&amp;TEXT($H$2:$H$543,"yyyy-mm-dd"),
          0)),
"")</f>
        <v>1</v>
      </c>
      <c r="O86" s="210">
        <f t="shared" si="3"/>
        <v>5</v>
      </c>
      <c r="P86" s="210">
        <f t="shared" ref="P86:Q86" si="96">IF(N86="",0,IF(N86&lt;=2,1,IF(N86&lt;=4,2,IF(N86&lt;=5.5,3,4))))</f>
        <v>1</v>
      </c>
      <c r="Q86" s="210">
        <f t="shared" si="96"/>
        <v>3</v>
      </c>
      <c r="R86" s="210" t="str">
        <f t="shared" si="5"/>
        <v>Lv1 → Lv3 (multi)</v>
      </c>
      <c r="S86" s="210">
        <f t="shared" si="6"/>
        <v>0</v>
      </c>
      <c r="T86" s="210"/>
      <c r="U86" s="210"/>
      <c r="V86" s="211" t="s">
        <v>317</v>
      </c>
      <c r="W86" s="210" t="str">
        <f t="shared" si="7"/>
        <v>QC</v>
      </c>
      <c r="X86" s="210" t="str">
        <f t="shared" si="8"/>
        <v>QC</v>
      </c>
      <c r="Y86" s="210" t="str">
        <f t="shared" si="9"/>
        <v>ONC</v>
      </c>
      <c r="Z86" s="210"/>
      <c r="AA86" s="210"/>
      <c r="AB86" s="210"/>
      <c r="AC86" s="210"/>
      <c r="AD86" s="210"/>
      <c r="AE86" s="210"/>
      <c r="AF86" s="210"/>
      <c r="AG86" s="210"/>
      <c r="AH86" s="210"/>
      <c r="AI86" s="210"/>
      <c r="AJ86" s="210"/>
      <c r="AK86" s="210"/>
      <c r="AL86" s="210"/>
      <c r="AM86" s="214"/>
      <c r="AN86" s="211" t="str">
        <f>IFERROR(__xludf.DUMMYFUNCTION("""COMPUTED_VALUE"""),"237161")</f>
        <v>237161</v>
      </c>
      <c r="AO86" s="210" t="str">
        <f t="shared" si="10"/>
        <v>DEV</v>
      </c>
      <c r="AP86" s="210" t="str">
        <f t="shared" si="11"/>
        <v>DEV, TA</v>
      </c>
      <c r="AQ86" s="210" t="str">
        <f t="shared" si="12"/>
        <v>TBU</v>
      </c>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c r="BU86" s="210"/>
      <c r="BV86" s="210"/>
      <c r="BW86" s="210"/>
      <c r="BX86" s="210"/>
      <c r="BY86" s="210"/>
      <c r="BZ86" s="210"/>
      <c r="CA86" s="210"/>
      <c r="CB86" s="210"/>
      <c r="CC86" s="210"/>
      <c r="CD86" s="210"/>
      <c r="CE86" s="210"/>
      <c r="CF86" s="210"/>
      <c r="CG86" s="210"/>
      <c r="CH86" s="210"/>
      <c r="CI86" s="210"/>
      <c r="CJ86" s="210"/>
      <c r="CK86" s="210"/>
    </row>
    <row r="87">
      <c r="A87" s="216" t="s">
        <v>484</v>
      </c>
      <c r="B87" s="217" t="s">
        <v>485</v>
      </c>
      <c r="C87" s="218" t="s">
        <v>59</v>
      </c>
      <c r="D87" s="218" t="s">
        <v>853</v>
      </c>
      <c r="E87" s="217" t="s">
        <v>21</v>
      </c>
      <c r="F87" s="13" t="s">
        <v>917</v>
      </c>
      <c r="G87" s="13" t="s">
        <v>935</v>
      </c>
      <c r="H87" s="219">
        <f>IFERROR(
  MINIFS(ATTENDANCE_LOG!$F:$F,
         ATTENDANCE_LOG!$A:$A, C87,
         ATTENDANCE_LOG!$B:$B, E87),
"")</f>
        <v>45663.58333</v>
      </c>
      <c r="I87" s="219">
        <f t="shared" si="2"/>
        <v>45663.58333</v>
      </c>
      <c r="J87" s="190">
        <f>IFERROR(VLOOKUP(F87, LEVEL_HELPER!$A:$B, 2, 0), "")</f>
        <v>2.5</v>
      </c>
      <c r="K87" s="190">
        <f>IFERROR(VLOOKUP(G87, LEVEL_HELPER!$A:$B, 2, 0), "")</f>
        <v>3.5</v>
      </c>
      <c r="L87" s="220" t="s">
        <v>931</v>
      </c>
      <c r="M87" s="229" t="s">
        <v>925</v>
      </c>
      <c r="N87" s="190">
        <f t="array" ref="N87">IFERROR(
  INDEX($J$2:$J$543,
    MATCH(A87&amp;TEXT(I87,"yyyy-mm-dd"),
          $A$2:$A$543&amp;TEXT($H$2:$H$543,"yyyy-mm-dd"),
          0)),
"")</f>
        <v>2.5</v>
      </c>
      <c r="O87" s="210">
        <f t="shared" si="3"/>
        <v>3.5</v>
      </c>
      <c r="P87" s="210">
        <f t="shared" ref="P87:Q87" si="97">IF(N87="",0,IF(N87&lt;=2,1,IF(N87&lt;=4,2,IF(N87&lt;=5.5,3,4))))</f>
        <v>2</v>
      </c>
      <c r="Q87" s="210">
        <f t="shared" si="97"/>
        <v>2</v>
      </c>
      <c r="R87" s="210" t="str">
        <f t="shared" si="5"/>
        <v>Progress within level</v>
      </c>
      <c r="S87" s="210">
        <f t="shared" si="6"/>
        <v>1</v>
      </c>
      <c r="T87" s="210"/>
      <c r="U87" s="210"/>
      <c r="V87" s="211" t="s">
        <v>342</v>
      </c>
      <c r="W87" s="210" t="str">
        <f t="shared" si="7"/>
        <v>QC</v>
      </c>
      <c r="X87" s="210" t="str">
        <f t="shared" si="8"/>
        <v>QC</v>
      </c>
      <c r="Y87" s="210" t="str">
        <f t="shared" si="9"/>
        <v>MOC</v>
      </c>
      <c r="Z87" s="210"/>
      <c r="AA87" s="210"/>
      <c r="AB87" s="210"/>
      <c r="AC87" s="210"/>
      <c r="AD87" s="210"/>
      <c r="AE87" s="210"/>
      <c r="AF87" s="210"/>
      <c r="AG87" s="210"/>
      <c r="AH87" s="210"/>
      <c r="AI87" s="210"/>
      <c r="AJ87" s="210"/>
      <c r="AK87" s="210"/>
      <c r="AL87" s="210"/>
      <c r="AM87" s="214"/>
      <c r="AN87" s="211" t="str">
        <f>IFERROR(__xludf.DUMMYFUNCTION("""COMPUTED_VALUE"""),"193511")</f>
        <v>193511</v>
      </c>
      <c r="AO87" s="210" t="str">
        <f t="shared" si="10"/>
        <v>DEV</v>
      </c>
      <c r="AP87" s="210" t="str">
        <f t="shared" si="11"/>
        <v>DEV, TA</v>
      </c>
      <c r="AQ87" s="210" t="str">
        <f t="shared" si="12"/>
        <v>ONC</v>
      </c>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c r="BU87" s="210"/>
      <c r="BV87" s="210"/>
      <c r="BW87" s="210"/>
      <c r="BX87" s="210"/>
      <c r="BY87" s="210"/>
      <c r="BZ87" s="210"/>
      <c r="CA87" s="210"/>
      <c r="CB87" s="210"/>
      <c r="CC87" s="210"/>
      <c r="CD87" s="210"/>
      <c r="CE87" s="210"/>
      <c r="CF87" s="210"/>
      <c r="CG87" s="210"/>
      <c r="CH87" s="210"/>
      <c r="CI87" s="210"/>
      <c r="CJ87" s="210"/>
      <c r="CK87" s="210"/>
    </row>
    <row r="88">
      <c r="A88" s="222" t="s">
        <v>159</v>
      </c>
      <c r="B88" s="190" t="s">
        <v>160</v>
      </c>
      <c r="C88" s="223" t="s">
        <v>59</v>
      </c>
      <c r="D88" s="223" t="s">
        <v>853</v>
      </c>
      <c r="E88" s="190" t="s">
        <v>21</v>
      </c>
      <c r="F88" s="190"/>
      <c r="G88" s="190"/>
      <c r="H88" s="219">
        <f>IFERROR(
  MINIFS(ATTENDANCE_LOG!$F:$F,
         ATTENDANCE_LOG!$A:$A, C88,
         ATTENDANCE_LOG!$B:$B, E88),
"")</f>
        <v>45663.58333</v>
      </c>
      <c r="I88" s="219">
        <f t="shared" si="2"/>
        <v>45663.58333</v>
      </c>
      <c r="J88" s="190" t="str">
        <f>IFERROR(VLOOKUP(F88, LEVEL_HELPER!$A:$B, 2, 0), "")</f>
        <v/>
      </c>
      <c r="K88" s="190" t="str">
        <f>IFERROR(VLOOKUP(G88, LEVEL_HELPER!$A:$B, 2, 0), "")</f>
        <v/>
      </c>
      <c r="L88" s="220" t="s">
        <v>931</v>
      </c>
      <c r="M88" s="220" t="s">
        <v>923</v>
      </c>
      <c r="N88" s="190" t="str">
        <f t="array" ref="N88">IFERROR(
  INDEX($J$2:$J$543,
    MATCH(A88&amp;TEXT(I88,"yyyy-mm-dd"),
          $A$2:$A$543&amp;TEXT($H$2:$H$543,"yyyy-mm-dd"),
          0)),
"")</f>
        <v/>
      </c>
      <c r="O88" s="210">
        <f t="shared" si="3"/>
        <v>3</v>
      </c>
      <c r="P88" s="210">
        <f t="shared" ref="P88:Q88" si="98">IF(N88="",0,IF(N88&lt;=2,1,IF(N88&lt;=4,2,IF(N88&lt;=5.5,3,4))))</f>
        <v>0</v>
      </c>
      <c r="Q88" s="210">
        <f t="shared" si="98"/>
        <v>2</v>
      </c>
      <c r="R88" s="210" t="str">
        <f t="shared" si="5"/>
        <v>No Data</v>
      </c>
      <c r="S88" s="210">
        <f t="shared" si="6"/>
        <v>1</v>
      </c>
      <c r="T88" s="210"/>
      <c r="U88" s="210"/>
      <c r="V88" s="211" t="s">
        <v>370</v>
      </c>
      <c r="W88" s="210" t="str">
        <f t="shared" si="7"/>
        <v>QC</v>
      </c>
      <c r="X88" s="210" t="str">
        <f t="shared" si="8"/>
        <v>QC</v>
      </c>
      <c r="Y88" s="210" t="str">
        <f t="shared" si="9"/>
        <v>ONC</v>
      </c>
      <c r="Z88" s="210"/>
      <c r="AA88" s="210"/>
      <c r="AB88" s="210"/>
      <c r="AC88" s="210"/>
      <c r="AD88" s="210"/>
      <c r="AE88" s="210"/>
      <c r="AF88" s="210"/>
      <c r="AG88" s="210"/>
      <c r="AH88" s="210"/>
      <c r="AI88" s="210"/>
      <c r="AJ88" s="210"/>
      <c r="AK88" s="210"/>
      <c r="AL88" s="210"/>
      <c r="AM88" s="214"/>
      <c r="AN88" s="211" t="str">
        <f>IFERROR(__xludf.DUMMYFUNCTION("""COMPUTED_VALUE"""),"183340")</f>
        <v>183340</v>
      </c>
      <c r="AO88" s="210" t="str">
        <f t="shared" si="10"/>
        <v>DEV</v>
      </c>
      <c r="AP88" s="210" t="str">
        <f t="shared" si="11"/>
        <v>DEV, TA</v>
      </c>
      <c r="AQ88" s="210" t="str">
        <f t="shared" si="12"/>
        <v>POC</v>
      </c>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c r="BU88" s="210"/>
      <c r="BV88" s="210"/>
      <c r="BW88" s="210"/>
      <c r="BX88" s="210"/>
      <c r="BY88" s="210"/>
      <c r="BZ88" s="210"/>
      <c r="CA88" s="210"/>
      <c r="CB88" s="210"/>
      <c r="CC88" s="210"/>
      <c r="CD88" s="210"/>
      <c r="CE88" s="210"/>
      <c r="CF88" s="210"/>
      <c r="CG88" s="210"/>
      <c r="CH88" s="210"/>
      <c r="CI88" s="210"/>
      <c r="CJ88" s="210"/>
      <c r="CK88" s="210"/>
    </row>
    <row r="89">
      <c r="A89" s="222" t="s">
        <v>313</v>
      </c>
      <c r="B89" s="190" t="s">
        <v>314</v>
      </c>
      <c r="C89" s="223" t="s">
        <v>59</v>
      </c>
      <c r="D89" s="223" t="s">
        <v>853</v>
      </c>
      <c r="E89" s="190" t="s">
        <v>21</v>
      </c>
      <c r="F89" s="13" t="s">
        <v>927</v>
      </c>
      <c r="G89" s="13" t="s">
        <v>918</v>
      </c>
      <c r="H89" s="219">
        <f>IFERROR(
  MINIFS(ATTENDANCE_LOG!$F:$F,
         ATTENDANCE_LOG!$A:$A, C89,
         ATTENDANCE_LOG!$B:$B, E89),
"")</f>
        <v>45663.58333</v>
      </c>
      <c r="I89" s="219">
        <f t="shared" si="2"/>
        <v>45663.58333</v>
      </c>
      <c r="J89" s="190">
        <f>IFERROR(VLOOKUP(F89, LEVEL_HELPER!$A:$B, 2, 0), "")</f>
        <v>1</v>
      </c>
      <c r="K89" s="190">
        <f>IFERROR(VLOOKUP(G89, LEVEL_HELPER!$A:$B, 2, 0), "")</f>
        <v>3</v>
      </c>
      <c r="L89" s="220" t="s">
        <v>931</v>
      </c>
      <c r="M89" s="220" t="s">
        <v>923</v>
      </c>
      <c r="N89" s="190">
        <f t="array" ref="N89">IFERROR(
  INDEX($J$2:$J$543,
    MATCH(A89&amp;TEXT(I89,"yyyy-mm-dd"),
          $A$2:$A$543&amp;TEXT($H$2:$H$543,"yyyy-mm-dd"),
          0)),
"")</f>
        <v>1</v>
      </c>
      <c r="O89" s="210">
        <f t="shared" si="3"/>
        <v>5</v>
      </c>
      <c r="P89" s="210">
        <f t="shared" ref="P89:Q89" si="99">IF(N89="",0,IF(N89&lt;=2,1,IF(N89&lt;=4,2,IF(N89&lt;=5.5,3,4))))</f>
        <v>1</v>
      </c>
      <c r="Q89" s="210">
        <f t="shared" si="99"/>
        <v>3</v>
      </c>
      <c r="R89" s="210" t="str">
        <f t="shared" si="5"/>
        <v>Lv1 → Lv3 (multi)</v>
      </c>
      <c r="S89" s="210">
        <f t="shared" si="6"/>
        <v>1</v>
      </c>
      <c r="T89" s="210"/>
      <c r="U89" s="210"/>
      <c r="V89" s="211" t="s">
        <v>717</v>
      </c>
      <c r="W89" s="210" t="str">
        <f t="shared" si="7"/>
        <v>QC</v>
      </c>
      <c r="X89" s="210" t="str">
        <f t="shared" si="8"/>
        <v>QC</v>
      </c>
      <c r="Y89" s="210" t="str">
        <f t="shared" si="9"/>
        <v>ONC</v>
      </c>
      <c r="Z89" s="210"/>
      <c r="AA89" s="210"/>
      <c r="AB89" s="210"/>
      <c r="AC89" s="210"/>
      <c r="AD89" s="210"/>
      <c r="AE89" s="210"/>
      <c r="AF89" s="210"/>
      <c r="AG89" s="210"/>
      <c r="AH89" s="210"/>
      <c r="AI89" s="210"/>
      <c r="AJ89" s="210"/>
      <c r="AK89" s="210"/>
      <c r="AL89" s="210"/>
      <c r="AM89" s="214"/>
      <c r="AN89" s="211" t="str">
        <f>IFERROR(__xludf.DUMMYFUNCTION("""COMPUTED_VALUE"""),"213916")</f>
        <v>213916</v>
      </c>
      <c r="AO89" s="210" t="str">
        <f t="shared" si="10"/>
        <v>DEV</v>
      </c>
      <c r="AP89" s="210" t="str">
        <f t="shared" si="11"/>
        <v>DEV, TA</v>
      </c>
      <c r="AQ89" s="210" t="str">
        <f t="shared" si="12"/>
        <v>MOC</v>
      </c>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c r="BU89" s="210"/>
      <c r="BV89" s="210"/>
      <c r="BW89" s="210"/>
      <c r="BX89" s="210"/>
      <c r="BY89" s="210"/>
      <c r="BZ89" s="210"/>
      <c r="CA89" s="210"/>
      <c r="CB89" s="210"/>
      <c r="CC89" s="210"/>
      <c r="CD89" s="210"/>
      <c r="CE89" s="210"/>
      <c r="CF89" s="210"/>
      <c r="CG89" s="210"/>
      <c r="CH89" s="210"/>
      <c r="CI89" s="210"/>
      <c r="CJ89" s="210"/>
      <c r="CK89" s="210"/>
    </row>
    <row r="90">
      <c r="A90" s="222" t="s">
        <v>433</v>
      </c>
      <c r="B90" s="190" t="s">
        <v>432</v>
      </c>
      <c r="C90" s="223" t="s">
        <v>59</v>
      </c>
      <c r="D90" s="223" t="s">
        <v>853</v>
      </c>
      <c r="E90" s="190" t="s">
        <v>21</v>
      </c>
      <c r="F90" s="13" t="s">
        <v>917</v>
      </c>
      <c r="G90" s="13" t="s">
        <v>918</v>
      </c>
      <c r="H90" s="219">
        <f>IFERROR(
  MINIFS(ATTENDANCE_LOG!$F:$F,
         ATTENDANCE_LOG!$A:$A, C90,
         ATTENDANCE_LOG!$B:$B, E90),
"")</f>
        <v>45663.58333</v>
      </c>
      <c r="I90" s="219">
        <f t="shared" si="2"/>
        <v>45663.58333</v>
      </c>
      <c r="J90" s="190">
        <f>IFERROR(VLOOKUP(F90, LEVEL_HELPER!$A:$B, 2, 0), "")</f>
        <v>2.5</v>
      </c>
      <c r="K90" s="190">
        <f>IFERROR(VLOOKUP(G90, LEVEL_HELPER!$A:$B, 2, 0), "")</f>
        <v>3</v>
      </c>
      <c r="L90" s="220" t="s">
        <v>931</v>
      </c>
      <c r="M90" s="220" t="s">
        <v>923</v>
      </c>
      <c r="N90" s="190">
        <f t="array" ref="N90">IFERROR(
  INDEX($J$2:$J$543,
    MATCH(A90&amp;TEXT(I90,"yyyy-mm-dd"),
          $A$2:$A$543&amp;TEXT($H$2:$H$543,"yyyy-mm-dd"),
          0)),
"")</f>
        <v>2.5</v>
      </c>
      <c r="O90" s="210">
        <f t="shared" si="3"/>
        <v>3.5</v>
      </c>
      <c r="P90" s="210">
        <f t="shared" ref="P90:Q90" si="100">IF(N90="",0,IF(N90&lt;=2,1,IF(N90&lt;=4,2,IF(N90&lt;=5.5,3,4))))</f>
        <v>2</v>
      </c>
      <c r="Q90" s="210">
        <f t="shared" si="100"/>
        <v>2</v>
      </c>
      <c r="R90" s="210" t="str">
        <f t="shared" si="5"/>
        <v>Progress within level</v>
      </c>
      <c r="S90" s="210">
        <f t="shared" si="6"/>
        <v>1</v>
      </c>
      <c r="T90" s="210"/>
      <c r="U90" s="210"/>
      <c r="V90" s="211" t="s">
        <v>149</v>
      </c>
      <c r="W90" s="210" t="str">
        <f t="shared" si="7"/>
        <v>QC</v>
      </c>
      <c r="X90" s="210" t="str">
        <f t="shared" si="8"/>
        <v>QC</v>
      </c>
      <c r="Y90" s="210" t="str">
        <f t="shared" si="9"/>
        <v>ONC</v>
      </c>
      <c r="Z90" s="210"/>
      <c r="AA90" s="210"/>
      <c r="AB90" s="210"/>
      <c r="AC90" s="210"/>
      <c r="AD90" s="210"/>
      <c r="AE90" s="210"/>
      <c r="AF90" s="210"/>
      <c r="AG90" s="210"/>
      <c r="AH90" s="210"/>
      <c r="AI90" s="210"/>
      <c r="AJ90" s="210"/>
      <c r="AK90" s="210"/>
      <c r="AL90" s="210"/>
      <c r="AM90" s="214"/>
      <c r="AN90" s="211" t="str">
        <f>IFERROR(__xludf.DUMMYFUNCTION("""COMPUTED_VALUE"""),"227155")</f>
        <v>227155</v>
      </c>
      <c r="AO90" s="210" t="str">
        <f t="shared" si="10"/>
        <v>QC</v>
      </c>
      <c r="AP90" s="210" t="str">
        <f t="shared" si="11"/>
        <v>QC</v>
      </c>
      <c r="AQ90" s="210" t="str">
        <f t="shared" si="12"/>
        <v>POC</v>
      </c>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c r="BU90" s="210"/>
      <c r="BV90" s="210"/>
      <c r="BW90" s="210"/>
      <c r="BX90" s="210"/>
      <c r="BY90" s="210"/>
      <c r="BZ90" s="210"/>
      <c r="CA90" s="210"/>
      <c r="CB90" s="210"/>
      <c r="CC90" s="210"/>
      <c r="CD90" s="210"/>
      <c r="CE90" s="210"/>
      <c r="CF90" s="210"/>
      <c r="CG90" s="210"/>
      <c r="CH90" s="210"/>
      <c r="CI90" s="210"/>
      <c r="CJ90" s="210"/>
      <c r="CK90" s="210"/>
    </row>
    <row r="91">
      <c r="A91" s="222" t="s">
        <v>451</v>
      </c>
      <c r="B91" s="190" t="s">
        <v>452</v>
      </c>
      <c r="C91" s="223" t="s">
        <v>59</v>
      </c>
      <c r="D91" s="223" t="s">
        <v>853</v>
      </c>
      <c r="E91" s="190" t="s">
        <v>21</v>
      </c>
      <c r="F91" s="13" t="s">
        <v>927</v>
      </c>
      <c r="G91" s="13" t="s">
        <v>935</v>
      </c>
      <c r="H91" s="219">
        <f>IFERROR(
  MINIFS(ATTENDANCE_LOG!$F:$F,
         ATTENDANCE_LOG!$A:$A, C91,
         ATTENDANCE_LOG!$B:$B, E91),
"")</f>
        <v>45663.58333</v>
      </c>
      <c r="I91" s="219">
        <f t="shared" si="2"/>
        <v>45663.58333</v>
      </c>
      <c r="J91" s="190">
        <f>IFERROR(VLOOKUP(F91, LEVEL_HELPER!$A:$B, 2, 0), "")</f>
        <v>1</v>
      </c>
      <c r="K91" s="190">
        <f>IFERROR(VLOOKUP(G91, LEVEL_HELPER!$A:$B, 2, 0), "")</f>
        <v>3.5</v>
      </c>
      <c r="L91" s="220" t="s">
        <v>931</v>
      </c>
      <c r="M91" s="220" t="s">
        <v>923</v>
      </c>
      <c r="N91" s="190">
        <f t="array" ref="N91">IFERROR(
  INDEX($J$2:$J$543,
    MATCH(A91&amp;TEXT(I91,"yyyy-mm-dd"),
          $A$2:$A$543&amp;TEXT($H$2:$H$543,"yyyy-mm-dd"),
          0)),
"")</f>
        <v>1</v>
      </c>
      <c r="O91" s="210">
        <f t="shared" si="3"/>
        <v>5.5</v>
      </c>
      <c r="P91" s="210">
        <f t="shared" ref="P91:Q91" si="101">IF(N91="",0,IF(N91&lt;=2,1,IF(N91&lt;=4,2,IF(N91&lt;=5.5,3,4))))</f>
        <v>1</v>
      </c>
      <c r="Q91" s="210">
        <f t="shared" si="101"/>
        <v>3</v>
      </c>
      <c r="R91" s="210" t="str">
        <f t="shared" si="5"/>
        <v>Lv1 → Lv3 (multi)</v>
      </c>
      <c r="S91" s="210">
        <f t="shared" si="6"/>
        <v>1</v>
      </c>
      <c r="T91" s="210"/>
      <c r="U91" s="210"/>
      <c r="V91" s="211" t="s">
        <v>212</v>
      </c>
      <c r="W91" s="210" t="str">
        <f t="shared" si="7"/>
        <v>QC</v>
      </c>
      <c r="X91" s="210" t="str">
        <f t="shared" si="8"/>
        <v>QC</v>
      </c>
      <c r="Y91" s="210" t="str">
        <f t="shared" si="9"/>
        <v>ONC</v>
      </c>
      <c r="Z91" s="210"/>
      <c r="AA91" s="210"/>
      <c r="AB91" s="210"/>
      <c r="AC91" s="210"/>
      <c r="AD91" s="210"/>
      <c r="AE91" s="210"/>
      <c r="AF91" s="210"/>
      <c r="AG91" s="210"/>
      <c r="AH91" s="210"/>
      <c r="AI91" s="210"/>
      <c r="AJ91" s="210"/>
      <c r="AK91" s="210"/>
      <c r="AL91" s="210"/>
      <c r="AM91" s="214"/>
      <c r="AN91" s="211">
        <f>IFERROR(__xludf.DUMMYFUNCTION("""COMPUTED_VALUE"""),193470.0)</f>
        <v>193470</v>
      </c>
      <c r="AO91" s="210" t="str">
        <f t="shared" si="10"/>
        <v>#N/A</v>
      </c>
      <c r="AP91" s="210" t="str">
        <f t="shared" si="11"/>
        <v>#N/A</v>
      </c>
      <c r="AQ91" s="210" t="str">
        <f t="shared" si="12"/>
        <v>#N/A</v>
      </c>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c r="BU91" s="210"/>
      <c r="BV91" s="210"/>
      <c r="BW91" s="210"/>
      <c r="BX91" s="210"/>
      <c r="BY91" s="210"/>
      <c r="BZ91" s="210"/>
      <c r="CA91" s="210"/>
      <c r="CB91" s="210"/>
      <c r="CC91" s="210"/>
      <c r="CD91" s="210"/>
      <c r="CE91" s="210"/>
      <c r="CF91" s="210"/>
      <c r="CG91" s="210"/>
      <c r="CH91" s="210"/>
      <c r="CI91" s="210"/>
      <c r="CJ91" s="210"/>
      <c r="CK91" s="210"/>
    </row>
    <row r="92">
      <c r="A92" s="222" t="s">
        <v>466</v>
      </c>
      <c r="B92" s="190" t="s">
        <v>467</v>
      </c>
      <c r="C92" s="223" t="s">
        <v>59</v>
      </c>
      <c r="D92" s="223" t="s">
        <v>853</v>
      </c>
      <c r="E92" s="190" t="s">
        <v>21</v>
      </c>
      <c r="F92" s="13" t="s">
        <v>927</v>
      </c>
      <c r="G92" s="13" t="s">
        <v>929</v>
      </c>
      <c r="H92" s="219">
        <f>IFERROR(
  MINIFS(ATTENDANCE_LOG!$F:$F,
         ATTENDANCE_LOG!$A:$A, C92,
         ATTENDANCE_LOG!$B:$B, E92),
"")</f>
        <v>45663.58333</v>
      </c>
      <c r="I92" s="219">
        <f t="shared" si="2"/>
        <v>45663.58333</v>
      </c>
      <c r="J92" s="190">
        <f>IFERROR(VLOOKUP(F92, LEVEL_HELPER!$A:$B, 2, 0), "")</f>
        <v>1</v>
      </c>
      <c r="K92" s="190">
        <f>IFERROR(VLOOKUP(G92, LEVEL_HELPER!$A:$B, 2, 0), "")</f>
        <v>1.5</v>
      </c>
      <c r="L92" s="220" t="s">
        <v>931</v>
      </c>
      <c r="M92" s="220" t="s">
        <v>923</v>
      </c>
      <c r="N92" s="190">
        <f t="array" ref="N92">IFERROR(
  INDEX($J$2:$J$543,
    MATCH(A92&amp;TEXT(I92,"yyyy-mm-dd"),
          $A$2:$A$543&amp;TEXT($H$2:$H$543,"yyyy-mm-dd"),
          0)),
"")</f>
        <v>1</v>
      </c>
      <c r="O92" s="210">
        <f t="shared" si="3"/>
        <v>3</v>
      </c>
      <c r="P92" s="210">
        <f t="shared" ref="P92:Q92" si="102">IF(N92="",0,IF(N92&lt;=2,1,IF(N92&lt;=4,2,IF(N92&lt;=5.5,3,4))))</f>
        <v>1</v>
      </c>
      <c r="Q92" s="210">
        <f t="shared" si="102"/>
        <v>2</v>
      </c>
      <c r="R92" s="210" t="str">
        <f t="shared" si="5"/>
        <v>Lv1 → Lv2</v>
      </c>
      <c r="S92" s="210">
        <f t="shared" si="6"/>
        <v>1</v>
      </c>
      <c r="T92" s="210"/>
      <c r="U92" s="210"/>
      <c r="V92" s="211" t="s">
        <v>267</v>
      </c>
      <c r="W92" s="210" t="str">
        <f t="shared" si="7"/>
        <v>QC</v>
      </c>
      <c r="X92" s="210" t="str">
        <f t="shared" si="8"/>
        <v>QC</v>
      </c>
      <c r="Y92" s="210" t="str">
        <f t="shared" si="9"/>
        <v>ONC</v>
      </c>
      <c r="Z92" s="210"/>
      <c r="AA92" s="210"/>
      <c r="AB92" s="210"/>
      <c r="AC92" s="210"/>
      <c r="AD92" s="210"/>
      <c r="AE92" s="210"/>
      <c r="AF92" s="210"/>
      <c r="AG92" s="210"/>
      <c r="AH92" s="210"/>
      <c r="AI92" s="210"/>
      <c r="AJ92" s="210"/>
      <c r="AK92" s="210"/>
      <c r="AL92" s="210"/>
      <c r="AM92" s="214"/>
      <c r="AN92" s="211" t="str">
        <f>IFERROR(__xludf.DUMMYFUNCTION("""COMPUTED_VALUE"""),"153138")</f>
        <v>153138</v>
      </c>
      <c r="AO92" s="210" t="str">
        <f t="shared" si="10"/>
        <v>DEV</v>
      </c>
      <c r="AP92" s="210" t="str">
        <f t="shared" si="11"/>
        <v>DEV, TA</v>
      </c>
      <c r="AQ92" s="210" t="str">
        <f t="shared" si="12"/>
        <v>ONC</v>
      </c>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c r="BU92" s="210"/>
      <c r="BV92" s="210"/>
      <c r="BW92" s="210"/>
      <c r="BX92" s="210"/>
      <c r="BY92" s="210"/>
      <c r="BZ92" s="210"/>
      <c r="CA92" s="210"/>
      <c r="CB92" s="210"/>
      <c r="CC92" s="210"/>
      <c r="CD92" s="210"/>
      <c r="CE92" s="210"/>
      <c r="CF92" s="210"/>
      <c r="CG92" s="210"/>
      <c r="CH92" s="210"/>
      <c r="CI92" s="210"/>
      <c r="CJ92" s="210"/>
      <c r="CK92" s="210"/>
    </row>
    <row r="93">
      <c r="A93" s="216" t="s">
        <v>330</v>
      </c>
      <c r="B93" s="217" t="s">
        <v>331</v>
      </c>
      <c r="C93" s="218" t="s">
        <v>59</v>
      </c>
      <c r="D93" s="218" t="s">
        <v>853</v>
      </c>
      <c r="E93" s="217" t="s">
        <v>22</v>
      </c>
      <c r="F93" s="13" t="s">
        <v>932</v>
      </c>
      <c r="G93" s="13" t="s">
        <v>938</v>
      </c>
      <c r="H93" s="219">
        <f>IFERROR(
  MINIFS(ATTENDANCE_LOG!$F:$F,
         ATTENDANCE_LOG!$A:$A, C93,
         ATTENDANCE_LOG!$B:$B, E93),
"")</f>
        <v>45915.54167</v>
      </c>
      <c r="I93" s="219">
        <f t="shared" si="2"/>
        <v>45637.41667</v>
      </c>
      <c r="J93" s="190">
        <f>IFERROR(VLOOKUP(F93, LEVEL_HELPER!$A:$B, 2, 0), "")</f>
        <v>4.5</v>
      </c>
      <c r="K93" s="190">
        <f>IFERROR(VLOOKUP(G93, LEVEL_HELPER!$A:$B, 2, 0), "")</f>
        <v>5.5</v>
      </c>
      <c r="L93" s="220" t="s">
        <v>943</v>
      </c>
      <c r="M93" s="220" t="s">
        <v>923</v>
      </c>
      <c r="N93" s="190">
        <f t="array" ref="N93">IFERROR(
  INDEX($J$2:$J$543,
    MATCH(A93&amp;TEXT(I93,"yyyy-mm-dd"),
          $A$2:$A$543&amp;TEXT($H$2:$H$543,"yyyy-mm-dd"),
          0)),
"")</f>
        <v>2.5</v>
      </c>
      <c r="O93" s="210">
        <f t="shared" si="3"/>
        <v>5.5</v>
      </c>
      <c r="P93" s="210">
        <f t="shared" ref="P93:Q93" si="103">IF(N93="",0,IF(N93&lt;=2,1,IF(N93&lt;=4,2,IF(N93&lt;=5.5,3,4))))</f>
        <v>2</v>
      </c>
      <c r="Q93" s="210">
        <f t="shared" si="103"/>
        <v>3</v>
      </c>
      <c r="R93" s="210" t="str">
        <f t="shared" si="5"/>
        <v>Lv2 → Lv3</v>
      </c>
      <c r="S93" s="210">
        <f t="shared" si="6"/>
        <v>0</v>
      </c>
      <c r="T93" s="210"/>
      <c r="U93" s="210"/>
      <c r="V93" s="211" t="s">
        <v>413</v>
      </c>
      <c r="W93" s="210" t="str">
        <f t="shared" si="7"/>
        <v>QC</v>
      </c>
      <c r="X93" s="210" t="str">
        <f t="shared" si="8"/>
        <v>QC</v>
      </c>
      <c r="Y93" s="210" t="str">
        <f t="shared" si="9"/>
        <v>ONC</v>
      </c>
      <c r="Z93" s="210"/>
      <c r="AA93" s="210"/>
      <c r="AB93" s="210"/>
      <c r="AC93" s="210"/>
      <c r="AD93" s="210"/>
      <c r="AE93" s="210"/>
      <c r="AF93" s="210"/>
      <c r="AG93" s="210"/>
      <c r="AH93" s="210"/>
      <c r="AI93" s="210"/>
      <c r="AJ93" s="210"/>
      <c r="AK93" s="210"/>
      <c r="AL93" s="210"/>
      <c r="AM93" s="214"/>
      <c r="AN93" s="211" t="str">
        <f>IFERROR(__xludf.DUMMYFUNCTION("""COMPUTED_VALUE"""),"193522")</f>
        <v>193522</v>
      </c>
      <c r="AO93" s="210" t="str">
        <f t="shared" si="10"/>
        <v>DEV</v>
      </c>
      <c r="AP93" s="210" t="str">
        <f t="shared" si="11"/>
        <v>DEV, TA</v>
      </c>
      <c r="AQ93" s="210" t="str">
        <f t="shared" si="12"/>
        <v>ONC</v>
      </c>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c r="BU93" s="210"/>
      <c r="BV93" s="210"/>
      <c r="BW93" s="210"/>
      <c r="BX93" s="210"/>
      <c r="BY93" s="210"/>
      <c r="BZ93" s="210"/>
      <c r="CA93" s="210"/>
      <c r="CB93" s="210"/>
      <c r="CC93" s="210"/>
      <c r="CD93" s="210"/>
      <c r="CE93" s="210"/>
      <c r="CF93" s="210"/>
      <c r="CG93" s="210"/>
      <c r="CH93" s="210"/>
      <c r="CI93" s="210"/>
      <c r="CJ93" s="210"/>
      <c r="CK93" s="210"/>
    </row>
    <row r="94">
      <c r="A94" s="222" t="s">
        <v>247</v>
      </c>
      <c r="B94" s="190" t="s">
        <v>248</v>
      </c>
      <c r="C94" s="223" t="s">
        <v>59</v>
      </c>
      <c r="D94" s="223" t="s">
        <v>853</v>
      </c>
      <c r="E94" s="190" t="s">
        <v>22</v>
      </c>
      <c r="F94" s="13" t="s">
        <v>929</v>
      </c>
      <c r="G94" s="13" t="s">
        <v>929</v>
      </c>
      <c r="H94" s="219">
        <f>IFERROR(
  MINIFS(ATTENDANCE_LOG!$F:$F,
         ATTENDANCE_LOG!$A:$A, C94,
         ATTENDANCE_LOG!$B:$B, E94),
"")</f>
        <v>45915.54167</v>
      </c>
      <c r="I94" s="219">
        <f t="shared" si="2"/>
        <v>45715.58333</v>
      </c>
      <c r="J94" s="190">
        <f>IFERROR(VLOOKUP(F94, LEVEL_HELPER!$A:$B, 2, 0), "")</f>
        <v>1.5</v>
      </c>
      <c r="K94" s="190">
        <f>IFERROR(VLOOKUP(G94, LEVEL_HELPER!$A:$B, 2, 0), "")</f>
        <v>1.5</v>
      </c>
      <c r="L94" s="220" t="s">
        <v>931</v>
      </c>
      <c r="M94" s="220" t="s">
        <v>923</v>
      </c>
      <c r="N94" s="190">
        <f t="array" ref="N94">IFERROR(
  INDEX($J$2:$J$543,
    MATCH(A94&amp;TEXT(I94,"yyyy-mm-dd"),
          $A$2:$A$543&amp;TEXT($H$2:$H$543,"yyyy-mm-dd"),
          0)),
"")</f>
        <v>1</v>
      </c>
      <c r="O94" s="210">
        <f t="shared" si="3"/>
        <v>1.5</v>
      </c>
      <c r="P94" s="210">
        <f t="shared" ref="P94:Q94" si="104">IF(N94="",0,IF(N94&lt;=2,1,IF(N94&lt;=4,2,IF(N94&lt;=5.5,3,4))))</f>
        <v>1</v>
      </c>
      <c r="Q94" s="210">
        <f t="shared" si="104"/>
        <v>1</v>
      </c>
      <c r="R94" s="210" t="str">
        <f t="shared" si="5"/>
        <v>Progress within level</v>
      </c>
      <c r="S94" s="210">
        <f t="shared" si="6"/>
        <v>1</v>
      </c>
      <c r="T94" s="210"/>
      <c r="U94" s="210"/>
      <c r="V94" s="211" t="s">
        <v>601</v>
      </c>
      <c r="W94" s="210" t="str">
        <f t="shared" si="7"/>
        <v>QC</v>
      </c>
      <c r="X94" s="210" t="str">
        <f t="shared" si="8"/>
        <v>QC</v>
      </c>
      <c r="Y94" s="210" t="str">
        <f t="shared" si="9"/>
        <v>LBU</v>
      </c>
      <c r="Z94" s="210"/>
      <c r="AA94" s="210"/>
      <c r="AB94" s="210"/>
      <c r="AC94" s="210"/>
      <c r="AD94" s="210"/>
      <c r="AE94" s="210"/>
      <c r="AF94" s="210"/>
      <c r="AG94" s="210"/>
      <c r="AH94" s="210"/>
      <c r="AI94" s="210"/>
      <c r="AJ94" s="210"/>
      <c r="AK94" s="210"/>
      <c r="AL94" s="210"/>
      <c r="AM94" s="214"/>
      <c r="AN94" s="211" t="str">
        <f>IFERROR(__xludf.DUMMYFUNCTION("""COMPUTED_VALUE"""),"237070")</f>
        <v>237070</v>
      </c>
      <c r="AO94" s="210" t="str">
        <f t="shared" si="10"/>
        <v>DEV</v>
      </c>
      <c r="AP94" s="210" t="str">
        <f t="shared" si="11"/>
        <v>DEV, TA</v>
      </c>
      <c r="AQ94" s="210" t="str">
        <f t="shared" si="12"/>
        <v>ONC</v>
      </c>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c r="BU94" s="210"/>
      <c r="BV94" s="210"/>
      <c r="BW94" s="210"/>
      <c r="BX94" s="210"/>
      <c r="BY94" s="210"/>
      <c r="BZ94" s="210"/>
      <c r="CA94" s="210"/>
      <c r="CB94" s="210"/>
      <c r="CC94" s="210"/>
      <c r="CD94" s="210"/>
      <c r="CE94" s="210"/>
      <c r="CF94" s="210"/>
      <c r="CG94" s="210"/>
      <c r="CH94" s="210"/>
      <c r="CI94" s="210"/>
      <c r="CJ94" s="210"/>
      <c r="CK94" s="210"/>
    </row>
    <row r="95">
      <c r="A95" s="222" t="s">
        <v>294</v>
      </c>
      <c r="B95" s="190" t="s">
        <v>295</v>
      </c>
      <c r="C95" s="223" t="s">
        <v>59</v>
      </c>
      <c r="D95" s="223" t="s">
        <v>853</v>
      </c>
      <c r="E95" s="190" t="s">
        <v>22</v>
      </c>
      <c r="F95" s="13" t="s">
        <v>929</v>
      </c>
      <c r="G95" s="13" t="s">
        <v>918</v>
      </c>
      <c r="H95" s="219">
        <f>IFERROR(
  MINIFS(ATTENDANCE_LOG!$F:$F,
         ATTENDANCE_LOG!$A:$A, C95,
         ATTENDANCE_LOG!$B:$B, E95),
"")</f>
        <v>45915.54167</v>
      </c>
      <c r="I95" s="219">
        <f t="shared" si="2"/>
        <v>45637.41667</v>
      </c>
      <c r="J95" s="190">
        <f>IFERROR(VLOOKUP(F95, LEVEL_HELPER!$A:$B, 2, 0), "")</f>
        <v>1.5</v>
      </c>
      <c r="K95" s="190">
        <f>IFERROR(VLOOKUP(G95, LEVEL_HELPER!$A:$B, 2, 0), "")</f>
        <v>3</v>
      </c>
      <c r="L95" s="220" t="s">
        <v>931</v>
      </c>
      <c r="M95" s="220" t="s">
        <v>923</v>
      </c>
      <c r="N95" s="190">
        <f t="array" ref="N95">IFERROR(
  INDEX($J$2:$J$543,
    MATCH(A95&amp;TEXT(I95,"yyyy-mm-dd"),
          $A$2:$A$543&amp;TEXT($H$2:$H$543,"yyyy-mm-dd"),
          0)),
"")</f>
        <v>1</v>
      </c>
      <c r="O95" s="210">
        <f t="shared" si="3"/>
        <v>3</v>
      </c>
      <c r="P95" s="210">
        <f t="shared" ref="P95:Q95" si="105">IF(N95="",0,IF(N95&lt;=2,1,IF(N95&lt;=4,2,IF(N95&lt;=5.5,3,4))))</f>
        <v>1</v>
      </c>
      <c r="Q95" s="210">
        <f t="shared" si="105"/>
        <v>2</v>
      </c>
      <c r="R95" s="210" t="str">
        <f t="shared" si="5"/>
        <v>Lv1 → Lv2</v>
      </c>
      <c r="S95" s="210">
        <f t="shared" si="6"/>
        <v>0</v>
      </c>
      <c r="T95" s="210"/>
      <c r="U95" s="210"/>
      <c r="V95" s="211" t="s">
        <v>699</v>
      </c>
      <c r="W95" s="210" t="str">
        <f t="shared" si="7"/>
        <v>QC</v>
      </c>
      <c r="X95" s="210" t="str">
        <f t="shared" si="8"/>
        <v>QC</v>
      </c>
      <c r="Y95" s="210" t="str">
        <f t="shared" si="9"/>
        <v>LBU</v>
      </c>
      <c r="Z95" s="210"/>
      <c r="AA95" s="210"/>
      <c r="AB95" s="210"/>
      <c r="AC95" s="210"/>
      <c r="AD95" s="210"/>
      <c r="AE95" s="210"/>
      <c r="AF95" s="210"/>
      <c r="AG95" s="210"/>
      <c r="AH95" s="210"/>
      <c r="AI95" s="210"/>
      <c r="AJ95" s="210"/>
      <c r="AK95" s="210"/>
      <c r="AL95" s="210"/>
      <c r="AM95" s="214"/>
      <c r="AN95" s="211" t="str">
        <f>IFERROR(__xludf.DUMMYFUNCTION("""COMPUTED_VALUE"""),"203757")</f>
        <v>203757</v>
      </c>
      <c r="AO95" s="210" t="str">
        <f t="shared" si="10"/>
        <v>DEV</v>
      </c>
      <c r="AP95" s="210" t="str">
        <f t="shared" si="11"/>
        <v>DEV, TA</v>
      </c>
      <c r="AQ95" s="210" t="str">
        <f t="shared" si="12"/>
        <v>ONC</v>
      </c>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c r="BU95" s="210"/>
      <c r="BV95" s="210"/>
      <c r="BW95" s="210"/>
      <c r="BX95" s="210"/>
      <c r="BY95" s="210"/>
      <c r="BZ95" s="210"/>
      <c r="CA95" s="210"/>
      <c r="CB95" s="210"/>
      <c r="CC95" s="210"/>
      <c r="CD95" s="210"/>
      <c r="CE95" s="210"/>
      <c r="CF95" s="210"/>
      <c r="CG95" s="210"/>
      <c r="CH95" s="210"/>
      <c r="CI95" s="210"/>
      <c r="CJ95" s="210"/>
      <c r="CK95" s="210"/>
    </row>
    <row r="96">
      <c r="A96" s="222" t="s">
        <v>313</v>
      </c>
      <c r="B96" s="190" t="s">
        <v>314</v>
      </c>
      <c r="C96" s="223" t="s">
        <v>59</v>
      </c>
      <c r="D96" s="223" t="s">
        <v>853</v>
      </c>
      <c r="E96" s="190" t="s">
        <v>22</v>
      </c>
      <c r="F96" s="13" t="s">
        <v>918</v>
      </c>
      <c r="G96" s="13" t="s">
        <v>941</v>
      </c>
      <c r="H96" s="219">
        <f>IFERROR(
  MINIFS(ATTENDANCE_LOG!$F:$F,
         ATTENDANCE_LOG!$A:$A, C96,
         ATTENDANCE_LOG!$B:$B, E96),
"")</f>
        <v>45915.54167</v>
      </c>
      <c r="I96" s="219">
        <f t="shared" si="2"/>
        <v>45663.58333</v>
      </c>
      <c r="J96" s="190">
        <f>IFERROR(VLOOKUP(F96, LEVEL_HELPER!$A:$B, 2, 0), "")</f>
        <v>3</v>
      </c>
      <c r="K96" s="190">
        <f>IFERROR(VLOOKUP(G96, LEVEL_HELPER!$A:$B, 2, 0), "")</f>
        <v>5</v>
      </c>
      <c r="L96" s="220" t="s">
        <v>931</v>
      </c>
      <c r="M96" s="220" t="s">
        <v>923</v>
      </c>
      <c r="N96" s="190">
        <f t="array" ref="N96">IFERROR(
  INDEX($J$2:$J$543,
    MATCH(A96&amp;TEXT(I96,"yyyy-mm-dd"),
          $A$2:$A$543&amp;TEXT($H$2:$H$543,"yyyy-mm-dd"),
          0)),
"")</f>
        <v>1</v>
      </c>
      <c r="O96" s="210">
        <f t="shared" si="3"/>
        <v>5</v>
      </c>
      <c r="P96" s="210">
        <f t="shared" ref="P96:Q96" si="106">IF(N96="",0,IF(N96&lt;=2,1,IF(N96&lt;=4,2,IF(N96&lt;=5.5,3,4))))</f>
        <v>1</v>
      </c>
      <c r="Q96" s="210">
        <f t="shared" si="106"/>
        <v>3</v>
      </c>
      <c r="R96" s="210" t="str">
        <f t="shared" si="5"/>
        <v>Lv1 → Lv3 (multi)</v>
      </c>
      <c r="S96" s="210">
        <f t="shared" si="6"/>
        <v>0</v>
      </c>
      <c r="T96" s="210"/>
      <c r="U96" s="210"/>
      <c r="V96" s="211" t="s">
        <v>346</v>
      </c>
      <c r="W96" s="210" t="str">
        <f t="shared" si="7"/>
        <v>BA</v>
      </c>
      <c r="X96" s="210" t="str">
        <f t="shared" si="8"/>
        <v>BA, BC</v>
      </c>
      <c r="Y96" s="210" t="str">
        <f t="shared" si="9"/>
        <v>TBU</v>
      </c>
      <c r="Z96" s="210"/>
      <c r="AA96" s="210"/>
      <c r="AB96" s="210"/>
      <c r="AC96" s="210"/>
      <c r="AD96" s="210"/>
      <c r="AE96" s="210"/>
      <c r="AF96" s="210"/>
      <c r="AG96" s="210"/>
      <c r="AH96" s="210"/>
      <c r="AI96" s="210"/>
      <c r="AJ96" s="210"/>
      <c r="AK96" s="210"/>
      <c r="AL96" s="210"/>
      <c r="AM96" s="214"/>
      <c r="AN96" s="211" t="str">
        <f>IFERROR(__xludf.DUMMYFUNCTION("""COMPUTED_VALUE"""),"213911")</f>
        <v>213911</v>
      </c>
      <c r="AO96" s="210" t="str">
        <f t="shared" si="10"/>
        <v>DEV</v>
      </c>
      <c r="AP96" s="210" t="str">
        <f t="shared" si="11"/>
        <v>DEV, TA</v>
      </c>
      <c r="AQ96" s="210" t="str">
        <f t="shared" si="12"/>
        <v>ONC</v>
      </c>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c r="BU96" s="210"/>
      <c r="BV96" s="210"/>
      <c r="BW96" s="210"/>
      <c r="BX96" s="210"/>
      <c r="BY96" s="210"/>
      <c r="BZ96" s="210"/>
      <c r="CA96" s="210"/>
      <c r="CB96" s="210"/>
      <c r="CC96" s="210"/>
      <c r="CD96" s="210"/>
      <c r="CE96" s="210"/>
      <c r="CF96" s="210"/>
      <c r="CG96" s="210"/>
      <c r="CH96" s="210"/>
      <c r="CI96" s="210"/>
      <c r="CJ96" s="210"/>
      <c r="CK96" s="210"/>
    </row>
    <row r="97">
      <c r="A97" s="222" t="s">
        <v>411</v>
      </c>
      <c r="B97" s="190" t="s">
        <v>412</v>
      </c>
      <c r="C97" s="223" t="s">
        <v>59</v>
      </c>
      <c r="D97" s="223" t="s">
        <v>853</v>
      </c>
      <c r="E97" s="190" t="s">
        <v>22</v>
      </c>
      <c r="F97" s="13" t="s">
        <v>929</v>
      </c>
      <c r="G97" s="13" t="s">
        <v>941</v>
      </c>
      <c r="H97" s="219">
        <f>IFERROR(
  MINIFS(ATTENDANCE_LOG!$F:$F,
         ATTENDANCE_LOG!$A:$A, C97,
         ATTENDANCE_LOG!$B:$B, E97),
"")</f>
        <v>45915.54167</v>
      </c>
      <c r="I97" s="219">
        <f t="shared" si="2"/>
        <v>45637.41667</v>
      </c>
      <c r="J97" s="190">
        <f>IFERROR(VLOOKUP(F97, LEVEL_HELPER!$A:$B, 2, 0), "")</f>
        <v>1.5</v>
      </c>
      <c r="K97" s="190">
        <f>IFERROR(VLOOKUP(G97, LEVEL_HELPER!$A:$B, 2, 0), "")</f>
        <v>5</v>
      </c>
      <c r="L97" s="220" t="s">
        <v>931</v>
      </c>
      <c r="M97" s="220" t="s">
        <v>923</v>
      </c>
      <c r="N97" s="190">
        <f t="array" ref="N97">IFERROR(
  INDEX($J$2:$J$543,
    MATCH(A97&amp;TEXT(I97,"yyyy-mm-dd"),
          $A$2:$A$543&amp;TEXT($H$2:$H$543,"yyyy-mm-dd"),
          0)),
"")</f>
        <v>2.5</v>
      </c>
      <c r="O97" s="210">
        <f t="shared" si="3"/>
        <v>5</v>
      </c>
      <c r="P97" s="210">
        <f t="shared" ref="P97:Q97" si="107">IF(N97="",0,IF(N97&lt;=2,1,IF(N97&lt;=4,2,IF(N97&lt;=5.5,3,4))))</f>
        <v>2</v>
      </c>
      <c r="Q97" s="210">
        <f t="shared" si="107"/>
        <v>3</v>
      </c>
      <c r="R97" s="210" t="str">
        <f t="shared" si="5"/>
        <v>Lv2 → Lv3</v>
      </c>
      <c r="S97" s="210">
        <f t="shared" si="6"/>
        <v>0</v>
      </c>
      <c r="T97" s="210"/>
      <c r="U97" s="210"/>
      <c r="V97" s="211" t="s">
        <v>514</v>
      </c>
      <c r="W97" s="210" t="str">
        <f t="shared" si="7"/>
        <v>DEV</v>
      </c>
      <c r="X97" s="210" t="str">
        <f t="shared" si="8"/>
        <v>DEV, TA</v>
      </c>
      <c r="Y97" s="210" t="str">
        <f t="shared" si="9"/>
        <v>TBU</v>
      </c>
      <c r="Z97" s="210"/>
      <c r="AA97" s="210"/>
      <c r="AB97" s="210"/>
      <c r="AC97" s="210"/>
      <c r="AD97" s="210"/>
      <c r="AE97" s="210"/>
      <c r="AF97" s="210"/>
      <c r="AG97" s="210"/>
      <c r="AH97" s="210"/>
      <c r="AI97" s="210"/>
      <c r="AJ97" s="210"/>
      <c r="AK97" s="210"/>
      <c r="AL97" s="210"/>
      <c r="AM97" s="214"/>
      <c r="AN97" s="211" t="str">
        <f>IFERROR(__xludf.DUMMYFUNCTION("""COMPUTED_VALUE"""),"203791")</f>
        <v>203791</v>
      </c>
      <c r="AO97" s="210" t="str">
        <f t="shared" si="10"/>
        <v>DEV</v>
      </c>
      <c r="AP97" s="210" t="str">
        <f t="shared" si="11"/>
        <v>DEV, TA</v>
      </c>
      <c r="AQ97" s="210" t="str">
        <f t="shared" si="12"/>
        <v>ONC</v>
      </c>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c r="BU97" s="210"/>
      <c r="BV97" s="210"/>
      <c r="BW97" s="210"/>
      <c r="BX97" s="210"/>
      <c r="BY97" s="210"/>
      <c r="BZ97" s="210"/>
      <c r="CA97" s="210"/>
      <c r="CB97" s="210"/>
      <c r="CC97" s="210"/>
      <c r="CD97" s="210"/>
      <c r="CE97" s="210"/>
      <c r="CF97" s="210"/>
      <c r="CG97" s="210"/>
      <c r="CH97" s="210"/>
      <c r="CI97" s="210"/>
      <c r="CJ97" s="210"/>
      <c r="CK97" s="210"/>
    </row>
    <row r="98">
      <c r="A98" s="222" t="s">
        <v>451</v>
      </c>
      <c r="B98" s="190" t="s">
        <v>452</v>
      </c>
      <c r="C98" s="223" t="s">
        <v>59</v>
      </c>
      <c r="D98" s="223" t="s">
        <v>853</v>
      </c>
      <c r="E98" s="190" t="s">
        <v>22</v>
      </c>
      <c r="F98" s="13" t="s">
        <v>935</v>
      </c>
      <c r="G98" s="13" t="s">
        <v>938</v>
      </c>
      <c r="H98" s="219">
        <f>IFERROR(
  MINIFS(ATTENDANCE_LOG!$F:$F,
         ATTENDANCE_LOG!$A:$A, C98,
         ATTENDANCE_LOG!$B:$B, E98),
"")</f>
        <v>45915.54167</v>
      </c>
      <c r="I98" s="219">
        <f t="shared" si="2"/>
        <v>45663.58333</v>
      </c>
      <c r="J98" s="190">
        <f>IFERROR(VLOOKUP(F98, LEVEL_HELPER!$A:$B, 2, 0), "")</f>
        <v>3.5</v>
      </c>
      <c r="K98" s="190">
        <f>IFERROR(VLOOKUP(G98, LEVEL_HELPER!$A:$B, 2, 0), "")</f>
        <v>5.5</v>
      </c>
      <c r="L98" s="220" t="s">
        <v>931</v>
      </c>
      <c r="M98" s="220" t="s">
        <v>923</v>
      </c>
      <c r="N98" s="190">
        <f t="array" ref="N98">IFERROR(
  INDEX($J$2:$J$543,
    MATCH(A98&amp;TEXT(I98,"yyyy-mm-dd"),
          $A$2:$A$543&amp;TEXT($H$2:$H$543,"yyyy-mm-dd"),
          0)),
"")</f>
        <v>1</v>
      </c>
      <c r="O98" s="210">
        <f t="shared" si="3"/>
        <v>5.5</v>
      </c>
      <c r="P98" s="210">
        <f t="shared" ref="P98:Q98" si="108">IF(N98="",0,IF(N98&lt;=2,1,IF(N98&lt;=4,2,IF(N98&lt;=5.5,3,4))))</f>
        <v>1</v>
      </c>
      <c r="Q98" s="210">
        <f t="shared" si="108"/>
        <v>3</v>
      </c>
      <c r="R98" s="210" t="str">
        <f t="shared" si="5"/>
        <v>Lv1 → Lv3 (multi)</v>
      </c>
      <c r="S98" s="210">
        <f t="shared" si="6"/>
        <v>0</v>
      </c>
      <c r="T98" s="210"/>
      <c r="U98" s="210"/>
      <c r="V98" s="211" t="s">
        <v>518</v>
      </c>
      <c r="W98" s="210" t="str">
        <f t="shared" si="7"/>
        <v>DEV</v>
      </c>
      <c r="X98" s="210" t="str">
        <f t="shared" si="8"/>
        <v>DEV, TA</v>
      </c>
      <c r="Y98" s="210" t="str">
        <f t="shared" si="9"/>
        <v>TBU</v>
      </c>
      <c r="Z98" s="210"/>
      <c r="AA98" s="210"/>
      <c r="AB98" s="210"/>
      <c r="AC98" s="210"/>
      <c r="AD98" s="210"/>
      <c r="AE98" s="210"/>
      <c r="AF98" s="210"/>
      <c r="AG98" s="210"/>
      <c r="AH98" s="210"/>
      <c r="AI98" s="210"/>
      <c r="AJ98" s="210"/>
      <c r="AK98" s="210"/>
      <c r="AL98" s="210"/>
      <c r="AM98" s="214"/>
      <c r="AN98" s="211" t="str">
        <f>IFERROR(__xludf.DUMMYFUNCTION("""COMPUTED_VALUE"""),"237031")</f>
        <v>237031</v>
      </c>
      <c r="AO98" s="210" t="str">
        <f t="shared" si="10"/>
        <v>DEV</v>
      </c>
      <c r="AP98" s="210" t="str">
        <f t="shared" si="11"/>
        <v>DEV, TA</v>
      </c>
      <c r="AQ98" s="210" t="str">
        <f t="shared" si="12"/>
        <v>ONC</v>
      </c>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c r="BU98" s="210"/>
      <c r="BV98" s="210"/>
      <c r="BW98" s="210"/>
      <c r="BX98" s="210"/>
      <c r="BY98" s="210"/>
      <c r="BZ98" s="210"/>
      <c r="CA98" s="210"/>
      <c r="CB98" s="210"/>
      <c r="CC98" s="210"/>
      <c r="CD98" s="210"/>
      <c r="CE98" s="210"/>
      <c r="CF98" s="210"/>
      <c r="CG98" s="210"/>
      <c r="CH98" s="210"/>
      <c r="CI98" s="210"/>
      <c r="CJ98" s="210"/>
      <c r="CK98" s="210"/>
    </row>
    <row r="99">
      <c r="A99" s="222" t="s">
        <v>466</v>
      </c>
      <c r="B99" s="190" t="s">
        <v>467</v>
      </c>
      <c r="C99" s="223" t="s">
        <v>59</v>
      </c>
      <c r="D99" s="223" t="s">
        <v>853</v>
      </c>
      <c r="E99" s="190" t="s">
        <v>22</v>
      </c>
      <c r="F99" s="13" t="s">
        <v>929</v>
      </c>
      <c r="G99" s="13" t="s">
        <v>918</v>
      </c>
      <c r="H99" s="219">
        <f>IFERROR(
  MINIFS(ATTENDANCE_LOG!$F:$F,
         ATTENDANCE_LOG!$A:$A, C99,
         ATTENDANCE_LOG!$B:$B, E99),
"")</f>
        <v>45915.54167</v>
      </c>
      <c r="I99" s="219">
        <f t="shared" si="2"/>
        <v>45663.58333</v>
      </c>
      <c r="J99" s="190">
        <f>IFERROR(VLOOKUP(F99, LEVEL_HELPER!$A:$B, 2, 0), "")</f>
        <v>1.5</v>
      </c>
      <c r="K99" s="190">
        <f>IFERROR(VLOOKUP(G99, LEVEL_HELPER!$A:$B, 2, 0), "")</f>
        <v>3</v>
      </c>
      <c r="L99" s="220" t="s">
        <v>931</v>
      </c>
      <c r="M99" s="220" t="s">
        <v>923</v>
      </c>
      <c r="N99" s="190">
        <f t="array" ref="N99">IFERROR(
  INDEX($J$2:$J$543,
    MATCH(A99&amp;TEXT(I99,"yyyy-mm-dd"),
          $A$2:$A$543&amp;TEXT($H$2:$H$543,"yyyy-mm-dd"),
          0)),
"")</f>
        <v>1</v>
      </c>
      <c r="O99" s="210">
        <f t="shared" si="3"/>
        <v>3</v>
      </c>
      <c r="P99" s="210">
        <f t="shared" ref="P99:Q99" si="109">IF(N99="",0,IF(N99&lt;=2,1,IF(N99&lt;=4,2,IF(N99&lt;=5.5,3,4))))</f>
        <v>1</v>
      </c>
      <c r="Q99" s="210">
        <f t="shared" si="109"/>
        <v>2</v>
      </c>
      <c r="R99" s="210" t="str">
        <f t="shared" si="5"/>
        <v>Lv1 → Lv2</v>
      </c>
      <c r="S99" s="210">
        <f t="shared" si="6"/>
        <v>0</v>
      </c>
      <c r="T99" s="210"/>
      <c r="U99" s="210"/>
      <c r="V99" s="211" t="s">
        <v>522</v>
      </c>
      <c r="W99" s="210" t="str">
        <f t="shared" si="7"/>
        <v>DEV</v>
      </c>
      <c r="X99" s="210" t="str">
        <f t="shared" si="8"/>
        <v>DEV, TA</v>
      </c>
      <c r="Y99" s="210" t="str">
        <f t="shared" si="9"/>
        <v>TBU</v>
      </c>
      <c r="Z99" s="210"/>
      <c r="AA99" s="210"/>
      <c r="AB99" s="210"/>
      <c r="AC99" s="210"/>
      <c r="AD99" s="210"/>
      <c r="AE99" s="210"/>
      <c r="AF99" s="210"/>
      <c r="AG99" s="210"/>
      <c r="AH99" s="210"/>
      <c r="AI99" s="210"/>
      <c r="AJ99" s="210"/>
      <c r="AK99" s="210"/>
      <c r="AL99" s="210"/>
      <c r="AM99" s="214"/>
      <c r="AN99" s="211" t="str">
        <f>IFERROR(__xludf.DUMMYFUNCTION("""COMPUTED_VALUE"""),"203713")</f>
        <v>203713</v>
      </c>
      <c r="AO99" s="210" t="str">
        <f t="shared" si="10"/>
        <v>DEV</v>
      </c>
      <c r="AP99" s="210" t="str">
        <f t="shared" si="11"/>
        <v>DEV, TA</v>
      </c>
      <c r="AQ99" s="210" t="str">
        <f t="shared" si="12"/>
        <v>ONC</v>
      </c>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c r="BU99" s="210"/>
      <c r="BV99" s="210"/>
      <c r="BW99" s="210"/>
      <c r="BX99" s="210"/>
      <c r="BY99" s="210"/>
      <c r="BZ99" s="210"/>
      <c r="CA99" s="210"/>
      <c r="CB99" s="210"/>
      <c r="CC99" s="210"/>
      <c r="CD99" s="210"/>
      <c r="CE99" s="210"/>
      <c r="CF99" s="210"/>
      <c r="CG99" s="210"/>
      <c r="CH99" s="210"/>
      <c r="CI99" s="210"/>
      <c r="CJ99" s="210"/>
      <c r="CK99" s="210"/>
    </row>
    <row r="100">
      <c r="A100" s="222" t="s">
        <v>484</v>
      </c>
      <c r="B100" s="190" t="s">
        <v>485</v>
      </c>
      <c r="C100" s="223" t="s">
        <v>59</v>
      </c>
      <c r="D100" s="223" t="s">
        <v>853</v>
      </c>
      <c r="E100" s="190" t="s">
        <v>22</v>
      </c>
      <c r="F100" s="13" t="s">
        <v>935</v>
      </c>
      <c r="G100" s="13" t="s">
        <v>935</v>
      </c>
      <c r="H100" s="219">
        <f>IFERROR(
  MINIFS(ATTENDANCE_LOG!$F:$F,
         ATTENDANCE_LOG!$A:$A, C100,
         ATTENDANCE_LOG!$B:$B, E100),
"")</f>
        <v>45915.54167</v>
      </c>
      <c r="I100" s="219">
        <f t="shared" si="2"/>
        <v>45663.58333</v>
      </c>
      <c r="J100" s="190">
        <f>IFERROR(VLOOKUP(F100, LEVEL_HELPER!$A:$B, 2, 0), "")</f>
        <v>3.5</v>
      </c>
      <c r="K100" s="190">
        <f>IFERROR(VLOOKUP(G100, LEVEL_HELPER!$A:$B, 2, 0), "")</f>
        <v>3.5</v>
      </c>
      <c r="L100" s="220" t="s">
        <v>931</v>
      </c>
      <c r="M100" s="229" t="s">
        <v>925</v>
      </c>
      <c r="N100" s="190">
        <f t="array" ref="N100">IFERROR(
  INDEX($J$2:$J$543,
    MATCH(A100&amp;TEXT(I100,"yyyy-mm-dd"),
          $A$2:$A$543&amp;TEXT($H$2:$H$543,"yyyy-mm-dd"),
          0)),
"")</f>
        <v>2.5</v>
      </c>
      <c r="O100" s="210">
        <f t="shared" si="3"/>
        <v>3.5</v>
      </c>
      <c r="P100" s="210">
        <f t="shared" ref="P100:Q100" si="110">IF(N100="",0,IF(N100&lt;=2,1,IF(N100&lt;=4,2,IF(N100&lt;=5.5,3,4))))</f>
        <v>2</v>
      </c>
      <c r="Q100" s="210">
        <f t="shared" si="110"/>
        <v>2</v>
      </c>
      <c r="R100" s="210" t="str">
        <f t="shared" si="5"/>
        <v>Progress within level</v>
      </c>
      <c r="S100" s="210">
        <f t="shared" si="6"/>
        <v>0</v>
      </c>
      <c r="T100" s="210"/>
      <c r="U100" s="210"/>
      <c r="V100" s="211" t="s">
        <v>589</v>
      </c>
      <c r="W100" s="210" t="str">
        <f t="shared" si="7"/>
        <v>DEV</v>
      </c>
      <c r="X100" s="210" t="str">
        <f t="shared" si="8"/>
        <v>DEV, TA</v>
      </c>
      <c r="Y100" s="210" t="str">
        <f t="shared" si="9"/>
        <v>TBU</v>
      </c>
      <c r="Z100" s="210"/>
      <c r="AA100" s="210"/>
      <c r="AB100" s="210"/>
      <c r="AC100" s="210"/>
      <c r="AD100" s="210"/>
      <c r="AE100" s="210"/>
      <c r="AF100" s="210"/>
      <c r="AG100" s="210"/>
      <c r="AH100" s="210"/>
      <c r="AI100" s="210"/>
      <c r="AJ100" s="210"/>
      <c r="AK100" s="210"/>
      <c r="AL100" s="210"/>
      <c r="AM100" s="214"/>
      <c r="AN100" s="211" t="str">
        <f>IFERROR(__xludf.DUMMYFUNCTION("""COMPUTED_VALUE"""),"213874")</f>
        <v>213874</v>
      </c>
      <c r="AO100" s="210" t="str">
        <f t="shared" si="10"/>
        <v>DEV</v>
      </c>
      <c r="AP100" s="210" t="str">
        <f t="shared" si="11"/>
        <v>DEV, TA</v>
      </c>
      <c r="AQ100" s="210" t="str">
        <f t="shared" si="12"/>
        <v>ONC</v>
      </c>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c r="BU100" s="210"/>
      <c r="BV100" s="210"/>
      <c r="BW100" s="210"/>
      <c r="BX100" s="210"/>
      <c r="BY100" s="210"/>
      <c r="BZ100" s="210"/>
      <c r="CA100" s="210"/>
      <c r="CB100" s="210"/>
      <c r="CC100" s="210"/>
      <c r="CD100" s="210"/>
      <c r="CE100" s="210"/>
      <c r="CF100" s="210"/>
      <c r="CG100" s="210"/>
      <c r="CH100" s="210"/>
      <c r="CI100" s="210"/>
      <c r="CJ100" s="210"/>
      <c r="CK100" s="210"/>
    </row>
    <row r="101">
      <c r="A101" s="222" t="s">
        <v>547</v>
      </c>
      <c r="B101" s="190" t="s">
        <v>548</v>
      </c>
      <c r="C101" s="223" t="s">
        <v>59</v>
      </c>
      <c r="D101" s="223" t="s">
        <v>853</v>
      </c>
      <c r="E101" s="190" t="s">
        <v>22</v>
      </c>
      <c r="F101" s="13" t="s">
        <v>932</v>
      </c>
      <c r="G101" s="13" t="s">
        <v>941</v>
      </c>
      <c r="H101" s="219">
        <f>IFERROR(
  MINIFS(ATTENDANCE_LOG!$F:$F,
         ATTENDANCE_LOG!$A:$A, C101,
         ATTENDANCE_LOG!$B:$B, E101),
"")</f>
        <v>45915.54167</v>
      </c>
      <c r="I101" s="219">
        <f t="shared" si="2"/>
        <v>45637.41667</v>
      </c>
      <c r="J101" s="190">
        <f>IFERROR(VLOOKUP(F101, LEVEL_HELPER!$A:$B, 2, 0), "")</f>
        <v>4.5</v>
      </c>
      <c r="K101" s="190">
        <f>IFERROR(VLOOKUP(G101, LEVEL_HELPER!$A:$B, 2, 0), "")</f>
        <v>5</v>
      </c>
      <c r="L101" s="220" t="s">
        <v>931</v>
      </c>
      <c r="M101" s="220" t="s">
        <v>923</v>
      </c>
      <c r="N101" s="190">
        <f t="array" ref="N101">IFERROR(
  INDEX($J$2:$J$543,
    MATCH(A101&amp;TEXT(I101,"yyyy-mm-dd"),
          $A$2:$A$543&amp;TEXT($H$2:$H$543,"yyyy-mm-dd"),
          0)),
"")</f>
        <v>4.5</v>
      </c>
      <c r="O101" s="210">
        <f t="shared" si="3"/>
        <v>5</v>
      </c>
      <c r="P101" s="210">
        <f t="shared" ref="P101:Q101" si="111">IF(N101="",0,IF(N101&lt;=2,1,IF(N101&lt;=4,2,IF(N101&lt;=5.5,3,4))))</f>
        <v>3</v>
      </c>
      <c r="Q101" s="210">
        <f t="shared" si="111"/>
        <v>3</v>
      </c>
      <c r="R101" s="210" t="str">
        <f t="shared" si="5"/>
        <v>Progress within level</v>
      </c>
      <c r="S101" s="210">
        <f t="shared" si="6"/>
        <v>0</v>
      </c>
      <c r="T101" s="210"/>
      <c r="U101" s="210"/>
      <c r="V101" s="211" t="s">
        <v>645</v>
      </c>
      <c r="W101" s="210" t="str">
        <f t="shared" si="7"/>
        <v>DEV</v>
      </c>
      <c r="X101" s="210" t="str">
        <f t="shared" si="8"/>
        <v>DEV, TA</v>
      </c>
      <c r="Y101" s="210" t="str">
        <f t="shared" si="9"/>
        <v>TBU</v>
      </c>
      <c r="Z101" s="210"/>
      <c r="AA101" s="210"/>
      <c r="AB101" s="210"/>
      <c r="AC101" s="210"/>
      <c r="AD101" s="210"/>
      <c r="AE101" s="210"/>
      <c r="AF101" s="210"/>
      <c r="AG101" s="210"/>
      <c r="AH101" s="210"/>
      <c r="AI101" s="210"/>
      <c r="AJ101" s="210"/>
      <c r="AK101" s="210"/>
      <c r="AL101" s="210"/>
      <c r="AM101" s="214"/>
      <c r="AN101" s="211" t="str">
        <f>IFERROR(__xludf.DUMMYFUNCTION("""COMPUTED_VALUE"""),"203725")</f>
        <v>203725</v>
      </c>
      <c r="AO101" s="210" t="str">
        <f t="shared" si="10"/>
        <v>DEV</v>
      </c>
      <c r="AP101" s="210" t="str">
        <f t="shared" si="11"/>
        <v>DEV, TA</v>
      </c>
      <c r="AQ101" s="210" t="str">
        <f t="shared" si="12"/>
        <v>ONC</v>
      </c>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c r="BU101" s="210"/>
      <c r="BV101" s="210"/>
      <c r="BW101" s="210"/>
      <c r="BX101" s="210"/>
      <c r="BY101" s="210"/>
      <c r="BZ101" s="210"/>
      <c r="CA101" s="210"/>
      <c r="CB101" s="210"/>
      <c r="CC101" s="210"/>
      <c r="CD101" s="210"/>
      <c r="CE101" s="210"/>
      <c r="CF101" s="210"/>
      <c r="CG101" s="210"/>
      <c r="CH101" s="210"/>
      <c r="CI101" s="210"/>
      <c r="CJ101" s="210"/>
      <c r="CK101" s="210"/>
    </row>
    <row r="102">
      <c r="A102" s="216" t="s">
        <v>627</v>
      </c>
      <c r="B102" s="217" t="s">
        <v>628</v>
      </c>
      <c r="C102" s="218" t="s">
        <v>60</v>
      </c>
      <c r="D102" s="218" t="s">
        <v>854</v>
      </c>
      <c r="E102" s="217" t="s">
        <v>21</v>
      </c>
      <c r="F102" s="13" t="s">
        <v>927</v>
      </c>
      <c r="G102" s="13" t="s">
        <v>917</v>
      </c>
      <c r="H102" s="219">
        <f>IFERROR(
  MINIFS(ATTENDANCE_LOG!$F:$F,
         ATTENDANCE_LOG!$A:$A, C102,
         ATTENDANCE_LOG!$B:$B, E102),
"")</f>
        <v>45644.375</v>
      </c>
      <c r="I102" s="219">
        <f t="shared" si="2"/>
        <v>45644.375</v>
      </c>
      <c r="J102" s="190">
        <f>IFERROR(VLOOKUP(F102, LEVEL_HELPER!$A:$B, 2, 0), "")</f>
        <v>1</v>
      </c>
      <c r="K102" s="190">
        <f>IFERROR(VLOOKUP(G102, LEVEL_HELPER!$A:$B, 2, 0), "")</f>
        <v>2.5</v>
      </c>
      <c r="L102" s="220" t="s">
        <v>945</v>
      </c>
      <c r="M102" s="229" t="s">
        <v>922</v>
      </c>
      <c r="N102" s="190">
        <f t="array" ref="N102">IFERROR(
  INDEX($J$2:$J$543,
    MATCH(A102&amp;TEXT(I102,"yyyy-mm-dd"),
          $A$2:$A$543&amp;TEXT($H$2:$H$543,"yyyy-mm-dd"),
          0)),
"")</f>
        <v>1</v>
      </c>
      <c r="O102" s="210">
        <f t="shared" si="3"/>
        <v>2.5</v>
      </c>
      <c r="P102" s="210">
        <f t="shared" ref="P102:Q102" si="112">IF(N102="",0,IF(N102&lt;=2,1,IF(N102&lt;=4,2,IF(N102&lt;=5.5,3,4))))</f>
        <v>1</v>
      </c>
      <c r="Q102" s="210">
        <f t="shared" si="112"/>
        <v>2</v>
      </c>
      <c r="R102" s="210" t="str">
        <f t="shared" si="5"/>
        <v>Lv1 → Lv2</v>
      </c>
      <c r="S102" s="210">
        <f t="shared" si="6"/>
        <v>1</v>
      </c>
      <c r="T102" s="210"/>
      <c r="U102" s="210"/>
      <c r="V102" s="211" t="s">
        <v>142</v>
      </c>
      <c r="W102" s="210" t="str">
        <f t="shared" si="7"/>
        <v>HR</v>
      </c>
      <c r="X102" s="210" t="str">
        <f t="shared" si="8"/>
        <v>HR, GA, Mgt</v>
      </c>
      <c r="Y102" s="210" t="str">
        <f t="shared" si="9"/>
        <v>BSG</v>
      </c>
      <c r="Z102" s="210"/>
      <c r="AA102" s="210"/>
      <c r="AB102" s="210"/>
      <c r="AC102" s="210"/>
      <c r="AD102" s="210"/>
      <c r="AE102" s="210"/>
      <c r="AF102" s="210"/>
      <c r="AG102" s="210"/>
      <c r="AH102" s="210"/>
      <c r="AI102" s="210"/>
      <c r="AJ102" s="210"/>
      <c r="AK102" s="210"/>
      <c r="AL102" s="210"/>
      <c r="AM102" s="214"/>
      <c r="AN102" s="211" t="str">
        <f>IFERROR(__xludf.DUMMYFUNCTION("""COMPUTED_VALUE"""),"227005")</f>
        <v>227005</v>
      </c>
      <c r="AO102" s="210" t="str">
        <f t="shared" si="10"/>
        <v>IM</v>
      </c>
      <c r="AP102" s="210" t="str">
        <f t="shared" si="11"/>
        <v>PPO, SM, IM </v>
      </c>
      <c r="AQ102" s="210" t="str">
        <f t="shared" si="12"/>
        <v>CHORUS</v>
      </c>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c r="BU102" s="210"/>
      <c r="BV102" s="210"/>
      <c r="BW102" s="210"/>
      <c r="BX102" s="210"/>
      <c r="BY102" s="210"/>
      <c r="BZ102" s="210"/>
      <c r="CA102" s="210"/>
      <c r="CB102" s="210"/>
      <c r="CC102" s="210"/>
      <c r="CD102" s="210"/>
      <c r="CE102" s="210"/>
      <c r="CF102" s="210"/>
      <c r="CG102" s="210"/>
      <c r="CH102" s="210"/>
      <c r="CI102" s="210"/>
      <c r="CJ102" s="210"/>
      <c r="CK102" s="210"/>
    </row>
    <row r="103">
      <c r="A103" s="222" t="s">
        <v>216</v>
      </c>
      <c r="B103" s="190" t="s">
        <v>217</v>
      </c>
      <c r="C103" s="223" t="s">
        <v>60</v>
      </c>
      <c r="D103" s="223" t="s">
        <v>854</v>
      </c>
      <c r="E103" s="190" t="s">
        <v>21</v>
      </c>
      <c r="F103" s="13" t="s">
        <v>917</v>
      </c>
      <c r="G103" s="13" t="s">
        <v>917</v>
      </c>
      <c r="H103" s="219">
        <f>IFERROR(
  MINIFS(ATTENDANCE_LOG!$F:$F,
         ATTENDANCE_LOG!$A:$A, C103,
         ATTENDANCE_LOG!$B:$B, E103),
"")</f>
        <v>45644.375</v>
      </c>
      <c r="I103" s="219">
        <f t="shared" si="2"/>
        <v>45644.375</v>
      </c>
      <c r="J103" s="190">
        <f>IFERROR(VLOOKUP(F103, LEVEL_HELPER!$A:$B, 2, 0), "")</f>
        <v>2.5</v>
      </c>
      <c r="K103" s="190">
        <f>IFERROR(VLOOKUP(G103, LEVEL_HELPER!$A:$B, 2, 0), "")</f>
        <v>2.5</v>
      </c>
      <c r="L103" s="220" t="s">
        <v>943</v>
      </c>
      <c r="M103" s="229" t="s">
        <v>922</v>
      </c>
      <c r="N103" s="190">
        <f t="array" ref="N103">IFERROR(
  INDEX($J$2:$J$543,
    MATCH(A103&amp;TEXT(I103,"yyyy-mm-dd"),
          $A$2:$A$543&amp;TEXT($H$2:$H$543,"yyyy-mm-dd"),
          0)),
"")</f>
        <v>2.5</v>
      </c>
      <c r="O103" s="210">
        <f t="shared" si="3"/>
        <v>2.5</v>
      </c>
      <c r="P103" s="210">
        <f t="shared" ref="P103:Q103" si="113">IF(N103="",0,IF(N103&lt;=2,1,IF(N103&lt;=4,2,IF(N103&lt;=5.5,3,4))))</f>
        <v>2</v>
      </c>
      <c r="Q103" s="210">
        <f t="shared" si="113"/>
        <v>2</v>
      </c>
      <c r="R103" s="210" t="str">
        <f t="shared" si="5"/>
        <v>No Progress</v>
      </c>
      <c r="S103" s="210">
        <f t="shared" si="6"/>
        <v>1</v>
      </c>
      <c r="T103" s="210"/>
      <c r="U103" s="210"/>
      <c r="V103" s="211" t="s">
        <v>204</v>
      </c>
      <c r="W103" s="210" t="str">
        <f t="shared" si="7"/>
        <v>HR</v>
      </c>
      <c r="X103" s="210" t="str">
        <f t="shared" si="8"/>
        <v>HR, GA, Mgt</v>
      </c>
      <c r="Y103" s="210" t="str">
        <f t="shared" si="9"/>
        <v>LBU</v>
      </c>
      <c r="Z103" s="210"/>
      <c r="AA103" s="210"/>
      <c r="AB103" s="210"/>
      <c r="AC103" s="210"/>
      <c r="AD103" s="210"/>
      <c r="AE103" s="210"/>
      <c r="AF103" s="210"/>
      <c r="AG103" s="210"/>
      <c r="AH103" s="210"/>
      <c r="AI103" s="210"/>
      <c r="AJ103" s="210"/>
      <c r="AK103" s="210"/>
      <c r="AL103" s="210"/>
      <c r="AM103" s="214"/>
      <c r="AN103" s="211" t="str">
        <f>IFERROR(__xludf.DUMMYFUNCTION("""COMPUTED_VALUE"""),"213813")</f>
        <v>213813</v>
      </c>
      <c r="AO103" s="210" t="str">
        <f t="shared" si="10"/>
        <v>DEV</v>
      </c>
      <c r="AP103" s="210" t="str">
        <f t="shared" si="11"/>
        <v>DEV, TA</v>
      </c>
      <c r="AQ103" s="210" t="str">
        <f t="shared" si="12"/>
        <v>LBU</v>
      </c>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c r="BU103" s="210"/>
      <c r="BV103" s="210"/>
      <c r="BW103" s="210"/>
      <c r="BX103" s="210"/>
      <c r="BY103" s="210"/>
      <c r="BZ103" s="210"/>
      <c r="CA103" s="210"/>
      <c r="CB103" s="210"/>
      <c r="CC103" s="210"/>
      <c r="CD103" s="210"/>
      <c r="CE103" s="210"/>
      <c r="CF103" s="210"/>
      <c r="CG103" s="210"/>
      <c r="CH103" s="210"/>
      <c r="CI103" s="210"/>
      <c r="CJ103" s="210"/>
      <c r="CK103" s="210"/>
    </row>
    <row r="104">
      <c r="A104" s="222" t="s">
        <v>232</v>
      </c>
      <c r="B104" s="190" t="s">
        <v>233</v>
      </c>
      <c r="C104" s="223" t="s">
        <v>60</v>
      </c>
      <c r="D104" s="223" t="s">
        <v>854</v>
      </c>
      <c r="E104" s="190" t="s">
        <v>21</v>
      </c>
      <c r="F104" s="13" t="s">
        <v>927</v>
      </c>
      <c r="G104" s="13" t="s">
        <v>917</v>
      </c>
      <c r="H104" s="219">
        <f>IFERROR(
  MINIFS(ATTENDANCE_LOG!$F:$F,
         ATTENDANCE_LOG!$A:$A, C104,
         ATTENDANCE_LOG!$B:$B, E104),
"")</f>
        <v>45644.375</v>
      </c>
      <c r="I104" s="219">
        <f t="shared" si="2"/>
        <v>45644.375</v>
      </c>
      <c r="J104" s="190">
        <f>IFERROR(VLOOKUP(F104, LEVEL_HELPER!$A:$B, 2, 0), "")</f>
        <v>1</v>
      </c>
      <c r="K104" s="190">
        <f>IFERROR(VLOOKUP(G104, LEVEL_HELPER!$A:$B, 2, 0), "")</f>
        <v>2.5</v>
      </c>
      <c r="L104" s="220" t="s">
        <v>943</v>
      </c>
      <c r="M104" s="229" t="s">
        <v>922</v>
      </c>
      <c r="N104" s="190">
        <f t="array" ref="N104">IFERROR(
  INDEX($J$2:$J$543,
    MATCH(A104&amp;TEXT(I104,"yyyy-mm-dd"),
          $A$2:$A$543&amp;TEXT($H$2:$H$543,"yyyy-mm-dd"),
          0)),
"")</f>
        <v>1</v>
      </c>
      <c r="O104" s="210">
        <f t="shared" si="3"/>
        <v>2.5</v>
      </c>
      <c r="P104" s="210">
        <f t="shared" ref="P104:Q104" si="114">IF(N104="",0,IF(N104&lt;=2,1,IF(N104&lt;=4,2,IF(N104&lt;=5.5,3,4))))</f>
        <v>1</v>
      </c>
      <c r="Q104" s="210">
        <f t="shared" si="114"/>
        <v>2</v>
      </c>
      <c r="R104" s="210" t="str">
        <f t="shared" si="5"/>
        <v>Lv1 → Lv2</v>
      </c>
      <c r="S104" s="210">
        <f t="shared" si="6"/>
        <v>1</v>
      </c>
      <c r="T104" s="210"/>
      <c r="U104" s="210"/>
      <c r="V104" s="211" t="s">
        <v>222</v>
      </c>
      <c r="W104" s="210" t="str">
        <f t="shared" si="7"/>
        <v>HR</v>
      </c>
      <c r="X104" s="210" t="str">
        <f t="shared" si="8"/>
        <v>HR, GA, Mgt</v>
      </c>
      <c r="Y104" s="210" t="str">
        <f t="shared" si="9"/>
        <v>BSG</v>
      </c>
      <c r="Z104" s="210"/>
      <c r="AA104" s="210"/>
      <c r="AB104" s="210"/>
      <c r="AC104" s="210"/>
      <c r="AD104" s="210"/>
      <c r="AE104" s="210"/>
      <c r="AF104" s="210"/>
      <c r="AG104" s="210"/>
      <c r="AH104" s="210"/>
      <c r="AI104" s="210"/>
      <c r="AJ104" s="210"/>
      <c r="AK104" s="210"/>
      <c r="AL104" s="210"/>
      <c r="AM104" s="214"/>
      <c r="AN104" s="211" t="str">
        <f>IFERROR(__xludf.DUMMYFUNCTION("""COMPUTED_VALUE"""),"203786")</f>
        <v>203786</v>
      </c>
      <c r="AO104" s="210" t="str">
        <f t="shared" si="10"/>
        <v>BA</v>
      </c>
      <c r="AP104" s="210" t="str">
        <f t="shared" si="11"/>
        <v>BA, BC</v>
      </c>
      <c r="AQ104" s="210" t="str">
        <f t="shared" si="12"/>
        <v>LBU</v>
      </c>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c r="BU104" s="210"/>
      <c r="BV104" s="210"/>
      <c r="BW104" s="210"/>
      <c r="BX104" s="210"/>
      <c r="BY104" s="210"/>
      <c r="BZ104" s="210"/>
      <c r="CA104" s="210"/>
      <c r="CB104" s="210"/>
      <c r="CC104" s="210"/>
      <c r="CD104" s="210"/>
      <c r="CE104" s="210"/>
      <c r="CF104" s="210"/>
      <c r="CG104" s="210"/>
      <c r="CH104" s="210"/>
      <c r="CI104" s="210"/>
      <c r="CJ104" s="210"/>
      <c r="CK104" s="210"/>
    </row>
    <row r="105">
      <c r="A105" s="222" t="s">
        <v>321</v>
      </c>
      <c r="B105" s="190" t="s">
        <v>322</v>
      </c>
      <c r="C105" s="223" t="s">
        <v>60</v>
      </c>
      <c r="D105" s="223" t="s">
        <v>854</v>
      </c>
      <c r="E105" s="190" t="s">
        <v>21</v>
      </c>
      <c r="F105" s="13" t="s">
        <v>927</v>
      </c>
      <c r="G105" s="13" t="s">
        <v>917</v>
      </c>
      <c r="H105" s="219">
        <f>IFERROR(
  MINIFS(ATTENDANCE_LOG!$F:$F,
         ATTENDANCE_LOG!$A:$A, C105,
         ATTENDANCE_LOG!$B:$B, E105),
"")</f>
        <v>45644.375</v>
      </c>
      <c r="I105" s="219">
        <f t="shared" si="2"/>
        <v>45644.375</v>
      </c>
      <c r="J105" s="190">
        <f>IFERROR(VLOOKUP(F105, LEVEL_HELPER!$A:$B, 2, 0), "")</f>
        <v>1</v>
      </c>
      <c r="K105" s="190">
        <f>IFERROR(VLOOKUP(G105, LEVEL_HELPER!$A:$B, 2, 0), "")</f>
        <v>2.5</v>
      </c>
      <c r="L105" s="220" t="s">
        <v>919</v>
      </c>
      <c r="M105" s="229" t="s">
        <v>922</v>
      </c>
      <c r="N105" s="190">
        <f t="array" ref="N105">IFERROR(
  INDEX($J$2:$J$543,
    MATCH(A105&amp;TEXT(I105,"yyyy-mm-dd"),
          $A$2:$A$543&amp;TEXT($H$2:$H$543,"yyyy-mm-dd"),
          0)),
"")</f>
        <v>1</v>
      </c>
      <c r="O105" s="210">
        <f t="shared" si="3"/>
        <v>2.5</v>
      </c>
      <c r="P105" s="210">
        <f t="shared" ref="P105:Q105" si="115">IF(N105="",0,IF(N105&lt;=2,1,IF(N105&lt;=4,2,IF(N105&lt;=5.5,3,4))))</f>
        <v>1</v>
      </c>
      <c r="Q105" s="210">
        <f t="shared" si="115"/>
        <v>2</v>
      </c>
      <c r="R105" s="210" t="str">
        <f t="shared" si="5"/>
        <v>Lv1 → Lv2</v>
      </c>
      <c r="S105" s="210">
        <f t="shared" si="6"/>
        <v>1</v>
      </c>
      <c r="T105" s="210"/>
      <c r="U105" s="210"/>
      <c r="V105" s="211" t="s">
        <v>292</v>
      </c>
      <c r="W105" s="210" t="str">
        <f t="shared" si="7"/>
        <v>HR</v>
      </c>
      <c r="X105" s="210" t="str">
        <f t="shared" si="8"/>
        <v>HR, GA, Mgt</v>
      </c>
      <c r="Y105" s="210" t="str">
        <f t="shared" si="9"/>
        <v>BSG</v>
      </c>
      <c r="Z105" s="210"/>
      <c r="AA105" s="210"/>
      <c r="AB105" s="210"/>
      <c r="AC105" s="210"/>
      <c r="AD105" s="210"/>
      <c r="AE105" s="210"/>
      <c r="AF105" s="210"/>
      <c r="AG105" s="210"/>
      <c r="AH105" s="210"/>
      <c r="AI105" s="210"/>
      <c r="AJ105" s="210"/>
      <c r="AK105" s="210"/>
      <c r="AL105" s="210"/>
      <c r="AM105" s="214"/>
      <c r="AN105" s="211" t="str">
        <f>IFERROR(__xludf.DUMMYFUNCTION("""COMPUTED_VALUE"""),"257121")</f>
        <v>257121</v>
      </c>
      <c r="AO105" s="210" t="str">
        <f t="shared" si="10"/>
        <v>GSD</v>
      </c>
      <c r="AP105" s="210" t="str">
        <f t="shared" si="11"/>
        <v>GSD</v>
      </c>
      <c r="AQ105" s="210" t="str">
        <f t="shared" si="12"/>
        <v>POC</v>
      </c>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c r="BU105" s="210"/>
      <c r="BV105" s="210"/>
      <c r="BW105" s="210"/>
      <c r="BX105" s="210"/>
      <c r="BY105" s="210"/>
      <c r="BZ105" s="210"/>
      <c r="CA105" s="210"/>
      <c r="CB105" s="210"/>
      <c r="CC105" s="210"/>
      <c r="CD105" s="210"/>
      <c r="CE105" s="210"/>
      <c r="CF105" s="210"/>
      <c r="CG105" s="210"/>
      <c r="CH105" s="210"/>
      <c r="CI105" s="210"/>
      <c r="CJ105" s="210"/>
      <c r="CK105" s="210"/>
    </row>
    <row r="106">
      <c r="A106" s="222" t="s">
        <v>689</v>
      </c>
      <c r="B106" s="190" t="s">
        <v>690</v>
      </c>
      <c r="C106" s="223" t="s">
        <v>60</v>
      </c>
      <c r="D106" s="223" t="s">
        <v>854</v>
      </c>
      <c r="E106" s="190" t="s">
        <v>21</v>
      </c>
      <c r="F106" s="13" t="s">
        <v>927</v>
      </c>
      <c r="G106" s="13" t="s">
        <v>917</v>
      </c>
      <c r="H106" s="219">
        <f>IFERROR(
  MINIFS(ATTENDANCE_LOG!$F:$F,
         ATTENDANCE_LOG!$A:$A, C106,
         ATTENDANCE_LOG!$B:$B, E106),
"")</f>
        <v>45644.375</v>
      </c>
      <c r="I106" s="219">
        <f t="shared" si="2"/>
        <v>45644.375</v>
      </c>
      <c r="J106" s="190">
        <f>IFERROR(VLOOKUP(F106, LEVEL_HELPER!$A:$B, 2, 0), "")</f>
        <v>1</v>
      </c>
      <c r="K106" s="190">
        <f>IFERROR(VLOOKUP(G106, LEVEL_HELPER!$A:$B, 2, 0), "")</f>
        <v>2.5</v>
      </c>
      <c r="L106" s="220" t="s">
        <v>944</v>
      </c>
      <c r="M106" s="229" t="s">
        <v>922</v>
      </c>
      <c r="N106" s="190">
        <f t="array" ref="N106">IFERROR(
  INDEX($J$2:$J$543,
    MATCH(A106&amp;TEXT(I106,"yyyy-mm-dd"),
          $A$2:$A$543&amp;TEXT($H$2:$H$543,"yyyy-mm-dd"),
          0)),
"")</f>
        <v>1</v>
      </c>
      <c r="O106" s="210">
        <f t="shared" si="3"/>
        <v>2.5</v>
      </c>
      <c r="P106" s="210">
        <f t="shared" ref="P106:Q106" si="116">IF(N106="",0,IF(N106&lt;=2,1,IF(N106&lt;=4,2,IF(N106&lt;=5.5,3,4))))</f>
        <v>1</v>
      </c>
      <c r="Q106" s="210">
        <f t="shared" si="116"/>
        <v>2</v>
      </c>
      <c r="R106" s="210" t="str">
        <f t="shared" si="5"/>
        <v>Lv1 → Lv2</v>
      </c>
      <c r="S106" s="210">
        <f t="shared" si="6"/>
        <v>1</v>
      </c>
      <c r="T106" s="210"/>
      <c r="U106" s="210"/>
      <c r="V106" s="211" t="s">
        <v>348</v>
      </c>
      <c r="W106" s="210" t="str">
        <f t="shared" si="7"/>
        <v>HR</v>
      </c>
      <c r="X106" s="210" t="str">
        <f t="shared" si="8"/>
        <v>HR, GA, Mgt</v>
      </c>
      <c r="Y106" s="210" t="str">
        <f t="shared" si="9"/>
        <v>BSG</v>
      </c>
      <c r="Z106" s="210"/>
      <c r="AA106" s="210"/>
      <c r="AB106" s="210"/>
      <c r="AC106" s="210"/>
      <c r="AD106" s="210"/>
      <c r="AE106" s="210"/>
      <c r="AF106" s="210"/>
      <c r="AG106" s="210"/>
      <c r="AH106" s="210"/>
      <c r="AI106" s="210"/>
      <c r="AJ106" s="210"/>
      <c r="AK106" s="210"/>
      <c r="AL106" s="210"/>
      <c r="AM106" s="214"/>
      <c r="AN106" s="211" t="str">
        <f>IFERROR(__xludf.DUMMYFUNCTION("""COMPUTED_VALUE"""),"257135")</f>
        <v>257135</v>
      </c>
      <c r="AO106" s="210" t="str">
        <f t="shared" si="10"/>
        <v>Designer</v>
      </c>
      <c r="AP106" s="210" t="str">
        <f t="shared" si="11"/>
        <v>UI/UX, Des</v>
      </c>
      <c r="AQ106" s="210" t="str">
        <f t="shared" si="12"/>
        <v>LBU</v>
      </c>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c r="BU106" s="210"/>
      <c r="BV106" s="210"/>
      <c r="BW106" s="210"/>
      <c r="BX106" s="210"/>
      <c r="BY106" s="210"/>
      <c r="BZ106" s="210"/>
      <c r="CA106" s="210"/>
      <c r="CB106" s="210"/>
      <c r="CC106" s="210"/>
      <c r="CD106" s="210"/>
      <c r="CE106" s="210"/>
      <c r="CF106" s="210"/>
      <c r="CG106" s="210"/>
      <c r="CH106" s="210"/>
      <c r="CI106" s="210"/>
      <c r="CJ106" s="210"/>
      <c r="CK106" s="210"/>
    </row>
    <row r="107">
      <c r="A107" s="216" t="s">
        <v>504</v>
      </c>
      <c r="B107" s="217" t="s">
        <v>505</v>
      </c>
      <c r="C107" s="218" t="s">
        <v>60</v>
      </c>
      <c r="D107" s="218" t="s">
        <v>854</v>
      </c>
      <c r="E107" s="217" t="s">
        <v>22</v>
      </c>
      <c r="F107" s="13" t="s">
        <v>927</v>
      </c>
      <c r="G107" s="190"/>
      <c r="H107" s="219">
        <f>IFERROR(
  MINIFS(ATTENDANCE_LOG!$F:$F,
         ATTENDANCE_LOG!$A:$A, C107,
         ATTENDANCE_LOG!$B:$B, E107),
"")</f>
        <v>45853.375</v>
      </c>
      <c r="I107" s="219">
        <f t="shared" si="2"/>
        <v>45644.375</v>
      </c>
      <c r="J107" s="190">
        <f>IFERROR(VLOOKUP(F107, LEVEL_HELPER!$A:$B, 2, 0), "")</f>
        <v>1</v>
      </c>
      <c r="K107" s="190" t="str">
        <f>IFERROR(VLOOKUP(G107, LEVEL_HELPER!$A:$B, 2, 0), "")</f>
        <v/>
      </c>
      <c r="L107" s="220" t="s">
        <v>943</v>
      </c>
      <c r="M107" s="229" t="s">
        <v>922</v>
      </c>
      <c r="N107" s="190">
        <f t="array" ref="N107">IFERROR(
  INDEX($J$2:$J$543,
    MATCH(A107&amp;TEXT(I107,"yyyy-mm-dd"),
          $A$2:$A$543&amp;TEXT($H$2:$H$543,"yyyy-mm-dd"),
          0)),
"")</f>
        <v>1</v>
      </c>
      <c r="O107" s="210">
        <f t="shared" si="3"/>
        <v>1</v>
      </c>
      <c r="P107" s="210">
        <f t="shared" ref="P107:Q107" si="117">IF(N107="",0,IF(N107&lt;=2,1,IF(N107&lt;=4,2,IF(N107&lt;=5.5,3,4))))</f>
        <v>1</v>
      </c>
      <c r="Q107" s="210">
        <f t="shared" si="117"/>
        <v>1</v>
      </c>
      <c r="R107" s="210" t="str">
        <f t="shared" si="5"/>
        <v>No Progress</v>
      </c>
      <c r="S107" s="210">
        <f t="shared" si="6"/>
        <v>1</v>
      </c>
      <c r="T107" s="210"/>
      <c r="U107" s="210"/>
      <c r="V107" s="211" t="s">
        <v>480</v>
      </c>
      <c r="W107" s="210" t="str">
        <f t="shared" si="7"/>
        <v>HR</v>
      </c>
      <c r="X107" s="210" t="str">
        <f t="shared" si="8"/>
        <v>HR, GA, Mgt</v>
      </c>
      <c r="Y107" s="210" t="str">
        <f t="shared" si="9"/>
        <v>BSG</v>
      </c>
      <c r="Z107" s="210"/>
      <c r="AA107" s="210"/>
      <c r="AB107" s="210"/>
      <c r="AC107" s="210"/>
      <c r="AD107" s="210"/>
      <c r="AE107" s="210"/>
      <c r="AF107" s="210"/>
      <c r="AG107" s="210"/>
      <c r="AH107" s="210"/>
      <c r="AI107" s="210"/>
      <c r="AJ107" s="210"/>
      <c r="AK107" s="210"/>
      <c r="AL107" s="210"/>
      <c r="AM107" s="214"/>
      <c r="AN107" s="211" t="str">
        <f>IFERROR(__xludf.DUMMYFUNCTION("""COMPUTED_VALUE"""),"257059")</f>
        <v>257059</v>
      </c>
      <c r="AO107" s="210" t="str">
        <f t="shared" si="10"/>
        <v>Designer</v>
      </c>
      <c r="AP107" s="210" t="str">
        <f t="shared" si="11"/>
        <v>UI/UX, Des</v>
      </c>
      <c r="AQ107" s="210" t="str">
        <f t="shared" si="12"/>
        <v>LBU</v>
      </c>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c r="BU107" s="210"/>
      <c r="BV107" s="210"/>
      <c r="BW107" s="210"/>
      <c r="BX107" s="210"/>
      <c r="BY107" s="210"/>
      <c r="BZ107" s="210"/>
      <c r="CA107" s="210"/>
      <c r="CB107" s="210"/>
      <c r="CC107" s="210"/>
      <c r="CD107" s="210"/>
      <c r="CE107" s="210"/>
      <c r="CF107" s="210"/>
      <c r="CG107" s="210"/>
      <c r="CH107" s="210"/>
      <c r="CI107" s="210"/>
      <c r="CJ107" s="210"/>
      <c r="CK107" s="210"/>
    </row>
    <row r="108">
      <c r="A108" s="222" t="s">
        <v>140</v>
      </c>
      <c r="B108" s="190" t="s">
        <v>141</v>
      </c>
      <c r="C108" s="223" t="s">
        <v>60</v>
      </c>
      <c r="D108" s="223" t="s">
        <v>854</v>
      </c>
      <c r="E108" s="190" t="s">
        <v>22</v>
      </c>
      <c r="F108" s="13" t="s">
        <v>917</v>
      </c>
      <c r="G108" s="190"/>
      <c r="H108" s="219">
        <f>IFERROR(
  MINIFS(ATTENDANCE_LOG!$F:$F,
         ATTENDANCE_LOG!$A:$A, C108,
         ATTENDANCE_LOG!$B:$B, E108),
"")</f>
        <v>45853.375</v>
      </c>
      <c r="I108" s="219">
        <f t="shared" si="2"/>
        <v>45644.375</v>
      </c>
      <c r="J108" s="190">
        <f>IFERROR(VLOOKUP(F108, LEVEL_HELPER!$A:$B, 2, 0), "")</f>
        <v>2.5</v>
      </c>
      <c r="K108" s="190" t="str">
        <f>IFERROR(VLOOKUP(G108, LEVEL_HELPER!$A:$B, 2, 0), "")</f>
        <v/>
      </c>
      <c r="L108" s="220" t="s">
        <v>943</v>
      </c>
      <c r="M108" s="229" t="s">
        <v>922</v>
      </c>
      <c r="N108" s="190">
        <f t="array" ref="N108">IFERROR(
  INDEX($J$2:$J$543,
    MATCH(A108&amp;TEXT(I108,"yyyy-mm-dd"),
          $A$2:$A$543&amp;TEXT($H$2:$H$543,"yyyy-mm-dd"),
          0)),
"")</f>
        <v>1</v>
      </c>
      <c r="O108" s="210">
        <f t="shared" si="3"/>
        <v>2.5</v>
      </c>
      <c r="P108" s="210">
        <f t="shared" ref="P108:Q108" si="118">IF(N108="",0,IF(N108&lt;=2,1,IF(N108&lt;=4,2,IF(N108&lt;=5.5,3,4))))</f>
        <v>1</v>
      </c>
      <c r="Q108" s="210">
        <f t="shared" si="118"/>
        <v>2</v>
      </c>
      <c r="R108" s="210" t="str">
        <f t="shared" si="5"/>
        <v>Lv1 → Lv2</v>
      </c>
      <c r="S108" s="210">
        <f t="shared" si="6"/>
        <v>1</v>
      </c>
      <c r="T108" s="210"/>
      <c r="U108" s="210"/>
      <c r="V108" s="211" t="s">
        <v>564</v>
      </c>
      <c r="W108" s="210" t="str">
        <f t="shared" si="7"/>
        <v>Admin</v>
      </c>
      <c r="X108" s="210" t="str">
        <f t="shared" si="8"/>
        <v>HR, GA, Mgt</v>
      </c>
      <c r="Y108" s="210" t="str">
        <f t="shared" si="9"/>
        <v>BSG</v>
      </c>
      <c r="Z108" s="210"/>
      <c r="AA108" s="210"/>
      <c r="AB108" s="210"/>
      <c r="AC108" s="210"/>
      <c r="AD108" s="210"/>
      <c r="AE108" s="210"/>
      <c r="AF108" s="210"/>
      <c r="AG108" s="210"/>
      <c r="AH108" s="210"/>
      <c r="AI108" s="210"/>
      <c r="AJ108" s="210"/>
      <c r="AK108" s="210"/>
      <c r="AL108" s="210"/>
      <c r="AM108" s="214"/>
      <c r="AN108" s="210"/>
      <c r="AO108" s="210" t="str">
        <f t="shared" si="10"/>
        <v>#N/A</v>
      </c>
      <c r="AP108" s="210" t="str">
        <f t="shared" si="11"/>
        <v>#N/A</v>
      </c>
      <c r="AQ108" s="210" t="str">
        <f t="shared" si="12"/>
        <v>#N/A</v>
      </c>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c r="BU108" s="210"/>
      <c r="BV108" s="210"/>
      <c r="BW108" s="210"/>
      <c r="BX108" s="210"/>
      <c r="BY108" s="210"/>
      <c r="BZ108" s="210"/>
      <c r="CA108" s="210"/>
      <c r="CB108" s="210"/>
      <c r="CC108" s="210"/>
      <c r="CD108" s="210"/>
      <c r="CE108" s="210"/>
      <c r="CF108" s="210"/>
      <c r="CG108" s="210"/>
      <c r="CH108" s="210"/>
      <c r="CI108" s="210"/>
      <c r="CJ108" s="210"/>
      <c r="CK108" s="210"/>
    </row>
    <row r="109">
      <c r="A109" s="222" t="s">
        <v>216</v>
      </c>
      <c r="B109" s="190" t="s">
        <v>217</v>
      </c>
      <c r="C109" s="223" t="s">
        <v>60</v>
      </c>
      <c r="D109" s="223" t="s">
        <v>854</v>
      </c>
      <c r="E109" s="190" t="s">
        <v>22</v>
      </c>
      <c r="F109" s="13" t="s">
        <v>917</v>
      </c>
      <c r="G109" s="190"/>
      <c r="H109" s="219">
        <f>IFERROR(
  MINIFS(ATTENDANCE_LOG!$F:$F,
         ATTENDANCE_LOG!$A:$A, C109,
         ATTENDANCE_LOG!$B:$B, E109),
"")</f>
        <v>45853.375</v>
      </c>
      <c r="I109" s="219">
        <f t="shared" si="2"/>
        <v>45644.375</v>
      </c>
      <c r="J109" s="190">
        <f>IFERROR(VLOOKUP(F109, LEVEL_HELPER!$A:$B, 2, 0), "")</f>
        <v>2.5</v>
      </c>
      <c r="K109" s="190" t="str">
        <f>IFERROR(VLOOKUP(G109, LEVEL_HELPER!$A:$B, 2, 0), "")</f>
        <v/>
      </c>
      <c r="L109" s="220" t="s">
        <v>943</v>
      </c>
      <c r="M109" s="229" t="s">
        <v>922</v>
      </c>
      <c r="N109" s="190">
        <f t="array" ref="N109">IFERROR(
  INDEX($J$2:$J$543,
    MATCH(A109&amp;TEXT(I109,"yyyy-mm-dd"),
          $A$2:$A$543&amp;TEXT($H$2:$H$543,"yyyy-mm-dd"),
          0)),
"")</f>
        <v>2.5</v>
      </c>
      <c r="O109" s="210">
        <f t="shared" si="3"/>
        <v>2.5</v>
      </c>
      <c r="P109" s="210">
        <f t="shared" ref="P109:Q109" si="119">IF(N109="",0,IF(N109&lt;=2,1,IF(N109&lt;=4,2,IF(N109&lt;=5.5,3,4))))</f>
        <v>2</v>
      </c>
      <c r="Q109" s="210">
        <f t="shared" si="119"/>
        <v>2</v>
      </c>
      <c r="R109" s="210" t="str">
        <f t="shared" si="5"/>
        <v>No Progress</v>
      </c>
      <c r="S109" s="210">
        <f t="shared" si="6"/>
        <v>0</v>
      </c>
      <c r="T109" s="210"/>
      <c r="U109" s="210"/>
      <c r="V109" s="211" t="s">
        <v>647</v>
      </c>
      <c r="W109" s="210" t="str">
        <f t="shared" si="7"/>
        <v>Admin</v>
      </c>
      <c r="X109" s="210" t="str">
        <f t="shared" si="8"/>
        <v>HR, GA, Mgt</v>
      </c>
      <c r="Y109" s="210" t="str">
        <f t="shared" si="9"/>
        <v>BSG</v>
      </c>
      <c r="Z109" s="210"/>
      <c r="AA109" s="210"/>
      <c r="AB109" s="210"/>
      <c r="AC109" s="210"/>
      <c r="AD109" s="210"/>
      <c r="AE109" s="210"/>
      <c r="AF109" s="210"/>
      <c r="AG109" s="210"/>
      <c r="AH109" s="210"/>
      <c r="AI109" s="210"/>
      <c r="AJ109" s="210"/>
      <c r="AK109" s="210"/>
      <c r="AL109" s="210"/>
      <c r="AM109" s="214"/>
      <c r="AN109" s="210"/>
      <c r="AO109" s="210" t="str">
        <f t="shared" si="10"/>
        <v>#N/A</v>
      </c>
      <c r="AP109" s="210" t="str">
        <f t="shared" si="11"/>
        <v>#N/A</v>
      </c>
      <c r="AQ109" s="210" t="str">
        <f t="shared" si="12"/>
        <v>#N/A</v>
      </c>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c r="BU109" s="210"/>
      <c r="BV109" s="210"/>
      <c r="BW109" s="210"/>
      <c r="BX109" s="210"/>
      <c r="BY109" s="210"/>
      <c r="BZ109" s="210"/>
      <c r="CA109" s="210"/>
      <c r="CB109" s="210"/>
      <c r="CC109" s="210"/>
      <c r="CD109" s="210"/>
      <c r="CE109" s="210"/>
      <c r="CF109" s="210"/>
      <c r="CG109" s="210"/>
      <c r="CH109" s="210"/>
      <c r="CI109" s="210"/>
      <c r="CJ109" s="210"/>
      <c r="CK109" s="210"/>
    </row>
    <row r="110">
      <c r="A110" s="222" t="s">
        <v>232</v>
      </c>
      <c r="B110" s="190" t="s">
        <v>233</v>
      </c>
      <c r="C110" s="223" t="s">
        <v>60</v>
      </c>
      <c r="D110" s="223" t="s">
        <v>854</v>
      </c>
      <c r="E110" s="190" t="s">
        <v>22</v>
      </c>
      <c r="F110" s="13" t="s">
        <v>917</v>
      </c>
      <c r="G110" s="190"/>
      <c r="H110" s="219">
        <f>IFERROR(
  MINIFS(ATTENDANCE_LOG!$F:$F,
         ATTENDANCE_LOG!$A:$A, C110,
         ATTENDANCE_LOG!$B:$B, E110),
"")</f>
        <v>45853.375</v>
      </c>
      <c r="I110" s="219">
        <f t="shared" si="2"/>
        <v>45644.375</v>
      </c>
      <c r="J110" s="190">
        <f>IFERROR(VLOOKUP(F110, LEVEL_HELPER!$A:$B, 2, 0), "")</f>
        <v>2.5</v>
      </c>
      <c r="K110" s="190" t="str">
        <f>IFERROR(VLOOKUP(G110, LEVEL_HELPER!$A:$B, 2, 0), "")</f>
        <v/>
      </c>
      <c r="L110" s="220" t="s">
        <v>943</v>
      </c>
      <c r="M110" s="229" t="s">
        <v>922</v>
      </c>
      <c r="N110" s="190">
        <f t="array" ref="N110">IFERROR(
  INDEX($J$2:$J$543,
    MATCH(A110&amp;TEXT(I110,"yyyy-mm-dd"),
          $A$2:$A$543&amp;TEXT($H$2:$H$543,"yyyy-mm-dd"),
          0)),
"")</f>
        <v>1</v>
      </c>
      <c r="O110" s="210">
        <f t="shared" si="3"/>
        <v>2.5</v>
      </c>
      <c r="P110" s="210">
        <f t="shared" ref="P110:Q110" si="120">IF(N110="",0,IF(N110&lt;=2,1,IF(N110&lt;=4,2,IF(N110&lt;=5.5,3,4))))</f>
        <v>1</v>
      </c>
      <c r="Q110" s="210">
        <f t="shared" si="120"/>
        <v>2</v>
      </c>
      <c r="R110" s="210" t="str">
        <f t="shared" si="5"/>
        <v>Lv1 → Lv2</v>
      </c>
      <c r="S110" s="210">
        <f t="shared" si="6"/>
        <v>0</v>
      </c>
      <c r="T110" s="210"/>
      <c r="U110" s="210"/>
      <c r="V110" s="211" t="s">
        <v>556</v>
      </c>
      <c r="W110" s="210" t="str">
        <f t="shared" si="7"/>
        <v>DEV</v>
      </c>
      <c r="X110" s="210" t="str">
        <f t="shared" si="8"/>
        <v>DEV, TA</v>
      </c>
      <c r="Y110" s="210" t="str">
        <f t="shared" si="9"/>
        <v>ONC</v>
      </c>
      <c r="Z110" s="210"/>
      <c r="AA110" s="210"/>
      <c r="AB110" s="210"/>
      <c r="AC110" s="210"/>
      <c r="AD110" s="210"/>
      <c r="AE110" s="210"/>
      <c r="AF110" s="210"/>
      <c r="AG110" s="210"/>
      <c r="AH110" s="210"/>
      <c r="AI110" s="210"/>
      <c r="AJ110" s="210"/>
      <c r="AK110" s="210"/>
      <c r="AL110" s="210"/>
      <c r="AM110" s="214"/>
      <c r="AN110" s="210"/>
      <c r="AO110" s="210" t="str">
        <f t="shared" si="10"/>
        <v>#N/A</v>
      </c>
      <c r="AP110" s="210" t="str">
        <f t="shared" si="11"/>
        <v>#N/A</v>
      </c>
      <c r="AQ110" s="210" t="str">
        <f t="shared" si="12"/>
        <v>#N/A</v>
      </c>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c r="BU110" s="210"/>
      <c r="BV110" s="210"/>
      <c r="BW110" s="210"/>
      <c r="BX110" s="210"/>
      <c r="BY110" s="210"/>
      <c r="BZ110" s="210"/>
      <c r="CA110" s="210"/>
      <c r="CB110" s="210"/>
      <c r="CC110" s="210"/>
      <c r="CD110" s="210"/>
      <c r="CE110" s="210"/>
      <c r="CF110" s="210"/>
      <c r="CG110" s="210"/>
      <c r="CH110" s="210"/>
      <c r="CI110" s="210"/>
      <c r="CJ110" s="210"/>
      <c r="CK110" s="210"/>
    </row>
    <row r="111">
      <c r="A111" s="222" t="s">
        <v>321</v>
      </c>
      <c r="B111" s="190" t="s">
        <v>322</v>
      </c>
      <c r="C111" s="223" t="s">
        <v>60</v>
      </c>
      <c r="D111" s="223" t="s">
        <v>854</v>
      </c>
      <c r="E111" s="190" t="s">
        <v>22</v>
      </c>
      <c r="F111" s="13" t="s">
        <v>917</v>
      </c>
      <c r="G111" s="190"/>
      <c r="H111" s="219">
        <f>IFERROR(
  MINIFS(ATTENDANCE_LOG!$F:$F,
         ATTENDANCE_LOG!$A:$A, C111,
         ATTENDANCE_LOG!$B:$B, E111),
"")</f>
        <v>45853.375</v>
      </c>
      <c r="I111" s="219">
        <f t="shared" si="2"/>
        <v>45644.375</v>
      </c>
      <c r="J111" s="190">
        <f>IFERROR(VLOOKUP(F111, LEVEL_HELPER!$A:$B, 2, 0), "")</f>
        <v>2.5</v>
      </c>
      <c r="K111" s="190" t="str">
        <f>IFERROR(VLOOKUP(G111, LEVEL_HELPER!$A:$B, 2, 0), "")</f>
        <v/>
      </c>
      <c r="L111" s="220" t="s">
        <v>919</v>
      </c>
      <c r="M111" s="229" t="s">
        <v>922</v>
      </c>
      <c r="N111" s="190">
        <f t="array" ref="N111">IFERROR(
  INDEX($J$2:$J$543,
    MATCH(A111&amp;TEXT(I111,"yyyy-mm-dd"),
          $A$2:$A$543&amp;TEXT($H$2:$H$543,"yyyy-mm-dd"),
          0)),
"")</f>
        <v>1</v>
      </c>
      <c r="O111" s="210">
        <f t="shared" si="3"/>
        <v>2.5</v>
      </c>
      <c r="P111" s="210">
        <f t="shared" ref="P111:Q111" si="121">IF(N111="",0,IF(N111&lt;=2,1,IF(N111&lt;=4,2,IF(N111&lt;=5.5,3,4))))</f>
        <v>1</v>
      </c>
      <c r="Q111" s="210">
        <f t="shared" si="121"/>
        <v>2</v>
      </c>
      <c r="R111" s="210" t="str">
        <f t="shared" si="5"/>
        <v>Lv1 → Lv2</v>
      </c>
      <c r="S111" s="210">
        <f t="shared" si="6"/>
        <v>0</v>
      </c>
      <c r="T111" s="210"/>
      <c r="U111" s="210"/>
      <c r="V111" s="211" t="s">
        <v>218</v>
      </c>
      <c r="W111" s="210" t="str">
        <f t="shared" si="7"/>
        <v>DEV</v>
      </c>
      <c r="X111" s="210" t="str">
        <f t="shared" si="8"/>
        <v>DEV, TA</v>
      </c>
      <c r="Y111" s="210" t="str">
        <f t="shared" si="9"/>
        <v>ONC</v>
      </c>
      <c r="Z111" s="210"/>
      <c r="AA111" s="210"/>
      <c r="AB111" s="210"/>
      <c r="AC111" s="210"/>
      <c r="AD111" s="210"/>
      <c r="AE111" s="210"/>
      <c r="AF111" s="210"/>
      <c r="AG111" s="210"/>
      <c r="AH111" s="210"/>
      <c r="AI111" s="210"/>
      <c r="AJ111" s="210"/>
      <c r="AK111" s="210"/>
      <c r="AL111" s="210"/>
      <c r="AM111" s="214"/>
      <c r="AN111" s="210"/>
      <c r="AO111" s="210" t="str">
        <f t="shared" si="10"/>
        <v>#N/A</v>
      </c>
      <c r="AP111" s="210" t="str">
        <f t="shared" si="11"/>
        <v>#N/A</v>
      </c>
      <c r="AQ111" s="210" t="str">
        <f t="shared" si="12"/>
        <v>#N/A</v>
      </c>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c r="BU111" s="210"/>
      <c r="BV111" s="210"/>
      <c r="BW111" s="210"/>
      <c r="BX111" s="210"/>
      <c r="BY111" s="210"/>
      <c r="BZ111" s="210"/>
      <c r="CA111" s="210"/>
      <c r="CB111" s="210"/>
      <c r="CC111" s="210"/>
      <c r="CD111" s="210"/>
      <c r="CE111" s="210"/>
      <c r="CF111" s="210"/>
      <c r="CG111" s="210"/>
      <c r="CH111" s="210"/>
      <c r="CI111" s="210"/>
      <c r="CJ111" s="210"/>
      <c r="CK111" s="210"/>
    </row>
    <row r="112">
      <c r="A112" s="222" t="s">
        <v>340</v>
      </c>
      <c r="B112" s="190" t="s">
        <v>341</v>
      </c>
      <c r="C112" s="223" t="s">
        <v>60</v>
      </c>
      <c r="D112" s="223" t="s">
        <v>854</v>
      </c>
      <c r="E112" s="190" t="s">
        <v>22</v>
      </c>
      <c r="F112" s="13" t="s">
        <v>917</v>
      </c>
      <c r="G112" s="190"/>
      <c r="H112" s="219">
        <f>IFERROR(
  MINIFS(ATTENDANCE_LOG!$F:$F,
         ATTENDANCE_LOG!$A:$A, C112,
         ATTENDANCE_LOG!$B:$B, E112),
"")</f>
        <v>45853.375</v>
      </c>
      <c r="I112" s="219">
        <f t="shared" si="2"/>
        <v>45644.375</v>
      </c>
      <c r="J112" s="190">
        <f>IFERROR(VLOOKUP(F112, LEVEL_HELPER!$A:$B, 2, 0), "")</f>
        <v>2.5</v>
      </c>
      <c r="K112" s="190" t="str">
        <f>IFERROR(VLOOKUP(G112, LEVEL_HELPER!$A:$B, 2, 0), "")</f>
        <v/>
      </c>
      <c r="L112" s="220" t="s">
        <v>943</v>
      </c>
      <c r="M112" s="229" t="s">
        <v>922</v>
      </c>
      <c r="N112" s="190">
        <f t="array" ref="N112">IFERROR(
  INDEX($J$2:$J$543,
    MATCH(A112&amp;TEXT(I112,"yyyy-mm-dd"),
          $A$2:$A$543&amp;TEXT($H$2:$H$543,"yyyy-mm-dd"),
          0)),
"")</f>
        <v>1</v>
      </c>
      <c r="O112" s="210">
        <f t="shared" si="3"/>
        <v>2.5</v>
      </c>
      <c r="P112" s="210">
        <f t="shared" ref="P112:Q112" si="122">IF(N112="",0,IF(N112&lt;=2,1,IF(N112&lt;=4,2,IF(N112&lt;=5.5,3,4))))</f>
        <v>1</v>
      </c>
      <c r="Q112" s="210">
        <f t="shared" si="122"/>
        <v>2</v>
      </c>
      <c r="R112" s="210" t="str">
        <f t="shared" si="5"/>
        <v>Lv1 → Lv2</v>
      </c>
      <c r="S112" s="210">
        <f t="shared" si="6"/>
        <v>1</v>
      </c>
      <c r="T112" s="210"/>
      <c r="U112" s="210"/>
      <c r="V112" s="211" t="s">
        <v>374</v>
      </c>
      <c r="W112" s="210" t="str">
        <f t="shared" si="7"/>
        <v>DEV</v>
      </c>
      <c r="X112" s="210" t="str">
        <f t="shared" si="8"/>
        <v>DEV, TA</v>
      </c>
      <c r="Y112" s="210" t="str">
        <f t="shared" si="9"/>
        <v>ONC</v>
      </c>
      <c r="Z112" s="210"/>
      <c r="AA112" s="210"/>
      <c r="AB112" s="210"/>
      <c r="AC112" s="210"/>
      <c r="AD112" s="210"/>
      <c r="AE112" s="210"/>
      <c r="AF112" s="210"/>
      <c r="AG112" s="210"/>
      <c r="AH112" s="210"/>
      <c r="AI112" s="210"/>
      <c r="AJ112" s="210"/>
      <c r="AK112" s="210"/>
      <c r="AL112" s="210"/>
      <c r="AM112" s="214"/>
      <c r="AN112" s="210"/>
      <c r="AO112" s="210" t="str">
        <f t="shared" si="10"/>
        <v>#N/A</v>
      </c>
      <c r="AP112" s="210" t="str">
        <f t="shared" si="11"/>
        <v>#N/A</v>
      </c>
      <c r="AQ112" s="210" t="str">
        <f t="shared" si="12"/>
        <v>#N/A</v>
      </c>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c r="BU112" s="210"/>
      <c r="BV112" s="210"/>
      <c r="BW112" s="210"/>
      <c r="BX112" s="210"/>
      <c r="BY112" s="210"/>
      <c r="BZ112" s="210"/>
      <c r="CA112" s="210"/>
      <c r="CB112" s="210"/>
      <c r="CC112" s="210"/>
      <c r="CD112" s="210"/>
      <c r="CE112" s="210"/>
      <c r="CF112" s="210"/>
      <c r="CG112" s="210"/>
      <c r="CH112" s="210"/>
      <c r="CI112" s="210"/>
      <c r="CJ112" s="210"/>
      <c r="CK112" s="210"/>
    </row>
    <row r="113">
      <c r="A113" s="222" t="s">
        <v>395</v>
      </c>
      <c r="B113" s="190" t="s">
        <v>396</v>
      </c>
      <c r="C113" s="223" t="s">
        <v>60</v>
      </c>
      <c r="D113" s="223" t="s">
        <v>854</v>
      </c>
      <c r="E113" s="190" t="s">
        <v>22</v>
      </c>
      <c r="F113" s="13" t="s">
        <v>917</v>
      </c>
      <c r="G113" s="190"/>
      <c r="H113" s="219">
        <f>IFERROR(
  MINIFS(ATTENDANCE_LOG!$F:$F,
         ATTENDANCE_LOG!$A:$A, C113,
         ATTENDANCE_LOG!$B:$B, E113),
"")</f>
        <v>45853.375</v>
      </c>
      <c r="I113" s="219">
        <f t="shared" si="2"/>
        <v>45644.375</v>
      </c>
      <c r="J113" s="190">
        <f>IFERROR(VLOOKUP(F113, LEVEL_HELPER!$A:$B, 2, 0), "")</f>
        <v>2.5</v>
      </c>
      <c r="K113" s="190" t="str">
        <f>IFERROR(VLOOKUP(G113, LEVEL_HELPER!$A:$B, 2, 0), "")</f>
        <v/>
      </c>
      <c r="L113" s="220" t="s">
        <v>919</v>
      </c>
      <c r="M113" s="229" t="s">
        <v>922</v>
      </c>
      <c r="N113" s="190">
        <f t="array" ref="N113">IFERROR(
  INDEX($J$2:$J$543,
    MATCH(A113&amp;TEXT(I113,"yyyy-mm-dd"),
          $A$2:$A$543&amp;TEXT($H$2:$H$543,"yyyy-mm-dd"),
          0)),
"")</f>
        <v>2.5</v>
      </c>
      <c r="O113" s="210">
        <f t="shared" si="3"/>
        <v>2.5</v>
      </c>
      <c r="P113" s="210">
        <f t="shared" ref="P113:Q113" si="123">IF(N113="",0,IF(N113&lt;=2,1,IF(N113&lt;=4,2,IF(N113&lt;=5.5,3,4))))</f>
        <v>2</v>
      </c>
      <c r="Q113" s="210">
        <f t="shared" si="123"/>
        <v>2</v>
      </c>
      <c r="R113" s="210" t="str">
        <f t="shared" si="5"/>
        <v>No Progress</v>
      </c>
      <c r="S113" s="210">
        <f t="shared" si="6"/>
        <v>1</v>
      </c>
      <c r="T113" s="210"/>
      <c r="U113" s="210"/>
      <c r="V113" s="211" t="s">
        <v>643</v>
      </c>
      <c r="W113" s="210" t="str">
        <f t="shared" si="7"/>
        <v>DEV</v>
      </c>
      <c r="X113" s="210" t="str">
        <f t="shared" si="8"/>
        <v>DEV, TA</v>
      </c>
      <c r="Y113" s="210" t="str">
        <f t="shared" si="9"/>
        <v>ONC</v>
      </c>
      <c r="Z113" s="210"/>
      <c r="AA113" s="210"/>
      <c r="AB113" s="210"/>
      <c r="AC113" s="210"/>
      <c r="AD113" s="210"/>
      <c r="AE113" s="210"/>
      <c r="AF113" s="210"/>
      <c r="AG113" s="210"/>
      <c r="AH113" s="210"/>
      <c r="AI113" s="210"/>
      <c r="AJ113" s="210"/>
      <c r="AK113" s="210"/>
      <c r="AL113" s="210"/>
      <c r="AM113" s="214"/>
      <c r="AN113" s="210"/>
      <c r="AO113" s="210" t="str">
        <f t="shared" si="10"/>
        <v>#N/A</v>
      </c>
      <c r="AP113" s="210" t="str">
        <f t="shared" si="11"/>
        <v>#N/A</v>
      </c>
      <c r="AQ113" s="210" t="str">
        <f t="shared" si="12"/>
        <v>#N/A</v>
      </c>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c r="BU113" s="210"/>
      <c r="BV113" s="210"/>
      <c r="BW113" s="210"/>
      <c r="BX113" s="210"/>
      <c r="BY113" s="210"/>
      <c r="BZ113" s="210"/>
      <c r="CA113" s="210"/>
      <c r="CB113" s="210"/>
      <c r="CC113" s="210"/>
      <c r="CD113" s="210"/>
      <c r="CE113" s="210"/>
      <c r="CF113" s="210"/>
      <c r="CG113" s="210"/>
      <c r="CH113" s="210"/>
      <c r="CI113" s="210"/>
      <c r="CJ113" s="210"/>
      <c r="CK113" s="210"/>
    </row>
    <row r="114">
      <c r="A114" s="222" t="s">
        <v>583</v>
      </c>
      <c r="B114" s="190" t="s">
        <v>584</v>
      </c>
      <c r="C114" s="223" t="s">
        <v>60</v>
      </c>
      <c r="D114" s="223" t="s">
        <v>854</v>
      </c>
      <c r="E114" s="190" t="s">
        <v>22</v>
      </c>
      <c r="F114" s="13" t="s">
        <v>932</v>
      </c>
      <c r="G114" s="190"/>
      <c r="H114" s="219">
        <f>IFERROR(
  MINIFS(ATTENDANCE_LOG!$F:$F,
         ATTENDANCE_LOG!$A:$A, C114,
         ATTENDANCE_LOG!$B:$B, E114),
"")</f>
        <v>45853.375</v>
      </c>
      <c r="I114" s="219">
        <f t="shared" si="2"/>
        <v>45644.375</v>
      </c>
      <c r="J114" s="190">
        <f>IFERROR(VLOOKUP(F114, LEVEL_HELPER!$A:$B, 2, 0), "")</f>
        <v>4.5</v>
      </c>
      <c r="K114" s="190" t="str">
        <f>IFERROR(VLOOKUP(G114, LEVEL_HELPER!$A:$B, 2, 0), "")</f>
        <v/>
      </c>
      <c r="L114" s="220" t="s">
        <v>943</v>
      </c>
      <c r="M114" s="229" t="s">
        <v>922</v>
      </c>
      <c r="N114" s="190">
        <f t="array" ref="N114">IFERROR(
  INDEX($J$2:$J$543,
    MATCH(A114&amp;TEXT(I114,"yyyy-mm-dd"),
          $A$2:$A$543&amp;TEXT($H$2:$H$543,"yyyy-mm-dd"),
          0)),
"")</f>
        <v>2.5</v>
      </c>
      <c r="O114" s="210">
        <f t="shared" si="3"/>
        <v>4.5</v>
      </c>
      <c r="P114" s="210">
        <f t="shared" ref="P114:Q114" si="124">IF(N114="",0,IF(N114&lt;=2,1,IF(N114&lt;=4,2,IF(N114&lt;=5.5,3,4))))</f>
        <v>2</v>
      </c>
      <c r="Q114" s="210">
        <f t="shared" si="124"/>
        <v>3</v>
      </c>
      <c r="R114" s="210" t="str">
        <f t="shared" si="5"/>
        <v>Lv2 → Lv3</v>
      </c>
      <c r="S114" s="210">
        <f t="shared" si="6"/>
        <v>1</v>
      </c>
      <c r="T114" s="210"/>
      <c r="U114" s="210"/>
      <c r="V114" s="211" t="s">
        <v>323</v>
      </c>
      <c r="W114" s="210" t="str">
        <f t="shared" si="7"/>
        <v>DEV</v>
      </c>
      <c r="X114" s="210" t="str">
        <f t="shared" si="8"/>
        <v>DEV, TA</v>
      </c>
      <c r="Y114" s="210" t="str">
        <f t="shared" si="9"/>
        <v>ONC</v>
      </c>
      <c r="Z114" s="210"/>
      <c r="AA114" s="210"/>
      <c r="AB114" s="210"/>
      <c r="AC114" s="210"/>
      <c r="AD114" s="210"/>
      <c r="AE114" s="210"/>
      <c r="AF114" s="210"/>
      <c r="AG114" s="210"/>
      <c r="AH114" s="210"/>
      <c r="AI114" s="210"/>
      <c r="AJ114" s="210"/>
      <c r="AK114" s="210"/>
      <c r="AL114" s="210"/>
      <c r="AM114" s="214"/>
      <c r="AN114" s="210"/>
      <c r="AO114" s="210" t="str">
        <f t="shared" si="10"/>
        <v>#N/A</v>
      </c>
      <c r="AP114" s="210" t="str">
        <f t="shared" si="11"/>
        <v>#N/A</v>
      </c>
      <c r="AQ114" s="210" t="str">
        <f t="shared" si="12"/>
        <v>#N/A</v>
      </c>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c r="BU114" s="210"/>
      <c r="BV114" s="210"/>
      <c r="BW114" s="210"/>
      <c r="BX114" s="210"/>
      <c r="BY114" s="210"/>
      <c r="BZ114" s="210"/>
      <c r="CA114" s="210"/>
      <c r="CB114" s="210"/>
      <c r="CC114" s="210"/>
      <c r="CD114" s="210"/>
      <c r="CE114" s="210"/>
      <c r="CF114" s="210"/>
      <c r="CG114" s="210"/>
      <c r="CH114" s="210"/>
      <c r="CI114" s="210"/>
      <c r="CJ114" s="210"/>
      <c r="CK114" s="210"/>
    </row>
    <row r="115">
      <c r="A115" s="216" t="s">
        <v>395</v>
      </c>
      <c r="B115" s="217" t="s">
        <v>396</v>
      </c>
      <c r="C115" s="218" t="s">
        <v>61</v>
      </c>
      <c r="D115" s="218" t="s">
        <v>855</v>
      </c>
      <c r="E115" s="217" t="s">
        <v>21</v>
      </c>
      <c r="F115" s="13" t="s">
        <v>917</v>
      </c>
      <c r="G115" s="13" t="s">
        <v>917</v>
      </c>
      <c r="H115" s="219">
        <f>IFERROR(
  MINIFS(ATTENDANCE_LOG!$F:$F,
         ATTENDANCE_LOG!$A:$A, C115,
         ATTENDANCE_LOG!$B:$B, E115),
"")</f>
        <v>45644.375</v>
      </c>
      <c r="I115" s="219">
        <f t="shared" si="2"/>
        <v>45644.375</v>
      </c>
      <c r="J115" s="190">
        <f>IFERROR(VLOOKUP(F115, LEVEL_HELPER!$A:$B, 2, 0), "")</f>
        <v>2.5</v>
      </c>
      <c r="K115" s="190">
        <f>IFERROR(VLOOKUP(G115, LEVEL_HELPER!$A:$B, 2, 0), "")</f>
        <v>2.5</v>
      </c>
      <c r="L115" s="220" t="s">
        <v>919</v>
      </c>
      <c r="M115" s="229" t="s">
        <v>922</v>
      </c>
      <c r="N115" s="190">
        <f t="array" ref="N115">IFERROR(
  INDEX($J$2:$J$543,
    MATCH(A115&amp;TEXT(I115,"yyyy-mm-dd"),
          $A$2:$A$543&amp;TEXT($H$2:$H$543,"yyyy-mm-dd"),
          0)),
"")</f>
        <v>2.5</v>
      </c>
      <c r="O115" s="210">
        <f t="shared" si="3"/>
        <v>2.5</v>
      </c>
      <c r="P115" s="210">
        <f t="shared" ref="P115:Q115" si="125">IF(N115="",0,IF(N115&lt;=2,1,IF(N115&lt;=4,2,IF(N115&lt;=5.5,3,4))))</f>
        <v>2</v>
      </c>
      <c r="Q115" s="210">
        <f t="shared" si="125"/>
        <v>2</v>
      </c>
      <c r="R115" s="210" t="str">
        <f t="shared" si="5"/>
        <v>No Progress</v>
      </c>
      <c r="S115" s="210">
        <f t="shared" si="6"/>
        <v>0</v>
      </c>
      <c r="T115" s="210"/>
      <c r="U115" s="210"/>
      <c r="V115" s="211" t="s">
        <v>639</v>
      </c>
      <c r="W115" s="210" t="str">
        <f t="shared" si="7"/>
        <v>DEV</v>
      </c>
      <c r="X115" s="210" t="str">
        <f t="shared" si="8"/>
        <v>DEV, TA</v>
      </c>
      <c r="Y115" s="210" t="str">
        <f t="shared" si="9"/>
        <v>ONC</v>
      </c>
      <c r="Z115" s="210"/>
      <c r="AA115" s="210"/>
      <c r="AB115" s="210"/>
      <c r="AC115" s="210"/>
      <c r="AD115" s="210"/>
      <c r="AE115" s="210"/>
      <c r="AF115" s="210"/>
      <c r="AG115" s="210"/>
      <c r="AH115" s="210"/>
      <c r="AI115" s="210"/>
      <c r="AJ115" s="210"/>
      <c r="AK115" s="210"/>
      <c r="AL115" s="210"/>
      <c r="AM115" s="214"/>
      <c r="AN115" s="210"/>
      <c r="AO115" s="210" t="str">
        <f t="shared" si="10"/>
        <v>#N/A</v>
      </c>
      <c r="AP115" s="210" t="str">
        <f t="shared" si="11"/>
        <v>#N/A</v>
      </c>
      <c r="AQ115" s="210" t="str">
        <f t="shared" si="12"/>
        <v>#N/A</v>
      </c>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c r="BU115" s="210"/>
      <c r="BV115" s="210"/>
      <c r="BW115" s="210"/>
      <c r="BX115" s="210"/>
      <c r="BY115" s="210"/>
      <c r="BZ115" s="210"/>
      <c r="CA115" s="210"/>
      <c r="CB115" s="210"/>
      <c r="CC115" s="210"/>
      <c r="CD115" s="210"/>
      <c r="CE115" s="210"/>
      <c r="CF115" s="210"/>
      <c r="CG115" s="210"/>
      <c r="CH115" s="210"/>
      <c r="CI115" s="210"/>
      <c r="CJ115" s="210"/>
      <c r="CK115" s="210"/>
    </row>
    <row r="116">
      <c r="A116" s="222" t="s">
        <v>140</v>
      </c>
      <c r="B116" s="190" t="s">
        <v>141</v>
      </c>
      <c r="C116" s="223" t="s">
        <v>61</v>
      </c>
      <c r="D116" s="223" t="s">
        <v>855</v>
      </c>
      <c r="E116" s="190" t="s">
        <v>21</v>
      </c>
      <c r="F116" s="13" t="s">
        <v>927</v>
      </c>
      <c r="G116" s="13" t="s">
        <v>917</v>
      </c>
      <c r="H116" s="219">
        <f>IFERROR(
  MINIFS(ATTENDANCE_LOG!$F:$F,
         ATTENDANCE_LOG!$A:$A, C116,
         ATTENDANCE_LOG!$B:$B, E116),
"")</f>
        <v>45644.375</v>
      </c>
      <c r="I116" s="219">
        <f t="shared" si="2"/>
        <v>45644.375</v>
      </c>
      <c r="J116" s="190">
        <f>IFERROR(VLOOKUP(F116, LEVEL_HELPER!$A:$B, 2, 0), "")</f>
        <v>1</v>
      </c>
      <c r="K116" s="190">
        <f>IFERROR(VLOOKUP(G116, LEVEL_HELPER!$A:$B, 2, 0), "")</f>
        <v>2.5</v>
      </c>
      <c r="L116" s="220" t="s">
        <v>943</v>
      </c>
      <c r="M116" s="229" t="s">
        <v>922</v>
      </c>
      <c r="N116" s="190">
        <f t="array" ref="N116">IFERROR(
  INDEX($J$2:$J$543,
    MATCH(A116&amp;TEXT(I116,"yyyy-mm-dd"),
          $A$2:$A$543&amp;TEXT($H$2:$H$543,"yyyy-mm-dd"),
          0)),
"")</f>
        <v>1</v>
      </c>
      <c r="O116" s="210">
        <f t="shared" si="3"/>
        <v>2.5</v>
      </c>
      <c r="P116" s="210">
        <f t="shared" ref="P116:Q116" si="126">IF(N116="",0,IF(N116&lt;=2,1,IF(N116&lt;=4,2,IF(N116&lt;=5.5,3,4))))</f>
        <v>1</v>
      </c>
      <c r="Q116" s="210">
        <f t="shared" si="126"/>
        <v>2</v>
      </c>
      <c r="R116" s="210" t="str">
        <f t="shared" si="5"/>
        <v>Lv1 → Lv2</v>
      </c>
      <c r="S116" s="210">
        <f t="shared" si="6"/>
        <v>0</v>
      </c>
      <c r="T116" s="210"/>
      <c r="U116" s="210"/>
      <c r="V116" s="211" t="s">
        <v>715</v>
      </c>
      <c r="W116" s="210" t="str">
        <f t="shared" si="7"/>
        <v>DEV</v>
      </c>
      <c r="X116" s="210" t="str">
        <f t="shared" si="8"/>
        <v>DEV, TA</v>
      </c>
      <c r="Y116" s="210" t="str">
        <f t="shared" si="9"/>
        <v>ONC</v>
      </c>
      <c r="Z116" s="210"/>
      <c r="AA116" s="210"/>
      <c r="AB116" s="210"/>
      <c r="AC116" s="210"/>
      <c r="AD116" s="210"/>
      <c r="AE116" s="210"/>
      <c r="AF116" s="210"/>
      <c r="AG116" s="210"/>
      <c r="AH116" s="210"/>
      <c r="AI116" s="210"/>
      <c r="AJ116" s="210"/>
      <c r="AK116" s="210"/>
      <c r="AL116" s="210"/>
      <c r="AM116" s="214"/>
      <c r="AN116" s="210"/>
      <c r="AO116" s="210" t="str">
        <f t="shared" si="10"/>
        <v>#N/A</v>
      </c>
      <c r="AP116" s="210" t="str">
        <f t="shared" si="11"/>
        <v>#N/A</v>
      </c>
      <c r="AQ116" s="210" t="str">
        <f t="shared" si="12"/>
        <v>#N/A</v>
      </c>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c r="BU116" s="210"/>
      <c r="BV116" s="210"/>
      <c r="BW116" s="210"/>
      <c r="BX116" s="210"/>
      <c r="BY116" s="210"/>
      <c r="BZ116" s="210"/>
      <c r="CA116" s="210"/>
      <c r="CB116" s="210"/>
      <c r="CC116" s="210"/>
      <c r="CD116" s="210"/>
      <c r="CE116" s="210"/>
      <c r="CF116" s="210"/>
      <c r="CG116" s="210"/>
      <c r="CH116" s="210"/>
      <c r="CI116" s="210"/>
      <c r="CJ116" s="210"/>
      <c r="CK116" s="210"/>
    </row>
    <row r="117">
      <c r="A117" s="222" t="s">
        <v>340</v>
      </c>
      <c r="B117" s="190" t="s">
        <v>341</v>
      </c>
      <c r="C117" s="223" t="s">
        <v>61</v>
      </c>
      <c r="D117" s="223" t="s">
        <v>855</v>
      </c>
      <c r="E117" s="190" t="s">
        <v>21</v>
      </c>
      <c r="F117" s="13" t="s">
        <v>927</v>
      </c>
      <c r="G117" s="13" t="s">
        <v>917</v>
      </c>
      <c r="H117" s="219">
        <f>IFERROR(
  MINIFS(ATTENDANCE_LOG!$F:$F,
         ATTENDANCE_LOG!$A:$A, C117,
         ATTENDANCE_LOG!$B:$B, E117),
"")</f>
        <v>45644.375</v>
      </c>
      <c r="I117" s="219">
        <f t="shared" si="2"/>
        <v>45644.375</v>
      </c>
      <c r="J117" s="190">
        <f>IFERROR(VLOOKUP(F117, LEVEL_HELPER!$A:$B, 2, 0), "")</f>
        <v>1</v>
      </c>
      <c r="K117" s="190">
        <f>IFERROR(VLOOKUP(G117, LEVEL_HELPER!$A:$B, 2, 0), "")</f>
        <v>2.5</v>
      </c>
      <c r="L117" s="220" t="s">
        <v>943</v>
      </c>
      <c r="M117" s="229" t="s">
        <v>922</v>
      </c>
      <c r="N117" s="190">
        <f t="array" ref="N117">IFERROR(
  INDEX($J$2:$J$543,
    MATCH(A117&amp;TEXT(I117,"yyyy-mm-dd"),
          $A$2:$A$543&amp;TEXT($H$2:$H$543,"yyyy-mm-dd"),
          0)),
"")</f>
        <v>1</v>
      </c>
      <c r="O117" s="210">
        <f t="shared" si="3"/>
        <v>2.5</v>
      </c>
      <c r="P117" s="210">
        <f t="shared" ref="P117:Q117" si="127">IF(N117="",0,IF(N117&lt;=2,1,IF(N117&lt;=4,2,IF(N117&lt;=5.5,3,4))))</f>
        <v>1</v>
      </c>
      <c r="Q117" s="210">
        <f t="shared" si="127"/>
        <v>2</v>
      </c>
      <c r="R117" s="210" t="str">
        <f t="shared" si="5"/>
        <v>Lv1 → Lv2</v>
      </c>
      <c r="S117" s="210">
        <f t="shared" si="6"/>
        <v>0</v>
      </c>
      <c r="T117" s="210"/>
      <c r="U117" s="210"/>
      <c r="V117" s="211" t="s">
        <v>257</v>
      </c>
      <c r="W117" s="210" t="str">
        <f t="shared" si="7"/>
        <v>DEV</v>
      </c>
      <c r="X117" s="210" t="str">
        <f t="shared" si="8"/>
        <v>DEV, TA</v>
      </c>
      <c r="Y117" s="210" t="str">
        <f t="shared" si="9"/>
        <v>ONC</v>
      </c>
      <c r="Z117" s="210"/>
      <c r="AA117" s="210"/>
      <c r="AB117" s="210"/>
      <c r="AC117" s="210"/>
      <c r="AD117" s="210"/>
      <c r="AE117" s="210"/>
      <c r="AF117" s="210"/>
      <c r="AG117" s="210"/>
      <c r="AH117" s="210"/>
      <c r="AI117" s="210"/>
      <c r="AJ117" s="210"/>
      <c r="AK117" s="210"/>
      <c r="AL117" s="210"/>
      <c r="AM117" s="214"/>
      <c r="AN117" s="210"/>
      <c r="AO117" s="210" t="str">
        <f t="shared" si="10"/>
        <v>#N/A</v>
      </c>
      <c r="AP117" s="210" t="str">
        <f t="shared" si="11"/>
        <v>#N/A</v>
      </c>
      <c r="AQ117" s="210" t="str">
        <f t="shared" si="12"/>
        <v>#N/A</v>
      </c>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c r="BU117" s="210"/>
      <c r="BV117" s="210"/>
      <c r="BW117" s="210"/>
      <c r="BX117" s="210"/>
      <c r="BY117" s="210"/>
      <c r="BZ117" s="210"/>
      <c r="CA117" s="210"/>
      <c r="CB117" s="210"/>
      <c r="CC117" s="210"/>
      <c r="CD117" s="210"/>
      <c r="CE117" s="210"/>
      <c r="CF117" s="210"/>
      <c r="CG117" s="210"/>
      <c r="CH117" s="210"/>
      <c r="CI117" s="210"/>
      <c r="CJ117" s="210"/>
      <c r="CK117" s="210"/>
    </row>
    <row r="118">
      <c r="A118" s="222" t="s">
        <v>504</v>
      </c>
      <c r="B118" s="190" t="s">
        <v>505</v>
      </c>
      <c r="C118" s="223" t="s">
        <v>61</v>
      </c>
      <c r="D118" s="223" t="s">
        <v>855</v>
      </c>
      <c r="E118" s="190" t="s">
        <v>21</v>
      </c>
      <c r="F118" s="13" t="s">
        <v>927</v>
      </c>
      <c r="G118" s="13" t="s">
        <v>927</v>
      </c>
      <c r="H118" s="219">
        <f>IFERROR(
  MINIFS(ATTENDANCE_LOG!$F:$F,
         ATTENDANCE_LOG!$A:$A, C118,
         ATTENDANCE_LOG!$B:$B, E118),
"")</f>
        <v>45644.375</v>
      </c>
      <c r="I118" s="219">
        <f t="shared" si="2"/>
        <v>45644.375</v>
      </c>
      <c r="J118" s="190">
        <f>IFERROR(VLOOKUP(F118, LEVEL_HELPER!$A:$B, 2, 0), "")</f>
        <v>1</v>
      </c>
      <c r="K118" s="190">
        <f>IFERROR(VLOOKUP(G118, LEVEL_HELPER!$A:$B, 2, 0), "")</f>
        <v>1</v>
      </c>
      <c r="L118" s="220" t="s">
        <v>943</v>
      </c>
      <c r="M118" s="229" t="s">
        <v>922</v>
      </c>
      <c r="N118" s="190">
        <f t="array" ref="N118">IFERROR(
  INDEX($J$2:$J$543,
    MATCH(A118&amp;TEXT(I118,"yyyy-mm-dd"),
          $A$2:$A$543&amp;TEXT($H$2:$H$543,"yyyy-mm-dd"),
          0)),
"")</f>
        <v>1</v>
      </c>
      <c r="O118" s="210">
        <f t="shared" si="3"/>
        <v>1</v>
      </c>
      <c r="P118" s="210">
        <f t="shared" ref="P118:Q118" si="128">IF(N118="",0,IF(N118&lt;=2,1,IF(N118&lt;=4,2,IF(N118&lt;=5.5,3,4))))</f>
        <v>1</v>
      </c>
      <c r="Q118" s="210">
        <f t="shared" si="128"/>
        <v>1</v>
      </c>
      <c r="R118" s="210" t="str">
        <f t="shared" si="5"/>
        <v>No Progress</v>
      </c>
      <c r="S118" s="210">
        <f t="shared" si="6"/>
        <v>0</v>
      </c>
      <c r="T118" s="210"/>
      <c r="U118" s="210"/>
      <c r="V118" s="211" t="s">
        <v>311</v>
      </c>
      <c r="W118" s="210" t="str">
        <f t="shared" si="7"/>
        <v>DEV</v>
      </c>
      <c r="X118" s="210" t="str">
        <f t="shared" si="8"/>
        <v>DEV, TA</v>
      </c>
      <c r="Y118" s="210" t="str">
        <f t="shared" si="9"/>
        <v>ONC</v>
      </c>
      <c r="Z118" s="210"/>
      <c r="AA118" s="210"/>
      <c r="AB118" s="210"/>
      <c r="AC118" s="210"/>
      <c r="AD118" s="210"/>
      <c r="AE118" s="210"/>
      <c r="AF118" s="210"/>
      <c r="AG118" s="210"/>
      <c r="AH118" s="210"/>
      <c r="AI118" s="210"/>
      <c r="AJ118" s="210"/>
      <c r="AK118" s="210"/>
      <c r="AL118" s="210"/>
      <c r="AM118" s="214"/>
      <c r="AN118" s="210"/>
      <c r="AO118" s="210" t="str">
        <f t="shared" si="10"/>
        <v>#N/A</v>
      </c>
      <c r="AP118" s="210" t="str">
        <f t="shared" si="11"/>
        <v>#N/A</v>
      </c>
      <c r="AQ118" s="210" t="str">
        <f t="shared" si="12"/>
        <v>#N/A</v>
      </c>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c r="BU118" s="210"/>
      <c r="BV118" s="210"/>
      <c r="BW118" s="210"/>
      <c r="BX118" s="210"/>
      <c r="BY118" s="210"/>
      <c r="BZ118" s="210"/>
      <c r="CA118" s="210"/>
      <c r="CB118" s="210"/>
      <c r="CC118" s="210"/>
      <c r="CD118" s="210"/>
      <c r="CE118" s="210"/>
      <c r="CF118" s="210"/>
      <c r="CG118" s="210"/>
      <c r="CH118" s="210"/>
      <c r="CI118" s="210"/>
      <c r="CJ118" s="210"/>
      <c r="CK118" s="210"/>
    </row>
    <row r="119">
      <c r="A119" s="222" t="s">
        <v>583</v>
      </c>
      <c r="B119" s="190" t="s">
        <v>584</v>
      </c>
      <c r="C119" s="223" t="s">
        <v>61</v>
      </c>
      <c r="D119" s="223" t="s">
        <v>855</v>
      </c>
      <c r="E119" s="190" t="s">
        <v>21</v>
      </c>
      <c r="F119" s="13" t="s">
        <v>917</v>
      </c>
      <c r="G119" s="13" t="s">
        <v>932</v>
      </c>
      <c r="H119" s="219">
        <f>IFERROR(
  MINIFS(ATTENDANCE_LOG!$F:$F,
         ATTENDANCE_LOG!$A:$A, C119,
         ATTENDANCE_LOG!$B:$B, E119),
"")</f>
        <v>45644.375</v>
      </c>
      <c r="I119" s="219">
        <f t="shared" si="2"/>
        <v>45644.375</v>
      </c>
      <c r="J119" s="190">
        <f>IFERROR(VLOOKUP(F119, LEVEL_HELPER!$A:$B, 2, 0), "")</f>
        <v>2.5</v>
      </c>
      <c r="K119" s="190">
        <f>IFERROR(VLOOKUP(G119, LEVEL_HELPER!$A:$B, 2, 0), "")</f>
        <v>4.5</v>
      </c>
      <c r="L119" s="220" t="s">
        <v>943</v>
      </c>
      <c r="M119" s="229" t="s">
        <v>922</v>
      </c>
      <c r="N119" s="190">
        <f t="array" ref="N119">IFERROR(
  INDEX($J$2:$J$543,
    MATCH(A119&amp;TEXT(I119,"yyyy-mm-dd"),
          $A$2:$A$543&amp;TEXT($H$2:$H$543,"yyyy-mm-dd"),
          0)),
"")</f>
        <v>2.5</v>
      </c>
      <c r="O119" s="210">
        <f t="shared" si="3"/>
        <v>4.5</v>
      </c>
      <c r="P119" s="210">
        <f t="shared" ref="P119:Q119" si="129">IF(N119="",0,IF(N119&lt;=2,1,IF(N119&lt;=4,2,IF(N119&lt;=5.5,3,4))))</f>
        <v>2</v>
      </c>
      <c r="Q119" s="210">
        <f t="shared" si="129"/>
        <v>3</v>
      </c>
      <c r="R119" s="210" t="str">
        <f t="shared" si="5"/>
        <v>Lv2 → Lv3</v>
      </c>
      <c r="S119" s="210">
        <f t="shared" si="6"/>
        <v>0</v>
      </c>
      <c r="T119" s="210"/>
      <c r="U119" s="210"/>
      <c r="V119" s="211" t="s">
        <v>403</v>
      </c>
      <c r="W119" s="210" t="str">
        <f t="shared" si="7"/>
        <v>DEV</v>
      </c>
      <c r="X119" s="210" t="str">
        <f t="shared" si="8"/>
        <v>DEV, TA</v>
      </c>
      <c r="Y119" s="210" t="str">
        <f t="shared" si="9"/>
        <v>ONC</v>
      </c>
      <c r="Z119" s="210"/>
      <c r="AA119" s="210"/>
      <c r="AB119" s="210"/>
      <c r="AC119" s="210"/>
      <c r="AD119" s="210"/>
      <c r="AE119" s="210"/>
      <c r="AF119" s="210"/>
      <c r="AG119" s="210"/>
      <c r="AH119" s="210"/>
      <c r="AI119" s="210"/>
      <c r="AJ119" s="210"/>
      <c r="AK119" s="210"/>
      <c r="AL119" s="210"/>
      <c r="AM119" s="214"/>
      <c r="AN119" s="210"/>
      <c r="AO119" s="210" t="str">
        <f t="shared" si="10"/>
        <v>#N/A</v>
      </c>
      <c r="AP119" s="210" t="str">
        <f t="shared" si="11"/>
        <v>#N/A</v>
      </c>
      <c r="AQ119" s="210" t="str">
        <f t="shared" si="12"/>
        <v>#N/A</v>
      </c>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c r="BU119" s="210"/>
      <c r="BV119" s="210"/>
      <c r="BW119" s="210"/>
      <c r="BX119" s="210"/>
      <c r="BY119" s="210"/>
      <c r="BZ119" s="210"/>
      <c r="CA119" s="210"/>
      <c r="CB119" s="210"/>
      <c r="CC119" s="210"/>
      <c r="CD119" s="210"/>
      <c r="CE119" s="210"/>
      <c r="CF119" s="210"/>
      <c r="CG119" s="210"/>
      <c r="CH119" s="210"/>
      <c r="CI119" s="210"/>
      <c r="CJ119" s="210"/>
      <c r="CK119" s="210"/>
    </row>
    <row r="120">
      <c r="A120" s="216" t="s">
        <v>307</v>
      </c>
      <c r="B120" s="217" t="s">
        <v>308</v>
      </c>
      <c r="C120" s="218" t="s">
        <v>62</v>
      </c>
      <c r="D120" s="218" t="s">
        <v>856</v>
      </c>
      <c r="E120" s="217" t="s">
        <v>21</v>
      </c>
      <c r="F120" s="13" t="s">
        <v>917</v>
      </c>
      <c r="G120" s="13" t="s">
        <v>935</v>
      </c>
      <c r="H120" s="219">
        <f>IFERROR(
  MINIFS(ATTENDANCE_LOG!$F:$F,
         ATTENDANCE_LOG!$A:$A, C120,
         ATTENDANCE_LOG!$B:$B, E120),
"")</f>
        <v>45646.375</v>
      </c>
      <c r="I120" s="219">
        <f t="shared" si="2"/>
        <v>45646.375</v>
      </c>
      <c r="J120" s="190">
        <f>IFERROR(VLOOKUP(F120, LEVEL_HELPER!$A:$B, 2, 0), "")</f>
        <v>2.5</v>
      </c>
      <c r="K120" s="190">
        <f>IFERROR(VLOOKUP(G120, LEVEL_HELPER!$A:$B, 2, 0), "")</f>
        <v>3.5</v>
      </c>
      <c r="L120" s="220" t="s">
        <v>943</v>
      </c>
      <c r="M120" s="229" t="s">
        <v>922</v>
      </c>
      <c r="N120" s="190">
        <f t="array" ref="N120">IFERROR(
  INDEX($J$2:$J$543,
    MATCH(A120&amp;TEXT(I120,"yyyy-mm-dd"),
          $A$2:$A$543&amp;TEXT($H$2:$H$543,"yyyy-mm-dd"),
          0)),
"")</f>
        <v>2.5</v>
      </c>
      <c r="O120" s="210">
        <f t="shared" si="3"/>
        <v>3.5</v>
      </c>
      <c r="P120" s="210">
        <f t="shared" ref="P120:Q120" si="130">IF(N120="",0,IF(N120&lt;=2,1,IF(N120&lt;=4,2,IF(N120&lt;=5.5,3,4))))</f>
        <v>2</v>
      </c>
      <c r="Q120" s="210">
        <f t="shared" si="130"/>
        <v>2</v>
      </c>
      <c r="R120" s="210" t="str">
        <f t="shared" si="5"/>
        <v>Progress within level</v>
      </c>
      <c r="S120" s="210">
        <f t="shared" si="6"/>
        <v>1</v>
      </c>
      <c r="T120" s="210"/>
      <c r="U120" s="210"/>
      <c r="V120" s="211" t="s">
        <v>434</v>
      </c>
      <c r="W120" s="210" t="str">
        <f t="shared" si="7"/>
        <v>DEV</v>
      </c>
      <c r="X120" s="210" t="str">
        <f t="shared" si="8"/>
        <v>DEV, TA</v>
      </c>
      <c r="Y120" s="210" t="str">
        <f t="shared" si="9"/>
        <v>TBU</v>
      </c>
      <c r="Z120" s="210"/>
      <c r="AA120" s="210"/>
      <c r="AB120" s="210"/>
      <c r="AC120" s="210"/>
      <c r="AD120" s="210"/>
      <c r="AE120" s="210"/>
      <c r="AF120" s="210"/>
      <c r="AG120" s="210"/>
      <c r="AH120" s="210"/>
      <c r="AI120" s="210"/>
      <c r="AJ120" s="210"/>
      <c r="AK120" s="210"/>
      <c r="AL120" s="210"/>
      <c r="AM120" s="214"/>
      <c r="AN120" s="210"/>
      <c r="AO120" s="210" t="str">
        <f t="shared" si="10"/>
        <v>#N/A</v>
      </c>
      <c r="AP120" s="210" t="str">
        <f t="shared" si="11"/>
        <v>#N/A</v>
      </c>
      <c r="AQ120" s="210" t="str">
        <f t="shared" si="12"/>
        <v>#N/A</v>
      </c>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c r="BU120" s="210"/>
      <c r="BV120" s="210"/>
      <c r="BW120" s="210"/>
      <c r="BX120" s="210"/>
      <c r="BY120" s="210"/>
      <c r="BZ120" s="210"/>
      <c r="CA120" s="210"/>
      <c r="CB120" s="210"/>
      <c r="CC120" s="210"/>
      <c r="CD120" s="210"/>
      <c r="CE120" s="210"/>
      <c r="CF120" s="210"/>
      <c r="CG120" s="210"/>
      <c r="CH120" s="210"/>
      <c r="CI120" s="210"/>
      <c r="CJ120" s="210"/>
      <c r="CK120" s="210"/>
    </row>
    <row r="121">
      <c r="A121" s="222" t="s">
        <v>190</v>
      </c>
      <c r="B121" s="190" t="s">
        <v>191</v>
      </c>
      <c r="C121" s="223" t="s">
        <v>62</v>
      </c>
      <c r="D121" s="223" t="s">
        <v>856</v>
      </c>
      <c r="E121" s="190" t="s">
        <v>21</v>
      </c>
      <c r="F121" s="13" t="s">
        <v>927</v>
      </c>
      <c r="G121" s="190"/>
      <c r="H121" s="219">
        <f>IFERROR(
  MINIFS(ATTENDANCE_LOG!$F:$F,
         ATTENDANCE_LOG!$A:$A, C121,
         ATTENDANCE_LOG!$B:$B, E121),
"")</f>
        <v>45646.375</v>
      </c>
      <c r="I121" s="219">
        <f t="shared" si="2"/>
        <v>45646.375</v>
      </c>
      <c r="J121" s="190">
        <f>IFERROR(VLOOKUP(F121, LEVEL_HELPER!$A:$B, 2, 0), "")</f>
        <v>1</v>
      </c>
      <c r="K121" s="190" t="str">
        <f>IFERROR(VLOOKUP(G121, LEVEL_HELPER!$A:$B, 2, 0), "")</f>
        <v/>
      </c>
      <c r="L121" s="220" t="s">
        <v>944</v>
      </c>
      <c r="M121" s="229" t="s">
        <v>922</v>
      </c>
      <c r="N121" s="190">
        <f t="array" ref="N121">IFERROR(
  INDEX($J$2:$J$543,
    MATCH(A121&amp;TEXT(I121,"yyyy-mm-dd"),
          $A$2:$A$543&amp;TEXT($H$2:$H$543,"yyyy-mm-dd"),
          0)),
"")</f>
        <v>1</v>
      </c>
      <c r="O121" s="210">
        <f t="shared" si="3"/>
        <v>0</v>
      </c>
      <c r="P121" s="210">
        <f t="shared" ref="P121:Q121" si="131">IF(N121="",0,IF(N121&lt;=2,1,IF(N121&lt;=4,2,IF(N121&lt;=5.5,3,4))))</f>
        <v>1</v>
      </c>
      <c r="Q121" s="210">
        <f t="shared" si="131"/>
        <v>1</v>
      </c>
      <c r="R121" s="210" t="str">
        <f t="shared" si="5"/>
        <v>No Progress</v>
      </c>
      <c r="S121" s="210">
        <f t="shared" si="6"/>
        <v>1</v>
      </c>
      <c r="T121" s="210"/>
      <c r="U121" s="210"/>
      <c r="V121" s="211" t="s">
        <v>192</v>
      </c>
      <c r="W121" s="210" t="str">
        <f t="shared" si="7"/>
        <v>DEV</v>
      </c>
      <c r="X121" s="210" t="str">
        <f t="shared" si="8"/>
        <v>DEV, TA</v>
      </c>
      <c r="Y121" s="210" t="str">
        <f t="shared" si="9"/>
        <v>LBU</v>
      </c>
      <c r="Z121" s="210"/>
      <c r="AA121" s="210"/>
      <c r="AB121" s="210"/>
      <c r="AC121" s="210"/>
      <c r="AD121" s="210"/>
      <c r="AE121" s="210"/>
      <c r="AF121" s="210"/>
      <c r="AG121" s="210"/>
      <c r="AH121" s="210"/>
      <c r="AI121" s="210"/>
      <c r="AJ121" s="210"/>
      <c r="AK121" s="210"/>
      <c r="AL121" s="210"/>
      <c r="AM121" s="214"/>
      <c r="AN121" s="210"/>
      <c r="AO121" s="210" t="str">
        <f t="shared" si="10"/>
        <v>#N/A</v>
      </c>
      <c r="AP121" s="210" t="str">
        <f t="shared" si="11"/>
        <v>#N/A</v>
      </c>
      <c r="AQ121" s="210" t="str">
        <f t="shared" si="12"/>
        <v>#N/A</v>
      </c>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c r="BU121" s="210"/>
      <c r="BV121" s="210"/>
      <c r="BW121" s="210"/>
      <c r="BX121" s="210"/>
      <c r="BY121" s="210"/>
      <c r="BZ121" s="210"/>
      <c r="CA121" s="210"/>
      <c r="CB121" s="210"/>
      <c r="CC121" s="210"/>
      <c r="CD121" s="210"/>
      <c r="CE121" s="210"/>
      <c r="CF121" s="210"/>
      <c r="CG121" s="210"/>
      <c r="CH121" s="210"/>
      <c r="CI121" s="210"/>
      <c r="CJ121" s="210"/>
      <c r="CK121" s="210"/>
    </row>
    <row r="122">
      <c r="A122" s="222" t="s">
        <v>198</v>
      </c>
      <c r="B122" s="190" t="s">
        <v>199</v>
      </c>
      <c r="C122" s="223" t="s">
        <v>62</v>
      </c>
      <c r="D122" s="223" t="s">
        <v>856</v>
      </c>
      <c r="E122" s="190" t="s">
        <v>21</v>
      </c>
      <c r="F122" s="13" t="s">
        <v>917</v>
      </c>
      <c r="G122" s="190"/>
      <c r="H122" s="219">
        <f>IFERROR(
  MINIFS(ATTENDANCE_LOG!$F:$F,
         ATTENDANCE_LOG!$A:$A, C122,
         ATTENDANCE_LOG!$B:$B, E122),
"")</f>
        <v>45646.375</v>
      </c>
      <c r="I122" s="219">
        <f t="shared" si="2"/>
        <v>45646.375</v>
      </c>
      <c r="J122" s="190">
        <f>IFERROR(VLOOKUP(F122, LEVEL_HELPER!$A:$B, 2, 0), "")</f>
        <v>2.5</v>
      </c>
      <c r="K122" s="190" t="str">
        <f>IFERROR(VLOOKUP(G122, LEVEL_HELPER!$A:$B, 2, 0), "")</f>
        <v/>
      </c>
      <c r="L122" s="220" t="s">
        <v>943</v>
      </c>
      <c r="M122" s="220" t="s">
        <v>926</v>
      </c>
      <c r="N122" s="190">
        <f t="array" ref="N122">IFERROR(
  INDEX($J$2:$J$543,
    MATCH(A122&amp;TEXT(I122,"yyyy-mm-dd"),
          $A$2:$A$543&amp;TEXT($H$2:$H$543,"yyyy-mm-dd"),
          0)),
"")</f>
        <v>2.5</v>
      </c>
      <c r="O122" s="210">
        <f t="shared" si="3"/>
        <v>0</v>
      </c>
      <c r="P122" s="210">
        <f t="shared" ref="P122:Q122" si="132">IF(N122="",0,IF(N122&lt;=2,1,IF(N122&lt;=4,2,IF(N122&lt;=5.5,3,4))))</f>
        <v>2</v>
      </c>
      <c r="Q122" s="210">
        <f t="shared" si="132"/>
        <v>1</v>
      </c>
      <c r="R122" s="210" t="str">
        <f t="shared" si="5"/>
        <v>Regressed</v>
      </c>
      <c r="S122" s="210">
        <f t="shared" si="6"/>
        <v>1</v>
      </c>
      <c r="T122" s="210"/>
      <c r="U122" s="210"/>
      <c r="V122" s="211" t="s">
        <v>202</v>
      </c>
      <c r="W122" s="210" t="str">
        <f t="shared" si="7"/>
        <v>DEV</v>
      </c>
      <c r="X122" s="210" t="str">
        <f t="shared" si="8"/>
        <v>DEV, TA</v>
      </c>
      <c r="Y122" s="210" t="str">
        <f t="shared" si="9"/>
        <v>TBU</v>
      </c>
      <c r="Z122" s="210"/>
      <c r="AA122" s="210"/>
      <c r="AB122" s="210"/>
      <c r="AC122" s="210"/>
      <c r="AD122" s="210"/>
      <c r="AE122" s="210"/>
      <c r="AF122" s="210"/>
      <c r="AG122" s="210"/>
      <c r="AH122" s="210"/>
      <c r="AI122" s="210"/>
      <c r="AJ122" s="210"/>
      <c r="AK122" s="210"/>
      <c r="AL122" s="210"/>
      <c r="AM122" s="214"/>
      <c r="AN122" s="210"/>
      <c r="AO122" s="210" t="str">
        <f t="shared" si="10"/>
        <v>#N/A</v>
      </c>
      <c r="AP122" s="210" t="str">
        <f t="shared" si="11"/>
        <v>#N/A</v>
      </c>
      <c r="AQ122" s="210" t="str">
        <f t="shared" si="12"/>
        <v>#N/A</v>
      </c>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c r="BU122" s="210"/>
      <c r="BV122" s="210"/>
      <c r="BW122" s="210"/>
      <c r="BX122" s="210"/>
      <c r="BY122" s="210"/>
      <c r="BZ122" s="210"/>
      <c r="CA122" s="210"/>
      <c r="CB122" s="210"/>
      <c r="CC122" s="210"/>
      <c r="CD122" s="210"/>
      <c r="CE122" s="210"/>
      <c r="CF122" s="210"/>
      <c r="CG122" s="210"/>
      <c r="CH122" s="210"/>
      <c r="CI122" s="210"/>
      <c r="CJ122" s="210"/>
      <c r="CK122" s="210"/>
    </row>
    <row r="123">
      <c r="A123" s="222" t="s">
        <v>237</v>
      </c>
      <c r="B123" s="190" t="s">
        <v>238</v>
      </c>
      <c r="C123" s="223" t="s">
        <v>62</v>
      </c>
      <c r="D123" s="223" t="s">
        <v>856</v>
      </c>
      <c r="E123" s="190" t="s">
        <v>21</v>
      </c>
      <c r="F123" s="13" t="s">
        <v>917</v>
      </c>
      <c r="G123" s="190"/>
      <c r="H123" s="219">
        <f>IFERROR(
  MINIFS(ATTENDANCE_LOG!$F:$F,
         ATTENDANCE_LOG!$A:$A, C123,
         ATTENDANCE_LOG!$B:$B, E123),
"")</f>
        <v>45646.375</v>
      </c>
      <c r="I123" s="219">
        <f t="shared" si="2"/>
        <v>45646.375</v>
      </c>
      <c r="J123" s="190">
        <f>IFERROR(VLOOKUP(F123, LEVEL_HELPER!$A:$B, 2, 0), "")</f>
        <v>2.5</v>
      </c>
      <c r="K123" s="190" t="str">
        <f>IFERROR(VLOOKUP(G123, LEVEL_HELPER!$A:$B, 2, 0), "")</f>
        <v/>
      </c>
      <c r="L123" s="220" t="s">
        <v>919</v>
      </c>
      <c r="M123" s="229" t="s">
        <v>922</v>
      </c>
      <c r="N123" s="190">
        <f t="array" ref="N123">IFERROR(
  INDEX($J$2:$J$543,
    MATCH(A123&amp;TEXT(I123,"yyyy-mm-dd"),
          $A$2:$A$543&amp;TEXT($H$2:$H$543,"yyyy-mm-dd"),
          0)),
"")</f>
        <v>2.5</v>
      </c>
      <c r="O123" s="210">
        <f t="shared" si="3"/>
        <v>0</v>
      </c>
      <c r="P123" s="210">
        <f t="shared" ref="P123:Q123" si="133">IF(N123="",0,IF(N123&lt;=2,1,IF(N123&lt;=4,2,IF(N123&lt;=5.5,3,4))))</f>
        <v>2</v>
      </c>
      <c r="Q123" s="210">
        <f t="shared" si="133"/>
        <v>1</v>
      </c>
      <c r="R123" s="210" t="str">
        <f t="shared" si="5"/>
        <v>Regressed</v>
      </c>
      <c r="S123" s="210">
        <f t="shared" si="6"/>
        <v>1</v>
      </c>
      <c r="T123" s="210"/>
      <c r="U123" s="210"/>
      <c r="V123" s="211" t="s">
        <v>607</v>
      </c>
      <c r="W123" s="210" t="str">
        <f t="shared" si="7"/>
        <v>DEV</v>
      </c>
      <c r="X123" s="210" t="str">
        <f t="shared" si="8"/>
        <v>DEV, TA</v>
      </c>
      <c r="Y123" s="210" t="str">
        <f t="shared" si="9"/>
        <v>CHORUS</v>
      </c>
      <c r="Z123" s="210"/>
      <c r="AA123" s="210"/>
      <c r="AB123" s="210"/>
      <c r="AC123" s="210"/>
      <c r="AD123" s="210"/>
      <c r="AE123" s="210"/>
      <c r="AF123" s="210"/>
      <c r="AG123" s="210"/>
      <c r="AH123" s="210"/>
      <c r="AI123" s="210"/>
      <c r="AJ123" s="210"/>
      <c r="AK123" s="210"/>
      <c r="AL123" s="210"/>
      <c r="AM123" s="214"/>
      <c r="AN123" s="210"/>
      <c r="AO123" s="210" t="str">
        <f t="shared" si="10"/>
        <v>#N/A</v>
      </c>
      <c r="AP123" s="210" t="str">
        <f t="shared" si="11"/>
        <v>#N/A</v>
      </c>
      <c r="AQ123" s="210" t="str">
        <f t="shared" si="12"/>
        <v>#N/A</v>
      </c>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c r="BU123" s="210"/>
      <c r="BV123" s="210"/>
      <c r="BW123" s="210"/>
      <c r="BX123" s="210"/>
      <c r="BY123" s="210"/>
      <c r="BZ123" s="210"/>
      <c r="CA123" s="210"/>
      <c r="CB123" s="210"/>
      <c r="CC123" s="210"/>
      <c r="CD123" s="210"/>
      <c r="CE123" s="210"/>
      <c r="CF123" s="210"/>
      <c r="CG123" s="210"/>
      <c r="CH123" s="210"/>
      <c r="CI123" s="210"/>
      <c r="CJ123" s="210"/>
      <c r="CK123" s="210"/>
    </row>
    <row r="124">
      <c r="A124" s="222" t="s">
        <v>249</v>
      </c>
      <c r="B124" s="190" t="s">
        <v>250</v>
      </c>
      <c r="C124" s="223" t="s">
        <v>62</v>
      </c>
      <c r="D124" s="223" t="s">
        <v>856</v>
      </c>
      <c r="E124" s="190" t="s">
        <v>21</v>
      </c>
      <c r="F124" s="13" t="s">
        <v>927</v>
      </c>
      <c r="G124" s="190"/>
      <c r="H124" s="219">
        <f>IFERROR(
  MINIFS(ATTENDANCE_LOG!$F:$F,
         ATTENDANCE_LOG!$A:$A, C124,
         ATTENDANCE_LOG!$B:$B, E124),
"")</f>
        <v>45646.375</v>
      </c>
      <c r="I124" s="219">
        <f t="shared" si="2"/>
        <v>45646.375</v>
      </c>
      <c r="J124" s="190">
        <f>IFERROR(VLOOKUP(F124, LEVEL_HELPER!$A:$B, 2, 0), "")</f>
        <v>1</v>
      </c>
      <c r="K124" s="190" t="str">
        <f>IFERROR(VLOOKUP(G124, LEVEL_HELPER!$A:$B, 2, 0), "")</f>
        <v/>
      </c>
      <c r="L124" s="220" t="s">
        <v>943</v>
      </c>
      <c r="M124" s="229" t="s">
        <v>922</v>
      </c>
      <c r="N124" s="190">
        <f t="array" ref="N124">IFERROR(
  INDEX($J$2:$J$543,
    MATCH(A124&amp;TEXT(I124,"yyyy-mm-dd"),
          $A$2:$A$543&amp;TEXT($H$2:$H$543,"yyyy-mm-dd"),
          0)),
"")</f>
        <v>1</v>
      </c>
      <c r="O124" s="210">
        <f t="shared" si="3"/>
        <v>0</v>
      </c>
      <c r="P124" s="210">
        <f t="shared" ref="P124:Q124" si="134">IF(N124="",0,IF(N124&lt;=2,1,IF(N124&lt;=4,2,IF(N124&lt;=5.5,3,4))))</f>
        <v>1</v>
      </c>
      <c r="Q124" s="210">
        <f t="shared" si="134"/>
        <v>1</v>
      </c>
      <c r="R124" s="210" t="str">
        <f t="shared" si="5"/>
        <v>No Progress</v>
      </c>
      <c r="S124" s="210">
        <f t="shared" si="6"/>
        <v>1</v>
      </c>
      <c r="T124" s="210"/>
      <c r="U124" s="210"/>
      <c r="V124" s="211" t="s">
        <v>631</v>
      </c>
      <c r="W124" s="210" t="str">
        <f t="shared" si="7"/>
        <v>Designer</v>
      </c>
      <c r="X124" s="210" t="str">
        <f t="shared" si="8"/>
        <v>UI/UX, Des</v>
      </c>
      <c r="Y124" s="210" t="str">
        <f t="shared" si="9"/>
        <v>LBU</v>
      </c>
      <c r="Z124" s="210"/>
      <c r="AA124" s="210"/>
      <c r="AB124" s="210"/>
      <c r="AC124" s="210"/>
      <c r="AD124" s="210"/>
      <c r="AE124" s="210"/>
      <c r="AF124" s="210"/>
      <c r="AG124" s="210"/>
      <c r="AH124" s="210"/>
      <c r="AI124" s="210"/>
      <c r="AJ124" s="210"/>
      <c r="AK124" s="210"/>
      <c r="AL124" s="210"/>
      <c r="AM124" s="214"/>
      <c r="AN124" s="210"/>
      <c r="AO124" s="210" t="str">
        <f t="shared" si="10"/>
        <v>#N/A</v>
      </c>
      <c r="AP124" s="210" t="str">
        <f t="shared" si="11"/>
        <v>#N/A</v>
      </c>
      <c r="AQ124" s="210" t="str">
        <f t="shared" si="12"/>
        <v>#N/A</v>
      </c>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c r="BU124" s="210"/>
      <c r="BV124" s="210"/>
      <c r="BW124" s="210"/>
      <c r="BX124" s="210"/>
      <c r="BY124" s="210"/>
      <c r="BZ124" s="210"/>
      <c r="CA124" s="210"/>
      <c r="CB124" s="210"/>
      <c r="CC124" s="210"/>
      <c r="CD124" s="210"/>
      <c r="CE124" s="210"/>
      <c r="CF124" s="210"/>
      <c r="CG124" s="210"/>
      <c r="CH124" s="210"/>
      <c r="CI124" s="210"/>
      <c r="CJ124" s="210"/>
      <c r="CK124" s="210"/>
    </row>
    <row r="125">
      <c r="A125" s="222" t="s">
        <v>376</v>
      </c>
      <c r="B125" s="190" t="s">
        <v>377</v>
      </c>
      <c r="C125" s="223" t="s">
        <v>62</v>
      </c>
      <c r="D125" s="223" t="s">
        <v>856</v>
      </c>
      <c r="E125" s="190" t="s">
        <v>21</v>
      </c>
      <c r="F125" s="13" t="s">
        <v>927</v>
      </c>
      <c r="G125" s="190"/>
      <c r="H125" s="219">
        <f>IFERROR(
  MINIFS(ATTENDANCE_LOG!$F:$F,
         ATTENDANCE_LOG!$A:$A, C125,
         ATTENDANCE_LOG!$B:$B, E125),
"")</f>
        <v>45646.375</v>
      </c>
      <c r="I125" s="219">
        <f t="shared" si="2"/>
        <v>45646.375</v>
      </c>
      <c r="J125" s="190">
        <f>IFERROR(VLOOKUP(F125, LEVEL_HELPER!$A:$B, 2, 0), "")</f>
        <v>1</v>
      </c>
      <c r="K125" s="190" t="str">
        <f>IFERROR(VLOOKUP(G125, LEVEL_HELPER!$A:$B, 2, 0), "")</f>
        <v/>
      </c>
      <c r="L125" s="220" t="s">
        <v>919</v>
      </c>
      <c r="M125" s="229" t="s">
        <v>922</v>
      </c>
      <c r="N125" s="190">
        <f t="array" ref="N125">IFERROR(
  INDEX($J$2:$J$543,
    MATCH(A125&amp;TEXT(I125,"yyyy-mm-dd"),
          $A$2:$A$543&amp;TEXT($H$2:$H$543,"yyyy-mm-dd"),
          0)),
"")</f>
        <v>1</v>
      </c>
      <c r="O125" s="210">
        <f t="shared" si="3"/>
        <v>0</v>
      </c>
      <c r="P125" s="210">
        <f t="shared" ref="P125:Q125" si="135">IF(N125="",0,IF(N125&lt;=2,1,IF(N125&lt;=4,2,IF(N125&lt;=5.5,3,4))))</f>
        <v>1</v>
      </c>
      <c r="Q125" s="210">
        <f t="shared" si="135"/>
        <v>1</v>
      </c>
      <c r="R125" s="210" t="str">
        <f t="shared" si="5"/>
        <v>No Progress</v>
      </c>
      <c r="S125" s="210">
        <f t="shared" si="6"/>
        <v>1</v>
      </c>
      <c r="T125" s="210"/>
      <c r="U125" s="210"/>
      <c r="V125" s="211" t="s">
        <v>288</v>
      </c>
      <c r="W125" s="210" t="str">
        <f t="shared" si="7"/>
        <v>Designer</v>
      </c>
      <c r="X125" s="210" t="str">
        <f t="shared" si="8"/>
        <v>UI/UX, Des</v>
      </c>
      <c r="Y125" s="210" t="str">
        <f t="shared" si="9"/>
        <v>LBU</v>
      </c>
      <c r="Z125" s="210"/>
      <c r="AA125" s="210"/>
      <c r="AB125" s="210"/>
      <c r="AC125" s="210"/>
      <c r="AD125" s="210"/>
      <c r="AE125" s="210"/>
      <c r="AF125" s="210"/>
      <c r="AG125" s="210"/>
      <c r="AH125" s="210"/>
      <c r="AI125" s="210"/>
      <c r="AJ125" s="210"/>
      <c r="AK125" s="210"/>
      <c r="AL125" s="210"/>
      <c r="AM125" s="214"/>
      <c r="AN125" s="210"/>
      <c r="AO125" s="210" t="str">
        <f t="shared" si="10"/>
        <v>#N/A</v>
      </c>
      <c r="AP125" s="210" t="str">
        <f t="shared" si="11"/>
        <v>#N/A</v>
      </c>
      <c r="AQ125" s="210" t="str">
        <f t="shared" si="12"/>
        <v>#N/A</v>
      </c>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c r="BU125" s="210"/>
      <c r="BV125" s="210"/>
      <c r="BW125" s="210"/>
      <c r="BX125" s="210"/>
      <c r="BY125" s="210"/>
      <c r="BZ125" s="210"/>
      <c r="CA125" s="210"/>
      <c r="CB125" s="210"/>
      <c r="CC125" s="210"/>
      <c r="CD125" s="210"/>
      <c r="CE125" s="210"/>
      <c r="CF125" s="210"/>
      <c r="CG125" s="210"/>
      <c r="CH125" s="210"/>
      <c r="CI125" s="210"/>
      <c r="CJ125" s="210"/>
      <c r="CK125" s="210"/>
    </row>
    <row r="126">
      <c r="A126" s="222" t="s">
        <v>387</v>
      </c>
      <c r="B126" s="190" t="s">
        <v>388</v>
      </c>
      <c r="C126" s="223" t="s">
        <v>62</v>
      </c>
      <c r="D126" s="223" t="s">
        <v>856</v>
      </c>
      <c r="E126" s="190" t="s">
        <v>21</v>
      </c>
      <c r="F126" s="13" t="s">
        <v>927</v>
      </c>
      <c r="G126" s="13" t="s">
        <v>929</v>
      </c>
      <c r="H126" s="219">
        <f>IFERROR(
  MINIFS(ATTENDANCE_LOG!$F:$F,
         ATTENDANCE_LOG!$A:$A, C126,
         ATTENDANCE_LOG!$B:$B, E126),
"")</f>
        <v>45646.375</v>
      </c>
      <c r="I126" s="219">
        <f t="shared" si="2"/>
        <v>45646.375</v>
      </c>
      <c r="J126" s="190">
        <f>IFERROR(VLOOKUP(F126, LEVEL_HELPER!$A:$B, 2, 0), "")</f>
        <v>1</v>
      </c>
      <c r="K126" s="190">
        <f>IFERROR(VLOOKUP(G126, LEVEL_HELPER!$A:$B, 2, 0), "")</f>
        <v>1.5</v>
      </c>
      <c r="L126" s="220" t="s">
        <v>943</v>
      </c>
      <c r="M126" s="229" t="s">
        <v>922</v>
      </c>
      <c r="N126" s="190">
        <f t="array" ref="N126">IFERROR(
  INDEX($J$2:$J$543,
    MATCH(A126&amp;TEXT(I126,"yyyy-mm-dd"),
          $A$2:$A$543&amp;TEXT($H$2:$H$543,"yyyy-mm-dd"),
          0)),
"")</f>
        <v>1</v>
      </c>
      <c r="O126" s="210">
        <f t="shared" si="3"/>
        <v>1.5</v>
      </c>
      <c r="P126" s="210">
        <f t="shared" ref="P126:Q126" si="136">IF(N126="",0,IF(N126&lt;=2,1,IF(N126&lt;=4,2,IF(N126&lt;=5.5,3,4))))</f>
        <v>1</v>
      </c>
      <c r="Q126" s="210">
        <f t="shared" si="136"/>
        <v>1</v>
      </c>
      <c r="R126" s="210" t="str">
        <f t="shared" si="5"/>
        <v>Progress within level</v>
      </c>
      <c r="S126" s="210">
        <f t="shared" si="6"/>
        <v>1</v>
      </c>
      <c r="T126" s="210"/>
      <c r="U126" s="210"/>
      <c r="V126" s="211" t="s">
        <v>570</v>
      </c>
      <c r="W126" s="210" t="str">
        <f t="shared" si="7"/>
        <v>Designer</v>
      </c>
      <c r="X126" s="210" t="str">
        <f t="shared" si="8"/>
        <v>UI/UX, Des</v>
      </c>
      <c r="Y126" s="210" t="str">
        <f t="shared" si="9"/>
        <v>CHORUS</v>
      </c>
      <c r="Z126" s="210"/>
      <c r="AA126" s="210"/>
      <c r="AB126" s="210"/>
      <c r="AC126" s="210"/>
      <c r="AD126" s="210"/>
      <c r="AE126" s="210"/>
      <c r="AF126" s="210"/>
      <c r="AG126" s="210"/>
      <c r="AH126" s="210"/>
      <c r="AI126" s="210"/>
      <c r="AJ126" s="210"/>
      <c r="AK126" s="210"/>
      <c r="AL126" s="210"/>
      <c r="AM126" s="214"/>
      <c r="AN126" s="210"/>
      <c r="AO126" s="210" t="str">
        <f t="shared" si="10"/>
        <v>#N/A</v>
      </c>
      <c r="AP126" s="210" t="str">
        <f t="shared" si="11"/>
        <v>#N/A</v>
      </c>
      <c r="AQ126" s="210" t="str">
        <f t="shared" si="12"/>
        <v>#N/A</v>
      </c>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c r="BU126" s="210"/>
      <c r="BV126" s="210"/>
      <c r="BW126" s="210"/>
      <c r="BX126" s="210"/>
      <c r="BY126" s="210"/>
      <c r="BZ126" s="210"/>
      <c r="CA126" s="210"/>
      <c r="CB126" s="210"/>
      <c r="CC126" s="210"/>
      <c r="CD126" s="210"/>
      <c r="CE126" s="210"/>
      <c r="CF126" s="210"/>
      <c r="CG126" s="210"/>
      <c r="CH126" s="210"/>
      <c r="CI126" s="210"/>
      <c r="CJ126" s="210"/>
      <c r="CK126" s="210"/>
    </row>
    <row r="127">
      <c r="A127" s="216" t="s">
        <v>298</v>
      </c>
      <c r="B127" s="217" t="s">
        <v>299</v>
      </c>
      <c r="C127" s="218" t="s">
        <v>63</v>
      </c>
      <c r="D127" s="218" t="s">
        <v>857</v>
      </c>
      <c r="E127" s="217" t="s">
        <v>21</v>
      </c>
      <c r="F127" s="13" t="s">
        <v>927</v>
      </c>
      <c r="G127" s="13" t="s">
        <v>918</v>
      </c>
      <c r="H127" s="219">
        <f>IFERROR(
  MINIFS(ATTENDANCE_LOG!$F:$F,
         ATTENDANCE_LOG!$A:$A, C127,
         ATTENDANCE_LOG!$B:$B, E127),
"")</f>
        <v>45636.45833</v>
      </c>
      <c r="I127" s="219">
        <f t="shared" si="2"/>
        <v>45636.45833</v>
      </c>
      <c r="J127" s="190">
        <f>IFERROR(VLOOKUP(F127, LEVEL_HELPER!$A:$B, 2, 0), "")</f>
        <v>1</v>
      </c>
      <c r="K127" s="190">
        <f>IFERROR(VLOOKUP(G127, LEVEL_HELPER!$A:$B, 2, 0), "")</f>
        <v>3</v>
      </c>
      <c r="L127" s="220" t="s">
        <v>943</v>
      </c>
      <c r="M127" s="220" t="s">
        <v>925</v>
      </c>
      <c r="N127" s="190">
        <f t="array" ref="N127">IFERROR(
  INDEX($J$2:$J$543,
    MATCH(A127&amp;TEXT(I127,"yyyy-mm-dd"),
          $A$2:$A$543&amp;TEXT($H$2:$H$543,"yyyy-mm-dd"),
          0)),
"")</f>
        <v>1</v>
      </c>
      <c r="O127" s="210">
        <f t="shared" si="3"/>
        <v>3.5</v>
      </c>
      <c r="P127" s="210">
        <f t="shared" ref="P127:Q127" si="137">IF(N127="",0,IF(N127&lt;=2,1,IF(N127&lt;=4,2,IF(N127&lt;=5.5,3,4))))</f>
        <v>1</v>
      </c>
      <c r="Q127" s="210">
        <f t="shared" si="137"/>
        <v>2</v>
      </c>
      <c r="R127" s="210" t="str">
        <f t="shared" si="5"/>
        <v>Lv1 → Lv2</v>
      </c>
      <c r="S127" s="210">
        <f t="shared" si="6"/>
        <v>1</v>
      </c>
      <c r="T127" s="210"/>
      <c r="U127" s="210"/>
      <c r="V127" s="211" t="s">
        <v>619</v>
      </c>
      <c r="W127" s="210" t="str">
        <f t="shared" si="7"/>
        <v>Designer</v>
      </c>
      <c r="X127" s="210" t="str">
        <f t="shared" si="8"/>
        <v>UI/UX, Des</v>
      </c>
      <c r="Y127" s="210" t="str">
        <f t="shared" si="9"/>
        <v>LBU</v>
      </c>
      <c r="Z127" s="210"/>
      <c r="AA127" s="210"/>
      <c r="AB127" s="210"/>
      <c r="AC127" s="210"/>
      <c r="AD127" s="210"/>
      <c r="AE127" s="210"/>
      <c r="AF127" s="210"/>
      <c r="AG127" s="210"/>
      <c r="AH127" s="210"/>
      <c r="AI127" s="210"/>
      <c r="AJ127" s="210"/>
      <c r="AK127" s="210"/>
      <c r="AL127" s="210"/>
      <c r="AM127" s="214"/>
      <c r="AN127" s="210"/>
      <c r="AO127" s="210" t="str">
        <f t="shared" si="10"/>
        <v>#N/A</v>
      </c>
      <c r="AP127" s="210" t="str">
        <f t="shared" si="11"/>
        <v>#N/A</v>
      </c>
      <c r="AQ127" s="210" t="str">
        <f t="shared" si="12"/>
        <v>#N/A</v>
      </c>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c r="BU127" s="210"/>
      <c r="BV127" s="210"/>
      <c r="BW127" s="210"/>
      <c r="BX127" s="210"/>
      <c r="BY127" s="210"/>
      <c r="BZ127" s="210"/>
      <c r="CA127" s="210"/>
      <c r="CB127" s="210"/>
      <c r="CC127" s="210"/>
      <c r="CD127" s="210"/>
      <c r="CE127" s="210"/>
      <c r="CF127" s="210"/>
      <c r="CG127" s="210"/>
      <c r="CH127" s="210"/>
      <c r="CI127" s="210"/>
      <c r="CJ127" s="210"/>
      <c r="CK127" s="210"/>
    </row>
    <row r="128">
      <c r="A128" s="222" t="s">
        <v>220</v>
      </c>
      <c r="B128" s="190" t="s">
        <v>221</v>
      </c>
      <c r="C128" s="223" t="s">
        <v>63</v>
      </c>
      <c r="D128" s="223" t="s">
        <v>857</v>
      </c>
      <c r="E128" s="190" t="s">
        <v>21</v>
      </c>
      <c r="F128" s="13" t="s">
        <v>927</v>
      </c>
      <c r="G128" s="13" t="s">
        <v>929</v>
      </c>
      <c r="H128" s="219">
        <f>IFERROR(
  MINIFS(ATTENDANCE_LOG!$F:$F,
         ATTENDANCE_LOG!$A:$A, C128,
         ATTENDANCE_LOG!$B:$B, E128),
"")</f>
        <v>45636.45833</v>
      </c>
      <c r="I128" s="219">
        <f t="shared" si="2"/>
        <v>45636.45833</v>
      </c>
      <c r="J128" s="190">
        <f>IFERROR(VLOOKUP(F128, LEVEL_HELPER!$A:$B, 2, 0), "")</f>
        <v>1</v>
      </c>
      <c r="K128" s="190">
        <f>IFERROR(VLOOKUP(G128, LEVEL_HELPER!$A:$B, 2, 0), "")</f>
        <v>1.5</v>
      </c>
      <c r="L128" s="220" t="s">
        <v>943</v>
      </c>
      <c r="M128" s="220" t="s">
        <v>925</v>
      </c>
      <c r="N128" s="190">
        <f t="array" ref="N128">IFERROR(
  INDEX($J$2:$J$543,
    MATCH(A128&amp;TEXT(I128,"yyyy-mm-dd"),
          $A$2:$A$543&amp;TEXT($H$2:$H$543,"yyyy-mm-dd"),
          0)),
"")</f>
        <v>1</v>
      </c>
      <c r="O128" s="210">
        <f t="shared" si="3"/>
        <v>3</v>
      </c>
      <c r="P128" s="210">
        <f t="shared" ref="P128:Q128" si="138">IF(N128="",0,IF(N128&lt;=2,1,IF(N128&lt;=4,2,IF(N128&lt;=5.5,3,4))))</f>
        <v>1</v>
      </c>
      <c r="Q128" s="210">
        <f t="shared" si="138"/>
        <v>2</v>
      </c>
      <c r="R128" s="210" t="str">
        <f t="shared" si="5"/>
        <v>Lv1 → Lv2</v>
      </c>
      <c r="S128" s="210">
        <f t="shared" si="6"/>
        <v>1</v>
      </c>
      <c r="T128" s="210"/>
      <c r="U128" s="210"/>
      <c r="V128" s="211" t="s">
        <v>635</v>
      </c>
      <c r="W128" s="210" t="str">
        <f t="shared" si="7"/>
        <v>QC</v>
      </c>
      <c r="X128" s="210" t="str">
        <f t="shared" si="8"/>
        <v>QC</v>
      </c>
      <c r="Y128" s="210" t="str">
        <f t="shared" si="9"/>
        <v>LBU</v>
      </c>
      <c r="Z128" s="210"/>
      <c r="AA128" s="210"/>
      <c r="AB128" s="210"/>
      <c r="AC128" s="210"/>
      <c r="AD128" s="210"/>
      <c r="AE128" s="210"/>
      <c r="AF128" s="210"/>
      <c r="AG128" s="210"/>
      <c r="AH128" s="210"/>
      <c r="AI128" s="210"/>
      <c r="AJ128" s="210"/>
      <c r="AK128" s="210"/>
      <c r="AL128" s="210"/>
      <c r="AM128" s="214"/>
      <c r="AN128" s="210"/>
      <c r="AO128" s="210" t="str">
        <f t="shared" si="10"/>
        <v>#N/A</v>
      </c>
      <c r="AP128" s="210" t="str">
        <f t="shared" si="11"/>
        <v>#N/A</v>
      </c>
      <c r="AQ128" s="210" t="str">
        <f t="shared" si="12"/>
        <v>#N/A</v>
      </c>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c r="BU128" s="210"/>
      <c r="BV128" s="210"/>
      <c r="BW128" s="210"/>
      <c r="BX128" s="210"/>
      <c r="BY128" s="210"/>
      <c r="BZ128" s="210"/>
      <c r="CA128" s="210"/>
      <c r="CB128" s="210"/>
      <c r="CC128" s="210"/>
      <c r="CD128" s="210"/>
      <c r="CE128" s="210"/>
      <c r="CF128" s="210"/>
      <c r="CG128" s="210"/>
      <c r="CH128" s="210"/>
      <c r="CI128" s="210"/>
      <c r="CJ128" s="210"/>
      <c r="CK128" s="210"/>
    </row>
    <row r="129">
      <c r="A129" s="222" t="s">
        <v>234</v>
      </c>
      <c r="B129" s="190" t="s">
        <v>235</v>
      </c>
      <c r="C129" s="223" t="s">
        <v>63</v>
      </c>
      <c r="D129" s="223" t="s">
        <v>857</v>
      </c>
      <c r="E129" s="190" t="s">
        <v>21</v>
      </c>
      <c r="F129" s="13" t="s">
        <v>917</v>
      </c>
      <c r="G129" s="13" t="s">
        <v>918</v>
      </c>
      <c r="H129" s="219">
        <f>IFERROR(
  MINIFS(ATTENDANCE_LOG!$F:$F,
         ATTENDANCE_LOG!$A:$A, C129,
         ATTENDANCE_LOG!$B:$B, E129),
"")</f>
        <v>45636.45833</v>
      </c>
      <c r="I129" s="219">
        <f t="shared" si="2"/>
        <v>45636.45833</v>
      </c>
      <c r="J129" s="190">
        <f>IFERROR(VLOOKUP(F129, LEVEL_HELPER!$A:$B, 2, 0), "")</f>
        <v>2.5</v>
      </c>
      <c r="K129" s="190">
        <f>IFERROR(VLOOKUP(G129, LEVEL_HELPER!$A:$B, 2, 0), "")</f>
        <v>3</v>
      </c>
      <c r="L129" s="220" t="s">
        <v>943</v>
      </c>
      <c r="M129" s="220" t="s">
        <v>925</v>
      </c>
      <c r="N129" s="190">
        <f t="array" ref="N129">IFERROR(
  INDEX($J$2:$J$543,
    MATCH(A129&amp;TEXT(I129,"yyyy-mm-dd"),
          $A$2:$A$543&amp;TEXT($H$2:$H$543,"yyyy-mm-dd"),
          0)),
"")</f>
        <v>2.5</v>
      </c>
      <c r="O129" s="210">
        <f t="shared" si="3"/>
        <v>3.5</v>
      </c>
      <c r="P129" s="210">
        <f t="shared" ref="P129:Q129" si="139">IF(N129="",0,IF(N129&lt;=2,1,IF(N129&lt;=4,2,IF(N129&lt;=5.5,3,4))))</f>
        <v>2</v>
      </c>
      <c r="Q129" s="210">
        <f t="shared" si="139"/>
        <v>2</v>
      </c>
      <c r="R129" s="210" t="str">
        <f t="shared" si="5"/>
        <v>Progress within level</v>
      </c>
      <c r="S129" s="210">
        <f t="shared" si="6"/>
        <v>1</v>
      </c>
      <c r="T129" s="210"/>
      <c r="U129" s="210"/>
      <c r="V129" s="211" t="s">
        <v>667</v>
      </c>
      <c r="W129" s="210" t="str">
        <f t="shared" si="7"/>
        <v>UI/UX</v>
      </c>
      <c r="X129" s="210" t="str">
        <f t="shared" si="8"/>
        <v>UI/UX, Des</v>
      </c>
      <c r="Y129" s="210" t="str">
        <f t="shared" si="9"/>
        <v>CHORUS</v>
      </c>
      <c r="Z129" s="210"/>
      <c r="AA129" s="210"/>
      <c r="AB129" s="210"/>
      <c r="AC129" s="210"/>
      <c r="AD129" s="210"/>
      <c r="AE129" s="210"/>
      <c r="AF129" s="210"/>
      <c r="AG129" s="210"/>
      <c r="AH129" s="210"/>
      <c r="AI129" s="210"/>
      <c r="AJ129" s="210"/>
      <c r="AK129" s="210"/>
      <c r="AL129" s="210"/>
      <c r="AM129" s="214"/>
      <c r="AN129" s="210"/>
      <c r="AO129" s="210" t="str">
        <f t="shared" si="10"/>
        <v>#N/A</v>
      </c>
      <c r="AP129" s="210" t="str">
        <f t="shared" si="11"/>
        <v>#N/A</v>
      </c>
      <c r="AQ129" s="210" t="str">
        <f t="shared" si="12"/>
        <v>#N/A</v>
      </c>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c r="BU129" s="210"/>
      <c r="BV129" s="210"/>
      <c r="BW129" s="210"/>
      <c r="BX129" s="210"/>
      <c r="BY129" s="210"/>
      <c r="BZ129" s="210"/>
      <c r="CA129" s="210"/>
      <c r="CB129" s="210"/>
      <c r="CC129" s="210"/>
      <c r="CD129" s="210"/>
      <c r="CE129" s="210"/>
      <c r="CF129" s="210"/>
      <c r="CG129" s="210"/>
      <c r="CH129" s="210"/>
      <c r="CI129" s="210"/>
      <c r="CJ129" s="210"/>
      <c r="CK129" s="210"/>
    </row>
    <row r="130">
      <c r="A130" s="222" t="s">
        <v>438</v>
      </c>
      <c r="B130" s="190" t="s">
        <v>439</v>
      </c>
      <c r="C130" s="223" t="s">
        <v>63</v>
      </c>
      <c r="D130" s="223" t="s">
        <v>857</v>
      </c>
      <c r="E130" s="190" t="s">
        <v>21</v>
      </c>
      <c r="F130" s="13" t="s">
        <v>927</v>
      </c>
      <c r="G130" s="13" t="s">
        <v>929</v>
      </c>
      <c r="H130" s="219">
        <f>IFERROR(
  MINIFS(ATTENDANCE_LOG!$F:$F,
         ATTENDANCE_LOG!$A:$A, C130,
         ATTENDANCE_LOG!$B:$B, E130),
"")</f>
        <v>45636.45833</v>
      </c>
      <c r="I130" s="219">
        <f t="shared" si="2"/>
        <v>45636.45833</v>
      </c>
      <c r="J130" s="190">
        <f>IFERROR(VLOOKUP(F130, LEVEL_HELPER!$A:$B, 2, 0), "")</f>
        <v>1</v>
      </c>
      <c r="K130" s="190">
        <f>IFERROR(VLOOKUP(G130, LEVEL_HELPER!$A:$B, 2, 0), "")</f>
        <v>1.5</v>
      </c>
      <c r="L130" s="220" t="s">
        <v>943</v>
      </c>
      <c r="M130" s="220" t="s">
        <v>925</v>
      </c>
      <c r="N130" s="190">
        <f t="array" ref="N130">IFERROR(
  INDEX($J$2:$J$543,
    MATCH(A130&amp;TEXT(I130,"yyyy-mm-dd"),
          $A$2:$A$543&amp;TEXT($H$2:$H$543,"yyyy-mm-dd"),
          0)),
"")</f>
        <v>1</v>
      </c>
      <c r="O130" s="210">
        <f t="shared" si="3"/>
        <v>1.5</v>
      </c>
      <c r="P130" s="210">
        <f t="shared" ref="P130:Q130" si="140">IF(N130="",0,IF(N130&lt;=2,1,IF(N130&lt;=4,2,IF(N130&lt;=5.5,3,4))))</f>
        <v>1</v>
      </c>
      <c r="Q130" s="210">
        <f t="shared" si="140"/>
        <v>1</v>
      </c>
      <c r="R130" s="210" t="str">
        <f t="shared" si="5"/>
        <v>Progress within level</v>
      </c>
      <c r="S130" s="210">
        <f t="shared" si="6"/>
        <v>1</v>
      </c>
      <c r="T130" s="210"/>
      <c r="U130" s="210"/>
      <c r="V130" s="211" t="s">
        <v>683</v>
      </c>
      <c r="W130" s="210" t="str">
        <f t="shared" si="7"/>
        <v>DEV</v>
      </c>
      <c r="X130" s="210" t="str">
        <f t="shared" si="8"/>
        <v>DEV, TA</v>
      </c>
      <c r="Y130" s="210" t="str">
        <f t="shared" si="9"/>
        <v>POC</v>
      </c>
      <c r="Z130" s="210"/>
      <c r="AA130" s="210"/>
      <c r="AB130" s="210"/>
      <c r="AC130" s="210"/>
      <c r="AD130" s="210"/>
      <c r="AE130" s="210"/>
      <c r="AF130" s="210"/>
      <c r="AG130" s="210"/>
      <c r="AH130" s="210"/>
      <c r="AI130" s="210"/>
      <c r="AJ130" s="210"/>
      <c r="AK130" s="210"/>
      <c r="AL130" s="210"/>
      <c r="AM130" s="214"/>
      <c r="AN130" s="210"/>
      <c r="AO130" s="210" t="str">
        <f t="shared" si="10"/>
        <v>#N/A</v>
      </c>
      <c r="AP130" s="210" t="str">
        <f t="shared" si="11"/>
        <v>#N/A</v>
      </c>
      <c r="AQ130" s="210" t="str">
        <f t="shared" si="12"/>
        <v>#N/A</v>
      </c>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c r="BU130" s="210"/>
      <c r="BV130" s="210"/>
      <c r="BW130" s="210"/>
      <c r="BX130" s="210"/>
      <c r="BY130" s="210"/>
      <c r="BZ130" s="210"/>
      <c r="CA130" s="210"/>
      <c r="CB130" s="210"/>
      <c r="CC130" s="210"/>
      <c r="CD130" s="210"/>
      <c r="CE130" s="210"/>
      <c r="CF130" s="210"/>
      <c r="CG130" s="210"/>
      <c r="CH130" s="210"/>
      <c r="CI130" s="210"/>
      <c r="CJ130" s="210"/>
      <c r="CK130" s="210"/>
    </row>
    <row r="131">
      <c r="A131" s="222" t="s">
        <v>599</v>
      </c>
      <c r="B131" s="190" t="s">
        <v>600</v>
      </c>
      <c r="C131" s="223" t="s">
        <v>63</v>
      </c>
      <c r="D131" s="223" t="s">
        <v>857</v>
      </c>
      <c r="E131" s="190" t="s">
        <v>21</v>
      </c>
      <c r="F131" s="13" t="s">
        <v>917</v>
      </c>
      <c r="G131" s="13" t="s">
        <v>935</v>
      </c>
      <c r="H131" s="219">
        <f>IFERROR(
  MINIFS(ATTENDANCE_LOG!$F:$F,
         ATTENDANCE_LOG!$A:$A, C131,
         ATTENDANCE_LOG!$B:$B, E131),
"")</f>
        <v>45636.45833</v>
      </c>
      <c r="I131" s="219">
        <f t="shared" si="2"/>
        <v>45636.45833</v>
      </c>
      <c r="J131" s="190">
        <f>IFERROR(VLOOKUP(F131, LEVEL_HELPER!$A:$B, 2, 0), "")</f>
        <v>2.5</v>
      </c>
      <c r="K131" s="190">
        <f>IFERROR(VLOOKUP(G131, LEVEL_HELPER!$A:$B, 2, 0), "")</f>
        <v>3.5</v>
      </c>
      <c r="L131" s="220" t="s">
        <v>943</v>
      </c>
      <c r="M131" s="220" t="s">
        <v>925</v>
      </c>
      <c r="N131" s="190">
        <f t="array" ref="N131">IFERROR(
  INDEX($J$2:$J$543,
    MATCH(A131&amp;TEXT(I131,"yyyy-mm-dd"),
          $A$2:$A$543&amp;TEXT($H$2:$H$543,"yyyy-mm-dd"),
          0)),
"")</f>
        <v>2.5</v>
      </c>
      <c r="O131" s="210">
        <f t="shared" si="3"/>
        <v>3.5</v>
      </c>
      <c r="P131" s="210">
        <f t="shared" ref="P131:Q131" si="141">IF(N131="",0,IF(N131&lt;=2,1,IF(N131&lt;=4,2,IF(N131&lt;=5.5,3,4))))</f>
        <v>2</v>
      </c>
      <c r="Q131" s="210">
        <f t="shared" si="141"/>
        <v>2</v>
      </c>
      <c r="R131" s="210" t="str">
        <f t="shared" si="5"/>
        <v>Progress within level</v>
      </c>
      <c r="S131" s="210">
        <f t="shared" si="6"/>
        <v>1</v>
      </c>
      <c r="T131" s="210"/>
      <c r="U131" s="210"/>
      <c r="V131" s="211" t="s">
        <v>265</v>
      </c>
      <c r="W131" s="210" t="str">
        <f t="shared" si="7"/>
        <v>DEV</v>
      </c>
      <c r="X131" s="210" t="str">
        <f t="shared" si="8"/>
        <v>DEV, TA</v>
      </c>
      <c r="Y131" s="210" t="str">
        <f t="shared" si="9"/>
        <v>POC</v>
      </c>
      <c r="Z131" s="210"/>
      <c r="AA131" s="210"/>
      <c r="AB131" s="210"/>
      <c r="AC131" s="210"/>
      <c r="AD131" s="210"/>
      <c r="AE131" s="210"/>
      <c r="AF131" s="210"/>
      <c r="AG131" s="210"/>
      <c r="AH131" s="210"/>
      <c r="AI131" s="210"/>
      <c r="AJ131" s="210"/>
      <c r="AK131" s="210"/>
      <c r="AL131" s="210"/>
      <c r="AM131" s="214"/>
      <c r="AN131" s="210"/>
      <c r="AO131" s="210" t="str">
        <f t="shared" si="10"/>
        <v>#N/A</v>
      </c>
      <c r="AP131" s="210" t="str">
        <f t="shared" si="11"/>
        <v>#N/A</v>
      </c>
      <c r="AQ131" s="210" t="str">
        <f t="shared" si="12"/>
        <v>#N/A</v>
      </c>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c r="BU131" s="210"/>
      <c r="BV131" s="210"/>
      <c r="BW131" s="210"/>
      <c r="BX131" s="210"/>
      <c r="BY131" s="210"/>
      <c r="BZ131" s="210"/>
      <c r="CA131" s="210"/>
      <c r="CB131" s="210"/>
      <c r="CC131" s="210"/>
      <c r="CD131" s="210"/>
      <c r="CE131" s="210"/>
      <c r="CF131" s="210"/>
      <c r="CG131" s="210"/>
      <c r="CH131" s="210"/>
      <c r="CI131" s="210"/>
      <c r="CJ131" s="210"/>
      <c r="CK131" s="210"/>
    </row>
    <row r="132">
      <c r="A132" s="222" t="s">
        <v>611</v>
      </c>
      <c r="B132" s="190" t="s">
        <v>612</v>
      </c>
      <c r="C132" s="223" t="s">
        <v>63</v>
      </c>
      <c r="D132" s="223" t="s">
        <v>857</v>
      </c>
      <c r="E132" s="190" t="s">
        <v>21</v>
      </c>
      <c r="F132" s="13" t="s">
        <v>927</v>
      </c>
      <c r="G132" s="13" t="s">
        <v>935</v>
      </c>
      <c r="H132" s="219">
        <f>IFERROR(
  MINIFS(ATTENDANCE_LOG!$F:$F,
         ATTENDANCE_LOG!$A:$A, C132,
         ATTENDANCE_LOG!$B:$B, E132),
"")</f>
        <v>45636.45833</v>
      </c>
      <c r="I132" s="219">
        <f t="shared" si="2"/>
        <v>45636.45833</v>
      </c>
      <c r="J132" s="190">
        <f>IFERROR(VLOOKUP(F132, LEVEL_HELPER!$A:$B, 2, 0), "")</f>
        <v>1</v>
      </c>
      <c r="K132" s="190">
        <f>IFERROR(VLOOKUP(G132, LEVEL_HELPER!$A:$B, 2, 0), "")</f>
        <v>3.5</v>
      </c>
      <c r="L132" s="220" t="s">
        <v>919</v>
      </c>
      <c r="M132" s="220" t="s">
        <v>923</v>
      </c>
      <c r="N132" s="190">
        <f t="array" ref="N132">IFERROR(
  INDEX($J$2:$J$543,
    MATCH(A132&amp;TEXT(I132,"yyyy-mm-dd"),
          $A$2:$A$543&amp;TEXT($H$2:$H$543,"yyyy-mm-dd"),
          0)),
"")</f>
        <v>1</v>
      </c>
      <c r="O132" s="210">
        <f t="shared" si="3"/>
        <v>5</v>
      </c>
      <c r="P132" s="210">
        <f t="shared" ref="P132:Q132" si="142">IF(N132="",0,IF(N132&lt;=2,1,IF(N132&lt;=4,2,IF(N132&lt;=5.5,3,4))))</f>
        <v>1</v>
      </c>
      <c r="Q132" s="210">
        <f t="shared" si="142"/>
        <v>3</v>
      </c>
      <c r="R132" s="210" t="str">
        <f t="shared" si="5"/>
        <v>Lv1 → Lv3 (multi)</v>
      </c>
      <c r="S132" s="210">
        <f t="shared" si="6"/>
        <v>1</v>
      </c>
      <c r="T132" s="210"/>
      <c r="U132" s="210"/>
      <c r="V132" s="211" t="s">
        <v>108</v>
      </c>
      <c r="W132" s="210" t="str">
        <f t="shared" si="7"/>
        <v>DEV</v>
      </c>
      <c r="X132" s="210" t="str">
        <f t="shared" si="8"/>
        <v>DEV, TA</v>
      </c>
      <c r="Y132" s="210" t="str">
        <f t="shared" si="9"/>
        <v>POC</v>
      </c>
      <c r="Z132" s="210"/>
      <c r="AA132" s="210"/>
      <c r="AB132" s="210"/>
      <c r="AC132" s="210"/>
      <c r="AD132" s="210"/>
      <c r="AE132" s="210"/>
      <c r="AF132" s="210"/>
      <c r="AG132" s="210"/>
      <c r="AH132" s="210"/>
      <c r="AI132" s="210"/>
      <c r="AJ132" s="210"/>
      <c r="AK132" s="210"/>
      <c r="AL132" s="210"/>
      <c r="AM132" s="214"/>
      <c r="AN132" s="210"/>
      <c r="AO132" s="210" t="str">
        <f t="shared" si="10"/>
        <v>#N/A</v>
      </c>
      <c r="AP132" s="210" t="str">
        <f t="shared" si="11"/>
        <v>#N/A</v>
      </c>
      <c r="AQ132" s="210" t="str">
        <f t="shared" si="12"/>
        <v>#N/A</v>
      </c>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c r="BU132" s="210"/>
      <c r="BV132" s="210"/>
      <c r="BW132" s="210"/>
      <c r="BX132" s="210"/>
      <c r="BY132" s="210"/>
      <c r="BZ132" s="210"/>
      <c r="CA132" s="210"/>
      <c r="CB132" s="210"/>
      <c r="CC132" s="210"/>
      <c r="CD132" s="210"/>
      <c r="CE132" s="210"/>
      <c r="CF132" s="210"/>
      <c r="CG132" s="210"/>
      <c r="CH132" s="210"/>
      <c r="CI132" s="210"/>
      <c r="CJ132" s="210"/>
      <c r="CK132" s="210"/>
    </row>
    <row r="133">
      <c r="A133" s="216" t="s">
        <v>298</v>
      </c>
      <c r="B133" s="217" t="s">
        <v>299</v>
      </c>
      <c r="C133" s="218" t="s">
        <v>63</v>
      </c>
      <c r="D133" s="218" t="s">
        <v>857</v>
      </c>
      <c r="E133" s="217" t="s">
        <v>22</v>
      </c>
      <c r="F133" s="13" t="s">
        <v>918</v>
      </c>
      <c r="G133" s="13" t="s">
        <v>935</v>
      </c>
      <c r="H133" s="219">
        <f>IFERROR(
  MINIFS(ATTENDANCE_LOG!$F:$F,
         ATTENDANCE_LOG!$A:$A, C133,
         ATTENDANCE_LOG!$B:$B, E133),
"")</f>
        <v>45841.375</v>
      </c>
      <c r="I133" s="219">
        <f t="shared" si="2"/>
        <v>45636.45833</v>
      </c>
      <c r="J133" s="190">
        <f>IFERROR(VLOOKUP(F133, LEVEL_HELPER!$A:$B, 2, 0), "")</f>
        <v>3</v>
      </c>
      <c r="K133" s="190">
        <f>IFERROR(VLOOKUP(G133, LEVEL_HELPER!$A:$B, 2, 0), "")</f>
        <v>3.5</v>
      </c>
      <c r="L133" s="220" t="s">
        <v>943</v>
      </c>
      <c r="M133" s="220" t="s">
        <v>925</v>
      </c>
      <c r="N133" s="190">
        <f t="array" ref="N133">IFERROR(
  INDEX($J$2:$J$543,
    MATCH(A133&amp;TEXT(I133,"yyyy-mm-dd"),
          $A$2:$A$543&amp;TEXT($H$2:$H$543,"yyyy-mm-dd"),
          0)),
"")</f>
        <v>1</v>
      </c>
      <c r="O133" s="210">
        <f t="shared" si="3"/>
        <v>3.5</v>
      </c>
      <c r="P133" s="210">
        <f t="shared" ref="P133:Q133" si="143">IF(N133="",0,IF(N133&lt;=2,1,IF(N133&lt;=4,2,IF(N133&lt;=5.5,3,4))))</f>
        <v>1</v>
      </c>
      <c r="Q133" s="210">
        <f t="shared" si="143"/>
        <v>2</v>
      </c>
      <c r="R133" s="210" t="str">
        <f t="shared" si="5"/>
        <v>Lv1 → Lv2</v>
      </c>
      <c r="S133" s="210">
        <f t="shared" si="6"/>
        <v>0</v>
      </c>
      <c r="T133" s="210"/>
      <c r="U133" s="210"/>
      <c r="V133" s="211" t="s">
        <v>315</v>
      </c>
      <c r="W133" s="210" t="str">
        <f t="shared" si="7"/>
        <v>DEV</v>
      </c>
      <c r="X133" s="210" t="str">
        <f t="shared" si="8"/>
        <v>DEV, TA</v>
      </c>
      <c r="Y133" s="210" t="str">
        <f t="shared" si="9"/>
        <v>TBU</v>
      </c>
      <c r="Z133" s="210"/>
      <c r="AA133" s="210"/>
      <c r="AB133" s="210"/>
      <c r="AC133" s="210"/>
      <c r="AD133" s="210"/>
      <c r="AE133" s="210"/>
      <c r="AF133" s="210"/>
      <c r="AG133" s="210"/>
      <c r="AH133" s="210"/>
      <c r="AI133" s="210"/>
      <c r="AJ133" s="210"/>
      <c r="AK133" s="210"/>
      <c r="AL133" s="210"/>
      <c r="AM133" s="214"/>
      <c r="AN133" s="210"/>
      <c r="AO133" s="210" t="str">
        <f t="shared" si="10"/>
        <v>#N/A</v>
      </c>
      <c r="AP133" s="210" t="str">
        <f t="shared" si="11"/>
        <v>#N/A</v>
      </c>
      <c r="AQ133" s="210" t="str">
        <f t="shared" si="12"/>
        <v>#N/A</v>
      </c>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c r="BU133" s="210"/>
      <c r="BV133" s="210"/>
      <c r="BW133" s="210"/>
      <c r="BX133" s="210"/>
      <c r="BY133" s="210"/>
      <c r="BZ133" s="210"/>
      <c r="CA133" s="210"/>
      <c r="CB133" s="210"/>
      <c r="CC133" s="210"/>
      <c r="CD133" s="210"/>
      <c r="CE133" s="210"/>
      <c r="CF133" s="210"/>
      <c r="CG133" s="210"/>
      <c r="CH133" s="210"/>
      <c r="CI133" s="210"/>
      <c r="CJ133" s="210"/>
      <c r="CK133" s="210"/>
    </row>
    <row r="134">
      <c r="A134" s="222" t="s">
        <v>220</v>
      </c>
      <c r="B134" s="190" t="s">
        <v>221</v>
      </c>
      <c r="C134" s="223" t="s">
        <v>63</v>
      </c>
      <c r="D134" s="223" t="s">
        <v>857</v>
      </c>
      <c r="E134" s="190" t="s">
        <v>22</v>
      </c>
      <c r="F134" s="13" t="s">
        <v>929</v>
      </c>
      <c r="G134" s="13" t="s">
        <v>918</v>
      </c>
      <c r="H134" s="219">
        <f>IFERROR(
  MINIFS(ATTENDANCE_LOG!$F:$F,
         ATTENDANCE_LOG!$A:$A, C134,
         ATTENDANCE_LOG!$B:$B, E134),
"")</f>
        <v>45841.375</v>
      </c>
      <c r="I134" s="219">
        <f t="shared" si="2"/>
        <v>45636.45833</v>
      </c>
      <c r="J134" s="190">
        <f>IFERROR(VLOOKUP(F134, LEVEL_HELPER!$A:$B, 2, 0), "")</f>
        <v>1.5</v>
      </c>
      <c r="K134" s="190">
        <f>IFERROR(VLOOKUP(G134, LEVEL_HELPER!$A:$B, 2, 0), "")</f>
        <v>3</v>
      </c>
      <c r="L134" s="220" t="s">
        <v>943</v>
      </c>
      <c r="M134" s="220" t="s">
        <v>925</v>
      </c>
      <c r="N134" s="190">
        <f t="array" ref="N134">IFERROR(
  INDEX($J$2:$J$543,
    MATCH(A134&amp;TEXT(I134,"yyyy-mm-dd"),
          $A$2:$A$543&amp;TEXT($H$2:$H$543,"yyyy-mm-dd"),
          0)),
"")</f>
        <v>1</v>
      </c>
      <c r="O134" s="210">
        <f t="shared" si="3"/>
        <v>3</v>
      </c>
      <c r="P134" s="210">
        <f t="shared" ref="P134:Q134" si="144">IF(N134="",0,IF(N134&lt;=2,1,IF(N134&lt;=4,2,IF(N134&lt;=5.5,3,4))))</f>
        <v>1</v>
      </c>
      <c r="Q134" s="210">
        <f t="shared" si="144"/>
        <v>2</v>
      </c>
      <c r="R134" s="210" t="str">
        <f t="shared" si="5"/>
        <v>Lv1 → Lv2</v>
      </c>
      <c r="S134" s="210">
        <f t="shared" si="6"/>
        <v>0</v>
      </c>
      <c r="T134" s="210"/>
      <c r="U134" s="210"/>
      <c r="V134" s="211" t="s">
        <v>334</v>
      </c>
      <c r="W134" s="210" t="str">
        <f t="shared" si="7"/>
        <v>DEV</v>
      </c>
      <c r="X134" s="210" t="str">
        <f t="shared" si="8"/>
        <v>DEV, TA</v>
      </c>
      <c r="Y134" s="210" t="str">
        <f t="shared" si="9"/>
        <v>TBU</v>
      </c>
      <c r="Z134" s="210"/>
      <c r="AA134" s="210"/>
      <c r="AB134" s="210"/>
      <c r="AC134" s="210"/>
      <c r="AD134" s="210"/>
      <c r="AE134" s="210"/>
      <c r="AF134" s="210"/>
      <c r="AG134" s="210"/>
      <c r="AH134" s="210"/>
      <c r="AI134" s="210"/>
      <c r="AJ134" s="210"/>
      <c r="AK134" s="210"/>
      <c r="AL134" s="210"/>
      <c r="AM134" s="214"/>
      <c r="AN134" s="210"/>
      <c r="AO134" s="210" t="str">
        <f t="shared" si="10"/>
        <v>#N/A</v>
      </c>
      <c r="AP134" s="210" t="str">
        <f t="shared" si="11"/>
        <v>#N/A</v>
      </c>
      <c r="AQ134" s="210" t="str">
        <f t="shared" si="12"/>
        <v>#N/A</v>
      </c>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c r="BU134" s="210"/>
      <c r="BV134" s="210"/>
      <c r="BW134" s="210"/>
      <c r="BX134" s="210"/>
      <c r="BY134" s="210"/>
      <c r="BZ134" s="210"/>
      <c r="CA134" s="210"/>
      <c r="CB134" s="210"/>
      <c r="CC134" s="210"/>
      <c r="CD134" s="210"/>
      <c r="CE134" s="210"/>
      <c r="CF134" s="210"/>
      <c r="CG134" s="210"/>
      <c r="CH134" s="210"/>
      <c r="CI134" s="210"/>
      <c r="CJ134" s="210"/>
      <c r="CK134" s="210"/>
    </row>
    <row r="135">
      <c r="A135" s="222" t="s">
        <v>234</v>
      </c>
      <c r="B135" s="190" t="s">
        <v>235</v>
      </c>
      <c r="C135" s="223" t="s">
        <v>63</v>
      </c>
      <c r="D135" s="223" t="s">
        <v>857</v>
      </c>
      <c r="E135" s="190" t="s">
        <v>22</v>
      </c>
      <c r="F135" s="13" t="s">
        <v>918</v>
      </c>
      <c r="G135" s="13" t="s">
        <v>935</v>
      </c>
      <c r="H135" s="219">
        <f>IFERROR(
  MINIFS(ATTENDANCE_LOG!$F:$F,
         ATTENDANCE_LOG!$A:$A, C135,
         ATTENDANCE_LOG!$B:$B, E135),
"")</f>
        <v>45841.375</v>
      </c>
      <c r="I135" s="219">
        <f t="shared" si="2"/>
        <v>45636.45833</v>
      </c>
      <c r="J135" s="190">
        <f>IFERROR(VLOOKUP(F135, LEVEL_HELPER!$A:$B, 2, 0), "")</f>
        <v>3</v>
      </c>
      <c r="K135" s="190">
        <f>IFERROR(VLOOKUP(G135, LEVEL_HELPER!$A:$B, 2, 0), "")</f>
        <v>3.5</v>
      </c>
      <c r="L135" s="220" t="s">
        <v>943</v>
      </c>
      <c r="M135" s="220" t="s">
        <v>925</v>
      </c>
      <c r="N135" s="190">
        <f t="array" ref="N135">IFERROR(
  INDEX($J$2:$J$543,
    MATCH(A135&amp;TEXT(I135,"yyyy-mm-dd"),
          $A$2:$A$543&amp;TEXT($H$2:$H$543,"yyyy-mm-dd"),
          0)),
"")</f>
        <v>2.5</v>
      </c>
      <c r="O135" s="210">
        <f t="shared" si="3"/>
        <v>3.5</v>
      </c>
      <c r="P135" s="210">
        <f t="shared" ref="P135:Q135" si="145">IF(N135="",0,IF(N135&lt;=2,1,IF(N135&lt;=4,2,IF(N135&lt;=5.5,3,4))))</f>
        <v>2</v>
      </c>
      <c r="Q135" s="210">
        <f t="shared" si="145"/>
        <v>2</v>
      </c>
      <c r="R135" s="210" t="str">
        <f t="shared" si="5"/>
        <v>Progress within level</v>
      </c>
      <c r="S135" s="210">
        <f t="shared" si="6"/>
        <v>0</v>
      </c>
      <c r="T135" s="210"/>
      <c r="U135" s="210"/>
      <c r="V135" s="211" t="s">
        <v>401</v>
      </c>
      <c r="W135" s="210" t="str">
        <f t="shared" si="7"/>
        <v>DEV</v>
      </c>
      <c r="X135" s="210" t="str">
        <f t="shared" si="8"/>
        <v>DEV, TA</v>
      </c>
      <c r="Y135" s="210" t="str">
        <f t="shared" si="9"/>
        <v>POC</v>
      </c>
      <c r="Z135" s="210"/>
      <c r="AA135" s="210"/>
      <c r="AB135" s="210"/>
      <c r="AC135" s="210"/>
      <c r="AD135" s="210"/>
      <c r="AE135" s="210"/>
      <c r="AF135" s="210"/>
      <c r="AG135" s="210"/>
      <c r="AH135" s="210"/>
      <c r="AI135" s="210"/>
      <c r="AJ135" s="210"/>
      <c r="AK135" s="210"/>
      <c r="AL135" s="210"/>
      <c r="AM135" s="214"/>
      <c r="AN135" s="210"/>
      <c r="AO135" s="210" t="str">
        <f t="shared" si="10"/>
        <v>#N/A</v>
      </c>
      <c r="AP135" s="210" t="str">
        <f t="shared" si="11"/>
        <v>#N/A</v>
      </c>
      <c r="AQ135" s="210" t="str">
        <f t="shared" si="12"/>
        <v>#N/A</v>
      </c>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c r="BU135" s="210"/>
      <c r="BV135" s="210"/>
      <c r="BW135" s="210"/>
      <c r="BX135" s="210"/>
      <c r="BY135" s="210"/>
      <c r="BZ135" s="210"/>
      <c r="CA135" s="210"/>
      <c r="CB135" s="210"/>
      <c r="CC135" s="210"/>
      <c r="CD135" s="210"/>
      <c r="CE135" s="210"/>
      <c r="CF135" s="210"/>
      <c r="CG135" s="210"/>
      <c r="CH135" s="210"/>
      <c r="CI135" s="210"/>
      <c r="CJ135" s="210"/>
      <c r="CK135" s="210"/>
    </row>
    <row r="136">
      <c r="A136" s="222" t="s">
        <v>438</v>
      </c>
      <c r="B136" s="190" t="s">
        <v>439</v>
      </c>
      <c r="C136" s="223" t="s">
        <v>63</v>
      </c>
      <c r="D136" s="223" t="s">
        <v>857</v>
      </c>
      <c r="E136" s="190" t="s">
        <v>22</v>
      </c>
      <c r="F136" s="13" t="s">
        <v>929</v>
      </c>
      <c r="G136" s="190"/>
      <c r="H136" s="219">
        <f>IFERROR(
  MINIFS(ATTENDANCE_LOG!$F:$F,
         ATTENDANCE_LOG!$A:$A, C136,
         ATTENDANCE_LOG!$B:$B, E136),
"")</f>
        <v>45841.375</v>
      </c>
      <c r="I136" s="219">
        <f t="shared" si="2"/>
        <v>45636.45833</v>
      </c>
      <c r="J136" s="190">
        <f>IFERROR(VLOOKUP(F136, LEVEL_HELPER!$A:$B, 2, 0), "")</f>
        <v>1.5</v>
      </c>
      <c r="K136" s="190" t="str">
        <f>IFERROR(VLOOKUP(G136, LEVEL_HELPER!$A:$B, 2, 0), "")</f>
        <v/>
      </c>
      <c r="L136" s="220" t="s">
        <v>943</v>
      </c>
      <c r="M136" s="220" t="s">
        <v>925</v>
      </c>
      <c r="N136" s="190">
        <f t="array" ref="N136">IFERROR(
  INDEX($J$2:$J$543,
    MATCH(A136&amp;TEXT(I136,"yyyy-mm-dd"),
          $A$2:$A$543&amp;TEXT($H$2:$H$543,"yyyy-mm-dd"),
          0)),
"")</f>
        <v>1</v>
      </c>
      <c r="O136" s="210">
        <f t="shared" si="3"/>
        <v>1.5</v>
      </c>
      <c r="P136" s="210">
        <f t="shared" ref="P136:Q136" si="146">IF(N136="",0,IF(N136&lt;=2,1,IF(N136&lt;=4,2,IF(N136&lt;=5.5,3,4))))</f>
        <v>1</v>
      </c>
      <c r="Q136" s="210">
        <f t="shared" si="146"/>
        <v>1</v>
      </c>
      <c r="R136" s="210" t="str">
        <f t="shared" si="5"/>
        <v>Progress within level</v>
      </c>
      <c r="S136" s="210">
        <f t="shared" si="6"/>
        <v>0</v>
      </c>
      <c r="T136" s="210"/>
      <c r="U136" s="210"/>
      <c r="V136" s="211" t="s">
        <v>572</v>
      </c>
      <c r="W136" s="210" t="str">
        <f t="shared" si="7"/>
        <v>DEV</v>
      </c>
      <c r="X136" s="210" t="str">
        <f t="shared" si="8"/>
        <v>DEV, TA</v>
      </c>
      <c r="Y136" s="210" t="str">
        <f t="shared" si="9"/>
        <v>TBU</v>
      </c>
      <c r="Z136" s="210"/>
      <c r="AA136" s="210"/>
      <c r="AB136" s="210"/>
      <c r="AC136" s="210"/>
      <c r="AD136" s="210"/>
      <c r="AE136" s="210"/>
      <c r="AF136" s="210"/>
      <c r="AG136" s="210"/>
      <c r="AH136" s="210"/>
      <c r="AI136" s="210"/>
      <c r="AJ136" s="210"/>
      <c r="AK136" s="210"/>
      <c r="AL136" s="210"/>
      <c r="AM136" s="214"/>
      <c r="AN136" s="210"/>
      <c r="AO136" s="210" t="str">
        <f t="shared" si="10"/>
        <v>#N/A</v>
      </c>
      <c r="AP136" s="210" t="str">
        <f t="shared" si="11"/>
        <v>#N/A</v>
      </c>
      <c r="AQ136" s="210" t="str">
        <f t="shared" si="12"/>
        <v>#N/A</v>
      </c>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c r="BU136" s="210"/>
      <c r="BV136" s="210"/>
      <c r="BW136" s="210"/>
      <c r="BX136" s="210"/>
      <c r="BY136" s="210"/>
      <c r="BZ136" s="210"/>
      <c r="CA136" s="210"/>
      <c r="CB136" s="210"/>
      <c r="CC136" s="210"/>
      <c r="CD136" s="210"/>
      <c r="CE136" s="210"/>
      <c r="CF136" s="210"/>
      <c r="CG136" s="210"/>
      <c r="CH136" s="210"/>
      <c r="CI136" s="210"/>
      <c r="CJ136" s="210"/>
      <c r="CK136" s="210"/>
    </row>
    <row r="137">
      <c r="A137" s="222" t="s">
        <v>599</v>
      </c>
      <c r="B137" s="190" t="s">
        <v>600</v>
      </c>
      <c r="C137" s="223" t="s">
        <v>63</v>
      </c>
      <c r="D137" s="223" t="s">
        <v>857</v>
      </c>
      <c r="E137" s="190" t="s">
        <v>22</v>
      </c>
      <c r="F137" s="13" t="s">
        <v>935</v>
      </c>
      <c r="G137" s="13" t="s">
        <v>935</v>
      </c>
      <c r="H137" s="219">
        <f>IFERROR(
  MINIFS(ATTENDANCE_LOG!$F:$F,
         ATTENDANCE_LOG!$A:$A, C137,
         ATTENDANCE_LOG!$B:$B, E137),
"")</f>
        <v>45841.375</v>
      </c>
      <c r="I137" s="219">
        <f t="shared" si="2"/>
        <v>45636.45833</v>
      </c>
      <c r="J137" s="190">
        <f>IFERROR(VLOOKUP(F137, LEVEL_HELPER!$A:$B, 2, 0), "")</f>
        <v>3.5</v>
      </c>
      <c r="K137" s="190">
        <f>IFERROR(VLOOKUP(G137, LEVEL_HELPER!$A:$B, 2, 0), "")</f>
        <v>3.5</v>
      </c>
      <c r="L137" s="220" t="s">
        <v>943</v>
      </c>
      <c r="M137" s="220" t="s">
        <v>925</v>
      </c>
      <c r="N137" s="190">
        <f t="array" ref="N137">IFERROR(
  INDEX($J$2:$J$543,
    MATCH(A137&amp;TEXT(I137,"yyyy-mm-dd"),
          $A$2:$A$543&amp;TEXT($H$2:$H$543,"yyyy-mm-dd"),
          0)),
"")</f>
        <v>2.5</v>
      </c>
      <c r="O137" s="210">
        <f t="shared" si="3"/>
        <v>3.5</v>
      </c>
      <c r="P137" s="210">
        <f t="shared" ref="P137:Q137" si="147">IF(N137="",0,IF(N137&lt;=2,1,IF(N137&lt;=4,2,IF(N137&lt;=5.5,3,4))))</f>
        <v>2</v>
      </c>
      <c r="Q137" s="210">
        <f t="shared" si="147"/>
        <v>2</v>
      </c>
      <c r="R137" s="210" t="str">
        <f t="shared" si="5"/>
        <v>Progress within level</v>
      </c>
      <c r="S137" s="210">
        <f t="shared" si="6"/>
        <v>0</v>
      </c>
      <c r="T137" s="210"/>
      <c r="U137" s="210"/>
      <c r="V137" s="211" t="s">
        <v>576</v>
      </c>
      <c r="W137" s="210" t="str">
        <f t="shared" si="7"/>
        <v>DEV</v>
      </c>
      <c r="X137" s="210" t="str">
        <f t="shared" si="8"/>
        <v>DEV, TA</v>
      </c>
      <c r="Y137" s="210" t="str">
        <f t="shared" si="9"/>
        <v>POC</v>
      </c>
      <c r="Z137" s="210"/>
      <c r="AA137" s="210"/>
      <c r="AB137" s="210"/>
      <c r="AC137" s="210"/>
      <c r="AD137" s="210"/>
      <c r="AE137" s="210"/>
      <c r="AF137" s="210"/>
      <c r="AG137" s="210"/>
      <c r="AH137" s="210"/>
      <c r="AI137" s="210"/>
      <c r="AJ137" s="210"/>
      <c r="AK137" s="210"/>
      <c r="AL137" s="210"/>
      <c r="AM137" s="214"/>
      <c r="AN137" s="210"/>
      <c r="AO137" s="210" t="str">
        <f t="shared" si="10"/>
        <v>#N/A</v>
      </c>
      <c r="AP137" s="210" t="str">
        <f t="shared" si="11"/>
        <v>#N/A</v>
      </c>
      <c r="AQ137" s="210" t="str">
        <f t="shared" si="12"/>
        <v>#N/A</v>
      </c>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c r="BU137" s="210"/>
      <c r="BV137" s="210"/>
      <c r="BW137" s="210"/>
      <c r="BX137" s="210"/>
      <c r="BY137" s="210"/>
      <c r="BZ137" s="210"/>
      <c r="CA137" s="210"/>
      <c r="CB137" s="210"/>
      <c r="CC137" s="210"/>
      <c r="CD137" s="210"/>
      <c r="CE137" s="210"/>
      <c r="CF137" s="210"/>
      <c r="CG137" s="210"/>
      <c r="CH137" s="210"/>
      <c r="CI137" s="210"/>
      <c r="CJ137" s="210"/>
      <c r="CK137" s="210"/>
    </row>
    <row r="138">
      <c r="A138" s="222" t="s">
        <v>611</v>
      </c>
      <c r="B138" s="190" t="s">
        <v>612</v>
      </c>
      <c r="C138" s="223" t="s">
        <v>63</v>
      </c>
      <c r="D138" s="223" t="s">
        <v>857</v>
      </c>
      <c r="E138" s="190" t="s">
        <v>22</v>
      </c>
      <c r="F138" s="13" t="s">
        <v>935</v>
      </c>
      <c r="G138" s="13" t="s">
        <v>941</v>
      </c>
      <c r="H138" s="219">
        <f>IFERROR(
  MINIFS(ATTENDANCE_LOG!$F:$F,
         ATTENDANCE_LOG!$A:$A, C138,
         ATTENDANCE_LOG!$B:$B, E138),
"")</f>
        <v>45841.375</v>
      </c>
      <c r="I138" s="219">
        <f t="shared" si="2"/>
        <v>45636.45833</v>
      </c>
      <c r="J138" s="190">
        <f>IFERROR(VLOOKUP(F138, LEVEL_HELPER!$A:$B, 2, 0), "")</f>
        <v>3.5</v>
      </c>
      <c r="K138" s="190">
        <f>IFERROR(VLOOKUP(G138, LEVEL_HELPER!$A:$B, 2, 0), "")</f>
        <v>5</v>
      </c>
      <c r="L138" s="220" t="s">
        <v>919</v>
      </c>
      <c r="M138" s="220" t="s">
        <v>923</v>
      </c>
      <c r="N138" s="190">
        <f t="array" ref="N138">IFERROR(
  INDEX($J$2:$J$543,
    MATCH(A138&amp;TEXT(I138,"yyyy-mm-dd"),
          $A$2:$A$543&amp;TEXT($H$2:$H$543,"yyyy-mm-dd"),
          0)),
"")</f>
        <v>1</v>
      </c>
      <c r="O138" s="210">
        <f t="shared" si="3"/>
        <v>5</v>
      </c>
      <c r="P138" s="210">
        <f t="shared" ref="P138:Q138" si="148">IF(N138="",0,IF(N138&lt;=2,1,IF(N138&lt;=4,2,IF(N138&lt;=5.5,3,4))))</f>
        <v>1</v>
      </c>
      <c r="Q138" s="210">
        <f t="shared" si="148"/>
        <v>3</v>
      </c>
      <c r="R138" s="210" t="str">
        <f t="shared" si="5"/>
        <v>Lv1 → Lv3 (multi)</v>
      </c>
      <c r="S138" s="210">
        <f t="shared" si="6"/>
        <v>0</v>
      </c>
      <c r="T138" s="210"/>
      <c r="U138" s="210"/>
      <c r="V138" s="211" t="s">
        <v>309</v>
      </c>
      <c r="W138" s="210" t="str">
        <f t="shared" si="7"/>
        <v>DEV</v>
      </c>
      <c r="X138" s="210" t="str">
        <f t="shared" si="8"/>
        <v>DEV, TA</v>
      </c>
      <c r="Y138" s="210" t="str">
        <f t="shared" si="9"/>
        <v>MOC</v>
      </c>
      <c r="Z138" s="210"/>
      <c r="AA138" s="210"/>
      <c r="AB138" s="210"/>
      <c r="AC138" s="210"/>
      <c r="AD138" s="210"/>
      <c r="AE138" s="210"/>
      <c r="AF138" s="210"/>
      <c r="AG138" s="210"/>
      <c r="AH138" s="210"/>
      <c r="AI138" s="210"/>
      <c r="AJ138" s="210"/>
      <c r="AK138" s="210"/>
      <c r="AL138" s="210"/>
      <c r="AM138" s="214"/>
      <c r="AN138" s="210"/>
      <c r="AO138" s="210" t="str">
        <f t="shared" si="10"/>
        <v>#N/A</v>
      </c>
      <c r="AP138" s="210" t="str">
        <f t="shared" si="11"/>
        <v>#N/A</v>
      </c>
      <c r="AQ138" s="210" t="str">
        <f t="shared" si="12"/>
        <v>#N/A</v>
      </c>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c r="BU138" s="210"/>
      <c r="BV138" s="210"/>
      <c r="BW138" s="210"/>
      <c r="BX138" s="210"/>
      <c r="BY138" s="210"/>
      <c r="BZ138" s="210"/>
      <c r="CA138" s="210"/>
      <c r="CB138" s="210"/>
      <c r="CC138" s="210"/>
      <c r="CD138" s="210"/>
      <c r="CE138" s="210"/>
      <c r="CF138" s="210"/>
      <c r="CG138" s="210"/>
      <c r="CH138" s="210"/>
      <c r="CI138" s="210"/>
      <c r="CJ138" s="210"/>
      <c r="CK138" s="210"/>
    </row>
    <row r="139">
      <c r="A139" s="216" t="s">
        <v>298</v>
      </c>
      <c r="B139" s="217" t="s">
        <v>299</v>
      </c>
      <c r="C139" s="218" t="s">
        <v>63</v>
      </c>
      <c r="D139" s="218" t="s">
        <v>857</v>
      </c>
      <c r="E139" s="217" t="s">
        <v>23</v>
      </c>
      <c r="F139" s="190"/>
      <c r="G139" s="190"/>
      <c r="H139" s="219">
        <f>IFERROR(
  MINIFS(ATTENDANCE_LOG!$F:$F,
         ATTENDANCE_LOG!$A:$A, C139,
         ATTENDANCE_LOG!$B:$B, E139),
"")</f>
        <v>45729.45833</v>
      </c>
      <c r="I139" s="219">
        <f t="shared" si="2"/>
        <v>45636.45833</v>
      </c>
      <c r="J139" s="190" t="str">
        <f>IFERROR(VLOOKUP(F139, LEVEL_HELPER!$A:$B, 2, 0), "")</f>
        <v/>
      </c>
      <c r="K139" s="190" t="str">
        <f>IFERROR(VLOOKUP(G139, LEVEL_HELPER!$A:$B, 2, 0), "")</f>
        <v/>
      </c>
      <c r="L139" s="220" t="s">
        <v>943</v>
      </c>
      <c r="M139" s="220" t="s">
        <v>925</v>
      </c>
      <c r="N139" s="190">
        <f t="array" ref="N139">IFERROR(
  INDEX($J$2:$J$543,
    MATCH(A139&amp;TEXT(I139,"yyyy-mm-dd"),
          $A$2:$A$543&amp;TEXT($H$2:$H$543,"yyyy-mm-dd"),
          0)),
"")</f>
        <v>1</v>
      </c>
      <c r="O139" s="210">
        <f t="shared" si="3"/>
        <v>3.5</v>
      </c>
      <c r="P139" s="210">
        <f t="shared" ref="P139:Q139" si="149">IF(N139="",0,IF(N139&lt;=2,1,IF(N139&lt;=4,2,IF(N139&lt;=5.5,3,4))))</f>
        <v>1</v>
      </c>
      <c r="Q139" s="210">
        <f t="shared" si="149"/>
        <v>2</v>
      </c>
      <c r="R139" s="210" t="str">
        <f t="shared" si="5"/>
        <v>Lv1 → Lv2</v>
      </c>
      <c r="S139" s="210">
        <f t="shared" si="6"/>
        <v>0</v>
      </c>
      <c r="T139" s="210"/>
      <c r="U139" s="210"/>
      <c r="V139" s="211" t="s">
        <v>332</v>
      </c>
      <c r="W139" s="210" t="str">
        <f t="shared" si="7"/>
        <v>DEV</v>
      </c>
      <c r="X139" s="210" t="str">
        <f t="shared" si="8"/>
        <v>DEV, TA</v>
      </c>
      <c r="Y139" s="210" t="str">
        <f t="shared" si="9"/>
        <v>MOC</v>
      </c>
      <c r="Z139" s="210"/>
      <c r="AA139" s="210"/>
      <c r="AB139" s="210"/>
      <c r="AC139" s="210"/>
      <c r="AD139" s="210"/>
      <c r="AE139" s="210"/>
      <c r="AF139" s="210"/>
      <c r="AG139" s="210"/>
      <c r="AH139" s="210"/>
      <c r="AI139" s="210"/>
      <c r="AJ139" s="210"/>
      <c r="AK139" s="210"/>
      <c r="AL139" s="210"/>
      <c r="AM139" s="214"/>
      <c r="AN139" s="210"/>
      <c r="AO139" s="210" t="str">
        <f t="shared" si="10"/>
        <v>#N/A</v>
      </c>
      <c r="AP139" s="210" t="str">
        <f t="shared" si="11"/>
        <v>#N/A</v>
      </c>
      <c r="AQ139" s="210" t="str">
        <f t="shared" si="12"/>
        <v>#N/A</v>
      </c>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c r="BU139" s="210"/>
      <c r="BV139" s="210"/>
      <c r="BW139" s="210"/>
      <c r="BX139" s="210"/>
      <c r="BY139" s="210"/>
      <c r="BZ139" s="210"/>
      <c r="CA139" s="210"/>
      <c r="CB139" s="210"/>
      <c r="CC139" s="210"/>
      <c r="CD139" s="210"/>
      <c r="CE139" s="210"/>
      <c r="CF139" s="210"/>
      <c r="CG139" s="210"/>
      <c r="CH139" s="210"/>
      <c r="CI139" s="210"/>
      <c r="CJ139" s="210"/>
      <c r="CK139" s="210"/>
    </row>
    <row r="140">
      <c r="A140" s="222" t="s">
        <v>220</v>
      </c>
      <c r="B140" s="190" t="s">
        <v>221</v>
      </c>
      <c r="C140" s="223" t="s">
        <v>63</v>
      </c>
      <c r="D140" s="223" t="s">
        <v>857</v>
      </c>
      <c r="E140" s="190" t="s">
        <v>23</v>
      </c>
      <c r="F140" s="190"/>
      <c r="G140" s="190"/>
      <c r="H140" s="219">
        <f>IFERROR(
  MINIFS(ATTENDANCE_LOG!$F:$F,
         ATTENDANCE_LOG!$A:$A, C140,
         ATTENDANCE_LOG!$B:$B, E140),
"")</f>
        <v>45729.45833</v>
      </c>
      <c r="I140" s="219">
        <f t="shared" si="2"/>
        <v>45636.45833</v>
      </c>
      <c r="J140" s="190" t="str">
        <f>IFERROR(VLOOKUP(F140, LEVEL_HELPER!$A:$B, 2, 0), "")</f>
        <v/>
      </c>
      <c r="K140" s="190" t="str">
        <f>IFERROR(VLOOKUP(G140, LEVEL_HELPER!$A:$B, 2, 0), "")</f>
        <v/>
      </c>
      <c r="L140" s="220" t="s">
        <v>943</v>
      </c>
      <c r="M140" s="220" t="s">
        <v>925</v>
      </c>
      <c r="N140" s="190">
        <f t="array" ref="N140">IFERROR(
  INDEX($J$2:$J$543,
    MATCH(A140&amp;TEXT(I140,"yyyy-mm-dd"),
          $A$2:$A$543&amp;TEXT($H$2:$H$543,"yyyy-mm-dd"),
          0)),
"")</f>
        <v>1</v>
      </c>
      <c r="O140" s="210">
        <f t="shared" si="3"/>
        <v>3</v>
      </c>
      <c r="P140" s="210">
        <f t="shared" ref="P140:Q140" si="150">IF(N140="",0,IF(N140&lt;=2,1,IF(N140&lt;=4,2,IF(N140&lt;=5.5,3,4))))</f>
        <v>1</v>
      </c>
      <c r="Q140" s="210">
        <f t="shared" si="150"/>
        <v>2</v>
      </c>
      <c r="R140" s="210" t="str">
        <f t="shared" si="5"/>
        <v>Lv1 → Lv2</v>
      </c>
      <c r="S140" s="210">
        <f t="shared" si="6"/>
        <v>0</v>
      </c>
      <c r="T140" s="210"/>
      <c r="U140" s="210"/>
      <c r="V140" s="211" t="s">
        <v>419</v>
      </c>
      <c r="W140" s="210" t="str">
        <f t="shared" si="7"/>
        <v>DEV</v>
      </c>
      <c r="X140" s="210" t="str">
        <f t="shared" si="8"/>
        <v>DEV, TA</v>
      </c>
      <c r="Y140" s="210" t="str">
        <f t="shared" si="9"/>
        <v>LBU</v>
      </c>
      <c r="Z140" s="210"/>
      <c r="AA140" s="210"/>
      <c r="AB140" s="210"/>
      <c r="AC140" s="210"/>
      <c r="AD140" s="210"/>
      <c r="AE140" s="210"/>
      <c r="AF140" s="210"/>
      <c r="AG140" s="210"/>
      <c r="AH140" s="210"/>
      <c r="AI140" s="210"/>
      <c r="AJ140" s="210"/>
      <c r="AK140" s="210"/>
      <c r="AL140" s="210"/>
      <c r="AM140" s="214"/>
      <c r="AN140" s="210"/>
      <c r="AO140" s="210" t="str">
        <f t="shared" si="10"/>
        <v>#N/A</v>
      </c>
      <c r="AP140" s="210" t="str">
        <f t="shared" si="11"/>
        <v>#N/A</v>
      </c>
      <c r="AQ140" s="210" t="str">
        <f t="shared" si="12"/>
        <v>#N/A</v>
      </c>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c r="BU140" s="210"/>
      <c r="BV140" s="210"/>
      <c r="BW140" s="210"/>
      <c r="BX140" s="210"/>
      <c r="BY140" s="210"/>
      <c r="BZ140" s="210"/>
      <c r="CA140" s="210"/>
      <c r="CB140" s="210"/>
      <c r="CC140" s="210"/>
      <c r="CD140" s="210"/>
      <c r="CE140" s="210"/>
      <c r="CF140" s="210"/>
      <c r="CG140" s="210"/>
      <c r="CH140" s="210"/>
      <c r="CI140" s="210"/>
      <c r="CJ140" s="210"/>
      <c r="CK140" s="210"/>
    </row>
    <row r="141">
      <c r="A141" s="222" t="s">
        <v>234</v>
      </c>
      <c r="B141" s="190" t="s">
        <v>235</v>
      </c>
      <c r="C141" s="223" t="s">
        <v>63</v>
      </c>
      <c r="D141" s="223" t="s">
        <v>857</v>
      </c>
      <c r="E141" s="190" t="s">
        <v>23</v>
      </c>
      <c r="F141" s="190"/>
      <c r="G141" s="190"/>
      <c r="H141" s="219">
        <f>IFERROR(
  MINIFS(ATTENDANCE_LOG!$F:$F,
         ATTENDANCE_LOG!$A:$A, C141,
         ATTENDANCE_LOG!$B:$B, E141),
"")</f>
        <v>45729.45833</v>
      </c>
      <c r="I141" s="219">
        <f t="shared" si="2"/>
        <v>45636.45833</v>
      </c>
      <c r="J141" s="190" t="str">
        <f>IFERROR(VLOOKUP(F141, LEVEL_HELPER!$A:$B, 2, 0), "")</f>
        <v/>
      </c>
      <c r="K141" s="190" t="str">
        <f>IFERROR(VLOOKUP(G141, LEVEL_HELPER!$A:$B, 2, 0), "")</f>
        <v/>
      </c>
      <c r="L141" s="220" t="s">
        <v>943</v>
      </c>
      <c r="M141" s="220" t="s">
        <v>925</v>
      </c>
      <c r="N141" s="190">
        <f t="array" ref="N141">IFERROR(
  INDEX($J$2:$J$543,
    MATCH(A141&amp;TEXT(I141,"yyyy-mm-dd"),
          $A$2:$A$543&amp;TEXT($H$2:$H$543,"yyyy-mm-dd"),
          0)),
"")</f>
        <v>2.5</v>
      </c>
      <c r="O141" s="210">
        <f t="shared" si="3"/>
        <v>3.5</v>
      </c>
      <c r="P141" s="210">
        <f t="shared" ref="P141:Q141" si="151">IF(N141="",0,IF(N141&lt;=2,1,IF(N141&lt;=4,2,IF(N141&lt;=5.5,3,4))))</f>
        <v>2</v>
      </c>
      <c r="Q141" s="210">
        <f t="shared" si="151"/>
        <v>2</v>
      </c>
      <c r="R141" s="210" t="str">
        <f t="shared" si="5"/>
        <v>Progress within level</v>
      </c>
      <c r="S141" s="210">
        <f t="shared" si="6"/>
        <v>0</v>
      </c>
      <c r="T141" s="210"/>
      <c r="U141" s="210"/>
      <c r="V141" s="211" t="s">
        <v>562</v>
      </c>
      <c r="W141" s="210" t="str">
        <f t="shared" si="7"/>
        <v>DEV</v>
      </c>
      <c r="X141" s="210" t="str">
        <f t="shared" si="8"/>
        <v>DEV, TA</v>
      </c>
      <c r="Y141" s="210" t="str">
        <f t="shared" si="9"/>
        <v>MOC</v>
      </c>
      <c r="Z141" s="210"/>
      <c r="AA141" s="210"/>
      <c r="AB141" s="210"/>
      <c r="AC141" s="210"/>
      <c r="AD141" s="210"/>
      <c r="AE141" s="210"/>
      <c r="AF141" s="210"/>
      <c r="AG141" s="210"/>
      <c r="AH141" s="210"/>
      <c r="AI141" s="210"/>
      <c r="AJ141" s="210"/>
      <c r="AK141" s="210"/>
      <c r="AL141" s="210"/>
      <c r="AM141" s="214"/>
      <c r="AN141" s="210"/>
      <c r="AO141" s="210" t="str">
        <f t="shared" si="10"/>
        <v>#N/A</v>
      </c>
      <c r="AP141" s="210" t="str">
        <f t="shared" si="11"/>
        <v>#N/A</v>
      </c>
      <c r="AQ141" s="210" t="str">
        <f t="shared" si="12"/>
        <v>#N/A</v>
      </c>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c r="BU141" s="210"/>
      <c r="BV141" s="210"/>
      <c r="BW141" s="210"/>
      <c r="BX141" s="210"/>
      <c r="BY141" s="210"/>
      <c r="BZ141" s="210"/>
      <c r="CA141" s="210"/>
      <c r="CB141" s="210"/>
      <c r="CC141" s="210"/>
      <c r="CD141" s="210"/>
      <c r="CE141" s="210"/>
      <c r="CF141" s="210"/>
      <c r="CG141" s="210"/>
      <c r="CH141" s="210"/>
      <c r="CI141" s="210"/>
      <c r="CJ141" s="210"/>
      <c r="CK141" s="210"/>
    </row>
    <row r="142">
      <c r="A142" s="222" t="s">
        <v>553</v>
      </c>
      <c r="B142" s="190" t="s">
        <v>554</v>
      </c>
      <c r="C142" s="223" t="s">
        <v>63</v>
      </c>
      <c r="D142" s="223" t="s">
        <v>857</v>
      </c>
      <c r="E142" s="190" t="s">
        <v>23</v>
      </c>
      <c r="F142" s="190"/>
      <c r="G142" s="190"/>
      <c r="H142" s="219">
        <f>IFERROR(
  MINIFS(ATTENDANCE_LOG!$F:$F,
         ATTENDANCE_LOG!$A:$A, C142,
         ATTENDANCE_LOG!$B:$B, E142),
"")</f>
        <v>45729.45833</v>
      </c>
      <c r="I142" s="219">
        <f t="shared" si="2"/>
        <v>45639.58333</v>
      </c>
      <c r="J142" s="190" t="str">
        <f>IFERROR(VLOOKUP(F142, LEVEL_HELPER!$A:$B, 2, 0), "")</f>
        <v/>
      </c>
      <c r="K142" s="190" t="str">
        <f>IFERROR(VLOOKUP(G142, LEVEL_HELPER!$A:$B, 2, 0), "")</f>
        <v/>
      </c>
      <c r="L142" s="220" t="s">
        <v>943</v>
      </c>
      <c r="M142" s="220" t="s">
        <v>925</v>
      </c>
      <c r="N142" s="190">
        <f t="array" ref="N142">IFERROR(
  INDEX($J$2:$J$543,
    MATCH(A142&amp;TEXT(I142,"yyyy-mm-dd"),
          $A$2:$A$543&amp;TEXT($H$2:$H$543,"yyyy-mm-dd"),
          0)),
"")</f>
        <v>1</v>
      </c>
      <c r="O142" s="210">
        <f t="shared" si="3"/>
        <v>5</v>
      </c>
      <c r="P142" s="210">
        <f t="shared" ref="P142:Q142" si="152">IF(N142="",0,IF(N142&lt;=2,1,IF(N142&lt;=4,2,IF(N142&lt;=5.5,3,4))))</f>
        <v>1</v>
      </c>
      <c r="Q142" s="210">
        <f t="shared" si="152"/>
        <v>3</v>
      </c>
      <c r="R142" s="210" t="str">
        <f t="shared" si="5"/>
        <v>Lv1 → Lv3 (multi)</v>
      </c>
      <c r="S142" s="210">
        <f t="shared" si="6"/>
        <v>0</v>
      </c>
      <c r="T142" s="210"/>
      <c r="U142" s="210"/>
      <c r="V142" s="211" t="s">
        <v>693</v>
      </c>
      <c r="W142" s="210" t="str">
        <f t="shared" si="7"/>
        <v>DEV</v>
      </c>
      <c r="X142" s="210" t="str">
        <f t="shared" si="8"/>
        <v>DEV, TA</v>
      </c>
      <c r="Y142" s="210" t="str">
        <f t="shared" si="9"/>
        <v>MOC</v>
      </c>
      <c r="Z142" s="210"/>
      <c r="AA142" s="210"/>
      <c r="AB142" s="210"/>
      <c r="AC142" s="210"/>
      <c r="AD142" s="210"/>
      <c r="AE142" s="210"/>
      <c r="AF142" s="210"/>
      <c r="AG142" s="210"/>
      <c r="AH142" s="210"/>
      <c r="AI142" s="210"/>
      <c r="AJ142" s="210"/>
      <c r="AK142" s="210"/>
      <c r="AL142" s="210"/>
      <c r="AM142" s="214"/>
      <c r="AN142" s="210"/>
      <c r="AO142" s="210" t="str">
        <f t="shared" si="10"/>
        <v>#N/A</v>
      </c>
      <c r="AP142" s="210" t="str">
        <f t="shared" si="11"/>
        <v>#N/A</v>
      </c>
      <c r="AQ142" s="210" t="str">
        <f t="shared" si="12"/>
        <v>#N/A</v>
      </c>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c r="BU142" s="210"/>
      <c r="BV142" s="210"/>
      <c r="BW142" s="210"/>
      <c r="BX142" s="210"/>
      <c r="BY142" s="210"/>
      <c r="BZ142" s="210"/>
      <c r="CA142" s="210"/>
      <c r="CB142" s="210"/>
      <c r="CC142" s="210"/>
      <c r="CD142" s="210"/>
      <c r="CE142" s="210"/>
      <c r="CF142" s="210"/>
      <c r="CG142" s="210"/>
      <c r="CH142" s="210"/>
      <c r="CI142" s="210"/>
      <c r="CJ142" s="210"/>
      <c r="CK142" s="210"/>
    </row>
    <row r="143">
      <c r="A143" s="222" t="s">
        <v>599</v>
      </c>
      <c r="B143" s="190" t="s">
        <v>600</v>
      </c>
      <c r="C143" s="223" t="s">
        <v>63</v>
      </c>
      <c r="D143" s="223" t="s">
        <v>857</v>
      </c>
      <c r="E143" s="190" t="s">
        <v>23</v>
      </c>
      <c r="F143" s="190"/>
      <c r="G143" s="190"/>
      <c r="H143" s="219">
        <f>IFERROR(
  MINIFS(ATTENDANCE_LOG!$F:$F,
         ATTENDANCE_LOG!$A:$A, C143,
         ATTENDANCE_LOG!$B:$B, E143),
"")</f>
        <v>45729.45833</v>
      </c>
      <c r="I143" s="219">
        <f t="shared" si="2"/>
        <v>45636.45833</v>
      </c>
      <c r="J143" s="190" t="str">
        <f>IFERROR(VLOOKUP(F143, LEVEL_HELPER!$A:$B, 2, 0), "")</f>
        <v/>
      </c>
      <c r="K143" s="190" t="str">
        <f>IFERROR(VLOOKUP(G143, LEVEL_HELPER!$A:$B, 2, 0), "")</f>
        <v/>
      </c>
      <c r="L143" s="220" t="s">
        <v>943</v>
      </c>
      <c r="M143" s="220" t="s">
        <v>925</v>
      </c>
      <c r="N143" s="190">
        <f t="array" ref="N143">IFERROR(
  INDEX($J$2:$J$543,
    MATCH(A143&amp;TEXT(I143,"yyyy-mm-dd"),
          $A$2:$A$543&amp;TEXT($H$2:$H$543,"yyyy-mm-dd"),
          0)),
"")</f>
        <v>2.5</v>
      </c>
      <c r="O143" s="210">
        <f t="shared" si="3"/>
        <v>3.5</v>
      </c>
      <c r="P143" s="210">
        <f t="shared" ref="P143:Q143" si="153">IF(N143="",0,IF(N143&lt;=2,1,IF(N143&lt;=4,2,IF(N143&lt;=5.5,3,4))))</f>
        <v>2</v>
      </c>
      <c r="Q143" s="210">
        <f t="shared" si="153"/>
        <v>2</v>
      </c>
      <c r="R143" s="210" t="str">
        <f t="shared" si="5"/>
        <v>Progress within level</v>
      </c>
      <c r="S143" s="210">
        <f t="shared" si="6"/>
        <v>0</v>
      </c>
      <c r="T143" s="210"/>
      <c r="U143" s="210"/>
      <c r="V143" s="211" t="s">
        <v>224</v>
      </c>
      <c r="W143" s="210" t="str">
        <f t="shared" si="7"/>
        <v>DEV</v>
      </c>
      <c r="X143" s="210" t="str">
        <f t="shared" si="8"/>
        <v>DEV, TA</v>
      </c>
      <c r="Y143" s="210" t="str">
        <f t="shared" si="9"/>
        <v>LBU</v>
      </c>
      <c r="Z143" s="210"/>
      <c r="AA143" s="210"/>
      <c r="AB143" s="210"/>
      <c r="AC143" s="210"/>
      <c r="AD143" s="210"/>
      <c r="AE143" s="210"/>
      <c r="AF143" s="210"/>
      <c r="AG143" s="210"/>
      <c r="AH143" s="210"/>
      <c r="AI143" s="210"/>
      <c r="AJ143" s="210"/>
      <c r="AK143" s="210"/>
      <c r="AL143" s="210"/>
      <c r="AM143" s="214"/>
      <c r="AN143" s="210"/>
      <c r="AO143" s="210" t="str">
        <f t="shared" si="10"/>
        <v>#N/A</v>
      </c>
      <c r="AP143" s="210" t="str">
        <f t="shared" si="11"/>
        <v>#N/A</v>
      </c>
      <c r="AQ143" s="210" t="str">
        <f t="shared" si="12"/>
        <v>#N/A</v>
      </c>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c r="BU143" s="210"/>
      <c r="BV143" s="210"/>
      <c r="BW143" s="210"/>
      <c r="BX143" s="210"/>
      <c r="BY143" s="210"/>
      <c r="BZ143" s="210"/>
      <c r="CA143" s="210"/>
      <c r="CB143" s="210"/>
      <c r="CC143" s="210"/>
      <c r="CD143" s="210"/>
      <c r="CE143" s="210"/>
      <c r="CF143" s="210"/>
      <c r="CG143" s="210"/>
      <c r="CH143" s="210"/>
      <c r="CI143" s="210"/>
      <c r="CJ143" s="210"/>
      <c r="CK143" s="210"/>
    </row>
    <row r="144">
      <c r="A144" s="222" t="s">
        <v>611</v>
      </c>
      <c r="B144" s="190" t="s">
        <v>612</v>
      </c>
      <c r="C144" s="223" t="s">
        <v>63</v>
      </c>
      <c r="D144" s="223" t="s">
        <v>857</v>
      </c>
      <c r="E144" s="190" t="s">
        <v>23</v>
      </c>
      <c r="F144" s="190"/>
      <c r="G144" s="190"/>
      <c r="H144" s="219">
        <f>IFERROR(
  MINIFS(ATTENDANCE_LOG!$F:$F,
         ATTENDANCE_LOG!$A:$A, C144,
         ATTENDANCE_LOG!$B:$B, E144),
"")</f>
        <v>45729.45833</v>
      </c>
      <c r="I144" s="219">
        <f t="shared" si="2"/>
        <v>45636.45833</v>
      </c>
      <c r="J144" s="190" t="str">
        <f>IFERROR(VLOOKUP(F144, LEVEL_HELPER!$A:$B, 2, 0), "")</f>
        <v/>
      </c>
      <c r="K144" s="190" t="str">
        <f>IFERROR(VLOOKUP(G144, LEVEL_HELPER!$A:$B, 2, 0), "")</f>
        <v/>
      </c>
      <c r="L144" s="220" t="s">
        <v>919</v>
      </c>
      <c r="M144" s="220" t="s">
        <v>923</v>
      </c>
      <c r="N144" s="190">
        <f t="array" ref="N144">IFERROR(
  INDEX($J$2:$J$543,
    MATCH(A144&amp;TEXT(I144,"yyyy-mm-dd"),
          $A$2:$A$543&amp;TEXT($H$2:$H$543,"yyyy-mm-dd"),
          0)),
"")</f>
        <v>1</v>
      </c>
      <c r="O144" s="210">
        <f t="shared" si="3"/>
        <v>5</v>
      </c>
      <c r="P144" s="210">
        <f t="shared" ref="P144:Q144" si="154">IF(N144="",0,IF(N144&lt;=2,1,IF(N144&lt;=4,2,IF(N144&lt;=5.5,3,4))))</f>
        <v>1</v>
      </c>
      <c r="Q144" s="210">
        <f t="shared" si="154"/>
        <v>3</v>
      </c>
      <c r="R144" s="210" t="str">
        <f t="shared" si="5"/>
        <v>Lv1 → Lv3 (multi)</v>
      </c>
      <c r="S144" s="210">
        <f t="shared" si="6"/>
        <v>0</v>
      </c>
      <c r="T144" s="210"/>
      <c r="U144" s="210"/>
      <c r="V144" s="211" t="s">
        <v>186</v>
      </c>
      <c r="W144" s="210" t="str">
        <f t="shared" si="7"/>
        <v>DEV</v>
      </c>
      <c r="X144" s="210" t="str">
        <f t="shared" si="8"/>
        <v>DEV, TA</v>
      </c>
      <c r="Y144" s="210" t="str">
        <f t="shared" si="9"/>
        <v>MOC</v>
      </c>
      <c r="Z144" s="210"/>
      <c r="AA144" s="210"/>
      <c r="AB144" s="210"/>
      <c r="AC144" s="210"/>
      <c r="AD144" s="210"/>
      <c r="AE144" s="210"/>
      <c r="AF144" s="210"/>
      <c r="AG144" s="210"/>
      <c r="AH144" s="210"/>
      <c r="AI144" s="210"/>
      <c r="AJ144" s="210"/>
      <c r="AK144" s="210"/>
      <c r="AL144" s="210"/>
      <c r="AM144" s="214"/>
      <c r="AN144" s="210"/>
      <c r="AO144" s="210" t="str">
        <f t="shared" si="10"/>
        <v>#N/A</v>
      </c>
      <c r="AP144" s="210" t="str">
        <f t="shared" si="11"/>
        <v>#N/A</v>
      </c>
      <c r="AQ144" s="210" t="str">
        <f t="shared" si="12"/>
        <v>#N/A</v>
      </c>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c r="BU144" s="210"/>
      <c r="BV144" s="210"/>
      <c r="BW144" s="210"/>
      <c r="BX144" s="210"/>
      <c r="BY144" s="210"/>
      <c r="BZ144" s="210"/>
      <c r="CA144" s="210"/>
      <c r="CB144" s="210"/>
      <c r="CC144" s="210"/>
      <c r="CD144" s="210"/>
      <c r="CE144" s="210"/>
      <c r="CF144" s="210"/>
      <c r="CG144" s="210"/>
      <c r="CH144" s="210"/>
      <c r="CI144" s="210"/>
      <c r="CJ144" s="210"/>
      <c r="CK144" s="210"/>
    </row>
    <row r="145">
      <c r="A145" s="241" t="s">
        <v>946</v>
      </c>
      <c r="B145" s="242" t="s">
        <v>723</v>
      </c>
      <c r="C145" s="243" t="s">
        <v>64</v>
      </c>
      <c r="D145" s="243" t="s">
        <v>829</v>
      </c>
      <c r="E145" s="242" t="s">
        <v>21</v>
      </c>
      <c r="F145" s="13" t="s">
        <v>927</v>
      </c>
      <c r="G145" s="13" t="s">
        <v>927</v>
      </c>
      <c r="H145" s="219">
        <f>IFERROR(
  MINIFS(ATTENDANCE_LOG!$F:$F,
         ATTENDANCE_LOG!$A:$A, C145,
         ATTENDANCE_LOG!$B:$B, E145),
"")</f>
        <v>45635.4375</v>
      </c>
      <c r="I145" s="219">
        <f t="shared" si="2"/>
        <v>45635.4375</v>
      </c>
      <c r="J145" s="190">
        <f>IFERROR(VLOOKUP(F145, LEVEL_HELPER!$A:$B, 2, 0), "")</f>
        <v>1</v>
      </c>
      <c r="K145" s="190">
        <f>IFERROR(VLOOKUP(G145, LEVEL_HELPER!$A:$B, 2, 0), "")</f>
        <v>1</v>
      </c>
      <c r="L145" s="220" t="s">
        <v>919</v>
      </c>
      <c r="M145" s="220" t="s">
        <v>923</v>
      </c>
      <c r="N145" s="190">
        <f t="array" ref="N145">IFERROR(
  INDEX($J$2:$J$543,
    MATCH(A145&amp;TEXT(I145,"yyyy-mm-dd"),
          $A$2:$A$543&amp;TEXT($H$2:$H$543,"yyyy-mm-dd"),
          0)),
"")</f>
        <v>1</v>
      </c>
      <c r="O145" s="210">
        <f t="shared" si="3"/>
        <v>1</v>
      </c>
      <c r="P145" s="210">
        <f t="shared" ref="P145:Q145" si="155">IF(N145="",0,IF(N145&lt;=2,1,IF(N145&lt;=4,2,IF(N145&lt;=5.5,3,4))))</f>
        <v>1</v>
      </c>
      <c r="Q145" s="210">
        <f t="shared" si="155"/>
        <v>1</v>
      </c>
      <c r="R145" s="210" t="str">
        <f t="shared" si="5"/>
        <v>No Progress</v>
      </c>
      <c r="S145" s="210">
        <f t="shared" si="6"/>
        <v>1</v>
      </c>
      <c r="T145" s="210"/>
      <c r="U145" s="210"/>
      <c r="V145" s="211" t="s">
        <v>382</v>
      </c>
      <c r="W145" s="210" t="str">
        <f t="shared" si="7"/>
        <v>DEV</v>
      </c>
      <c r="X145" s="210" t="str">
        <f t="shared" si="8"/>
        <v>DEV, TA</v>
      </c>
      <c r="Y145" s="210" t="str">
        <f t="shared" si="9"/>
        <v>MOC</v>
      </c>
      <c r="Z145" s="210"/>
      <c r="AA145" s="210"/>
      <c r="AB145" s="210"/>
      <c r="AC145" s="210"/>
      <c r="AD145" s="210"/>
      <c r="AE145" s="210"/>
      <c r="AF145" s="210"/>
      <c r="AG145" s="210"/>
      <c r="AH145" s="210"/>
      <c r="AI145" s="210"/>
      <c r="AJ145" s="210"/>
      <c r="AK145" s="210"/>
      <c r="AL145" s="210"/>
      <c r="AM145" s="214"/>
      <c r="AN145" s="210"/>
      <c r="AO145" s="210" t="str">
        <f t="shared" si="10"/>
        <v>#N/A</v>
      </c>
      <c r="AP145" s="210" t="str">
        <f t="shared" si="11"/>
        <v>#N/A</v>
      </c>
      <c r="AQ145" s="210" t="str">
        <f t="shared" si="12"/>
        <v>#N/A</v>
      </c>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c r="BU145" s="210"/>
      <c r="BV145" s="210"/>
      <c r="BW145" s="210"/>
      <c r="BX145" s="210"/>
      <c r="BY145" s="210"/>
      <c r="BZ145" s="210"/>
      <c r="CA145" s="210"/>
      <c r="CB145" s="210"/>
      <c r="CC145" s="210"/>
      <c r="CD145" s="210"/>
      <c r="CE145" s="210"/>
      <c r="CF145" s="210"/>
      <c r="CG145" s="210"/>
      <c r="CH145" s="210"/>
      <c r="CI145" s="210"/>
      <c r="CJ145" s="210"/>
      <c r="CK145" s="210"/>
    </row>
    <row r="146">
      <c r="A146" s="222" t="s">
        <v>317</v>
      </c>
      <c r="B146" s="190" t="s">
        <v>318</v>
      </c>
      <c r="C146" s="223" t="s">
        <v>64</v>
      </c>
      <c r="D146" s="223" t="s">
        <v>829</v>
      </c>
      <c r="E146" s="190" t="s">
        <v>21</v>
      </c>
      <c r="F146" s="13" t="s">
        <v>927</v>
      </c>
      <c r="G146" s="13" t="s">
        <v>927</v>
      </c>
      <c r="H146" s="219">
        <f>IFERROR(
  MINIFS(ATTENDANCE_LOG!$F:$F,
         ATTENDANCE_LOG!$A:$A, C146,
         ATTENDANCE_LOG!$B:$B, E146),
"")</f>
        <v>45635.4375</v>
      </c>
      <c r="I146" s="219">
        <f t="shared" si="2"/>
        <v>45635.4375</v>
      </c>
      <c r="J146" s="190">
        <f>IFERROR(VLOOKUP(F146, LEVEL_HELPER!$A:$B, 2, 0), "")</f>
        <v>1</v>
      </c>
      <c r="K146" s="190">
        <f>IFERROR(VLOOKUP(G146, LEVEL_HELPER!$A:$B, 2, 0), "")</f>
        <v>1</v>
      </c>
      <c r="L146" s="220" t="s">
        <v>919</v>
      </c>
      <c r="M146" s="220" t="s">
        <v>925</v>
      </c>
      <c r="N146" s="190">
        <f t="array" ref="N146">IFERROR(
  INDEX($J$2:$J$543,
    MATCH(A146&amp;TEXT(I146,"yyyy-mm-dd"),
          $A$2:$A$543&amp;TEXT($H$2:$H$543,"yyyy-mm-dd"),
          0)),
"")</f>
        <v>1</v>
      </c>
      <c r="O146" s="210">
        <f t="shared" si="3"/>
        <v>1</v>
      </c>
      <c r="P146" s="210">
        <f t="shared" ref="P146:Q146" si="156">IF(N146="",0,IF(N146&lt;=2,1,IF(N146&lt;=4,2,IF(N146&lt;=5.5,3,4))))</f>
        <v>1</v>
      </c>
      <c r="Q146" s="210">
        <f t="shared" si="156"/>
        <v>1</v>
      </c>
      <c r="R146" s="210" t="str">
        <f t="shared" si="5"/>
        <v>No Progress</v>
      </c>
      <c r="S146" s="210">
        <f t="shared" si="6"/>
        <v>1</v>
      </c>
      <c r="T146" s="210"/>
      <c r="U146" s="210"/>
      <c r="V146" s="211" t="s">
        <v>425</v>
      </c>
      <c r="W146" s="210" t="str">
        <f t="shared" si="7"/>
        <v>DEV</v>
      </c>
      <c r="X146" s="210" t="str">
        <f t="shared" si="8"/>
        <v>DEV, TA</v>
      </c>
      <c r="Y146" s="210" t="str">
        <f t="shared" si="9"/>
        <v>LBU</v>
      </c>
      <c r="Z146" s="210"/>
      <c r="AA146" s="210"/>
      <c r="AB146" s="210"/>
      <c r="AC146" s="210"/>
      <c r="AD146" s="210"/>
      <c r="AE146" s="210"/>
      <c r="AF146" s="210"/>
      <c r="AG146" s="210"/>
      <c r="AH146" s="210"/>
      <c r="AI146" s="210"/>
      <c r="AJ146" s="210"/>
      <c r="AK146" s="210"/>
      <c r="AL146" s="210"/>
      <c r="AM146" s="214"/>
      <c r="AN146" s="210"/>
      <c r="AO146" s="210" t="str">
        <f t="shared" si="10"/>
        <v>#N/A</v>
      </c>
      <c r="AP146" s="210" t="str">
        <f t="shared" si="11"/>
        <v>#N/A</v>
      </c>
      <c r="AQ146" s="210" t="str">
        <f t="shared" si="12"/>
        <v>#N/A</v>
      </c>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c r="BU146" s="210"/>
      <c r="BV146" s="210"/>
      <c r="BW146" s="210"/>
      <c r="BX146" s="210"/>
      <c r="BY146" s="210"/>
      <c r="BZ146" s="210"/>
      <c r="CA146" s="210"/>
      <c r="CB146" s="210"/>
      <c r="CC146" s="210"/>
      <c r="CD146" s="210"/>
      <c r="CE146" s="210"/>
      <c r="CF146" s="210"/>
      <c r="CG146" s="210"/>
      <c r="CH146" s="210"/>
      <c r="CI146" s="210"/>
      <c r="CJ146" s="210"/>
      <c r="CK146" s="210"/>
    </row>
    <row r="147">
      <c r="A147" s="222" t="s">
        <v>342</v>
      </c>
      <c r="B147" s="190" t="s">
        <v>343</v>
      </c>
      <c r="C147" s="223" t="s">
        <v>64</v>
      </c>
      <c r="D147" s="223" t="s">
        <v>829</v>
      </c>
      <c r="E147" s="190" t="s">
        <v>21</v>
      </c>
      <c r="F147" s="13" t="s">
        <v>927</v>
      </c>
      <c r="G147" s="13" t="s">
        <v>927</v>
      </c>
      <c r="H147" s="219">
        <f>IFERROR(
  MINIFS(ATTENDANCE_LOG!$F:$F,
         ATTENDANCE_LOG!$A:$A, C147,
         ATTENDANCE_LOG!$B:$B, E147),
"")</f>
        <v>45635.4375</v>
      </c>
      <c r="I147" s="219">
        <f t="shared" si="2"/>
        <v>45635.4375</v>
      </c>
      <c r="J147" s="190">
        <f>IFERROR(VLOOKUP(F147, LEVEL_HELPER!$A:$B, 2, 0), "")</f>
        <v>1</v>
      </c>
      <c r="K147" s="190">
        <f>IFERROR(VLOOKUP(G147, LEVEL_HELPER!$A:$B, 2, 0), "")</f>
        <v>1</v>
      </c>
      <c r="L147" s="220" t="s">
        <v>919</v>
      </c>
      <c r="M147" s="220" t="s">
        <v>924</v>
      </c>
      <c r="N147" s="190">
        <f t="array" ref="N147">IFERROR(
  INDEX($J$2:$J$543,
    MATCH(A147&amp;TEXT(I147,"yyyy-mm-dd"),
          $A$2:$A$543&amp;TEXT($H$2:$H$543,"yyyy-mm-dd"),
          0)),
"")</f>
        <v>1</v>
      </c>
      <c r="O147" s="210">
        <f t="shared" si="3"/>
        <v>1</v>
      </c>
      <c r="P147" s="210">
        <f t="shared" ref="P147:Q147" si="157">IF(N147="",0,IF(N147&lt;=2,1,IF(N147&lt;=4,2,IF(N147&lt;=5.5,3,4))))</f>
        <v>1</v>
      </c>
      <c r="Q147" s="210">
        <f t="shared" si="157"/>
        <v>1</v>
      </c>
      <c r="R147" s="210" t="str">
        <f t="shared" si="5"/>
        <v>No Progress</v>
      </c>
      <c r="S147" s="210">
        <f t="shared" si="6"/>
        <v>1</v>
      </c>
      <c r="T147" s="210"/>
      <c r="U147" s="210"/>
      <c r="V147" s="211" t="s">
        <v>431</v>
      </c>
      <c r="W147" s="210" t="str">
        <f t="shared" si="7"/>
        <v>DEV</v>
      </c>
      <c r="X147" s="210" t="str">
        <f t="shared" si="8"/>
        <v>DEV, TA</v>
      </c>
      <c r="Y147" s="210" t="str">
        <f t="shared" si="9"/>
        <v>MOC</v>
      </c>
      <c r="Z147" s="210"/>
      <c r="AA147" s="210"/>
      <c r="AB147" s="210"/>
      <c r="AC147" s="210"/>
      <c r="AD147" s="210"/>
      <c r="AE147" s="210"/>
      <c r="AF147" s="210"/>
      <c r="AG147" s="210"/>
      <c r="AH147" s="210"/>
      <c r="AI147" s="210"/>
      <c r="AJ147" s="210"/>
      <c r="AK147" s="210"/>
      <c r="AL147" s="210"/>
      <c r="AM147" s="214"/>
      <c r="AN147" s="210"/>
      <c r="AO147" s="210" t="str">
        <f t="shared" si="10"/>
        <v>#N/A</v>
      </c>
      <c r="AP147" s="210" t="str">
        <f t="shared" si="11"/>
        <v>#N/A</v>
      </c>
      <c r="AQ147" s="210" t="str">
        <f t="shared" si="12"/>
        <v>#N/A</v>
      </c>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c r="BU147" s="210"/>
      <c r="BV147" s="210"/>
      <c r="BW147" s="210"/>
      <c r="BX147" s="210"/>
      <c r="BY147" s="210"/>
      <c r="BZ147" s="210"/>
      <c r="CA147" s="210"/>
      <c r="CB147" s="210"/>
      <c r="CC147" s="210"/>
      <c r="CD147" s="210"/>
      <c r="CE147" s="210"/>
      <c r="CF147" s="210"/>
      <c r="CG147" s="210"/>
      <c r="CH147" s="210"/>
      <c r="CI147" s="210"/>
      <c r="CJ147" s="210"/>
      <c r="CK147" s="210"/>
    </row>
    <row r="148">
      <c r="A148" s="222" t="s">
        <v>370</v>
      </c>
      <c r="B148" s="190" t="s">
        <v>371</v>
      </c>
      <c r="C148" s="223" t="s">
        <v>64</v>
      </c>
      <c r="D148" s="223" t="s">
        <v>829</v>
      </c>
      <c r="E148" s="190" t="s">
        <v>21</v>
      </c>
      <c r="F148" s="13" t="s">
        <v>927</v>
      </c>
      <c r="G148" s="13" t="s">
        <v>927</v>
      </c>
      <c r="H148" s="219">
        <f>IFERROR(
  MINIFS(ATTENDANCE_LOG!$F:$F,
         ATTENDANCE_LOG!$A:$A, C148,
         ATTENDANCE_LOG!$B:$B, E148),
"")</f>
        <v>45635.4375</v>
      </c>
      <c r="I148" s="219">
        <f t="shared" si="2"/>
        <v>45635.4375</v>
      </c>
      <c r="J148" s="190">
        <f>IFERROR(VLOOKUP(F148, LEVEL_HELPER!$A:$B, 2, 0), "")</f>
        <v>1</v>
      </c>
      <c r="K148" s="190">
        <f>IFERROR(VLOOKUP(G148, LEVEL_HELPER!$A:$B, 2, 0), "")</f>
        <v>1</v>
      </c>
      <c r="L148" s="220" t="s">
        <v>919</v>
      </c>
      <c r="M148" s="220" t="s">
        <v>925</v>
      </c>
      <c r="N148" s="190">
        <f t="array" ref="N148">IFERROR(
  INDEX($J$2:$J$543,
    MATCH(A148&amp;TEXT(I148,"yyyy-mm-dd"),
          $A$2:$A$543&amp;TEXT($H$2:$H$543,"yyyy-mm-dd"),
          0)),
"")</f>
        <v>1</v>
      </c>
      <c r="O148" s="210">
        <f t="shared" si="3"/>
        <v>1</v>
      </c>
      <c r="P148" s="210">
        <f t="shared" ref="P148:Q148" si="158">IF(N148="",0,IF(N148&lt;=2,1,IF(N148&lt;=4,2,IF(N148&lt;=5.5,3,4))))</f>
        <v>1</v>
      </c>
      <c r="Q148" s="210">
        <f t="shared" si="158"/>
        <v>1</v>
      </c>
      <c r="R148" s="210" t="str">
        <f t="shared" si="5"/>
        <v>No Progress</v>
      </c>
      <c r="S148" s="210">
        <f t="shared" si="6"/>
        <v>1</v>
      </c>
      <c r="T148" s="210"/>
      <c r="U148" s="210"/>
      <c r="V148" s="211" t="s">
        <v>453</v>
      </c>
      <c r="W148" s="210" t="str">
        <f t="shared" si="7"/>
        <v>DEV</v>
      </c>
      <c r="X148" s="210" t="str">
        <f t="shared" si="8"/>
        <v>DEV, TA</v>
      </c>
      <c r="Y148" s="210" t="str">
        <f t="shared" si="9"/>
        <v>MOC</v>
      </c>
      <c r="Z148" s="210"/>
      <c r="AA148" s="210"/>
      <c r="AB148" s="210"/>
      <c r="AC148" s="210"/>
      <c r="AD148" s="210"/>
      <c r="AE148" s="210"/>
      <c r="AF148" s="210"/>
      <c r="AG148" s="210"/>
      <c r="AH148" s="210"/>
      <c r="AI148" s="210"/>
      <c r="AJ148" s="210"/>
      <c r="AK148" s="210"/>
      <c r="AL148" s="210"/>
      <c r="AM148" s="214"/>
      <c r="AN148" s="210"/>
      <c r="AO148" s="210" t="str">
        <f t="shared" si="10"/>
        <v>#N/A</v>
      </c>
      <c r="AP148" s="210" t="str">
        <f t="shared" si="11"/>
        <v>#N/A</v>
      </c>
      <c r="AQ148" s="210" t="str">
        <f t="shared" si="12"/>
        <v>#N/A</v>
      </c>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c r="BU148" s="210"/>
      <c r="BV148" s="210"/>
      <c r="BW148" s="210"/>
      <c r="BX148" s="210"/>
      <c r="BY148" s="210"/>
      <c r="BZ148" s="210"/>
      <c r="CA148" s="210"/>
      <c r="CB148" s="210"/>
      <c r="CC148" s="210"/>
      <c r="CD148" s="210"/>
      <c r="CE148" s="210"/>
      <c r="CF148" s="210"/>
      <c r="CG148" s="210"/>
      <c r="CH148" s="210"/>
      <c r="CI148" s="210"/>
      <c r="CJ148" s="210"/>
      <c r="CK148" s="210"/>
    </row>
    <row r="149">
      <c r="A149" s="222" t="s">
        <v>717</v>
      </c>
      <c r="B149" s="190" t="s">
        <v>718</v>
      </c>
      <c r="C149" s="223" t="s">
        <v>64</v>
      </c>
      <c r="D149" s="223" t="s">
        <v>829</v>
      </c>
      <c r="E149" s="190" t="s">
        <v>21</v>
      </c>
      <c r="F149" s="13" t="s">
        <v>932</v>
      </c>
      <c r="G149" s="13" t="s">
        <v>917</v>
      </c>
      <c r="H149" s="219">
        <f>IFERROR(
  MINIFS(ATTENDANCE_LOG!$F:$F,
         ATTENDANCE_LOG!$A:$A, C149,
         ATTENDANCE_LOG!$B:$B, E149),
"")</f>
        <v>45635.4375</v>
      </c>
      <c r="I149" s="219">
        <f t="shared" si="2"/>
        <v>45635.4375</v>
      </c>
      <c r="J149" s="190">
        <f>IFERROR(VLOOKUP(F149, LEVEL_HELPER!$A:$B, 2, 0), "")</f>
        <v>4.5</v>
      </c>
      <c r="K149" s="190">
        <f>IFERROR(VLOOKUP(G149, LEVEL_HELPER!$A:$B, 2, 0), "")</f>
        <v>2.5</v>
      </c>
      <c r="L149" s="220" t="s">
        <v>919</v>
      </c>
      <c r="M149" s="220" t="s">
        <v>925</v>
      </c>
      <c r="N149" s="190">
        <f t="array" ref="N149">IFERROR(
  INDEX($J$2:$J$543,
    MATCH(A149&amp;TEXT(I149,"yyyy-mm-dd"),
          $A$2:$A$543&amp;TEXT($H$2:$H$543,"yyyy-mm-dd"),
          0)),
"")</f>
        <v>4.5</v>
      </c>
      <c r="O149" s="210">
        <f t="shared" si="3"/>
        <v>2.5</v>
      </c>
      <c r="P149" s="210">
        <f t="shared" ref="P149:Q149" si="159">IF(N149="",0,IF(N149&lt;=2,1,IF(N149&lt;=4,2,IF(N149&lt;=5.5,3,4))))</f>
        <v>3</v>
      </c>
      <c r="Q149" s="210">
        <f t="shared" si="159"/>
        <v>2</v>
      </c>
      <c r="R149" s="210" t="str">
        <f t="shared" si="5"/>
        <v>Regressed</v>
      </c>
      <c r="S149" s="210">
        <f t="shared" si="6"/>
        <v>1</v>
      </c>
      <c r="T149" s="210"/>
      <c r="U149" s="210"/>
      <c r="V149" s="211" t="s">
        <v>492</v>
      </c>
      <c r="W149" s="210" t="str">
        <f t="shared" si="7"/>
        <v>DEV</v>
      </c>
      <c r="X149" s="210" t="str">
        <f t="shared" si="8"/>
        <v>DEV, TA</v>
      </c>
      <c r="Y149" s="210" t="str">
        <f t="shared" si="9"/>
        <v>LBU</v>
      </c>
      <c r="Z149" s="210"/>
      <c r="AA149" s="210"/>
      <c r="AB149" s="210"/>
      <c r="AC149" s="210"/>
      <c r="AD149" s="210"/>
      <c r="AE149" s="210"/>
      <c r="AF149" s="210"/>
      <c r="AG149" s="210"/>
      <c r="AH149" s="210"/>
      <c r="AI149" s="210"/>
      <c r="AJ149" s="210"/>
      <c r="AK149" s="210"/>
      <c r="AL149" s="210"/>
      <c r="AM149" s="214"/>
      <c r="AN149" s="210"/>
      <c r="AO149" s="210" t="str">
        <f t="shared" si="10"/>
        <v>#N/A</v>
      </c>
      <c r="AP149" s="210" t="str">
        <f t="shared" si="11"/>
        <v>#N/A</v>
      </c>
      <c r="AQ149" s="210" t="str">
        <f t="shared" si="12"/>
        <v>#N/A</v>
      </c>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c r="BU149" s="210"/>
      <c r="BV149" s="210"/>
      <c r="BW149" s="210"/>
      <c r="BX149" s="210"/>
      <c r="BY149" s="210"/>
      <c r="BZ149" s="210"/>
      <c r="CA149" s="210"/>
      <c r="CB149" s="210"/>
      <c r="CC149" s="210"/>
      <c r="CD149" s="210"/>
      <c r="CE149" s="210"/>
      <c r="CF149" s="210"/>
      <c r="CG149" s="210"/>
      <c r="CH149" s="210"/>
      <c r="CI149" s="210"/>
      <c r="CJ149" s="210"/>
      <c r="CK149" s="210"/>
    </row>
    <row r="150">
      <c r="A150" s="216" t="s">
        <v>149</v>
      </c>
      <c r="B150" s="217" t="s">
        <v>150</v>
      </c>
      <c r="C150" s="218" t="s">
        <v>65</v>
      </c>
      <c r="D150" s="218" t="s">
        <v>858</v>
      </c>
      <c r="E150" s="217" t="s">
        <v>21</v>
      </c>
      <c r="F150" s="13" t="s">
        <v>927</v>
      </c>
      <c r="G150" s="13" t="s">
        <v>917</v>
      </c>
      <c r="H150" s="219">
        <f>IFERROR(
  MINIFS(ATTENDANCE_LOG!$F:$F,
         ATTENDANCE_LOG!$A:$A, C150,
         ATTENDANCE_LOG!$B:$B, E150),
"")</f>
        <v>45637.375</v>
      </c>
      <c r="I150" s="219">
        <f t="shared" si="2"/>
        <v>45637.375</v>
      </c>
      <c r="J150" s="190">
        <f>IFERROR(VLOOKUP(F150, LEVEL_HELPER!$A:$B, 2, 0), "")</f>
        <v>1</v>
      </c>
      <c r="K150" s="190">
        <f>IFERROR(VLOOKUP(G150, LEVEL_HELPER!$A:$B, 2, 0), "")</f>
        <v>2.5</v>
      </c>
      <c r="L150" s="220" t="s">
        <v>919</v>
      </c>
      <c r="M150" s="220" t="s">
        <v>925</v>
      </c>
      <c r="N150" s="190">
        <f t="array" ref="N150">IFERROR(
  INDEX($J$2:$J$543,
    MATCH(A150&amp;TEXT(I150,"yyyy-mm-dd"),
          $A$2:$A$543&amp;TEXT($H$2:$H$543,"yyyy-mm-dd"),
          0)),
"")</f>
        <v>1</v>
      </c>
      <c r="O150" s="210">
        <f t="shared" si="3"/>
        <v>2.5</v>
      </c>
      <c r="P150" s="210">
        <f t="shared" ref="P150:Q150" si="160">IF(N150="",0,IF(N150&lt;=2,1,IF(N150&lt;=4,2,IF(N150&lt;=5.5,3,4))))</f>
        <v>1</v>
      </c>
      <c r="Q150" s="210">
        <f t="shared" si="160"/>
        <v>2</v>
      </c>
      <c r="R150" s="210" t="str">
        <f t="shared" si="5"/>
        <v>Lv1 → Lv2</v>
      </c>
      <c r="S150" s="210">
        <f t="shared" si="6"/>
        <v>1</v>
      </c>
      <c r="T150" s="210"/>
      <c r="U150" s="210"/>
      <c r="V150" s="211" t="s">
        <v>591</v>
      </c>
      <c r="W150" s="210" t="str">
        <f t="shared" si="7"/>
        <v>DEV</v>
      </c>
      <c r="X150" s="210" t="str">
        <f t="shared" si="8"/>
        <v>DEV, TA</v>
      </c>
      <c r="Y150" s="210" t="str">
        <f t="shared" si="9"/>
        <v>LBU</v>
      </c>
      <c r="Z150" s="210"/>
      <c r="AA150" s="210"/>
      <c r="AB150" s="210"/>
      <c r="AC150" s="210"/>
      <c r="AD150" s="210"/>
      <c r="AE150" s="210"/>
      <c r="AF150" s="210"/>
      <c r="AG150" s="210"/>
      <c r="AH150" s="210"/>
      <c r="AI150" s="210"/>
      <c r="AJ150" s="210"/>
      <c r="AK150" s="210"/>
      <c r="AL150" s="210"/>
      <c r="AM150" s="214"/>
      <c r="AN150" s="210"/>
      <c r="AO150" s="210" t="str">
        <f t="shared" si="10"/>
        <v>#N/A</v>
      </c>
      <c r="AP150" s="210" t="str">
        <f t="shared" si="11"/>
        <v>#N/A</v>
      </c>
      <c r="AQ150" s="210" t="str">
        <f t="shared" si="12"/>
        <v>#N/A</v>
      </c>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c r="BU150" s="210"/>
      <c r="BV150" s="210"/>
      <c r="BW150" s="210"/>
      <c r="BX150" s="210"/>
      <c r="BY150" s="210"/>
      <c r="BZ150" s="210"/>
      <c r="CA150" s="210"/>
      <c r="CB150" s="210"/>
      <c r="CC150" s="210"/>
      <c r="CD150" s="210"/>
      <c r="CE150" s="210"/>
      <c r="CF150" s="210"/>
      <c r="CG150" s="210"/>
      <c r="CH150" s="210"/>
      <c r="CI150" s="210"/>
      <c r="CJ150" s="210"/>
      <c r="CK150" s="210"/>
    </row>
    <row r="151">
      <c r="A151" s="222" t="s">
        <v>212</v>
      </c>
      <c r="B151" s="190" t="s">
        <v>213</v>
      </c>
      <c r="C151" s="223" t="s">
        <v>65</v>
      </c>
      <c r="D151" s="223" t="s">
        <v>858</v>
      </c>
      <c r="E151" s="190" t="s">
        <v>21</v>
      </c>
      <c r="F151" s="13" t="s">
        <v>927</v>
      </c>
      <c r="G151" s="13" t="s">
        <v>917</v>
      </c>
      <c r="H151" s="219">
        <f>IFERROR(
  MINIFS(ATTENDANCE_LOG!$F:$F,
         ATTENDANCE_LOG!$A:$A, C151,
         ATTENDANCE_LOG!$B:$B, E151),
"")</f>
        <v>45637.375</v>
      </c>
      <c r="I151" s="219">
        <f t="shared" si="2"/>
        <v>45637.375</v>
      </c>
      <c r="J151" s="190">
        <f>IFERROR(VLOOKUP(F151, LEVEL_HELPER!$A:$B, 2, 0), "")</f>
        <v>1</v>
      </c>
      <c r="K151" s="190">
        <f>IFERROR(VLOOKUP(G151, LEVEL_HELPER!$A:$B, 2, 0), "")</f>
        <v>2.5</v>
      </c>
      <c r="L151" s="229" t="s">
        <v>919</v>
      </c>
      <c r="M151" s="220" t="s">
        <v>925</v>
      </c>
      <c r="N151" s="190">
        <f t="array" ref="N151">IFERROR(
  INDEX($J$2:$J$543,
    MATCH(A151&amp;TEXT(I151,"yyyy-mm-dd"),
          $A$2:$A$543&amp;TEXT($H$2:$H$543,"yyyy-mm-dd"),
          0)),
"")</f>
        <v>1</v>
      </c>
      <c r="O151" s="210">
        <f t="shared" si="3"/>
        <v>2.5</v>
      </c>
      <c r="P151" s="210">
        <f t="shared" ref="P151:Q151" si="161">IF(N151="",0,IF(N151&lt;=2,1,IF(N151&lt;=4,2,IF(N151&lt;=5.5,3,4))))</f>
        <v>1</v>
      </c>
      <c r="Q151" s="210">
        <f t="shared" si="161"/>
        <v>2</v>
      </c>
      <c r="R151" s="210" t="str">
        <f t="shared" si="5"/>
        <v>Lv1 → Lv2</v>
      </c>
      <c r="S151" s="210">
        <f t="shared" si="6"/>
        <v>1</v>
      </c>
      <c r="T151" s="210"/>
      <c r="U151" s="210"/>
      <c r="V151" s="211" t="s">
        <v>593</v>
      </c>
      <c r="W151" s="210" t="str">
        <f t="shared" si="7"/>
        <v>DEV</v>
      </c>
      <c r="X151" s="210" t="str">
        <f t="shared" si="8"/>
        <v>DEV, TA</v>
      </c>
      <c r="Y151" s="210" t="str">
        <f t="shared" si="9"/>
        <v>MOC</v>
      </c>
      <c r="Z151" s="210"/>
      <c r="AA151" s="210"/>
      <c r="AB151" s="210"/>
      <c r="AC151" s="210"/>
      <c r="AD151" s="210"/>
      <c r="AE151" s="210"/>
      <c r="AF151" s="210"/>
      <c r="AG151" s="210"/>
      <c r="AH151" s="210"/>
      <c r="AI151" s="210"/>
      <c r="AJ151" s="210"/>
      <c r="AK151" s="210"/>
      <c r="AL151" s="210"/>
      <c r="AM151" s="214"/>
      <c r="AN151" s="210"/>
      <c r="AO151" s="210" t="str">
        <f t="shared" si="10"/>
        <v>#N/A</v>
      </c>
      <c r="AP151" s="210" t="str">
        <f t="shared" si="11"/>
        <v>#N/A</v>
      </c>
      <c r="AQ151" s="210" t="str">
        <f t="shared" si="12"/>
        <v>#N/A</v>
      </c>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c r="BU151" s="210"/>
      <c r="BV151" s="210"/>
      <c r="BW151" s="210"/>
      <c r="BX151" s="210"/>
      <c r="BY151" s="210"/>
      <c r="BZ151" s="210"/>
      <c r="CA151" s="210"/>
      <c r="CB151" s="210"/>
      <c r="CC151" s="210"/>
      <c r="CD151" s="210"/>
      <c r="CE151" s="210"/>
      <c r="CF151" s="210"/>
      <c r="CG151" s="210"/>
      <c r="CH151" s="210"/>
      <c r="CI151" s="210"/>
      <c r="CJ151" s="210"/>
      <c r="CK151" s="210"/>
    </row>
    <row r="152">
      <c r="A152" s="222" t="s">
        <v>267</v>
      </c>
      <c r="B152" s="190" t="s">
        <v>268</v>
      </c>
      <c r="C152" s="223" t="s">
        <v>65</v>
      </c>
      <c r="D152" s="223" t="s">
        <v>858</v>
      </c>
      <c r="E152" s="190" t="s">
        <v>21</v>
      </c>
      <c r="F152" s="13" t="s">
        <v>927</v>
      </c>
      <c r="G152" s="13" t="s">
        <v>917</v>
      </c>
      <c r="H152" s="219">
        <f>IFERROR(
  MINIFS(ATTENDANCE_LOG!$F:$F,
         ATTENDANCE_LOG!$A:$A, C152,
         ATTENDANCE_LOG!$B:$B, E152),
"")</f>
        <v>45637.375</v>
      </c>
      <c r="I152" s="219">
        <f t="shared" si="2"/>
        <v>45637.375</v>
      </c>
      <c r="J152" s="190">
        <f>IFERROR(VLOOKUP(F152, LEVEL_HELPER!$A:$B, 2, 0), "")</f>
        <v>1</v>
      </c>
      <c r="K152" s="190">
        <f>IFERROR(VLOOKUP(G152, LEVEL_HELPER!$A:$B, 2, 0), "")</f>
        <v>2.5</v>
      </c>
      <c r="L152" s="220" t="s">
        <v>919</v>
      </c>
      <c r="M152" s="220" t="s">
        <v>925</v>
      </c>
      <c r="N152" s="190">
        <f t="array" ref="N152">IFERROR(
  INDEX($J$2:$J$543,
    MATCH(A152&amp;TEXT(I152,"yyyy-mm-dd"),
          $A$2:$A$543&amp;TEXT($H$2:$H$543,"yyyy-mm-dd"),
          0)),
"")</f>
        <v>1</v>
      </c>
      <c r="O152" s="210">
        <f t="shared" si="3"/>
        <v>2.5</v>
      </c>
      <c r="P152" s="210">
        <f t="shared" ref="P152:Q152" si="162">IF(N152="",0,IF(N152&lt;=2,1,IF(N152&lt;=4,2,IF(N152&lt;=5.5,3,4))))</f>
        <v>1</v>
      </c>
      <c r="Q152" s="210">
        <f t="shared" si="162"/>
        <v>2</v>
      </c>
      <c r="R152" s="210" t="str">
        <f t="shared" si="5"/>
        <v>Lv1 → Lv2</v>
      </c>
      <c r="S152" s="210">
        <f t="shared" si="6"/>
        <v>1</v>
      </c>
      <c r="T152" s="210"/>
      <c r="U152" s="210"/>
      <c r="V152" s="211" t="s">
        <v>173</v>
      </c>
      <c r="W152" s="210" t="str">
        <f t="shared" si="7"/>
        <v>DEV</v>
      </c>
      <c r="X152" s="210" t="str">
        <f t="shared" si="8"/>
        <v>DEV, TA</v>
      </c>
      <c r="Y152" s="210" t="str">
        <f t="shared" si="9"/>
        <v>MOC</v>
      </c>
      <c r="Z152" s="210"/>
      <c r="AA152" s="210"/>
      <c r="AB152" s="210"/>
      <c r="AC152" s="210"/>
      <c r="AD152" s="210"/>
      <c r="AE152" s="210"/>
      <c r="AF152" s="210"/>
      <c r="AG152" s="210"/>
      <c r="AH152" s="210"/>
      <c r="AI152" s="210"/>
      <c r="AJ152" s="210"/>
      <c r="AK152" s="210"/>
      <c r="AL152" s="210"/>
      <c r="AM152" s="214"/>
      <c r="AN152" s="210"/>
      <c r="AO152" s="210" t="str">
        <f t="shared" si="10"/>
        <v>#N/A</v>
      </c>
      <c r="AP152" s="210" t="str">
        <f t="shared" si="11"/>
        <v>#N/A</v>
      </c>
      <c r="AQ152" s="210" t="str">
        <f t="shared" si="12"/>
        <v>#N/A</v>
      </c>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c r="BU152" s="210"/>
      <c r="BV152" s="210"/>
      <c r="BW152" s="210"/>
      <c r="BX152" s="210"/>
      <c r="BY152" s="210"/>
      <c r="BZ152" s="210"/>
      <c r="CA152" s="210"/>
      <c r="CB152" s="210"/>
      <c r="CC152" s="210"/>
      <c r="CD152" s="210"/>
      <c r="CE152" s="210"/>
      <c r="CF152" s="210"/>
      <c r="CG152" s="210"/>
      <c r="CH152" s="210"/>
      <c r="CI152" s="210"/>
      <c r="CJ152" s="210"/>
      <c r="CK152" s="210"/>
    </row>
    <row r="153">
      <c r="A153" s="222" t="s">
        <v>413</v>
      </c>
      <c r="B153" s="190" t="s">
        <v>414</v>
      </c>
      <c r="C153" s="223" t="s">
        <v>65</v>
      </c>
      <c r="D153" s="223" t="s">
        <v>858</v>
      </c>
      <c r="E153" s="190" t="s">
        <v>21</v>
      </c>
      <c r="F153" s="13" t="s">
        <v>927</v>
      </c>
      <c r="G153" s="13" t="s">
        <v>917</v>
      </c>
      <c r="H153" s="219">
        <f>IFERROR(
  MINIFS(ATTENDANCE_LOG!$F:$F,
         ATTENDANCE_LOG!$A:$A, C153,
         ATTENDANCE_LOG!$B:$B, E153),
"")</f>
        <v>45637.375</v>
      </c>
      <c r="I153" s="219">
        <f t="shared" si="2"/>
        <v>45637.375</v>
      </c>
      <c r="J153" s="190">
        <f>IFERROR(VLOOKUP(F153, LEVEL_HELPER!$A:$B, 2, 0), "")</f>
        <v>1</v>
      </c>
      <c r="K153" s="190">
        <f>IFERROR(VLOOKUP(G153, LEVEL_HELPER!$A:$B, 2, 0), "")</f>
        <v>2.5</v>
      </c>
      <c r="L153" s="220" t="s">
        <v>919</v>
      </c>
      <c r="M153" s="220" t="s">
        <v>925</v>
      </c>
      <c r="N153" s="190">
        <f t="array" ref="N153">IFERROR(
  INDEX($J$2:$J$543,
    MATCH(A153&amp;TEXT(I153,"yyyy-mm-dd"),
          $A$2:$A$543&amp;TEXT($H$2:$H$543,"yyyy-mm-dd"),
          0)),
"")</f>
        <v>1</v>
      </c>
      <c r="O153" s="210">
        <f t="shared" si="3"/>
        <v>2.5</v>
      </c>
      <c r="P153" s="210">
        <f t="shared" ref="P153:Q153" si="163">IF(N153="",0,IF(N153&lt;=2,1,IF(N153&lt;=4,2,IF(N153&lt;=5.5,3,4))))</f>
        <v>1</v>
      </c>
      <c r="Q153" s="210">
        <f t="shared" si="163"/>
        <v>2</v>
      </c>
      <c r="R153" s="210" t="str">
        <f t="shared" si="5"/>
        <v>Lv1 → Lv2</v>
      </c>
      <c r="S153" s="210">
        <f t="shared" si="6"/>
        <v>1</v>
      </c>
      <c r="T153" s="210"/>
      <c r="U153" s="210"/>
      <c r="V153" s="211" t="s">
        <v>281</v>
      </c>
      <c r="W153" s="210" t="str">
        <f t="shared" si="7"/>
        <v>DEV</v>
      </c>
      <c r="X153" s="210" t="str">
        <f t="shared" si="8"/>
        <v>DEV, TA</v>
      </c>
      <c r="Y153" s="210" t="str">
        <f t="shared" si="9"/>
        <v>MOC</v>
      </c>
      <c r="Z153" s="210"/>
      <c r="AA153" s="210"/>
      <c r="AB153" s="210"/>
      <c r="AC153" s="210"/>
      <c r="AD153" s="210"/>
      <c r="AE153" s="210"/>
      <c r="AF153" s="210"/>
      <c r="AG153" s="210"/>
      <c r="AH153" s="210"/>
      <c r="AI153" s="210"/>
      <c r="AJ153" s="210"/>
      <c r="AK153" s="210"/>
      <c r="AL153" s="210"/>
      <c r="AM153" s="214"/>
      <c r="AN153" s="210"/>
      <c r="AO153" s="210" t="str">
        <f t="shared" si="10"/>
        <v>#N/A</v>
      </c>
      <c r="AP153" s="210" t="str">
        <f t="shared" si="11"/>
        <v>#N/A</v>
      </c>
      <c r="AQ153" s="210" t="str">
        <f t="shared" si="12"/>
        <v>#N/A</v>
      </c>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c r="BU153" s="210"/>
      <c r="BV153" s="210"/>
      <c r="BW153" s="210"/>
      <c r="BX153" s="210"/>
      <c r="BY153" s="210"/>
      <c r="BZ153" s="210"/>
      <c r="CA153" s="210"/>
      <c r="CB153" s="210"/>
      <c r="CC153" s="210"/>
      <c r="CD153" s="210"/>
      <c r="CE153" s="210"/>
      <c r="CF153" s="210"/>
      <c r="CG153" s="210"/>
      <c r="CH153" s="210"/>
      <c r="CI153" s="210"/>
      <c r="CJ153" s="210"/>
      <c r="CK153" s="210"/>
    </row>
    <row r="154">
      <c r="A154" s="222" t="s">
        <v>601</v>
      </c>
      <c r="B154" s="190" t="s">
        <v>602</v>
      </c>
      <c r="C154" s="223" t="s">
        <v>65</v>
      </c>
      <c r="D154" s="223" t="s">
        <v>858</v>
      </c>
      <c r="E154" s="190" t="s">
        <v>21</v>
      </c>
      <c r="F154" s="13" t="s">
        <v>932</v>
      </c>
      <c r="G154" s="190"/>
      <c r="H154" s="219">
        <f>IFERROR(
  MINIFS(ATTENDANCE_LOG!$F:$F,
         ATTENDANCE_LOG!$A:$A, C154,
         ATTENDANCE_LOG!$B:$B, E154),
"")</f>
        <v>45637.375</v>
      </c>
      <c r="I154" s="219">
        <f t="shared" si="2"/>
        <v>45637.375</v>
      </c>
      <c r="J154" s="190">
        <f>IFERROR(VLOOKUP(F154, LEVEL_HELPER!$A:$B, 2, 0), "")</f>
        <v>4.5</v>
      </c>
      <c r="K154" s="190" t="str">
        <f>IFERROR(VLOOKUP(G154, LEVEL_HELPER!$A:$B, 2, 0), "")</f>
        <v/>
      </c>
      <c r="L154" s="220" t="s">
        <v>919</v>
      </c>
      <c r="M154" s="229" t="s">
        <v>923</v>
      </c>
      <c r="N154" s="190">
        <f t="array" ref="N154">IFERROR(
  INDEX($J$2:$J$543,
    MATCH(A154&amp;TEXT(I154,"yyyy-mm-dd"),
          $A$2:$A$543&amp;TEXT($H$2:$H$543,"yyyy-mm-dd"),
          0)),
"")</f>
        <v>4.5</v>
      </c>
      <c r="O154" s="210">
        <f t="shared" si="3"/>
        <v>0</v>
      </c>
      <c r="P154" s="210">
        <f t="shared" ref="P154:Q154" si="164">IF(N154="",0,IF(N154&lt;=2,1,IF(N154&lt;=4,2,IF(N154&lt;=5.5,3,4))))</f>
        <v>3</v>
      </c>
      <c r="Q154" s="210">
        <f t="shared" si="164"/>
        <v>1</v>
      </c>
      <c r="R154" s="210" t="str">
        <f t="shared" si="5"/>
        <v>Regressed</v>
      </c>
      <c r="S154" s="210">
        <f t="shared" si="6"/>
        <v>1</v>
      </c>
      <c r="T154" s="210"/>
      <c r="U154" s="210"/>
      <c r="V154" s="211" t="s">
        <v>336</v>
      </c>
      <c r="W154" s="210" t="str">
        <f t="shared" si="7"/>
        <v>QC</v>
      </c>
      <c r="X154" s="210" t="str">
        <f t="shared" si="8"/>
        <v>QC</v>
      </c>
      <c r="Y154" s="210" t="str">
        <f t="shared" si="9"/>
        <v>MOC</v>
      </c>
      <c r="Z154" s="210"/>
      <c r="AA154" s="210"/>
      <c r="AB154" s="210"/>
      <c r="AC154" s="210"/>
      <c r="AD154" s="210"/>
      <c r="AE154" s="210"/>
      <c r="AF154" s="210"/>
      <c r="AG154" s="210"/>
      <c r="AH154" s="210"/>
      <c r="AI154" s="210"/>
      <c r="AJ154" s="210"/>
      <c r="AK154" s="210"/>
      <c r="AL154" s="210"/>
      <c r="AM154" s="214"/>
      <c r="AN154" s="210"/>
      <c r="AO154" s="210" t="str">
        <f t="shared" si="10"/>
        <v>#N/A</v>
      </c>
      <c r="AP154" s="210" t="str">
        <f t="shared" si="11"/>
        <v>#N/A</v>
      </c>
      <c r="AQ154" s="210" t="str">
        <f t="shared" si="12"/>
        <v>#N/A</v>
      </c>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c r="BU154" s="210"/>
      <c r="BV154" s="210"/>
      <c r="BW154" s="210"/>
      <c r="BX154" s="210"/>
      <c r="BY154" s="210"/>
      <c r="BZ154" s="210"/>
      <c r="CA154" s="210"/>
      <c r="CB154" s="210"/>
      <c r="CC154" s="210"/>
      <c r="CD154" s="210"/>
      <c r="CE154" s="210"/>
      <c r="CF154" s="210"/>
      <c r="CG154" s="210"/>
      <c r="CH154" s="210"/>
      <c r="CI154" s="210"/>
      <c r="CJ154" s="210"/>
      <c r="CK154" s="210"/>
    </row>
    <row r="155">
      <c r="A155" s="222" t="s">
        <v>699</v>
      </c>
      <c r="B155" s="190" t="s">
        <v>700</v>
      </c>
      <c r="C155" s="223" t="s">
        <v>65</v>
      </c>
      <c r="D155" s="223" t="s">
        <v>858</v>
      </c>
      <c r="E155" s="190" t="s">
        <v>21</v>
      </c>
      <c r="F155" s="13" t="s">
        <v>917</v>
      </c>
      <c r="G155" s="13" t="s">
        <v>932</v>
      </c>
      <c r="H155" s="219">
        <f>IFERROR(
  MINIFS(ATTENDANCE_LOG!$F:$F,
         ATTENDANCE_LOG!$A:$A, C155,
         ATTENDANCE_LOG!$B:$B, E155),
"")</f>
        <v>45637.375</v>
      </c>
      <c r="I155" s="219">
        <f t="shared" si="2"/>
        <v>45637.375</v>
      </c>
      <c r="J155" s="190">
        <f>IFERROR(VLOOKUP(F155, LEVEL_HELPER!$A:$B, 2, 0), "")</f>
        <v>2.5</v>
      </c>
      <c r="K155" s="190">
        <f>IFERROR(VLOOKUP(G155, LEVEL_HELPER!$A:$B, 2, 0), "")</f>
        <v>4.5</v>
      </c>
      <c r="L155" s="220" t="s">
        <v>919</v>
      </c>
      <c r="M155" s="220" t="s">
        <v>923</v>
      </c>
      <c r="N155" s="190">
        <f t="array" ref="N155">IFERROR(
  INDEX($J$2:$J$543,
    MATCH(A155&amp;TEXT(I155,"yyyy-mm-dd"),
          $A$2:$A$543&amp;TEXT($H$2:$H$543,"yyyy-mm-dd"),
          0)),
"")</f>
        <v>2.5</v>
      </c>
      <c r="O155" s="210">
        <f t="shared" si="3"/>
        <v>4.5</v>
      </c>
      <c r="P155" s="210">
        <f t="shared" ref="P155:Q155" si="165">IF(N155="",0,IF(N155&lt;=2,1,IF(N155&lt;=4,2,IF(N155&lt;=5.5,3,4))))</f>
        <v>2</v>
      </c>
      <c r="Q155" s="210">
        <f t="shared" si="165"/>
        <v>3</v>
      </c>
      <c r="R155" s="210" t="str">
        <f t="shared" si="5"/>
        <v>Lv2 → Lv3</v>
      </c>
      <c r="S155" s="210">
        <f t="shared" si="6"/>
        <v>1</v>
      </c>
      <c r="T155" s="210"/>
      <c r="U155" s="210"/>
      <c r="V155" s="211" t="s">
        <v>417</v>
      </c>
      <c r="W155" s="210" t="str">
        <f t="shared" si="7"/>
        <v>QC</v>
      </c>
      <c r="X155" s="210" t="str">
        <f t="shared" si="8"/>
        <v>QC</v>
      </c>
      <c r="Y155" s="210" t="str">
        <f t="shared" si="9"/>
        <v>MOC</v>
      </c>
      <c r="Z155" s="210"/>
      <c r="AA155" s="210"/>
      <c r="AB155" s="210"/>
      <c r="AC155" s="210"/>
      <c r="AD155" s="210"/>
      <c r="AE155" s="210"/>
      <c r="AF155" s="210"/>
      <c r="AG155" s="210"/>
      <c r="AH155" s="210"/>
      <c r="AI155" s="210"/>
      <c r="AJ155" s="210"/>
      <c r="AK155" s="210"/>
      <c r="AL155" s="210"/>
      <c r="AM155" s="214"/>
      <c r="AN155" s="210"/>
      <c r="AO155" s="210" t="str">
        <f t="shared" si="10"/>
        <v>#N/A</v>
      </c>
      <c r="AP155" s="210" t="str">
        <f t="shared" si="11"/>
        <v>#N/A</v>
      </c>
      <c r="AQ155" s="210" t="str">
        <f t="shared" si="12"/>
        <v>#N/A</v>
      </c>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c r="BU155" s="210"/>
      <c r="BV155" s="210"/>
      <c r="BW155" s="210"/>
      <c r="BX155" s="210"/>
      <c r="BY155" s="210"/>
      <c r="BZ155" s="210"/>
      <c r="CA155" s="210"/>
      <c r="CB155" s="210"/>
      <c r="CC155" s="210"/>
      <c r="CD155" s="210"/>
      <c r="CE155" s="210"/>
      <c r="CF155" s="210"/>
      <c r="CG155" s="210"/>
      <c r="CH155" s="210"/>
      <c r="CI155" s="210"/>
      <c r="CJ155" s="210"/>
      <c r="CK155" s="210"/>
    </row>
    <row r="156">
      <c r="A156" s="216" t="s">
        <v>413</v>
      </c>
      <c r="B156" s="217" t="s">
        <v>414</v>
      </c>
      <c r="C156" s="218" t="s">
        <v>65</v>
      </c>
      <c r="D156" s="218" t="s">
        <v>858</v>
      </c>
      <c r="E156" s="217" t="s">
        <v>22</v>
      </c>
      <c r="F156" s="13" t="s">
        <v>917</v>
      </c>
      <c r="G156" s="13" t="s">
        <v>917</v>
      </c>
      <c r="H156" s="219">
        <f>IFERROR(
  MINIFS(ATTENDANCE_LOG!$F:$F,
         ATTENDANCE_LOG!$A:$A, C156,
         ATTENDANCE_LOG!$B:$B, E156),
"")</f>
        <v>45839.375</v>
      </c>
      <c r="I156" s="219">
        <f t="shared" si="2"/>
        <v>45637.375</v>
      </c>
      <c r="J156" s="190">
        <f>IFERROR(VLOOKUP(F156, LEVEL_HELPER!$A:$B, 2, 0), "")</f>
        <v>2.5</v>
      </c>
      <c r="K156" s="190">
        <f>IFERROR(VLOOKUP(G156, LEVEL_HELPER!$A:$B, 2, 0), "")</f>
        <v>2.5</v>
      </c>
      <c r="L156" s="220" t="s">
        <v>919</v>
      </c>
      <c r="M156" s="220" t="s">
        <v>925</v>
      </c>
      <c r="N156" s="190">
        <f t="array" ref="N156">IFERROR(
  INDEX($J$2:$J$543,
    MATCH(A156&amp;TEXT(I156,"yyyy-mm-dd"),
          $A$2:$A$543&amp;TEXT($H$2:$H$543,"yyyy-mm-dd"),
          0)),
"")</f>
        <v>1</v>
      </c>
      <c r="O156" s="210">
        <f t="shared" si="3"/>
        <v>2.5</v>
      </c>
      <c r="P156" s="210">
        <f t="shared" ref="P156:Q156" si="166">IF(N156="",0,IF(N156&lt;=2,1,IF(N156&lt;=4,2,IF(N156&lt;=5.5,3,4))))</f>
        <v>1</v>
      </c>
      <c r="Q156" s="210">
        <f t="shared" si="166"/>
        <v>2</v>
      </c>
      <c r="R156" s="210" t="str">
        <f t="shared" si="5"/>
        <v>Lv1 → Lv2</v>
      </c>
      <c r="S156" s="210">
        <f t="shared" si="6"/>
        <v>0</v>
      </c>
      <c r="T156" s="210"/>
      <c r="U156" s="210"/>
      <c r="V156" s="211" t="s">
        <v>587</v>
      </c>
      <c r="W156" s="210" t="str">
        <f t="shared" si="7"/>
        <v>DEV</v>
      </c>
      <c r="X156" s="210" t="str">
        <f t="shared" si="8"/>
        <v>DEV, TA</v>
      </c>
      <c r="Y156" s="210" t="str">
        <f t="shared" si="9"/>
        <v>LBU</v>
      </c>
      <c r="Z156" s="210"/>
      <c r="AA156" s="210"/>
      <c r="AB156" s="210"/>
      <c r="AC156" s="210"/>
      <c r="AD156" s="210"/>
      <c r="AE156" s="210"/>
      <c r="AF156" s="210"/>
      <c r="AG156" s="210"/>
      <c r="AH156" s="210"/>
      <c r="AI156" s="210"/>
      <c r="AJ156" s="210"/>
      <c r="AK156" s="210"/>
      <c r="AL156" s="210"/>
      <c r="AM156" s="214"/>
      <c r="AN156" s="210"/>
      <c r="AO156" s="210" t="str">
        <f t="shared" si="10"/>
        <v>#N/A</v>
      </c>
      <c r="AP156" s="210" t="str">
        <f t="shared" si="11"/>
        <v>#N/A</v>
      </c>
      <c r="AQ156" s="210" t="str">
        <f t="shared" si="12"/>
        <v>#N/A</v>
      </c>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c r="BU156" s="210"/>
      <c r="BV156" s="210"/>
      <c r="BW156" s="210"/>
      <c r="BX156" s="210"/>
      <c r="BY156" s="210"/>
      <c r="BZ156" s="210"/>
      <c r="CA156" s="210"/>
      <c r="CB156" s="210"/>
      <c r="CC156" s="210"/>
      <c r="CD156" s="210"/>
      <c r="CE156" s="210"/>
      <c r="CF156" s="210"/>
      <c r="CG156" s="210"/>
      <c r="CH156" s="210"/>
      <c r="CI156" s="210"/>
      <c r="CJ156" s="210"/>
      <c r="CK156" s="210"/>
    </row>
    <row r="157">
      <c r="A157" s="222" t="s">
        <v>212</v>
      </c>
      <c r="B157" s="190" t="s">
        <v>213</v>
      </c>
      <c r="C157" s="223" t="s">
        <v>65</v>
      </c>
      <c r="D157" s="223" t="s">
        <v>858</v>
      </c>
      <c r="E157" s="190" t="s">
        <v>22</v>
      </c>
      <c r="F157" s="13" t="s">
        <v>917</v>
      </c>
      <c r="G157" s="13" t="s">
        <v>917</v>
      </c>
      <c r="H157" s="219">
        <f>IFERROR(
  MINIFS(ATTENDANCE_LOG!$F:$F,
         ATTENDANCE_LOG!$A:$A, C157,
         ATTENDANCE_LOG!$B:$B, E157),
"")</f>
        <v>45839.375</v>
      </c>
      <c r="I157" s="219">
        <f t="shared" si="2"/>
        <v>45637.375</v>
      </c>
      <c r="J157" s="190">
        <f>IFERROR(VLOOKUP(F157, LEVEL_HELPER!$A:$B, 2, 0), "")</f>
        <v>2.5</v>
      </c>
      <c r="K157" s="190">
        <f>IFERROR(VLOOKUP(G157, LEVEL_HELPER!$A:$B, 2, 0), "")</f>
        <v>2.5</v>
      </c>
      <c r="L157" s="229" t="s">
        <v>919</v>
      </c>
      <c r="M157" s="220" t="s">
        <v>925</v>
      </c>
      <c r="N157" s="190">
        <f t="array" ref="N157">IFERROR(
  INDEX($J$2:$J$543,
    MATCH(A157&amp;TEXT(I157,"yyyy-mm-dd"),
          $A$2:$A$543&amp;TEXT($H$2:$H$543,"yyyy-mm-dd"),
          0)),
"")</f>
        <v>1</v>
      </c>
      <c r="O157" s="210">
        <f t="shared" si="3"/>
        <v>2.5</v>
      </c>
      <c r="P157" s="210">
        <f t="shared" ref="P157:Q157" si="167">IF(N157="",0,IF(N157&lt;=2,1,IF(N157&lt;=4,2,IF(N157&lt;=5.5,3,4))))</f>
        <v>1</v>
      </c>
      <c r="Q157" s="210">
        <f t="shared" si="167"/>
        <v>2</v>
      </c>
      <c r="R157" s="210" t="str">
        <f t="shared" si="5"/>
        <v>Lv1 → Lv2</v>
      </c>
      <c r="S157" s="210">
        <f t="shared" si="6"/>
        <v>0</v>
      </c>
      <c r="T157" s="210"/>
      <c r="U157" s="210"/>
      <c r="V157" s="211" t="s">
        <v>651</v>
      </c>
      <c r="W157" s="210" t="str">
        <f t="shared" si="7"/>
        <v>QC</v>
      </c>
      <c r="X157" s="210" t="str">
        <f t="shared" si="8"/>
        <v>QC</v>
      </c>
      <c r="Y157" s="210" t="str">
        <f t="shared" si="9"/>
        <v>LBU</v>
      </c>
      <c r="Z157" s="210"/>
      <c r="AA157" s="210"/>
      <c r="AB157" s="210"/>
      <c r="AC157" s="210"/>
      <c r="AD157" s="210"/>
      <c r="AE157" s="210"/>
      <c r="AF157" s="210"/>
      <c r="AG157" s="210"/>
      <c r="AH157" s="210"/>
      <c r="AI157" s="210"/>
      <c r="AJ157" s="210"/>
      <c r="AK157" s="210"/>
      <c r="AL157" s="210"/>
      <c r="AM157" s="214"/>
      <c r="AN157" s="210"/>
      <c r="AO157" s="210" t="str">
        <f t="shared" si="10"/>
        <v>#N/A</v>
      </c>
      <c r="AP157" s="210" t="str">
        <f t="shared" si="11"/>
        <v>#N/A</v>
      </c>
      <c r="AQ157" s="210" t="str">
        <f t="shared" si="12"/>
        <v>#N/A</v>
      </c>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c r="BU157" s="210"/>
      <c r="BV157" s="210"/>
      <c r="BW157" s="210"/>
      <c r="BX157" s="210"/>
      <c r="BY157" s="210"/>
      <c r="BZ157" s="210"/>
      <c r="CA157" s="210"/>
      <c r="CB157" s="210"/>
      <c r="CC157" s="210"/>
      <c r="CD157" s="210"/>
      <c r="CE157" s="210"/>
      <c r="CF157" s="210"/>
      <c r="CG157" s="210"/>
      <c r="CH157" s="210"/>
      <c r="CI157" s="210"/>
      <c r="CJ157" s="210"/>
      <c r="CK157" s="210"/>
    </row>
    <row r="158">
      <c r="A158" s="222" t="s">
        <v>267</v>
      </c>
      <c r="B158" s="190" t="s">
        <v>268</v>
      </c>
      <c r="C158" s="223" t="s">
        <v>65</v>
      </c>
      <c r="D158" s="223" t="s">
        <v>858</v>
      </c>
      <c r="E158" s="190" t="s">
        <v>22</v>
      </c>
      <c r="F158" s="13" t="s">
        <v>917</v>
      </c>
      <c r="G158" s="13" t="s">
        <v>917</v>
      </c>
      <c r="H158" s="219">
        <f>IFERROR(
  MINIFS(ATTENDANCE_LOG!$F:$F,
         ATTENDANCE_LOG!$A:$A, C158,
         ATTENDANCE_LOG!$B:$B, E158),
"")</f>
        <v>45839.375</v>
      </c>
      <c r="I158" s="219">
        <f t="shared" si="2"/>
        <v>45637.375</v>
      </c>
      <c r="J158" s="190">
        <f>IFERROR(VLOOKUP(F158, LEVEL_HELPER!$A:$B, 2, 0), "")</f>
        <v>2.5</v>
      </c>
      <c r="K158" s="190">
        <f>IFERROR(VLOOKUP(G158, LEVEL_HELPER!$A:$B, 2, 0), "")</f>
        <v>2.5</v>
      </c>
      <c r="L158" s="220" t="s">
        <v>919</v>
      </c>
      <c r="M158" s="220" t="s">
        <v>925</v>
      </c>
      <c r="N158" s="190">
        <f t="array" ref="N158">IFERROR(
  INDEX($J$2:$J$543,
    MATCH(A158&amp;TEXT(I158,"yyyy-mm-dd"),
          $A$2:$A$543&amp;TEXT($H$2:$H$543,"yyyy-mm-dd"),
          0)),
"")</f>
        <v>1</v>
      </c>
      <c r="O158" s="210">
        <f t="shared" si="3"/>
        <v>2.5</v>
      </c>
      <c r="P158" s="210">
        <f t="shared" ref="P158:Q158" si="168">IF(N158="",0,IF(N158&lt;=2,1,IF(N158&lt;=4,2,IF(N158&lt;=5.5,3,4))))</f>
        <v>1</v>
      </c>
      <c r="Q158" s="210">
        <f t="shared" si="168"/>
        <v>2</v>
      </c>
      <c r="R158" s="210" t="str">
        <f t="shared" si="5"/>
        <v>Lv1 → Lv2</v>
      </c>
      <c r="S158" s="210">
        <f t="shared" si="6"/>
        <v>0</v>
      </c>
      <c r="T158" s="210"/>
      <c r="U158" s="210"/>
      <c r="V158" s="211" t="s">
        <v>210</v>
      </c>
      <c r="W158" s="210" t="str">
        <f t="shared" si="7"/>
        <v>DEV</v>
      </c>
      <c r="X158" s="210" t="str">
        <f t="shared" si="8"/>
        <v>DEV, TA</v>
      </c>
      <c r="Y158" s="210" t="str">
        <f t="shared" si="9"/>
        <v>LBU</v>
      </c>
      <c r="Z158" s="210"/>
      <c r="AA158" s="210"/>
      <c r="AB158" s="210"/>
      <c r="AC158" s="210"/>
      <c r="AD158" s="210"/>
      <c r="AE158" s="210"/>
      <c r="AF158" s="210"/>
      <c r="AG158" s="210"/>
      <c r="AH158" s="210"/>
      <c r="AI158" s="210"/>
      <c r="AJ158" s="210"/>
      <c r="AK158" s="210"/>
      <c r="AL158" s="210"/>
      <c r="AM158" s="214"/>
      <c r="AN158" s="210"/>
      <c r="AO158" s="210" t="str">
        <f t="shared" si="10"/>
        <v>#N/A</v>
      </c>
      <c r="AP158" s="210" t="str">
        <f t="shared" si="11"/>
        <v>#N/A</v>
      </c>
      <c r="AQ158" s="210" t="str">
        <f t="shared" si="12"/>
        <v>#N/A</v>
      </c>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c r="BU158" s="210"/>
      <c r="BV158" s="210"/>
      <c r="BW158" s="210"/>
      <c r="BX158" s="210"/>
      <c r="BY158" s="210"/>
      <c r="BZ158" s="210"/>
      <c r="CA158" s="210"/>
      <c r="CB158" s="210"/>
      <c r="CC158" s="210"/>
      <c r="CD158" s="210"/>
      <c r="CE158" s="210"/>
      <c r="CF158" s="210"/>
      <c r="CG158" s="210"/>
      <c r="CH158" s="210"/>
      <c r="CI158" s="210"/>
      <c r="CJ158" s="210"/>
      <c r="CK158" s="210"/>
    </row>
    <row r="159">
      <c r="A159" s="222" t="s">
        <v>699</v>
      </c>
      <c r="B159" s="190" t="s">
        <v>700</v>
      </c>
      <c r="C159" s="223" t="s">
        <v>65</v>
      </c>
      <c r="D159" s="223" t="s">
        <v>858</v>
      </c>
      <c r="E159" s="190" t="s">
        <v>22</v>
      </c>
      <c r="F159" s="13" t="s">
        <v>932</v>
      </c>
      <c r="G159" s="13" t="s">
        <v>932</v>
      </c>
      <c r="H159" s="219">
        <f>IFERROR(
  MINIFS(ATTENDANCE_LOG!$F:$F,
         ATTENDANCE_LOG!$A:$A, C159,
         ATTENDANCE_LOG!$B:$B, E159),
"")</f>
        <v>45839.375</v>
      </c>
      <c r="I159" s="219">
        <f t="shared" si="2"/>
        <v>45637.375</v>
      </c>
      <c r="J159" s="190">
        <f>IFERROR(VLOOKUP(F159, LEVEL_HELPER!$A:$B, 2, 0), "")</f>
        <v>4.5</v>
      </c>
      <c r="K159" s="190">
        <f>IFERROR(VLOOKUP(G159, LEVEL_HELPER!$A:$B, 2, 0), "")</f>
        <v>4.5</v>
      </c>
      <c r="L159" s="220" t="s">
        <v>919</v>
      </c>
      <c r="M159" s="220" t="s">
        <v>923</v>
      </c>
      <c r="N159" s="190">
        <f t="array" ref="N159">IFERROR(
  INDEX($J$2:$J$543,
    MATCH(A159&amp;TEXT(I159,"yyyy-mm-dd"),
          $A$2:$A$543&amp;TEXT($H$2:$H$543,"yyyy-mm-dd"),
          0)),
"")</f>
        <v>2.5</v>
      </c>
      <c r="O159" s="210">
        <f t="shared" si="3"/>
        <v>4.5</v>
      </c>
      <c r="P159" s="210">
        <f t="shared" ref="P159:Q159" si="169">IF(N159="",0,IF(N159&lt;=2,1,IF(N159&lt;=4,2,IF(N159&lt;=5.5,3,4))))</f>
        <v>2</v>
      </c>
      <c r="Q159" s="210">
        <f t="shared" si="169"/>
        <v>3</v>
      </c>
      <c r="R159" s="210" t="str">
        <f t="shared" si="5"/>
        <v>Lv2 → Lv3</v>
      </c>
      <c r="S159" s="210">
        <f t="shared" si="6"/>
        <v>0</v>
      </c>
      <c r="T159" s="210"/>
      <c r="U159" s="210"/>
      <c r="V159" s="211" t="s">
        <v>440</v>
      </c>
      <c r="W159" s="210" t="str">
        <f t="shared" si="7"/>
        <v>DEV</v>
      </c>
      <c r="X159" s="210" t="str">
        <f t="shared" si="8"/>
        <v>DEV, TA</v>
      </c>
      <c r="Y159" s="210" t="str">
        <f t="shared" si="9"/>
        <v>LBU</v>
      </c>
      <c r="Z159" s="210"/>
      <c r="AA159" s="210"/>
      <c r="AB159" s="210"/>
      <c r="AC159" s="210"/>
      <c r="AD159" s="210"/>
      <c r="AE159" s="210"/>
      <c r="AF159" s="210"/>
      <c r="AG159" s="210"/>
      <c r="AH159" s="210"/>
      <c r="AI159" s="210"/>
      <c r="AJ159" s="210"/>
      <c r="AK159" s="210"/>
      <c r="AL159" s="210"/>
      <c r="AM159" s="214"/>
      <c r="AN159" s="210"/>
      <c r="AO159" s="210" t="str">
        <f t="shared" si="10"/>
        <v>#N/A</v>
      </c>
      <c r="AP159" s="210" t="str">
        <f t="shared" si="11"/>
        <v>#N/A</v>
      </c>
      <c r="AQ159" s="210" t="str">
        <f t="shared" si="12"/>
        <v>#N/A</v>
      </c>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c r="BU159" s="210"/>
      <c r="BV159" s="210"/>
      <c r="BW159" s="210"/>
      <c r="BX159" s="210"/>
      <c r="BY159" s="210"/>
      <c r="BZ159" s="210"/>
      <c r="CA159" s="210"/>
      <c r="CB159" s="210"/>
      <c r="CC159" s="210"/>
      <c r="CD159" s="210"/>
      <c r="CE159" s="210"/>
      <c r="CF159" s="210"/>
      <c r="CG159" s="210"/>
      <c r="CH159" s="210"/>
      <c r="CI159" s="210"/>
      <c r="CJ159" s="210"/>
      <c r="CK159" s="210"/>
    </row>
    <row r="160">
      <c r="A160" s="216" t="s">
        <v>346</v>
      </c>
      <c r="B160" s="217" t="s">
        <v>347</v>
      </c>
      <c r="C160" s="218" t="s">
        <v>66</v>
      </c>
      <c r="D160" s="218" t="s">
        <v>859</v>
      </c>
      <c r="E160" s="217" t="s">
        <v>21</v>
      </c>
      <c r="F160" s="190"/>
      <c r="G160" s="190"/>
      <c r="H160" s="219">
        <f>IFERROR(
  MINIFS(ATTENDANCE_LOG!$F:$F,
         ATTENDANCE_LOG!$A:$A, C160,
         ATTENDANCE_LOG!$B:$B, E160),
"")</f>
        <v>45693.45833</v>
      </c>
      <c r="I160" s="219">
        <f t="shared" si="2"/>
        <v>45693.45833</v>
      </c>
      <c r="J160" s="190" t="str">
        <f>IFERROR(VLOOKUP(F160, LEVEL_HELPER!$A:$B, 2, 0), "")</f>
        <v/>
      </c>
      <c r="K160" s="190" t="str">
        <f>IFERROR(VLOOKUP(G160, LEVEL_HELPER!$A:$B, 2, 0), "")</f>
        <v/>
      </c>
      <c r="L160" s="220" t="s">
        <v>947</v>
      </c>
      <c r="M160" s="220" t="s">
        <v>926</v>
      </c>
      <c r="N160" s="190" t="str">
        <f t="array" ref="N160">IFERROR(
  INDEX($J$2:$J$543,
    MATCH(A160&amp;TEXT(I160,"yyyy-mm-dd"),
          $A$2:$A$543&amp;TEXT($H$2:$H$543,"yyyy-mm-dd"),
          0)),
"")</f>
        <v/>
      </c>
      <c r="O160" s="210">
        <f t="shared" si="3"/>
        <v>0</v>
      </c>
      <c r="P160" s="210">
        <f t="shared" ref="P160:Q160" si="170">IF(N160="",0,IF(N160&lt;=2,1,IF(N160&lt;=4,2,IF(N160&lt;=5.5,3,4))))</f>
        <v>0</v>
      </c>
      <c r="Q160" s="210">
        <f t="shared" si="170"/>
        <v>1</v>
      </c>
      <c r="R160" s="210" t="str">
        <f t="shared" si="5"/>
        <v>No Data</v>
      </c>
      <c r="S160" s="210">
        <f t="shared" si="6"/>
        <v>1</v>
      </c>
      <c r="T160" s="210"/>
      <c r="U160" s="210"/>
      <c r="V160" s="211" t="s">
        <v>520</v>
      </c>
      <c r="W160" s="210" t="str">
        <f t="shared" si="7"/>
        <v>DEV</v>
      </c>
      <c r="X160" s="210" t="str">
        <f t="shared" si="8"/>
        <v>DEV, TA</v>
      </c>
      <c r="Y160" s="210" t="str">
        <f t="shared" si="9"/>
        <v>LBU</v>
      </c>
      <c r="Z160" s="210"/>
      <c r="AA160" s="210"/>
      <c r="AB160" s="210"/>
      <c r="AC160" s="210"/>
      <c r="AD160" s="210"/>
      <c r="AE160" s="210"/>
      <c r="AF160" s="210"/>
      <c r="AG160" s="210"/>
      <c r="AH160" s="210"/>
      <c r="AI160" s="210"/>
      <c r="AJ160" s="210"/>
      <c r="AK160" s="210"/>
      <c r="AL160" s="210"/>
      <c r="AM160" s="214"/>
      <c r="AN160" s="210"/>
      <c r="AO160" s="210" t="str">
        <f t="shared" si="10"/>
        <v>#N/A</v>
      </c>
      <c r="AP160" s="210" t="str">
        <f t="shared" si="11"/>
        <v>#N/A</v>
      </c>
      <c r="AQ160" s="210" t="str">
        <f t="shared" si="12"/>
        <v>#N/A</v>
      </c>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c r="BU160" s="210"/>
      <c r="BV160" s="210"/>
      <c r="BW160" s="210"/>
      <c r="BX160" s="210"/>
      <c r="BY160" s="210"/>
      <c r="BZ160" s="210"/>
      <c r="CA160" s="210"/>
      <c r="CB160" s="210"/>
      <c r="CC160" s="210"/>
      <c r="CD160" s="210"/>
      <c r="CE160" s="210"/>
      <c r="CF160" s="210"/>
      <c r="CG160" s="210"/>
      <c r="CH160" s="210"/>
      <c r="CI160" s="210"/>
      <c r="CJ160" s="210"/>
      <c r="CK160" s="210"/>
    </row>
    <row r="161">
      <c r="A161" s="222" t="s">
        <v>514</v>
      </c>
      <c r="B161" s="190" t="s">
        <v>515</v>
      </c>
      <c r="C161" s="223" t="s">
        <v>66</v>
      </c>
      <c r="D161" s="223" t="s">
        <v>859</v>
      </c>
      <c r="E161" s="190" t="s">
        <v>21</v>
      </c>
      <c r="F161" s="190"/>
      <c r="G161" s="190"/>
      <c r="H161" s="219">
        <f>IFERROR(
  MINIFS(ATTENDANCE_LOG!$F:$F,
         ATTENDANCE_LOG!$A:$A, C161,
         ATTENDANCE_LOG!$B:$B, E161),
"")</f>
        <v>45693.45833</v>
      </c>
      <c r="I161" s="219">
        <f t="shared" si="2"/>
        <v>45693.45833</v>
      </c>
      <c r="J161" s="190" t="str">
        <f>IFERROR(VLOOKUP(F161, LEVEL_HELPER!$A:$B, 2, 0), "")</f>
        <v/>
      </c>
      <c r="K161" s="190" t="str">
        <f>IFERROR(VLOOKUP(G161, LEVEL_HELPER!$A:$B, 2, 0), "")</f>
        <v/>
      </c>
      <c r="L161" s="220" t="s">
        <v>943</v>
      </c>
      <c r="M161" s="220" t="s">
        <v>926</v>
      </c>
      <c r="N161" s="190" t="str">
        <f t="array" ref="N161">IFERROR(
  INDEX($J$2:$J$543,
    MATCH(A161&amp;TEXT(I161,"yyyy-mm-dd"),
          $A$2:$A$543&amp;TEXT($H$2:$H$543,"yyyy-mm-dd"),
          0)),
"")</f>
        <v/>
      </c>
      <c r="O161" s="210">
        <f t="shared" si="3"/>
        <v>0</v>
      </c>
      <c r="P161" s="210">
        <f t="shared" ref="P161:Q161" si="171">IF(N161="",0,IF(N161&lt;=2,1,IF(N161&lt;=4,2,IF(N161&lt;=5.5,3,4))))</f>
        <v>0</v>
      </c>
      <c r="Q161" s="210">
        <f t="shared" si="171"/>
        <v>1</v>
      </c>
      <c r="R161" s="210" t="str">
        <f t="shared" si="5"/>
        <v>No Data</v>
      </c>
      <c r="S161" s="210">
        <f t="shared" si="6"/>
        <v>1</v>
      </c>
      <c r="T161" s="210"/>
      <c r="U161" s="210"/>
      <c r="V161" s="211" t="s">
        <v>595</v>
      </c>
      <c r="W161" s="210" t="str">
        <f t="shared" si="7"/>
        <v>DEV</v>
      </c>
      <c r="X161" s="210" t="str">
        <f t="shared" si="8"/>
        <v>DEV, TA</v>
      </c>
      <c r="Y161" s="210" t="str">
        <f t="shared" si="9"/>
        <v>LBU</v>
      </c>
      <c r="Z161" s="210"/>
      <c r="AA161" s="210"/>
      <c r="AB161" s="210"/>
      <c r="AC161" s="210"/>
      <c r="AD161" s="210"/>
      <c r="AE161" s="210"/>
      <c r="AF161" s="210"/>
      <c r="AG161" s="210"/>
      <c r="AH161" s="210"/>
      <c r="AI161" s="210"/>
      <c r="AJ161" s="210"/>
      <c r="AK161" s="210"/>
      <c r="AL161" s="210"/>
      <c r="AM161" s="214"/>
      <c r="AN161" s="210"/>
      <c r="AO161" s="210" t="str">
        <f t="shared" si="10"/>
        <v>#N/A</v>
      </c>
      <c r="AP161" s="210" t="str">
        <f t="shared" si="11"/>
        <v>#N/A</v>
      </c>
      <c r="AQ161" s="210" t="str">
        <f t="shared" si="12"/>
        <v>#N/A</v>
      </c>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c r="BU161" s="210"/>
      <c r="BV161" s="210"/>
      <c r="BW161" s="210"/>
      <c r="BX161" s="210"/>
      <c r="BY161" s="210"/>
      <c r="BZ161" s="210"/>
      <c r="CA161" s="210"/>
      <c r="CB161" s="210"/>
      <c r="CC161" s="210"/>
      <c r="CD161" s="210"/>
      <c r="CE161" s="210"/>
      <c r="CF161" s="210"/>
      <c r="CG161" s="210"/>
      <c r="CH161" s="210"/>
      <c r="CI161" s="210"/>
      <c r="CJ161" s="210"/>
      <c r="CK161" s="210"/>
    </row>
    <row r="162">
      <c r="A162" s="222" t="s">
        <v>518</v>
      </c>
      <c r="B162" s="190" t="s">
        <v>519</v>
      </c>
      <c r="C162" s="223" t="s">
        <v>66</v>
      </c>
      <c r="D162" s="223" t="s">
        <v>859</v>
      </c>
      <c r="E162" s="190" t="s">
        <v>21</v>
      </c>
      <c r="F162" s="190"/>
      <c r="G162" s="190"/>
      <c r="H162" s="219">
        <f>IFERROR(
  MINIFS(ATTENDANCE_LOG!$F:$F,
         ATTENDANCE_LOG!$A:$A, C162,
         ATTENDANCE_LOG!$B:$B, E162),
"")</f>
        <v>45693.45833</v>
      </c>
      <c r="I162" s="219">
        <f t="shared" si="2"/>
        <v>45693.45833</v>
      </c>
      <c r="J162" s="190" t="str">
        <f>IFERROR(VLOOKUP(F162, LEVEL_HELPER!$A:$B, 2, 0), "")</f>
        <v/>
      </c>
      <c r="K162" s="190" t="str">
        <f>IFERROR(VLOOKUP(G162, LEVEL_HELPER!$A:$B, 2, 0), "")</f>
        <v/>
      </c>
      <c r="L162" s="220" t="s">
        <v>943</v>
      </c>
      <c r="M162" s="220" t="s">
        <v>926</v>
      </c>
      <c r="N162" s="190" t="str">
        <f t="array" ref="N162">IFERROR(
  INDEX($J$2:$J$543,
    MATCH(A162&amp;TEXT(I162,"yyyy-mm-dd"),
          $A$2:$A$543&amp;TEXT($H$2:$H$543,"yyyy-mm-dd"),
          0)),
"")</f>
        <v/>
      </c>
      <c r="O162" s="210">
        <f t="shared" si="3"/>
        <v>0</v>
      </c>
      <c r="P162" s="210">
        <f t="shared" ref="P162:Q162" si="172">IF(N162="",0,IF(N162&lt;=2,1,IF(N162&lt;=4,2,IF(N162&lt;=5.5,3,4))))</f>
        <v>0</v>
      </c>
      <c r="Q162" s="210">
        <f t="shared" si="172"/>
        <v>1</v>
      </c>
      <c r="R162" s="210" t="str">
        <f t="shared" si="5"/>
        <v>No Data</v>
      </c>
      <c r="S162" s="210">
        <f t="shared" si="6"/>
        <v>1</v>
      </c>
      <c r="T162" s="210"/>
      <c r="U162" s="210"/>
      <c r="V162" s="211" t="s">
        <v>615</v>
      </c>
      <c r="W162" s="210" t="str">
        <f t="shared" si="7"/>
        <v>QC</v>
      </c>
      <c r="X162" s="210" t="str">
        <f t="shared" si="8"/>
        <v>QC</v>
      </c>
      <c r="Y162" s="210" t="str">
        <f t="shared" si="9"/>
        <v>LBU</v>
      </c>
      <c r="Z162" s="210"/>
      <c r="AA162" s="210"/>
      <c r="AB162" s="210"/>
      <c r="AC162" s="210"/>
      <c r="AD162" s="210"/>
      <c r="AE162" s="210"/>
      <c r="AF162" s="210"/>
      <c r="AG162" s="210"/>
      <c r="AH162" s="210"/>
      <c r="AI162" s="210"/>
      <c r="AJ162" s="210"/>
      <c r="AK162" s="210"/>
      <c r="AL162" s="210"/>
      <c r="AM162" s="214"/>
      <c r="AN162" s="210"/>
      <c r="AO162" s="210" t="str">
        <f t="shared" si="10"/>
        <v>#N/A</v>
      </c>
      <c r="AP162" s="210" t="str">
        <f t="shared" si="11"/>
        <v>#N/A</v>
      </c>
      <c r="AQ162" s="210" t="str">
        <f t="shared" si="12"/>
        <v>#N/A</v>
      </c>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c r="BU162" s="210"/>
      <c r="BV162" s="210"/>
      <c r="BW162" s="210"/>
      <c r="BX162" s="210"/>
      <c r="BY162" s="210"/>
      <c r="BZ162" s="210"/>
      <c r="CA162" s="210"/>
      <c r="CB162" s="210"/>
      <c r="CC162" s="210"/>
      <c r="CD162" s="210"/>
      <c r="CE162" s="210"/>
      <c r="CF162" s="210"/>
      <c r="CG162" s="210"/>
      <c r="CH162" s="210"/>
      <c r="CI162" s="210"/>
      <c r="CJ162" s="210"/>
      <c r="CK162" s="210"/>
    </row>
    <row r="163">
      <c r="A163" s="222" t="s">
        <v>522</v>
      </c>
      <c r="B163" s="190" t="s">
        <v>523</v>
      </c>
      <c r="C163" s="223" t="s">
        <v>66</v>
      </c>
      <c r="D163" s="223" t="s">
        <v>859</v>
      </c>
      <c r="E163" s="190" t="s">
        <v>21</v>
      </c>
      <c r="F163" s="190"/>
      <c r="G163" s="190"/>
      <c r="H163" s="219">
        <f>IFERROR(
  MINIFS(ATTENDANCE_LOG!$F:$F,
         ATTENDANCE_LOG!$A:$A, C163,
         ATTENDANCE_LOG!$B:$B, E163),
"")</f>
        <v>45693.45833</v>
      </c>
      <c r="I163" s="219">
        <f t="shared" si="2"/>
        <v>45693.45833</v>
      </c>
      <c r="J163" s="190" t="str">
        <f>IFERROR(VLOOKUP(F163, LEVEL_HELPER!$A:$B, 2, 0), "")</f>
        <v/>
      </c>
      <c r="K163" s="190" t="str">
        <f>IFERROR(VLOOKUP(G163, LEVEL_HELPER!$A:$B, 2, 0), "")</f>
        <v/>
      </c>
      <c r="L163" s="220" t="s">
        <v>943</v>
      </c>
      <c r="M163" s="220" t="s">
        <v>926</v>
      </c>
      <c r="N163" s="190" t="str">
        <f t="array" ref="N163">IFERROR(
  INDEX($J$2:$J$543,
    MATCH(A163&amp;TEXT(I163,"yyyy-mm-dd"),
          $A$2:$A$543&amp;TEXT($H$2:$H$543,"yyyy-mm-dd"),
          0)),
"")</f>
        <v/>
      </c>
      <c r="O163" s="210">
        <f t="shared" si="3"/>
        <v>0</v>
      </c>
      <c r="P163" s="210">
        <f t="shared" ref="P163:Q163" si="173">IF(N163="",0,IF(N163&lt;=2,1,IF(N163&lt;=4,2,IF(N163&lt;=5.5,3,4))))</f>
        <v>0</v>
      </c>
      <c r="Q163" s="210">
        <f t="shared" si="173"/>
        <v>1</v>
      </c>
      <c r="R163" s="210" t="str">
        <f t="shared" si="5"/>
        <v>No Data</v>
      </c>
      <c r="S163" s="210">
        <f t="shared" si="6"/>
        <v>1</v>
      </c>
      <c r="T163" s="210"/>
      <c r="U163" s="210"/>
      <c r="V163" s="211" t="s">
        <v>685</v>
      </c>
      <c r="W163" s="210" t="str">
        <f t="shared" si="7"/>
        <v>DEV</v>
      </c>
      <c r="X163" s="210" t="str">
        <f t="shared" si="8"/>
        <v>DEV, TA</v>
      </c>
      <c r="Y163" s="210" t="str">
        <f t="shared" si="9"/>
        <v>LBU</v>
      </c>
      <c r="Z163" s="210"/>
      <c r="AA163" s="210"/>
      <c r="AB163" s="210"/>
      <c r="AC163" s="210"/>
      <c r="AD163" s="210"/>
      <c r="AE163" s="210"/>
      <c r="AF163" s="210"/>
      <c r="AG163" s="210"/>
      <c r="AH163" s="210"/>
      <c r="AI163" s="210"/>
      <c r="AJ163" s="210"/>
      <c r="AK163" s="210"/>
      <c r="AL163" s="210"/>
      <c r="AM163" s="214"/>
      <c r="AN163" s="210"/>
      <c r="AO163" s="210" t="str">
        <f t="shared" si="10"/>
        <v>#N/A</v>
      </c>
      <c r="AP163" s="210" t="str">
        <f t="shared" si="11"/>
        <v>#N/A</v>
      </c>
      <c r="AQ163" s="210" t="str">
        <f t="shared" si="12"/>
        <v>#N/A</v>
      </c>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c r="BU163" s="210"/>
      <c r="BV163" s="210"/>
      <c r="BW163" s="210"/>
      <c r="BX163" s="210"/>
      <c r="BY163" s="210"/>
      <c r="BZ163" s="210"/>
      <c r="CA163" s="210"/>
      <c r="CB163" s="210"/>
      <c r="CC163" s="210"/>
      <c r="CD163" s="210"/>
      <c r="CE163" s="210"/>
      <c r="CF163" s="210"/>
      <c r="CG163" s="210"/>
      <c r="CH163" s="210"/>
      <c r="CI163" s="210"/>
      <c r="CJ163" s="210"/>
      <c r="CK163" s="210"/>
    </row>
    <row r="164">
      <c r="A164" s="222" t="s">
        <v>589</v>
      </c>
      <c r="B164" s="190" t="s">
        <v>590</v>
      </c>
      <c r="C164" s="223" t="s">
        <v>66</v>
      </c>
      <c r="D164" s="223" t="s">
        <v>859</v>
      </c>
      <c r="E164" s="190" t="s">
        <v>21</v>
      </c>
      <c r="F164" s="190"/>
      <c r="G164" s="190"/>
      <c r="H164" s="219">
        <f>IFERROR(
  MINIFS(ATTENDANCE_LOG!$F:$F,
         ATTENDANCE_LOG!$A:$A, C164,
         ATTENDANCE_LOG!$B:$B, E164),
"")</f>
        <v>45693.45833</v>
      </c>
      <c r="I164" s="219">
        <f t="shared" si="2"/>
        <v>45693.45833</v>
      </c>
      <c r="J164" s="190" t="str">
        <f>IFERROR(VLOOKUP(F164, LEVEL_HELPER!$A:$B, 2, 0), "")</f>
        <v/>
      </c>
      <c r="K164" s="190" t="str">
        <f>IFERROR(VLOOKUP(G164, LEVEL_HELPER!$A:$B, 2, 0), "")</f>
        <v/>
      </c>
      <c r="L164" s="220" t="s">
        <v>943</v>
      </c>
      <c r="M164" s="220" t="s">
        <v>926</v>
      </c>
      <c r="N164" s="190" t="str">
        <f t="array" ref="N164">IFERROR(
  INDEX($J$2:$J$543,
    MATCH(A164&amp;TEXT(I164,"yyyy-mm-dd"),
          $A$2:$A$543&amp;TEXT($H$2:$H$543,"yyyy-mm-dd"),
          0)),
"")</f>
        <v/>
      </c>
      <c r="O164" s="210">
        <f t="shared" si="3"/>
        <v>0</v>
      </c>
      <c r="P164" s="210">
        <f t="shared" ref="P164:Q164" si="174">IF(N164="",0,IF(N164&lt;=2,1,IF(N164&lt;=4,2,IF(N164&lt;=5.5,3,4))))</f>
        <v>0</v>
      </c>
      <c r="Q164" s="210">
        <f t="shared" si="174"/>
        <v>1</v>
      </c>
      <c r="R164" s="210" t="str">
        <f t="shared" si="5"/>
        <v>No Data</v>
      </c>
      <c r="S164" s="210">
        <f t="shared" si="6"/>
        <v>1</v>
      </c>
      <c r="T164" s="210"/>
      <c r="U164" s="210"/>
      <c r="V164" s="211" t="s">
        <v>709</v>
      </c>
      <c r="W164" s="210" t="str">
        <f t="shared" si="7"/>
        <v>DEV</v>
      </c>
      <c r="X164" s="210" t="str">
        <f t="shared" si="8"/>
        <v>DEV, TA</v>
      </c>
      <c r="Y164" s="210" t="str">
        <f t="shared" si="9"/>
        <v>LBU</v>
      </c>
      <c r="Z164" s="210"/>
      <c r="AA164" s="210"/>
      <c r="AB164" s="210"/>
      <c r="AC164" s="210"/>
      <c r="AD164" s="210"/>
      <c r="AE164" s="210"/>
      <c r="AF164" s="210"/>
      <c r="AG164" s="210"/>
      <c r="AH164" s="210"/>
      <c r="AI164" s="210"/>
      <c r="AJ164" s="210"/>
      <c r="AK164" s="210"/>
      <c r="AL164" s="210"/>
      <c r="AM164" s="214"/>
      <c r="AN164" s="210"/>
      <c r="AO164" s="210" t="str">
        <f t="shared" si="10"/>
        <v>#N/A</v>
      </c>
      <c r="AP164" s="210" t="str">
        <f t="shared" si="11"/>
        <v>#N/A</v>
      </c>
      <c r="AQ164" s="210" t="str">
        <f t="shared" si="12"/>
        <v>#N/A</v>
      </c>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c r="BU164" s="210"/>
      <c r="BV164" s="210"/>
      <c r="BW164" s="210"/>
      <c r="BX164" s="210"/>
      <c r="BY164" s="210"/>
      <c r="BZ164" s="210"/>
      <c r="CA164" s="210"/>
      <c r="CB164" s="210"/>
      <c r="CC164" s="210"/>
      <c r="CD164" s="210"/>
      <c r="CE164" s="210"/>
      <c r="CF164" s="210"/>
      <c r="CG164" s="210"/>
      <c r="CH164" s="210"/>
      <c r="CI164" s="210"/>
      <c r="CJ164" s="210"/>
      <c r="CK164" s="210"/>
    </row>
    <row r="165">
      <c r="A165" s="222" t="s">
        <v>645</v>
      </c>
      <c r="B165" s="190" t="s">
        <v>646</v>
      </c>
      <c r="C165" s="223" t="s">
        <v>66</v>
      </c>
      <c r="D165" s="223" t="s">
        <v>859</v>
      </c>
      <c r="E165" s="190" t="s">
        <v>21</v>
      </c>
      <c r="F165" s="190"/>
      <c r="G165" s="190"/>
      <c r="H165" s="219">
        <f>IFERROR(
  MINIFS(ATTENDANCE_LOG!$F:$F,
         ATTENDANCE_LOG!$A:$A, C165,
         ATTENDANCE_LOG!$B:$B, E165),
"")</f>
        <v>45693.45833</v>
      </c>
      <c r="I165" s="219">
        <f t="shared" si="2"/>
        <v>45693.45833</v>
      </c>
      <c r="J165" s="190" t="str">
        <f>IFERROR(VLOOKUP(F165, LEVEL_HELPER!$A:$B, 2, 0), "")</f>
        <v/>
      </c>
      <c r="K165" s="190" t="str">
        <f>IFERROR(VLOOKUP(G165, LEVEL_HELPER!$A:$B, 2, 0), "")</f>
        <v/>
      </c>
      <c r="L165" s="220" t="s">
        <v>943</v>
      </c>
      <c r="M165" s="220" t="s">
        <v>926</v>
      </c>
      <c r="N165" s="190" t="str">
        <f t="array" ref="N165">IFERROR(
  INDEX($J$2:$J$543,
    MATCH(A165&amp;TEXT(I165,"yyyy-mm-dd"),
          $A$2:$A$543&amp;TEXT($H$2:$H$543,"yyyy-mm-dd"),
          0)),
"")</f>
        <v/>
      </c>
      <c r="O165" s="210">
        <f t="shared" si="3"/>
        <v>0</v>
      </c>
      <c r="P165" s="210">
        <f t="shared" ref="P165:Q165" si="175">IF(N165="",0,IF(N165&lt;=2,1,IF(N165&lt;=4,2,IF(N165&lt;=5.5,3,4))))</f>
        <v>0</v>
      </c>
      <c r="Q165" s="210">
        <f t="shared" si="175"/>
        <v>1</v>
      </c>
      <c r="R165" s="210" t="str">
        <f t="shared" si="5"/>
        <v>No Data</v>
      </c>
      <c r="S165" s="210">
        <f t="shared" si="6"/>
        <v>1</v>
      </c>
      <c r="T165" s="210"/>
      <c r="U165" s="210"/>
      <c r="V165" s="211" t="s">
        <v>421</v>
      </c>
      <c r="W165" s="210" t="str">
        <f t="shared" si="7"/>
        <v>GSD</v>
      </c>
      <c r="X165" s="210" t="str">
        <f t="shared" si="8"/>
        <v>GSD</v>
      </c>
      <c r="Y165" s="210" t="str">
        <f t="shared" si="9"/>
        <v>LBU</v>
      </c>
      <c r="Z165" s="210"/>
      <c r="AA165" s="210"/>
      <c r="AB165" s="210"/>
      <c r="AC165" s="210"/>
      <c r="AD165" s="210"/>
      <c r="AE165" s="210"/>
      <c r="AF165" s="210"/>
      <c r="AG165" s="210"/>
      <c r="AH165" s="210"/>
      <c r="AI165" s="210"/>
      <c r="AJ165" s="210"/>
      <c r="AK165" s="210"/>
      <c r="AL165" s="210"/>
      <c r="AM165" s="214"/>
      <c r="AN165" s="210"/>
      <c r="AO165" s="210" t="str">
        <f t="shared" si="10"/>
        <v>#N/A</v>
      </c>
      <c r="AP165" s="210" t="str">
        <f t="shared" si="11"/>
        <v>#N/A</v>
      </c>
      <c r="AQ165" s="210" t="str">
        <f t="shared" si="12"/>
        <v>#N/A</v>
      </c>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c r="BU165" s="210"/>
      <c r="BV165" s="210"/>
      <c r="BW165" s="210"/>
      <c r="BX165" s="210"/>
      <c r="BY165" s="210"/>
      <c r="BZ165" s="210"/>
      <c r="CA165" s="210"/>
      <c r="CB165" s="210"/>
      <c r="CC165" s="210"/>
      <c r="CD165" s="210"/>
      <c r="CE165" s="210"/>
      <c r="CF165" s="210"/>
      <c r="CG165" s="210"/>
      <c r="CH165" s="210"/>
      <c r="CI165" s="210"/>
      <c r="CJ165" s="210"/>
      <c r="CK165" s="210"/>
    </row>
    <row r="166">
      <c r="A166" s="216" t="s">
        <v>142</v>
      </c>
      <c r="B166" s="217" t="s">
        <v>143</v>
      </c>
      <c r="C166" s="218" t="s">
        <v>67</v>
      </c>
      <c r="D166" s="218" t="s">
        <v>860</v>
      </c>
      <c r="E166" s="217" t="s">
        <v>21</v>
      </c>
      <c r="F166" s="190"/>
      <c r="G166" s="190"/>
      <c r="H166" s="219">
        <f>IFERROR(
  MINIFS(ATTENDANCE_LOG!$F:$F,
         ATTENDANCE_LOG!$A:$A, C166,
         ATTENDANCE_LOG!$B:$B, E166),
"")</f>
        <v>45639.45833</v>
      </c>
      <c r="I166" s="219">
        <f t="shared" si="2"/>
        <v>45639.45833</v>
      </c>
      <c r="J166" s="190" t="str">
        <f>IFERROR(VLOOKUP(F166, LEVEL_HELPER!$A:$B, 2, 0), "")</f>
        <v/>
      </c>
      <c r="K166" s="190" t="str">
        <f>IFERROR(VLOOKUP(G166, LEVEL_HELPER!$A:$B, 2, 0), "")</f>
        <v/>
      </c>
      <c r="L166" s="229" t="s">
        <v>948</v>
      </c>
      <c r="M166" s="220" t="s">
        <v>921</v>
      </c>
      <c r="N166" s="190" t="str">
        <f t="array" ref="N166">IFERROR(
  INDEX($J$2:$J$543,
    MATCH(A166&amp;TEXT(I166,"yyyy-mm-dd"),
          $A$2:$A$543&amp;TEXT($H$2:$H$543,"yyyy-mm-dd"),
          0)),
"")</f>
        <v/>
      </c>
      <c r="O166" s="210">
        <f t="shared" si="3"/>
        <v>0</v>
      </c>
      <c r="P166" s="210">
        <f t="shared" ref="P166:Q166" si="176">IF(N166="",0,IF(N166&lt;=2,1,IF(N166&lt;=4,2,IF(N166&lt;=5.5,3,4))))</f>
        <v>0</v>
      </c>
      <c r="Q166" s="210">
        <f t="shared" si="176"/>
        <v>1</v>
      </c>
      <c r="R166" s="210" t="str">
        <f t="shared" si="5"/>
        <v>No Data</v>
      </c>
      <c r="S166" s="210">
        <f t="shared" si="6"/>
        <v>1</v>
      </c>
      <c r="T166" s="210"/>
      <c r="U166" s="210"/>
      <c r="V166" s="211" t="s">
        <v>147</v>
      </c>
      <c r="W166" s="210" t="str">
        <f t="shared" si="7"/>
        <v>GSD</v>
      </c>
      <c r="X166" s="210" t="str">
        <f t="shared" si="8"/>
        <v>GSD</v>
      </c>
      <c r="Y166" s="210" t="str">
        <f t="shared" si="9"/>
        <v>LBU</v>
      </c>
      <c r="Z166" s="210"/>
      <c r="AA166" s="210"/>
      <c r="AB166" s="210"/>
      <c r="AC166" s="210"/>
      <c r="AD166" s="210"/>
      <c r="AE166" s="210"/>
      <c r="AF166" s="210"/>
      <c r="AG166" s="210"/>
      <c r="AH166" s="210"/>
      <c r="AI166" s="210"/>
      <c r="AJ166" s="210"/>
      <c r="AK166" s="210"/>
      <c r="AL166" s="210"/>
      <c r="AM166" s="214"/>
      <c r="AN166" s="210"/>
      <c r="AO166" s="210" t="str">
        <f t="shared" si="10"/>
        <v>#N/A</v>
      </c>
      <c r="AP166" s="210" t="str">
        <f t="shared" si="11"/>
        <v>#N/A</v>
      </c>
      <c r="AQ166" s="210" t="str">
        <f t="shared" si="12"/>
        <v>#N/A</v>
      </c>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c r="BU166" s="210"/>
      <c r="BV166" s="210"/>
      <c r="BW166" s="210"/>
      <c r="BX166" s="210"/>
      <c r="BY166" s="210"/>
      <c r="BZ166" s="210"/>
      <c r="CA166" s="210"/>
      <c r="CB166" s="210"/>
      <c r="CC166" s="210"/>
      <c r="CD166" s="210"/>
      <c r="CE166" s="210"/>
      <c r="CF166" s="210"/>
      <c r="CG166" s="210"/>
      <c r="CH166" s="210"/>
      <c r="CI166" s="210"/>
      <c r="CJ166" s="210"/>
      <c r="CK166" s="210"/>
    </row>
    <row r="167">
      <c r="A167" s="222" t="s">
        <v>204</v>
      </c>
      <c r="B167" s="190" t="s">
        <v>205</v>
      </c>
      <c r="C167" s="223" t="s">
        <v>67</v>
      </c>
      <c r="D167" s="223" t="s">
        <v>860</v>
      </c>
      <c r="E167" s="190" t="s">
        <v>21</v>
      </c>
      <c r="F167" s="190"/>
      <c r="G167" s="190"/>
      <c r="H167" s="219">
        <f>IFERROR(
  MINIFS(ATTENDANCE_LOG!$F:$F,
         ATTENDANCE_LOG!$A:$A, C167,
         ATTENDANCE_LOG!$B:$B, E167),
"")</f>
        <v>45639.45833</v>
      </c>
      <c r="I167" s="219">
        <f t="shared" si="2"/>
        <v>45639.45833</v>
      </c>
      <c r="J167" s="190" t="str">
        <f>IFERROR(VLOOKUP(F167, LEVEL_HELPER!$A:$B, 2, 0), "")</f>
        <v/>
      </c>
      <c r="K167" s="190" t="str">
        <f>IFERROR(VLOOKUP(G167, LEVEL_HELPER!$A:$B, 2, 0), "")</f>
        <v/>
      </c>
      <c r="L167" s="229" t="s">
        <v>948</v>
      </c>
      <c r="M167" s="220" t="s">
        <v>923</v>
      </c>
      <c r="N167" s="190" t="str">
        <f t="array" ref="N167">IFERROR(
  INDEX($J$2:$J$543,
    MATCH(A167&amp;TEXT(I167,"yyyy-mm-dd"),
          $A$2:$A$543&amp;TEXT($H$2:$H$543,"yyyy-mm-dd"),
          0)),
"")</f>
        <v/>
      </c>
      <c r="O167" s="210">
        <f t="shared" si="3"/>
        <v>0</v>
      </c>
      <c r="P167" s="210">
        <f t="shared" ref="P167:Q167" si="177">IF(N167="",0,IF(N167&lt;=2,1,IF(N167&lt;=4,2,IF(N167&lt;=5.5,3,4))))</f>
        <v>0</v>
      </c>
      <c r="Q167" s="210">
        <f t="shared" si="177"/>
        <v>1</v>
      </c>
      <c r="R167" s="210" t="str">
        <f t="shared" si="5"/>
        <v>No Data</v>
      </c>
      <c r="S167" s="210">
        <f t="shared" si="6"/>
        <v>1</v>
      </c>
      <c r="T167" s="210"/>
      <c r="U167" s="210"/>
      <c r="V167" s="211" t="s">
        <v>255</v>
      </c>
      <c r="W167" s="210" t="str">
        <f t="shared" si="7"/>
        <v>GSD</v>
      </c>
      <c r="X167" s="210" t="str">
        <f t="shared" si="8"/>
        <v>GSD</v>
      </c>
      <c r="Y167" s="210" t="str">
        <f t="shared" si="9"/>
        <v>LBU</v>
      </c>
      <c r="Z167" s="210"/>
      <c r="AA167" s="210"/>
      <c r="AB167" s="210"/>
      <c r="AC167" s="210"/>
      <c r="AD167" s="210"/>
      <c r="AE167" s="210"/>
      <c r="AF167" s="210"/>
      <c r="AG167" s="210"/>
      <c r="AH167" s="210"/>
      <c r="AI167" s="210"/>
      <c r="AJ167" s="210"/>
      <c r="AK167" s="210"/>
      <c r="AL167" s="210"/>
      <c r="AM167" s="214"/>
      <c r="AN167" s="210"/>
      <c r="AO167" s="210" t="str">
        <f t="shared" si="10"/>
        <v>#N/A</v>
      </c>
      <c r="AP167" s="210" t="str">
        <f t="shared" si="11"/>
        <v>#N/A</v>
      </c>
      <c r="AQ167" s="210" t="str">
        <f t="shared" si="12"/>
        <v>#N/A</v>
      </c>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c r="BU167" s="210"/>
      <c r="BV167" s="210"/>
      <c r="BW167" s="210"/>
      <c r="BX167" s="210"/>
      <c r="BY167" s="210"/>
      <c r="BZ167" s="210"/>
      <c r="CA167" s="210"/>
      <c r="CB167" s="210"/>
      <c r="CC167" s="210"/>
      <c r="CD167" s="210"/>
      <c r="CE167" s="210"/>
      <c r="CF167" s="210"/>
      <c r="CG167" s="210"/>
      <c r="CH167" s="210"/>
      <c r="CI167" s="210"/>
      <c r="CJ167" s="210"/>
      <c r="CK167" s="210"/>
    </row>
    <row r="168">
      <c r="A168" s="222" t="s">
        <v>222</v>
      </c>
      <c r="B168" s="190" t="s">
        <v>223</v>
      </c>
      <c r="C168" s="223" t="s">
        <v>67</v>
      </c>
      <c r="D168" s="223" t="s">
        <v>860</v>
      </c>
      <c r="E168" s="190" t="s">
        <v>21</v>
      </c>
      <c r="F168" s="190"/>
      <c r="G168" s="190"/>
      <c r="H168" s="219">
        <f>IFERROR(
  MINIFS(ATTENDANCE_LOG!$F:$F,
         ATTENDANCE_LOG!$A:$A, C168,
         ATTENDANCE_LOG!$B:$B, E168),
"")</f>
        <v>45639.45833</v>
      </c>
      <c r="I168" s="219">
        <f t="shared" si="2"/>
        <v>45639.45833</v>
      </c>
      <c r="J168" s="190" t="str">
        <f>IFERROR(VLOOKUP(F168, LEVEL_HELPER!$A:$B, 2, 0), "")</f>
        <v/>
      </c>
      <c r="K168" s="190" t="str">
        <f>IFERROR(VLOOKUP(G168, LEVEL_HELPER!$A:$B, 2, 0), "")</f>
        <v/>
      </c>
      <c r="L168" s="229" t="s">
        <v>948</v>
      </c>
      <c r="M168" s="220" t="s">
        <v>921</v>
      </c>
      <c r="N168" s="190" t="str">
        <f t="array" ref="N168">IFERROR(
  INDEX($J$2:$J$543,
    MATCH(A168&amp;TEXT(I168,"yyyy-mm-dd"),
          $A$2:$A$543&amp;TEXT($H$2:$H$543,"yyyy-mm-dd"),
          0)),
"")</f>
        <v/>
      </c>
      <c r="O168" s="210">
        <f t="shared" si="3"/>
        <v>0</v>
      </c>
      <c r="P168" s="210">
        <f t="shared" ref="P168:Q168" si="178">IF(N168="",0,IF(N168&lt;=2,1,IF(N168&lt;=4,2,IF(N168&lt;=5.5,3,4))))</f>
        <v>0</v>
      </c>
      <c r="Q168" s="210">
        <f t="shared" si="178"/>
        <v>1</v>
      </c>
      <c r="R168" s="210" t="str">
        <f t="shared" si="5"/>
        <v>No Data</v>
      </c>
      <c r="S168" s="210">
        <f t="shared" si="6"/>
        <v>1</v>
      </c>
      <c r="T168" s="210"/>
      <c r="U168" s="210"/>
      <c r="V168" s="211" t="s">
        <v>273</v>
      </c>
      <c r="W168" s="210" t="str">
        <f t="shared" si="7"/>
        <v>GSD</v>
      </c>
      <c r="X168" s="210" t="str">
        <f t="shared" si="8"/>
        <v>GSD</v>
      </c>
      <c r="Y168" s="210" t="str">
        <f t="shared" si="9"/>
        <v>LBU</v>
      </c>
      <c r="Z168" s="210"/>
      <c r="AA168" s="210"/>
      <c r="AB168" s="210"/>
      <c r="AC168" s="210"/>
      <c r="AD168" s="210"/>
      <c r="AE168" s="210"/>
      <c r="AF168" s="210"/>
      <c r="AG168" s="210"/>
      <c r="AH168" s="210"/>
      <c r="AI168" s="210"/>
      <c r="AJ168" s="210"/>
      <c r="AK168" s="210"/>
      <c r="AL168" s="210"/>
      <c r="AM168" s="214"/>
      <c r="AN168" s="210"/>
      <c r="AO168" s="210" t="str">
        <f t="shared" si="10"/>
        <v>#N/A</v>
      </c>
      <c r="AP168" s="210" t="str">
        <f t="shared" si="11"/>
        <v>#N/A</v>
      </c>
      <c r="AQ168" s="210" t="str">
        <f t="shared" si="12"/>
        <v>#N/A</v>
      </c>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c r="BU168" s="210"/>
      <c r="BV168" s="210"/>
      <c r="BW168" s="210"/>
      <c r="BX168" s="210"/>
      <c r="BY168" s="210"/>
      <c r="BZ168" s="210"/>
      <c r="CA168" s="210"/>
      <c r="CB168" s="210"/>
      <c r="CC168" s="210"/>
      <c r="CD168" s="210"/>
      <c r="CE168" s="210"/>
      <c r="CF168" s="210"/>
      <c r="CG168" s="210"/>
      <c r="CH168" s="210"/>
      <c r="CI168" s="210"/>
      <c r="CJ168" s="210"/>
      <c r="CK168" s="210"/>
    </row>
    <row r="169">
      <c r="A169" s="222" t="s">
        <v>292</v>
      </c>
      <c r="B169" s="190" t="s">
        <v>293</v>
      </c>
      <c r="C169" s="223" t="s">
        <v>67</v>
      </c>
      <c r="D169" s="223" t="s">
        <v>860</v>
      </c>
      <c r="E169" s="190" t="s">
        <v>21</v>
      </c>
      <c r="F169" s="190"/>
      <c r="G169" s="190"/>
      <c r="H169" s="219">
        <f>IFERROR(
  MINIFS(ATTENDANCE_LOG!$F:$F,
         ATTENDANCE_LOG!$A:$A, C169,
         ATTENDANCE_LOG!$B:$B, E169),
"")</f>
        <v>45639.45833</v>
      </c>
      <c r="I169" s="219">
        <f t="shared" si="2"/>
        <v>45639.45833</v>
      </c>
      <c r="J169" s="190" t="str">
        <f>IFERROR(VLOOKUP(F169, LEVEL_HELPER!$A:$B, 2, 0), "")</f>
        <v/>
      </c>
      <c r="K169" s="190" t="str">
        <f>IFERROR(VLOOKUP(G169, LEVEL_HELPER!$A:$B, 2, 0), "")</f>
        <v/>
      </c>
      <c r="L169" s="229" t="s">
        <v>948</v>
      </c>
      <c r="M169" s="220" t="s">
        <v>921</v>
      </c>
      <c r="N169" s="190" t="str">
        <f t="array" ref="N169">IFERROR(
  INDEX($J$2:$J$543,
    MATCH(A169&amp;TEXT(I169,"yyyy-mm-dd"),
          $A$2:$A$543&amp;TEXT($H$2:$H$543,"yyyy-mm-dd"),
          0)),
"")</f>
        <v/>
      </c>
      <c r="O169" s="210">
        <f t="shared" si="3"/>
        <v>0</v>
      </c>
      <c r="P169" s="210">
        <f t="shared" ref="P169:Q169" si="179">IF(N169="",0,IF(N169&lt;=2,1,IF(N169&lt;=4,2,IF(N169&lt;=5.5,3,4))))</f>
        <v>0</v>
      </c>
      <c r="Q169" s="210">
        <f t="shared" si="179"/>
        <v>1</v>
      </c>
      <c r="R169" s="210" t="str">
        <f t="shared" si="5"/>
        <v>No Data</v>
      </c>
      <c r="S169" s="210">
        <f t="shared" si="6"/>
        <v>1</v>
      </c>
      <c r="T169" s="210"/>
      <c r="U169" s="210"/>
      <c r="V169" s="211" t="s">
        <v>302</v>
      </c>
      <c r="W169" s="210" t="str">
        <f t="shared" si="7"/>
        <v>BA</v>
      </c>
      <c r="X169" s="210" t="str">
        <f t="shared" si="8"/>
        <v>BA, BC</v>
      </c>
      <c r="Y169" s="210" t="str">
        <f t="shared" si="9"/>
        <v>LBU</v>
      </c>
      <c r="Z169" s="210"/>
      <c r="AA169" s="210"/>
      <c r="AB169" s="210"/>
      <c r="AC169" s="210"/>
      <c r="AD169" s="210"/>
      <c r="AE169" s="210"/>
      <c r="AF169" s="210"/>
      <c r="AG169" s="210"/>
      <c r="AH169" s="210"/>
      <c r="AI169" s="210"/>
      <c r="AJ169" s="210"/>
      <c r="AK169" s="210"/>
      <c r="AL169" s="210"/>
      <c r="AM169" s="214"/>
      <c r="AN169" s="210"/>
      <c r="AO169" s="210" t="str">
        <f t="shared" si="10"/>
        <v>#N/A</v>
      </c>
      <c r="AP169" s="210" t="str">
        <f t="shared" si="11"/>
        <v>#N/A</v>
      </c>
      <c r="AQ169" s="210" t="str">
        <f t="shared" si="12"/>
        <v>#N/A</v>
      </c>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c r="BU169" s="210"/>
      <c r="BV169" s="210"/>
      <c r="BW169" s="210"/>
      <c r="BX169" s="210"/>
      <c r="BY169" s="210"/>
      <c r="BZ169" s="210"/>
      <c r="CA169" s="210"/>
      <c r="CB169" s="210"/>
      <c r="CC169" s="210"/>
      <c r="CD169" s="210"/>
      <c r="CE169" s="210"/>
      <c r="CF169" s="210"/>
      <c r="CG169" s="210"/>
      <c r="CH169" s="210"/>
      <c r="CI169" s="210"/>
      <c r="CJ169" s="210"/>
      <c r="CK169" s="210"/>
    </row>
    <row r="170">
      <c r="A170" s="222" t="s">
        <v>348</v>
      </c>
      <c r="B170" s="190" t="s">
        <v>349</v>
      </c>
      <c r="C170" s="223" t="s">
        <v>67</v>
      </c>
      <c r="D170" s="223" t="s">
        <v>860</v>
      </c>
      <c r="E170" s="190" t="s">
        <v>21</v>
      </c>
      <c r="F170" s="13" t="s">
        <v>917</v>
      </c>
      <c r="G170" s="13" t="s">
        <v>932</v>
      </c>
      <c r="H170" s="219">
        <f>IFERROR(
  MINIFS(ATTENDANCE_LOG!$F:$F,
         ATTENDANCE_LOG!$A:$A, C170,
         ATTENDANCE_LOG!$B:$B, E170),
"")</f>
        <v>45639.45833</v>
      </c>
      <c r="I170" s="219">
        <f t="shared" si="2"/>
        <v>45639.45833</v>
      </c>
      <c r="J170" s="190">
        <f>IFERROR(VLOOKUP(F170, LEVEL_HELPER!$A:$B, 2, 0), "")</f>
        <v>2.5</v>
      </c>
      <c r="K170" s="190">
        <f>IFERROR(VLOOKUP(G170, LEVEL_HELPER!$A:$B, 2, 0), "")</f>
        <v>4.5</v>
      </c>
      <c r="L170" s="229" t="s">
        <v>948</v>
      </c>
      <c r="M170" s="220" t="s">
        <v>921</v>
      </c>
      <c r="N170" s="190">
        <f t="array" ref="N170">IFERROR(
  INDEX($J$2:$J$543,
    MATCH(A170&amp;TEXT(I170,"yyyy-mm-dd"),
          $A$2:$A$543&amp;TEXT($H$2:$H$543,"yyyy-mm-dd"),
          0)),
"")</f>
        <v>2.5</v>
      </c>
      <c r="O170" s="210">
        <f t="shared" si="3"/>
        <v>4.5</v>
      </c>
      <c r="P170" s="210">
        <f t="shared" ref="P170:Q170" si="180">IF(N170="",0,IF(N170&lt;=2,1,IF(N170&lt;=4,2,IF(N170&lt;=5.5,3,4))))</f>
        <v>2</v>
      </c>
      <c r="Q170" s="210">
        <f t="shared" si="180"/>
        <v>3</v>
      </c>
      <c r="R170" s="210" t="str">
        <f t="shared" si="5"/>
        <v>Lv2 → Lv3</v>
      </c>
      <c r="S170" s="210">
        <f t="shared" si="6"/>
        <v>1</v>
      </c>
      <c r="T170" s="210"/>
      <c r="U170" s="210"/>
      <c r="V170" s="211" t="s">
        <v>494</v>
      </c>
      <c r="W170" s="210" t="str">
        <f t="shared" si="7"/>
        <v>GSD</v>
      </c>
      <c r="X170" s="210" t="str">
        <f t="shared" si="8"/>
        <v>GSD</v>
      </c>
      <c r="Y170" s="210" t="str">
        <f t="shared" si="9"/>
        <v>LBU</v>
      </c>
      <c r="Z170" s="210"/>
      <c r="AA170" s="210"/>
      <c r="AB170" s="210"/>
      <c r="AC170" s="210"/>
      <c r="AD170" s="210"/>
      <c r="AE170" s="210"/>
      <c r="AF170" s="210"/>
      <c r="AG170" s="210"/>
      <c r="AH170" s="210"/>
      <c r="AI170" s="210"/>
      <c r="AJ170" s="210"/>
      <c r="AK170" s="210"/>
      <c r="AL170" s="210"/>
      <c r="AM170" s="214"/>
      <c r="AN170" s="210"/>
      <c r="AO170" s="210" t="str">
        <f t="shared" si="10"/>
        <v>#N/A</v>
      </c>
      <c r="AP170" s="210" t="str">
        <f t="shared" si="11"/>
        <v>#N/A</v>
      </c>
      <c r="AQ170" s="210" t="str">
        <f t="shared" si="12"/>
        <v>#N/A</v>
      </c>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c r="BU170" s="210"/>
      <c r="BV170" s="210"/>
      <c r="BW170" s="210"/>
      <c r="BX170" s="210"/>
      <c r="BY170" s="210"/>
      <c r="BZ170" s="210"/>
      <c r="CA170" s="210"/>
      <c r="CB170" s="210"/>
      <c r="CC170" s="210"/>
      <c r="CD170" s="210"/>
      <c r="CE170" s="210"/>
      <c r="CF170" s="210"/>
      <c r="CG170" s="210"/>
      <c r="CH170" s="210"/>
      <c r="CI170" s="210"/>
      <c r="CJ170" s="210"/>
      <c r="CK170" s="210"/>
    </row>
    <row r="171">
      <c r="A171" s="222" t="s">
        <v>480</v>
      </c>
      <c r="B171" s="190" t="s">
        <v>481</v>
      </c>
      <c r="C171" s="223" t="s">
        <v>67</v>
      </c>
      <c r="D171" s="223" t="s">
        <v>860</v>
      </c>
      <c r="E171" s="190" t="s">
        <v>21</v>
      </c>
      <c r="F171" s="190"/>
      <c r="G171" s="190"/>
      <c r="H171" s="219">
        <f>IFERROR(
  MINIFS(ATTENDANCE_LOG!$F:$F,
         ATTENDANCE_LOG!$A:$A, C171,
         ATTENDANCE_LOG!$B:$B, E171),
"")</f>
        <v>45639.45833</v>
      </c>
      <c r="I171" s="219">
        <f t="shared" si="2"/>
        <v>45639.45833</v>
      </c>
      <c r="J171" s="190" t="str">
        <f>IFERROR(VLOOKUP(F171, LEVEL_HELPER!$A:$B, 2, 0), "")</f>
        <v/>
      </c>
      <c r="K171" s="190" t="str">
        <f>IFERROR(VLOOKUP(G171, LEVEL_HELPER!$A:$B, 2, 0), "")</f>
        <v/>
      </c>
      <c r="L171" s="229" t="s">
        <v>948</v>
      </c>
      <c r="M171" s="220" t="s">
        <v>921</v>
      </c>
      <c r="N171" s="190" t="str">
        <f t="array" ref="N171">IFERROR(
  INDEX($J$2:$J$543,
    MATCH(A171&amp;TEXT(I171,"yyyy-mm-dd"),
          $A$2:$A$543&amp;TEXT($H$2:$H$543,"yyyy-mm-dd"),
          0)),
"")</f>
        <v/>
      </c>
      <c r="O171" s="210">
        <f t="shared" si="3"/>
        <v>0</v>
      </c>
      <c r="P171" s="210">
        <f t="shared" ref="P171:Q171" si="181">IF(N171="",0,IF(N171&lt;=2,1,IF(N171&lt;=4,2,IF(N171&lt;=5.5,3,4))))</f>
        <v>0</v>
      </c>
      <c r="Q171" s="210">
        <f t="shared" si="181"/>
        <v>1</v>
      </c>
      <c r="R171" s="210" t="str">
        <f t="shared" si="5"/>
        <v>No Data</v>
      </c>
      <c r="S171" s="210">
        <f t="shared" si="6"/>
        <v>1</v>
      </c>
      <c r="T171" s="210"/>
      <c r="U171" s="210"/>
      <c r="V171" s="211" t="s">
        <v>498</v>
      </c>
      <c r="W171" s="210" t="str">
        <f t="shared" si="7"/>
        <v>GSD</v>
      </c>
      <c r="X171" s="210" t="str">
        <f t="shared" si="8"/>
        <v>GSD</v>
      </c>
      <c r="Y171" s="210" t="str">
        <f t="shared" si="9"/>
        <v>LBU</v>
      </c>
      <c r="Z171" s="210"/>
      <c r="AA171" s="210"/>
      <c r="AB171" s="210"/>
      <c r="AC171" s="210"/>
      <c r="AD171" s="210"/>
      <c r="AE171" s="210"/>
      <c r="AF171" s="210"/>
      <c r="AG171" s="210"/>
      <c r="AH171" s="210"/>
      <c r="AI171" s="210"/>
      <c r="AJ171" s="210"/>
      <c r="AK171" s="210"/>
      <c r="AL171" s="210"/>
      <c r="AM171" s="214"/>
      <c r="AN171" s="210"/>
      <c r="AO171" s="210" t="str">
        <f t="shared" si="10"/>
        <v>#N/A</v>
      </c>
      <c r="AP171" s="210" t="str">
        <f t="shared" si="11"/>
        <v>#N/A</v>
      </c>
      <c r="AQ171" s="210" t="str">
        <f t="shared" si="12"/>
        <v>#N/A</v>
      </c>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c r="BU171" s="210"/>
      <c r="BV171" s="210"/>
      <c r="BW171" s="210"/>
      <c r="BX171" s="210"/>
      <c r="BY171" s="210"/>
      <c r="BZ171" s="210"/>
      <c r="CA171" s="210"/>
      <c r="CB171" s="210"/>
      <c r="CC171" s="210"/>
      <c r="CD171" s="210"/>
      <c r="CE171" s="210"/>
      <c r="CF171" s="210"/>
      <c r="CG171" s="210"/>
      <c r="CH171" s="210"/>
      <c r="CI171" s="210"/>
      <c r="CJ171" s="210"/>
      <c r="CK171" s="210"/>
    </row>
    <row r="172">
      <c r="A172" s="222" t="s">
        <v>564</v>
      </c>
      <c r="B172" s="190" t="s">
        <v>565</v>
      </c>
      <c r="C172" s="223" t="s">
        <v>67</v>
      </c>
      <c r="D172" s="223" t="s">
        <v>860</v>
      </c>
      <c r="E172" s="190" t="s">
        <v>21</v>
      </c>
      <c r="F172" s="190"/>
      <c r="G172" s="190"/>
      <c r="H172" s="219">
        <f>IFERROR(
  MINIFS(ATTENDANCE_LOG!$F:$F,
         ATTENDANCE_LOG!$A:$A, C172,
         ATTENDANCE_LOG!$B:$B, E172),
"")</f>
        <v>45639.45833</v>
      </c>
      <c r="I172" s="219">
        <f t="shared" si="2"/>
        <v>45639.45833</v>
      </c>
      <c r="J172" s="190" t="str">
        <f>IFERROR(VLOOKUP(F172, LEVEL_HELPER!$A:$B, 2, 0), "")</f>
        <v/>
      </c>
      <c r="K172" s="190" t="str">
        <f>IFERROR(VLOOKUP(G172, LEVEL_HELPER!$A:$B, 2, 0), "")</f>
        <v/>
      </c>
      <c r="L172" s="229" t="s">
        <v>949</v>
      </c>
      <c r="M172" s="220" t="s">
        <v>921</v>
      </c>
      <c r="N172" s="190" t="str">
        <f t="array" ref="N172">IFERROR(
  INDEX($J$2:$J$543,
    MATCH(A172&amp;TEXT(I172,"yyyy-mm-dd"),
          $A$2:$A$543&amp;TEXT($H$2:$H$543,"yyyy-mm-dd"),
          0)),
"")</f>
        <v/>
      </c>
      <c r="O172" s="210">
        <f t="shared" si="3"/>
        <v>0</v>
      </c>
      <c r="P172" s="210">
        <f t="shared" ref="P172:Q172" si="182">IF(N172="",0,IF(N172&lt;=2,1,IF(N172&lt;=4,2,IF(N172&lt;=5.5,3,4))))</f>
        <v>0</v>
      </c>
      <c r="Q172" s="210">
        <f t="shared" si="182"/>
        <v>1</v>
      </c>
      <c r="R172" s="210" t="str">
        <f t="shared" si="5"/>
        <v>No Data</v>
      </c>
      <c r="S172" s="210">
        <f t="shared" si="6"/>
        <v>1</v>
      </c>
      <c r="T172" s="210"/>
      <c r="U172" s="210"/>
      <c r="V172" s="211" t="s">
        <v>566</v>
      </c>
      <c r="W172" s="210" t="str">
        <f t="shared" si="7"/>
        <v>BA</v>
      </c>
      <c r="X172" s="210" t="str">
        <f t="shared" si="8"/>
        <v>BA, BC</v>
      </c>
      <c r="Y172" s="210" t="str">
        <f t="shared" si="9"/>
        <v>LBU</v>
      </c>
      <c r="Z172" s="210"/>
      <c r="AA172" s="210"/>
      <c r="AB172" s="210"/>
      <c r="AC172" s="210"/>
      <c r="AD172" s="210"/>
      <c r="AE172" s="210"/>
      <c r="AF172" s="210"/>
      <c r="AG172" s="210"/>
      <c r="AH172" s="210"/>
      <c r="AI172" s="210"/>
      <c r="AJ172" s="210"/>
      <c r="AK172" s="210"/>
      <c r="AL172" s="210"/>
      <c r="AM172" s="214"/>
      <c r="AN172" s="210"/>
      <c r="AO172" s="210" t="str">
        <f t="shared" si="10"/>
        <v>#N/A</v>
      </c>
      <c r="AP172" s="210" t="str">
        <f t="shared" si="11"/>
        <v>#N/A</v>
      </c>
      <c r="AQ172" s="210" t="str">
        <f t="shared" si="12"/>
        <v>#N/A</v>
      </c>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c r="BU172" s="210"/>
      <c r="BV172" s="210"/>
      <c r="BW172" s="210"/>
      <c r="BX172" s="210"/>
      <c r="BY172" s="210"/>
      <c r="BZ172" s="210"/>
      <c r="CA172" s="210"/>
      <c r="CB172" s="210"/>
      <c r="CC172" s="210"/>
      <c r="CD172" s="210"/>
      <c r="CE172" s="210"/>
      <c r="CF172" s="210"/>
      <c r="CG172" s="210"/>
      <c r="CH172" s="210"/>
      <c r="CI172" s="210"/>
      <c r="CJ172" s="210"/>
      <c r="CK172" s="210"/>
    </row>
    <row r="173">
      <c r="A173" s="222" t="s">
        <v>647</v>
      </c>
      <c r="B173" s="190" t="s">
        <v>648</v>
      </c>
      <c r="C173" s="223" t="s">
        <v>67</v>
      </c>
      <c r="D173" s="223" t="s">
        <v>860</v>
      </c>
      <c r="E173" s="190" t="s">
        <v>21</v>
      </c>
      <c r="F173" s="190"/>
      <c r="G173" s="190"/>
      <c r="H173" s="219">
        <f>IFERROR(
  MINIFS(ATTENDANCE_LOG!$F:$F,
         ATTENDANCE_LOG!$A:$A, C173,
         ATTENDANCE_LOG!$B:$B, E173),
"")</f>
        <v>45639.45833</v>
      </c>
      <c r="I173" s="219">
        <f t="shared" si="2"/>
        <v>45639.45833</v>
      </c>
      <c r="J173" s="190" t="str">
        <f>IFERROR(VLOOKUP(F173, LEVEL_HELPER!$A:$B, 2, 0), "")</f>
        <v/>
      </c>
      <c r="K173" s="190" t="str">
        <f>IFERROR(VLOOKUP(G173, LEVEL_HELPER!$A:$B, 2, 0), "")</f>
        <v/>
      </c>
      <c r="L173" s="229" t="s">
        <v>949</v>
      </c>
      <c r="M173" s="220" t="s">
        <v>921</v>
      </c>
      <c r="N173" s="190" t="str">
        <f t="array" ref="N173">IFERROR(
  INDEX($J$2:$J$543,
    MATCH(A173&amp;TEXT(I173,"yyyy-mm-dd"),
          $A$2:$A$543&amp;TEXT($H$2:$H$543,"yyyy-mm-dd"),
          0)),
"")</f>
        <v/>
      </c>
      <c r="O173" s="210">
        <f t="shared" si="3"/>
        <v>0</v>
      </c>
      <c r="P173" s="210">
        <f t="shared" ref="P173:Q173" si="183">IF(N173="",0,IF(N173&lt;=2,1,IF(N173&lt;=4,2,IF(N173&lt;=5.5,3,4))))</f>
        <v>0</v>
      </c>
      <c r="Q173" s="210">
        <f t="shared" si="183"/>
        <v>1</v>
      </c>
      <c r="R173" s="210" t="str">
        <f t="shared" si="5"/>
        <v>No Data</v>
      </c>
      <c r="S173" s="210">
        <f t="shared" si="6"/>
        <v>1</v>
      </c>
      <c r="T173" s="210"/>
      <c r="U173" s="210"/>
      <c r="V173" s="211" t="s">
        <v>261</v>
      </c>
      <c r="W173" s="210" t="str">
        <f t="shared" si="7"/>
        <v>Management</v>
      </c>
      <c r="X173" s="210" t="str">
        <f t="shared" si="8"/>
        <v>HR, GA, Mgt</v>
      </c>
      <c r="Y173" s="210" t="str">
        <f t="shared" si="9"/>
        <v>CHORUS</v>
      </c>
      <c r="Z173" s="210"/>
      <c r="AA173" s="210"/>
      <c r="AB173" s="210"/>
      <c r="AC173" s="210"/>
      <c r="AD173" s="210"/>
      <c r="AE173" s="210"/>
      <c r="AF173" s="210"/>
      <c r="AG173" s="210"/>
      <c r="AH173" s="210"/>
      <c r="AI173" s="210"/>
      <c r="AJ173" s="210"/>
      <c r="AK173" s="210"/>
      <c r="AL173" s="210"/>
      <c r="AM173" s="214"/>
      <c r="AN173" s="210"/>
      <c r="AO173" s="210" t="str">
        <f t="shared" si="10"/>
        <v>#N/A</v>
      </c>
      <c r="AP173" s="210" t="str">
        <f t="shared" si="11"/>
        <v>#N/A</v>
      </c>
      <c r="AQ173" s="210" t="str">
        <f t="shared" si="12"/>
        <v>#N/A</v>
      </c>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c r="BU173" s="210"/>
      <c r="BV173" s="210"/>
      <c r="BW173" s="210"/>
      <c r="BX173" s="210"/>
      <c r="BY173" s="210"/>
      <c r="BZ173" s="210"/>
      <c r="CA173" s="210"/>
      <c r="CB173" s="210"/>
      <c r="CC173" s="210"/>
      <c r="CD173" s="210"/>
      <c r="CE173" s="210"/>
      <c r="CF173" s="210"/>
      <c r="CG173" s="210"/>
      <c r="CH173" s="210"/>
      <c r="CI173" s="210"/>
      <c r="CJ173" s="210"/>
      <c r="CK173" s="210"/>
    </row>
    <row r="174">
      <c r="A174" s="216" t="s">
        <v>556</v>
      </c>
      <c r="B174" s="217" t="s">
        <v>557</v>
      </c>
      <c r="C174" s="218" t="s">
        <v>68</v>
      </c>
      <c r="D174" s="218" t="s">
        <v>861</v>
      </c>
      <c r="E174" s="217" t="s">
        <v>21</v>
      </c>
      <c r="F174" s="13" t="s">
        <v>917</v>
      </c>
      <c r="G174" s="13" t="s">
        <v>935</v>
      </c>
      <c r="H174" s="219">
        <f>IFERROR(
  MINIFS(ATTENDANCE_LOG!$F:$F,
         ATTENDANCE_LOG!$A:$A, C174,
         ATTENDANCE_LOG!$B:$B, E174),
"")</f>
        <v>45645.41667</v>
      </c>
      <c r="I174" s="219">
        <f t="shared" si="2"/>
        <v>45645.41667</v>
      </c>
      <c r="J174" s="190">
        <f>IFERROR(VLOOKUP(F174, LEVEL_HELPER!$A:$B, 2, 0), "")</f>
        <v>2.5</v>
      </c>
      <c r="K174" s="190">
        <f>IFERROR(VLOOKUP(G174, LEVEL_HELPER!$A:$B, 2, 0), "")</f>
        <v>3.5</v>
      </c>
      <c r="L174" s="220" t="s">
        <v>943</v>
      </c>
      <c r="M174" s="220" t="s">
        <v>925</v>
      </c>
      <c r="N174" s="190">
        <f t="array" ref="N174">IFERROR(
  INDEX($J$2:$J$543,
    MATCH(A174&amp;TEXT(I174,"yyyy-mm-dd"),
          $A$2:$A$543&amp;TEXT($H$2:$H$543,"yyyy-mm-dd"),
          0)),
"")</f>
        <v>2.5</v>
      </c>
      <c r="O174" s="210">
        <f t="shared" si="3"/>
        <v>3.5</v>
      </c>
      <c r="P174" s="210">
        <f t="shared" ref="P174:Q174" si="184">IF(N174="",0,IF(N174&lt;=2,1,IF(N174&lt;=4,2,IF(N174&lt;=5.5,3,4))))</f>
        <v>2</v>
      </c>
      <c r="Q174" s="210">
        <f t="shared" si="184"/>
        <v>2</v>
      </c>
      <c r="R174" s="210" t="str">
        <f t="shared" si="5"/>
        <v>Progress within level</v>
      </c>
      <c r="S174" s="210">
        <f t="shared" si="6"/>
        <v>1</v>
      </c>
      <c r="T174" s="210"/>
      <c r="U174" s="210"/>
      <c r="V174" s="211" t="s">
        <v>182</v>
      </c>
      <c r="W174" s="210" t="str">
        <f t="shared" si="7"/>
        <v>QC</v>
      </c>
      <c r="X174" s="210" t="str">
        <f t="shared" si="8"/>
        <v>QC</v>
      </c>
      <c r="Y174" s="210" t="str">
        <f t="shared" si="9"/>
        <v>CHORUS</v>
      </c>
      <c r="Z174" s="210"/>
      <c r="AA174" s="210"/>
      <c r="AB174" s="210"/>
      <c r="AC174" s="210"/>
      <c r="AD174" s="210"/>
      <c r="AE174" s="210"/>
      <c r="AF174" s="210"/>
      <c r="AG174" s="210"/>
      <c r="AH174" s="210"/>
      <c r="AI174" s="210"/>
      <c r="AJ174" s="210"/>
      <c r="AK174" s="210"/>
      <c r="AL174" s="210"/>
      <c r="AM174" s="214"/>
      <c r="AN174" s="210"/>
      <c r="AO174" s="210" t="str">
        <f t="shared" si="10"/>
        <v>#N/A</v>
      </c>
      <c r="AP174" s="210" t="str">
        <f t="shared" si="11"/>
        <v>#N/A</v>
      </c>
      <c r="AQ174" s="210" t="str">
        <f t="shared" si="12"/>
        <v>#N/A</v>
      </c>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c r="BU174" s="210"/>
      <c r="BV174" s="210"/>
      <c r="BW174" s="210"/>
      <c r="BX174" s="210"/>
      <c r="BY174" s="210"/>
      <c r="BZ174" s="210"/>
      <c r="CA174" s="210"/>
      <c r="CB174" s="210"/>
      <c r="CC174" s="210"/>
      <c r="CD174" s="210"/>
      <c r="CE174" s="210"/>
      <c r="CF174" s="210"/>
      <c r="CG174" s="210"/>
      <c r="CH174" s="210"/>
      <c r="CI174" s="210"/>
      <c r="CJ174" s="210"/>
      <c r="CK174" s="210"/>
    </row>
    <row r="175">
      <c r="A175" s="222" t="s">
        <v>218</v>
      </c>
      <c r="B175" s="190" t="s">
        <v>219</v>
      </c>
      <c r="C175" s="223" t="s">
        <v>68</v>
      </c>
      <c r="D175" s="223" t="s">
        <v>861</v>
      </c>
      <c r="E175" s="190" t="s">
        <v>21</v>
      </c>
      <c r="F175" s="13" t="s">
        <v>927</v>
      </c>
      <c r="G175" s="13" t="s">
        <v>935</v>
      </c>
      <c r="H175" s="219">
        <f>IFERROR(
  MINIFS(ATTENDANCE_LOG!$F:$F,
         ATTENDANCE_LOG!$A:$A, C175,
         ATTENDANCE_LOG!$B:$B, E175),
"")</f>
        <v>45645.41667</v>
      </c>
      <c r="I175" s="219">
        <f t="shared" si="2"/>
        <v>45645.41667</v>
      </c>
      <c r="J175" s="190">
        <f>IFERROR(VLOOKUP(F175, LEVEL_HELPER!$A:$B, 2, 0), "")</f>
        <v>1</v>
      </c>
      <c r="K175" s="190">
        <f>IFERROR(VLOOKUP(G175, LEVEL_HELPER!$A:$B, 2, 0), "")</f>
        <v>3.5</v>
      </c>
      <c r="L175" s="220" t="s">
        <v>943</v>
      </c>
      <c r="M175" s="220" t="s">
        <v>925</v>
      </c>
      <c r="N175" s="190">
        <f t="array" ref="N175">IFERROR(
  INDEX($J$2:$J$543,
    MATCH(A175&amp;TEXT(I175,"yyyy-mm-dd"),
          $A$2:$A$543&amp;TEXT($H$2:$H$543,"yyyy-mm-dd"),
          0)),
"")</f>
        <v>1</v>
      </c>
      <c r="O175" s="210">
        <f t="shared" si="3"/>
        <v>3.5</v>
      </c>
      <c r="P175" s="210">
        <f t="shared" ref="P175:Q175" si="185">IF(N175="",0,IF(N175&lt;=2,1,IF(N175&lt;=4,2,IF(N175&lt;=5.5,3,4))))</f>
        <v>1</v>
      </c>
      <c r="Q175" s="210">
        <f t="shared" si="185"/>
        <v>2</v>
      </c>
      <c r="R175" s="210" t="str">
        <f t="shared" si="5"/>
        <v>Lv1 → Lv2</v>
      </c>
      <c r="S175" s="210">
        <f t="shared" si="6"/>
        <v>1</v>
      </c>
      <c r="T175" s="210"/>
      <c r="U175" s="210"/>
      <c r="V175" s="211" t="s">
        <v>259</v>
      </c>
      <c r="W175" s="210" t="str">
        <f t="shared" si="7"/>
        <v>UI/UX</v>
      </c>
      <c r="X175" s="210" t="str">
        <f t="shared" si="8"/>
        <v>UI/UX, Des</v>
      </c>
      <c r="Y175" s="210" t="str">
        <f t="shared" si="9"/>
        <v>CHORUS</v>
      </c>
      <c r="Z175" s="210"/>
      <c r="AA175" s="210"/>
      <c r="AB175" s="210"/>
      <c r="AC175" s="210"/>
      <c r="AD175" s="210"/>
      <c r="AE175" s="210"/>
      <c r="AF175" s="210"/>
      <c r="AG175" s="210"/>
      <c r="AH175" s="210"/>
      <c r="AI175" s="210"/>
      <c r="AJ175" s="210"/>
      <c r="AK175" s="210"/>
      <c r="AL175" s="210"/>
      <c r="AM175" s="214"/>
      <c r="AN175" s="210"/>
      <c r="AO175" s="210" t="str">
        <f t="shared" si="10"/>
        <v>#N/A</v>
      </c>
      <c r="AP175" s="210" t="str">
        <f t="shared" si="11"/>
        <v>#N/A</v>
      </c>
      <c r="AQ175" s="210" t="str">
        <f t="shared" si="12"/>
        <v>#N/A</v>
      </c>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c r="BU175" s="210"/>
      <c r="BV175" s="210"/>
      <c r="BW175" s="210"/>
      <c r="BX175" s="210"/>
      <c r="BY175" s="210"/>
      <c r="BZ175" s="210"/>
      <c r="CA175" s="210"/>
      <c r="CB175" s="210"/>
      <c r="CC175" s="210"/>
      <c r="CD175" s="210"/>
      <c r="CE175" s="210"/>
      <c r="CF175" s="210"/>
      <c r="CG175" s="210"/>
      <c r="CH175" s="210"/>
      <c r="CI175" s="210"/>
      <c r="CJ175" s="210"/>
      <c r="CK175" s="210"/>
    </row>
    <row r="176">
      <c r="A176" s="222" t="s">
        <v>374</v>
      </c>
      <c r="B176" s="190" t="s">
        <v>375</v>
      </c>
      <c r="C176" s="223" t="s">
        <v>68</v>
      </c>
      <c r="D176" s="223" t="s">
        <v>861</v>
      </c>
      <c r="E176" s="190" t="s">
        <v>21</v>
      </c>
      <c r="F176" s="190"/>
      <c r="G176" s="190"/>
      <c r="H176" s="219">
        <f>IFERROR(
  MINIFS(ATTENDANCE_LOG!$F:$F,
         ATTENDANCE_LOG!$A:$A, C176,
         ATTENDANCE_LOG!$B:$B, E176),
"")</f>
        <v>45645.41667</v>
      </c>
      <c r="I176" s="219">
        <f t="shared" si="2"/>
        <v>45645.41667</v>
      </c>
      <c r="J176" s="190" t="str">
        <f>IFERROR(VLOOKUP(F176, LEVEL_HELPER!$A:$B, 2, 0), "")</f>
        <v/>
      </c>
      <c r="K176" s="190" t="str">
        <f>IFERROR(VLOOKUP(G176, LEVEL_HELPER!$A:$B, 2, 0), "")</f>
        <v/>
      </c>
      <c r="L176" s="220" t="s">
        <v>943</v>
      </c>
      <c r="M176" s="220" t="s">
        <v>925</v>
      </c>
      <c r="N176" s="190" t="str">
        <f t="array" ref="N176">IFERROR(
  INDEX($J$2:$J$543,
    MATCH(A176&amp;TEXT(I176,"yyyy-mm-dd"),
          $A$2:$A$543&amp;TEXT($H$2:$H$543,"yyyy-mm-dd"),
          0)),
"")</f>
        <v/>
      </c>
      <c r="O176" s="210">
        <f t="shared" si="3"/>
        <v>0</v>
      </c>
      <c r="P176" s="210">
        <f t="shared" ref="P176:Q176" si="186">IF(N176="",0,IF(N176&lt;=2,1,IF(N176&lt;=4,2,IF(N176&lt;=5.5,3,4))))</f>
        <v>0</v>
      </c>
      <c r="Q176" s="210">
        <f t="shared" si="186"/>
        <v>1</v>
      </c>
      <c r="R176" s="210" t="str">
        <f t="shared" si="5"/>
        <v>No Data</v>
      </c>
      <c r="S176" s="210">
        <f t="shared" si="6"/>
        <v>1</v>
      </c>
      <c r="T176" s="210"/>
      <c r="U176" s="210"/>
      <c r="V176" s="211" t="s">
        <v>423</v>
      </c>
      <c r="W176" s="210" t="str">
        <f t="shared" si="7"/>
        <v>DEV</v>
      </c>
      <c r="X176" s="210" t="str">
        <f t="shared" si="8"/>
        <v>DEV, TA</v>
      </c>
      <c r="Y176" s="210" t="str">
        <f t="shared" si="9"/>
        <v>CHORUS</v>
      </c>
      <c r="Z176" s="210"/>
      <c r="AA176" s="210"/>
      <c r="AB176" s="210"/>
      <c r="AC176" s="210"/>
      <c r="AD176" s="210"/>
      <c r="AE176" s="210"/>
      <c r="AF176" s="210"/>
      <c r="AG176" s="210"/>
      <c r="AH176" s="210"/>
      <c r="AI176" s="210"/>
      <c r="AJ176" s="210"/>
      <c r="AK176" s="210"/>
      <c r="AL176" s="210"/>
      <c r="AM176" s="214"/>
      <c r="AN176" s="210"/>
      <c r="AO176" s="210" t="str">
        <f t="shared" si="10"/>
        <v>#N/A</v>
      </c>
      <c r="AP176" s="210" t="str">
        <f t="shared" si="11"/>
        <v>#N/A</v>
      </c>
      <c r="AQ176" s="210" t="str">
        <f t="shared" si="12"/>
        <v>#N/A</v>
      </c>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c r="BU176" s="210"/>
      <c r="BV176" s="210"/>
      <c r="BW176" s="210"/>
      <c r="BX176" s="210"/>
      <c r="BY176" s="210"/>
      <c r="BZ176" s="210"/>
      <c r="CA176" s="210"/>
      <c r="CB176" s="210"/>
      <c r="CC176" s="210"/>
      <c r="CD176" s="210"/>
      <c r="CE176" s="210"/>
      <c r="CF176" s="210"/>
      <c r="CG176" s="210"/>
      <c r="CH176" s="210"/>
      <c r="CI176" s="210"/>
      <c r="CJ176" s="210"/>
      <c r="CK176" s="210"/>
    </row>
    <row r="177">
      <c r="A177" s="222" t="s">
        <v>643</v>
      </c>
      <c r="B177" s="190" t="s">
        <v>644</v>
      </c>
      <c r="C177" s="223" t="s">
        <v>68</v>
      </c>
      <c r="D177" s="223" t="s">
        <v>861</v>
      </c>
      <c r="E177" s="190" t="s">
        <v>21</v>
      </c>
      <c r="F177" s="13" t="s">
        <v>927</v>
      </c>
      <c r="G177" s="13" t="s">
        <v>918</v>
      </c>
      <c r="H177" s="219">
        <f>IFERROR(
  MINIFS(ATTENDANCE_LOG!$F:$F,
         ATTENDANCE_LOG!$A:$A, C177,
         ATTENDANCE_LOG!$B:$B, E177),
"")</f>
        <v>45645.41667</v>
      </c>
      <c r="I177" s="219">
        <f t="shared" si="2"/>
        <v>45645.41667</v>
      </c>
      <c r="J177" s="190">
        <f>IFERROR(VLOOKUP(F177, LEVEL_HELPER!$A:$B, 2, 0), "")</f>
        <v>1</v>
      </c>
      <c r="K177" s="190">
        <f>IFERROR(VLOOKUP(G177, LEVEL_HELPER!$A:$B, 2, 0), "")</f>
        <v>3</v>
      </c>
      <c r="L177" s="220" t="s">
        <v>943</v>
      </c>
      <c r="M177" s="220" t="s">
        <v>925</v>
      </c>
      <c r="N177" s="190">
        <f t="array" ref="N177">IFERROR(
  INDEX($J$2:$J$543,
    MATCH(A177&amp;TEXT(I177,"yyyy-mm-dd"),
          $A$2:$A$543&amp;TEXT($H$2:$H$543,"yyyy-mm-dd"),
          0)),
"")</f>
        <v>1</v>
      </c>
      <c r="O177" s="210">
        <f t="shared" si="3"/>
        <v>3</v>
      </c>
      <c r="P177" s="210">
        <f t="shared" ref="P177:Q177" si="187">IF(N177="",0,IF(N177&lt;=2,1,IF(N177&lt;=4,2,IF(N177&lt;=5.5,3,4))))</f>
        <v>1</v>
      </c>
      <c r="Q177" s="210">
        <f t="shared" si="187"/>
        <v>2</v>
      </c>
      <c r="R177" s="210" t="str">
        <f t="shared" si="5"/>
        <v>Lv1 → Lv2</v>
      </c>
      <c r="S177" s="210">
        <f t="shared" si="6"/>
        <v>1</v>
      </c>
      <c r="T177" s="210"/>
      <c r="U177" s="210"/>
      <c r="V177" s="211" t="s">
        <v>711</v>
      </c>
      <c r="W177" s="210" t="str">
        <f t="shared" si="7"/>
        <v>PPO</v>
      </c>
      <c r="X177" s="210" t="str">
        <f t="shared" si="8"/>
        <v>PPO, SM, IM </v>
      </c>
      <c r="Y177" s="210" t="str">
        <f t="shared" si="9"/>
        <v>CHORUS</v>
      </c>
      <c r="Z177" s="210"/>
      <c r="AA177" s="210"/>
      <c r="AB177" s="210"/>
      <c r="AC177" s="210"/>
      <c r="AD177" s="210"/>
      <c r="AE177" s="210"/>
      <c r="AF177" s="210"/>
      <c r="AG177" s="210"/>
      <c r="AH177" s="210"/>
      <c r="AI177" s="210"/>
      <c r="AJ177" s="210"/>
      <c r="AK177" s="210"/>
      <c r="AL177" s="210"/>
      <c r="AM177" s="214"/>
      <c r="AN177" s="210"/>
      <c r="AO177" s="210" t="str">
        <f t="shared" si="10"/>
        <v>#N/A</v>
      </c>
      <c r="AP177" s="210" t="str">
        <f t="shared" si="11"/>
        <v>#N/A</v>
      </c>
      <c r="AQ177" s="210" t="str">
        <f t="shared" si="12"/>
        <v>#N/A</v>
      </c>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c r="BU177" s="210"/>
      <c r="BV177" s="210"/>
      <c r="BW177" s="210"/>
      <c r="BX177" s="210"/>
      <c r="BY177" s="210"/>
      <c r="BZ177" s="210"/>
      <c r="CA177" s="210"/>
      <c r="CB177" s="210"/>
      <c r="CC177" s="210"/>
      <c r="CD177" s="210"/>
      <c r="CE177" s="210"/>
      <c r="CF177" s="210"/>
      <c r="CG177" s="210"/>
      <c r="CH177" s="210"/>
      <c r="CI177" s="210"/>
      <c r="CJ177" s="210"/>
      <c r="CK177" s="210"/>
    </row>
    <row r="178">
      <c r="A178" s="216" t="s">
        <v>556</v>
      </c>
      <c r="B178" s="217" t="s">
        <v>557</v>
      </c>
      <c r="C178" s="218" t="s">
        <v>68</v>
      </c>
      <c r="D178" s="218" t="s">
        <v>861</v>
      </c>
      <c r="E178" s="217" t="s">
        <v>22</v>
      </c>
      <c r="F178" s="13" t="s">
        <v>935</v>
      </c>
      <c r="G178" s="190"/>
      <c r="H178" s="219">
        <f>IFERROR(
  MINIFS(ATTENDANCE_LOG!$F:$F,
         ATTENDANCE_LOG!$A:$A, C178,
         ATTENDANCE_LOG!$B:$B, E178),
"")</f>
        <v>45887.375</v>
      </c>
      <c r="I178" s="219">
        <f t="shared" si="2"/>
        <v>45645.41667</v>
      </c>
      <c r="J178" s="190">
        <f>IFERROR(VLOOKUP(F178, LEVEL_HELPER!$A:$B, 2, 0), "")</f>
        <v>3.5</v>
      </c>
      <c r="K178" s="190" t="str">
        <f>IFERROR(VLOOKUP(G178, LEVEL_HELPER!$A:$B, 2, 0), "")</f>
        <v/>
      </c>
      <c r="L178" s="220" t="s">
        <v>943</v>
      </c>
      <c r="M178" s="220" t="s">
        <v>925</v>
      </c>
      <c r="N178" s="190">
        <f t="array" ref="N178">IFERROR(
  INDEX($J$2:$J$543,
    MATCH(A178&amp;TEXT(I178,"yyyy-mm-dd"),
          $A$2:$A$543&amp;TEXT($H$2:$H$543,"yyyy-mm-dd"),
          0)),
"")</f>
        <v>2.5</v>
      </c>
      <c r="O178" s="210">
        <f t="shared" si="3"/>
        <v>3.5</v>
      </c>
      <c r="P178" s="210">
        <f t="shared" ref="P178:Q178" si="188">IF(N178="",0,IF(N178&lt;=2,1,IF(N178&lt;=4,2,IF(N178&lt;=5.5,3,4))))</f>
        <v>2</v>
      </c>
      <c r="Q178" s="210">
        <f t="shared" si="188"/>
        <v>2</v>
      </c>
      <c r="R178" s="210" t="str">
        <f t="shared" si="5"/>
        <v>Progress within level</v>
      </c>
      <c r="S178" s="210">
        <f t="shared" si="6"/>
        <v>0</v>
      </c>
      <c r="T178" s="210"/>
      <c r="U178" s="210"/>
      <c r="V178" s="211" t="s">
        <v>713</v>
      </c>
      <c r="W178" s="210" t="str">
        <f t="shared" si="7"/>
        <v>DEV</v>
      </c>
      <c r="X178" s="210" t="str">
        <f t="shared" si="8"/>
        <v>DEV, TA</v>
      </c>
      <c r="Y178" s="210" t="str">
        <f t="shared" si="9"/>
        <v>CHORUS</v>
      </c>
      <c r="Z178" s="210"/>
      <c r="AA178" s="210"/>
      <c r="AB178" s="210"/>
      <c r="AC178" s="210"/>
      <c r="AD178" s="210"/>
      <c r="AE178" s="210"/>
      <c r="AF178" s="210"/>
      <c r="AG178" s="210"/>
      <c r="AH178" s="210"/>
      <c r="AI178" s="210"/>
      <c r="AJ178" s="210"/>
      <c r="AK178" s="210"/>
      <c r="AL178" s="210"/>
      <c r="AM178" s="214"/>
      <c r="AN178" s="210"/>
      <c r="AO178" s="210" t="str">
        <f t="shared" si="10"/>
        <v>#N/A</v>
      </c>
      <c r="AP178" s="210" t="str">
        <f t="shared" si="11"/>
        <v>#N/A</v>
      </c>
      <c r="AQ178" s="210" t="str">
        <f t="shared" si="12"/>
        <v>#N/A</v>
      </c>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c r="BU178" s="210"/>
      <c r="BV178" s="210"/>
      <c r="BW178" s="210"/>
      <c r="BX178" s="210"/>
      <c r="BY178" s="210"/>
      <c r="BZ178" s="210"/>
      <c r="CA178" s="210"/>
      <c r="CB178" s="210"/>
      <c r="CC178" s="210"/>
      <c r="CD178" s="210"/>
      <c r="CE178" s="210"/>
      <c r="CF178" s="210"/>
      <c r="CG178" s="210"/>
      <c r="CH178" s="210"/>
      <c r="CI178" s="210"/>
      <c r="CJ178" s="210"/>
      <c r="CK178" s="210"/>
    </row>
    <row r="179">
      <c r="A179" s="222" t="s">
        <v>218</v>
      </c>
      <c r="B179" s="190" t="s">
        <v>219</v>
      </c>
      <c r="C179" s="223" t="s">
        <v>68</v>
      </c>
      <c r="D179" s="223" t="s">
        <v>861</v>
      </c>
      <c r="E179" s="190" t="s">
        <v>22</v>
      </c>
      <c r="F179" s="13" t="s">
        <v>927</v>
      </c>
      <c r="G179" s="190"/>
      <c r="H179" s="219">
        <f>IFERROR(
  MINIFS(ATTENDANCE_LOG!$F:$F,
         ATTENDANCE_LOG!$A:$A, C179,
         ATTENDANCE_LOG!$B:$B, E179),
"")</f>
        <v>45887.375</v>
      </c>
      <c r="I179" s="219">
        <f t="shared" si="2"/>
        <v>45645.41667</v>
      </c>
      <c r="J179" s="190">
        <f>IFERROR(VLOOKUP(F179, LEVEL_HELPER!$A:$B, 2, 0), "")</f>
        <v>1</v>
      </c>
      <c r="K179" s="190" t="str">
        <f>IFERROR(VLOOKUP(G179, LEVEL_HELPER!$A:$B, 2, 0), "")</f>
        <v/>
      </c>
      <c r="L179" s="220" t="s">
        <v>943</v>
      </c>
      <c r="M179" s="220" t="s">
        <v>925</v>
      </c>
      <c r="N179" s="190">
        <f t="array" ref="N179">IFERROR(
  INDEX($J$2:$J$543,
    MATCH(A179&amp;TEXT(I179,"yyyy-mm-dd"),
          $A$2:$A$543&amp;TEXT($H$2:$H$543,"yyyy-mm-dd"),
          0)),
"")</f>
        <v>1</v>
      </c>
      <c r="O179" s="210">
        <f t="shared" si="3"/>
        <v>3.5</v>
      </c>
      <c r="P179" s="210">
        <f t="shared" ref="P179:Q179" si="189">IF(N179="",0,IF(N179&lt;=2,1,IF(N179&lt;=4,2,IF(N179&lt;=5.5,3,4))))</f>
        <v>1</v>
      </c>
      <c r="Q179" s="210">
        <f t="shared" si="189"/>
        <v>2</v>
      </c>
      <c r="R179" s="210" t="str">
        <f t="shared" si="5"/>
        <v>Lv1 → Lv2</v>
      </c>
      <c r="S179" s="210">
        <f t="shared" si="6"/>
        <v>0</v>
      </c>
      <c r="T179" s="210"/>
      <c r="U179" s="210"/>
      <c r="V179" s="211" t="s">
        <v>549</v>
      </c>
      <c r="W179" s="210" t="str">
        <f t="shared" si="7"/>
        <v>DEV</v>
      </c>
      <c r="X179" s="210" t="str">
        <f t="shared" si="8"/>
        <v>DEV, TA</v>
      </c>
      <c r="Y179" s="210" t="str">
        <f t="shared" si="9"/>
        <v>CHORUS</v>
      </c>
      <c r="Z179" s="210"/>
      <c r="AA179" s="210"/>
      <c r="AB179" s="210"/>
      <c r="AC179" s="210"/>
      <c r="AD179" s="210"/>
      <c r="AE179" s="210"/>
      <c r="AF179" s="210"/>
      <c r="AG179" s="210"/>
      <c r="AH179" s="210"/>
      <c r="AI179" s="210"/>
      <c r="AJ179" s="210"/>
      <c r="AK179" s="210"/>
      <c r="AL179" s="210"/>
      <c r="AM179" s="214"/>
      <c r="AN179" s="210"/>
      <c r="AO179" s="210" t="str">
        <f t="shared" si="10"/>
        <v>#N/A</v>
      </c>
      <c r="AP179" s="210" t="str">
        <f t="shared" si="11"/>
        <v>#N/A</v>
      </c>
      <c r="AQ179" s="210" t="str">
        <f t="shared" si="12"/>
        <v>#N/A</v>
      </c>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c r="BU179" s="210"/>
      <c r="BV179" s="210"/>
      <c r="BW179" s="210"/>
      <c r="BX179" s="210"/>
      <c r="BY179" s="210"/>
      <c r="BZ179" s="210"/>
      <c r="CA179" s="210"/>
      <c r="CB179" s="210"/>
      <c r="CC179" s="210"/>
      <c r="CD179" s="210"/>
      <c r="CE179" s="210"/>
      <c r="CF179" s="210"/>
      <c r="CG179" s="210"/>
      <c r="CH179" s="210"/>
      <c r="CI179" s="210"/>
      <c r="CJ179" s="210"/>
      <c r="CK179" s="210"/>
    </row>
    <row r="180">
      <c r="A180" s="222" t="s">
        <v>323</v>
      </c>
      <c r="B180" s="190" t="s">
        <v>324</v>
      </c>
      <c r="C180" s="223" t="s">
        <v>68</v>
      </c>
      <c r="D180" s="223" t="s">
        <v>861</v>
      </c>
      <c r="E180" s="190" t="s">
        <v>22</v>
      </c>
      <c r="F180" s="13" t="s">
        <v>927</v>
      </c>
      <c r="G180" s="190"/>
      <c r="H180" s="219">
        <f>IFERROR(
  MINIFS(ATTENDANCE_LOG!$F:$F,
         ATTENDANCE_LOG!$A:$A, C180,
         ATTENDANCE_LOG!$B:$B, E180),
"")</f>
        <v>45887.375</v>
      </c>
      <c r="I180" s="219">
        <f t="shared" si="2"/>
        <v>45663.41667</v>
      </c>
      <c r="J180" s="190">
        <f>IFERROR(VLOOKUP(F180, LEVEL_HELPER!$A:$B, 2, 0), "")</f>
        <v>1</v>
      </c>
      <c r="K180" s="190" t="str">
        <f>IFERROR(VLOOKUP(G180, LEVEL_HELPER!$A:$B, 2, 0), "")</f>
        <v/>
      </c>
      <c r="L180" s="220" t="s">
        <v>943</v>
      </c>
      <c r="M180" s="220" t="s">
        <v>925</v>
      </c>
      <c r="N180" s="190">
        <f t="array" ref="N180">IFERROR(
  INDEX($J$2:$J$543,
    MATCH(A180&amp;TEXT(I180,"yyyy-mm-dd"),
          $A$2:$A$543&amp;TEXT($H$2:$H$543,"yyyy-mm-dd"),
          0)),
"")</f>
        <v>1</v>
      </c>
      <c r="O180" s="210">
        <f t="shared" si="3"/>
        <v>1</v>
      </c>
      <c r="P180" s="210">
        <f t="shared" ref="P180:Q180" si="190">IF(N180="",0,IF(N180&lt;=2,1,IF(N180&lt;=4,2,IF(N180&lt;=5.5,3,4))))</f>
        <v>1</v>
      </c>
      <c r="Q180" s="210">
        <f t="shared" si="190"/>
        <v>1</v>
      </c>
      <c r="R180" s="210" t="str">
        <f t="shared" si="5"/>
        <v>No Progress</v>
      </c>
      <c r="S180" s="210">
        <f t="shared" si="6"/>
        <v>1</v>
      </c>
      <c r="T180" s="210"/>
      <c r="U180" s="210"/>
      <c r="V180" s="211" t="s">
        <v>200</v>
      </c>
      <c r="W180" s="210" t="str">
        <f t="shared" si="7"/>
        <v>DEV</v>
      </c>
      <c r="X180" s="210" t="str">
        <f t="shared" si="8"/>
        <v>DEV, TA</v>
      </c>
      <c r="Y180" s="210" t="str">
        <f t="shared" si="9"/>
        <v>CHORUS</v>
      </c>
      <c r="Z180" s="210"/>
      <c r="AA180" s="210"/>
      <c r="AB180" s="210"/>
      <c r="AC180" s="210"/>
      <c r="AD180" s="210"/>
      <c r="AE180" s="210"/>
      <c r="AF180" s="210"/>
      <c r="AG180" s="210"/>
      <c r="AH180" s="210"/>
      <c r="AI180" s="210"/>
      <c r="AJ180" s="210"/>
      <c r="AK180" s="210"/>
      <c r="AL180" s="210"/>
      <c r="AM180" s="214"/>
      <c r="AN180" s="210"/>
      <c r="AO180" s="210" t="str">
        <f t="shared" si="10"/>
        <v>#N/A</v>
      </c>
      <c r="AP180" s="210" t="str">
        <f t="shared" si="11"/>
        <v>#N/A</v>
      </c>
      <c r="AQ180" s="210" t="str">
        <f t="shared" si="12"/>
        <v>#N/A</v>
      </c>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c r="BU180" s="210"/>
      <c r="BV180" s="210"/>
      <c r="BW180" s="210"/>
      <c r="BX180" s="210"/>
      <c r="BY180" s="210"/>
      <c r="BZ180" s="210"/>
      <c r="CA180" s="210"/>
      <c r="CB180" s="210"/>
      <c r="CC180" s="210"/>
      <c r="CD180" s="210"/>
      <c r="CE180" s="210"/>
      <c r="CF180" s="210"/>
      <c r="CG180" s="210"/>
      <c r="CH180" s="210"/>
      <c r="CI180" s="210"/>
      <c r="CJ180" s="210"/>
      <c r="CK180" s="210"/>
    </row>
    <row r="181">
      <c r="A181" s="222" t="s">
        <v>639</v>
      </c>
      <c r="B181" s="190" t="s">
        <v>640</v>
      </c>
      <c r="C181" s="223" t="s">
        <v>68</v>
      </c>
      <c r="D181" s="223" t="s">
        <v>861</v>
      </c>
      <c r="E181" s="190" t="s">
        <v>22</v>
      </c>
      <c r="F181" s="13" t="s">
        <v>917</v>
      </c>
      <c r="G181" s="190"/>
      <c r="H181" s="219">
        <f>IFERROR(
  MINIFS(ATTENDANCE_LOG!$F:$F,
         ATTENDANCE_LOG!$A:$A, C181,
         ATTENDANCE_LOG!$B:$B, E181),
"")</f>
        <v>45887.375</v>
      </c>
      <c r="I181" s="219">
        <f t="shared" si="2"/>
        <v>45663.41667</v>
      </c>
      <c r="J181" s="190">
        <f>IFERROR(VLOOKUP(F181, LEVEL_HELPER!$A:$B, 2, 0), "")</f>
        <v>2.5</v>
      </c>
      <c r="K181" s="190" t="str">
        <f>IFERROR(VLOOKUP(G181, LEVEL_HELPER!$A:$B, 2, 0), "")</f>
        <v/>
      </c>
      <c r="L181" s="220" t="s">
        <v>943</v>
      </c>
      <c r="M181" s="220" t="s">
        <v>925</v>
      </c>
      <c r="N181" s="190">
        <f t="array" ref="N181">IFERROR(
  INDEX($J$2:$J$543,
    MATCH(A181&amp;TEXT(I181,"yyyy-mm-dd"),
          $A$2:$A$543&amp;TEXT($H$2:$H$543,"yyyy-mm-dd"),
          0)),
"")</f>
        <v>1</v>
      </c>
      <c r="O181" s="210">
        <f t="shared" si="3"/>
        <v>2.5</v>
      </c>
      <c r="P181" s="210">
        <f t="shared" ref="P181:Q181" si="191">IF(N181="",0,IF(N181&lt;=2,1,IF(N181&lt;=4,2,IF(N181&lt;=5.5,3,4))))</f>
        <v>1</v>
      </c>
      <c r="Q181" s="210">
        <f t="shared" si="191"/>
        <v>2</v>
      </c>
      <c r="R181" s="210" t="str">
        <f t="shared" si="5"/>
        <v>Lv1 → Lv2</v>
      </c>
      <c r="S181" s="210">
        <f t="shared" si="6"/>
        <v>1</v>
      </c>
      <c r="T181" s="210"/>
      <c r="U181" s="210"/>
      <c r="V181" s="211" t="s">
        <v>214</v>
      </c>
      <c r="W181" s="210" t="str">
        <f t="shared" si="7"/>
        <v>DEV</v>
      </c>
      <c r="X181" s="210" t="str">
        <f t="shared" si="8"/>
        <v>DEV, TA</v>
      </c>
      <c r="Y181" s="210" t="str">
        <f t="shared" si="9"/>
        <v>CHORUS</v>
      </c>
      <c r="Z181" s="210"/>
      <c r="AA181" s="210"/>
      <c r="AB181" s="210"/>
      <c r="AC181" s="210"/>
      <c r="AD181" s="210"/>
      <c r="AE181" s="210"/>
      <c r="AF181" s="210"/>
      <c r="AG181" s="210"/>
      <c r="AH181" s="210"/>
      <c r="AI181" s="210"/>
      <c r="AJ181" s="210"/>
      <c r="AK181" s="210"/>
      <c r="AL181" s="210"/>
      <c r="AM181" s="214"/>
      <c r="AN181" s="210"/>
      <c r="AO181" s="210" t="str">
        <f t="shared" si="10"/>
        <v>#N/A</v>
      </c>
      <c r="AP181" s="210" t="str">
        <f t="shared" si="11"/>
        <v>#N/A</v>
      </c>
      <c r="AQ181" s="210" t="str">
        <f t="shared" si="12"/>
        <v>#N/A</v>
      </c>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c r="BU181" s="210"/>
      <c r="BV181" s="210"/>
      <c r="BW181" s="210"/>
      <c r="BX181" s="210"/>
      <c r="BY181" s="210"/>
      <c r="BZ181" s="210"/>
      <c r="CA181" s="210"/>
      <c r="CB181" s="210"/>
      <c r="CC181" s="210"/>
      <c r="CD181" s="210"/>
      <c r="CE181" s="210"/>
      <c r="CF181" s="210"/>
      <c r="CG181" s="210"/>
      <c r="CH181" s="210"/>
      <c r="CI181" s="210"/>
      <c r="CJ181" s="210"/>
      <c r="CK181" s="210"/>
    </row>
    <row r="182">
      <c r="A182" s="222" t="s">
        <v>643</v>
      </c>
      <c r="B182" s="190" t="s">
        <v>644</v>
      </c>
      <c r="C182" s="223" t="s">
        <v>68</v>
      </c>
      <c r="D182" s="223" t="s">
        <v>861</v>
      </c>
      <c r="E182" s="190" t="s">
        <v>22</v>
      </c>
      <c r="F182" s="13" t="s">
        <v>918</v>
      </c>
      <c r="G182" s="190"/>
      <c r="H182" s="219">
        <f>IFERROR(
  MINIFS(ATTENDANCE_LOG!$F:$F,
         ATTENDANCE_LOG!$A:$A, C182,
         ATTENDANCE_LOG!$B:$B, E182),
"")</f>
        <v>45887.375</v>
      </c>
      <c r="I182" s="219">
        <f t="shared" si="2"/>
        <v>45645.41667</v>
      </c>
      <c r="J182" s="190">
        <f>IFERROR(VLOOKUP(F182, LEVEL_HELPER!$A:$B, 2, 0), "")</f>
        <v>3</v>
      </c>
      <c r="K182" s="190" t="str">
        <f>IFERROR(VLOOKUP(G182, LEVEL_HELPER!$A:$B, 2, 0), "")</f>
        <v/>
      </c>
      <c r="L182" s="220" t="s">
        <v>943</v>
      </c>
      <c r="M182" s="220" t="s">
        <v>925</v>
      </c>
      <c r="N182" s="190">
        <f t="array" ref="N182">IFERROR(
  INDEX($J$2:$J$543,
    MATCH(A182&amp;TEXT(I182,"yyyy-mm-dd"),
          $A$2:$A$543&amp;TEXT($H$2:$H$543,"yyyy-mm-dd"),
          0)),
"")</f>
        <v>1</v>
      </c>
      <c r="O182" s="210">
        <f t="shared" si="3"/>
        <v>3</v>
      </c>
      <c r="P182" s="210">
        <f t="shared" ref="P182:Q182" si="192">IF(N182="",0,IF(N182&lt;=2,1,IF(N182&lt;=4,2,IF(N182&lt;=5.5,3,4))))</f>
        <v>1</v>
      </c>
      <c r="Q182" s="210">
        <f t="shared" si="192"/>
        <v>2</v>
      </c>
      <c r="R182" s="210" t="str">
        <f t="shared" si="5"/>
        <v>Lv1 → Lv2</v>
      </c>
      <c r="S182" s="210">
        <f t="shared" si="6"/>
        <v>0</v>
      </c>
      <c r="T182" s="210"/>
      <c r="U182" s="210"/>
      <c r="V182" s="211" t="s">
        <v>436</v>
      </c>
      <c r="W182" s="210" t="str">
        <f t="shared" si="7"/>
        <v>DEV</v>
      </c>
      <c r="X182" s="210" t="str">
        <f t="shared" si="8"/>
        <v>DEV, TA</v>
      </c>
      <c r="Y182" s="210" t="str">
        <f t="shared" si="9"/>
        <v>CHORUS</v>
      </c>
      <c r="Z182" s="210"/>
      <c r="AA182" s="210"/>
      <c r="AB182" s="210"/>
      <c r="AC182" s="210"/>
      <c r="AD182" s="210"/>
      <c r="AE182" s="210"/>
      <c r="AF182" s="210"/>
      <c r="AG182" s="210"/>
      <c r="AH182" s="210"/>
      <c r="AI182" s="210"/>
      <c r="AJ182" s="210"/>
      <c r="AK182" s="210"/>
      <c r="AL182" s="210"/>
      <c r="AM182" s="214"/>
      <c r="AN182" s="210"/>
      <c r="AO182" s="210" t="str">
        <f t="shared" si="10"/>
        <v>#N/A</v>
      </c>
      <c r="AP182" s="210" t="str">
        <f t="shared" si="11"/>
        <v>#N/A</v>
      </c>
      <c r="AQ182" s="210" t="str">
        <f t="shared" si="12"/>
        <v>#N/A</v>
      </c>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c r="BU182" s="210"/>
      <c r="BV182" s="210"/>
      <c r="BW182" s="210"/>
      <c r="BX182" s="210"/>
      <c r="BY182" s="210"/>
      <c r="BZ182" s="210"/>
      <c r="CA182" s="210"/>
      <c r="CB182" s="210"/>
      <c r="CC182" s="210"/>
      <c r="CD182" s="210"/>
      <c r="CE182" s="210"/>
      <c r="CF182" s="210"/>
      <c r="CG182" s="210"/>
      <c r="CH182" s="210"/>
      <c r="CI182" s="210"/>
      <c r="CJ182" s="210"/>
      <c r="CK182" s="210"/>
    </row>
    <row r="183">
      <c r="A183" s="222" t="s">
        <v>715</v>
      </c>
      <c r="B183" s="190" t="s">
        <v>716</v>
      </c>
      <c r="C183" s="223" t="s">
        <v>68</v>
      </c>
      <c r="D183" s="223" t="s">
        <v>861</v>
      </c>
      <c r="E183" s="190" t="s">
        <v>22</v>
      </c>
      <c r="F183" s="13" t="s">
        <v>917</v>
      </c>
      <c r="G183" s="190"/>
      <c r="H183" s="219">
        <f>IFERROR(
  MINIFS(ATTENDANCE_LOG!$F:$F,
         ATTENDANCE_LOG!$A:$A, C183,
         ATTENDANCE_LOG!$B:$B, E183),
"")</f>
        <v>45887.375</v>
      </c>
      <c r="I183" s="219">
        <f t="shared" si="2"/>
        <v>45663.41667</v>
      </c>
      <c r="J183" s="190">
        <f>IFERROR(VLOOKUP(F183, LEVEL_HELPER!$A:$B, 2, 0), "")</f>
        <v>2.5</v>
      </c>
      <c r="K183" s="190" t="str">
        <f>IFERROR(VLOOKUP(G183, LEVEL_HELPER!$A:$B, 2, 0), "")</f>
        <v/>
      </c>
      <c r="L183" s="220" t="s">
        <v>943</v>
      </c>
      <c r="M183" s="220" t="s">
        <v>925</v>
      </c>
      <c r="N183" s="190">
        <f t="array" ref="N183">IFERROR(
  INDEX($J$2:$J$543,
    MATCH(A183&amp;TEXT(I183,"yyyy-mm-dd"),
          $A$2:$A$543&amp;TEXT($H$2:$H$543,"yyyy-mm-dd"),
          0)),
"")</f>
        <v>2.5</v>
      </c>
      <c r="O183" s="210">
        <f t="shared" si="3"/>
        <v>2.5</v>
      </c>
      <c r="P183" s="210">
        <f t="shared" ref="P183:Q183" si="193">IF(N183="",0,IF(N183&lt;=2,1,IF(N183&lt;=4,2,IF(N183&lt;=5.5,3,4))))</f>
        <v>2</v>
      </c>
      <c r="Q183" s="210">
        <f t="shared" si="193"/>
        <v>2</v>
      </c>
      <c r="R183" s="210" t="str">
        <f t="shared" si="5"/>
        <v>No Progress</v>
      </c>
      <c r="S183" s="210">
        <f t="shared" si="6"/>
        <v>1</v>
      </c>
      <c r="T183" s="210"/>
      <c r="U183" s="210"/>
      <c r="V183" s="211" t="s">
        <v>476</v>
      </c>
      <c r="W183" s="210" t="str">
        <f t="shared" si="7"/>
        <v>DEV</v>
      </c>
      <c r="X183" s="210" t="str">
        <f t="shared" si="8"/>
        <v>DEV, TA</v>
      </c>
      <c r="Y183" s="210" t="str">
        <f t="shared" si="9"/>
        <v>CHORUS</v>
      </c>
      <c r="Z183" s="210"/>
      <c r="AA183" s="210"/>
      <c r="AB183" s="210"/>
      <c r="AC183" s="210"/>
      <c r="AD183" s="210"/>
      <c r="AE183" s="210"/>
      <c r="AF183" s="210"/>
      <c r="AG183" s="210"/>
      <c r="AH183" s="210"/>
      <c r="AI183" s="210"/>
      <c r="AJ183" s="210"/>
      <c r="AK183" s="210"/>
      <c r="AL183" s="210"/>
      <c r="AM183" s="214"/>
      <c r="AN183" s="210"/>
      <c r="AO183" s="210" t="str">
        <f t="shared" si="10"/>
        <v>#N/A</v>
      </c>
      <c r="AP183" s="210" t="str">
        <f t="shared" si="11"/>
        <v>#N/A</v>
      </c>
      <c r="AQ183" s="210" t="str">
        <f t="shared" si="12"/>
        <v>#N/A</v>
      </c>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c r="BU183" s="210"/>
      <c r="BV183" s="210"/>
      <c r="BW183" s="210"/>
      <c r="BX183" s="210"/>
      <c r="BY183" s="210"/>
      <c r="BZ183" s="210"/>
      <c r="CA183" s="210"/>
      <c r="CB183" s="210"/>
      <c r="CC183" s="210"/>
      <c r="CD183" s="210"/>
      <c r="CE183" s="210"/>
      <c r="CF183" s="210"/>
      <c r="CG183" s="210"/>
      <c r="CH183" s="210"/>
      <c r="CI183" s="210"/>
      <c r="CJ183" s="210"/>
      <c r="CK183" s="210"/>
    </row>
    <row r="184">
      <c r="A184" s="216" t="s">
        <v>257</v>
      </c>
      <c r="B184" s="217" t="s">
        <v>258</v>
      </c>
      <c r="C184" s="218" t="s">
        <v>69</v>
      </c>
      <c r="D184" s="218" t="s">
        <v>862</v>
      </c>
      <c r="E184" s="217" t="s">
        <v>21</v>
      </c>
      <c r="F184" s="13" t="s">
        <v>917</v>
      </c>
      <c r="G184" s="13" t="s">
        <v>932</v>
      </c>
      <c r="H184" s="219">
        <f>IFERROR(
  MINIFS(ATTENDANCE_LOG!$F:$F,
         ATTENDANCE_LOG!$A:$A, C184,
         ATTENDANCE_LOG!$B:$B, E184),
"")</f>
        <v>45663.41667</v>
      </c>
      <c r="I184" s="219">
        <f t="shared" si="2"/>
        <v>45663.41667</v>
      </c>
      <c r="J184" s="190">
        <f>IFERROR(VLOOKUP(F184, LEVEL_HELPER!$A:$B, 2, 0), "")</f>
        <v>2.5</v>
      </c>
      <c r="K184" s="190">
        <f>IFERROR(VLOOKUP(G184, LEVEL_HELPER!$A:$B, 2, 0), "")</f>
        <v>4.5</v>
      </c>
      <c r="L184" s="220" t="s">
        <v>943</v>
      </c>
      <c r="M184" s="220" t="s">
        <v>925</v>
      </c>
      <c r="N184" s="190">
        <f t="array" ref="N184">IFERROR(
  INDEX($J$2:$J$543,
    MATCH(A184&amp;TEXT(I184,"yyyy-mm-dd"),
          $A$2:$A$543&amp;TEXT($H$2:$H$543,"yyyy-mm-dd"),
          0)),
"")</f>
        <v>2.5</v>
      </c>
      <c r="O184" s="210">
        <f t="shared" si="3"/>
        <v>4.5</v>
      </c>
      <c r="P184" s="210">
        <f t="shared" ref="P184:Q184" si="194">IF(N184="",0,IF(N184&lt;=2,1,IF(N184&lt;=4,2,IF(N184&lt;=5.5,3,4))))</f>
        <v>2</v>
      </c>
      <c r="Q184" s="210">
        <f t="shared" si="194"/>
        <v>3</v>
      </c>
      <c r="R184" s="210" t="str">
        <f t="shared" si="5"/>
        <v>Lv2 → Lv3</v>
      </c>
      <c r="S184" s="210">
        <f t="shared" si="6"/>
        <v>1</v>
      </c>
      <c r="T184" s="210"/>
      <c r="U184" s="210"/>
      <c r="V184" s="211" t="s">
        <v>488</v>
      </c>
      <c r="W184" s="210" t="str">
        <f t="shared" si="7"/>
        <v>QC</v>
      </c>
      <c r="X184" s="210" t="str">
        <f t="shared" si="8"/>
        <v>QC</v>
      </c>
      <c r="Y184" s="210" t="str">
        <f t="shared" si="9"/>
        <v>CHORUS</v>
      </c>
      <c r="Z184" s="210"/>
      <c r="AA184" s="210"/>
      <c r="AB184" s="210"/>
      <c r="AC184" s="210"/>
      <c r="AD184" s="210"/>
      <c r="AE184" s="210"/>
      <c r="AF184" s="210"/>
      <c r="AG184" s="210"/>
      <c r="AH184" s="210"/>
      <c r="AI184" s="210"/>
      <c r="AJ184" s="210"/>
      <c r="AK184" s="210"/>
      <c r="AL184" s="210"/>
      <c r="AM184" s="214"/>
      <c r="AN184" s="210"/>
      <c r="AO184" s="210" t="str">
        <f t="shared" si="10"/>
        <v>#N/A</v>
      </c>
      <c r="AP184" s="210" t="str">
        <f t="shared" si="11"/>
        <v>#N/A</v>
      </c>
      <c r="AQ184" s="210" t="str">
        <f t="shared" si="12"/>
        <v>#N/A</v>
      </c>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c r="BU184" s="210"/>
      <c r="BV184" s="210"/>
      <c r="BW184" s="210"/>
      <c r="BX184" s="210"/>
      <c r="BY184" s="210"/>
      <c r="BZ184" s="210"/>
      <c r="CA184" s="210"/>
      <c r="CB184" s="210"/>
      <c r="CC184" s="210"/>
      <c r="CD184" s="210"/>
      <c r="CE184" s="210"/>
      <c r="CF184" s="210"/>
      <c r="CG184" s="210"/>
      <c r="CH184" s="210"/>
      <c r="CI184" s="210"/>
      <c r="CJ184" s="210"/>
      <c r="CK184" s="210"/>
    </row>
    <row r="185">
      <c r="A185" s="222" t="s">
        <v>311</v>
      </c>
      <c r="B185" s="190" t="s">
        <v>312</v>
      </c>
      <c r="C185" s="223" t="s">
        <v>69</v>
      </c>
      <c r="D185" s="223" t="s">
        <v>862</v>
      </c>
      <c r="E185" s="190" t="s">
        <v>21</v>
      </c>
      <c r="F185" s="13" t="s">
        <v>927</v>
      </c>
      <c r="G185" s="13" t="s">
        <v>927</v>
      </c>
      <c r="H185" s="219">
        <f>IFERROR(
  MINIFS(ATTENDANCE_LOG!$F:$F,
         ATTENDANCE_LOG!$A:$A, C185,
         ATTENDANCE_LOG!$B:$B, E185),
"")</f>
        <v>45663.41667</v>
      </c>
      <c r="I185" s="219">
        <f t="shared" si="2"/>
        <v>45663.41667</v>
      </c>
      <c r="J185" s="190">
        <f>IFERROR(VLOOKUP(F185, LEVEL_HELPER!$A:$B, 2, 0), "")</f>
        <v>1</v>
      </c>
      <c r="K185" s="190">
        <f>IFERROR(VLOOKUP(G185, LEVEL_HELPER!$A:$B, 2, 0), "")</f>
        <v>1</v>
      </c>
      <c r="L185" s="220" t="s">
        <v>943</v>
      </c>
      <c r="M185" s="220" t="s">
        <v>925</v>
      </c>
      <c r="N185" s="190">
        <f t="array" ref="N185">IFERROR(
  INDEX($J$2:$J$543,
    MATCH(A185&amp;TEXT(I185,"yyyy-mm-dd"),
          $A$2:$A$543&amp;TEXT($H$2:$H$543,"yyyy-mm-dd"),
          0)),
"")</f>
        <v>1</v>
      </c>
      <c r="O185" s="210">
        <f t="shared" si="3"/>
        <v>1</v>
      </c>
      <c r="P185" s="210">
        <f t="shared" ref="P185:Q185" si="195">IF(N185="",0,IF(N185&lt;=2,1,IF(N185&lt;=4,2,IF(N185&lt;=5.5,3,4))))</f>
        <v>1</v>
      </c>
      <c r="Q185" s="210">
        <f t="shared" si="195"/>
        <v>1</v>
      </c>
      <c r="R185" s="210" t="str">
        <f t="shared" si="5"/>
        <v>No Progress</v>
      </c>
      <c r="S185" s="210">
        <f t="shared" si="6"/>
        <v>1</v>
      </c>
      <c r="T185" s="210"/>
      <c r="U185" s="210"/>
      <c r="V185" s="211" t="s">
        <v>661</v>
      </c>
      <c r="W185" s="210" t="str">
        <f t="shared" si="7"/>
        <v>SM</v>
      </c>
      <c r="X185" s="210" t="str">
        <f t="shared" si="8"/>
        <v>PPO, SM, IM </v>
      </c>
      <c r="Y185" s="210" t="str">
        <f t="shared" si="9"/>
        <v>CHORUS</v>
      </c>
      <c r="Z185" s="210"/>
      <c r="AA185" s="210"/>
      <c r="AB185" s="210"/>
      <c r="AC185" s="210"/>
      <c r="AD185" s="210"/>
      <c r="AE185" s="210"/>
      <c r="AF185" s="210"/>
      <c r="AG185" s="210"/>
      <c r="AH185" s="210"/>
      <c r="AI185" s="210"/>
      <c r="AJ185" s="210"/>
      <c r="AK185" s="210"/>
      <c r="AL185" s="210"/>
      <c r="AM185" s="214"/>
      <c r="AN185" s="210"/>
      <c r="AO185" s="210" t="str">
        <f t="shared" si="10"/>
        <v>#N/A</v>
      </c>
      <c r="AP185" s="210" t="str">
        <f t="shared" si="11"/>
        <v>#N/A</v>
      </c>
      <c r="AQ185" s="210" t="str">
        <f t="shared" si="12"/>
        <v>#N/A</v>
      </c>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c r="BU185" s="210"/>
      <c r="BV185" s="210"/>
      <c r="BW185" s="210"/>
      <c r="BX185" s="210"/>
      <c r="BY185" s="210"/>
      <c r="BZ185" s="210"/>
      <c r="CA185" s="210"/>
      <c r="CB185" s="210"/>
      <c r="CC185" s="210"/>
      <c r="CD185" s="210"/>
      <c r="CE185" s="210"/>
      <c r="CF185" s="210"/>
      <c r="CG185" s="210"/>
      <c r="CH185" s="210"/>
      <c r="CI185" s="210"/>
      <c r="CJ185" s="210"/>
      <c r="CK185" s="210"/>
    </row>
    <row r="186">
      <c r="A186" s="222" t="s">
        <v>323</v>
      </c>
      <c r="B186" s="190" t="s">
        <v>324</v>
      </c>
      <c r="C186" s="223" t="s">
        <v>69</v>
      </c>
      <c r="D186" s="223" t="s">
        <v>862</v>
      </c>
      <c r="E186" s="190" t="s">
        <v>21</v>
      </c>
      <c r="F186" s="13" t="s">
        <v>927</v>
      </c>
      <c r="G186" s="13" t="s">
        <v>927</v>
      </c>
      <c r="H186" s="219">
        <f>IFERROR(
  MINIFS(ATTENDANCE_LOG!$F:$F,
         ATTENDANCE_LOG!$A:$A, C186,
         ATTENDANCE_LOG!$B:$B, E186),
"")</f>
        <v>45663.41667</v>
      </c>
      <c r="I186" s="219">
        <f t="shared" si="2"/>
        <v>45663.41667</v>
      </c>
      <c r="J186" s="190">
        <f>IFERROR(VLOOKUP(F186, LEVEL_HELPER!$A:$B, 2, 0), "")</f>
        <v>1</v>
      </c>
      <c r="K186" s="190">
        <f>IFERROR(VLOOKUP(G186, LEVEL_HELPER!$A:$B, 2, 0), "")</f>
        <v>1</v>
      </c>
      <c r="L186" s="220" t="s">
        <v>943</v>
      </c>
      <c r="M186" s="220" t="s">
        <v>925</v>
      </c>
      <c r="N186" s="190">
        <f t="array" ref="N186">IFERROR(
  INDEX($J$2:$J$543,
    MATCH(A186&amp;TEXT(I186,"yyyy-mm-dd"),
          $A$2:$A$543&amp;TEXT($H$2:$H$543,"yyyy-mm-dd"),
          0)),
"")</f>
        <v>1</v>
      </c>
      <c r="O186" s="210">
        <f t="shared" si="3"/>
        <v>1</v>
      </c>
      <c r="P186" s="210">
        <f t="shared" ref="P186:Q186" si="196">IF(N186="",0,IF(N186&lt;=2,1,IF(N186&lt;=4,2,IF(N186&lt;=5.5,3,4))))</f>
        <v>1</v>
      </c>
      <c r="Q186" s="210">
        <f t="shared" si="196"/>
        <v>1</v>
      </c>
      <c r="R186" s="210" t="str">
        <f t="shared" si="5"/>
        <v>No Progress</v>
      </c>
      <c r="S186" s="210">
        <f t="shared" si="6"/>
        <v>0</v>
      </c>
      <c r="T186" s="210"/>
      <c r="U186" s="210"/>
      <c r="V186" s="211" t="s">
        <v>157</v>
      </c>
      <c r="W186" s="210" t="str">
        <f t="shared" si="7"/>
        <v>QC</v>
      </c>
      <c r="X186" s="210" t="str">
        <f t="shared" si="8"/>
        <v>QC</v>
      </c>
      <c r="Y186" s="210" t="str">
        <f t="shared" si="9"/>
        <v>CHORUS</v>
      </c>
      <c r="Z186" s="210"/>
      <c r="AA186" s="210"/>
      <c r="AB186" s="210"/>
      <c r="AC186" s="210"/>
      <c r="AD186" s="210"/>
      <c r="AE186" s="210"/>
      <c r="AF186" s="210"/>
      <c r="AG186" s="210"/>
      <c r="AH186" s="210"/>
      <c r="AI186" s="210"/>
      <c r="AJ186" s="210"/>
      <c r="AK186" s="210"/>
      <c r="AL186" s="210"/>
      <c r="AM186" s="214"/>
      <c r="AN186" s="210"/>
      <c r="AO186" s="210" t="str">
        <f t="shared" si="10"/>
        <v>#N/A</v>
      </c>
      <c r="AP186" s="210" t="str">
        <f t="shared" si="11"/>
        <v>#N/A</v>
      </c>
      <c r="AQ186" s="210" t="str">
        <f t="shared" si="12"/>
        <v>#N/A</v>
      </c>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c r="BU186" s="210"/>
      <c r="BV186" s="210"/>
      <c r="BW186" s="210"/>
      <c r="BX186" s="210"/>
      <c r="BY186" s="210"/>
      <c r="BZ186" s="210"/>
      <c r="CA186" s="210"/>
      <c r="CB186" s="210"/>
      <c r="CC186" s="210"/>
      <c r="CD186" s="210"/>
      <c r="CE186" s="210"/>
      <c r="CF186" s="210"/>
      <c r="CG186" s="210"/>
      <c r="CH186" s="210"/>
      <c r="CI186" s="210"/>
      <c r="CJ186" s="210"/>
      <c r="CK186" s="210"/>
    </row>
    <row r="187">
      <c r="A187" s="222" t="s">
        <v>403</v>
      </c>
      <c r="B187" s="190" t="s">
        <v>404</v>
      </c>
      <c r="C187" s="223" t="s">
        <v>69</v>
      </c>
      <c r="D187" s="223" t="s">
        <v>862</v>
      </c>
      <c r="E187" s="190" t="s">
        <v>21</v>
      </c>
      <c r="F187" s="13" t="s">
        <v>917</v>
      </c>
      <c r="G187" s="13" t="s">
        <v>932</v>
      </c>
      <c r="H187" s="219">
        <f>IFERROR(
  MINIFS(ATTENDANCE_LOG!$F:$F,
         ATTENDANCE_LOG!$A:$A, C187,
         ATTENDANCE_LOG!$B:$B, E187),
"")</f>
        <v>45663.41667</v>
      </c>
      <c r="I187" s="219">
        <f t="shared" si="2"/>
        <v>45663.41667</v>
      </c>
      <c r="J187" s="190">
        <f>IFERROR(VLOOKUP(F187, LEVEL_HELPER!$A:$B, 2, 0), "")</f>
        <v>2.5</v>
      </c>
      <c r="K187" s="190">
        <f>IFERROR(VLOOKUP(G187, LEVEL_HELPER!$A:$B, 2, 0), "")</f>
        <v>4.5</v>
      </c>
      <c r="L187" s="220" t="s">
        <v>943</v>
      </c>
      <c r="M187" s="220" t="s">
        <v>925</v>
      </c>
      <c r="N187" s="190">
        <f t="array" ref="N187">IFERROR(
  INDEX($J$2:$J$543,
    MATCH(A187&amp;TEXT(I187,"yyyy-mm-dd"),
          $A$2:$A$543&amp;TEXT($H$2:$H$543,"yyyy-mm-dd"),
          0)),
"")</f>
        <v>2.5</v>
      </c>
      <c r="O187" s="210">
        <f t="shared" si="3"/>
        <v>4.5</v>
      </c>
      <c r="P187" s="210">
        <f t="shared" ref="P187:Q187" si="197">IF(N187="",0,IF(N187&lt;=2,1,IF(N187&lt;=4,2,IF(N187&lt;=5.5,3,4))))</f>
        <v>2</v>
      </c>
      <c r="Q187" s="210">
        <f t="shared" si="197"/>
        <v>3</v>
      </c>
      <c r="R187" s="210" t="str">
        <f t="shared" si="5"/>
        <v>Lv2 → Lv3</v>
      </c>
      <c r="S187" s="210">
        <f t="shared" si="6"/>
        <v>1</v>
      </c>
      <c r="T187" s="210"/>
      <c r="U187" s="210"/>
      <c r="V187" s="211" t="s">
        <v>194</v>
      </c>
      <c r="W187" s="210" t="str">
        <f t="shared" si="7"/>
        <v>DEV</v>
      </c>
      <c r="X187" s="210" t="str">
        <f t="shared" si="8"/>
        <v>DEV, TA</v>
      </c>
      <c r="Y187" s="210" t="str">
        <f t="shared" si="9"/>
        <v>CHORUS</v>
      </c>
      <c r="Z187" s="210"/>
      <c r="AA187" s="210"/>
      <c r="AB187" s="210"/>
      <c r="AC187" s="210"/>
      <c r="AD187" s="210"/>
      <c r="AE187" s="210"/>
      <c r="AF187" s="210"/>
      <c r="AG187" s="210"/>
      <c r="AH187" s="210"/>
      <c r="AI187" s="210"/>
      <c r="AJ187" s="210"/>
      <c r="AK187" s="210"/>
      <c r="AL187" s="210"/>
      <c r="AM187" s="214"/>
      <c r="AN187" s="210"/>
      <c r="AO187" s="210" t="str">
        <f t="shared" si="10"/>
        <v>#N/A</v>
      </c>
      <c r="AP187" s="210" t="str">
        <f t="shared" si="11"/>
        <v>#N/A</v>
      </c>
      <c r="AQ187" s="210" t="str">
        <f t="shared" si="12"/>
        <v>#N/A</v>
      </c>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c r="BU187" s="210"/>
      <c r="BV187" s="210"/>
      <c r="BW187" s="210"/>
      <c r="BX187" s="210"/>
      <c r="BY187" s="210"/>
      <c r="BZ187" s="210"/>
      <c r="CA187" s="210"/>
      <c r="CB187" s="210"/>
      <c r="CC187" s="210"/>
      <c r="CD187" s="210"/>
      <c r="CE187" s="210"/>
      <c r="CF187" s="210"/>
      <c r="CG187" s="210"/>
      <c r="CH187" s="210"/>
      <c r="CI187" s="210"/>
      <c r="CJ187" s="210"/>
      <c r="CK187" s="210"/>
    </row>
    <row r="188">
      <c r="A188" s="222" t="s">
        <v>639</v>
      </c>
      <c r="B188" s="190" t="s">
        <v>640</v>
      </c>
      <c r="C188" s="223" t="s">
        <v>69</v>
      </c>
      <c r="D188" s="223" t="s">
        <v>862</v>
      </c>
      <c r="E188" s="190" t="s">
        <v>21</v>
      </c>
      <c r="F188" s="13" t="s">
        <v>927</v>
      </c>
      <c r="G188" s="13" t="s">
        <v>917</v>
      </c>
      <c r="H188" s="219">
        <f>IFERROR(
  MINIFS(ATTENDANCE_LOG!$F:$F,
         ATTENDANCE_LOG!$A:$A, C188,
         ATTENDANCE_LOG!$B:$B, E188),
"")</f>
        <v>45663.41667</v>
      </c>
      <c r="I188" s="219">
        <f t="shared" si="2"/>
        <v>45663.41667</v>
      </c>
      <c r="J188" s="190">
        <f>IFERROR(VLOOKUP(F188, LEVEL_HELPER!$A:$B, 2, 0), "")</f>
        <v>1</v>
      </c>
      <c r="K188" s="190">
        <f>IFERROR(VLOOKUP(G188, LEVEL_HELPER!$A:$B, 2, 0), "")</f>
        <v>2.5</v>
      </c>
      <c r="L188" s="220" t="s">
        <v>943</v>
      </c>
      <c r="M188" s="220" t="s">
        <v>925</v>
      </c>
      <c r="N188" s="190">
        <f t="array" ref="N188">IFERROR(
  INDEX($J$2:$J$543,
    MATCH(A188&amp;TEXT(I188,"yyyy-mm-dd"),
          $A$2:$A$543&amp;TEXT($H$2:$H$543,"yyyy-mm-dd"),
          0)),
"")</f>
        <v>1</v>
      </c>
      <c r="O188" s="210">
        <f t="shared" si="3"/>
        <v>2.5</v>
      </c>
      <c r="P188" s="210">
        <f t="shared" ref="P188:Q188" si="198">IF(N188="",0,IF(N188&lt;=2,1,IF(N188&lt;=4,2,IF(N188&lt;=5.5,3,4))))</f>
        <v>1</v>
      </c>
      <c r="Q188" s="210">
        <f t="shared" si="198"/>
        <v>2</v>
      </c>
      <c r="R188" s="210" t="str">
        <f t="shared" si="5"/>
        <v>Lv1 → Lv2</v>
      </c>
      <c r="S188" s="210">
        <f t="shared" si="6"/>
        <v>0</v>
      </c>
      <c r="T188" s="210"/>
      <c r="U188" s="210"/>
      <c r="V188" s="211" t="s">
        <v>457</v>
      </c>
      <c r="W188" s="210" t="str">
        <f t="shared" si="7"/>
        <v>QC</v>
      </c>
      <c r="X188" s="210" t="str">
        <f t="shared" si="8"/>
        <v>QC</v>
      </c>
      <c r="Y188" s="210" t="str">
        <f t="shared" si="9"/>
        <v>CHORUS</v>
      </c>
      <c r="Z188" s="210"/>
      <c r="AA188" s="210"/>
      <c r="AB188" s="210"/>
      <c r="AC188" s="210"/>
      <c r="AD188" s="210"/>
      <c r="AE188" s="210"/>
      <c r="AF188" s="210"/>
      <c r="AG188" s="210"/>
      <c r="AH188" s="210"/>
      <c r="AI188" s="210"/>
      <c r="AJ188" s="210"/>
      <c r="AK188" s="210"/>
      <c r="AL188" s="210"/>
      <c r="AM188" s="214"/>
      <c r="AN188" s="210"/>
      <c r="AO188" s="210" t="str">
        <f t="shared" si="10"/>
        <v>#N/A</v>
      </c>
      <c r="AP188" s="210" t="str">
        <f t="shared" si="11"/>
        <v>#N/A</v>
      </c>
      <c r="AQ188" s="210" t="str">
        <f t="shared" si="12"/>
        <v>#N/A</v>
      </c>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c r="BU188" s="210"/>
      <c r="BV188" s="210"/>
      <c r="BW188" s="210"/>
      <c r="BX188" s="210"/>
      <c r="BY188" s="210"/>
      <c r="BZ188" s="210"/>
      <c r="CA188" s="210"/>
      <c r="CB188" s="210"/>
      <c r="CC188" s="210"/>
      <c r="CD188" s="210"/>
      <c r="CE188" s="210"/>
      <c r="CF188" s="210"/>
      <c r="CG188" s="210"/>
      <c r="CH188" s="210"/>
      <c r="CI188" s="210"/>
      <c r="CJ188" s="210"/>
      <c r="CK188" s="210"/>
    </row>
    <row r="189">
      <c r="A189" s="222" t="s">
        <v>715</v>
      </c>
      <c r="B189" s="190" t="s">
        <v>716</v>
      </c>
      <c r="C189" s="223" t="s">
        <v>69</v>
      </c>
      <c r="D189" s="223" t="s">
        <v>862</v>
      </c>
      <c r="E189" s="190" t="s">
        <v>21</v>
      </c>
      <c r="F189" s="13" t="s">
        <v>917</v>
      </c>
      <c r="G189" s="13" t="s">
        <v>917</v>
      </c>
      <c r="H189" s="219">
        <f>IFERROR(
  MINIFS(ATTENDANCE_LOG!$F:$F,
         ATTENDANCE_LOG!$A:$A, C189,
         ATTENDANCE_LOG!$B:$B, E189),
"")</f>
        <v>45663.41667</v>
      </c>
      <c r="I189" s="219">
        <f t="shared" si="2"/>
        <v>45663.41667</v>
      </c>
      <c r="J189" s="190">
        <f>IFERROR(VLOOKUP(F189, LEVEL_HELPER!$A:$B, 2, 0), "")</f>
        <v>2.5</v>
      </c>
      <c r="K189" s="190">
        <f>IFERROR(VLOOKUP(G189, LEVEL_HELPER!$A:$B, 2, 0), "")</f>
        <v>2.5</v>
      </c>
      <c r="L189" s="220" t="s">
        <v>943</v>
      </c>
      <c r="M189" s="220" t="s">
        <v>925</v>
      </c>
      <c r="N189" s="190">
        <f t="array" ref="N189">IFERROR(
  INDEX($J$2:$J$543,
    MATCH(A189&amp;TEXT(I189,"yyyy-mm-dd"),
          $A$2:$A$543&amp;TEXT($H$2:$H$543,"yyyy-mm-dd"),
          0)),
"")</f>
        <v>2.5</v>
      </c>
      <c r="O189" s="210">
        <f t="shared" si="3"/>
        <v>2.5</v>
      </c>
      <c r="P189" s="210">
        <f t="shared" ref="P189:Q189" si="199">IF(N189="",0,IF(N189&lt;=2,1,IF(N189&lt;=4,2,IF(N189&lt;=5.5,3,4))))</f>
        <v>2</v>
      </c>
      <c r="Q189" s="210">
        <f t="shared" si="199"/>
        <v>2</v>
      </c>
      <c r="R189" s="210" t="str">
        <f t="shared" si="5"/>
        <v>No Progress</v>
      </c>
      <c r="S189" s="210">
        <f t="shared" si="6"/>
        <v>0</v>
      </c>
      <c r="T189" s="210"/>
      <c r="U189" s="210"/>
      <c r="V189" s="211" t="s">
        <v>541</v>
      </c>
      <c r="W189" s="210" t="str">
        <f t="shared" si="7"/>
        <v>SM</v>
      </c>
      <c r="X189" s="210" t="str">
        <f t="shared" si="8"/>
        <v>PPO, SM, IM </v>
      </c>
      <c r="Y189" s="210" t="str">
        <f t="shared" si="9"/>
        <v>CHORUS</v>
      </c>
      <c r="Z189" s="210"/>
      <c r="AA189" s="210"/>
      <c r="AB189" s="210"/>
      <c r="AC189" s="210"/>
      <c r="AD189" s="210"/>
      <c r="AE189" s="210"/>
      <c r="AF189" s="210"/>
      <c r="AG189" s="210"/>
      <c r="AH189" s="210"/>
      <c r="AI189" s="210"/>
      <c r="AJ189" s="210"/>
      <c r="AK189" s="210"/>
      <c r="AL189" s="210"/>
      <c r="AM189" s="214"/>
      <c r="AN189" s="210"/>
      <c r="AO189" s="210" t="str">
        <f t="shared" si="10"/>
        <v>#N/A</v>
      </c>
      <c r="AP189" s="210" t="str">
        <f t="shared" si="11"/>
        <v>#N/A</v>
      </c>
      <c r="AQ189" s="210" t="str">
        <f t="shared" si="12"/>
        <v>#N/A</v>
      </c>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c r="BU189" s="210"/>
      <c r="BV189" s="210"/>
      <c r="BW189" s="210"/>
      <c r="BX189" s="210"/>
      <c r="BY189" s="210"/>
      <c r="BZ189" s="210"/>
      <c r="CA189" s="210"/>
      <c r="CB189" s="210"/>
      <c r="CC189" s="210"/>
      <c r="CD189" s="210"/>
      <c r="CE189" s="210"/>
      <c r="CF189" s="210"/>
      <c r="CG189" s="210"/>
      <c r="CH189" s="210"/>
      <c r="CI189" s="210"/>
      <c r="CJ189" s="210"/>
      <c r="CK189" s="210"/>
    </row>
    <row r="190">
      <c r="A190" s="216" t="s">
        <v>434</v>
      </c>
      <c r="B190" s="217" t="s">
        <v>435</v>
      </c>
      <c r="C190" s="218" t="s">
        <v>70</v>
      </c>
      <c r="D190" s="218" t="s">
        <v>863</v>
      </c>
      <c r="E190" s="217" t="s">
        <v>21</v>
      </c>
      <c r="F190" s="13" t="s">
        <v>927</v>
      </c>
      <c r="G190" s="13" t="s">
        <v>935</v>
      </c>
      <c r="H190" s="219">
        <f>IFERROR(
  MINIFS(ATTENDANCE_LOG!$F:$F,
         ATTENDANCE_LOG!$A:$A, C190,
         ATTENDANCE_LOG!$B:$B, E190),
"")</f>
        <v>45638.41667</v>
      </c>
      <c r="I190" s="219">
        <f t="shared" si="2"/>
        <v>45638.41667</v>
      </c>
      <c r="J190" s="190">
        <f>IFERROR(VLOOKUP(F190, LEVEL_HELPER!$A:$B, 2, 0), "")</f>
        <v>1</v>
      </c>
      <c r="K190" s="190">
        <f>IFERROR(VLOOKUP(G190, LEVEL_HELPER!$A:$B, 2, 0), "")</f>
        <v>3.5</v>
      </c>
      <c r="L190" s="220" t="s">
        <v>943</v>
      </c>
      <c r="M190" s="220" t="s">
        <v>926</v>
      </c>
      <c r="N190" s="190">
        <f t="array" ref="N190">IFERROR(
  INDEX($J$2:$J$543,
    MATCH(A190&amp;TEXT(I190,"yyyy-mm-dd"),
          $A$2:$A$543&amp;TEXT($H$2:$H$543,"yyyy-mm-dd"),
          0)),
"")</f>
        <v>1</v>
      </c>
      <c r="O190" s="210">
        <f t="shared" si="3"/>
        <v>3.5</v>
      </c>
      <c r="P190" s="210">
        <f t="shared" ref="P190:Q190" si="200">IF(N190="",0,IF(N190&lt;=2,1,IF(N190&lt;=4,2,IF(N190&lt;=5.5,3,4))))</f>
        <v>1</v>
      </c>
      <c r="Q190" s="210">
        <f t="shared" si="200"/>
        <v>2</v>
      </c>
      <c r="R190" s="210" t="str">
        <f t="shared" si="5"/>
        <v>Lv1 → Lv2</v>
      </c>
      <c r="S190" s="210">
        <f t="shared" si="6"/>
        <v>1</v>
      </c>
      <c r="T190" s="210"/>
      <c r="U190" s="210"/>
      <c r="V190" s="211" t="s">
        <v>703</v>
      </c>
      <c r="W190" s="210" t="str">
        <f t="shared" si="7"/>
        <v>DEV</v>
      </c>
      <c r="X190" s="210" t="str">
        <f t="shared" si="8"/>
        <v>DEV, TA</v>
      </c>
      <c r="Y190" s="210" t="str">
        <f t="shared" si="9"/>
        <v>CHORUS</v>
      </c>
      <c r="Z190" s="210"/>
      <c r="AA190" s="210"/>
      <c r="AB190" s="210"/>
      <c r="AC190" s="210"/>
      <c r="AD190" s="210"/>
      <c r="AE190" s="210"/>
      <c r="AF190" s="210"/>
      <c r="AG190" s="210"/>
      <c r="AH190" s="210"/>
      <c r="AI190" s="210"/>
      <c r="AJ190" s="210"/>
      <c r="AK190" s="210"/>
      <c r="AL190" s="210"/>
      <c r="AM190" s="214"/>
      <c r="AN190" s="210"/>
      <c r="AO190" s="210" t="str">
        <f t="shared" si="10"/>
        <v>#N/A</v>
      </c>
      <c r="AP190" s="210" t="str">
        <f t="shared" si="11"/>
        <v>#N/A</v>
      </c>
      <c r="AQ190" s="210" t="str">
        <f t="shared" si="12"/>
        <v>#N/A</v>
      </c>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c r="BU190" s="210"/>
      <c r="BV190" s="210"/>
      <c r="BW190" s="210"/>
      <c r="BX190" s="210"/>
      <c r="BY190" s="210"/>
      <c r="BZ190" s="210"/>
      <c r="CA190" s="210"/>
      <c r="CB190" s="210"/>
      <c r="CC190" s="210"/>
      <c r="CD190" s="210"/>
      <c r="CE190" s="210"/>
      <c r="CF190" s="210"/>
      <c r="CG190" s="210"/>
      <c r="CH190" s="210"/>
      <c r="CI190" s="210"/>
      <c r="CJ190" s="210"/>
      <c r="CK190" s="210"/>
    </row>
    <row r="191">
      <c r="A191" s="222" t="s">
        <v>167</v>
      </c>
      <c r="B191" s="190" t="s">
        <v>168</v>
      </c>
      <c r="C191" s="223" t="s">
        <v>70</v>
      </c>
      <c r="D191" s="223" t="s">
        <v>863</v>
      </c>
      <c r="E191" s="190" t="s">
        <v>21</v>
      </c>
      <c r="F191" s="13" t="s">
        <v>927</v>
      </c>
      <c r="G191" s="13" t="s">
        <v>929</v>
      </c>
      <c r="H191" s="219">
        <f>IFERROR(
  MINIFS(ATTENDANCE_LOG!$F:$F,
         ATTENDANCE_LOG!$A:$A, C191,
         ATTENDANCE_LOG!$B:$B, E191),
"")</f>
        <v>45638.41667</v>
      </c>
      <c r="I191" s="219">
        <f t="shared" si="2"/>
        <v>45638.41667</v>
      </c>
      <c r="J191" s="190">
        <f>IFERROR(VLOOKUP(F191, LEVEL_HELPER!$A:$B, 2, 0), "")</f>
        <v>1</v>
      </c>
      <c r="K191" s="190">
        <f>IFERROR(VLOOKUP(G191, LEVEL_HELPER!$A:$B, 2, 0), "")</f>
        <v>1.5</v>
      </c>
      <c r="L191" s="220" t="s">
        <v>919</v>
      </c>
      <c r="M191" s="220" t="s">
        <v>923</v>
      </c>
      <c r="N191" s="190">
        <f t="array" ref="N191">IFERROR(
  INDEX($J$2:$J$543,
    MATCH(A191&amp;TEXT(I191,"yyyy-mm-dd"),
          $A$2:$A$543&amp;TEXT($H$2:$H$543,"yyyy-mm-dd"),
          0)),
"")</f>
        <v>1</v>
      </c>
      <c r="O191" s="210">
        <f t="shared" si="3"/>
        <v>1.5</v>
      </c>
      <c r="P191" s="210">
        <f t="shared" ref="P191:Q191" si="201">IF(N191="",0,IF(N191&lt;=2,1,IF(N191&lt;=4,2,IF(N191&lt;=5.5,3,4))))</f>
        <v>1</v>
      </c>
      <c r="Q191" s="210">
        <f t="shared" si="201"/>
        <v>1</v>
      </c>
      <c r="R191" s="210" t="str">
        <f t="shared" si="5"/>
        <v>Progress within level</v>
      </c>
      <c r="S191" s="210">
        <f t="shared" si="6"/>
        <v>0</v>
      </c>
      <c r="T191" s="210"/>
      <c r="U191" s="210"/>
      <c r="V191" s="211" t="s">
        <v>707</v>
      </c>
      <c r="W191" s="210" t="str">
        <f t="shared" si="7"/>
        <v>SM</v>
      </c>
      <c r="X191" s="210" t="str">
        <f t="shared" si="8"/>
        <v>PPO, SM, IM </v>
      </c>
      <c r="Y191" s="210" t="str">
        <f t="shared" si="9"/>
        <v>CHORUS</v>
      </c>
      <c r="Z191" s="210"/>
      <c r="AA191" s="210"/>
      <c r="AB191" s="210"/>
      <c r="AC191" s="210"/>
      <c r="AD191" s="210"/>
      <c r="AE191" s="210"/>
      <c r="AF191" s="210"/>
      <c r="AG191" s="210"/>
      <c r="AH191" s="210"/>
      <c r="AI191" s="210"/>
      <c r="AJ191" s="210"/>
      <c r="AK191" s="210"/>
      <c r="AL191" s="210"/>
      <c r="AM191" s="214"/>
      <c r="AN191" s="210"/>
      <c r="AO191" s="210" t="str">
        <f t="shared" si="10"/>
        <v>#N/A</v>
      </c>
      <c r="AP191" s="210" t="str">
        <f t="shared" si="11"/>
        <v>#N/A</v>
      </c>
      <c r="AQ191" s="210" t="str">
        <f t="shared" si="12"/>
        <v>#N/A</v>
      </c>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c r="BU191" s="210"/>
      <c r="BV191" s="210"/>
      <c r="BW191" s="210"/>
      <c r="BX191" s="210"/>
      <c r="BY191" s="210"/>
      <c r="BZ191" s="210"/>
      <c r="CA191" s="210"/>
      <c r="CB191" s="210"/>
      <c r="CC191" s="210"/>
      <c r="CD191" s="210"/>
      <c r="CE191" s="210"/>
      <c r="CF191" s="210"/>
      <c r="CG191" s="210"/>
      <c r="CH191" s="210"/>
      <c r="CI191" s="210"/>
      <c r="CJ191" s="210"/>
      <c r="CK191" s="210"/>
    </row>
    <row r="192">
      <c r="A192" s="222" t="s">
        <v>184</v>
      </c>
      <c r="B192" s="190" t="s">
        <v>185</v>
      </c>
      <c r="C192" s="223" t="s">
        <v>70</v>
      </c>
      <c r="D192" s="223" t="s">
        <v>863</v>
      </c>
      <c r="E192" s="190" t="s">
        <v>21</v>
      </c>
      <c r="F192" s="13" t="s">
        <v>927</v>
      </c>
      <c r="G192" s="13" t="s">
        <v>935</v>
      </c>
      <c r="H192" s="219">
        <f>IFERROR(
  MINIFS(ATTENDANCE_LOG!$F:$F,
         ATTENDANCE_LOG!$A:$A, C192,
         ATTENDANCE_LOG!$B:$B, E192),
"")</f>
        <v>45638.41667</v>
      </c>
      <c r="I192" s="219">
        <f t="shared" si="2"/>
        <v>45638.41667</v>
      </c>
      <c r="J192" s="190">
        <f>IFERROR(VLOOKUP(F192, LEVEL_HELPER!$A:$B, 2, 0), "")</f>
        <v>1</v>
      </c>
      <c r="K192" s="190">
        <f>IFERROR(VLOOKUP(G192, LEVEL_HELPER!$A:$B, 2, 0), "")</f>
        <v>3.5</v>
      </c>
      <c r="L192" s="220" t="s">
        <v>943</v>
      </c>
      <c r="M192" s="220" t="s">
        <v>926</v>
      </c>
      <c r="N192" s="190">
        <f t="array" ref="N192">IFERROR(
  INDEX($J$2:$J$543,
    MATCH(A192&amp;TEXT(I192,"yyyy-mm-dd"),
          $A$2:$A$543&amp;TEXT($H$2:$H$543,"yyyy-mm-dd"),
          0)),
"")</f>
        <v>1</v>
      </c>
      <c r="O192" s="210">
        <f t="shared" si="3"/>
        <v>3.5</v>
      </c>
      <c r="P192" s="210">
        <f t="shared" ref="P192:Q192" si="202">IF(N192="",0,IF(N192&lt;=2,1,IF(N192&lt;=4,2,IF(N192&lt;=5.5,3,4))))</f>
        <v>1</v>
      </c>
      <c r="Q192" s="210">
        <f t="shared" si="202"/>
        <v>2</v>
      </c>
      <c r="R192" s="210" t="str">
        <f t="shared" si="5"/>
        <v>Lv1 → Lv2</v>
      </c>
      <c r="S192" s="210">
        <f t="shared" si="6"/>
        <v>0</v>
      </c>
      <c r="T192" s="210"/>
      <c r="U192" s="210"/>
      <c r="V192" s="211" t="s">
        <v>512</v>
      </c>
      <c r="W192" s="210" t="str">
        <f t="shared" si="7"/>
        <v>DEV</v>
      </c>
      <c r="X192" s="210" t="str">
        <f t="shared" si="8"/>
        <v>DEV, TA</v>
      </c>
      <c r="Y192" s="210" t="str">
        <f t="shared" si="9"/>
        <v>MOC</v>
      </c>
      <c r="Z192" s="210"/>
      <c r="AA192" s="210"/>
      <c r="AB192" s="210"/>
      <c r="AC192" s="210"/>
      <c r="AD192" s="210"/>
      <c r="AE192" s="210"/>
      <c r="AF192" s="210"/>
      <c r="AG192" s="210"/>
      <c r="AH192" s="210"/>
      <c r="AI192" s="210"/>
      <c r="AJ192" s="210"/>
      <c r="AK192" s="210"/>
      <c r="AL192" s="210"/>
      <c r="AM192" s="214"/>
      <c r="AN192" s="210"/>
      <c r="AO192" s="210" t="str">
        <f t="shared" si="10"/>
        <v>#N/A</v>
      </c>
      <c r="AP192" s="210" t="str">
        <f t="shared" si="11"/>
        <v>#N/A</v>
      </c>
      <c r="AQ192" s="210" t="str">
        <f t="shared" si="12"/>
        <v>#N/A</v>
      </c>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c r="BU192" s="210"/>
      <c r="BV192" s="210"/>
      <c r="BW192" s="210"/>
      <c r="BX192" s="210"/>
      <c r="BY192" s="210"/>
      <c r="BZ192" s="210"/>
      <c r="CA192" s="210"/>
      <c r="CB192" s="210"/>
      <c r="CC192" s="210"/>
      <c r="CD192" s="210"/>
      <c r="CE192" s="210"/>
      <c r="CF192" s="210"/>
      <c r="CG192" s="210"/>
      <c r="CH192" s="210"/>
      <c r="CI192" s="210"/>
      <c r="CJ192" s="210"/>
      <c r="CK192" s="210"/>
    </row>
    <row r="193">
      <c r="A193" s="222" t="s">
        <v>188</v>
      </c>
      <c r="B193" s="190" t="s">
        <v>189</v>
      </c>
      <c r="C193" s="223" t="s">
        <v>70</v>
      </c>
      <c r="D193" s="223" t="s">
        <v>863</v>
      </c>
      <c r="E193" s="190" t="s">
        <v>21</v>
      </c>
      <c r="F193" s="13" t="s">
        <v>927</v>
      </c>
      <c r="G193" s="13" t="s">
        <v>935</v>
      </c>
      <c r="H193" s="219">
        <f>IFERROR(
  MINIFS(ATTENDANCE_LOG!$F:$F,
         ATTENDANCE_LOG!$A:$A, C193,
         ATTENDANCE_LOG!$B:$B, E193),
"")</f>
        <v>45638.41667</v>
      </c>
      <c r="I193" s="219">
        <f t="shared" si="2"/>
        <v>45638.41667</v>
      </c>
      <c r="J193" s="190">
        <f>IFERROR(VLOOKUP(F193, LEVEL_HELPER!$A:$B, 2, 0), "")</f>
        <v>1</v>
      </c>
      <c r="K193" s="190">
        <f>IFERROR(VLOOKUP(G193, LEVEL_HELPER!$A:$B, 2, 0), "")</f>
        <v>3.5</v>
      </c>
      <c r="L193" s="220" t="s">
        <v>919</v>
      </c>
      <c r="M193" s="220" t="s">
        <v>923</v>
      </c>
      <c r="N193" s="190">
        <f t="array" ref="N193">IFERROR(
  INDEX($J$2:$J$543,
    MATCH(A193&amp;TEXT(I193,"yyyy-mm-dd"),
          $A$2:$A$543&amp;TEXT($H$2:$H$543,"yyyy-mm-dd"),
          0)),
"")</f>
        <v>1</v>
      </c>
      <c r="O193" s="210">
        <f t="shared" si="3"/>
        <v>3.5</v>
      </c>
      <c r="P193" s="210">
        <f t="shared" ref="P193:Q193" si="203">IF(N193="",0,IF(N193&lt;=2,1,IF(N193&lt;=4,2,IF(N193&lt;=5.5,3,4))))</f>
        <v>1</v>
      </c>
      <c r="Q193" s="210">
        <f t="shared" si="203"/>
        <v>2</v>
      </c>
      <c r="R193" s="210" t="str">
        <f t="shared" si="5"/>
        <v>Lv1 → Lv2</v>
      </c>
      <c r="S193" s="210">
        <f t="shared" si="6"/>
        <v>0</v>
      </c>
      <c r="T193" s="210"/>
      <c r="U193" s="210"/>
      <c r="V193" s="211" t="s">
        <v>524</v>
      </c>
      <c r="W193" s="210" t="str">
        <f t="shared" si="7"/>
        <v>DEV</v>
      </c>
      <c r="X193" s="210" t="str">
        <f t="shared" si="8"/>
        <v>DEV, TA</v>
      </c>
      <c r="Y193" s="210" t="str">
        <f t="shared" si="9"/>
        <v>MOC</v>
      </c>
      <c r="Z193" s="210"/>
      <c r="AA193" s="210"/>
      <c r="AB193" s="210"/>
      <c r="AC193" s="210"/>
      <c r="AD193" s="210"/>
      <c r="AE193" s="210"/>
      <c r="AF193" s="210"/>
      <c r="AG193" s="210"/>
      <c r="AH193" s="210"/>
      <c r="AI193" s="210"/>
      <c r="AJ193" s="210"/>
      <c r="AK193" s="210"/>
      <c r="AL193" s="210"/>
      <c r="AM193" s="214"/>
      <c r="AN193" s="210"/>
      <c r="AO193" s="210" t="str">
        <f t="shared" si="10"/>
        <v>#N/A</v>
      </c>
      <c r="AP193" s="210" t="str">
        <f t="shared" si="11"/>
        <v>#N/A</v>
      </c>
      <c r="AQ193" s="210" t="str">
        <f t="shared" si="12"/>
        <v>#N/A</v>
      </c>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c r="BU193" s="210"/>
      <c r="BV193" s="210"/>
      <c r="BW193" s="210"/>
      <c r="BX193" s="210"/>
      <c r="BY193" s="210"/>
      <c r="BZ193" s="210"/>
      <c r="CA193" s="210"/>
      <c r="CB193" s="210"/>
      <c r="CC193" s="210"/>
      <c r="CD193" s="210"/>
      <c r="CE193" s="210"/>
      <c r="CF193" s="210"/>
      <c r="CG193" s="210"/>
      <c r="CH193" s="210"/>
      <c r="CI193" s="210"/>
      <c r="CJ193" s="210"/>
      <c r="CK193" s="210"/>
    </row>
    <row r="194">
      <c r="A194" s="222" t="s">
        <v>192</v>
      </c>
      <c r="B194" s="190" t="s">
        <v>193</v>
      </c>
      <c r="C194" s="223" t="s">
        <v>70</v>
      </c>
      <c r="D194" s="223" t="s">
        <v>863</v>
      </c>
      <c r="E194" s="190" t="s">
        <v>21</v>
      </c>
      <c r="F194" s="13" t="s">
        <v>927</v>
      </c>
      <c r="G194" s="13" t="s">
        <v>918</v>
      </c>
      <c r="H194" s="219">
        <f>IFERROR(
  MINIFS(ATTENDANCE_LOG!$F:$F,
         ATTENDANCE_LOG!$A:$A, C194,
         ATTENDANCE_LOG!$B:$B, E194),
"")</f>
        <v>45638.41667</v>
      </c>
      <c r="I194" s="219">
        <f t="shared" si="2"/>
        <v>45638.41667</v>
      </c>
      <c r="J194" s="190">
        <f>IFERROR(VLOOKUP(F194, LEVEL_HELPER!$A:$B, 2, 0), "")</f>
        <v>1</v>
      </c>
      <c r="K194" s="190">
        <f>IFERROR(VLOOKUP(G194, LEVEL_HELPER!$A:$B, 2, 0), "")</f>
        <v>3</v>
      </c>
      <c r="L194" s="220" t="s">
        <v>943</v>
      </c>
      <c r="M194" s="220" t="s">
        <v>923</v>
      </c>
      <c r="N194" s="190">
        <f t="array" ref="N194">IFERROR(
  INDEX($J$2:$J$543,
    MATCH(A194&amp;TEXT(I194,"yyyy-mm-dd"),
          $A$2:$A$543&amp;TEXT($H$2:$H$543,"yyyy-mm-dd"),
          0)),
"")</f>
        <v>1</v>
      </c>
      <c r="O194" s="210">
        <f t="shared" si="3"/>
        <v>3</v>
      </c>
      <c r="P194" s="210">
        <f t="shared" ref="P194:Q194" si="204">IF(N194="",0,IF(N194&lt;=2,1,IF(N194&lt;=4,2,IF(N194&lt;=5.5,3,4))))</f>
        <v>1</v>
      </c>
      <c r="Q194" s="210">
        <f t="shared" si="204"/>
        <v>2</v>
      </c>
      <c r="R194" s="210" t="str">
        <f t="shared" si="5"/>
        <v>Lv1 → Lv2</v>
      </c>
      <c r="S194" s="210">
        <f t="shared" si="6"/>
        <v>1</v>
      </c>
      <c r="T194" s="210"/>
      <c r="U194" s="210"/>
      <c r="V194" s="211" t="s">
        <v>530</v>
      </c>
      <c r="W194" s="210" t="str">
        <f t="shared" si="7"/>
        <v>DEV</v>
      </c>
      <c r="X194" s="210" t="str">
        <f t="shared" si="8"/>
        <v>DEV, TA</v>
      </c>
      <c r="Y194" s="210" t="str">
        <f t="shared" si="9"/>
        <v>MOC</v>
      </c>
      <c r="Z194" s="210"/>
      <c r="AA194" s="210"/>
      <c r="AB194" s="210"/>
      <c r="AC194" s="210"/>
      <c r="AD194" s="210"/>
      <c r="AE194" s="210"/>
      <c r="AF194" s="210"/>
      <c r="AG194" s="210"/>
      <c r="AH194" s="210"/>
      <c r="AI194" s="210"/>
      <c r="AJ194" s="210"/>
      <c r="AK194" s="210"/>
      <c r="AL194" s="210"/>
      <c r="AM194" s="214"/>
      <c r="AN194" s="210"/>
      <c r="AO194" s="210" t="str">
        <f t="shared" si="10"/>
        <v>#N/A</v>
      </c>
      <c r="AP194" s="210" t="str">
        <f t="shared" si="11"/>
        <v>#N/A</v>
      </c>
      <c r="AQ194" s="210" t="str">
        <f t="shared" si="12"/>
        <v>#N/A</v>
      </c>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c r="BU194" s="210"/>
      <c r="BV194" s="210"/>
      <c r="BW194" s="210"/>
      <c r="BX194" s="210"/>
      <c r="BY194" s="210"/>
      <c r="BZ194" s="210"/>
      <c r="CA194" s="210"/>
      <c r="CB194" s="210"/>
      <c r="CC194" s="210"/>
      <c r="CD194" s="210"/>
      <c r="CE194" s="210"/>
      <c r="CF194" s="210"/>
      <c r="CG194" s="210"/>
      <c r="CH194" s="210"/>
      <c r="CI194" s="210"/>
      <c r="CJ194" s="210"/>
      <c r="CK194" s="210"/>
    </row>
    <row r="195">
      <c r="A195" s="222" t="s">
        <v>202</v>
      </c>
      <c r="B195" s="190" t="s">
        <v>203</v>
      </c>
      <c r="C195" s="223" t="s">
        <v>70</v>
      </c>
      <c r="D195" s="223" t="s">
        <v>863</v>
      </c>
      <c r="E195" s="190" t="s">
        <v>21</v>
      </c>
      <c r="F195" s="13" t="s">
        <v>932</v>
      </c>
      <c r="G195" s="13" t="s">
        <v>932</v>
      </c>
      <c r="H195" s="219">
        <f>IFERROR(
  MINIFS(ATTENDANCE_LOG!$F:$F,
         ATTENDANCE_LOG!$A:$A, C195,
         ATTENDANCE_LOG!$B:$B, E195),
"")</f>
        <v>45638.41667</v>
      </c>
      <c r="I195" s="219">
        <f t="shared" si="2"/>
        <v>45638.41667</v>
      </c>
      <c r="J195" s="190">
        <f>IFERROR(VLOOKUP(F195, LEVEL_HELPER!$A:$B, 2, 0), "")</f>
        <v>4.5</v>
      </c>
      <c r="K195" s="190">
        <f>IFERROR(VLOOKUP(G195, LEVEL_HELPER!$A:$B, 2, 0), "")</f>
        <v>4.5</v>
      </c>
      <c r="L195" s="220" t="s">
        <v>943</v>
      </c>
      <c r="M195" s="220" t="s">
        <v>926</v>
      </c>
      <c r="N195" s="190">
        <f t="array" ref="N195">IFERROR(
  INDEX($J$2:$J$543,
    MATCH(A195&amp;TEXT(I195,"yyyy-mm-dd"),
          $A$2:$A$543&amp;TEXT($H$2:$H$543,"yyyy-mm-dd"),
          0)),
"")</f>
        <v>4.5</v>
      </c>
      <c r="O195" s="210">
        <f t="shared" si="3"/>
        <v>4.5</v>
      </c>
      <c r="P195" s="210">
        <f t="shared" ref="P195:Q195" si="205">IF(N195="",0,IF(N195&lt;=2,1,IF(N195&lt;=4,2,IF(N195&lt;=5.5,3,4))))</f>
        <v>3</v>
      </c>
      <c r="Q195" s="210">
        <f t="shared" si="205"/>
        <v>3</v>
      </c>
      <c r="R195" s="210" t="str">
        <f t="shared" si="5"/>
        <v>No Progress</v>
      </c>
      <c r="S195" s="210">
        <f t="shared" si="6"/>
        <v>1</v>
      </c>
      <c r="T195" s="210"/>
      <c r="U195" s="210"/>
      <c r="V195" s="211" t="s">
        <v>621</v>
      </c>
      <c r="W195" s="210" t="str">
        <f t="shared" si="7"/>
        <v>DEV</v>
      </c>
      <c r="X195" s="210" t="str">
        <f t="shared" si="8"/>
        <v>DEV, TA</v>
      </c>
      <c r="Y195" s="210" t="str">
        <f t="shared" si="9"/>
        <v>MOC</v>
      </c>
      <c r="Z195" s="210"/>
      <c r="AA195" s="210"/>
      <c r="AB195" s="210"/>
      <c r="AC195" s="210"/>
      <c r="AD195" s="210"/>
      <c r="AE195" s="210"/>
      <c r="AF195" s="210"/>
      <c r="AG195" s="210"/>
      <c r="AH195" s="210"/>
      <c r="AI195" s="210"/>
      <c r="AJ195" s="210"/>
      <c r="AK195" s="210"/>
      <c r="AL195" s="210"/>
      <c r="AM195" s="214"/>
      <c r="AN195" s="210"/>
      <c r="AO195" s="210" t="str">
        <f t="shared" si="10"/>
        <v>#N/A</v>
      </c>
      <c r="AP195" s="210" t="str">
        <f t="shared" si="11"/>
        <v>#N/A</v>
      </c>
      <c r="AQ195" s="210" t="str">
        <f t="shared" si="12"/>
        <v>#N/A</v>
      </c>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c r="BU195" s="210"/>
      <c r="BV195" s="210"/>
      <c r="BW195" s="210"/>
      <c r="BX195" s="210"/>
      <c r="BY195" s="210"/>
      <c r="BZ195" s="210"/>
      <c r="CA195" s="210"/>
      <c r="CB195" s="210"/>
      <c r="CC195" s="210"/>
      <c r="CD195" s="210"/>
      <c r="CE195" s="210"/>
      <c r="CF195" s="210"/>
      <c r="CG195" s="210"/>
      <c r="CH195" s="210"/>
      <c r="CI195" s="210"/>
      <c r="CJ195" s="210"/>
      <c r="CK195" s="210"/>
    </row>
    <row r="196">
      <c r="A196" s="222" t="s">
        <v>607</v>
      </c>
      <c r="B196" s="190" t="s">
        <v>608</v>
      </c>
      <c r="C196" s="223" t="s">
        <v>70</v>
      </c>
      <c r="D196" s="223" t="s">
        <v>863</v>
      </c>
      <c r="E196" s="190" t="s">
        <v>21</v>
      </c>
      <c r="F196" s="13" t="s">
        <v>927</v>
      </c>
      <c r="G196" s="13" t="s">
        <v>935</v>
      </c>
      <c r="H196" s="219">
        <f>IFERROR(
  MINIFS(ATTENDANCE_LOG!$F:$F,
         ATTENDANCE_LOG!$A:$A, C196,
         ATTENDANCE_LOG!$B:$B, E196),
"")</f>
        <v>45638.41667</v>
      </c>
      <c r="I196" s="219">
        <f t="shared" si="2"/>
        <v>45638.41667</v>
      </c>
      <c r="J196" s="190">
        <f>IFERROR(VLOOKUP(F196, LEVEL_HELPER!$A:$B, 2, 0), "")</f>
        <v>1</v>
      </c>
      <c r="K196" s="190">
        <f>IFERROR(VLOOKUP(G196, LEVEL_HELPER!$A:$B, 2, 0), "")</f>
        <v>3.5</v>
      </c>
      <c r="L196" s="220" t="s">
        <v>943</v>
      </c>
      <c r="M196" s="229" t="s">
        <v>922</v>
      </c>
      <c r="N196" s="190">
        <f t="array" ref="N196">IFERROR(
  INDEX($J$2:$J$543,
    MATCH(A196&amp;TEXT(I196,"yyyy-mm-dd"),
          $A$2:$A$543&amp;TEXT($H$2:$H$543,"yyyy-mm-dd"),
          0)),
"")</f>
        <v>1</v>
      </c>
      <c r="O196" s="210">
        <f t="shared" si="3"/>
        <v>3.5</v>
      </c>
      <c r="P196" s="210">
        <f t="shared" ref="P196:Q196" si="206">IF(N196="",0,IF(N196&lt;=2,1,IF(N196&lt;=4,2,IF(N196&lt;=5.5,3,4))))</f>
        <v>1</v>
      </c>
      <c r="Q196" s="210">
        <f t="shared" si="206"/>
        <v>2</v>
      </c>
      <c r="R196" s="210" t="str">
        <f t="shared" si="5"/>
        <v>Lv1 → Lv2</v>
      </c>
      <c r="S196" s="210">
        <f t="shared" si="6"/>
        <v>1</v>
      </c>
      <c r="T196" s="210"/>
      <c r="U196" s="210"/>
      <c r="V196" s="211" t="s">
        <v>526</v>
      </c>
      <c r="W196" s="210" t="str">
        <f t="shared" si="7"/>
        <v>DEV</v>
      </c>
      <c r="X196" s="210" t="str">
        <f t="shared" si="8"/>
        <v>DEV, TA</v>
      </c>
      <c r="Y196" s="210" t="str">
        <f t="shared" si="9"/>
        <v>MOC</v>
      </c>
      <c r="Z196" s="210"/>
      <c r="AA196" s="210"/>
      <c r="AB196" s="210"/>
      <c r="AC196" s="210"/>
      <c r="AD196" s="210"/>
      <c r="AE196" s="210"/>
      <c r="AF196" s="210"/>
      <c r="AG196" s="210"/>
      <c r="AH196" s="210"/>
      <c r="AI196" s="210"/>
      <c r="AJ196" s="210"/>
      <c r="AK196" s="210"/>
      <c r="AL196" s="210"/>
      <c r="AM196" s="214"/>
      <c r="AN196" s="210"/>
      <c r="AO196" s="210" t="str">
        <f t="shared" si="10"/>
        <v>#N/A</v>
      </c>
      <c r="AP196" s="210" t="str">
        <f t="shared" si="11"/>
        <v>#N/A</v>
      </c>
      <c r="AQ196" s="210" t="str">
        <f t="shared" si="12"/>
        <v>#N/A</v>
      </c>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c r="BU196" s="210"/>
      <c r="BV196" s="210"/>
      <c r="BW196" s="210"/>
      <c r="BX196" s="210"/>
      <c r="BY196" s="210"/>
      <c r="BZ196" s="210"/>
      <c r="CA196" s="210"/>
      <c r="CB196" s="210"/>
      <c r="CC196" s="210"/>
      <c r="CD196" s="210"/>
      <c r="CE196" s="210"/>
      <c r="CF196" s="210"/>
      <c r="CG196" s="210"/>
      <c r="CH196" s="210"/>
      <c r="CI196" s="210"/>
      <c r="CJ196" s="210"/>
      <c r="CK196" s="210"/>
    </row>
    <row r="197">
      <c r="A197" s="222" t="s">
        <v>697</v>
      </c>
      <c r="B197" s="190" t="s">
        <v>698</v>
      </c>
      <c r="C197" s="223" t="s">
        <v>70</v>
      </c>
      <c r="D197" s="223" t="s">
        <v>863</v>
      </c>
      <c r="E197" s="190" t="s">
        <v>21</v>
      </c>
      <c r="F197" s="13" t="s">
        <v>927</v>
      </c>
      <c r="G197" s="13" t="s">
        <v>918</v>
      </c>
      <c r="H197" s="219">
        <f>IFERROR(
  MINIFS(ATTENDANCE_LOG!$F:$F,
         ATTENDANCE_LOG!$A:$A, C197,
         ATTENDANCE_LOG!$B:$B, E197),
"")</f>
        <v>45638.41667</v>
      </c>
      <c r="I197" s="219">
        <f t="shared" si="2"/>
        <v>45638.41667</v>
      </c>
      <c r="J197" s="190">
        <f>IFERROR(VLOOKUP(F197, LEVEL_HELPER!$A:$B, 2, 0), "")</f>
        <v>1</v>
      </c>
      <c r="K197" s="190">
        <f>IFERROR(VLOOKUP(G197, LEVEL_HELPER!$A:$B, 2, 0), "")</f>
        <v>3</v>
      </c>
      <c r="L197" s="220" t="s">
        <v>943</v>
      </c>
      <c r="M197" s="220" t="s">
        <v>926</v>
      </c>
      <c r="N197" s="190">
        <f t="array" ref="N197">IFERROR(
  INDEX($J$2:$J$543,
    MATCH(A197&amp;TEXT(I197,"yyyy-mm-dd"),
          $A$2:$A$543&amp;TEXT($H$2:$H$543,"yyyy-mm-dd"),
          0)),
"")</f>
        <v>1</v>
      </c>
      <c r="O197" s="210">
        <f t="shared" si="3"/>
        <v>3</v>
      </c>
      <c r="P197" s="210">
        <f t="shared" ref="P197:Q197" si="207">IF(N197="",0,IF(N197&lt;=2,1,IF(N197&lt;=4,2,IF(N197&lt;=5.5,3,4))))</f>
        <v>1</v>
      </c>
      <c r="Q197" s="210">
        <f t="shared" si="207"/>
        <v>2</v>
      </c>
      <c r="R197" s="210" t="str">
        <f t="shared" si="5"/>
        <v>Lv1 → Lv2</v>
      </c>
      <c r="S197" s="210">
        <f t="shared" si="6"/>
        <v>0</v>
      </c>
      <c r="T197" s="210"/>
      <c r="U197" s="210"/>
      <c r="V197" s="211" t="s">
        <v>271</v>
      </c>
      <c r="W197" s="210" t="str">
        <f t="shared" si="7"/>
        <v>DEV</v>
      </c>
      <c r="X197" s="210" t="str">
        <f t="shared" si="8"/>
        <v>DEV, TA</v>
      </c>
      <c r="Y197" s="210" t="str">
        <f t="shared" si="9"/>
        <v>TBU</v>
      </c>
      <c r="Z197" s="210"/>
      <c r="AA197" s="210"/>
      <c r="AB197" s="210"/>
      <c r="AC197" s="210"/>
      <c r="AD197" s="210"/>
      <c r="AE197" s="210"/>
      <c r="AF197" s="210"/>
      <c r="AG197" s="210"/>
      <c r="AH197" s="210"/>
      <c r="AI197" s="210"/>
      <c r="AJ197" s="210"/>
      <c r="AK197" s="210"/>
      <c r="AL197" s="210"/>
      <c r="AM197" s="214"/>
      <c r="AN197" s="210"/>
      <c r="AO197" s="210" t="str">
        <f t="shared" si="10"/>
        <v>#N/A</v>
      </c>
      <c r="AP197" s="210" t="str">
        <f t="shared" si="11"/>
        <v>#N/A</v>
      </c>
      <c r="AQ197" s="210" t="str">
        <f t="shared" si="12"/>
        <v>#N/A</v>
      </c>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c r="BU197" s="210"/>
      <c r="BV197" s="210"/>
      <c r="BW197" s="210"/>
      <c r="BX197" s="210"/>
      <c r="BY197" s="210"/>
      <c r="BZ197" s="210"/>
      <c r="CA197" s="210"/>
      <c r="CB197" s="210"/>
      <c r="CC197" s="210"/>
      <c r="CD197" s="210"/>
      <c r="CE197" s="210"/>
      <c r="CF197" s="210"/>
      <c r="CG197" s="210"/>
      <c r="CH197" s="210"/>
      <c r="CI197" s="210"/>
      <c r="CJ197" s="210"/>
      <c r="CK197" s="210"/>
    </row>
    <row r="198">
      <c r="A198" s="216" t="s">
        <v>434</v>
      </c>
      <c r="B198" s="217" t="s">
        <v>435</v>
      </c>
      <c r="C198" s="218" t="s">
        <v>70</v>
      </c>
      <c r="D198" s="218" t="s">
        <v>863</v>
      </c>
      <c r="E198" s="217" t="s">
        <v>22</v>
      </c>
      <c r="F198" s="13" t="s">
        <v>935</v>
      </c>
      <c r="G198" s="190"/>
      <c r="H198" s="219">
        <f>IFERROR(
  MINIFS(ATTENDANCE_LOG!$F:$F,
         ATTENDANCE_LOG!$A:$A, C198,
         ATTENDANCE_LOG!$B:$B, E198),
"")</f>
        <v>45841.58333</v>
      </c>
      <c r="I198" s="219">
        <f t="shared" si="2"/>
        <v>45638.41667</v>
      </c>
      <c r="J198" s="190">
        <f>IFERROR(VLOOKUP(F198, LEVEL_HELPER!$A:$B, 2, 0), "")</f>
        <v>3.5</v>
      </c>
      <c r="K198" s="190" t="str">
        <f>IFERROR(VLOOKUP(G198, LEVEL_HELPER!$A:$B, 2, 0), "")</f>
        <v/>
      </c>
      <c r="L198" s="220" t="s">
        <v>943</v>
      </c>
      <c r="M198" s="220" t="s">
        <v>926</v>
      </c>
      <c r="N198" s="190">
        <f t="array" ref="N198">IFERROR(
  INDEX($J$2:$J$543,
    MATCH(A198&amp;TEXT(I198,"yyyy-mm-dd"),
          $A$2:$A$543&amp;TEXT($H$2:$H$543,"yyyy-mm-dd"),
          0)),
"")</f>
        <v>1</v>
      </c>
      <c r="O198" s="210">
        <f t="shared" si="3"/>
        <v>3.5</v>
      </c>
      <c r="P198" s="210">
        <f t="shared" ref="P198:Q198" si="208">IF(N198="",0,IF(N198&lt;=2,1,IF(N198&lt;=4,2,IF(N198&lt;=5.5,3,4))))</f>
        <v>1</v>
      </c>
      <c r="Q198" s="210">
        <f t="shared" si="208"/>
        <v>2</v>
      </c>
      <c r="R198" s="210" t="str">
        <f t="shared" si="5"/>
        <v>Lv1 → Lv2</v>
      </c>
      <c r="S198" s="210">
        <f t="shared" si="6"/>
        <v>0</v>
      </c>
      <c r="T198" s="210"/>
      <c r="U198" s="210"/>
      <c r="V198" s="211" t="s">
        <v>279</v>
      </c>
      <c r="W198" s="210" t="str">
        <f t="shared" si="7"/>
        <v>DEV</v>
      </c>
      <c r="X198" s="210" t="str">
        <f t="shared" si="8"/>
        <v>DEV, TA</v>
      </c>
      <c r="Y198" s="210" t="str">
        <f t="shared" si="9"/>
        <v>MOC</v>
      </c>
      <c r="Z198" s="210"/>
      <c r="AA198" s="210"/>
      <c r="AB198" s="210"/>
      <c r="AC198" s="210"/>
      <c r="AD198" s="210"/>
      <c r="AE198" s="210"/>
      <c r="AF198" s="210"/>
      <c r="AG198" s="210"/>
      <c r="AH198" s="210"/>
      <c r="AI198" s="210"/>
      <c r="AJ198" s="210"/>
      <c r="AK198" s="210"/>
      <c r="AL198" s="210"/>
      <c r="AM198" s="214"/>
      <c r="AN198" s="210"/>
      <c r="AO198" s="210" t="str">
        <f t="shared" si="10"/>
        <v>#N/A</v>
      </c>
      <c r="AP198" s="210" t="str">
        <f t="shared" si="11"/>
        <v>#N/A</v>
      </c>
      <c r="AQ198" s="210" t="str">
        <f t="shared" si="12"/>
        <v>#N/A</v>
      </c>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c r="BU198" s="210"/>
      <c r="BV198" s="210"/>
      <c r="BW198" s="210"/>
      <c r="BX198" s="210"/>
      <c r="BY198" s="210"/>
      <c r="BZ198" s="210"/>
      <c r="CA198" s="210"/>
      <c r="CB198" s="210"/>
      <c r="CC198" s="210"/>
      <c r="CD198" s="210"/>
      <c r="CE198" s="210"/>
      <c r="CF198" s="210"/>
      <c r="CG198" s="210"/>
      <c r="CH198" s="210"/>
      <c r="CI198" s="210"/>
      <c r="CJ198" s="210"/>
      <c r="CK198" s="210"/>
    </row>
    <row r="199">
      <c r="A199" s="222" t="s">
        <v>167</v>
      </c>
      <c r="B199" s="190" t="s">
        <v>168</v>
      </c>
      <c r="C199" s="223" t="s">
        <v>70</v>
      </c>
      <c r="D199" s="223" t="s">
        <v>863</v>
      </c>
      <c r="E199" s="190" t="s">
        <v>22</v>
      </c>
      <c r="F199" s="13" t="s">
        <v>929</v>
      </c>
      <c r="G199" s="13" t="s">
        <v>929</v>
      </c>
      <c r="H199" s="219">
        <f>IFERROR(
  MINIFS(ATTENDANCE_LOG!$F:$F,
         ATTENDANCE_LOG!$A:$A, C199,
         ATTENDANCE_LOG!$B:$B, E199),
"")</f>
        <v>45841.58333</v>
      </c>
      <c r="I199" s="219">
        <f t="shared" si="2"/>
        <v>45638.41667</v>
      </c>
      <c r="J199" s="190">
        <f>IFERROR(VLOOKUP(F199, LEVEL_HELPER!$A:$B, 2, 0), "")</f>
        <v>1.5</v>
      </c>
      <c r="K199" s="190">
        <f>IFERROR(VLOOKUP(G199, LEVEL_HELPER!$A:$B, 2, 0), "")</f>
        <v>1.5</v>
      </c>
      <c r="L199" s="220" t="s">
        <v>919</v>
      </c>
      <c r="M199" s="220" t="s">
        <v>923</v>
      </c>
      <c r="N199" s="190">
        <f t="array" ref="N199">IFERROR(
  INDEX($J$2:$J$543,
    MATCH(A199&amp;TEXT(I199,"yyyy-mm-dd"),
          $A$2:$A$543&amp;TEXT($H$2:$H$543,"yyyy-mm-dd"),
          0)),
"")</f>
        <v>1</v>
      </c>
      <c r="O199" s="210">
        <f t="shared" si="3"/>
        <v>1.5</v>
      </c>
      <c r="P199" s="210">
        <f t="shared" ref="P199:Q199" si="209">IF(N199="",0,IF(N199&lt;=2,1,IF(N199&lt;=4,2,IF(N199&lt;=5.5,3,4))))</f>
        <v>1</v>
      </c>
      <c r="Q199" s="210">
        <f t="shared" si="209"/>
        <v>1</v>
      </c>
      <c r="R199" s="210" t="str">
        <f t="shared" si="5"/>
        <v>Progress within level</v>
      </c>
      <c r="S199" s="210">
        <f t="shared" si="6"/>
        <v>0</v>
      </c>
      <c r="T199" s="210"/>
      <c r="U199" s="210"/>
      <c r="V199" s="211" t="s">
        <v>300</v>
      </c>
      <c r="W199" s="210" t="str">
        <f t="shared" si="7"/>
        <v>DEV</v>
      </c>
      <c r="X199" s="210" t="str">
        <f t="shared" si="8"/>
        <v>DEV, TA</v>
      </c>
      <c r="Y199" s="210" t="str">
        <f t="shared" si="9"/>
        <v>MOC</v>
      </c>
      <c r="Z199" s="210"/>
      <c r="AA199" s="210"/>
      <c r="AB199" s="210"/>
      <c r="AC199" s="210"/>
      <c r="AD199" s="210"/>
      <c r="AE199" s="210"/>
      <c r="AF199" s="210"/>
      <c r="AG199" s="210"/>
      <c r="AH199" s="210"/>
      <c r="AI199" s="210"/>
      <c r="AJ199" s="210"/>
      <c r="AK199" s="210"/>
      <c r="AL199" s="210"/>
      <c r="AM199" s="214"/>
      <c r="AN199" s="210"/>
      <c r="AO199" s="210" t="str">
        <f t="shared" si="10"/>
        <v>#N/A</v>
      </c>
      <c r="AP199" s="210" t="str">
        <f t="shared" si="11"/>
        <v>#N/A</v>
      </c>
      <c r="AQ199" s="210" t="str">
        <f t="shared" si="12"/>
        <v>#N/A</v>
      </c>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c r="BU199" s="210"/>
      <c r="BV199" s="210"/>
      <c r="BW199" s="210"/>
      <c r="BX199" s="210"/>
      <c r="BY199" s="210"/>
      <c r="BZ199" s="210"/>
      <c r="CA199" s="210"/>
      <c r="CB199" s="210"/>
      <c r="CC199" s="210"/>
      <c r="CD199" s="210"/>
      <c r="CE199" s="210"/>
      <c r="CF199" s="210"/>
      <c r="CG199" s="210"/>
      <c r="CH199" s="210"/>
      <c r="CI199" s="210"/>
      <c r="CJ199" s="210"/>
      <c r="CK199" s="210"/>
    </row>
    <row r="200">
      <c r="A200" s="222" t="s">
        <v>184</v>
      </c>
      <c r="B200" s="190" t="s">
        <v>185</v>
      </c>
      <c r="C200" s="223" t="s">
        <v>70</v>
      </c>
      <c r="D200" s="223" t="s">
        <v>863</v>
      </c>
      <c r="E200" s="190" t="s">
        <v>22</v>
      </c>
      <c r="F200" s="13" t="s">
        <v>935</v>
      </c>
      <c r="G200" s="190"/>
      <c r="H200" s="219">
        <f>IFERROR(
  MINIFS(ATTENDANCE_LOG!$F:$F,
         ATTENDANCE_LOG!$A:$A, C200,
         ATTENDANCE_LOG!$B:$B, E200),
"")</f>
        <v>45841.58333</v>
      </c>
      <c r="I200" s="219">
        <f t="shared" si="2"/>
        <v>45638.41667</v>
      </c>
      <c r="J200" s="190">
        <f>IFERROR(VLOOKUP(F200, LEVEL_HELPER!$A:$B, 2, 0), "")</f>
        <v>3.5</v>
      </c>
      <c r="K200" s="190" t="str">
        <f>IFERROR(VLOOKUP(G200, LEVEL_HELPER!$A:$B, 2, 0), "")</f>
        <v/>
      </c>
      <c r="L200" s="220" t="s">
        <v>943</v>
      </c>
      <c r="M200" s="220" t="s">
        <v>926</v>
      </c>
      <c r="N200" s="190">
        <f t="array" ref="N200">IFERROR(
  INDEX($J$2:$J$543,
    MATCH(A200&amp;TEXT(I200,"yyyy-mm-dd"),
          $A$2:$A$543&amp;TEXT($H$2:$H$543,"yyyy-mm-dd"),
          0)),
"")</f>
        <v>1</v>
      </c>
      <c r="O200" s="210">
        <f t="shared" si="3"/>
        <v>3.5</v>
      </c>
      <c r="P200" s="210">
        <f t="shared" ref="P200:Q200" si="210">IF(N200="",0,IF(N200&lt;=2,1,IF(N200&lt;=4,2,IF(N200&lt;=5.5,3,4))))</f>
        <v>1</v>
      </c>
      <c r="Q200" s="210">
        <f t="shared" si="210"/>
        <v>2</v>
      </c>
      <c r="R200" s="210" t="str">
        <f t="shared" si="5"/>
        <v>Lv1 → Lv2</v>
      </c>
      <c r="S200" s="210">
        <f t="shared" si="6"/>
        <v>0</v>
      </c>
      <c r="T200" s="210"/>
      <c r="U200" s="210"/>
      <c r="V200" s="211" t="s">
        <v>350</v>
      </c>
      <c r="W200" s="210" t="str">
        <f t="shared" si="7"/>
        <v>DEV</v>
      </c>
      <c r="X200" s="210" t="str">
        <f t="shared" si="8"/>
        <v>DEV, TA</v>
      </c>
      <c r="Y200" s="210" t="str">
        <f t="shared" si="9"/>
        <v>MOC</v>
      </c>
      <c r="Z200" s="210"/>
      <c r="AA200" s="210"/>
      <c r="AB200" s="210"/>
      <c r="AC200" s="210"/>
      <c r="AD200" s="210"/>
      <c r="AE200" s="210"/>
      <c r="AF200" s="210"/>
      <c r="AG200" s="210"/>
      <c r="AH200" s="210"/>
      <c r="AI200" s="210"/>
      <c r="AJ200" s="210"/>
      <c r="AK200" s="210"/>
      <c r="AL200" s="210"/>
      <c r="AM200" s="214"/>
      <c r="AN200" s="210"/>
      <c r="AO200" s="210" t="str">
        <f t="shared" si="10"/>
        <v>#N/A</v>
      </c>
      <c r="AP200" s="210" t="str">
        <f t="shared" si="11"/>
        <v>#N/A</v>
      </c>
      <c r="AQ200" s="210" t="str">
        <f t="shared" si="12"/>
        <v>#N/A</v>
      </c>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c r="BU200" s="210"/>
      <c r="BV200" s="210"/>
      <c r="BW200" s="210"/>
      <c r="BX200" s="210"/>
      <c r="BY200" s="210"/>
      <c r="BZ200" s="210"/>
      <c r="CA200" s="210"/>
      <c r="CB200" s="210"/>
      <c r="CC200" s="210"/>
      <c r="CD200" s="210"/>
      <c r="CE200" s="210"/>
      <c r="CF200" s="210"/>
      <c r="CG200" s="210"/>
      <c r="CH200" s="210"/>
      <c r="CI200" s="210"/>
      <c r="CJ200" s="210"/>
      <c r="CK200" s="210"/>
    </row>
    <row r="201">
      <c r="A201" s="222" t="s">
        <v>188</v>
      </c>
      <c r="B201" s="190" t="s">
        <v>189</v>
      </c>
      <c r="C201" s="223" t="s">
        <v>70</v>
      </c>
      <c r="D201" s="223" t="s">
        <v>863</v>
      </c>
      <c r="E201" s="190" t="s">
        <v>22</v>
      </c>
      <c r="F201" s="13" t="s">
        <v>935</v>
      </c>
      <c r="G201" s="190"/>
      <c r="H201" s="219">
        <f>IFERROR(
  MINIFS(ATTENDANCE_LOG!$F:$F,
         ATTENDANCE_LOG!$A:$A, C201,
         ATTENDANCE_LOG!$B:$B, E201),
"")</f>
        <v>45841.58333</v>
      </c>
      <c r="I201" s="219">
        <f t="shared" si="2"/>
        <v>45638.41667</v>
      </c>
      <c r="J201" s="190">
        <f>IFERROR(VLOOKUP(F201, LEVEL_HELPER!$A:$B, 2, 0), "")</f>
        <v>3.5</v>
      </c>
      <c r="K201" s="190" t="str">
        <f>IFERROR(VLOOKUP(G201, LEVEL_HELPER!$A:$B, 2, 0), "")</f>
        <v/>
      </c>
      <c r="L201" s="220" t="s">
        <v>919</v>
      </c>
      <c r="M201" s="220" t="s">
        <v>923</v>
      </c>
      <c r="N201" s="190">
        <f t="array" ref="N201">IFERROR(
  INDEX($J$2:$J$543,
    MATCH(A201&amp;TEXT(I201,"yyyy-mm-dd"),
          $A$2:$A$543&amp;TEXT($H$2:$H$543,"yyyy-mm-dd"),
          0)),
"")</f>
        <v>1</v>
      </c>
      <c r="O201" s="210">
        <f t="shared" si="3"/>
        <v>3.5</v>
      </c>
      <c r="P201" s="210">
        <f t="shared" ref="P201:Q201" si="211">IF(N201="",0,IF(N201&lt;=2,1,IF(N201&lt;=4,2,IF(N201&lt;=5.5,3,4))))</f>
        <v>1</v>
      </c>
      <c r="Q201" s="210">
        <f t="shared" si="211"/>
        <v>2</v>
      </c>
      <c r="R201" s="210" t="str">
        <f t="shared" si="5"/>
        <v>Lv1 → Lv2</v>
      </c>
      <c r="S201" s="210">
        <f t="shared" si="6"/>
        <v>0</v>
      </c>
      <c r="T201" s="210"/>
      <c r="U201" s="210"/>
      <c r="V201" s="211" t="s">
        <v>208</v>
      </c>
      <c r="W201" s="210" t="str">
        <f t="shared" si="7"/>
        <v>DEV</v>
      </c>
      <c r="X201" s="210" t="str">
        <f t="shared" si="8"/>
        <v>DEV, TA</v>
      </c>
      <c r="Y201" s="210" t="str">
        <f t="shared" si="9"/>
        <v>MOC</v>
      </c>
      <c r="Z201" s="210"/>
      <c r="AA201" s="210"/>
      <c r="AB201" s="210"/>
      <c r="AC201" s="210"/>
      <c r="AD201" s="210"/>
      <c r="AE201" s="210"/>
      <c r="AF201" s="210"/>
      <c r="AG201" s="210"/>
      <c r="AH201" s="210"/>
      <c r="AI201" s="210"/>
      <c r="AJ201" s="210"/>
      <c r="AK201" s="210"/>
      <c r="AL201" s="210"/>
      <c r="AM201" s="214"/>
      <c r="AN201" s="210"/>
      <c r="AO201" s="210" t="str">
        <f t="shared" si="10"/>
        <v>#N/A</v>
      </c>
      <c r="AP201" s="210" t="str">
        <f t="shared" si="11"/>
        <v>#N/A</v>
      </c>
      <c r="AQ201" s="210" t="str">
        <f t="shared" si="12"/>
        <v>#N/A</v>
      </c>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c r="BU201" s="210"/>
      <c r="BV201" s="210"/>
      <c r="BW201" s="210"/>
      <c r="BX201" s="210"/>
      <c r="BY201" s="210"/>
      <c r="BZ201" s="210"/>
      <c r="CA201" s="210"/>
      <c r="CB201" s="210"/>
      <c r="CC201" s="210"/>
      <c r="CD201" s="210"/>
      <c r="CE201" s="210"/>
      <c r="CF201" s="210"/>
      <c r="CG201" s="210"/>
      <c r="CH201" s="210"/>
      <c r="CI201" s="210"/>
      <c r="CJ201" s="210"/>
      <c r="CK201" s="210"/>
    </row>
    <row r="202">
      <c r="A202" s="222" t="s">
        <v>697</v>
      </c>
      <c r="B202" s="190" t="s">
        <v>698</v>
      </c>
      <c r="C202" s="223" t="s">
        <v>70</v>
      </c>
      <c r="D202" s="223" t="s">
        <v>863</v>
      </c>
      <c r="E202" s="190" t="s">
        <v>22</v>
      </c>
      <c r="F202" s="13" t="s">
        <v>935</v>
      </c>
      <c r="G202" s="190"/>
      <c r="H202" s="219">
        <f>IFERROR(
  MINIFS(ATTENDANCE_LOG!$F:$F,
         ATTENDANCE_LOG!$A:$A, C202,
         ATTENDANCE_LOG!$B:$B, E202),
"")</f>
        <v>45841.58333</v>
      </c>
      <c r="I202" s="219">
        <f t="shared" si="2"/>
        <v>45638.41667</v>
      </c>
      <c r="J202" s="190">
        <f>IFERROR(VLOOKUP(F202, LEVEL_HELPER!$A:$B, 2, 0), "")</f>
        <v>3.5</v>
      </c>
      <c r="K202" s="190" t="str">
        <f>IFERROR(VLOOKUP(G202, LEVEL_HELPER!$A:$B, 2, 0), "")</f>
        <v/>
      </c>
      <c r="L202" s="220" t="s">
        <v>943</v>
      </c>
      <c r="M202" s="220" t="s">
        <v>926</v>
      </c>
      <c r="N202" s="190">
        <f t="array" ref="N202">IFERROR(
  INDEX($J$2:$J$543,
    MATCH(A202&amp;TEXT(I202,"yyyy-mm-dd"),
          $A$2:$A$543&amp;TEXT($H$2:$H$543,"yyyy-mm-dd"),
          0)),
"")</f>
        <v>1</v>
      </c>
      <c r="O202" s="210">
        <f t="shared" si="3"/>
        <v>3</v>
      </c>
      <c r="P202" s="210">
        <f t="shared" ref="P202:Q202" si="212">IF(N202="",0,IF(N202&lt;=2,1,IF(N202&lt;=4,2,IF(N202&lt;=5.5,3,4))))</f>
        <v>1</v>
      </c>
      <c r="Q202" s="210">
        <f t="shared" si="212"/>
        <v>2</v>
      </c>
      <c r="R202" s="210" t="str">
        <f t="shared" si="5"/>
        <v>Lv1 → Lv2</v>
      </c>
      <c r="S202" s="210">
        <f t="shared" si="6"/>
        <v>0</v>
      </c>
      <c r="T202" s="210"/>
      <c r="U202" s="210"/>
      <c r="V202" s="211" t="s">
        <v>243</v>
      </c>
      <c r="W202" s="210" t="str">
        <f t="shared" si="7"/>
        <v>DEV</v>
      </c>
      <c r="X202" s="210" t="str">
        <f t="shared" si="8"/>
        <v>DEV, TA</v>
      </c>
      <c r="Y202" s="210" t="str">
        <f t="shared" si="9"/>
        <v>MOC</v>
      </c>
      <c r="Z202" s="210"/>
      <c r="AA202" s="210"/>
      <c r="AB202" s="210"/>
      <c r="AC202" s="210"/>
      <c r="AD202" s="210"/>
      <c r="AE202" s="210"/>
      <c r="AF202" s="210"/>
      <c r="AG202" s="210"/>
      <c r="AH202" s="210"/>
      <c r="AI202" s="210"/>
      <c r="AJ202" s="210"/>
      <c r="AK202" s="210"/>
      <c r="AL202" s="210"/>
      <c r="AM202" s="214"/>
      <c r="AN202" s="210"/>
      <c r="AO202" s="210" t="str">
        <f t="shared" si="10"/>
        <v>#N/A</v>
      </c>
      <c r="AP202" s="210" t="str">
        <f t="shared" si="11"/>
        <v>#N/A</v>
      </c>
      <c r="AQ202" s="210" t="str">
        <f t="shared" si="12"/>
        <v>#N/A</v>
      </c>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c r="BU202" s="210"/>
      <c r="BV202" s="210"/>
      <c r="BW202" s="210"/>
      <c r="BX202" s="210"/>
      <c r="BY202" s="210"/>
      <c r="BZ202" s="210"/>
      <c r="CA202" s="210"/>
      <c r="CB202" s="210"/>
      <c r="CC202" s="210"/>
      <c r="CD202" s="210"/>
      <c r="CE202" s="210"/>
      <c r="CF202" s="210"/>
      <c r="CG202" s="210"/>
      <c r="CH202" s="210"/>
      <c r="CI202" s="210"/>
      <c r="CJ202" s="210"/>
      <c r="CK202" s="210"/>
    </row>
    <row r="203">
      <c r="A203" s="216" t="s">
        <v>631</v>
      </c>
      <c r="B203" s="217" t="s">
        <v>632</v>
      </c>
      <c r="C203" s="218" t="s">
        <v>71</v>
      </c>
      <c r="D203" s="218" t="s">
        <v>864</v>
      </c>
      <c r="E203" s="217" t="s">
        <v>24</v>
      </c>
      <c r="F203" s="13" t="s">
        <v>932</v>
      </c>
      <c r="G203" s="13" t="s">
        <v>950</v>
      </c>
      <c r="H203" s="219">
        <f>IFERROR(
  MINIFS(ATTENDANCE_LOG!$F:$F,
         ATTENDANCE_LOG!$A:$A, C203,
         ATTENDANCE_LOG!$B:$B, E203),
"")</f>
        <v>45713.58333</v>
      </c>
      <c r="I203" s="219">
        <f t="shared" si="2"/>
        <v>45713.58333</v>
      </c>
      <c r="J203" s="190">
        <f>IFERROR(VLOOKUP(F203, LEVEL_HELPER!$A:$B, 2, 0), "")</f>
        <v>4.5</v>
      </c>
      <c r="K203" s="190">
        <f>IFERROR(VLOOKUP(G203, LEVEL_HELPER!$A:$B, 2, 0), "")</f>
        <v>6</v>
      </c>
      <c r="L203" s="220" t="s">
        <v>951</v>
      </c>
      <c r="M203" s="220" t="s">
        <v>923</v>
      </c>
      <c r="N203" s="190">
        <f t="array" ref="N203">IFERROR(
  INDEX($J$2:$J$543,
    MATCH(A203&amp;TEXT(I203,"yyyy-mm-dd"),
          $A$2:$A$543&amp;TEXT($H$2:$H$543,"yyyy-mm-dd"),
          0)),
"")</f>
        <v>4.5</v>
      </c>
      <c r="O203" s="210">
        <f t="shared" si="3"/>
        <v>6</v>
      </c>
      <c r="P203" s="210">
        <f t="shared" ref="P203:Q203" si="213">IF(N203="",0,IF(N203&lt;=2,1,IF(N203&lt;=4,2,IF(N203&lt;=5.5,3,4))))</f>
        <v>3</v>
      </c>
      <c r="Q203" s="210">
        <f t="shared" si="213"/>
        <v>4</v>
      </c>
      <c r="R203" s="210" t="str">
        <f t="shared" si="5"/>
        <v>Lv3 → Lv4</v>
      </c>
      <c r="S203" s="210">
        <f t="shared" si="6"/>
        <v>1</v>
      </c>
      <c r="T203" s="210"/>
      <c r="U203" s="210"/>
      <c r="V203" s="211" t="s">
        <v>305</v>
      </c>
      <c r="W203" s="210" t="str">
        <f t="shared" si="7"/>
        <v>DEV</v>
      </c>
      <c r="X203" s="210" t="str">
        <f t="shared" si="8"/>
        <v>DEV, TA</v>
      </c>
      <c r="Y203" s="210" t="str">
        <f t="shared" si="9"/>
        <v>MOC</v>
      </c>
      <c r="Z203" s="210"/>
      <c r="AA203" s="210"/>
      <c r="AB203" s="210"/>
      <c r="AC203" s="210"/>
      <c r="AD203" s="210"/>
      <c r="AE203" s="210"/>
      <c r="AF203" s="210"/>
      <c r="AG203" s="210"/>
      <c r="AH203" s="210"/>
      <c r="AI203" s="210"/>
      <c r="AJ203" s="210"/>
      <c r="AK203" s="210"/>
      <c r="AL203" s="210"/>
      <c r="AM203" s="214"/>
      <c r="AN203" s="210"/>
      <c r="AO203" s="210" t="str">
        <f t="shared" si="10"/>
        <v>#N/A</v>
      </c>
      <c r="AP203" s="210" t="str">
        <f t="shared" si="11"/>
        <v>#N/A</v>
      </c>
      <c r="AQ203" s="210" t="str">
        <f t="shared" si="12"/>
        <v>#N/A</v>
      </c>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c r="BU203" s="210"/>
      <c r="BV203" s="210"/>
      <c r="BW203" s="210"/>
      <c r="BX203" s="210"/>
      <c r="BY203" s="210"/>
      <c r="BZ203" s="210"/>
      <c r="CA203" s="210"/>
      <c r="CB203" s="210"/>
      <c r="CC203" s="210"/>
      <c r="CD203" s="210"/>
      <c r="CE203" s="210"/>
      <c r="CF203" s="210"/>
      <c r="CG203" s="210"/>
      <c r="CH203" s="210"/>
      <c r="CI203" s="210"/>
      <c r="CJ203" s="210"/>
      <c r="CK203" s="210"/>
    </row>
    <row r="204">
      <c r="A204" s="222" t="s">
        <v>288</v>
      </c>
      <c r="B204" s="190" t="s">
        <v>289</v>
      </c>
      <c r="C204" s="223" t="s">
        <v>71</v>
      </c>
      <c r="D204" s="223" t="s">
        <v>864</v>
      </c>
      <c r="E204" s="190" t="s">
        <v>24</v>
      </c>
      <c r="F204" s="13" t="s">
        <v>932</v>
      </c>
      <c r="G204" s="13" t="s">
        <v>950</v>
      </c>
      <c r="H204" s="219">
        <f>IFERROR(
  MINIFS(ATTENDANCE_LOG!$F:$F,
         ATTENDANCE_LOG!$A:$A, C204,
         ATTENDANCE_LOG!$B:$B, E204),
"")</f>
        <v>45713.58333</v>
      </c>
      <c r="I204" s="219">
        <f t="shared" si="2"/>
        <v>45713.58333</v>
      </c>
      <c r="J204" s="190">
        <f>IFERROR(VLOOKUP(F204, LEVEL_HELPER!$A:$B, 2, 0), "")</f>
        <v>4.5</v>
      </c>
      <c r="K204" s="190">
        <f>IFERROR(VLOOKUP(G204, LEVEL_HELPER!$A:$B, 2, 0), "")</f>
        <v>6</v>
      </c>
      <c r="L204" s="220" t="s">
        <v>951</v>
      </c>
      <c r="M204" s="220" t="s">
        <v>923</v>
      </c>
      <c r="N204" s="190">
        <f t="array" ref="N204">IFERROR(
  INDEX($J$2:$J$543,
    MATCH(A204&amp;TEXT(I204,"yyyy-mm-dd"),
          $A$2:$A$543&amp;TEXT($H$2:$H$543,"yyyy-mm-dd"),
          0)),
"")</f>
        <v>4.5</v>
      </c>
      <c r="O204" s="210">
        <f t="shared" si="3"/>
        <v>6</v>
      </c>
      <c r="P204" s="210">
        <f t="shared" ref="P204:Q204" si="214">IF(N204="",0,IF(N204&lt;=2,1,IF(N204&lt;=4,2,IF(N204&lt;=5.5,3,4))))</f>
        <v>3</v>
      </c>
      <c r="Q204" s="210">
        <f t="shared" si="214"/>
        <v>4</v>
      </c>
      <c r="R204" s="210" t="str">
        <f t="shared" si="5"/>
        <v>Lv3 → Lv4</v>
      </c>
      <c r="S204" s="210">
        <f t="shared" si="6"/>
        <v>1</v>
      </c>
      <c r="T204" s="210"/>
      <c r="U204" s="210"/>
      <c r="V204" s="211" t="s">
        <v>442</v>
      </c>
      <c r="W204" s="210" t="str">
        <f t="shared" si="7"/>
        <v>DEV</v>
      </c>
      <c r="X204" s="210" t="str">
        <f t="shared" si="8"/>
        <v>DEV, TA</v>
      </c>
      <c r="Y204" s="210" t="str">
        <f t="shared" si="9"/>
        <v>MOC</v>
      </c>
      <c r="Z204" s="210"/>
      <c r="AA204" s="210"/>
      <c r="AB204" s="210"/>
      <c r="AC204" s="210"/>
      <c r="AD204" s="210"/>
      <c r="AE204" s="210"/>
      <c r="AF204" s="210"/>
      <c r="AG204" s="210"/>
      <c r="AH204" s="210"/>
      <c r="AI204" s="210"/>
      <c r="AJ204" s="210"/>
      <c r="AK204" s="210"/>
      <c r="AL204" s="210"/>
      <c r="AM204" s="214"/>
      <c r="AN204" s="210"/>
      <c r="AO204" s="210" t="str">
        <f t="shared" si="10"/>
        <v>#N/A</v>
      </c>
      <c r="AP204" s="210" t="str">
        <f t="shared" si="11"/>
        <v>#N/A</v>
      </c>
      <c r="AQ204" s="210" t="str">
        <f t="shared" si="12"/>
        <v>#N/A</v>
      </c>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c r="BU204" s="210"/>
      <c r="BV204" s="210"/>
      <c r="BW204" s="210"/>
      <c r="BX204" s="210"/>
      <c r="BY204" s="210"/>
      <c r="BZ204" s="210"/>
      <c r="CA204" s="210"/>
      <c r="CB204" s="210"/>
      <c r="CC204" s="210"/>
      <c r="CD204" s="210"/>
      <c r="CE204" s="210"/>
      <c r="CF204" s="210"/>
      <c r="CG204" s="210"/>
      <c r="CH204" s="210"/>
      <c r="CI204" s="210"/>
      <c r="CJ204" s="210"/>
      <c r="CK204" s="210"/>
    </row>
    <row r="205">
      <c r="A205" s="222" t="s">
        <v>348</v>
      </c>
      <c r="B205" s="190" t="s">
        <v>349</v>
      </c>
      <c r="C205" s="223" t="s">
        <v>71</v>
      </c>
      <c r="D205" s="223" t="s">
        <v>864</v>
      </c>
      <c r="E205" s="190" t="s">
        <v>24</v>
      </c>
      <c r="F205" s="13" t="s">
        <v>932</v>
      </c>
      <c r="G205" s="190"/>
      <c r="H205" s="219">
        <f>IFERROR(
  MINIFS(ATTENDANCE_LOG!$F:$F,
         ATTENDANCE_LOG!$A:$A, C205,
         ATTENDANCE_LOG!$B:$B, E205),
"")</f>
        <v>45713.58333</v>
      </c>
      <c r="I205" s="219">
        <f t="shared" si="2"/>
        <v>45639.45833</v>
      </c>
      <c r="J205" s="190">
        <f>IFERROR(VLOOKUP(F205, LEVEL_HELPER!$A:$B, 2, 0), "")</f>
        <v>4.5</v>
      </c>
      <c r="K205" s="190" t="str">
        <f>IFERROR(VLOOKUP(G205, LEVEL_HELPER!$A:$B, 2, 0), "")</f>
        <v/>
      </c>
      <c r="L205" s="220" t="s">
        <v>952</v>
      </c>
      <c r="M205" s="220" t="s">
        <v>921</v>
      </c>
      <c r="N205" s="190">
        <f t="array" ref="N205">IFERROR(
  INDEX($J$2:$J$543,
    MATCH(A205&amp;TEXT(I205,"yyyy-mm-dd"),
          $A$2:$A$543&amp;TEXT($H$2:$H$543,"yyyy-mm-dd"),
          0)),
"")</f>
        <v>2.5</v>
      </c>
      <c r="O205" s="210">
        <f t="shared" si="3"/>
        <v>4.5</v>
      </c>
      <c r="P205" s="210">
        <f t="shared" ref="P205:Q205" si="215">IF(N205="",0,IF(N205&lt;=2,1,IF(N205&lt;=4,2,IF(N205&lt;=5.5,3,4))))</f>
        <v>2</v>
      </c>
      <c r="Q205" s="210">
        <f t="shared" si="215"/>
        <v>3</v>
      </c>
      <c r="R205" s="210" t="str">
        <f t="shared" si="5"/>
        <v>Lv2 → Lv3</v>
      </c>
      <c r="S205" s="210">
        <f t="shared" si="6"/>
        <v>0</v>
      </c>
      <c r="T205" s="210"/>
      <c r="U205" s="210"/>
      <c r="V205" s="211" t="s">
        <v>633</v>
      </c>
      <c r="W205" s="210" t="str">
        <f t="shared" si="7"/>
        <v>DEV</v>
      </c>
      <c r="X205" s="210" t="str">
        <f t="shared" si="8"/>
        <v>DEV, TA</v>
      </c>
      <c r="Y205" s="210" t="str">
        <f t="shared" si="9"/>
        <v>MOC</v>
      </c>
      <c r="Z205" s="210"/>
      <c r="AA205" s="210"/>
      <c r="AB205" s="210"/>
      <c r="AC205" s="210"/>
      <c r="AD205" s="210"/>
      <c r="AE205" s="210"/>
      <c r="AF205" s="210"/>
      <c r="AG205" s="210"/>
      <c r="AH205" s="210"/>
      <c r="AI205" s="210"/>
      <c r="AJ205" s="210"/>
      <c r="AK205" s="210"/>
      <c r="AL205" s="210"/>
      <c r="AM205" s="214"/>
      <c r="AN205" s="210"/>
      <c r="AO205" s="210" t="str">
        <f t="shared" si="10"/>
        <v>#N/A</v>
      </c>
      <c r="AP205" s="210" t="str">
        <f t="shared" si="11"/>
        <v>#N/A</v>
      </c>
      <c r="AQ205" s="210" t="str">
        <f t="shared" si="12"/>
        <v>#N/A</v>
      </c>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c r="BU205" s="210"/>
      <c r="BV205" s="210"/>
      <c r="BW205" s="210"/>
      <c r="BX205" s="210"/>
      <c r="BY205" s="210"/>
      <c r="BZ205" s="210"/>
      <c r="CA205" s="210"/>
      <c r="CB205" s="210"/>
      <c r="CC205" s="210"/>
      <c r="CD205" s="210"/>
      <c r="CE205" s="210"/>
      <c r="CF205" s="210"/>
      <c r="CG205" s="210"/>
      <c r="CH205" s="210"/>
      <c r="CI205" s="210"/>
      <c r="CJ205" s="210"/>
      <c r="CK205" s="210"/>
    </row>
    <row r="206">
      <c r="A206" s="222" t="s">
        <v>570</v>
      </c>
      <c r="B206" s="190" t="s">
        <v>571</v>
      </c>
      <c r="C206" s="223" t="s">
        <v>71</v>
      </c>
      <c r="D206" s="223" t="s">
        <v>864</v>
      </c>
      <c r="E206" s="190" t="s">
        <v>24</v>
      </c>
      <c r="F206" s="13" t="s">
        <v>932</v>
      </c>
      <c r="G206" s="13" t="s">
        <v>950</v>
      </c>
      <c r="H206" s="219">
        <f>IFERROR(
  MINIFS(ATTENDANCE_LOG!$F:$F,
         ATTENDANCE_LOG!$A:$A, C206,
         ATTENDANCE_LOG!$B:$B, E206),
"")</f>
        <v>45713.58333</v>
      </c>
      <c r="I206" s="219">
        <f t="shared" si="2"/>
        <v>45713.58333</v>
      </c>
      <c r="J206" s="190">
        <f>IFERROR(VLOOKUP(F206, LEVEL_HELPER!$A:$B, 2, 0), "")</f>
        <v>4.5</v>
      </c>
      <c r="K206" s="190">
        <f>IFERROR(VLOOKUP(G206, LEVEL_HELPER!$A:$B, 2, 0), "")</f>
        <v>6</v>
      </c>
      <c r="L206" s="220" t="s">
        <v>951</v>
      </c>
      <c r="M206" s="229" t="s">
        <v>922</v>
      </c>
      <c r="N206" s="190">
        <f t="array" ref="N206">IFERROR(
  INDEX($J$2:$J$543,
    MATCH(A206&amp;TEXT(I206,"yyyy-mm-dd"),
          $A$2:$A$543&amp;TEXT($H$2:$H$543,"yyyy-mm-dd"),
          0)),
"")</f>
        <v>4.5</v>
      </c>
      <c r="O206" s="210">
        <f t="shared" si="3"/>
        <v>6</v>
      </c>
      <c r="P206" s="210">
        <f t="shared" ref="P206:Q206" si="216">IF(N206="",0,IF(N206&lt;=2,1,IF(N206&lt;=4,2,IF(N206&lt;=5.5,3,4))))</f>
        <v>3</v>
      </c>
      <c r="Q206" s="210">
        <f t="shared" si="216"/>
        <v>4</v>
      </c>
      <c r="R206" s="210" t="str">
        <f t="shared" si="5"/>
        <v>Lv3 → Lv4</v>
      </c>
      <c r="S206" s="210">
        <f t="shared" si="6"/>
        <v>1</v>
      </c>
      <c r="T206" s="210"/>
      <c r="U206" s="210"/>
      <c r="V206" s="211" t="s">
        <v>641</v>
      </c>
      <c r="W206" s="210" t="str">
        <f t="shared" si="7"/>
        <v>DEV</v>
      </c>
      <c r="X206" s="210" t="str">
        <f t="shared" si="8"/>
        <v>DEV, TA</v>
      </c>
      <c r="Y206" s="210" t="str">
        <f t="shared" si="9"/>
        <v>MOC</v>
      </c>
      <c r="Z206" s="210"/>
      <c r="AA206" s="210"/>
      <c r="AB206" s="210"/>
      <c r="AC206" s="210"/>
      <c r="AD206" s="210"/>
      <c r="AE206" s="210"/>
      <c r="AF206" s="210"/>
      <c r="AG206" s="210"/>
      <c r="AH206" s="210"/>
      <c r="AI206" s="210"/>
      <c r="AJ206" s="210"/>
      <c r="AK206" s="210"/>
      <c r="AL206" s="210"/>
      <c r="AM206" s="214"/>
      <c r="AN206" s="210"/>
      <c r="AO206" s="210" t="str">
        <f t="shared" si="10"/>
        <v>#N/A</v>
      </c>
      <c r="AP206" s="210" t="str">
        <f t="shared" si="11"/>
        <v>#N/A</v>
      </c>
      <c r="AQ206" s="210" t="str">
        <f t="shared" si="12"/>
        <v>#N/A</v>
      </c>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c r="BU206" s="210"/>
      <c r="BV206" s="210"/>
      <c r="BW206" s="210"/>
      <c r="BX206" s="210"/>
      <c r="BY206" s="210"/>
      <c r="BZ206" s="210"/>
      <c r="CA206" s="210"/>
      <c r="CB206" s="210"/>
      <c r="CC206" s="210"/>
      <c r="CD206" s="210"/>
      <c r="CE206" s="210"/>
      <c r="CF206" s="210"/>
      <c r="CG206" s="210"/>
      <c r="CH206" s="210"/>
      <c r="CI206" s="210"/>
      <c r="CJ206" s="210"/>
      <c r="CK206" s="210"/>
    </row>
    <row r="207">
      <c r="A207" s="222" t="s">
        <v>619</v>
      </c>
      <c r="B207" s="190" t="s">
        <v>620</v>
      </c>
      <c r="C207" s="223" t="s">
        <v>71</v>
      </c>
      <c r="D207" s="223" t="s">
        <v>864</v>
      </c>
      <c r="E207" s="190" t="s">
        <v>24</v>
      </c>
      <c r="F207" s="13" t="s">
        <v>932</v>
      </c>
      <c r="G207" s="13" t="s">
        <v>950</v>
      </c>
      <c r="H207" s="219">
        <f>IFERROR(
  MINIFS(ATTENDANCE_LOG!$F:$F,
         ATTENDANCE_LOG!$A:$A, C207,
         ATTENDANCE_LOG!$B:$B, E207),
"")</f>
        <v>45713.58333</v>
      </c>
      <c r="I207" s="219">
        <f t="shared" si="2"/>
        <v>45713.58333</v>
      </c>
      <c r="J207" s="190">
        <f>IFERROR(VLOOKUP(F207, LEVEL_HELPER!$A:$B, 2, 0), "")</f>
        <v>4.5</v>
      </c>
      <c r="K207" s="190">
        <f>IFERROR(VLOOKUP(G207, LEVEL_HELPER!$A:$B, 2, 0), "")</f>
        <v>6</v>
      </c>
      <c r="L207" s="220" t="s">
        <v>951</v>
      </c>
      <c r="M207" s="220" t="s">
        <v>923</v>
      </c>
      <c r="N207" s="190">
        <f t="array" ref="N207">IFERROR(
  INDEX($J$2:$J$543,
    MATCH(A207&amp;TEXT(I207,"yyyy-mm-dd"),
          $A$2:$A$543&amp;TEXT($H$2:$H$543,"yyyy-mm-dd"),
          0)),
"")</f>
        <v>4.5</v>
      </c>
      <c r="O207" s="210">
        <f t="shared" si="3"/>
        <v>6</v>
      </c>
      <c r="P207" s="210">
        <f t="shared" ref="P207:Q207" si="217">IF(N207="",0,IF(N207&lt;=2,1,IF(N207&lt;=4,2,IF(N207&lt;=5.5,3,4))))</f>
        <v>3</v>
      </c>
      <c r="Q207" s="210">
        <f t="shared" si="217"/>
        <v>4</v>
      </c>
      <c r="R207" s="210" t="str">
        <f t="shared" si="5"/>
        <v>Lv3 → Lv4</v>
      </c>
      <c r="S207" s="210">
        <f t="shared" si="6"/>
        <v>1</v>
      </c>
      <c r="T207" s="210"/>
      <c r="U207" s="210"/>
      <c r="V207" s="211" t="s">
        <v>671</v>
      </c>
      <c r="W207" s="210" t="str">
        <f t="shared" si="7"/>
        <v>DEV</v>
      </c>
      <c r="X207" s="210" t="str">
        <f t="shared" si="8"/>
        <v>DEV, TA</v>
      </c>
      <c r="Y207" s="210" t="str">
        <f t="shared" si="9"/>
        <v>MOC</v>
      </c>
      <c r="Z207" s="210"/>
      <c r="AA207" s="210"/>
      <c r="AB207" s="210"/>
      <c r="AC207" s="210"/>
      <c r="AD207" s="210"/>
      <c r="AE207" s="210"/>
      <c r="AF207" s="210"/>
      <c r="AG207" s="210"/>
      <c r="AH207" s="210"/>
      <c r="AI207" s="210"/>
      <c r="AJ207" s="210"/>
      <c r="AK207" s="210"/>
      <c r="AL207" s="210"/>
      <c r="AM207" s="214"/>
      <c r="AN207" s="210"/>
      <c r="AO207" s="210" t="str">
        <f t="shared" si="10"/>
        <v>#N/A</v>
      </c>
      <c r="AP207" s="210" t="str">
        <f t="shared" si="11"/>
        <v>#N/A</v>
      </c>
      <c r="AQ207" s="210" t="str">
        <f t="shared" si="12"/>
        <v>#N/A</v>
      </c>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c r="BU207" s="210"/>
      <c r="BV207" s="210"/>
      <c r="BW207" s="210"/>
      <c r="BX207" s="210"/>
      <c r="BY207" s="210"/>
      <c r="BZ207" s="210"/>
      <c r="CA207" s="210"/>
      <c r="CB207" s="210"/>
      <c r="CC207" s="210"/>
      <c r="CD207" s="210"/>
      <c r="CE207" s="210"/>
      <c r="CF207" s="210"/>
      <c r="CG207" s="210"/>
      <c r="CH207" s="210"/>
      <c r="CI207" s="210"/>
      <c r="CJ207" s="210"/>
      <c r="CK207" s="210"/>
    </row>
    <row r="208">
      <c r="A208" s="222" t="s">
        <v>635</v>
      </c>
      <c r="B208" s="190" t="s">
        <v>636</v>
      </c>
      <c r="C208" s="223" t="s">
        <v>71</v>
      </c>
      <c r="D208" s="223" t="s">
        <v>864</v>
      </c>
      <c r="E208" s="190" t="s">
        <v>24</v>
      </c>
      <c r="F208" s="13" t="s">
        <v>932</v>
      </c>
      <c r="G208" s="13" t="s">
        <v>950</v>
      </c>
      <c r="H208" s="219">
        <f>IFERROR(
  MINIFS(ATTENDANCE_LOG!$F:$F,
         ATTENDANCE_LOG!$A:$A, C208,
         ATTENDANCE_LOG!$B:$B, E208),
"")</f>
        <v>45713.58333</v>
      </c>
      <c r="I208" s="219">
        <f t="shared" si="2"/>
        <v>45713.58333</v>
      </c>
      <c r="J208" s="190">
        <f>IFERROR(VLOOKUP(F208, LEVEL_HELPER!$A:$B, 2, 0), "")</f>
        <v>4.5</v>
      </c>
      <c r="K208" s="190">
        <f>IFERROR(VLOOKUP(G208, LEVEL_HELPER!$A:$B, 2, 0), "")</f>
        <v>6</v>
      </c>
      <c r="L208" s="220" t="s">
        <v>919</v>
      </c>
      <c r="M208" s="220" t="s">
        <v>923</v>
      </c>
      <c r="N208" s="190">
        <f t="array" ref="N208">IFERROR(
  INDEX($J$2:$J$543,
    MATCH(A208&amp;TEXT(I208,"yyyy-mm-dd"),
          $A$2:$A$543&amp;TEXT($H$2:$H$543,"yyyy-mm-dd"),
          0)),
"")</f>
        <v>4.5</v>
      </c>
      <c r="O208" s="210">
        <f t="shared" si="3"/>
        <v>6</v>
      </c>
      <c r="P208" s="210">
        <f t="shared" ref="P208:Q208" si="218">IF(N208="",0,IF(N208&lt;=2,1,IF(N208&lt;=4,2,IF(N208&lt;=5.5,3,4))))</f>
        <v>3</v>
      </c>
      <c r="Q208" s="210">
        <f t="shared" si="218"/>
        <v>4</v>
      </c>
      <c r="R208" s="210" t="str">
        <f t="shared" si="5"/>
        <v>Lv3 → Lv4</v>
      </c>
      <c r="S208" s="210">
        <f t="shared" si="6"/>
        <v>1</v>
      </c>
      <c r="T208" s="210"/>
      <c r="U208" s="210"/>
      <c r="V208" s="211" t="s">
        <v>241</v>
      </c>
      <c r="W208" s="210" t="str">
        <f t="shared" si="7"/>
        <v>QC</v>
      </c>
      <c r="X208" s="210" t="str">
        <f t="shared" si="8"/>
        <v>QC</v>
      </c>
      <c r="Y208" s="210" t="str">
        <f t="shared" si="9"/>
        <v>MOC</v>
      </c>
      <c r="Z208" s="210"/>
      <c r="AA208" s="210"/>
      <c r="AB208" s="210"/>
      <c r="AC208" s="210"/>
      <c r="AD208" s="210"/>
      <c r="AE208" s="210"/>
      <c r="AF208" s="210"/>
      <c r="AG208" s="210"/>
      <c r="AH208" s="210"/>
      <c r="AI208" s="210"/>
      <c r="AJ208" s="210"/>
      <c r="AK208" s="210"/>
      <c r="AL208" s="210"/>
      <c r="AM208" s="214"/>
      <c r="AN208" s="210"/>
      <c r="AO208" s="210" t="str">
        <f t="shared" si="10"/>
        <v>#N/A</v>
      </c>
      <c r="AP208" s="210" t="str">
        <f t="shared" si="11"/>
        <v>#N/A</v>
      </c>
      <c r="AQ208" s="210" t="str">
        <f t="shared" si="12"/>
        <v>#N/A</v>
      </c>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c r="BU208" s="210"/>
      <c r="BV208" s="210"/>
      <c r="BW208" s="210"/>
      <c r="BX208" s="210"/>
      <c r="BY208" s="210"/>
      <c r="BZ208" s="210"/>
      <c r="CA208" s="210"/>
      <c r="CB208" s="210"/>
      <c r="CC208" s="210"/>
      <c r="CD208" s="210"/>
      <c r="CE208" s="210"/>
      <c r="CF208" s="210"/>
      <c r="CG208" s="210"/>
      <c r="CH208" s="210"/>
      <c r="CI208" s="210"/>
      <c r="CJ208" s="210"/>
      <c r="CK208" s="210"/>
    </row>
    <row r="209">
      <c r="A209" s="222" t="s">
        <v>667</v>
      </c>
      <c r="B209" s="190" t="s">
        <v>668</v>
      </c>
      <c r="C209" s="223" t="s">
        <v>71</v>
      </c>
      <c r="D209" s="223" t="s">
        <v>864</v>
      </c>
      <c r="E209" s="190" t="s">
        <v>24</v>
      </c>
      <c r="F209" s="13" t="s">
        <v>932</v>
      </c>
      <c r="G209" s="13" t="s">
        <v>950</v>
      </c>
      <c r="H209" s="219">
        <f>IFERROR(
  MINIFS(ATTENDANCE_LOG!$F:$F,
         ATTENDANCE_LOG!$A:$A, C209,
         ATTENDANCE_LOG!$B:$B, E209),
"")</f>
        <v>45713.58333</v>
      </c>
      <c r="I209" s="219">
        <f t="shared" si="2"/>
        <v>45713.58333</v>
      </c>
      <c r="J209" s="190">
        <f>IFERROR(VLOOKUP(F209, LEVEL_HELPER!$A:$B, 2, 0), "")</f>
        <v>4.5</v>
      </c>
      <c r="K209" s="190">
        <f>IFERROR(VLOOKUP(G209, LEVEL_HELPER!$A:$B, 2, 0), "")</f>
        <v>6</v>
      </c>
      <c r="L209" s="220" t="s">
        <v>945</v>
      </c>
      <c r="M209" s="229" t="s">
        <v>922</v>
      </c>
      <c r="N209" s="190">
        <f t="array" ref="N209">IFERROR(
  INDEX($J$2:$J$543,
    MATCH(A209&amp;TEXT(I209,"yyyy-mm-dd"),
          $A$2:$A$543&amp;TEXT($H$2:$H$543,"yyyy-mm-dd"),
          0)),
"")</f>
        <v>4.5</v>
      </c>
      <c r="O209" s="210">
        <f t="shared" si="3"/>
        <v>6</v>
      </c>
      <c r="P209" s="210">
        <f t="shared" ref="P209:Q209" si="219">IF(N209="",0,IF(N209&lt;=2,1,IF(N209&lt;=4,2,IF(N209&lt;=5.5,3,4))))</f>
        <v>3</v>
      </c>
      <c r="Q209" s="210">
        <f t="shared" si="219"/>
        <v>4</v>
      </c>
      <c r="R209" s="210" t="str">
        <f t="shared" si="5"/>
        <v>Lv3 → Lv4</v>
      </c>
      <c r="S209" s="210">
        <f t="shared" si="6"/>
        <v>1</v>
      </c>
      <c r="T209" s="210"/>
      <c r="U209" s="210"/>
      <c r="V209" s="211" t="s">
        <v>463</v>
      </c>
      <c r="W209" s="210" t="str">
        <f t="shared" si="7"/>
        <v>QC</v>
      </c>
      <c r="X209" s="210" t="str">
        <f t="shared" si="8"/>
        <v>QC</v>
      </c>
      <c r="Y209" s="210" t="str">
        <f t="shared" si="9"/>
        <v>MOC</v>
      </c>
      <c r="Z209" s="210"/>
      <c r="AA209" s="210"/>
      <c r="AB209" s="210"/>
      <c r="AC209" s="210"/>
      <c r="AD209" s="210"/>
      <c r="AE209" s="210"/>
      <c r="AF209" s="210"/>
      <c r="AG209" s="210"/>
      <c r="AH209" s="210"/>
      <c r="AI209" s="210"/>
      <c r="AJ209" s="210"/>
      <c r="AK209" s="210"/>
      <c r="AL209" s="210"/>
      <c r="AM209" s="214"/>
      <c r="AN209" s="210"/>
      <c r="AO209" s="210" t="str">
        <f t="shared" si="10"/>
        <v>#N/A</v>
      </c>
      <c r="AP209" s="210" t="str">
        <f t="shared" si="11"/>
        <v>#N/A</v>
      </c>
      <c r="AQ209" s="210" t="str">
        <f t="shared" si="12"/>
        <v>#N/A</v>
      </c>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c r="BU209" s="210"/>
      <c r="BV209" s="210"/>
      <c r="BW209" s="210"/>
      <c r="BX209" s="210"/>
      <c r="BY209" s="210"/>
      <c r="BZ209" s="210"/>
      <c r="CA209" s="210"/>
      <c r="CB209" s="210"/>
      <c r="CC209" s="210"/>
      <c r="CD209" s="210"/>
      <c r="CE209" s="210"/>
      <c r="CF209" s="210"/>
      <c r="CG209" s="210"/>
      <c r="CH209" s="210"/>
      <c r="CI209" s="210"/>
      <c r="CJ209" s="210"/>
      <c r="CK209" s="210"/>
    </row>
    <row r="210">
      <c r="A210" s="216" t="s">
        <v>683</v>
      </c>
      <c r="B210" s="217" t="s">
        <v>684</v>
      </c>
      <c r="C210" s="218" t="s">
        <v>72</v>
      </c>
      <c r="D210" s="218" t="s">
        <v>865</v>
      </c>
      <c r="E210" s="217" t="s">
        <v>21</v>
      </c>
      <c r="F210" s="13" t="s">
        <v>927</v>
      </c>
      <c r="G210" s="13" t="s">
        <v>918</v>
      </c>
      <c r="H210" s="219">
        <f>IFERROR(
  MINIFS(ATTENDANCE_LOG!$F:$F,
         ATTENDANCE_LOG!$A:$A, C210,
         ATTENDANCE_LOG!$B:$B, E210),
"")</f>
        <v>45670.54167</v>
      </c>
      <c r="I210" s="219">
        <f t="shared" si="2"/>
        <v>45670.54167</v>
      </c>
      <c r="J210" s="190">
        <f>IFERROR(VLOOKUP(F210, LEVEL_HELPER!$A:$B, 2, 0), "")</f>
        <v>1</v>
      </c>
      <c r="K210" s="190">
        <f>IFERROR(VLOOKUP(G210, LEVEL_HELPER!$A:$B, 2, 0), "")</f>
        <v>3</v>
      </c>
      <c r="L210" s="220" t="s">
        <v>943</v>
      </c>
      <c r="M210" s="220" t="s">
        <v>920</v>
      </c>
      <c r="N210" s="190">
        <f t="array" ref="N210">IFERROR(
  INDEX($J$2:$J$543,
    MATCH(A210&amp;TEXT(I210,"yyyy-mm-dd"),
          $A$2:$A$543&amp;TEXT($H$2:$H$543,"yyyy-mm-dd"),
          0)),
"")</f>
        <v>1</v>
      </c>
      <c r="O210" s="210">
        <f t="shared" si="3"/>
        <v>3.5</v>
      </c>
      <c r="P210" s="210">
        <f t="shared" ref="P210:Q210" si="220">IF(N210="",0,IF(N210&lt;=2,1,IF(N210&lt;=4,2,IF(N210&lt;=5.5,3,4))))</f>
        <v>1</v>
      </c>
      <c r="Q210" s="210">
        <f t="shared" si="220"/>
        <v>2</v>
      </c>
      <c r="R210" s="210" t="str">
        <f t="shared" si="5"/>
        <v>Lv1 → Lv2</v>
      </c>
      <c r="S210" s="210">
        <f t="shared" si="6"/>
        <v>1</v>
      </c>
      <c r="T210" s="210"/>
      <c r="U210" s="210"/>
      <c r="V210" s="211" t="s">
        <v>649</v>
      </c>
      <c r="W210" s="210" t="str">
        <f t="shared" si="7"/>
        <v>GSD</v>
      </c>
      <c r="X210" s="210" t="str">
        <f t="shared" si="8"/>
        <v>GSD</v>
      </c>
      <c r="Y210" s="210" t="str">
        <f t="shared" si="9"/>
        <v>MOC</v>
      </c>
      <c r="Z210" s="210"/>
      <c r="AA210" s="210"/>
      <c r="AB210" s="210"/>
      <c r="AC210" s="210"/>
      <c r="AD210" s="210"/>
      <c r="AE210" s="210"/>
      <c r="AF210" s="210"/>
      <c r="AG210" s="210"/>
      <c r="AH210" s="210"/>
      <c r="AI210" s="210"/>
      <c r="AJ210" s="210"/>
      <c r="AK210" s="210"/>
      <c r="AL210" s="210"/>
      <c r="AM210" s="214"/>
      <c r="AN210" s="210"/>
      <c r="AO210" s="210" t="str">
        <f t="shared" si="10"/>
        <v>#N/A</v>
      </c>
      <c r="AP210" s="210" t="str">
        <f t="shared" si="11"/>
        <v>#N/A</v>
      </c>
      <c r="AQ210" s="210" t="str">
        <f t="shared" si="12"/>
        <v>#N/A</v>
      </c>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c r="BU210" s="210"/>
      <c r="BV210" s="210"/>
      <c r="BW210" s="210"/>
      <c r="BX210" s="210"/>
      <c r="BY210" s="210"/>
      <c r="BZ210" s="210"/>
      <c r="CA210" s="210"/>
      <c r="CB210" s="210"/>
      <c r="CC210" s="210"/>
      <c r="CD210" s="210"/>
      <c r="CE210" s="210"/>
      <c r="CF210" s="210"/>
      <c r="CG210" s="210"/>
      <c r="CH210" s="210"/>
      <c r="CI210" s="210"/>
      <c r="CJ210" s="210"/>
      <c r="CK210" s="210"/>
    </row>
    <row r="211">
      <c r="A211" s="222" t="s">
        <v>265</v>
      </c>
      <c r="B211" s="190" t="s">
        <v>266</v>
      </c>
      <c r="C211" s="223" t="s">
        <v>72</v>
      </c>
      <c r="D211" s="223" t="s">
        <v>865</v>
      </c>
      <c r="E211" s="190" t="s">
        <v>21</v>
      </c>
      <c r="F211" s="13" t="s">
        <v>927</v>
      </c>
      <c r="G211" s="13" t="s">
        <v>918</v>
      </c>
      <c r="H211" s="219">
        <f>IFERROR(
  MINIFS(ATTENDANCE_LOG!$F:$F,
         ATTENDANCE_LOG!$A:$A, C211,
         ATTENDANCE_LOG!$B:$B, E211),
"")</f>
        <v>45670.54167</v>
      </c>
      <c r="I211" s="219">
        <f t="shared" si="2"/>
        <v>45670.54167</v>
      </c>
      <c r="J211" s="190">
        <f>IFERROR(VLOOKUP(F211, LEVEL_HELPER!$A:$B, 2, 0), "")</f>
        <v>1</v>
      </c>
      <c r="K211" s="190">
        <f>IFERROR(VLOOKUP(G211, LEVEL_HELPER!$A:$B, 2, 0), "")</f>
        <v>3</v>
      </c>
      <c r="L211" s="220" t="s">
        <v>943</v>
      </c>
      <c r="M211" s="220" t="s">
        <v>920</v>
      </c>
      <c r="N211" s="190">
        <f t="array" ref="N211">IFERROR(
  INDEX($J$2:$J$543,
    MATCH(A211&amp;TEXT(I211,"yyyy-mm-dd"),
          $A$2:$A$543&amp;TEXT($H$2:$H$543,"yyyy-mm-dd"),
          0)),
"")</f>
        <v>1</v>
      </c>
      <c r="O211" s="210">
        <f t="shared" si="3"/>
        <v>3.5</v>
      </c>
      <c r="P211" s="210">
        <f t="shared" ref="P211:Q211" si="221">IF(N211="",0,IF(N211&lt;=2,1,IF(N211&lt;=4,2,IF(N211&lt;=5.5,3,4))))</f>
        <v>1</v>
      </c>
      <c r="Q211" s="210">
        <f t="shared" si="221"/>
        <v>2</v>
      </c>
      <c r="R211" s="210" t="str">
        <f t="shared" si="5"/>
        <v>Lv1 → Lv2</v>
      </c>
      <c r="S211" s="210">
        <f t="shared" si="6"/>
        <v>1</v>
      </c>
      <c r="T211" s="210"/>
      <c r="U211" s="210"/>
      <c r="V211" s="211" t="s">
        <v>253</v>
      </c>
      <c r="W211" s="210" t="str">
        <f t="shared" si="7"/>
        <v>GSD</v>
      </c>
      <c r="X211" s="210" t="str">
        <f t="shared" si="8"/>
        <v>GSD</v>
      </c>
      <c r="Y211" s="210" t="str">
        <f t="shared" si="9"/>
        <v>MOC</v>
      </c>
      <c r="Z211" s="210"/>
      <c r="AA211" s="210"/>
      <c r="AB211" s="210"/>
      <c r="AC211" s="210"/>
      <c r="AD211" s="210"/>
      <c r="AE211" s="210"/>
      <c r="AF211" s="210"/>
      <c r="AG211" s="210"/>
      <c r="AH211" s="210"/>
      <c r="AI211" s="210"/>
      <c r="AJ211" s="210"/>
      <c r="AK211" s="210"/>
      <c r="AL211" s="210"/>
      <c r="AM211" s="214"/>
      <c r="AN211" s="210"/>
      <c r="AO211" s="210" t="str">
        <f t="shared" si="10"/>
        <v>#N/A</v>
      </c>
      <c r="AP211" s="210" t="str">
        <f t="shared" si="11"/>
        <v>#N/A</v>
      </c>
      <c r="AQ211" s="210" t="str">
        <f t="shared" si="12"/>
        <v>#N/A</v>
      </c>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c r="BU211" s="210"/>
      <c r="BV211" s="210"/>
      <c r="BW211" s="210"/>
      <c r="BX211" s="210"/>
      <c r="BY211" s="210"/>
      <c r="BZ211" s="210"/>
      <c r="CA211" s="210"/>
      <c r="CB211" s="210"/>
      <c r="CC211" s="210"/>
      <c r="CD211" s="210"/>
      <c r="CE211" s="210"/>
      <c r="CF211" s="210"/>
      <c r="CG211" s="210"/>
      <c r="CH211" s="210"/>
      <c r="CI211" s="210"/>
      <c r="CJ211" s="210"/>
      <c r="CK211" s="210"/>
    </row>
    <row r="212">
      <c r="A212" s="222" t="s">
        <v>108</v>
      </c>
      <c r="B212" s="190" t="s">
        <v>283</v>
      </c>
      <c r="C212" s="223" t="s">
        <v>72</v>
      </c>
      <c r="D212" s="223" t="s">
        <v>865</v>
      </c>
      <c r="E212" s="190" t="s">
        <v>21</v>
      </c>
      <c r="F212" s="13" t="s">
        <v>927</v>
      </c>
      <c r="G212" s="13" t="s">
        <v>918</v>
      </c>
      <c r="H212" s="219">
        <f>IFERROR(
  MINIFS(ATTENDANCE_LOG!$F:$F,
         ATTENDANCE_LOG!$A:$A, C212,
         ATTENDANCE_LOG!$B:$B, E212),
"")</f>
        <v>45670.54167</v>
      </c>
      <c r="I212" s="219">
        <f t="shared" si="2"/>
        <v>45670.54167</v>
      </c>
      <c r="J212" s="190">
        <f>IFERROR(VLOOKUP(F212, LEVEL_HELPER!$A:$B, 2, 0), "")</f>
        <v>1</v>
      </c>
      <c r="K212" s="190">
        <f>IFERROR(VLOOKUP(G212, LEVEL_HELPER!$A:$B, 2, 0), "")</f>
        <v>3</v>
      </c>
      <c r="L212" s="220" t="s">
        <v>943</v>
      </c>
      <c r="M212" s="220" t="s">
        <v>920</v>
      </c>
      <c r="N212" s="190">
        <f t="array" ref="N212">IFERROR(
  INDEX($J$2:$J$543,
    MATCH(A212&amp;TEXT(I212,"yyyy-mm-dd"),
          $A$2:$A$543&amp;TEXT($H$2:$H$543,"yyyy-mm-dd"),
          0)),
"")</f>
        <v>1</v>
      </c>
      <c r="O212" s="210">
        <f t="shared" si="3"/>
        <v>3.5</v>
      </c>
      <c r="P212" s="210">
        <f t="shared" ref="P212:Q212" si="222">IF(N212="",0,IF(N212&lt;=2,1,IF(N212&lt;=4,2,IF(N212&lt;=5.5,3,4))))</f>
        <v>1</v>
      </c>
      <c r="Q212" s="210">
        <f t="shared" si="222"/>
        <v>2</v>
      </c>
      <c r="R212" s="210" t="str">
        <f t="shared" si="5"/>
        <v>Lv1 → Lv2</v>
      </c>
      <c r="S212" s="210">
        <f t="shared" si="6"/>
        <v>1</v>
      </c>
      <c r="T212" s="210"/>
      <c r="U212" s="210"/>
      <c r="V212" s="211" t="s">
        <v>447</v>
      </c>
      <c r="W212" s="210" t="str">
        <f t="shared" si="7"/>
        <v>GSD</v>
      </c>
      <c r="X212" s="210" t="str">
        <f t="shared" si="8"/>
        <v>GSD</v>
      </c>
      <c r="Y212" s="210" t="str">
        <f t="shared" si="9"/>
        <v>MOC</v>
      </c>
      <c r="Z212" s="210"/>
      <c r="AA212" s="210"/>
      <c r="AB212" s="210"/>
      <c r="AC212" s="210"/>
      <c r="AD212" s="210"/>
      <c r="AE212" s="210"/>
      <c r="AF212" s="210"/>
      <c r="AG212" s="210"/>
      <c r="AH212" s="210"/>
      <c r="AI212" s="210"/>
      <c r="AJ212" s="210"/>
      <c r="AK212" s="210"/>
      <c r="AL212" s="210"/>
      <c r="AM212" s="214"/>
      <c r="AN212" s="210"/>
      <c r="AO212" s="210" t="str">
        <f t="shared" si="10"/>
        <v>#N/A</v>
      </c>
      <c r="AP212" s="210" t="str">
        <f t="shared" si="11"/>
        <v>#N/A</v>
      </c>
      <c r="AQ212" s="210" t="str">
        <f t="shared" si="12"/>
        <v>#N/A</v>
      </c>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c r="BU212" s="210"/>
      <c r="BV212" s="210"/>
      <c r="BW212" s="210"/>
      <c r="BX212" s="210"/>
      <c r="BY212" s="210"/>
      <c r="BZ212" s="210"/>
      <c r="CA212" s="210"/>
      <c r="CB212" s="210"/>
      <c r="CC212" s="210"/>
      <c r="CD212" s="210"/>
      <c r="CE212" s="210"/>
      <c r="CF212" s="210"/>
      <c r="CG212" s="210"/>
      <c r="CH212" s="210"/>
      <c r="CI212" s="210"/>
      <c r="CJ212" s="210"/>
      <c r="CK212" s="210"/>
    </row>
    <row r="213">
      <c r="A213" s="222" t="s">
        <v>315</v>
      </c>
      <c r="B213" s="190" t="s">
        <v>316</v>
      </c>
      <c r="C213" s="223" t="s">
        <v>72</v>
      </c>
      <c r="D213" s="223" t="s">
        <v>865</v>
      </c>
      <c r="E213" s="190" t="s">
        <v>21</v>
      </c>
      <c r="F213" s="13" t="s">
        <v>927</v>
      </c>
      <c r="G213" s="13" t="s">
        <v>929</v>
      </c>
      <c r="H213" s="219">
        <f>IFERROR(
  MINIFS(ATTENDANCE_LOG!$F:$F,
         ATTENDANCE_LOG!$A:$A, C213,
         ATTENDANCE_LOG!$B:$B, E213),
"")</f>
        <v>45670.54167</v>
      </c>
      <c r="I213" s="219">
        <f t="shared" si="2"/>
        <v>45670.54167</v>
      </c>
      <c r="J213" s="190">
        <f>IFERROR(VLOOKUP(F213, LEVEL_HELPER!$A:$B, 2, 0), "")</f>
        <v>1</v>
      </c>
      <c r="K213" s="190">
        <f>IFERROR(VLOOKUP(G213, LEVEL_HELPER!$A:$B, 2, 0), "")</f>
        <v>1.5</v>
      </c>
      <c r="L213" s="220" t="s">
        <v>943</v>
      </c>
      <c r="M213" s="220" t="s">
        <v>926</v>
      </c>
      <c r="N213" s="190">
        <f t="array" ref="N213">IFERROR(
  INDEX($J$2:$J$543,
    MATCH(A213&amp;TEXT(I213,"yyyy-mm-dd"),
          $A$2:$A$543&amp;TEXT($H$2:$H$543,"yyyy-mm-dd"),
          0)),
"")</f>
        <v>1</v>
      </c>
      <c r="O213" s="210">
        <f t="shared" si="3"/>
        <v>1.5</v>
      </c>
      <c r="P213" s="210">
        <f t="shared" ref="P213:Q213" si="223">IF(N213="",0,IF(N213&lt;=2,1,IF(N213&lt;=4,2,IF(N213&lt;=5.5,3,4))))</f>
        <v>1</v>
      </c>
      <c r="Q213" s="210">
        <f t="shared" si="223"/>
        <v>1</v>
      </c>
      <c r="R213" s="210" t="str">
        <f t="shared" si="5"/>
        <v>Progress within level</v>
      </c>
      <c r="S213" s="210">
        <f t="shared" si="6"/>
        <v>1</v>
      </c>
      <c r="T213" s="210"/>
      <c r="U213" s="210"/>
      <c r="V213" s="211" t="s">
        <v>486</v>
      </c>
      <c r="W213" s="210" t="str">
        <f t="shared" si="7"/>
        <v>GSD</v>
      </c>
      <c r="X213" s="210" t="str">
        <f t="shared" si="8"/>
        <v>GSD</v>
      </c>
      <c r="Y213" s="210" t="str">
        <f t="shared" si="9"/>
        <v>MOC</v>
      </c>
      <c r="Z213" s="210"/>
      <c r="AA213" s="210"/>
      <c r="AB213" s="210"/>
      <c r="AC213" s="210"/>
      <c r="AD213" s="210"/>
      <c r="AE213" s="210"/>
      <c r="AF213" s="210"/>
      <c r="AG213" s="210"/>
      <c r="AH213" s="210"/>
      <c r="AI213" s="210"/>
      <c r="AJ213" s="210"/>
      <c r="AK213" s="210"/>
      <c r="AL213" s="210"/>
      <c r="AM213" s="214"/>
      <c r="AN213" s="210"/>
      <c r="AO213" s="210" t="str">
        <f t="shared" si="10"/>
        <v>#N/A</v>
      </c>
      <c r="AP213" s="210" t="str">
        <f t="shared" si="11"/>
        <v>#N/A</v>
      </c>
      <c r="AQ213" s="210" t="str">
        <f t="shared" si="12"/>
        <v>#N/A</v>
      </c>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c r="BU213" s="210"/>
      <c r="BV213" s="210"/>
      <c r="BW213" s="210"/>
      <c r="BX213" s="210"/>
      <c r="BY213" s="210"/>
      <c r="BZ213" s="210"/>
      <c r="CA213" s="210"/>
      <c r="CB213" s="210"/>
      <c r="CC213" s="210"/>
      <c r="CD213" s="210"/>
      <c r="CE213" s="210"/>
      <c r="CF213" s="210"/>
      <c r="CG213" s="210"/>
      <c r="CH213" s="210"/>
      <c r="CI213" s="210"/>
      <c r="CJ213" s="210"/>
      <c r="CK213" s="210"/>
    </row>
    <row r="214">
      <c r="A214" s="222" t="s">
        <v>334</v>
      </c>
      <c r="B214" s="190" t="s">
        <v>335</v>
      </c>
      <c r="C214" s="223" t="s">
        <v>72</v>
      </c>
      <c r="D214" s="223" t="s">
        <v>865</v>
      </c>
      <c r="E214" s="190" t="s">
        <v>21</v>
      </c>
      <c r="F214" s="13" t="s">
        <v>917</v>
      </c>
      <c r="G214" s="13" t="s">
        <v>932</v>
      </c>
      <c r="H214" s="219">
        <f>IFERROR(
  MINIFS(ATTENDANCE_LOG!$F:$F,
         ATTENDANCE_LOG!$A:$A, C214,
         ATTENDANCE_LOG!$B:$B, E214),
"")</f>
        <v>45670.54167</v>
      </c>
      <c r="I214" s="219">
        <f t="shared" si="2"/>
        <v>45670.54167</v>
      </c>
      <c r="J214" s="190">
        <f>IFERROR(VLOOKUP(F214, LEVEL_HELPER!$A:$B, 2, 0), "")</f>
        <v>2.5</v>
      </c>
      <c r="K214" s="190">
        <f>IFERROR(VLOOKUP(G214, LEVEL_HELPER!$A:$B, 2, 0), "")</f>
        <v>4.5</v>
      </c>
      <c r="L214" s="220" t="s">
        <v>943</v>
      </c>
      <c r="M214" s="220" t="s">
        <v>926</v>
      </c>
      <c r="N214" s="190">
        <f t="array" ref="N214">IFERROR(
  INDEX($J$2:$J$543,
    MATCH(A214&amp;TEXT(I214,"yyyy-mm-dd"),
          $A$2:$A$543&amp;TEXT($H$2:$H$543,"yyyy-mm-dd"),
          0)),
"")</f>
        <v>2.5</v>
      </c>
      <c r="O214" s="210">
        <f t="shared" si="3"/>
        <v>4.5</v>
      </c>
      <c r="P214" s="210">
        <f t="shared" ref="P214:Q214" si="224">IF(N214="",0,IF(N214&lt;=2,1,IF(N214&lt;=4,2,IF(N214&lt;=5.5,3,4))))</f>
        <v>2</v>
      </c>
      <c r="Q214" s="210">
        <f t="shared" si="224"/>
        <v>3</v>
      </c>
      <c r="R214" s="210" t="str">
        <f t="shared" si="5"/>
        <v>Lv2 → Lv3</v>
      </c>
      <c r="S214" s="210">
        <f t="shared" si="6"/>
        <v>1</v>
      </c>
      <c r="T214" s="210"/>
      <c r="U214" s="210"/>
      <c r="V214" s="211" t="s">
        <v>508</v>
      </c>
      <c r="W214" s="210" t="str">
        <f t="shared" si="7"/>
        <v>GSD</v>
      </c>
      <c r="X214" s="210" t="str">
        <f t="shared" si="8"/>
        <v>GSD</v>
      </c>
      <c r="Y214" s="210" t="str">
        <f t="shared" si="9"/>
        <v>MOC</v>
      </c>
      <c r="Z214" s="210"/>
      <c r="AA214" s="210"/>
      <c r="AB214" s="210"/>
      <c r="AC214" s="210"/>
      <c r="AD214" s="210"/>
      <c r="AE214" s="210"/>
      <c r="AF214" s="210"/>
      <c r="AG214" s="210"/>
      <c r="AH214" s="210"/>
      <c r="AI214" s="210"/>
      <c r="AJ214" s="210"/>
      <c r="AK214" s="210"/>
      <c r="AL214" s="210"/>
      <c r="AM214" s="214"/>
      <c r="AN214" s="210"/>
      <c r="AO214" s="210" t="str">
        <f t="shared" si="10"/>
        <v>#N/A</v>
      </c>
      <c r="AP214" s="210" t="str">
        <f t="shared" si="11"/>
        <v>#N/A</v>
      </c>
      <c r="AQ214" s="210" t="str">
        <f t="shared" si="12"/>
        <v>#N/A</v>
      </c>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c r="BU214" s="210"/>
      <c r="BV214" s="210"/>
      <c r="BW214" s="210"/>
      <c r="BX214" s="210"/>
      <c r="BY214" s="210"/>
      <c r="BZ214" s="210"/>
      <c r="CA214" s="210"/>
      <c r="CB214" s="210"/>
      <c r="CC214" s="210"/>
      <c r="CD214" s="210"/>
      <c r="CE214" s="210"/>
      <c r="CF214" s="210"/>
      <c r="CG214" s="210"/>
      <c r="CH214" s="210"/>
      <c r="CI214" s="210"/>
      <c r="CJ214" s="210"/>
      <c r="CK214" s="210"/>
    </row>
    <row r="215">
      <c r="A215" s="222" t="s">
        <v>401</v>
      </c>
      <c r="B215" s="190" t="s">
        <v>402</v>
      </c>
      <c r="C215" s="223" t="s">
        <v>72</v>
      </c>
      <c r="D215" s="223" t="s">
        <v>865</v>
      </c>
      <c r="E215" s="190" t="s">
        <v>21</v>
      </c>
      <c r="F215" s="13" t="s">
        <v>927</v>
      </c>
      <c r="G215" s="13" t="s">
        <v>935</v>
      </c>
      <c r="H215" s="219">
        <f>IFERROR(
  MINIFS(ATTENDANCE_LOG!$F:$F,
         ATTENDANCE_LOG!$A:$A, C215,
         ATTENDANCE_LOG!$B:$B, E215),
"")</f>
        <v>45670.54167</v>
      </c>
      <c r="I215" s="219">
        <f t="shared" si="2"/>
        <v>45670.54167</v>
      </c>
      <c r="J215" s="190">
        <f>IFERROR(VLOOKUP(F215, LEVEL_HELPER!$A:$B, 2, 0), "")</f>
        <v>1</v>
      </c>
      <c r="K215" s="190">
        <f>IFERROR(VLOOKUP(G215, LEVEL_HELPER!$A:$B, 2, 0), "")</f>
        <v>3.5</v>
      </c>
      <c r="L215" s="220" t="s">
        <v>943</v>
      </c>
      <c r="M215" s="220" t="s">
        <v>920</v>
      </c>
      <c r="N215" s="190">
        <f t="array" ref="N215">IFERROR(
  INDEX($J$2:$J$543,
    MATCH(A215&amp;TEXT(I215,"yyyy-mm-dd"),
          $A$2:$A$543&amp;TEXT($H$2:$H$543,"yyyy-mm-dd"),
          0)),
"")</f>
        <v>1</v>
      </c>
      <c r="O215" s="210">
        <f t="shared" si="3"/>
        <v>4</v>
      </c>
      <c r="P215" s="210">
        <f t="shared" ref="P215:Q215" si="225">IF(N215="",0,IF(N215&lt;=2,1,IF(N215&lt;=4,2,IF(N215&lt;=5.5,3,4))))</f>
        <v>1</v>
      </c>
      <c r="Q215" s="210">
        <f t="shared" si="225"/>
        <v>2</v>
      </c>
      <c r="R215" s="210" t="str">
        <f t="shared" si="5"/>
        <v>Lv1 → Lv2</v>
      </c>
      <c r="S215" s="210">
        <f t="shared" si="6"/>
        <v>1</v>
      </c>
      <c r="T215" s="210"/>
      <c r="U215" s="210"/>
      <c r="V215" s="211" t="s">
        <v>597</v>
      </c>
      <c r="W215" s="210" t="str">
        <f t="shared" si="7"/>
        <v>GSD</v>
      </c>
      <c r="X215" s="210" t="str">
        <f t="shared" si="8"/>
        <v>GSD</v>
      </c>
      <c r="Y215" s="210" t="str">
        <f t="shared" si="9"/>
        <v>MOC</v>
      </c>
      <c r="Z215" s="210"/>
      <c r="AA215" s="210"/>
      <c r="AB215" s="210"/>
      <c r="AC215" s="210"/>
      <c r="AD215" s="210"/>
      <c r="AE215" s="210"/>
      <c r="AF215" s="210"/>
      <c r="AG215" s="210"/>
      <c r="AH215" s="210"/>
      <c r="AI215" s="210"/>
      <c r="AJ215" s="210"/>
      <c r="AK215" s="210"/>
      <c r="AL215" s="210"/>
      <c r="AM215" s="214"/>
      <c r="AN215" s="210"/>
      <c r="AO215" s="210" t="str">
        <f t="shared" si="10"/>
        <v>#N/A</v>
      </c>
      <c r="AP215" s="210" t="str">
        <f t="shared" si="11"/>
        <v>#N/A</v>
      </c>
      <c r="AQ215" s="210" t="str">
        <f t="shared" si="12"/>
        <v>#N/A</v>
      </c>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c r="BU215" s="210"/>
      <c r="BV215" s="210"/>
      <c r="BW215" s="210"/>
      <c r="BX215" s="210"/>
      <c r="BY215" s="210"/>
      <c r="BZ215" s="210"/>
      <c r="CA215" s="210"/>
      <c r="CB215" s="210"/>
      <c r="CC215" s="210"/>
      <c r="CD215" s="210"/>
      <c r="CE215" s="210"/>
      <c r="CF215" s="210"/>
      <c r="CG215" s="210"/>
      <c r="CH215" s="210"/>
      <c r="CI215" s="210"/>
      <c r="CJ215" s="210"/>
      <c r="CK215" s="210"/>
    </row>
    <row r="216">
      <c r="A216" s="222" t="s">
        <v>572</v>
      </c>
      <c r="B216" s="190" t="s">
        <v>573</v>
      </c>
      <c r="C216" s="223" t="s">
        <v>72</v>
      </c>
      <c r="D216" s="223" t="s">
        <v>865</v>
      </c>
      <c r="E216" s="190" t="s">
        <v>21</v>
      </c>
      <c r="F216" s="13" t="s">
        <v>927</v>
      </c>
      <c r="G216" s="13" t="s">
        <v>918</v>
      </c>
      <c r="H216" s="219">
        <f>IFERROR(
  MINIFS(ATTENDANCE_LOG!$F:$F,
         ATTENDANCE_LOG!$A:$A, C216,
         ATTENDANCE_LOG!$B:$B, E216),
"")</f>
        <v>45670.54167</v>
      </c>
      <c r="I216" s="219">
        <f t="shared" si="2"/>
        <v>45670.54167</v>
      </c>
      <c r="J216" s="190">
        <f>IFERROR(VLOOKUP(F216, LEVEL_HELPER!$A:$B, 2, 0), "")</f>
        <v>1</v>
      </c>
      <c r="K216" s="190">
        <f>IFERROR(VLOOKUP(G216, LEVEL_HELPER!$A:$B, 2, 0), "")</f>
        <v>3</v>
      </c>
      <c r="L216" s="220" t="s">
        <v>943</v>
      </c>
      <c r="M216" s="220" t="s">
        <v>926</v>
      </c>
      <c r="N216" s="190">
        <f t="array" ref="N216">IFERROR(
  INDEX($J$2:$J$543,
    MATCH(A216&amp;TEXT(I216,"yyyy-mm-dd"),
          $A$2:$A$543&amp;TEXT($H$2:$H$543,"yyyy-mm-dd"),
          0)),
"")</f>
        <v>1</v>
      </c>
      <c r="O216" s="210">
        <f t="shared" si="3"/>
        <v>3</v>
      </c>
      <c r="P216" s="210">
        <f t="shared" ref="P216:Q216" si="226">IF(N216="",0,IF(N216&lt;=2,1,IF(N216&lt;=4,2,IF(N216&lt;=5.5,3,4))))</f>
        <v>1</v>
      </c>
      <c r="Q216" s="210">
        <f t="shared" si="226"/>
        <v>2</v>
      </c>
      <c r="R216" s="210" t="str">
        <f t="shared" si="5"/>
        <v>Lv1 → Lv2</v>
      </c>
      <c r="S216" s="210">
        <f t="shared" si="6"/>
        <v>1</v>
      </c>
      <c r="T216" s="210"/>
      <c r="U216" s="210"/>
      <c r="V216" s="211" t="s">
        <v>623</v>
      </c>
      <c r="W216" s="210" t="str">
        <f t="shared" si="7"/>
        <v>GSD</v>
      </c>
      <c r="X216" s="210" t="str">
        <f t="shared" si="8"/>
        <v>GSD</v>
      </c>
      <c r="Y216" s="210" t="str">
        <f t="shared" si="9"/>
        <v>MOC</v>
      </c>
      <c r="Z216" s="210"/>
      <c r="AA216" s="210"/>
      <c r="AB216" s="210"/>
      <c r="AC216" s="210"/>
      <c r="AD216" s="210"/>
      <c r="AE216" s="210"/>
      <c r="AF216" s="210"/>
      <c r="AG216" s="210"/>
      <c r="AH216" s="210"/>
      <c r="AI216" s="210"/>
      <c r="AJ216" s="210"/>
      <c r="AK216" s="210"/>
      <c r="AL216" s="210"/>
      <c r="AM216" s="214"/>
      <c r="AN216" s="210"/>
      <c r="AO216" s="210" t="str">
        <f t="shared" si="10"/>
        <v>#N/A</v>
      </c>
      <c r="AP216" s="210" t="str">
        <f t="shared" si="11"/>
        <v>#N/A</v>
      </c>
      <c r="AQ216" s="210" t="str">
        <f t="shared" si="12"/>
        <v>#N/A</v>
      </c>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c r="BU216" s="210"/>
      <c r="BV216" s="210"/>
      <c r="BW216" s="210"/>
      <c r="BX216" s="210"/>
      <c r="BY216" s="210"/>
      <c r="BZ216" s="210"/>
      <c r="CA216" s="210"/>
      <c r="CB216" s="210"/>
      <c r="CC216" s="210"/>
      <c r="CD216" s="210"/>
      <c r="CE216" s="210"/>
      <c r="CF216" s="210"/>
      <c r="CG216" s="210"/>
      <c r="CH216" s="210"/>
      <c r="CI216" s="210"/>
      <c r="CJ216" s="210"/>
      <c r="CK216" s="210"/>
    </row>
    <row r="217">
      <c r="A217" s="222" t="s">
        <v>576</v>
      </c>
      <c r="B217" s="190" t="s">
        <v>577</v>
      </c>
      <c r="C217" s="223" t="s">
        <v>72</v>
      </c>
      <c r="D217" s="223" t="s">
        <v>865</v>
      </c>
      <c r="E217" s="190" t="s">
        <v>21</v>
      </c>
      <c r="F217" s="13" t="s">
        <v>917</v>
      </c>
      <c r="G217" s="13" t="s">
        <v>935</v>
      </c>
      <c r="H217" s="219">
        <f>IFERROR(
  MINIFS(ATTENDANCE_LOG!$F:$F,
         ATTENDANCE_LOG!$A:$A, C217,
         ATTENDANCE_LOG!$B:$B, E217),
"")</f>
        <v>45670.54167</v>
      </c>
      <c r="I217" s="219">
        <f t="shared" si="2"/>
        <v>45670.54167</v>
      </c>
      <c r="J217" s="190">
        <f>IFERROR(VLOOKUP(F217, LEVEL_HELPER!$A:$B, 2, 0), "")</f>
        <v>2.5</v>
      </c>
      <c r="K217" s="190">
        <f>IFERROR(VLOOKUP(G217, LEVEL_HELPER!$A:$B, 2, 0), "")</f>
        <v>3.5</v>
      </c>
      <c r="L217" s="220" t="s">
        <v>943</v>
      </c>
      <c r="M217" s="220" t="s">
        <v>920</v>
      </c>
      <c r="N217" s="190">
        <f t="array" ref="N217">IFERROR(
  INDEX($J$2:$J$543,
    MATCH(A217&amp;TEXT(I217,"yyyy-mm-dd"),
          $A$2:$A$543&amp;TEXT($H$2:$H$543,"yyyy-mm-dd"),
          0)),
"")</f>
        <v>2.5</v>
      </c>
      <c r="O217" s="210">
        <f t="shared" si="3"/>
        <v>3.5</v>
      </c>
      <c r="P217" s="210">
        <f t="shared" ref="P217:Q217" si="227">IF(N217="",0,IF(N217&lt;=2,1,IF(N217&lt;=4,2,IF(N217&lt;=5.5,3,4))))</f>
        <v>2</v>
      </c>
      <c r="Q217" s="210">
        <f t="shared" si="227"/>
        <v>2</v>
      </c>
      <c r="R217" s="210" t="str">
        <f t="shared" si="5"/>
        <v>Progress within level</v>
      </c>
      <c r="S217" s="210">
        <f t="shared" si="6"/>
        <v>1</v>
      </c>
      <c r="T217" s="210"/>
      <c r="U217" s="210"/>
      <c r="V217" s="211" t="s">
        <v>472</v>
      </c>
      <c r="W217" s="210" t="str">
        <f t="shared" si="7"/>
        <v>QC</v>
      </c>
      <c r="X217" s="210" t="str">
        <f t="shared" si="8"/>
        <v>QC</v>
      </c>
      <c r="Y217" s="210" t="str">
        <f t="shared" si="9"/>
        <v>LBU</v>
      </c>
      <c r="Z217" s="210"/>
      <c r="AA217" s="210"/>
      <c r="AB217" s="210"/>
      <c r="AC217" s="210"/>
      <c r="AD217" s="210"/>
      <c r="AE217" s="210"/>
      <c r="AF217" s="210"/>
      <c r="AG217" s="210"/>
      <c r="AH217" s="210"/>
      <c r="AI217" s="210"/>
      <c r="AJ217" s="210"/>
      <c r="AK217" s="210"/>
      <c r="AL217" s="210"/>
      <c r="AM217" s="214"/>
      <c r="AN217" s="210"/>
      <c r="AO217" s="210" t="str">
        <f t="shared" si="10"/>
        <v>#N/A</v>
      </c>
      <c r="AP217" s="210" t="str">
        <f t="shared" si="11"/>
        <v>#N/A</v>
      </c>
      <c r="AQ217" s="210" t="str">
        <f t="shared" si="12"/>
        <v>#N/A</v>
      </c>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c r="BU217" s="210"/>
      <c r="BV217" s="210"/>
      <c r="BW217" s="210"/>
      <c r="BX217" s="210"/>
      <c r="BY217" s="210"/>
      <c r="BZ217" s="210"/>
      <c r="CA217" s="210"/>
      <c r="CB217" s="210"/>
      <c r="CC217" s="210"/>
      <c r="CD217" s="210"/>
      <c r="CE217" s="210"/>
      <c r="CF217" s="210"/>
      <c r="CG217" s="210"/>
      <c r="CH217" s="210"/>
      <c r="CI217" s="210"/>
      <c r="CJ217" s="210"/>
      <c r="CK217" s="210"/>
    </row>
    <row r="218">
      <c r="A218" s="216" t="s">
        <v>683</v>
      </c>
      <c r="B218" s="217" t="s">
        <v>684</v>
      </c>
      <c r="C218" s="218" t="s">
        <v>72</v>
      </c>
      <c r="D218" s="218" t="s">
        <v>865</v>
      </c>
      <c r="E218" s="217" t="s">
        <v>22</v>
      </c>
      <c r="F218" s="13" t="s">
        <v>918</v>
      </c>
      <c r="G218" s="13" t="s">
        <v>935</v>
      </c>
      <c r="H218" s="219">
        <f>IFERROR(
  MINIFS(ATTENDANCE_LOG!$F:$F,
         ATTENDANCE_LOG!$A:$A, C218,
         ATTENDANCE_LOG!$B:$B, E218),
"")</f>
        <v>45866.54167</v>
      </c>
      <c r="I218" s="219">
        <f t="shared" si="2"/>
        <v>45670.54167</v>
      </c>
      <c r="J218" s="190">
        <f>IFERROR(VLOOKUP(F218, LEVEL_HELPER!$A:$B, 2, 0), "")</f>
        <v>3</v>
      </c>
      <c r="K218" s="190">
        <f>IFERROR(VLOOKUP(G218, LEVEL_HELPER!$A:$B, 2, 0), "")</f>
        <v>3.5</v>
      </c>
      <c r="L218" s="220" t="s">
        <v>943</v>
      </c>
      <c r="M218" s="220" t="s">
        <v>920</v>
      </c>
      <c r="N218" s="190">
        <f t="array" ref="N218">IFERROR(
  INDEX($J$2:$J$543,
    MATCH(A218&amp;TEXT(I218,"yyyy-mm-dd"),
          $A$2:$A$543&amp;TEXT($H$2:$H$543,"yyyy-mm-dd"),
          0)),
"")</f>
        <v>1</v>
      </c>
      <c r="O218" s="210">
        <f t="shared" si="3"/>
        <v>3.5</v>
      </c>
      <c r="P218" s="210">
        <f t="shared" ref="P218:Q218" si="228">IF(N218="",0,IF(N218&lt;=2,1,IF(N218&lt;=4,2,IF(N218&lt;=5.5,3,4))))</f>
        <v>1</v>
      </c>
      <c r="Q218" s="210">
        <f t="shared" si="228"/>
        <v>2</v>
      </c>
      <c r="R218" s="210" t="str">
        <f t="shared" si="5"/>
        <v>Lv1 → Lv2</v>
      </c>
      <c r="S218" s="210">
        <f t="shared" si="6"/>
        <v>0</v>
      </c>
      <c r="T218" s="210"/>
      <c r="U218" s="210"/>
      <c r="V218" s="211" t="s">
        <v>397</v>
      </c>
      <c r="W218" s="210" t="str">
        <f t="shared" si="7"/>
        <v>BC</v>
      </c>
      <c r="X218" s="210" t="str">
        <f t="shared" si="8"/>
        <v>BA, BC</v>
      </c>
      <c r="Y218" s="210" t="str">
        <f t="shared" si="9"/>
        <v>MOC</v>
      </c>
      <c r="Z218" s="210"/>
      <c r="AA218" s="210"/>
      <c r="AB218" s="210"/>
      <c r="AC218" s="210"/>
      <c r="AD218" s="210"/>
      <c r="AE218" s="210"/>
      <c r="AF218" s="210"/>
      <c r="AG218" s="210"/>
      <c r="AH218" s="210"/>
      <c r="AI218" s="210"/>
      <c r="AJ218" s="210"/>
      <c r="AK218" s="210"/>
      <c r="AL218" s="210"/>
      <c r="AM218" s="214"/>
      <c r="AN218" s="210"/>
      <c r="AO218" s="210" t="str">
        <f t="shared" si="10"/>
        <v>#N/A</v>
      </c>
      <c r="AP218" s="210" t="str">
        <f t="shared" si="11"/>
        <v>#N/A</v>
      </c>
      <c r="AQ218" s="210" t="str">
        <f t="shared" si="12"/>
        <v>#N/A</v>
      </c>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c r="BU218" s="210"/>
      <c r="BV218" s="210"/>
      <c r="BW218" s="210"/>
      <c r="BX218" s="210"/>
      <c r="BY218" s="210"/>
      <c r="BZ218" s="210"/>
      <c r="CA218" s="210"/>
      <c r="CB218" s="210"/>
      <c r="CC218" s="210"/>
      <c r="CD218" s="210"/>
      <c r="CE218" s="210"/>
      <c r="CF218" s="210"/>
      <c r="CG218" s="210"/>
      <c r="CH218" s="210"/>
      <c r="CI218" s="210"/>
      <c r="CJ218" s="210"/>
      <c r="CK218" s="210"/>
    </row>
    <row r="219">
      <c r="A219" s="222" t="s">
        <v>265</v>
      </c>
      <c r="B219" s="190" t="s">
        <v>266</v>
      </c>
      <c r="C219" s="223" t="s">
        <v>72</v>
      </c>
      <c r="D219" s="223" t="s">
        <v>865</v>
      </c>
      <c r="E219" s="190" t="s">
        <v>22</v>
      </c>
      <c r="F219" s="13" t="s">
        <v>918</v>
      </c>
      <c r="G219" s="13" t="s">
        <v>935</v>
      </c>
      <c r="H219" s="219">
        <f>IFERROR(
  MINIFS(ATTENDANCE_LOG!$F:$F,
         ATTENDANCE_LOG!$A:$A, C219,
         ATTENDANCE_LOG!$B:$B, E219),
"")</f>
        <v>45866.54167</v>
      </c>
      <c r="I219" s="219">
        <f t="shared" si="2"/>
        <v>45670.54167</v>
      </c>
      <c r="J219" s="190">
        <f>IFERROR(VLOOKUP(F219, LEVEL_HELPER!$A:$B, 2, 0), "")</f>
        <v>3</v>
      </c>
      <c r="K219" s="190">
        <f>IFERROR(VLOOKUP(G219, LEVEL_HELPER!$A:$B, 2, 0), "")</f>
        <v>3.5</v>
      </c>
      <c r="L219" s="220" t="s">
        <v>943</v>
      </c>
      <c r="M219" s="220" t="s">
        <v>920</v>
      </c>
      <c r="N219" s="190">
        <f t="array" ref="N219">IFERROR(
  INDEX($J$2:$J$543,
    MATCH(A219&amp;TEXT(I219,"yyyy-mm-dd"),
          $A$2:$A$543&amp;TEXT($H$2:$H$543,"yyyy-mm-dd"),
          0)),
"")</f>
        <v>1</v>
      </c>
      <c r="O219" s="210">
        <f t="shared" si="3"/>
        <v>3.5</v>
      </c>
      <c r="P219" s="210">
        <f t="shared" ref="P219:Q219" si="229">IF(N219="",0,IF(N219&lt;=2,1,IF(N219&lt;=4,2,IF(N219&lt;=5.5,3,4))))</f>
        <v>1</v>
      </c>
      <c r="Q219" s="210">
        <f t="shared" si="229"/>
        <v>2</v>
      </c>
      <c r="R219" s="210" t="str">
        <f t="shared" si="5"/>
        <v>Lv1 → Lv2</v>
      </c>
      <c r="S219" s="210">
        <f t="shared" si="6"/>
        <v>0</v>
      </c>
      <c r="T219" s="210"/>
      <c r="U219" s="210"/>
      <c r="V219" s="211" t="s">
        <v>136</v>
      </c>
      <c r="W219" s="210" t="str">
        <f t="shared" si="7"/>
        <v>DEV</v>
      </c>
      <c r="X219" s="210" t="str">
        <f t="shared" si="8"/>
        <v>DEV, TA</v>
      </c>
      <c r="Y219" s="210" t="str">
        <f t="shared" si="9"/>
        <v>MOC</v>
      </c>
      <c r="Z219" s="210"/>
      <c r="AA219" s="210"/>
      <c r="AB219" s="210"/>
      <c r="AC219" s="210"/>
      <c r="AD219" s="210"/>
      <c r="AE219" s="210"/>
      <c r="AF219" s="210"/>
      <c r="AG219" s="210"/>
      <c r="AH219" s="210"/>
      <c r="AI219" s="210"/>
      <c r="AJ219" s="210"/>
      <c r="AK219" s="210"/>
      <c r="AL219" s="210"/>
      <c r="AM219" s="214"/>
      <c r="AN219" s="210"/>
      <c r="AO219" s="210" t="str">
        <f t="shared" si="10"/>
        <v>#N/A</v>
      </c>
      <c r="AP219" s="210" t="str">
        <f t="shared" si="11"/>
        <v>#N/A</v>
      </c>
      <c r="AQ219" s="210" t="str">
        <f t="shared" si="12"/>
        <v>#N/A</v>
      </c>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c r="BU219" s="210"/>
      <c r="BV219" s="210"/>
      <c r="BW219" s="210"/>
      <c r="BX219" s="210"/>
      <c r="BY219" s="210"/>
      <c r="BZ219" s="210"/>
      <c r="CA219" s="210"/>
      <c r="CB219" s="210"/>
      <c r="CC219" s="210"/>
      <c r="CD219" s="210"/>
      <c r="CE219" s="210"/>
      <c r="CF219" s="210"/>
      <c r="CG219" s="210"/>
      <c r="CH219" s="210"/>
      <c r="CI219" s="210"/>
      <c r="CJ219" s="210"/>
      <c r="CK219" s="210"/>
    </row>
    <row r="220">
      <c r="A220" s="222" t="s">
        <v>108</v>
      </c>
      <c r="B220" s="190" t="s">
        <v>283</v>
      </c>
      <c r="C220" s="223" t="s">
        <v>72</v>
      </c>
      <c r="D220" s="223" t="s">
        <v>865</v>
      </c>
      <c r="E220" s="190" t="s">
        <v>22</v>
      </c>
      <c r="F220" s="13" t="s">
        <v>918</v>
      </c>
      <c r="G220" s="13" t="s">
        <v>935</v>
      </c>
      <c r="H220" s="219">
        <f>IFERROR(
  MINIFS(ATTENDANCE_LOG!$F:$F,
         ATTENDANCE_LOG!$A:$A, C220,
         ATTENDANCE_LOG!$B:$B, E220),
"")</f>
        <v>45866.54167</v>
      </c>
      <c r="I220" s="219">
        <f t="shared" si="2"/>
        <v>45670.54167</v>
      </c>
      <c r="J220" s="190">
        <f>IFERROR(VLOOKUP(F220, LEVEL_HELPER!$A:$B, 2, 0), "")</f>
        <v>3</v>
      </c>
      <c r="K220" s="190">
        <f>IFERROR(VLOOKUP(G220, LEVEL_HELPER!$A:$B, 2, 0), "")</f>
        <v>3.5</v>
      </c>
      <c r="L220" s="220" t="s">
        <v>943</v>
      </c>
      <c r="M220" s="220" t="s">
        <v>920</v>
      </c>
      <c r="N220" s="190">
        <f t="array" ref="N220">IFERROR(
  INDEX($J$2:$J$543,
    MATCH(A220&amp;TEXT(I220,"yyyy-mm-dd"),
          $A$2:$A$543&amp;TEXT($H$2:$H$543,"yyyy-mm-dd"),
          0)),
"")</f>
        <v>1</v>
      </c>
      <c r="O220" s="210">
        <f t="shared" si="3"/>
        <v>3.5</v>
      </c>
      <c r="P220" s="210">
        <f t="shared" ref="P220:Q220" si="230">IF(N220="",0,IF(N220&lt;=2,1,IF(N220&lt;=4,2,IF(N220&lt;=5.5,3,4))))</f>
        <v>1</v>
      </c>
      <c r="Q220" s="210">
        <f t="shared" si="230"/>
        <v>2</v>
      </c>
      <c r="R220" s="210" t="str">
        <f t="shared" si="5"/>
        <v>Lv1 → Lv2</v>
      </c>
      <c r="S220" s="210">
        <f t="shared" si="6"/>
        <v>0</v>
      </c>
      <c r="T220" s="210"/>
      <c r="U220" s="210"/>
      <c r="V220" s="211" t="s">
        <v>165</v>
      </c>
      <c r="W220" s="210" t="str">
        <f t="shared" si="7"/>
        <v>DEV</v>
      </c>
      <c r="X220" s="210" t="str">
        <f t="shared" si="8"/>
        <v>DEV, TA</v>
      </c>
      <c r="Y220" s="210" t="str">
        <f t="shared" si="9"/>
        <v>MOC</v>
      </c>
      <c r="Z220" s="210"/>
      <c r="AA220" s="210"/>
      <c r="AB220" s="210"/>
      <c r="AC220" s="210"/>
      <c r="AD220" s="210"/>
      <c r="AE220" s="210"/>
      <c r="AF220" s="210"/>
      <c r="AG220" s="210"/>
      <c r="AH220" s="210"/>
      <c r="AI220" s="210"/>
      <c r="AJ220" s="210"/>
      <c r="AK220" s="210"/>
      <c r="AL220" s="210"/>
      <c r="AM220" s="214"/>
      <c r="AN220" s="210"/>
      <c r="AO220" s="210" t="str">
        <f t="shared" si="10"/>
        <v>#N/A</v>
      </c>
      <c r="AP220" s="210" t="str">
        <f t="shared" si="11"/>
        <v>#N/A</v>
      </c>
      <c r="AQ220" s="210" t="str">
        <f t="shared" si="12"/>
        <v>#N/A</v>
      </c>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c r="BU220" s="210"/>
      <c r="BV220" s="210"/>
      <c r="BW220" s="210"/>
      <c r="BX220" s="210"/>
      <c r="BY220" s="210"/>
      <c r="BZ220" s="210"/>
      <c r="CA220" s="210"/>
      <c r="CB220" s="210"/>
      <c r="CC220" s="210"/>
      <c r="CD220" s="210"/>
      <c r="CE220" s="210"/>
      <c r="CF220" s="210"/>
      <c r="CG220" s="210"/>
      <c r="CH220" s="210"/>
      <c r="CI220" s="210"/>
      <c r="CJ220" s="210"/>
      <c r="CK220" s="210"/>
    </row>
    <row r="221">
      <c r="A221" s="222" t="s">
        <v>315</v>
      </c>
      <c r="B221" s="190" t="s">
        <v>316</v>
      </c>
      <c r="C221" s="223" t="s">
        <v>72</v>
      </c>
      <c r="D221" s="223" t="s">
        <v>865</v>
      </c>
      <c r="E221" s="190" t="s">
        <v>22</v>
      </c>
      <c r="F221" s="13" t="s">
        <v>929</v>
      </c>
      <c r="G221" s="13" t="s">
        <v>929</v>
      </c>
      <c r="H221" s="219">
        <f>IFERROR(
  MINIFS(ATTENDANCE_LOG!$F:$F,
         ATTENDANCE_LOG!$A:$A, C221,
         ATTENDANCE_LOG!$B:$B, E221),
"")</f>
        <v>45866.54167</v>
      </c>
      <c r="I221" s="219">
        <f t="shared" si="2"/>
        <v>45670.54167</v>
      </c>
      <c r="J221" s="190">
        <f>IFERROR(VLOOKUP(F221, LEVEL_HELPER!$A:$B, 2, 0), "")</f>
        <v>1.5</v>
      </c>
      <c r="K221" s="190">
        <f>IFERROR(VLOOKUP(G221, LEVEL_HELPER!$A:$B, 2, 0), "")</f>
        <v>1.5</v>
      </c>
      <c r="L221" s="220" t="s">
        <v>943</v>
      </c>
      <c r="M221" s="220" t="s">
        <v>926</v>
      </c>
      <c r="N221" s="190">
        <f t="array" ref="N221">IFERROR(
  INDEX($J$2:$J$543,
    MATCH(A221&amp;TEXT(I221,"yyyy-mm-dd"),
          $A$2:$A$543&amp;TEXT($H$2:$H$543,"yyyy-mm-dd"),
          0)),
"")</f>
        <v>1</v>
      </c>
      <c r="O221" s="210">
        <f t="shared" si="3"/>
        <v>1.5</v>
      </c>
      <c r="P221" s="210">
        <f t="shared" ref="P221:Q221" si="231">IF(N221="",0,IF(N221&lt;=2,1,IF(N221&lt;=4,2,IF(N221&lt;=5.5,3,4))))</f>
        <v>1</v>
      </c>
      <c r="Q221" s="210">
        <f t="shared" si="231"/>
        <v>1</v>
      </c>
      <c r="R221" s="210" t="str">
        <f t="shared" si="5"/>
        <v>Progress within level</v>
      </c>
      <c r="S221" s="210">
        <f t="shared" si="6"/>
        <v>0</v>
      </c>
      <c r="T221" s="210"/>
      <c r="U221" s="210"/>
      <c r="V221" s="211" t="s">
        <v>275</v>
      </c>
      <c r="W221" s="210" t="str">
        <f t="shared" si="7"/>
        <v>DEV</v>
      </c>
      <c r="X221" s="210" t="str">
        <f t="shared" si="8"/>
        <v>DEV, TA</v>
      </c>
      <c r="Y221" s="210" t="str">
        <f t="shared" si="9"/>
        <v>MOC</v>
      </c>
      <c r="Z221" s="210"/>
      <c r="AA221" s="210"/>
      <c r="AB221" s="210"/>
      <c r="AC221" s="210"/>
      <c r="AD221" s="210"/>
      <c r="AE221" s="210"/>
      <c r="AF221" s="210"/>
      <c r="AG221" s="210"/>
      <c r="AH221" s="210"/>
      <c r="AI221" s="210"/>
      <c r="AJ221" s="210"/>
      <c r="AK221" s="210"/>
      <c r="AL221" s="210"/>
      <c r="AM221" s="214"/>
      <c r="AN221" s="210"/>
      <c r="AO221" s="210" t="str">
        <f t="shared" si="10"/>
        <v>#N/A</v>
      </c>
      <c r="AP221" s="210" t="str">
        <f t="shared" si="11"/>
        <v>#N/A</v>
      </c>
      <c r="AQ221" s="210" t="str">
        <f t="shared" si="12"/>
        <v>#N/A</v>
      </c>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c r="BU221" s="210"/>
      <c r="BV221" s="210"/>
      <c r="BW221" s="210"/>
      <c r="BX221" s="210"/>
      <c r="BY221" s="210"/>
      <c r="BZ221" s="210"/>
      <c r="CA221" s="210"/>
      <c r="CB221" s="210"/>
      <c r="CC221" s="210"/>
      <c r="CD221" s="210"/>
      <c r="CE221" s="210"/>
      <c r="CF221" s="210"/>
      <c r="CG221" s="210"/>
      <c r="CH221" s="210"/>
      <c r="CI221" s="210"/>
      <c r="CJ221" s="210"/>
      <c r="CK221" s="210"/>
    </row>
    <row r="222">
      <c r="A222" s="222" t="s">
        <v>334</v>
      </c>
      <c r="B222" s="190" t="s">
        <v>335</v>
      </c>
      <c r="C222" s="223" t="s">
        <v>72</v>
      </c>
      <c r="D222" s="223" t="s">
        <v>865</v>
      </c>
      <c r="E222" s="190" t="s">
        <v>22</v>
      </c>
      <c r="F222" s="13" t="s">
        <v>932</v>
      </c>
      <c r="G222" s="190"/>
      <c r="H222" s="219">
        <f>IFERROR(
  MINIFS(ATTENDANCE_LOG!$F:$F,
         ATTENDANCE_LOG!$A:$A, C222,
         ATTENDANCE_LOG!$B:$B, E222),
"")</f>
        <v>45866.54167</v>
      </c>
      <c r="I222" s="219">
        <f t="shared" si="2"/>
        <v>45670.54167</v>
      </c>
      <c r="J222" s="190">
        <f>IFERROR(VLOOKUP(F222, LEVEL_HELPER!$A:$B, 2, 0), "")</f>
        <v>4.5</v>
      </c>
      <c r="K222" s="190" t="str">
        <f>IFERROR(VLOOKUP(G222, LEVEL_HELPER!$A:$B, 2, 0), "")</f>
        <v/>
      </c>
      <c r="L222" s="220" t="s">
        <v>943</v>
      </c>
      <c r="M222" s="220" t="s">
        <v>926</v>
      </c>
      <c r="N222" s="190">
        <f t="array" ref="N222">IFERROR(
  INDEX($J$2:$J$543,
    MATCH(A222&amp;TEXT(I222,"yyyy-mm-dd"),
          $A$2:$A$543&amp;TEXT($H$2:$H$543,"yyyy-mm-dd"),
          0)),
"")</f>
        <v>2.5</v>
      </c>
      <c r="O222" s="210">
        <f t="shared" si="3"/>
        <v>4.5</v>
      </c>
      <c r="P222" s="210">
        <f t="shared" ref="P222:Q222" si="232">IF(N222="",0,IF(N222&lt;=2,1,IF(N222&lt;=4,2,IF(N222&lt;=5.5,3,4))))</f>
        <v>2</v>
      </c>
      <c r="Q222" s="210">
        <f t="shared" si="232"/>
        <v>3</v>
      </c>
      <c r="R222" s="210" t="str">
        <f t="shared" si="5"/>
        <v>Lv2 → Lv3</v>
      </c>
      <c r="S222" s="210">
        <f t="shared" si="6"/>
        <v>0</v>
      </c>
      <c r="T222" s="210"/>
      <c r="U222" s="210"/>
      <c r="V222" s="211" t="s">
        <v>681</v>
      </c>
      <c r="W222" s="210" t="str">
        <f t="shared" si="7"/>
        <v>DEV</v>
      </c>
      <c r="X222" s="210" t="str">
        <f t="shared" si="8"/>
        <v>DEV, TA</v>
      </c>
      <c r="Y222" s="210" t="str">
        <f t="shared" si="9"/>
        <v>MOC</v>
      </c>
      <c r="Z222" s="210"/>
      <c r="AA222" s="210"/>
      <c r="AB222" s="210"/>
      <c r="AC222" s="210"/>
      <c r="AD222" s="210"/>
      <c r="AE222" s="210"/>
      <c r="AF222" s="210"/>
      <c r="AG222" s="210"/>
      <c r="AH222" s="210"/>
      <c r="AI222" s="210"/>
      <c r="AJ222" s="210"/>
      <c r="AK222" s="210"/>
      <c r="AL222" s="210"/>
      <c r="AM222" s="214"/>
      <c r="AN222" s="210"/>
      <c r="AO222" s="210" t="str">
        <f t="shared" si="10"/>
        <v>#N/A</v>
      </c>
      <c r="AP222" s="210" t="str">
        <f t="shared" si="11"/>
        <v>#N/A</v>
      </c>
      <c r="AQ222" s="210" t="str">
        <f t="shared" si="12"/>
        <v>#N/A</v>
      </c>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c r="BU222" s="210"/>
      <c r="BV222" s="210"/>
      <c r="BW222" s="210"/>
      <c r="BX222" s="210"/>
      <c r="BY222" s="210"/>
      <c r="BZ222" s="210"/>
      <c r="CA222" s="210"/>
      <c r="CB222" s="210"/>
      <c r="CC222" s="210"/>
      <c r="CD222" s="210"/>
      <c r="CE222" s="210"/>
      <c r="CF222" s="210"/>
      <c r="CG222" s="210"/>
      <c r="CH222" s="210"/>
      <c r="CI222" s="210"/>
      <c r="CJ222" s="210"/>
      <c r="CK222" s="210"/>
    </row>
    <row r="223">
      <c r="A223" s="222" t="s">
        <v>401</v>
      </c>
      <c r="B223" s="190" t="s">
        <v>402</v>
      </c>
      <c r="C223" s="223" t="s">
        <v>72</v>
      </c>
      <c r="D223" s="223" t="s">
        <v>865</v>
      </c>
      <c r="E223" s="190" t="s">
        <v>22</v>
      </c>
      <c r="F223" s="13" t="s">
        <v>935</v>
      </c>
      <c r="G223" s="13" t="s">
        <v>953</v>
      </c>
      <c r="H223" s="219">
        <f>IFERROR(
  MINIFS(ATTENDANCE_LOG!$F:$F,
         ATTENDANCE_LOG!$A:$A, C223,
         ATTENDANCE_LOG!$B:$B, E223),
"")</f>
        <v>45866.54167</v>
      </c>
      <c r="I223" s="219">
        <f t="shared" si="2"/>
        <v>45670.54167</v>
      </c>
      <c r="J223" s="190">
        <f>IFERROR(VLOOKUP(F223, LEVEL_HELPER!$A:$B, 2, 0), "")</f>
        <v>3.5</v>
      </c>
      <c r="K223" s="190">
        <f>IFERROR(VLOOKUP(G223, LEVEL_HELPER!$A:$B, 2, 0), "")</f>
        <v>4</v>
      </c>
      <c r="L223" s="220" t="s">
        <v>943</v>
      </c>
      <c r="M223" s="220" t="s">
        <v>920</v>
      </c>
      <c r="N223" s="190">
        <f t="array" ref="N223">IFERROR(
  INDEX($J$2:$J$543,
    MATCH(A223&amp;TEXT(I223,"yyyy-mm-dd"),
          $A$2:$A$543&amp;TEXT($H$2:$H$543,"yyyy-mm-dd"),
          0)),
"")</f>
        <v>1</v>
      </c>
      <c r="O223" s="210">
        <f t="shared" si="3"/>
        <v>4</v>
      </c>
      <c r="P223" s="210">
        <f t="shared" ref="P223:Q223" si="233">IF(N223="",0,IF(N223&lt;=2,1,IF(N223&lt;=4,2,IF(N223&lt;=5.5,3,4))))</f>
        <v>1</v>
      </c>
      <c r="Q223" s="210">
        <f t="shared" si="233"/>
        <v>2</v>
      </c>
      <c r="R223" s="210" t="str">
        <f t="shared" si="5"/>
        <v>Lv1 → Lv2</v>
      </c>
      <c r="S223" s="210">
        <f t="shared" si="6"/>
        <v>0</v>
      </c>
      <c r="T223" s="210"/>
      <c r="U223" s="210"/>
      <c r="V223" s="211" t="s">
        <v>719</v>
      </c>
      <c r="W223" s="210" t="str">
        <f t="shared" si="7"/>
        <v>BC</v>
      </c>
      <c r="X223" s="210" t="str">
        <f t="shared" si="8"/>
        <v>BA, BC</v>
      </c>
      <c r="Y223" s="210" t="str">
        <f t="shared" si="9"/>
        <v>MOC</v>
      </c>
      <c r="Z223" s="210"/>
      <c r="AA223" s="210"/>
      <c r="AB223" s="210"/>
      <c r="AC223" s="210"/>
      <c r="AD223" s="210"/>
      <c r="AE223" s="210"/>
      <c r="AF223" s="210"/>
      <c r="AG223" s="210"/>
      <c r="AH223" s="210"/>
      <c r="AI223" s="210"/>
      <c r="AJ223" s="210"/>
      <c r="AK223" s="210"/>
      <c r="AL223" s="210"/>
      <c r="AM223" s="214"/>
      <c r="AN223" s="210"/>
      <c r="AO223" s="210" t="str">
        <f t="shared" si="10"/>
        <v>#N/A</v>
      </c>
      <c r="AP223" s="210" t="str">
        <f t="shared" si="11"/>
        <v>#N/A</v>
      </c>
      <c r="AQ223" s="210" t="str">
        <f t="shared" si="12"/>
        <v>#N/A</v>
      </c>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c r="BU223" s="210"/>
      <c r="BV223" s="210"/>
      <c r="BW223" s="210"/>
      <c r="BX223" s="210"/>
      <c r="BY223" s="210"/>
      <c r="BZ223" s="210"/>
      <c r="CA223" s="210"/>
      <c r="CB223" s="210"/>
      <c r="CC223" s="210"/>
      <c r="CD223" s="210"/>
      <c r="CE223" s="210"/>
      <c r="CF223" s="210"/>
      <c r="CG223" s="210"/>
      <c r="CH223" s="210"/>
      <c r="CI223" s="210"/>
      <c r="CJ223" s="210"/>
      <c r="CK223" s="210"/>
    </row>
    <row r="224">
      <c r="A224" s="222" t="s">
        <v>572</v>
      </c>
      <c r="B224" s="190" t="s">
        <v>573</v>
      </c>
      <c r="C224" s="223" t="s">
        <v>72</v>
      </c>
      <c r="D224" s="223" t="s">
        <v>865</v>
      </c>
      <c r="E224" s="190" t="s">
        <v>22</v>
      </c>
      <c r="F224" s="13" t="s">
        <v>918</v>
      </c>
      <c r="G224" s="13" t="s">
        <v>918</v>
      </c>
      <c r="H224" s="219">
        <f>IFERROR(
  MINIFS(ATTENDANCE_LOG!$F:$F,
         ATTENDANCE_LOG!$A:$A, C224,
         ATTENDANCE_LOG!$B:$B, E224),
"")</f>
        <v>45866.54167</v>
      </c>
      <c r="I224" s="219">
        <f t="shared" si="2"/>
        <v>45670.54167</v>
      </c>
      <c r="J224" s="190">
        <f>IFERROR(VLOOKUP(F224, LEVEL_HELPER!$A:$B, 2, 0), "")</f>
        <v>3</v>
      </c>
      <c r="K224" s="190">
        <f>IFERROR(VLOOKUP(G224, LEVEL_HELPER!$A:$B, 2, 0), "")</f>
        <v>3</v>
      </c>
      <c r="L224" s="220" t="s">
        <v>943</v>
      </c>
      <c r="M224" s="220" t="s">
        <v>926</v>
      </c>
      <c r="N224" s="190">
        <f t="array" ref="N224">IFERROR(
  INDEX($J$2:$J$543,
    MATCH(A224&amp;TEXT(I224,"yyyy-mm-dd"),
          $A$2:$A$543&amp;TEXT($H$2:$H$543,"yyyy-mm-dd"),
          0)),
"")</f>
        <v>1</v>
      </c>
      <c r="O224" s="210">
        <f t="shared" si="3"/>
        <v>3</v>
      </c>
      <c r="P224" s="210">
        <f t="shared" ref="P224:Q224" si="234">IF(N224="",0,IF(N224&lt;=2,1,IF(N224&lt;=4,2,IF(N224&lt;=5.5,3,4))))</f>
        <v>1</v>
      </c>
      <c r="Q224" s="210">
        <f t="shared" si="234"/>
        <v>2</v>
      </c>
      <c r="R224" s="210" t="str">
        <f t="shared" si="5"/>
        <v>Lv1 → Lv2</v>
      </c>
      <c r="S224" s="210">
        <f t="shared" si="6"/>
        <v>0</v>
      </c>
      <c r="T224" s="210"/>
      <c r="U224" s="210"/>
      <c r="V224" s="211" t="s">
        <v>407</v>
      </c>
      <c r="W224" s="210" t="str">
        <f t="shared" si="7"/>
        <v>DEV</v>
      </c>
      <c r="X224" s="210" t="str">
        <f t="shared" si="8"/>
        <v>DEV, TA</v>
      </c>
      <c r="Y224" s="210" t="str">
        <f t="shared" si="9"/>
        <v>MOC</v>
      </c>
      <c r="Z224" s="210"/>
      <c r="AA224" s="210"/>
      <c r="AB224" s="210"/>
      <c r="AC224" s="210"/>
      <c r="AD224" s="210"/>
      <c r="AE224" s="210"/>
      <c r="AF224" s="210"/>
      <c r="AG224" s="210"/>
      <c r="AH224" s="210"/>
      <c r="AI224" s="210"/>
      <c r="AJ224" s="210"/>
      <c r="AK224" s="210"/>
      <c r="AL224" s="210"/>
      <c r="AM224" s="214"/>
      <c r="AN224" s="210"/>
      <c r="AO224" s="210" t="str">
        <f t="shared" si="10"/>
        <v>#N/A</v>
      </c>
      <c r="AP224" s="210" t="str">
        <f t="shared" si="11"/>
        <v>#N/A</v>
      </c>
      <c r="AQ224" s="210" t="str">
        <f t="shared" si="12"/>
        <v>#N/A</v>
      </c>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c r="BU224" s="210"/>
      <c r="BV224" s="210"/>
      <c r="BW224" s="210"/>
      <c r="BX224" s="210"/>
      <c r="BY224" s="210"/>
      <c r="BZ224" s="210"/>
      <c r="CA224" s="210"/>
      <c r="CB224" s="210"/>
      <c r="CC224" s="210"/>
      <c r="CD224" s="210"/>
      <c r="CE224" s="210"/>
      <c r="CF224" s="210"/>
      <c r="CG224" s="210"/>
      <c r="CH224" s="210"/>
      <c r="CI224" s="210"/>
      <c r="CJ224" s="210"/>
      <c r="CK224" s="210"/>
    </row>
    <row r="225">
      <c r="A225" s="222" t="s">
        <v>576</v>
      </c>
      <c r="B225" s="190" t="s">
        <v>577</v>
      </c>
      <c r="C225" s="223" t="s">
        <v>72</v>
      </c>
      <c r="D225" s="223" t="s">
        <v>865</v>
      </c>
      <c r="E225" s="190" t="s">
        <v>22</v>
      </c>
      <c r="F225" s="13" t="s">
        <v>935</v>
      </c>
      <c r="G225" s="13" t="s">
        <v>935</v>
      </c>
      <c r="H225" s="219">
        <f>IFERROR(
  MINIFS(ATTENDANCE_LOG!$F:$F,
         ATTENDANCE_LOG!$A:$A, C225,
         ATTENDANCE_LOG!$B:$B, E225),
"")</f>
        <v>45866.54167</v>
      </c>
      <c r="I225" s="219">
        <f t="shared" si="2"/>
        <v>45670.54167</v>
      </c>
      <c r="J225" s="190">
        <f>IFERROR(VLOOKUP(F225, LEVEL_HELPER!$A:$B, 2, 0), "")</f>
        <v>3.5</v>
      </c>
      <c r="K225" s="190">
        <f>IFERROR(VLOOKUP(G225, LEVEL_HELPER!$A:$B, 2, 0), "")</f>
        <v>3.5</v>
      </c>
      <c r="L225" s="220" t="s">
        <v>943</v>
      </c>
      <c r="M225" s="220" t="s">
        <v>920</v>
      </c>
      <c r="N225" s="190">
        <f t="array" ref="N225">IFERROR(
  INDEX($J$2:$J$543,
    MATCH(A225&amp;TEXT(I225,"yyyy-mm-dd"),
          $A$2:$A$543&amp;TEXT($H$2:$H$543,"yyyy-mm-dd"),
          0)),
"")</f>
        <v>2.5</v>
      </c>
      <c r="O225" s="210">
        <f t="shared" si="3"/>
        <v>3.5</v>
      </c>
      <c r="P225" s="210">
        <f t="shared" ref="P225:Q225" si="235">IF(N225="",0,IF(N225&lt;=2,1,IF(N225&lt;=4,2,IF(N225&lt;=5.5,3,4))))</f>
        <v>2</v>
      </c>
      <c r="Q225" s="210">
        <f t="shared" si="235"/>
        <v>2</v>
      </c>
      <c r="R225" s="210" t="str">
        <f t="shared" si="5"/>
        <v>Progress within level</v>
      </c>
      <c r="S225" s="210">
        <f t="shared" si="6"/>
        <v>0</v>
      </c>
      <c r="T225" s="210"/>
      <c r="U225" s="210"/>
      <c r="V225" s="211" t="s">
        <v>153</v>
      </c>
      <c r="W225" s="210" t="str">
        <f t="shared" si="7"/>
        <v>DEV</v>
      </c>
      <c r="X225" s="210" t="str">
        <f t="shared" si="8"/>
        <v>DEV, TA</v>
      </c>
      <c r="Y225" s="210" t="str">
        <f t="shared" si="9"/>
        <v>MOC</v>
      </c>
      <c r="Z225" s="210"/>
      <c r="AA225" s="210"/>
      <c r="AB225" s="210"/>
      <c r="AC225" s="210"/>
      <c r="AD225" s="210"/>
      <c r="AE225" s="210"/>
      <c r="AF225" s="210"/>
      <c r="AG225" s="210"/>
      <c r="AH225" s="210"/>
      <c r="AI225" s="210"/>
      <c r="AJ225" s="210"/>
      <c r="AK225" s="210"/>
      <c r="AL225" s="210"/>
      <c r="AM225" s="214"/>
      <c r="AN225" s="210"/>
      <c r="AO225" s="210" t="str">
        <f t="shared" si="10"/>
        <v>#N/A</v>
      </c>
      <c r="AP225" s="210" t="str">
        <f t="shared" si="11"/>
        <v>#N/A</v>
      </c>
      <c r="AQ225" s="210" t="str">
        <f t="shared" si="12"/>
        <v>#N/A</v>
      </c>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c r="BU225" s="210"/>
      <c r="BV225" s="210"/>
      <c r="BW225" s="210"/>
      <c r="BX225" s="210"/>
      <c r="BY225" s="210"/>
      <c r="BZ225" s="210"/>
      <c r="CA225" s="210"/>
      <c r="CB225" s="210"/>
      <c r="CC225" s="210"/>
      <c r="CD225" s="210"/>
      <c r="CE225" s="210"/>
      <c r="CF225" s="210"/>
      <c r="CG225" s="210"/>
      <c r="CH225" s="210"/>
      <c r="CI225" s="210"/>
      <c r="CJ225" s="210"/>
      <c r="CK225" s="210"/>
    </row>
    <row r="226">
      <c r="A226" s="216" t="s">
        <v>683</v>
      </c>
      <c r="B226" s="217" t="s">
        <v>684</v>
      </c>
      <c r="C226" s="218" t="s">
        <v>72</v>
      </c>
      <c r="D226" s="218" t="s">
        <v>865</v>
      </c>
      <c r="E226" s="217" t="s">
        <v>23</v>
      </c>
      <c r="F226" s="190"/>
      <c r="G226" s="190"/>
      <c r="H226" s="219">
        <f>IFERROR(
  MINIFS(ATTENDANCE_LOG!$F:$F,
         ATTENDANCE_LOG!$A:$A, C226,
         ATTENDANCE_LOG!$B:$B, E226),
"")</f>
        <v>46084.58333</v>
      </c>
      <c r="I226" s="219">
        <f t="shared" si="2"/>
        <v>45670.54167</v>
      </c>
      <c r="J226" s="190" t="str">
        <f>IFERROR(VLOOKUP(F226, LEVEL_HELPER!$A:$B, 2, 0), "")</f>
        <v/>
      </c>
      <c r="K226" s="190" t="str">
        <f>IFERROR(VLOOKUP(G226, LEVEL_HELPER!$A:$B, 2, 0), "")</f>
        <v/>
      </c>
      <c r="L226" s="220" t="s">
        <v>943</v>
      </c>
      <c r="M226" s="220" t="s">
        <v>920</v>
      </c>
      <c r="N226" s="190">
        <f t="array" ref="N226">IFERROR(
  INDEX($J$2:$J$543,
    MATCH(A226&amp;TEXT(I226,"yyyy-mm-dd"),
          $A$2:$A$543&amp;TEXT($H$2:$H$543,"yyyy-mm-dd"),
          0)),
"")</f>
        <v>1</v>
      </c>
      <c r="O226" s="210">
        <f t="shared" si="3"/>
        <v>3.5</v>
      </c>
      <c r="P226" s="210">
        <f t="shared" ref="P226:Q226" si="236">IF(N226="",0,IF(N226&lt;=2,1,IF(N226&lt;=4,2,IF(N226&lt;=5.5,3,4))))</f>
        <v>1</v>
      </c>
      <c r="Q226" s="210">
        <f t="shared" si="236"/>
        <v>2</v>
      </c>
      <c r="R226" s="210" t="str">
        <f t="shared" si="5"/>
        <v>Lv1 → Lv2</v>
      </c>
      <c r="S226" s="210">
        <f t="shared" si="6"/>
        <v>0</v>
      </c>
      <c r="T226" s="210"/>
      <c r="U226" s="210"/>
      <c r="V226" s="211" t="s">
        <v>277</v>
      </c>
      <c r="W226" s="210" t="str">
        <f t="shared" si="7"/>
        <v>DEV</v>
      </c>
      <c r="X226" s="210" t="str">
        <f t="shared" si="8"/>
        <v>DEV, TA</v>
      </c>
      <c r="Y226" s="210" t="str">
        <f t="shared" si="9"/>
        <v>MOC</v>
      </c>
      <c r="Z226" s="210"/>
      <c r="AA226" s="210"/>
      <c r="AB226" s="210"/>
      <c r="AC226" s="210"/>
      <c r="AD226" s="210"/>
      <c r="AE226" s="210"/>
      <c r="AF226" s="210"/>
      <c r="AG226" s="210"/>
      <c r="AH226" s="210"/>
      <c r="AI226" s="210"/>
      <c r="AJ226" s="210"/>
      <c r="AK226" s="210"/>
      <c r="AL226" s="210"/>
      <c r="AM226" s="214"/>
      <c r="AN226" s="210"/>
      <c r="AO226" s="210" t="str">
        <f t="shared" si="10"/>
        <v>#N/A</v>
      </c>
      <c r="AP226" s="210" t="str">
        <f t="shared" si="11"/>
        <v>#N/A</v>
      </c>
      <c r="AQ226" s="210" t="str">
        <f t="shared" si="12"/>
        <v>#N/A</v>
      </c>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c r="BU226" s="210"/>
      <c r="BV226" s="210"/>
      <c r="BW226" s="210"/>
      <c r="BX226" s="210"/>
      <c r="BY226" s="210"/>
      <c r="BZ226" s="210"/>
      <c r="CA226" s="210"/>
      <c r="CB226" s="210"/>
      <c r="CC226" s="210"/>
      <c r="CD226" s="210"/>
      <c r="CE226" s="210"/>
      <c r="CF226" s="210"/>
      <c r="CG226" s="210"/>
      <c r="CH226" s="210"/>
      <c r="CI226" s="210"/>
      <c r="CJ226" s="210"/>
      <c r="CK226" s="210"/>
    </row>
    <row r="227">
      <c r="A227" s="222" t="s">
        <v>265</v>
      </c>
      <c r="B227" s="190" t="s">
        <v>266</v>
      </c>
      <c r="C227" s="223" t="s">
        <v>72</v>
      </c>
      <c r="D227" s="223" t="s">
        <v>865</v>
      </c>
      <c r="E227" s="190" t="s">
        <v>23</v>
      </c>
      <c r="F227" s="190"/>
      <c r="G227" s="190"/>
      <c r="H227" s="219">
        <f>IFERROR(
  MINIFS(ATTENDANCE_LOG!$F:$F,
         ATTENDANCE_LOG!$A:$A, C227,
         ATTENDANCE_LOG!$B:$B, E227),
"")</f>
        <v>46084.58333</v>
      </c>
      <c r="I227" s="219">
        <f t="shared" si="2"/>
        <v>45670.54167</v>
      </c>
      <c r="J227" s="190" t="str">
        <f>IFERROR(VLOOKUP(F227, LEVEL_HELPER!$A:$B, 2, 0), "")</f>
        <v/>
      </c>
      <c r="K227" s="190" t="str">
        <f>IFERROR(VLOOKUP(G227, LEVEL_HELPER!$A:$B, 2, 0), "")</f>
        <v/>
      </c>
      <c r="L227" s="220" t="s">
        <v>943</v>
      </c>
      <c r="M227" s="220" t="s">
        <v>920</v>
      </c>
      <c r="N227" s="190">
        <f t="array" ref="N227">IFERROR(
  INDEX($J$2:$J$543,
    MATCH(A227&amp;TEXT(I227,"yyyy-mm-dd"),
          $A$2:$A$543&amp;TEXT($H$2:$H$543,"yyyy-mm-dd"),
          0)),
"")</f>
        <v>1</v>
      </c>
      <c r="O227" s="210">
        <f t="shared" si="3"/>
        <v>3.5</v>
      </c>
      <c r="P227" s="210">
        <f t="shared" ref="P227:Q227" si="237">IF(N227="",0,IF(N227&lt;=2,1,IF(N227&lt;=4,2,IF(N227&lt;=5.5,3,4))))</f>
        <v>1</v>
      </c>
      <c r="Q227" s="210">
        <f t="shared" si="237"/>
        <v>2</v>
      </c>
      <c r="R227" s="210" t="str">
        <f t="shared" si="5"/>
        <v>Lv1 → Lv2</v>
      </c>
      <c r="S227" s="210">
        <f t="shared" si="6"/>
        <v>0</v>
      </c>
      <c r="T227" s="210"/>
      <c r="U227" s="210"/>
      <c r="V227" s="211" t="s">
        <v>355</v>
      </c>
      <c r="W227" s="210" t="str">
        <f t="shared" si="7"/>
        <v>DEV</v>
      </c>
      <c r="X227" s="210" t="str">
        <f t="shared" si="8"/>
        <v>DEV, TA</v>
      </c>
      <c r="Y227" s="210" t="str">
        <f t="shared" si="9"/>
        <v>MOC</v>
      </c>
      <c r="Z227" s="210"/>
      <c r="AA227" s="210"/>
      <c r="AB227" s="210"/>
      <c r="AC227" s="210"/>
      <c r="AD227" s="210"/>
      <c r="AE227" s="210"/>
      <c r="AF227" s="210"/>
      <c r="AG227" s="210"/>
      <c r="AH227" s="210"/>
      <c r="AI227" s="210"/>
      <c r="AJ227" s="210"/>
      <c r="AK227" s="210"/>
      <c r="AL227" s="210"/>
      <c r="AM227" s="214"/>
      <c r="AN227" s="210"/>
      <c r="AO227" s="210" t="str">
        <f t="shared" si="10"/>
        <v>#N/A</v>
      </c>
      <c r="AP227" s="210" t="str">
        <f t="shared" si="11"/>
        <v>#N/A</v>
      </c>
      <c r="AQ227" s="210" t="str">
        <f t="shared" si="12"/>
        <v>#N/A</v>
      </c>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c r="BU227" s="210"/>
      <c r="BV227" s="210"/>
      <c r="BW227" s="210"/>
      <c r="BX227" s="210"/>
      <c r="BY227" s="210"/>
      <c r="BZ227" s="210"/>
      <c r="CA227" s="210"/>
      <c r="CB227" s="210"/>
      <c r="CC227" s="210"/>
      <c r="CD227" s="210"/>
      <c r="CE227" s="210"/>
      <c r="CF227" s="210"/>
      <c r="CG227" s="210"/>
      <c r="CH227" s="210"/>
      <c r="CI227" s="210"/>
      <c r="CJ227" s="210"/>
      <c r="CK227" s="210"/>
    </row>
    <row r="228">
      <c r="A228" s="222" t="s">
        <v>108</v>
      </c>
      <c r="B228" s="190" t="s">
        <v>283</v>
      </c>
      <c r="C228" s="223" t="s">
        <v>72</v>
      </c>
      <c r="D228" s="223" t="s">
        <v>865</v>
      </c>
      <c r="E228" s="190" t="s">
        <v>23</v>
      </c>
      <c r="F228" s="190"/>
      <c r="G228" s="190"/>
      <c r="H228" s="219">
        <f>IFERROR(
  MINIFS(ATTENDANCE_LOG!$F:$F,
         ATTENDANCE_LOG!$A:$A, C228,
         ATTENDANCE_LOG!$B:$B, E228),
"")</f>
        <v>46084.58333</v>
      </c>
      <c r="I228" s="219">
        <f t="shared" si="2"/>
        <v>45670.54167</v>
      </c>
      <c r="J228" s="190" t="str">
        <f>IFERROR(VLOOKUP(F228, LEVEL_HELPER!$A:$B, 2, 0), "")</f>
        <v/>
      </c>
      <c r="K228" s="190" t="str">
        <f>IFERROR(VLOOKUP(G228, LEVEL_HELPER!$A:$B, 2, 0), "")</f>
        <v/>
      </c>
      <c r="L228" s="220" t="s">
        <v>943</v>
      </c>
      <c r="M228" s="220" t="s">
        <v>920</v>
      </c>
      <c r="N228" s="190">
        <f t="array" ref="N228">IFERROR(
  INDEX($J$2:$J$543,
    MATCH(A228&amp;TEXT(I228,"yyyy-mm-dd"),
          $A$2:$A$543&amp;TEXT($H$2:$H$543,"yyyy-mm-dd"),
          0)),
"")</f>
        <v>1</v>
      </c>
      <c r="O228" s="210">
        <f t="shared" si="3"/>
        <v>3.5</v>
      </c>
      <c r="P228" s="210">
        <f t="shared" ref="P228:Q228" si="238">IF(N228="",0,IF(N228&lt;=2,1,IF(N228&lt;=4,2,IF(N228&lt;=5.5,3,4))))</f>
        <v>1</v>
      </c>
      <c r="Q228" s="210">
        <f t="shared" si="238"/>
        <v>2</v>
      </c>
      <c r="R228" s="210" t="str">
        <f t="shared" si="5"/>
        <v>Lv1 → Lv2</v>
      </c>
      <c r="S228" s="210">
        <f t="shared" si="6"/>
        <v>0</v>
      </c>
      <c r="T228" s="210"/>
      <c r="U228" s="210"/>
      <c r="V228" s="211" t="s">
        <v>429</v>
      </c>
      <c r="W228" s="210" t="str">
        <f t="shared" si="7"/>
        <v>TA</v>
      </c>
      <c r="X228" s="210" t="str">
        <f t="shared" si="8"/>
        <v>DEV, TA</v>
      </c>
      <c r="Y228" s="210" t="str">
        <f t="shared" si="9"/>
        <v>MOC</v>
      </c>
      <c r="Z228" s="210"/>
      <c r="AA228" s="210"/>
      <c r="AB228" s="210"/>
      <c r="AC228" s="210"/>
      <c r="AD228" s="210"/>
      <c r="AE228" s="210"/>
      <c r="AF228" s="210"/>
      <c r="AG228" s="210"/>
      <c r="AH228" s="210"/>
      <c r="AI228" s="210"/>
      <c r="AJ228" s="210"/>
      <c r="AK228" s="210"/>
      <c r="AL228" s="210"/>
      <c r="AM228" s="214"/>
      <c r="AN228" s="210"/>
      <c r="AO228" s="210" t="str">
        <f t="shared" si="10"/>
        <v>#N/A</v>
      </c>
      <c r="AP228" s="210" t="str">
        <f t="shared" si="11"/>
        <v>#N/A</v>
      </c>
      <c r="AQ228" s="210" t="str">
        <f t="shared" si="12"/>
        <v>#N/A</v>
      </c>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c r="BU228" s="210"/>
      <c r="BV228" s="210"/>
      <c r="BW228" s="210"/>
      <c r="BX228" s="210"/>
      <c r="BY228" s="210"/>
      <c r="BZ228" s="210"/>
      <c r="CA228" s="210"/>
      <c r="CB228" s="210"/>
      <c r="CC228" s="210"/>
      <c r="CD228" s="210"/>
      <c r="CE228" s="210"/>
      <c r="CF228" s="210"/>
      <c r="CG228" s="210"/>
      <c r="CH228" s="210"/>
      <c r="CI228" s="210"/>
      <c r="CJ228" s="210"/>
      <c r="CK228" s="210"/>
    </row>
    <row r="229">
      <c r="A229" s="222" t="s">
        <v>296</v>
      </c>
      <c r="B229" s="190" t="s">
        <v>297</v>
      </c>
      <c r="C229" s="223" t="s">
        <v>72</v>
      </c>
      <c r="D229" s="223" t="s">
        <v>865</v>
      </c>
      <c r="E229" s="190" t="s">
        <v>23</v>
      </c>
      <c r="F229" s="190"/>
      <c r="G229" s="190"/>
      <c r="H229" s="219">
        <f>IFERROR(
  MINIFS(ATTENDANCE_LOG!$F:$F,
         ATTENDANCE_LOG!$A:$A, C229,
         ATTENDANCE_LOG!$B:$B, E229),
"")</f>
        <v>46084.58333</v>
      </c>
      <c r="I229" s="219">
        <f t="shared" si="2"/>
        <v>45700.41667</v>
      </c>
      <c r="J229" s="190" t="str">
        <f>IFERROR(VLOOKUP(F229, LEVEL_HELPER!$A:$B, 2, 0), "")</f>
        <v/>
      </c>
      <c r="K229" s="190" t="str">
        <f>IFERROR(VLOOKUP(G229, LEVEL_HELPER!$A:$B, 2, 0), "")</f>
        <v/>
      </c>
      <c r="L229" s="220" t="s">
        <v>919</v>
      </c>
      <c r="M229" s="220" t="s">
        <v>920</v>
      </c>
      <c r="N229" s="190">
        <f t="array" ref="N229">IFERROR(
  INDEX($J$2:$J$543,
    MATCH(A229&amp;TEXT(I229,"yyyy-mm-dd"),
          $A$2:$A$543&amp;TEXT($H$2:$H$543,"yyyy-mm-dd"),
          0)),
"")</f>
        <v>1</v>
      </c>
      <c r="O229" s="210">
        <f t="shared" si="3"/>
        <v>3.5</v>
      </c>
      <c r="P229" s="210">
        <f t="shared" ref="P229:Q229" si="239">IF(N229="",0,IF(N229&lt;=2,1,IF(N229&lt;=4,2,IF(N229&lt;=5.5,3,4))))</f>
        <v>1</v>
      </c>
      <c r="Q229" s="210">
        <f t="shared" si="239"/>
        <v>2</v>
      </c>
      <c r="R229" s="210" t="str">
        <f t="shared" si="5"/>
        <v>Lv1 → Lv2</v>
      </c>
      <c r="S229" s="210">
        <f t="shared" si="6"/>
        <v>0</v>
      </c>
      <c r="T229" s="210"/>
      <c r="U229" s="210"/>
      <c r="V229" s="211" t="s">
        <v>538</v>
      </c>
      <c r="W229" s="210" t="str">
        <f t="shared" si="7"/>
        <v>DEV</v>
      </c>
      <c r="X229" s="210" t="str">
        <f t="shared" si="8"/>
        <v>DEV, TA</v>
      </c>
      <c r="Y229" s="210" t="str">
        <f t="shared" si="9"/>
        <v>MOC</v>
      </c>
      <c r="Z229" s="210"/>
      <c r="AA229" s="210"/>
      <c r="AB229" s="210"/>
      <c r="AC229" s="210"/>
      <c r="AD229" s="210"/>
      <c r="AE229" s="210"/>
      <c r="AF229" s="210"/>
      <c r="AG229" s="210"/>
      <c r="AH229" s="210"/>
      <c r="AI229" s="210"/>
      <c r="AJ229" s="210"/>
      <c r="AK229" s="210"/>
      <c r="AL229" s="210"/>
      <c r="AM229" s="214"/>
      <c r="AN229" s="210"/>
      <c r="AO229" s="210" t="str">
        <f t="shared" si="10"/>
        <v>#N/A</v>
      </c>
      <c r="AP229" s="210" t="str">
        <f t="shared" si="11"/>
        <v>#N/A</v>
      </c>
      <c r="AQ229" s="210" t="str">
        <f t="shared" si="12"/>
        <v>#N/A</v>
      </c>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c r="BU229" s="210"/>
      <c r="BV229" s="210"/>
      <c r="BW229" s="210"/>
      <c r="BX229" s="210"/>
      <c r="BY229" s="210"/>
      <c r="BZ229" s="210"/>
      <c r="CA229" s="210"/>
      <c r="CB229" s="210"/>
      <c r="CC229" s="210"/>
      <c r="CD229" s="210"/>
      <c r="CE229" s="210"/>
      <c r="CF229" s="210"/>
      <c r="CG229" s="210"/>
      <c r="CH229" s="210"/>
      <c r="CI229" s="210"/>
      <c r="CJ229" s="210"/>
      <c r="CK229" s="210"/>
    </row>
    <row r="230">
      <c r="A230" s="222" t="s">
        <v>315</v>
      </c>
      <c r="B230" s="190" t="s">
        <v>316</v>
      </c>
      <c r="C230" s="223" t="s">
        <v>72</v>
      </c>
      <c r="D230" s="223" t="s">
        <v>865</v>
      </c>
      <c r="E230" s="190" t="s">
        <v>23</v>
      </c>
      <c r="F230" s="190"/>
      <c r="G230" s="190"/>
      <c r="H230" s="219">
        <f>IFERROR(
  MINIFS(ATTENDANCE_LOG!$F:$F,
         ATTENDANCE_LOG!$A:$A, C230,
         ATTENDANCE_LOG!$B:$B, E230),
"")</f>
        <v>46084.58333</v>
      </c>
      <c r="I230" s="219">
        <f t="shared" si="2"/>
        <v>45670.54167</v>
      </c>
      <c r="J230" s="190" t="str">
        <f>IFERROR(VLOOKUP(F230, LEVEL_HELPER!$A:$B, 2, 0), "")</f>
        <v/>
      </c>
      <c r="K230" s="190" t="str">
        <f>IFERROR(VLOOKUP(G230, LEVEL_HELPER!$A:$B, 2, 0), "")</f>
        <v/>
      </c>
      <c r="L230" s="220" t="s">
        <v>943</v>
      </c>
      <c r="M230" s="220" t="s">
        <v>926</v>
      </c>
      <c r="N230" s="190">
        <f t="array" ref="N230">IFERROR(
  INDEX($J$2:$J$543,
    MATCH(A230&amp;TEXT(I230,"yyyy-mm-dd"),
          $A$2:$A$543&amp;TEXT($H$2:$H$543,"yyyy-mm-dd"),
          0)),
"")</f>
        <v>1</v>
      </c>
      <c r="O230" s="210">
        <f t="shared" si="3"/>
        <v>1.5</v>
      </c>
      <c r="P230" s="210">
        <f t="shared" ref="P230:Q230" si="240">IF(N230="",0,IF(N230&lt;=2,1,IF(N230&lt;=4,2,IF(N230&lt;=5.5,3,4))))</f>
        <v>1</v>
      </c>
      <c r="Q230" s="210">
        <f t="shared" si="240"/>
        <v>1</v>
      </c>
      <c r="R230" s="210" t="str">
        <f t="shared" si="5"/>
        <v>Progress within level</v>
      </c>
      <c r="S230" s="210">
        <f t="shared" si="6"/>
        <v>0</v>
      </c>
      <c r="T230" s="210"/>
      <c r="U230" s="210"/>
      <c r="V230" s="211" t="s">
        <v>629</v>
      </c>
      <c r="W230" s="210" t="str">
        <f t="shared" si="7"/>
        <v>DEV</v>
      </c>
      <c r="X230" s="210" t="str">
        <f t="shared" si="8"/>
        <v>DEV, TA</v>
      </c>
      <c r="Y230" s="210" t="str">
        <f t="shared" si="9"/>
        <v>MOC</v>
      </c>
      <c r="Z230" s="210"/>
      <c r="AA230" s="210"/>
      <c r="AB230" s="210"/>
      <c r="AC230" s="210"/>
      <c r="AD230" s="210"/>
      <c r="AE230" s="210"/>
      <c r="AF230" s="210"/>
      <c r="AG230" s="210"/>
      <c r="AH230" s="210"/>
      <c r="AI230" s="210"/>
      <c r="AJ230" s="210"/>
      <c r="AK230" s="210"/>
      <c r="AL230" s="210"/>
      <c r="AM230" s="214"/>
      <c r="AN230" s="210"/>
      <c r="AO230" s="210" t="str">
        <f t="shared" si="10"/>
        <v>#N/A</v>
      </c>
      <c r="AP230" s="210" t="str">
        <f t="shared" si="11"/>
        <v>#N/A</v>
      </c>
      <c r="AQ230" s="210" t="str">
        <f t="shared" si="12"/>
        <v>#N/A</v>
      </c>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c r="BU230" s="210"/>
      <c r="BV230" s="210"/>
      <c r="BW230" s="210"/>
      <c r="BX230" s="210"/>
      <c r="BY230" s="210"/>
      <c r="BZ230" s="210"/>
      <c r="CA230" s="210"/>
      <c r="CB230" s="210"/>
      <c r="CC230" s="210"/>
      <c r="CD230" s="210"/>
      <c r="CE230" s="210"/>
      <c r="CF230" s="210"/>
      <c r="CG230" s="210"/>
      <c r="CH230" s="210"/>
      <c r="CI230" s="210"/>
      <c r="CJ230" s="210"/>
      <c r="CK230" s="210"/>
    </row>
    <row r="231">
      <c r="A231" s="222" t="s">
        <v>319</v>
      </c>
      <c r="B231" s="190" t="s">
        <v>320</v>
      </c>
      <c r="C231" s="223" t="s">
        <v>72</v>
      </c>
      <c r="D231" s="223" t="s">
        <v>865</v>
      </c>
      <c r="E231" s="190" t="s">
        <v>23</v>
      </c>
      <c r="F231" s="190"/>
      <c r="G231" s="190"/>
      <c r="H231" s="219">
        <f>IFERROR(
  MINIFS(ATTENDANCE_LOG!$F:$F,
         ATTENDANCE_LOG!$A:$A, C231,
         ATTENDANCE_LOG!$B:$B, E231),
"")</f>
        <v>46084.58333</v>
      </c>
      <c r="I231" s="219">
        <f t="shared" si="2"/>
        <v>45700.41667</v>
      </c>
      <c r="J231" s="190" t="str">
        <f>IFERROR(VLOOKUP(F231, LEVEL_HELPER!$A:$B, 2, 0), "")</f>
        <v/>
      </c>
      <c r="K231" s="190" t="str">
        <f>IFERROR(VLOOKUP(G231, LEVEL_HELPER!$A:$B, 2, 0), "")</f>
        <v/>
      </c>
      <c r="L231" s="220" t="s">
        <v>919</v>
      </c>
      <c r="M231" s="220" t="s">
        <v>920</v>
      </c>
      <c r="N231" s="190">
        <f t="array" ref="N231">IFERROR(
  INDEX($J$2:$J$543,
    MATCH(A231&amp;TEXT(I231,"yyyy-mm-dd"),
          $A$2:$A$543&amp;TEXT($H$2:$H$543,"yyyy-mm-dd"),
          0)),
"")</f>
        <v>1</v>
      </c>
      <c r="O231" s="210">
        <f t="shared" si="3"/>
        <v>2</v>
      </c>
      <c r="P231" s="210">
        <f t="shared" ref="P231:Q231" si="241">IF(N231="",0,IF(N231&lt;=2,1,IF(N231&lt;=4,2,IF(N231&lt;=5.5,3,4))))</f>
        <v>1</v>
      </c>
      <c r="Q231" s="210">
        <f t="shared" si="241"/>
        <v>1</v>
      </c>
      <c r="R231" s="210" t="str">
        <f t="shared" si="5"/>
        <v>Progress within level</v>
      </c>
      <c r="S231" s="210">
        <f t="shared" si="6"/>
        <v>0</v>
      </c>
      <c r="T231" s="210"/>
      <c r="U231" s="210"/>
      <c r="V231" s="211" t="s">
        <v>679</v>
      </c>
      <c r="W231" s="210" t="str">
        <f t="shared" si="7"/>
        <v>DEV</v>
      </c>
      <c r="X231" s="210" t="str">
        <f t="shared" si="8"/>
        <v>DEV, TA</v>
      </c>
      <c r="Y231" s="210" t="str">
        <f t="shared" si="9"/>
        <v>MOC</v>
      </c>
      <c r="Z231" s="210"/>
      <c r="AA231" s="210"/>
      <c r="AB231" s="210"/>
      <c r="AC231" s="210"/>
      <c r="AD231" s="210"/>
      <c r="AE231" s="210"/>
      <c r="AF231" s="210"/>
      <c r="AG231" s="210"/>
      <c r="AH231" s="210"/>
      <c r="AI231" s="210"/>
      <c r="AJ231" s="210"/>
      <c r="AK231" s="210"/>
      <c r="AL231" s="210"/>
      <c r="AM231" s="214"/>
      <c r="AN231" s="210"/>
      <c r="AO231" s="210" t="str">
        <f t="shared" si="10"/>
        <v>#N/A</v>
      </c>
      <c r="AP231" s="210" t="str">
        <f t="shared" si="11"/>
        <v>#N/A</v>
      </c>
      <c r="AQ231" s="210" t="str">
        <f t="shared" si="12"/>
        <v>#N/A</v>
      </c>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c r="BU231" s="210"/>
      <c r="BV231" s="210"/>
      <c r="BW231" s="210"/>
      <c r="BX231" s="210"/>
      <c r="BY231" s="210"/>
      <c r="BZ231" s="210"/>
      <c r="CA231" s="210"/>
      <c r="CB231" s="210"/>
      <c r="CC231" s="210"/>
      <c r="CD231" s="210"/>
      <c r="CE231" s="210"/>
      <c r="CF231" s="210"/>
      <c r="CG231" s="210"/>
      <c r="CH231" s="210"/>
      <c r="CI231" s="210"/>
      <c r="CJ231" s="210"/>
      <c r="CK231" s="210"/>
    </row>
    <row r="232">
      <c r="A232" s="222" t="s">
        <v>401</v>
      </c>
      <c r="B232" s="190" t="s">
        <v>402</v>
      </c>
      <c r="C232" s="223" t="s">
        <v>72</v>
      </c>
      <c r="D232" s="223" t="s">
        <v>865</v>
      </c>
      <c r="E232" s="190" t="s">
        <v>23</v>
      </c>
      <c r="F232" s="190"/>
      <c r="G232" s="190"/>
      <c r="H232" s="219">
        <f>IFERROR(
  MINIFS(ATTENDANCE_LOG!$F:$F,
         ATTENDANCE_LOG!$A:$A, C232,
         ATTENDANCE_LOG!$B:$B, E232),
"")</f>
        <v>46084.58333</v>
      </c>
      <c r="I232" s="219">
        <f t="shared" si="2"/>
        <v>45670.54167</v>
      </c>
      <c r="J232" s="190" t="str">
        <f>IFERROR(VLOOKUP(F232, LEVEL_HELPER!$A:$B, 2, 0), "")</f>
        <v/>
      </c>
      <c r="K232" s="190" t="str">
        <f>IFERROR(VLOOKUP(G232, LEVEL_HELPER!$A:$B, 2, 0), "")</f>
        <v/>
      </c>
      <c r="L232" s="220" t="s">
        <v>943</v>
      </c>
      <c r="M232" s="220" t="s">
        <v>920</v>
      </c>
      <c r="N232" s="190">
        <f t="array" ref="N232">IFERROR(
  INDEX($J$2:$J$543,
    MATCH(A232&amp;TEXT(I232,"yyyy-mm-dd"),
          $A$2:$A$543&amp;TEXT($H$2:$H$543,"yyyy-mm-dd"),
          0)),
"")</f>
        <v>1</v>
      </c>
      <c r="O232" s="210">
        <f t="shared" si="3"/>
        <v>4</v>
      </c>
      <c r="P232" s="210">
        <f t="shared" ref="P232:Q232" si="242">IF(N232="",0,IF(N232&lt;=2,1,IF(N232&lt;=4,2,IF(N232&lt;=5.5,3,4))))</f>
        <v>1</v>
      </c>
      <c r="Q232" s="210">
        <f t="shared" si="242"/>
        <v>2</v>
      </c>
      <c r="R232" s="210" t="str">
        <f t="shared" si="5"/>
        <v>Lv1 → Lv2</v>
      </c>
      <c r="S232" s="210">
        <f t="shared" si="6"/>
        <v>0</v>
      </c>
      <c r="T232" s="210"/>
      <c r="U232" s="210"/>
      <c r="V232" s="211" t="s">
        <v>691</v>
      </c>
      <c r="W232" s="210" t="str">
        <f t="shared" si="7"/>
        <v>DEV</v>
      </c>
      <c r="X232" s="210" t="str">
        <f t="shared" si="8"/>
        <v>DEV, TA</v>
      </c>
      <c r="Y232" s="210" t="str">
        <f t="shared" si="9"/>
        <v>MOC</v>
      </c>
      <c r="Z232" s="210"/>
      <c r="AA232" s="210"/>
      <c r="AB232" s="210"/>
      <c r="AC232" s="210"/>
      <c r="AD232" s="210"/>
      <c r="AE232" s="210"/>
      <c r="AF232" s="210"/>
      <c r="AG232" s="210"/>
      <c r="AH232" s="210"/>
      <c r="AI232" s="210"/>
      <c r="AJ232" s="210"/>
      <c r="AK232" s="210"/>
      <c r="AL232" s="210"/>
      <c r="AM232" s="214"/>
      <c r="AN232" s="210"/>
      <c r="AO232" s="210" t="str">
        <f t="shared" si="10"/>
        <v>#N/A</v>
      </c>
      <c r="AP232" s="210" t="str">
        <f t="shared" si="11"/>
        <v>#N/A</v>
      </c>
      <c r="AQ232" s="210" t="str">
        <f t="shared" si="12"/>
        <v>#N/A</v>
      </c>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c r="BU232" s="210"/>
      <c r="BV232" s="210"/>
      <c r="BW232" s="210"/>
      <c r="BX232" s="210"/>
      <c r="BY232" s="210"/>
      <c r="BZ232" s="210"/>
      <c r="CA232" s="210"/>
      <c r="CB232" s="210"/>
      <c r="CC232" s="210"/>
      <c r="CD232" s="210"/>
      <c r="CE232" s="210"/>
      <c r="CF232" s="210"/>
      <c r="CG232" s="210"/>
      <c r="CH232" s="210"/>
      <c r="CI232" s="210"/>
      <c r="CJ232" s="210"/>
      <c r="CK232" s="210"/>
    </row>
    <row r="233">
      <c r="A233" s="222" t="s">
        <v>474</v>
      </c>
      <c r="B233" s="190" t="s">
        <v>475</v>
      </c>
      <c r="C233" s="223" t="s">
        <v>72</v>
      </c>
      <c r="D233" s="223" t="s">
        <v>865</v>
      </c>
      <c r="E233" s="190" t="s">
        <v>23</v>
      </c>
      <c r="F233" s="190"/>
      <c r="G233" s="190"/>
      <c r="H233" s="219">
        <f>IFERROR(
  MINIFS(ATTENDANCE_LOG!$F:$F,
         ATTENDANCE_LOG!$A:$A, C233,
         ATTENDANCE_LOG!$B:$B, E233),
"")</f>
        <v>46084.58333</v>
      </c>
      <c r="I233" s="219">
        <f t="shared" si="2"/>
        <v>45700.41667</v>
      </c>
      <c r="J233" s="190" t="str">
        <f>IFERROR(VLOOKUP(F233, LEVEL_HELPER!$A:$B, 2, 0), "")</f>
        <v/>
      </c>
      <c r="K233" s="190" t="str">
        <f>IFERROR(VLOOKUP(G233, LEVEL_HELPER!$A:$B, 2, 0), "")</f>
        <v/>
      </c>
      <c r="L233" s="220" t="s">
        <v>919</v>
      </c>
      <c r="M233" s="220" t="s">
        <v>920</v>
      </c>
      <c r="N233" s="190">
        <f t="array" ref="N233">IFERROR(
  INDEX($J$2:$J$543,
    MATCH(A233&amp;TEXT(I233,"yyyy-mm-dd"),
          $A$2:$A$543&amp;TEXT($H$2:$H$543,"yyyy-mm-dd"),
          0)),
"")</f>
        <v>1</v>
      </c>
      <c r="O233" s="210">
        <f t="shared" si="3"/>
        <v>3.5</v>
      </c>
      <c r="P233" s="210">
        <f t="shared" ref="P233:Q233" si="243">IF(N233="",0,IF(N233&lt;=2,1,IF(N233&lt;=4,2,IF(N233&lt;=5.5,3,4))))</f>
        <v>1</v>
      </c>
      <c r="Q233" s="210">
        <f t="shared" si="243"/>
        <v>2</v>
      </c>
      <c r="R233" s="210" t="str">
        <f t="shared" si="5"/>
        <v>Lv1 → Lv2</v>
      </c>
      <c r="S233" s="210">
        <f t="shared" si="6"/>
        <v>0</v>
      </c>
      <c r="T233" s="210"/>
      <c r="U233" s="210"/>
      <c r="V233" s="211" t="s">
        <v>389</v>
      </c>
      <c r="W233" s="210" t="str">
        <f t="shared" si="7"/>
        <v>BA</v>
      </c>
      <c r="X233" s="210" t="str">
        <f t="shared" si="8"/>
        <v>BA, BC</v>
      </c>
      <c r="Y233" s="210" t="str">
        <f t="shared" si="9"/>
        <v>TBU</v>
      </c>
      <c r="Z233" s="210"/>
      <c r="AA233" s="210"/>
      <c r="AB233" s="210"/>
      <c r="AC233" s="210"/>
      <c r="AD233" s="210"/>
      <c r="AE233" s="210"/>
      <c r="AF233" s="210"/>
      <c r="AG233" s="210"/>
      <c r="AH233" s="210"/>
      <c r="AI233" s="210"/>
      <c r="AJ233" s="210"/>
      <c r="AK233" s="210"/>
      <c r="AL233" s="210"/>
      <c r="AM233" s="214"/>
      <c r="AN233" s="210"/>
      <c r="AO233" s="210" t="str">
        <f t="shared" si="10"/>
        <v>#N/A</v>
      </c>
      <c r="AP233" s="210" t="str">
        <f t="shared" si="11"/>
        <v>#N/A</v>
      </c>
      <c r="AQ233" s="210" t="str">
        <f t="shared" si="12"/>
        <v>#N/A</v>
      </c>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c r="BU233" s="210"/>
      <c r="BV233" s="210"/>
      <c r="BW233" s="210"/>
      <c r="BX233" s="210"/>
      <c r="BY233" s="210"/>
      <c r="BZ233" s="210"/>
      <c r="CA233" s="210"/>
      <c r="CB233" s="210"/>
      <c r="CC233" s="210"/>
      <c r="CD233" s="210"/>
      <c r="CE233" s="210"/>
      <c r="CF233" s="210"/>
      <c r="CG233" s="210"/>
      <c r="CH233" s="210"/>
      <c r="CI233" s="210"/>
      <c r="CJ233" s="210"/>
      <c r="CK233" s="210"/>
    </row>
    <row r="234">
      <c r="A234" s="216" t="s">
        <v>309</v>
      </c>
      <c r="B234" s="217" t="s">
        <v>310</v>
      </c>
      <c r="C234" s="218" t="s">
        <v>73</v>
      </c>
      <c r="D234" s="218" t="s">
        <v>866</v>
      </c>
      <c r="E234" s="217" t="s">
        <v>21</v>
      </c>
      <c r="F234" s="13" t="s">
        <v>927</v>
      </c>
      <c r="G234" s="13" t="s">
        <v>929</v>
      </c>
      <c r="H234" s="219">
        <f>IFERROR(
  MINIFS(ATTENDANCE_LOG!$F:$F,
         ATTENDANCE_LOG!$A:$A, C234,
         ATTENDANCE_LOG!$B:$B, E234),
"")</f>
        <v>45765.375</v>
      </c>
      <c r="I234" s="219">
        <f t="shared" si="2"/>
        <v>45765.375</v>
      </c>
      <c r="J234" s="190">
        <f>IFERROR(VLOOKUP(F234, LEVEL_HELPER!$A:$B, 2, 0), "")</f>
        <v>1</v>
      </c>
      <c r="K234" s="190">
        <f>IFERROR(VLOOKUP(G234, LEVEL_HELPER!$A:$B, 2, 0), "")</f>
        <v>1.5</v>
      </c>
      <c r="L234" s="220" t="s">
        <v>943</v>
      </c>
      <c r="M234" s="220" t="s">
        <v>924</v>
      </c>
      <c r="N234" s="190">
        <f t="array" ref="N234">IFERROR(
  INDEX($J$2:$J$543,
    MATCH(A234&amp;TEXT(I234,"yyyy-mm-dd"),
          $A$2:$A$543&amp;TEXT($H$2:$H$543,"yyyy-mm-dd"),
          0)),
"")</f>
        <v>1</v>
      </c>
      <c r="O234" s="210">
        <f t="shared" si="3"/>
        <v>5</v>
      </c>
      <c r="P234" s="210">
        <f t="shared" ref="P234:Q234" si="244">IF(N234="",0,IF(N234&lt;=2,1,IF(N234&lt;=4,2,IF(N234&lt;=5.5,3,4))))</f>
        <v>1</v>
      </c>
      <c r="Q234" s="210">
        <f t="shared" si="244"/>
        <v>3</v>
      </c>
      <c r="R234" s="210" t="str">
        <f t="shared" si="5"/>
        <v>Lv1 → Lv3 (multi)</v>
      </c>
      <c r="S234" s="210">
        <f t="shared" si="6"/>
        <v>1</v>
      </c>
      <c r="T234" s="210"/>
      <c r="U234" s="210"/>
      <c r="V234" s="211" t="s">
        <v>637</v>
      </c>
      <c r="W234" s="210" t="str">
        <f t="shared" si="7"/>
        <v>DEV</v>
      </c>
      <c r="X234" s="210" t="str">
        <f t="shared" si="8"/>
        <v>DEV, TA</v>
      </c>
      <c r="Y234" s="210" t="str">
        <f t="shared" si="9"/>
        <v>TBU</v>
      </c>
      <c r="Z234" s="210"/>
      <c r="AA234" s="210"/>
      <c r="AB234" s="210"/>
      <c r="AC234" s="210"/>
      <c r="AD234" s="210"/>
      <c r="AE234" s="210"/>
      <c r="AF234" s="210"/>
      <c r="AG234" s="210"/>
      <c r="AH234" s="210"/>
      <c r="AI234" s="210"/>
      <c r="AJ234" s="210"/>
      <c r="AK234" s="210"/>
      <c r="AL234" s="210"/>
      <c r="AM234" s="214"/>
      <c r="AN234" s="210"/>
      <c r="AO234" s="210" t="str">
        <f t="shared" si="10"/>
        <v>#N/A</v>
      </c>
      <c r="AP234" s="210" t="str">
        <f t="shared" si="11"/>
        <v>#N/A</v>
      </c>
      <c r="AQ234" s="210" t="str">
        <f t="shared" si="12"/>
        <v>#N/A</v>
      </c>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c r="BU234" s="210"/>
      <c r="BV234" s="210"/>
      <c r="BW234" s="210"/>
      <c r="BX234" s="210"/>
      <c r="BY234" s="210"/>
      <c r="BZ234" s="210"/>
      <c r="CA234" s="210"/>
      <c r="CB234" s="210"/>
      <c r="CC234" s="210"/>
      <c r="CD234" s="210"/>
      <c r="CE234" s="210"/>
      <c r="CF234" s="210"/>
      <c r="CG234" s="210"/>
      <c r="CH234" s="210"/>
      <c r="CI234" s="210"/>
      <c r="CJ234" s="210"/>
      <c r="CK234" s="210"/>
    </row>
    <row r="235">
      <c r="A235" s="222" t="s">
        <v>332</v>
      </c>
      <c r="B235" s="190" t="s">
        <v>333</v>
      </c>
      <c r="C235" s="223" t="s">
        <v>73</v>
      </c>
      <c r="D235" s="223" t="s">
        <v>866</v>
      </c>
      <c r="E235" s="190" t="s">
        <v>21</v>
      </c>
      <c r="F235" s="13" t="s">
        <v>927</v>
      </c>
      <c r="G235" s="13" t="s">
        <v>918</v>
      </c>
      <c r="H235" s="219">
        <f>IFERROR(
  MINIFS(ATTENDANCE_LOG!$F:$F,
         ATTENDANCE_LOG!$A:$A, C235,
         ATTENDANCE_LOG!$B:$B, E235),
"")</f>
        <v>45765.375</v>
      </c>
      <c r="I235" s="219">
        <f t="shared" si="2"/>
        <v>45765.375</v>
      </c>
      <c r="J235" s="190">
        <f>IFERROR(VLOOKUP(F235, LEVEL_HELPER!$A:$B, 2, 0), "")</f>
        <v>1</v>
      </c>
      <c r="K235" s="190">
        <f>IFERROR(VLOOKUP(G235, LEVEL_HELPER!$A:$B, 2, 0), "")</f>
        <v>3</v>
      </c>
      <c r="L235" s="220" t="s">
        <v>943</v>
      </c>
      <c r="M235" s="220" t="s">
        <v>924</v>
      </c>
      <c r="N235" s="190">
        <f t="array" ref="N235">IFERROR(
  INDEX($J$2:$J$543,
    MATCH(A235&amp;TEXT(I235,"yyyy-mm-dd"),
          $A$2:$A$543&amp;TEXT($H$2:$H$543,"yyyy-mm-dd"),
          0)),
"")</f>
        <v>1</v>
      </c>
      <c r="O235" s="210">
        <f t="shared" si="3"/>
        <v>5</v>
      </c>
      <c r="P235" s="210">
        <f t="shared" ref="P235:Q235" si="245">IF(N235="",0,IF(N235&lt;=2,1,IF(N235&lt;=4,2,IF(N235&lt;=5.5,3,4))))</f>
        <v>1</v>
      </c>
      <c r="Q235" s="210">
        <f t="shared" si="245"/>
        <v>3</v>
      </c>
      <c r="R235" s="210" t="str">
        <f t="shared" si="5"/>
        <v>Lv1 → Lv3 (multi)</v>
      </c>
      <c r="S235" s="210">
        <f t="shared" si="6"/>
        <v>1</v>
      </c>
      <c r="T235" s="210"/>
      <c r="U235" s="210"/>
      <c r="V235" s="211" t="s">
        <v>663</v>
      </c>
      <c r="W235" s="210" t="str">
        <f t="shared" si="7"/>
        <v>DEV</v>
      </c>
      <c r="X235" s="210" t="str">
        <f t="shared" si="8"/>
        <v>DEV, TA</v>
      </c>
      <c r="Y235" s="210" t="str">
        <f t="shared" si="9"/>
        <v>TBU</v>
      </c>
      <c r="Z235" s="210"/>
      <c r="AA235" s="210"/>
      <c r="AB235" s="210"/>
      <c r="AC235" s="210"/>
      <c r="AD235" s="210"/>
      <c r="AE235" s="210"/>
      <c r="AF235" s="210"/>
      <c r="AG235" s="210"/>
      <c r="AH235" s="210"/>
      <c r="AI235" s="210"/>
      <c r="AJ235" s="210"/>
      <c r="AK235" s="210"/>
      <c r="AL235" s="210"/>
      <c r="AM235" s="214"/>
      <c r="AN235" s="210"/>
      <c r="AO235" s="210" t="str">
        <f t="shared" si="10"/>
        <v>#N/A</v>
      </c>
      <c r="AP235" s="210" t="str">
        <f t="shared" si="11"/>
        <v>#N/A</v>
      </c>
      <c r="AQ235" s="210" t="str">
        <f t="shared" si="12"/>
        <v>#N/A</v>
      </c>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c r="BU235" s="210"/>
      <c r="BV235" s="210"/>
      <c r="BW235" s="210"/>
      <c r="BX235" s="210"/>
      <c r="BY235" s="210"/>
      <c r="BZ235" s="210"/>
      <c r="CA235" s="210"/>
      <c r="CB235" s="210"/>
      <c r="CC235" s="210"/>
      <c r="CD235" s="210"/>
      <c r="CE235" s="210"/>
      <c r="CF235" s="210"/>
      <c r="CG235" s="210"/>
      <c r="CH235" s="210"/>
      <c r="CI235" s="210"/>
      <c r="CJ235" s="210"/>
      <c r="CK235" s="210"/>
    </row>
    <row r="236">
      <c r="A236" s="222" t="s">
        <v>419</v>
      </c>
      <c r="B236" s="190" t="s">
        <v>420</v>
      </c>
      <c r="C236" s="223" t="s">
        <v>73</v>
      </c>
      <c r="D236" s="223" t="s">
        <v>866</v>
      </c>
      <c r="E236" s="190" t="s">
        <v>21</v>
      </c>
      <c r="F236" s="13" t="s">
        <v>927</v>
      </c>
      <c r="G236" s="13" t="s">
        <v>927</v>
      </c>
      <c r="H236" s="219">
        <f>IFERROR(
  MINIFS(ATTENDANCE_LOG!$F:$F,
         ATTENDANCE_LOG!$A:$A, C236,
         ATTENDANCE_LOG!$B:$B, E236),
"")</f>
        <v>45765.375</v>
      </c>
      <c r="I236" s="219">
        <f t="shared" si="2"/>
        <v>45765.375</v>
      </c>
      <c r="J236" s="190">
        <f>IFERROR(VLOOKUP(F236, LEVEL_HELPER!$A:$B, 2, 0), "")</f>
        <v>1</v>
      </c>
      <c r="K236" s="190">
        <f>IFERROR(VLOOKUP(G236, LEVEL_HELPER!$A:$B, 2, 0), "")</f>
        <v>1</v>
      </c>
      <c r="L236" s="220" t="s">
        <v>943</v>
      </c>
      <c r="M236" s="220" t="s">
        <v>923</v>
      </c>
      <c r="N236" s="190">
        <f t="array" ref="N236">IFERROR(
  INDEX($J$2:$J$543,
    MATCH(A236&amp;TEXT(I236,"yyyy-mm-dd"),
          $A$2:$A$543&amp;TEXT($H$2:$H$543,"yyyy-mm-dd"),
          0)),
"")</f>
        <v>1</v>
      </c>
      <c r="O236" s="210">
        <f t="shared" si="3"/>
        <v>3</v>
      </c>
      <c r="P236" s="210">
        <f t="shared" ref="P236:Q236" si="246">IF(N236="",0,IF(N236&lt;=2,1,IF(N236&lt;=4,2,IF(N236&lt;=5.5,3,4))))</f>
        <v>1</v>
      </c>
      <c r="Q236" s="210">
        <f t="shared" si="246"/>
        <v>2</v>
      </c>
      <c r="R236" s="210" t="str">
        <f t="shared" si="5"/>
        <v>Lv1 → Lv2</v>
      </c>
      <c r="S236" s="210">
        <f t="shared" si="6"/>
        <v>1</v>
      </c>
      <c r="T236" s="210"/>
      <c r="U236" s="210"/>
      <c r="V236" s="211" t="s">
        <v>669</v>
      </c>
      <c r="W236" s="210" t="str">
        <f t="shared" si="7"/>
        <v>Management</v>
      </c>
      <c r="X236" s="210" t="str">
        <f t="shared" si="8"/>
        <v>HR, GA, Mgt</v>
      </c>
      <c r="Y236" s="210" t="str">
        <f t="shared" si="9"/>
        <v>ONC</v>
      </c>
      <c r="Z236" s="210"/>
      <c r="AA236" s="210"/>
      <c r="AB236" s="210"/>
      <c r="AC236" s="210"/>
      <c r="AD236" s="210"/>
      <c r="AE236" s="210"/>
      <c r="AF236" s="210"/>
      <c r="AG236" s="210"/>
      <c r="AH236" s="210"/>
      <c r="AI236" s="210"/>
      <c r="AJ236" s="210"/>
      <c r="AK236" s="210"/>
      <c r="AL236" s="210"/>
      <c r="AM236" s="214"/>
      <c r="AN236" s="210"/>
      <c r="AO236" s="210" t="str">
        <f t="shared" si="10"/>
        <v>#N/A</v>
      </c>
      <c r="AP236" s="210" t="str">
        <f t="shared" si="11"/>
        <v>#N/A</v>
      </c>
      <c r="AQ236" s="210" t="str">
        <f t="shared" si="12"/>
        <v>#N/A</v>
      </c>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c r="BU236" s="210"/>
      <c r="BV236" s="210"/>
      <c r="BW236" s="210"/>
      <c r="BX236" s="210"/>
      <c r="BY236" s="210"/>
      <c r="BZ236" s="210"/>
      <c r="CA236" s="210"/>
      <c r="CB236" s="210"/>
      <c r="CC236" s="210"/>
      <c r="CD236" s="210"/>
      <c r="CE236" s="210"/>
      <c r="CF236" s="210"/>
      <c r="CG236" s="210"/>
      <c r="CH236" s="210"/>
      <c r="CI236" s="210"/>
      <c r="CJ236" s="210"/>
      <c r="CK236" s="210"/>
    </row>
    <row r="237">
      <c r="A237" s="222" t="s">
        <v>562</v>
      </c>
      <c r="B237" s="190" t="s">
        <v>563</v>
      </c>
      <c r="C237" s="223" t="s">
        <v>73</v>
      </c>
      <c r="D237" s="223" t="s">
        <v>866</v>
      </c>
      <c r="E237" s="190" t="s">
        <v>21</v>
      </c>
      <c r="F237" s="13" t="s">
        <v>927</v>
      </c>
      <c r="G237" s="13" t="s">
        <v>918</v>
      </c>
      <c r="H237" s="219">
        <f>IFERROR(
  MINIFS(ATTENDANCE_LOG!$F:$F,
         ATTENDANCE_LOG!$A:$A, C237,
         ATTENDANCE_LOG!$B:$B, E237),
"")</f>
        <v>45765.375</v>
      </c>
      <c r="I237" s="219">
        <f t="shared" si="2"/>
        <v>45765.375</v>
      </c>
      <c r="J237" s="190">
        <f>IFERROR(VLOOKUP(F237, LEVEL_HELPER!$A:$B, 2, 0), "")</f>
        <v>1</v>
      </c>
      <c r="K237" s="190">
        <f>IFERROR(VLOOKUP(G237, LEVEL_HELPER!$A:$B, 2, 0), "")</f>
        <v>3</v>
      </c>
      <c r="L237" s="220" t="s">
        <v>943</v>
      </c>
      <c r="M237" s="220" t="s">
        <v>924</v>
      </c>
      <c r="N237" s="190">
        <f t="array" ref="N237">IFERROR(
  INDEX($J$2:$J$543,
    MATCH(A237&amp;TEXT(I237,"yyyy-mm-dd"),
          $A$2:$A$543&amp;TEXT($H$2:$H$543,"yyyy-mm-dd"),
          0)),
"")</f>
        <v>1</v>
      </c>
      <c r="O237" s="210">
        <f t="shared" si="3"/>
        <v>3.5</v>
      </c>
      <c r="P237" s="210">
        <f t="shared" ref="P237:Q237" si="247">IF(N237="",0,IF(N237&lt;=2,1,IF(N237&lt;=4,2,IF(N237&lt;=5.5,3,4))))</f>
        <v>1</v>
      </c>
      <c r="Q237" s="210">
        <f t="shared" si="247"/>
        <v>2</v>
      </c>
      <c r="R237" s="210" t="str">
        <f t="shared" si="5"/>
        <v>Lv1 → Lv2</v>
      </c>
      <c r="S237" s="210">
        <f t="shared" si="6"/>
        <v>1</v>
      </c>
      <c r="T237" s="210"/>
      <c r="U237" s="210"/>
      <c r="V237" s="211" t="s">
        <v>574</v>
      </c>
      <c r="W237" s="210" t="str">
        <f t="shared" si="7"/>
        <v>GSD</v>
      </c>
      <c r="X237" s="210" t="str">
        <f t="shared" si="8"/>
        <v>GSD</v>
      </c>
      <c r="Y237" s="210" t="str">
        <f t="shared" si="9"/>
        <v>TBU</v>
      </c>
      <c r="Z237" s="210"/>
      <c r="AA237" s="210"/>
      <c r="AB237" s="210"/>
      <c r="AC237" s="210"/>
      <c r="AD237" s="210"/>
      <c r="AE237" s="210"/>
      <c r="AF237" s="210"/>
      <c r="AG237" s="210"/>
      <c r="AH237" s="210"/>
      <c r="AI237" s="210"/>
      <c r="AJ237" s="210"/>
      <c r="AK237" s="210"/>
      <c r="AL237" s="210"/>
      <c r="AM237" s="214"/>
      <c r="AN237" s="210"/>
      <c r="AO237" s="210" t="str">
        <f t="shared" si="10"/>
        <v>#N/A</v>
      </c>
      <c r="AP237" s="210" t="str">
        <f t="shared" si="11"/>
        <v>#N/A</v>
      </c>
      <c r="AQ237" s="210" t="str">
        <f t="shared" si="12"/>
        <v>#N/A</v>
      </c>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c r="BU237" s="210"/>
      <c r="BV237" s="210"/>
      <c r="BW237" s="210"/>
      <c r="BX237" s="210"/>
      <c r="BY237" s="210"/>
      <c r="BZ237" s="210"/>
      <c r="CA237" s="210"/>
      <c r="CB237" s="210"/>
      <c r="CC237" s="210"/>
      <c r="CD237" s="210"/>
      <c r="CE237" s="210"/>
      <c r="CF237" s="210"/>
      <c r="CG237" s="210"/>
      <c r="CH237" s="210"/>
      <c r="CI237" s="210"/>
      <c r="CJ237" s="210"/>
      <c r="CK237" s="210"/>
    </row>
    <row r="238">
      <c r="A238" s="222" t="s">
        <v>693</v>
      </c>
      <c r="B238" s="190" t="s">
        <v>694</v>
      </c>
      <c r="C238" s="223" t="s">
        <v>73</v>
      </c>
      <c r="D238" s="223" t="s">
        <v>866</v>
      </c>
      <c r="E238" s="190" t="s">
        <v>21</v>
      </c>
      <c r="F238" s="13" t="s">
        <v>927</v>
      </c>
      <c r="G238" s="13" t="s">
        <v>918</v>
      </c>
      <c r="H238" s="219">
        <f>IFERROR(
  MINIFS(ATTENDANCE_LOG!$F:$F,
         ATTENDANCE_LOG!$A:$A, C238,
         ATTENDANCE_LOG!$B:$B, E238),
"")</f>
        <v>45765.375</v>
      </c>
      <c r="I238" s="219">
        <f t="shared" si="2"/>
        <v>45765.375</v>
      </c>
      <c r="J238" s="190">
        <f>IFERROR(VLOOKUP(F238, LEVEL_HELPER!$A:$B, 2, 0), "")</f>
        <v>1</v>
      </c>
      <c r="K238" s="190">
        <f>IFERROR(VLOOKUP(G238, LEVEL_HELPER!$A:$B, 2, 0), "")</f>
        <v>3</v>
      </c>
      <c r="L238" s="220" t="s">
        <v>943</v>
      </c>
      <c r="M238" s="220" t="s">
        <v>924</v>
      </c>
      <c r="N238" s="190">
        <f t="array" ref="N238">IFERROR(
  INDEX($J$2:$J$543,
    MATCH(A238&amp;TEXT(I238,"yyyy-mm-dd"),
          $A$2:$A$543&amp;TEXT($H$2:$H$543,"yyyy-mm-dd"),
          0)),
"")</f>
        <v>1</v>
      </c>
      <c r="O238" s="210">
        <f t="shared" si="3"/>
        <v>3.5</v>
      </c>
      <c r="P238" s="210">
        <f t="shared" ref="P238:Q238" si="248">IF(N238="",0,IF(N238&lt;=2,1,IF(N238&lt;=4,2,IF(N238&lt;=5.5,3,4))))</f>
        <v>1</v>
      </c>
      <c r="Q238" s="210">
        <f t="shared" si="248"/>
        <v>2</v>
      </c>
      <c r="R238" s="210" t="str">
        <f t="shared" si="5"/>
        <v>Lv1 → Lv2</v>
      </c>
      <c r="S238" s="210">
        <f t="shared" si="6"/>
        <v>1</v>
      </c>
      <c r="T238" s="210"/>
      <c r="U238" s="210"/>
      <c r="V238" s="211" t="s">
        <v>545</v>
      </c>
      <c r="W238" s="210" t="str">
        <f t="shared" si="7"/>
        <v>GSD</v>
      </c>
      <c r="X238" s="210" t="str">
        <f t="shared" si="8"/>
        <v>GSD</v>
      </c>
      <c r="Y238" s="210" t="str">
        <f t="shared" si="9"/>
        <v>POC</v>
      </c>
      <c r="Z238" s="210"/>
      <c r="AA238" s="210"/>
      <c r="AB238" s="210"/>
      <c r="AC238" s="210"/>
      <c r="AD238" s="210"/>
      <c r="AE238" s="210"/>
      <c r="AF238" s="210"/>
      <c r="AG238" s="210"/>
      <c r="AH238" s="210"/>
      <c r="AI238" s="210"/>
      <c r="AJ238" s="210"/>
      <c r="AK238" s="210"/>
      <c r="AL238" s="210"/>
      <c r="AM238" s="214"/>
      <c r="AN238" s="210"/>
      <c r="AO238" s="210" t="str">
        <f t="shared" si="10"/>
        <v>#N/A</v>
      </c>
      <c r="AP238" s="210" t="str">
        <f t="shared" si="11"/>
        <v>#N/A</v>
      </c>
      <c r="AQ238" s="210" t="str">
        <f t="shared" si="12"/>
        <v>#N/A</v>
      </c>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c r="BU238" s="210"/>
      <c r="BV238" s="210"/>
      <c r="BW238" s="210"/>
      <c r="BX238" s="210"/>
      <c r="BY238" s="210"/>
      <c r="BZ238" s="210"/>
      <c r="CA238" s="210"/>
      <c r="CB238" s="210"/>
      <c r="CC238" s="210"/>
      <c r="CD238" s="210"/>
      <c r="CE238" s="210"/>
      <c r="CF238" s="210"/>
      <c r="CG238" s="210"/>
      <c r="CH238" s="210"/>
      <c r="CI238" s="210"/>
      <c r="CJ238" s="210"/>
      <c r="CK238" s="210"/>
    </row>
    <row r="239">
      <c r="A239" s="216" t="s">
        <v>224</v>
      </c>
      <c r="B239" s="217" t="s">
        <v>225</v>
      </c>
      <c r="C239" s="218" t="s">
        <v>74</v>
      </c>
      <c r="D239" s="218" t="s">
        <v>867</v>
      </c>
      <c r="E239" s="217" t="s">
        <v>25</v>
      </c>
      <c r="F239" s="13" t="s">
        <v>927</v>
      </c>
      <c r="G239" s="13" t="s">
        <v>927</v>
      </c>
      <c r="H239" s="219">
        <f>IFERROR(
  MINIFS(ATTENDANCE_LOG!$F:$F,
         ATTENDANCE_LOG!$A:$A, C239,
         ATTENDANCE_LOG!$B:$B, E239),
"")</f>
        <v>45818.375</v>
      </c>
      <c r="I239" s="219">
        <f t="shared" si="2"/>
        <v>45813.375</v>
      </c>
      <c r="J239" s="190">
        <f>IFERROR(VLOOKUP(F239, LEVEL_HELPER!$A:$B, 2, 0), "")</f>
        <v>1</v>
      </c>
      <c r="K239" s="190">
        <f>IFERROR(VLOOKUP(G239, LEVEL_HELPER!$A:$B, 2, 0), "")</f>
        <v>1</v>
      </c>
      <c r="L239" s="220" t="s">
        <v>943</v>
      </c>
      <c r="M239" s="220" t="s">
        <v>923</v>
      </c>
      <c r="N239" s="190">
        <f t="array" ref="N239">IFERROR(
  INDEX($J$2:$J$543,
    MATCH(A239&amp;TEXT(I239,"yyyy-mm-dd"),
          $A$2:$A$543&amp;TEXT($H$2:$H$543,"yyyy-mm-dd"),
          0)),
"")</f>
        <v>1</v>
      </c>
      <c r="O239" s="210">
        <f t="shared" si="3"/>
        <v>3</v>
      </c>
      <c r="P239" s="210">
        <f t="shared" ref="P239:Q239" si="249">IF(N239="",0,IF(N239&lt;=2,1,IF(N239&lt;=4,2,IF(N239&lt;=5.5,3,4))))</f>
        <v>1</v>
      </c>
      <c r="Q239" s="210">
        <f t="shared" si="249"/>
        <v>2</v>
      </c>
      <c r="R239" s="210" t="str">
        <f t="shared" si="5"/>
        <v>Lv1 → Lv2</v>
      </c>
      <c r="S239" s="210">
        <f t="shared" si="6"/>
        <v>1</v>
      </c>
      <c r="T239" s="210"/>
      <c r="U239" s="210"/>
      <c r="V239" s="211" t="s">
        <v>558</v>
      </c>
      <c r="W239" s="210" t="str">
        <f t="shared" si="7"/>
        <v>GSD</v>
      </c>
      <c r="X239" s="210" t="str">
        <f t="shared" si="8"/>
        <v>GSD</v>
      </c>
      <c r="Y239" s="210" t="str">
        <f t="shared" si="9"/>
        <v>POC</v>
      </c>
      <c r="Z239" s="210"/>
      <c r="AA239" s="210"/>
      <c r="AB239" s="210"/>
      <c r="AC239" s="210"/>
      <c r="AD239" s="210"/>
      <c r="AE239" s="210"/>
      <c r="AF239" s="210"/>
      <c r="AG239" s="210"/>
      <c r="AH239" s="210"/>
      <c r="AI239" s="210"/>
      <c r="AJ239" s="210"/>
      <c r="AK239" s="210"/>
      <c r="AL239" s="210"/>
      <c r="AM239" s="214"/>
      <c r="AN239" s="210"/>
      <c r="AO239" s="210" t="str">
        <f t="shared" si="10"/>
        <v>#N/A</v>
      </c>
      <c r="AP239" s="210" t="str">
        <f t="shared" si="11"/>
        <v>#N/A</v>
      </c>
      <c r="AQ239" s="210" t="str">
        <f t="shared" si="12"/>
        <v>#N/A</v>
      </c>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c r="BU239" s="210"/>
      <c r="BV239" s="210"/>
      <c r="BW239" s="210"/>
      <c r="BX239" s="210"/>
      <c r="BY239" s="210"/>
      <c r="BZ239" s="210"/>
      <c r="CA239" s="210"/>
      <c r="CB239" s="210"/>
      <c r="CC239" s="210"/>
      <c r="CD239" s="210"/>
      <c r="CE239" s="210"/>
      <c r="CF239" s="210"/>
      <c r="CG239" s="210"/>
      <c r="CH239" s="210"/>
      <c r="CI239" s="210"/>
      <c r="CJ239" s="210"/>
      <c r="CK239" s="210"/>
    </row>
    <row r="240">
      <c r="A240" s="222" t="s">
        <v>186</v>
      </c>
      <c r="B240" s="190" t="s">
        <v>187</v>
      </c>
      <c r="C240" s="223" t="s">
        <v>74</v>
      </c>
      <c r="D240" s="223" t="s">
        <v>867</v>
      </c>
      <c r="E240" s="190" t="s">
        <v>25</v>
      </c>
      <c r="F240" s="13" t="s">
        <v>927</v>
      </c>
      <c r="G240" s="13" t="s">
        <v>927</v>
      </c>
      <c r="H240" s="219">
        <f>IFERROR(
  MINIFS(ATTENDANCE_LOG!$F:$F,
         ATTENDANCE_LOG!$A:$A, C240,
         ATTENDANCE_LOG!$B:$B, E240),
"")</f>
        <v>45818.375</v>
      </c>
      <c r="I240" s="219">
        <f t="shared" si="2"/>
        <v>45813.375</v>
      </c>
      <c r="J240" s="190">
        <f>IFERROR(VLOOKUP(F240, LEVEL_HELPER!$A:$B, 2, 0), "")</f>
        <v>1</v>
      </c>
      <c r="K240" s="190">
        <f>IFERROR(VLOOKUP(G240, LEVEL_HELPER!$A:$B, 2, 0), "")</f>
        <v>1</v>
      </c>
      <c r="L240" s="220" t="s">
        <v>943</v>
      </c>
      <c r="M240" s="220" t="s">
        <v>924</v>
      </c>
      <c r="N240" s="190">
        <f t="array" ref="N240">IFERROR(
  INDEX($J$2:$J$543,
    MATCH(A240&amp;TEXT(I240,"yyyy-mm-dd"),
          $A$2:$A$543&amp;TEXT($H$2:$H$543,"yyyy-mm-dd"),
          0)),
"")</f>
        <v>1</v>
      </c>
      <c r="O240" s="210">
        <f t="shared" si="3"/>
        <v>3.5</v>
      </c>
      <c r="P240" s="210">
        <f t="shared" ref="P240:Q240" si="250">IF(N240="",0,IF(N240&lt;=2,1,IF(N240&lt;=4,2,IF(N240&lt;=5.5,3,4))))</f>
        <v>1</v>
      </c>
      <c r="Q240" s="210">
        <f t="shared" si="250"/>
        <v>2</v>
      </c>
      <c r="R240" s="210" t="str">
        <f t="shared" si="5"/>
        <v>Lv1 → Lv2</v>
      </c>
      <c r="S240" s="210">
        <f t="shared" si="6"/>
        <v>1</v>
      </c>
      <c r="T240" s="210"/>
      <c r="U240" s="210"/>
      <c r="V240" s="211" t="s">
        <v>161</v>
      </c>
      <c r="W240" s="210" t="str">
        <f t="shared" si="7"/>
        <v>DEV</v>
      </c>
      <c r="X240" s="210" t="str">
        <f t="shared" si="8"/>
        <v>DEV, TA</v>
      </c>
      <c r="Y240" s="210" t="str">
        <f t="shared" si="9"/>
        <v>MOC</v>
      </c>
      <c r="Z240" s="210"/>
      <c r="AA240" s="210"/>
      <c r="AB240" s="210"/>
      <c r="AC240" s="210"/>
      <c r="AD240" s="210"/>
      <c r="AE240" s="210"/>
      <c r="AF240" s="210"/>
      <c r="AG240" s="210"/>
      <c r="AH240" s="210"/>
      <c r="AI240" s="210"/>
      <c r="AJ240" s="210"/>
      <c r="AK240" s="210"/>
      <c r="AL240" s="210"/>
      <c r="AM240" s="214"/>
      <c r="AN240" s="210"/>
      <c r="AO240" s="210" t="str">
        <f t="shared" si="10"/>
        <v>#N/A</v>
      </c>
      <c r="AP240" s="210" t="str">
        <f t="shared" si="11"/>
        <v>#N/A</v>
      </c>
      <c r="AQ240" s="210" t="str">
        <f t="shared" si="12"/>
        <v>#N/A</v>
      </c>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c r="BU240" s="210"/>
      <c r="BV240" s="210"/>
      <c r="BW240" s="210"/>
      <c r="BX240" s="210"/>
      <c r="BY240" s="210"/>
      <c r="BZ240" s="210"/>
      <c r="CA240" s="210"/>
      <c r="CB240" s="210"/>
      <c r="CC240" s="210"/>
      <c r="CD240" s="210"/>
      <c r="CE240" s="210"/>
      <c r="CF240" s="210"/>
      <c r="CG240" s="210"/>
      <c r="CH240" s="210"/>
      <c r="CI240" s="210"/>
      <c r="CJ240" s="210"/>
      <c r="CK240" s="210"/>
    </row>
    <row r="241">
      <c r="A241" s="222" t="s">
        <v>382</v>
      </c>
      <c r="B241" s="190" t="s">
        <v>380</v>
      </c>
      <c r="C241" s="223" t="s">
        <v>74</v>
      </c>
      <c r="D241" s="223" t="s">
        <v>867</v>
      </c>
      <c r="E241" s="190" t="s">
        <v>25</v>
      </c>
      <c r="F241" s="13" t="s">
        <v>927</v>
      </c>
      <c r="G241" s="13" t="s">
        <v>927</v>
      </c>
      <c r="H241" s="219">
        <f>IFERROR(
  MINIFS(ATTENDANCE_LOG!$F:$F,
         ATTENDANCE_LOG!$A:$A, C241,
         ATTENDANCE_LOG!$B:$B, E241),
"")</f>
        <v>45818.375</v>
      </c>
      <c r="I241" s="219">
        <f t="shared" si="2"/>
        <v>45813.375</v>
      </c>
      <c r="J241" s="190">
        <f>IFERROR(VLOOKUP(F241, LEVEL_HELPER!$A:$B, 2, 0), "")</f>
        <v>1</v>
      </c>
      <c r="K241" s="190">
        <f>IFERROR(VLOOKUP(G241, LEVEL_HELPER!$A:$B, 2, 0), "")</f>
        <v>1</v>
      </c>
      <c r="L241" s="220" t="s">
        <v>943</v>
      </c>
      <c r="M241" s="220" t="s">
        <v>924</v>
      </c>
      <c r="N241" s="190">
        <f t="array" ref="N241">IFERROR(
  INDEX($J$2:$J$543,
    MATCH(A241&amp;TEXT(I241,"yyyy-mm-dd"),
          $A$2:$A$543&amp;TEXT($H$2:$H$543,"yyyy-mm-dd"),
          0)),
"")</f>
        <v>1</v>
      </c>
      <c r="O241" s="210">
        <f t="shared" si="3"/>
        <v>3</v>
      </c>
      <c r="P241" s="210">
        <f t="shared" ref="P241:Q241" si="251">IF(N241="",0,IF(N241&lt;=2,1,IF(N241&lt;=4,2,IF(N241&lt;=5.5,3,4))))</f>
        <v>1</v>
      </c>
      <c r="Q241" s="210">
        <f t="shared" si="251"/>
        <v>2</v>
      </c>
      <c r="R241" s="210" t="str">
        <f t="shared" si="5"/>
        <v>Lv1 → Lv2</v>
      </c>
      <c r="S241" s="210">
        <f t="shared" si="6"/>
        <v>1</v>
      </c>
      <c r="T241" s="210"/>
      <c r="U241" s="210"/>
      <c r="V241" s="211" t="s">
        <v>290</v>
      </c>
      <c r="W241" s="210" t="str">
        <f t="shared" si="7"/>
        <v>GSD</v>
      </c>
      <c r="X241" s="210" t="str">
        <f t="shared" si="8"/>
        <v>GSD</v>
      </c>
      <c r="Y241" s="210" t="str">
        <f t="shared" si="9"/>
        <v>POC</v>
      </c>
      <c r="Z241" s="210"/>
      <c r="AA241" s="210"/>
      <c r="AB241" s="210"/>
      <c r="AC241" s="210"/>
      <c r="AD241" s="210"/>
      <c r="AE241" s="210"/>
      <c r="AF241" s="210"/>
      <c r="AG241" s="210"/>
      <c r="AH241" s="210"/>
      <c r="AI241" s="210"/>
      <c r="AJ241" s="210"/>
      <c r="AK241" s="210"/>
      <c r="AL241" s="210"/>
      <c r="AM241" s="214"/>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c r="BU241" s="210"/>
      <c r="BV241" s="210"/>
      <c r="BW241" s="210"/>
      <c r="BX241" s="210"/>
      <c r="BY241" s="210"/>
      <c r="BZ241" s="210"/>
      <c r="CA241" s="210"/>
      <c r="CB241" s="210"/>
      <c r="CC241" s="210"/>
      <c r="CD241" s="210"/>
      <c r="CE241" s="210"/>
      <c r="CF241" s="210"/>
      <c r="CG241" s="210"/>
      <c r="CH241" s="210"/>
      <c r="CI241" s="210"/>
      <c r="CJ241" s="210"/>
      <c r="CK241" s="210"/>
    </row>
    <row r="242">
      <c r="A242" s="222" t="s">
        <v>425</v>
      </c>
      <c r="B242" s="190" t="s">
        <v>426</v>
      </c>
      <c r="C242" s="223" t="s">
        <v>74</v>
      </c>
      <c r="D242" s="223" t="s">
        <v>867</v>
      </c>
      <c r="E242" s="190" t="s">
        <v>25</v>
      </c>
      <c r="F242" s="13" t="s">
        <v>927</v>
      </c>
      <c r="G242" s="13" t="s">
        <v>927</v>
      </c>
      <c r="H242" s="219">
        <f>IFERROR(
  MINIFS(ATTENDANCE_LOG!$F:$F,
         ATTENDANCE_LOG!$A:$A, C242,
         ATTENDANCE_LOG!$B:$B, E242),
"")</f>
        <v>45818.375</v>
      </c>
      <c r="I242" s="219">
        <f t="shared" si="2"/>
        <v>45813.375</v>
      </c>
      <c r="J242" s="190">
        <f>IFERROR(VLOOKUP(F242, LEVEL_HELPER!$A:$B, 2, 0), "")</f>
        <v>1</v>
      </c>
      <c r="K242" s="190">
        <f>IFERROR(VLOOKUP(G242, LEVEL_HELPER!$A:$B, 2, 0), "")</f>
        <v>1</v>
      </c>
      <c r="L242" s="220" t="s">
        <v>943</v>
      </c>
      <c r="M242" s="220" t="s">
        <v>923</v>
      </c>
      <c r="N242" s="190">
        <f t="array" ref="N242">IFERROR(
  INDEX($J$2:$J$543,
    MATCH(A242&amp;TEXT(I242,"yyyy-mm-dd"),
          $A$2:$A$543&amp;TEXT($H$2:$H$543,"yyyy-mm-dd"),
          0)),
"")</f>
        <v>1</v>
      </c>
      <c r="O242" s="210">
        <f t="shared" si="3"/>
        <v>3.5</v>
      </c>
      <c r="P242" s="210">
        <f t="shared" ref="P242:Q242" si="252">IF(N242="",0,IF(N242&lt;=2,1,IF(N242&lt;=4,2,IF(N242&lt;=5.5,3,4))))</f>
        <v>1</v>
      </c>
      <c r="Q242" s="210">
        <f t="shared" si="252"/>
        <v>2</v>
      </c>
      <c r="R242" s="210" t="str">
        <f t="shared" si="5"/>
        <v>Lv1 → Lv2</v>
      </c>
      <c r="S242" s="210">
        <f t="shared" si="6"/>
        <v>1</v>
      </c>
      <c r="T242" s="210"/>
      <c r="U242" s="210"/>
      <c r="V242" s="211" t="s">
        <v>391</v>
      </c>
      <c r="W242" s="210" t="str">
        <f t="shared" si="7"/>
        <v>GSD</v>
      </c>
      <c r="X242" s="210" t="str">
        <f t="shared" si="8"/>
        <v>GSD</v>
      </c>
      <c r="Y242" s="210" t="str">
        <f t="shared" si="9"/>
        <v>CHORUS</v>
      </c>
      <c r="Z242" s="210"/>
      <c r="AA242" s="210"/>
      <c r="AB242" s="210"/>
      <c r="AC242" s="210"/>
      <c r="AD242" s="210"/>
      <c r="AE242" s="210"/>
      <c r="AF242" s="210"/>
      <c r="AG242" s="210"/>
      <c r="AH242" s="210"/>
      <c r="AI242" s="210"/>
      <c r="AJ242" s="210"/>
      <c r="AK242" s="210"/>
      <c r="AL242" s="210"/>
      <c r="AM242" s="214"/>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c r="BU242" s="210"/>
      <c r="BV242" s="210"/>
      <c r="BW242" s="210"/>
      <c r="BX242" s="210"/>
      <c r="BY242" s="210"/>
      <c r="BZ242" s="210"/>
      <c r="CA242" s="210"/>
      <c r="CB242" s="210"/>
      <c r="CC242" s="210"/>
      <c r="CD242" s="210"/>
      <c r="CE242" s="210"/>
      <c r="CF242" s="210"/>
      <c r="CG242" s="210"/>
      <c r="CH242" s="210"/>
      <c r="CI242" s="210"/>
      <c r="CJ242" s="210"/>
      <c r="CK242" s="210"/>
    </row>
    <row r="243">
      <c r="A243" s="222" t="s">
        <v>431</v>
      </c>
      <c r="B243" s="190" t="s">
        <v>432</v>
      </c>
      <c r="C243" s="223" t="s">
        <v>74</v>
      </c>
      <c r="D243" s="223" t="s">
        <v>867</v>
      </c>
      <c r="E243" s="190" t="s">
        <v>25</v>
      </c>
      <c r="F243" s="13" t="s">
        <v>927</v>
      </c>
      <c r="G243" s="13" t="s">
        <v>927</v>
      </c>
      <c r="H243" s="219">
        <f>IFERROR(
  MINIFS(ATTENDANCE_LOG!$F:$F,
         ATTENDANCE_LOG!$A:$A, C243,
         ATTENDANCE_LOG!$B:$B, E243),
"")</f>
        <v>45818.375</v>
      </c>
      <c r="I243" s="219">
        <f t="shared" si="2"/>
        <v>45813.375</v>
      </c>
      <c r="J243" s="190">
        <f>IFERROR(VLOOKUP(F243, LEVEL_HELPER!$A:$B, 2, 0), "")</f>
        <v>1</v>
      </c>
      <c r="K243" s="190">
        <f>IFERROR(VLOOKUP(G243, LEVEL_HELPER!$A:$B, 2, 0), "")</f>
        <v>1</v>
      </c>
      <c r="L243" s="220" t="s">
        <v>943</v>
      </c>
      <c r="M243" s="220" t="s">
        <v>924</v>
      </c>
      <c r="N243" s="190">
        <f t="array" ref="N243">IFERROR(
  INDEX($J$2:$J$543,
    MATCH(A243&amp;TEXT(I243,"yyyy-mm-dd"),
          $A$2:$A$543&amp;TEXT($H$2:$H$543,"yyyy-mm-dd"),
          0)),
"")</f>
        <v>1</v>
      </c>
      <c r="O243" s="210">
        <f t="shared" si="3"/>
        <v>5</v>
      </c>
      <c r="P243" s="210">
        <f t="shared" ref="P243:Q243" si="253">IF(N243="",0,IF(N243&lt;=2,1,IF(N243&lt;=4,2,IF(N243&lt;=5.5,3,4))))</f>
        <v>1</v>
      </c>
      <c r="Q243" s="210">
        <f t="shared" si="253"/>
        <v>3</v>
      </c>
      <c r="R243" s="210" t="str">
        <f t="shared" si="5"/>
        <v>Lv1 → Lv3 (multi)</v>
      </c>
      <c r="S243" s="210">
        <f t="shared" si="6"/>
        <v>1</v>
      </c>
      <c r="T243" s="210"/>
      <c r="U243" s="210"/>
      <c r="V243" s="211" t="s">
        <v>468</v>
      </c>
      <c r="W243" s="210" t="str">
        <f t="shared" si="7"/>
        <v>GSD</v>
      </c>
      <c r="X243" s="210" t="str">
        <f t="shared" si="8"/>
        <v>GSD</v>
      </c>
      <c r="Y243" s="210" t="str">
        <f t="shared" si="9"/>
        <v>POC</v>
      </c>
      <c r="Z243" s="210"/>
      <c r="AA243" s="210"/>
      <c r="AB243" s="210"/>
      <c r="AC243" s="210"/>
      <c r="AD243" s="210"/>
      <c r="AE243" s="210"/>
      <c r="AF243" s="210"/>
      <c r="AG243" s="210"/>
      <c r="AH243" s="210"/>
      <c r="AI243" s="210"/>
      <c r="AJ243" s="210"/>
      <c r="AK243" s="210"/>
      <c r="AL243" s="210"/>
      <c r="AM243" s="214"/>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c r="BU243" s="210"/>
      <c r="BV243" s="210"/>
      <c r="BW243" s="210"/>
      <c r="BX243" s="210"/>
      <c r="BY243" s="210"/>
      <c r="BZ243" s="210"/>
      <c r="CA243" s="210"/>
      <c r="CB243" s="210"/>
      <c r="CC243" s="210"/>
      <c r="CD243" s="210"/>
      <c r="CE243" s="210"/>
      <c r="CF243" s="210"/>
      <c r="CG243" s="210"/>
      <c r="CH243" s="210"/>
      <c r="CI243" s="210"/>
      <c r="CJ243" s="210"/>
      <c r="CK243" s="210"/>
    </row>
    <row r="244">
      <c r="A244" s="222" t="s">
        <v>453</v>
      </c>
      <c r="B244" s="190" t="s">
        <v>454</v>
      </c>
      <c r="C244" s="223" t="s">
        <v>74</v>
      </c>
      <c r="D244" s="223" t="s">
        <v>867</v>
      </c>
      <c r="E244" s="190" t="s">
        <v>25</v>
      </c>
      <c r="F244" s="13" t="s">
        <v>927</v>
      </c>
      <c r="G244" s="13" t="s">
        <v>927</v>
      </c>
      <c r="H244" s="219">
        <f>IFERROR(
  MINIFS(ATTENDANCE_LOG!$F:$F,
         ATTENDANCE_LOG!$A:$A, C244,
         ATTENDANCE_LOG!$B:$B, E244),
"")</f>
        <v>45818.375</v>
      </c>
      <c r="I244" s="219">
        <f t="shared" si="2"/>
        <v>45813.375</v>
      </c>
      <c r="J244" s="190">
        <f>IFERROR(VLOOKUP(F244, LEVEL_HELPER!$A:$B, 2, 0), "")</f>
        <v>1</v>
      </c>
      <c r="K244" s="190">
        <f>IFERROR(VLOOKUP(G244, LEVEL_HELPER!$A:$B, 2, 0), "")</f>
        <v>1</v>
      </c>
      <c r="L244" s="220" t="s">
        <v>943</v>
      </c>
      <c r="M244" s="220" t="s">
        <v>924</v>
      </c>
      <c r="N244" s="190">
        <f t="array" ref="N244">IFERROR(
  INDEX($J$2:$J$543,
    MATCH(A244&amp;TEXT(I244,"yyyy-mm-dd"),
          $A$2:$A$543&amp;TEXT($H$2:$H$543,"yyyy-mm-dd"),
          0)),
"")</f>
        <v>1</v>
      </c>
      <c r="O244" s="210">
        <f t="shared" si="3"/>
        <v>3</v>
      </c>
      <c r="P244" s="210">
        <f t="shared" ref="P244:Q244" si="254">IF(N244="",0,IF(N244&lt;=2,1,IF(N244&lt;=4,2,IF(N244&lt;=5.5,3,4))))</f>
        <v>1</v>
      </c>
      <c r="Q244" s="210">
        <f t="shared" si="254"/>
        <v>2</v>
      </c>
      <c r="R244" s="210" t="str">
        <f t="shared" si="5"/>
        <v>Lv1 → Lv2</v>
      </c>
      <c r="S244" s="210">
        <f t="shared" si="6"/>
        <v>1</v>
      </c>
      <c r="T244" s="210"/>
      <c r="U244" s="210"/>
      <c r="V244" s="211" t="s">
        <v>516</v>
      </c>
      <c r="W244" s="210" t="str">
        <f t="shared" si="7"/>
        <v>GSD</v>
      </c>
      <c r="X244" s="210" t="str">
        <f t="shared" si="8"/>
        <v>GSD</v>
      </c>
      <c r="Y244" s="210" t="str">
        <f t="shared" si="9"/>
        <v>POC</v>
      </c>
      <c r="Z244" s="210"/>
      <c r="AA244" s="210"/>
      <c r="AB244" s="210"/>
      <c r="AC244" s="210"/>
      <c r="AD244" s="210"/>
      <c r="AE244" s="210"/>
      <c r="AF244" s="210"/>
      <c r="AG244" s="210"/>
      <c r="AH244" s="210"/>
      <c r="AI244" s="210"/>
      <c r="AJ244" s="210"/>
      <c r="AK244" s="210"/>
      <c r="AL244" s="210"/>
      <c r="AM244" s="214"/>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c r="BU244" s="210"/>
      <c r="BV244" s="210"/>
      <c r="BW244" s="210"/>
      <c r="BX244" s="210"/>
      <c r="BY244" s="210"/>
      <c r="BZ244" s="210"/>
      <c r="CA244" s="210"/>
      <c r="CB244" s="210"/>
      <c r="CC244" s="210"/>
      <c r="CD244" s="210"/>
      <c r="CE244" s="210"/>
      <c r="CF244" s="210"/>
      <c r="CG244" s="210"/>
      <c r="CH244" s="210"/>
      <c r="CI244" s="210"/>
      <c r="CJ244" s="210"/>
      <c r="CK244" s="210"/>
    </row>
    <row r="245">
      <c r="A245" s="216" t="s">
        <v>224</v>
      </c>
      <c r="B245" s="217" t="s">
        <v>225</v>
      </c>
      <c r="C245" s="218" t="s">
        <v>74</v>
      </c>
      <c r="D245" s="218" t="s">
        <v>867</v>
      </c>
      <c r="E245" s="217" t="s">
        <v>21</v>
      </c>
      <c r="F245" s="13" t="s">
        <v>927</v>
      </c>
      <c r="G245" s="13" t="s">
        <v>918</v>
      </c>
      <c r="H245" s="219">
        <f>IFERROR(
  MINIFS(ATTENDANCE_LOG!$F:$F,
         ATTENDANCE_LOG!$A:$A, C245,
         ATTENDANCE_LOG!$B:$B, E245),
"")</f>
        <v>45813.375</v>
      </c>
      <c r="I245" s="219">
        <f t="shared" si="2"/>
        <v>45813.375</v>
      </c>
      <c r="J245" s="190">
        <f>IFERROR(VLOOKUP(F245, LEVEL_HELPER!$A:$B, 2, 0), "")</f>
        <v>1</v>
      </c>
      <c r="K245" s="190">
        <f>IFERROR(VLOOKUP(G245, LEVEL_HELPER!$A:$B, 2, 0), "")</f>
        <v>3</v>
      </c>
      <c r="L245" s="220" t="s">
        <v>943</v>
      </c>
      <c r="M245" s="220" t="s">
        <v>923</v>
      </c>
      <c r="N245" s="190">
        <f t="array" ref="N245">IFERROR(
  INDEX($J$2:$J$543,
    MATCH(A245&amp;TEXT(I245,"yyyy-mm-dd"),
          $A$2:$A$543&amp;TEXT($H$2:$H$543,"yyyy-mm-dd"),
          0)),
"")</f>
        <v>1</v>
      </c>
      <c r="O245" s="210">
        <f t="shared" si="3"/>
        <v>3</v>
      </c>
      <c r="P245" s="210">
        <f t="shared" ref="P245:Q245" si="255">IF(N245="",0,IF(N245&lt;=2,1,IF(N245&lt;=4,2,IF(N245&lt;=5.5,3,4))))</f>
        <v>1</v>
      </c>
      <c r="Q245" s="210">
        <f t="shared" si="255"/>
        <v>2</v>
      </c>
      <c r="R245" s="210" t="str">
        <f t="shared" si="5"/>
        <v>Lv1 → Lv2</v>
      </c>
      <c r="S245" s="210">
        <f t="shared" si="6"/>
        <v>0</v>
      </c>
      <c r="T245" s="210"/>
      <c r="U245" s="210"/>
      <c r="V245" s="211" t="s">
        <v>363</v>
      </c>
      <c r="W245" s="210" t="str">
        <f t="shared" si="7"/>
        <v>GSD</v>
      </c>
      <c r="X245" s="210" t="str">
        <f t="shared" si="8"/>
        <v>GSD</v>
      </c>
      <c r="Y245" s="210" t="str">
        <f t="shared" si="9"/>
        <v>POC</v>
      </c>
      <c r="Z245" s="210"/>
      <c r="AA245" s="210"/>
      <c r="AB245" s="210"/>
      <c r="AC245" s="210"/>
      <c r="AD245" s="210"/>
      <c r="AE245" s="210"/>
      <c r="AF245" s="210"/>
      <c r="AG245" s="210"/>
      <c r="AH245" s="210"/>
      <c r="AI245" s="210"/>
      <c r="AJ245" s="210"/>
      <c r="AK245" s="210"/>
      <c r="AL245" s="210"/>
      <c r="AM245" s="214"/>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c r="BU245" s="210"/>
      <c r="BV245" s="210"/>
      <c r="BW245" s="210"/>
      <c r="BX245" s="210"/>
      <c r="BY245" s="210"/>
      <c r="BZ245" s="210"/>
      <c r="CA245" s="210"/>
      <c r="CB245" s="210"/>
      <c r="CC245" s="210"/>
      <c r="CD245" s="210"/>
      <c r="CE245" s="210"/>
      <c r="CF245" s="210"/>
      <c r="CG245" s="210"/>
      <c r="CH245" s="210"/>
      <c r="CI245" s="210"/>
      <c r="CJ245" s="210"/>
      <c r="CK245" s="210"/>
    </row>
    <row r="246">
      <c r="A246" s="222" t="s">
        <v>186</v>
      </c>
      <c r="B246" s="190" t="s">
        <v>187</v>
      </c>
      <c r="C246" s="223" t="s">
        <v>74</v>
      </c>
      <c r="D246" s="223" t="s">
        <v>867</v>
      </c>
      <c r="E246" s="190" t="s">
        <v>21</v>
      </c>
      <c r="F246" s="13" t="s">
        <v>927</v>
      </c>
      <c r="G246" s="13" t="s">
        <v>935</v>
      </c>
      <c r="H246" s="219">
        <f>IFERROR(
  MINIFS(ATTENDANCE_LOG!$F:$F,
         ATTENDANCE_LOG!$A:$A, C246,
         ATTENDANCE_LOG!$B:$B, E246),
"")</f>
        <v>45813.375</v>
      </c>
      <c r="I246" s="219">
        <f t="shared" si="2"/>
        <v>45813.375</v>
      </c>
      <c r="J246" s="190">
        <f>IFERROR(VLOOKUP(F246, LEVEL_HELPER!$A:$B, 2, 0), "")</f>
        <v>1</v>
      </c>
      <c r="K246" s="190">
        <f>IFERROR(VLOOKUP(G246, LEVEL_HELPER!$A:$B, 2, 0), "")</f>
        <v>3.5</v>
      </c>
      <c r="L246" s="220" t="s">
        <v>943</v>
      </c>
      <c r="M246" s="220" t="s">
        <v>924</v>
      </c>
      <c r="N246" s="190">
        <f t="array" ref="N246">IFERROR(
  INDEX($J$2:$J$543,
    MATCH(A246&amp;TEXT(I246,"yyyy-mm-dd"),
          $A$2:$A$543&amp;TEXT($H$2:$H$543,"yyyy-mm-dd"),
          0)),
"")</f>
        <v>1</v>
      </c>
      <c r="O246" s="210">
        <f t="shared" si="3"/>
        <v>3.5</v>
      </c>
      <c r="P246" s="210">
        <f t="shared" ref="P246:Q246" si="256">IF(N246="",0,IF(N246&lt;=2,1,IF(N246&lt;=4,2,IF(N246&lt;=5.5,3,4))))</f>
        <v>1</v>
      </c>
      <c r="Q246" s="210">
        <f t="shared" si="256"/>
        <v>2</v>
      </c>
      <c r="R246" s="210" t="str">
        <f t="shared" si="5"/>
        <v>Lv1 → Lv2</v>
      </c>
      <c r="S246" s="210">
        <f t="shared" si="6"/>
        <v>0</v>
      </c>
      <c r="T246" s="210"/>
      <c r="U246" s="210"/>
      <c r="V246" s="211" t="s">
        <v>251</v>
      </c>
      <c r="W246" s="210" t="str">
        <f t="shared" si="7"/>
        <v>GSD</v>
      </c>
      <c r="X246" s="210" t="str">
        <f t="shared" si="8"/>
        <v>GSD</v>
      </c>
      <c r="Y246" s="210" t="str">
        <f t="shared" si="9"/>
        <v>POC</v>
      </c>
      <c r="Z246" s="210"/>
      <c r="AA246" s="210"/>
      <c r="AB246" s="210"/>
      <c r="AC246" s="210"/>
      <c r="AD246" s="210"/>
      <c r="AE246" s="210"/>
      <c r="AF246" s="210"/>
      <c r="AG246" s="210"/>
      <c r="AH246" s="210"/>
      <c r="AI246" s="210"/>
      <c r="AJ246" s="210"/>
      <c r="AK246" s="210"/>
      <c r="AL246" s="210"/>
      <c r="AM246" s="214"/>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c r="BU246" s="210"/>
      <c r="BV246" s="210"/>
      <c r="BW246" s="210"/>
      <c r="BX246" s="210"/>
      <c r="BY246" s="210"/>
      <c r="BZ246" s="210"/>
      <c r="CA246" s="210"/>
      <c r="CB246" s="210"/>
      <c r="CC246" s="210"/>
      <c r="CD246" s="210"/>
      <c r="CE246" s="210"/>
      <c r="CF246" s="210"/>
      <c r="CG246" s="210"/>
      <c r="CH246" s="210"/>
      <c r="CI246" s="210"/>
      <c r="CJ246" s="210"/>
      <c r="CK246" s="210"/>
    </row>
    <row r="247">
      <c r="A247" s="222" t="s">
        <v>382</v>
      </c>
      <c r="B247" s="190" t="s">
        <v>380</v>
      </c>
      <c r="C247" s="223" t="s">
        <v>74</v>
      </c>
      <c r="D247" s="223" t="s">
        <v>867</v>
      </c>
      <c r="E247" s="190" t="s">
        <v>21</v>
      </c>
      <c r="F247" s="13" t="s">
        <v>927</v>
      </c>
      <c r="G247" s="13" t="s">
        <v>918</v>
      </c>
      <c r="H247" s="219">
        <f>IFERROR(
  MINIFS(ATTENDANCE_LOG!$F:$F,
         ATTENDANCE_LOG!$A:$A, C247,
         ATTENDANCE_LOG!$B:$B, E247),
"")</f>
        <v>45813.375</v>
      </c>
      <c r="I247" s="219">
        <f t="shared" si="2"/>
        <v>45813.375</v>
      </c>
      <c r="J247" s="190">
        <f>IFERROR(VLOOKUP(F247, LEVEL_HELPER!$A:$B, 2, 0), "")</f>
        <v>1</v>
      </c>
      <c r="K247" s="190">
        <f>IFERROR(VLOOKUP(G247, LEVEL_HELPER!$A:$B, 2, 0), "")</f>
        <v>3</v>
      </c>
      <c r="L247" s="220" t="s">
        <v>943</v>
      </c>
      <c r="M247" s="220" t="s">
        <v>924</v>
      </c>
      <c r="N247" s="190">
        <f t="array" ref="N247">IFERROR(
  INDEX($J$2:$J$543,
    MATCH(A247&amp;TEXT(I247,"yyyy-mm-dd"),
          $A$2:$A$543&amp;TEXT($H$2:$H$543,"yyyy-mm-dd"),
          0)),
"")</f>
        <v>1</v>
      </c>
      <c r="O247" s="210">
        <f t="shared" si="3"/>
        <v>3</v>
      </c>
      <c r="P247" s="210">
        <f t="shared" ref="P247:Q247" si="257">IF(N247="",0,IF(N247&lt;=2,1,IF(N247&lt;=4,2,IF(N247&lt;=5.5,3,4))))</f>
        <v>1</v>
      </c>
      <c r="Q247" s="210">
        <f t="shared" si="257"/>
        <v>2</v>
      </c>
      <c r="R247" s="210" t="str">
        <f t="shared" si="5"/>
        <v>Lv1 → Lv2</v>
      </c>
      <c r="S247" s="210">
        <f t="shared" si="6"/>
        <v>0</v>
      </c>
      <c r="T247" s="210"/>
      <c r="U247" s="210"/>
      <c r="V247" s="211" t="s">
        <v>338</v>
      </c>
      <c r="W247" s="210" t="str">
        <f t="shared" si="7"/>
        <v>GSD</v>
      </c>
      <c r="X247" s="210" t="str">
        <f t="shared" si="8"/>
        <v>GSD</v>
      </c>
      <c r="Y247" s="210" t="str">
        <f t="shared" si="9"/>
        <v>TBU</v>
      </c>
      <c r="Z247" s="210"/>
      <c r="AA247" s="210"/>
      <c r="AB247" s="210"/>
      <c r="AC247" s="210"/>
      <c r="AD247" s="210"/>
      <c r="AE247" s="210"/>
      <c r="AF247" s="210"/>
      <c r="AG247" s="210"/>
      <c r="AH247" s="210"/>
      <c r="AI247" s="210"/>
      <c r="AJ247" s="210"/>
      <c r="AK247" s="210"/>
      <c r="AL247" s="210"/>
      <c r="AM247" s="214"/>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c r="BU247" s="210"/>
      <c r="BV247" s="210"/>
      <c r="BW247" s="210"/>
      <c r="BX247" s="210"/>
      <c r="BY247" s="210"/>
      <c r="BZ247" s="210"/>
      <c r="CA247" s="210"/>
      <c r="CB247" s="210"/>
      <c r="CC247" s="210"/>
      <c r="CD247" s="210"/>
      <c r="CE247" s="210"/>
      <c r="CF247" s="210"/>
      <c r="CG247" s="210"/>
      <c r="CH247" s="210"/>
      <c r="CI247" s="210"/>
      <c r="CJ247" s="210"/>
      <c r="CK247" s="210"/>
    </row>
    <row r="248">
      <c r="A248" s="222" t="s">
        <v>425</v>
      </c>
      <c r="B248" s="190" t="s">
        <v>426</v>
      </c>
      <c r="C248" s="223" t="s">
        <v>74</v>
      </c>
      <c r="D248" s="223" t="s">
        <v>867</v>
      </c>
      <c r="E248" s="190" t="s">
        <v>21</v>
      </c>
      <c r="F248" s="13" t="s">
        <v>927</v>
      </c>
      <c r="G248" s="13" t="s">
        <v>935</v>
      </c>
      <c r="H248" s="219">
        <f>IFERROR(
  MINIFS(ATTENDANCE_LOG!$F:$F,
         ATTENDANCE_LOG!$A:$A, C248,
         ATTENDANCE_LOG!$B:$B, E248),
"")</f>
        <v>45813.375</v>
      </c>
      <c r="I248" s="219">
        <f t="shared" si="2"/>
        <v>45813.375</v>
      </c>
      <c r="J248" s="190">
        <f>IFERROR(VLOOKUP(F248, LEVEL_HELPER!$A:$B, 2, 0), "")</f>
        <v>1</v>
      </c>
      <c r="K248" s="190">
        <f>IFERROR(VLOOKUP(G248, LEVEL_HELPER!$A:$B, 2, 0), "")</f>
        <v>3.5</v>
      </c>
      <c r="L248" s="220" t="s">
        <v>943</v>
      </c>
      <c r="M248" s="220" t="s">
        <v>923</v>
      </c>
      <c r="N248" s="190">
        <f t="array" ref="N248">IFERROR(
  INDEX($J$2:$J$543,
    MATCH(A248&amp;TEXT(I248,"yyyy-mm-dd"),
          $A$2:$A$543&amp;TEXT($H$2:$H$543,"yyyy-mm-dd"),
          0)),
"")</f>
        <v>1</v>
      </c>
      <c r="O248" s="210">
        <f t="shared" si="3"/>
        <v>3.5</v>
      </c>
      <c r="P248" s="210">
        <f t="shared" ref="P248:Q248" si="258">IF(N248="",0,IF(N248&lt;=2,1,IF(N248&lt;=4,2,IF(N248&lt;=5.5,3,4))))</f>
        <v>1</v>
      </c>
      <c r="Q248" s="210">
        <f t="shared" si="258"/>
        <v>2</v>
      </c>
      <c r="R248" s="210" t="str">
        <f t="shared" si="5"/>
        <v>Lv1 → Lv2</v>
      </c>
      <c r="S248" s="210">
        <f t="shared" si="6"/>
        <v>0</v>
      </c>
      <c r="T248" s="210"/>
      <c r="U248" s="210"/>
      <c r="V248" s="211" t="s">
        <v>379</v>
      </c>
      <c r="W248" s="210" t="str">
        <f t="shared" si="7"/>
        <v>GSD</v>
      </c>
      <c r="X248" s="210" t="str">
        <f t="shared" si="8"/>
        <v>GSD</v>
      </c>
      <c r="Y248" s="210" t="str">
        <f t="shared" si="9"/>
        <v>TBU</v>
      </c>
      <c r="Z248" s="210"/>
      <c r="AA248" s="210"/>
      <c r="AB248" s="210"/>
      <c r="AC248" s="210"/>
      <c r="AD248" s="210"/>
      <c r="AE248" s="210"/>
      <c r="AF248" s="210"/>
      <c r="AG248" s="210"/>
      <c r="AH248" s="210"/>
      <c r="AI248" s="210"/>
      <c r="AJ248" s="210"/>
      <c r="AK248" s="210"/>
      <c r="AL248" s="210"/>
      <c r="AM248" s="214"/>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c r="BU248" s="210"/>
      <c r="BV248" s="210"/>
      <c r="BW248" s="210"/>
      <c r="BX248" s="210"/>
      <c r="BY248" s="210"/>
      <c r="BZ248" s="210"/>
      <c r="CA248" s="210"/>
      <c r="CB248" s="210"/>
      <c r="CC248" s="210"/>
      <c r="CD248" s="210"/>
      <c r="CE248" s="210"/>
      <c r="CF248" s="210"/>
      <c r="CG248" s="210"/>
      <c r="CH248" s="210"/>
      <c r="CI248" s="210"/>
      <c r="CJ248" s="210"/>
      <c r="CK248" s="210"/>
    </row>
    <row r="249">
      <c r="A249" s="222" t="s">
        <v>431</v>
      </c>
      <c r="B249" s="190" t="s">
        <v>432</v>
      </c>
      <c r="C249" s="223" t="s">
        <v>74</v>
      </c>
      <c r="D249" s="223" t="s">
        <v>867</v>
      </c>
      <c r="E249" s="190" t="s">
        <v>21</v>
      </c>
      <c r="F249" s="13" t="s">
        <v>927</v>
      </c>
      <c r="G249" s="13" t="s">
        <v>941</v>
      </c>
      <c r="H249" s="219">
        <f>IFERROR(
  MINIFS(ATTENDANCE_LOG!$F:$F,
         ATTENDANCE_LOG!$A:$A, C249,
         ATTENDANCE_LOG!$B:$B, E249),
"")</f>
        <v>45813.375</v>
      </c>
      <c r="I249" s="219">
        <f t="shared" si="2"/>
        <v>45813.375</v>
      </c>
      <c r="J249" s="190">
        <f>IFERROR(VLOOKUP(F249, LEVEL_HELPER!$A:$B, 2, 0), "")</f>
        <v>1</v>
      </c>
      <c r="K249" s="190">
        <f>IFERROR(VLOOKUP(G249, LEVEL_HELPER!$A:$B, 2, 0), "")</f>
        <v>5</v>
      </c>
      <c r="L249" s="220" t="s">
        <v>943</v>
      </c>
      <c r="M249" s="220" t="s">
        <v>924</v>
      </c>
      <c r="N249" s="190">
        <f t="array" ref="N249">IFERROR(
  INDEX($J$2:$J$543,
    MATCH(A249&amp;TEXT(I249,"yyyy-mm-dd"),
          $A$2:$A$543&amp;TEXT($H$2:$H$543,"yyyy-mm-dd"),
          0)),
"")</f>
        <v>1</v>
      </c>
      <c r="O249" s="210">
        <f t="shared" si="3"/>
        <v>5</v>
      </c>
      <c r="P249" s="210">
        <f t="shared" ref="P249:Q249" si="259">IF(N249="",0,IF(N249&lt;=2,1,IF(N249&lt;=4,2,IF(N249&lt;=5.5,3,4))))</f>
        <v>1</v>
      </c>
      <c r="Q249" s="210">
        <f t="shared" si="259"/>
        <v>3</v>
      </c>
      <c r="R249" s="210" t="str">
        <f t="shared" si="5"/>
        <v>Lv1 → Lv3 (multi)</v>
      </c>
      <c r="S249" s="210">
        <f t="shared" si="6"/>
        <v>0</v>
      </c>
      <c r="T249" s="210"/>
      <c r="U249" s="210"/>
      <c r="V249" s="211" t="s">
        <v>449</v>
      </c>
      <c r="W249" s="210" t="str">
        <f t="shared" si="7"/>
        <v>GSD</v>
      </c>
      <c r="X249" s="210" t="str">
        <f t="shared" si="8"/>
        <v>GSD</v>
      </c>
      <c r="Y249" s="210" t="str">
        <f t="shared" si="9"/>
        <v>POC</v>
      </c>
      <c r="Z249" s="210"/>
      <c r="AA249" s="210"/>
      <c r="AB249" s="210"/>
      <c r="AC249" s="210"/>
      <c r="AD249" s="210"/>
      <c r="AE249" s="210"/>
      <c r="AF249" s="210"/>
      <c r="AG249" s="210"/>
      <c r="AH249" s="210"/>
      <c r="AI249" s="210"/>
      <c r="AJ249" s="210"/>
      <c r="AK249" s="210"/>
      <c r="AL249" s="210"/>
      <c r="AM249" s="214"/>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c r="BU249" s="210"/>
      <c r="BV249" s="210"/>
      <c r="BW249" s="210"/>
      <c r="BX249" s="210"/>
      <c r="BY249" s="210"/>
      <c r="BZ249" s="210"/>
      <c r="CA249" s="210"/>
      <c r="CB249" s="210"/>
      <c r="CC249" s="210"/>
      <c r="CD249" s="210"/>
      <c r="CE249" s="210"/>
      <c r="CF249" s="210"/>
      <c r="CG249" s="210"/>
      <c r="CH249" s="210"/>
      <c r="CI249" s="210"/>
      <c r="CJ249" s="210"/>
      <c r="CK249" s="210"/>
    </row>
    <row r="250">
      <c r="A250" s="222" t="s">
        <v>453</v>
      </c>
      <c r="B250" s="190" t="s">
        <v>454</v>
      </c>
      <c r="C250" s="223" t="s">
        <v>74</v>
      </c>
      <c r="D250" s="223" t="s">
        <v>867</v>
      </c>
      <c r="E250" s="190" t="s">
        <v>21</v>
      </c>
      <c r="F250" s="13" t="s">
        <v>927</v>
      </c>
      <c r="G250" s="13" t="s">
        <v>918</v>
      </c>
      <c r="H250" s="219">
        <f>IFERROR(
  MINIFS(ATTENDANCE_LOG!$F:$F,
         ATTENDANCE_LOG!$A:$A, C250,
         ATTENDANCE_LOG!$B:$B, E250),
"")</f>
        <v>45813.375</v>
      </c>
      <c r="I250" s="219">
        <f t="shared" si="2"/>
        <v>45813.375</v>
      </c>
      <c r="J250" s="190">
        <f>IFERROR(VLOOKUP(F250, LEVEL_HELPER!$A:$B, 2, 0), "")</f>
        <v>1</v>
      </c>
      <c r="K250" s="190">
        <f>IFERROR(VLOOKUP(G250, LEVEL_HELPER!$A:$B, 2, 0), "")</f>
        <v>3</v>
      </c>
      <c r="L250" s="220" t="s">
        <v>943</v>
      </c>
      <c r="M250" s="220" t="s">
        <v>924</v>
      </c>
      <c r="N250" s="190">
        <f t="array" ref="N250">IFERROR(
  INDEX($J$2:$J$543,
    MATCH(A250&amp;TEXT(I250,"yyyy-mm-dd"),
          $A$2:$A$543&amp;TEXT($H$2:$H$543,"yyyy-mm-dd"),
          0)),
"")</f>
        <v>1</v>
      </c>
      <c r="O250" s="210">
        <f t="shared" si="3"/>
        <v>3</v>
      </c>
      <c r="P250" s="210">
        <f t="shared" ref="P250:Q250" si="260">IF(N250="",0,IF(N250&lt;=2,1,IF(N250&lt;=4,2,IF(N250&lt;=5.5,3,4))))</f>
        <v>1</v>
      </c>
      <c r="Q250" s="210">
        <f t="shared" si="260"/>
        <v>2</v>
      </c>
      <c r="R250" s="210" t="str">
        <f t="shared" si="5"/>
        <v>Lv1 → Lv2</v>
      </c>
      <c r="S250" s="210">
        <f t="shared" si="6"/>
        <v>0</v>
      </c>
      <c r="T250" s="210"/>
      <c r="U250" s="210"/>
      <c r="V250" s="211" t="s">
        <v>455</v>
      </c>
      <c r="W250" s="210" t="str">
        <f t="shared" si="7"/>
        <v>GSD</v>
      </c>
      <c r="X250" s="210" t="str">
        <f t="shared" si="8"/>
        <v>GSD</v>
      </c>
      <c r="Y250" s="210" t="str">
        <f t="shared" si="9"/>
        <v>POC</v>
      </c>
      <c r="Z250" s="210"/>
      <c r="AA250" s="210"/>
      <c r="AB250" s="210"/>
      <c r="AC250" s="210"/>
      <c r="AD250" s="210"/>
      <c r="AE250" s="210"/>
      <c r="AF250" s="210"/>
      <c r="AG250" s="210"/>
      <c r="AH250" s="210"/>
      <c r="AI250" s="210"/>
      <c r="AJ250" s="210"/>
      <c r="AK250" s="210"/>
      <c r="AL250" s="210"/>
      <c r="AM250" s="214"/>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c r="BU250" s="210"/>
      <c r="BV250" s="210"/>
      <c r="BW250" s="210"/>
      <c r="BX250" s="210"/>
      <c r="BY250" s="210"/>
      <c r="BZ250" s="210"/>
      <c r="CA250" s="210"/>
      <c r="CB250" s="210"/>
      <c r="CC250" s="210"/>
      <c r="CD250" s="210"/>
      <c r="CE250" s="210"/>
      <c r="CF250" s="210"/>
      <c r="CG250" s="210"/>
      <c r="CH250" s="210"/>
      <c r="CI250" s="210"/>
      <c r="CJ250" s="210"/>
      <c r="CK250" s="210"/>
    </row>
    <row r="251">
      <c r="A251" s="222" t="s">
        <v>492</v>
      </c>
      <c r="B251" s="190" t="s">
        <v>493</v>
      </c>
      <c r="C251" s="223" t="s">
        <v>74</v>
      </c>
      <c r="D251" s="223" t="s">
        <v>867</v>
      </c>
      <c r="E251" s="190" t="s">
        <v>21</v>
      </c>
      <c r="F251" s="190"/>
      <c r="G251" s="190"/>
      <c r="H251" s="219">
        <f>IFERROR(
  MINIFS(ATTENDANCE_LOG!$F:$F,
         ATTENDANCE_LOG!$A:$A, C251,
         ATTENDANCE_LOG!$B:$B, E251),
"")</f>
        <v>45813.375</v>
      </c>
      <c r="I251" s="219">
        <f t="shared" si="2"/>
        <v>45813.375</v>
      </c>
      <c r="J251" s="190" t="str">
        <f>IFERROR(VLOOKUP(F251, LEVEL_HELPER!$A:$B, 2, 0), "")</f>
        <v/>
      </c>
      <c r="K251" s="190" t="str">
        <f>IFERROR(VLOOKUP(G251, LEVEL_HELPER!$A:$B, 2, 0), "")</f>
        <v/>
      </c>
      <c r="L251" s="220" t="s">
        <v>943</v>
      </c>
      <c r="M251" s="220" t="s">
        <v>923</v>
      </c>
      <c r="N251" s="190" t="str">
        <f t="array" ref="N251">IFERROR(
  INDEX($J$2:$J$543,
    MATCH(A251&amp;TEXT(I251,"yyyy-mm-dd"),
          $A$2:$A$543&amp;TEXT($H$2:$H$543,"yyyy-mm-dd"),
          0)),
"")</f>
        <v/>
      </c>
      <c r="O251" s="210">
        <f t="shared" si="3"/>
        <v>0</v>
      </c>
      <c r="P251" s="210">
        <f t="shared" ref="P251:Q251" si="261">IF(N251="",0,IF(N251&lt;=2,1,IF(N251&lt;=4,2,IF(N251&lt;=5.5,3,4))))</f>
        <v>0</v>
      </c>
      <c r="Q251" s="210">
        <f t="shared" si="261"/>
        <v>1</v>
      </c>
      <c r="R251" s="210" t="str">
        <f t="shared" si="5"/>
        <v>No Data</v>
      </c>
      <c r="S251" s="210">
        <f t="shared" si="6"/>
        <v>1</v>
      </c>
      <c r="T251" s="210"/>
      <c r="U251" s="210"/>
      <c r="V251" s="211" t="s">
        <v>490</v>
      </c>
      <c r="W251" s="210" t="str">
        <f t="shared" si="7"/>
        <v>GSD</v>
      </c>
      <c r="X251" s="210" t="str">
        <f t="shared" si="8"/>
        <v>GSD</v>
      </c>
      <c r="Y251" s="210" t="str">
        <f t="shared" si="9"/>
        <v>TBU</v>
      </c>
      <c r="Z251" s="210"/>
      <c r="AA251" s="210"/>
      <c r="AB251" s="210"/>
      <c r="AC251" s="210"/>
      <c r="AD251" s="210"/>
      <c r="AE251" s="210"/>
      <c r="AF251" s="210"/>
      <c r="AG251" s="210"/>
      <c r="AH251" s="210"/>
      <c r="AI251" s="210"/>
      <c r="AJ251" s="210"/>
      <c r="AK251" s="210"/>
      <c r="AL251" s="210"/>
      <c r="AM251" s="214"/>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c r="BU251" s="210"/>
      <c r="BV251" s="210"/>
      <c r="BW251" s="210"/>
      <c r="BX251" s="210"/>
      <c r="BY251" s="210"/>
      <c r="BZ251" s="210"/>
      <c r="CA251" s="210"/>
      <c r="CB251" s="210"/>
      <c r="CC251" s="210"/>
      <c r="CD251" s="210"/>
      <c r="CE251" s="210"/>
      <c r="CF251" s="210"/>
      <c r="CG251" s="210"/>
      <c r="CH251" s="210"/>
      <c r="CI251" s="210"/>
      <c r="CJ251" s="210"/>
      <c r="CK251" s="210"/>
    </row>
    <row r="252">
      <c r="A252" s="222" t="s">
        <v>591</v>
      </c>
      <c r="B252" s="190" t="s">
        <v>592</v>
      </c>
      <c r="C252" s="223" t="s">
        <v>74</v>
      </c>
      <c r="D252" s="223" t="s">
        <v>867</v>
      </c>
      <c r="E252" s="190" t="s">
        <v>21</v>
      </c>
      <c r="F252" s="190"/>
      <c r="G252" s="190"/>
      <c r="H252" s="219">
        <f>IFERROR(
  MINIFS(ATTENDANCE_LOG!$F:$F,
         ATTENDANCE_LOG!$A:$A, C252,
         ATTENDANCE_LOG!$B:$B, E252),
"")</f>
        <v>45813.375</v>
      </c>
      <c r="I252" s="219">
        <f t="shared" si="2"/>
        <v>45813.375</v>
      </c>
      <c r="J252" s="190" t="str">
        <f>IFERROR(VLOOKUP(F252, LEVEL_HELPER!$A:$B, 2, 0), "")</f>
        <v/>
      </c>
      <c r="K252" s="190" t="str">
        <f>IFERROR(VLOOKUP(G252, LEVEL_HELPER!$A:$B, 2, 0), "")</f>
        <v/>
      </c>
      <c r="L252" s="220" t="s">
        <v>943</v>
      </c>
      <c r="M252" s="229" t="s">
        <v>923</v>
      </c>
      <c r="N252" s="190" t="str">
        <f t="array" ref="N252">IFERROR(
  INDEX($J$2:$J$543,
    MATCH(A252&amp;TEXT(I252,"yyyy-mm-dd"),
          $A$2:$A$543&amp;TEXT($H$2:$H$543,"yyyy-mm-dd"),
          0)),
"")</f>
        <v/>
      </c>
      <c r="O252" s="210">
        <f t="shared" si="3"/>
        <v>0</v>
      </c>
      <c r="P252" s="210">
        <f t="shared" ref="P252:Q252" si="262">IF(N252="",0,IF(N252&lt;=2,1,IF(N252&lt;=4,2,IF(N252&lt;=5.5,3,4))))</f>
        <v>0</v>
      </c>
      <c r="Q252" s="210">
        <f t="shared" si="262"/>
        <v>1</v>
      </c>
      <c r="R252" s="210" t="str">
        <f t="shared" si="5"/>
        <v>No Data</v>
      </c>
      <c r="S252" s="210">
        <f t="shared" si="6"/>
        <v>1</v>
      </c>
      <c r="T252" s="210"/>
      <c r="U252" s="210"/>
      <c r="V252" s="211" t="s">
        <v>500</v>
      </c>
      <c r="W252" s="210" t="str">
        <f t="shared" si="7"/>
        <v>BA</v>
      </c>
      <c r="X252" s="210" t="str">
        <f t="shared" si="8"/>
        <v>BA, BC</v>
      </c>
      <c r="Y252" s="210" t="str">
        <f t="shared" si="9"/>
        <v>POC</v>
      </c>
      <c r="Z252" s="210"/>
      <c r="AA252" s="210"/>
      <c r="AB252" s="210"/>
      <c r="AC252" s="210"/>
      <c r="AD252" s="210"/>
      <c r="AE252" s="210"/>
      <c r="AF252" s="210"/>
      <c r="AG252" s="210"/>
      <c r="AH252" s="210"/>
      <c r="AI252" s="210"/>
      <c r="AJ252" s="210"/>
      <c r="AK252" s="210"/>
      <c r="AL252" s="210"/>
      <c r="AM252" s="214"/>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c r="BU252" s="210"/>
      <c r="BV252" s="210"/>
      <c r="BW252" s="210"/>
      <c r="BX252" s="210"/>
      <c r="BY252" s="210"/>
      <c r="BZ252" s="210"/>
      <c r="CA252" s="210"/>
      <c r="CB252" s="210"/>
      <c r="CC252" s="210"/>
      <c r="CD252" s="210"/>
      <c r="CE252" s="210"/>
      <c r="CF252" s="210"/>
      <c r="CG252" s="210"/>
      <c r="CH252" s="210"/>
      <c r="CI252" s="210"/>
      <c r="CJ252" s="210"/>
      <c r="CK252" s="210"/>
    </row>
    <row r="253">
      <c r="A253" s="216" t="s">
        <v>224</v>
      </c>
      <c r="B253" s="217" t="s">
        <v>225</v>
      </c>
      <c r="C253" s="218" t="s">
        <v>74</v>
      </c>
      <c r="D253" s="218" t="s">
        <v>867</v>
      </c>
      <c r="E253" s="217" t="s">
        <v>22</v>
      </c>
      <c r="F253" s="190"/>
      <c r="G253" s="190"/>
      <c r="H253" s="219">
        <f>IFERROR(
  MINIFS(ATTENDANCE_LOG!$F:$F,
         ATTENDANCE_LOG!$A:$A, C253,
         ATTENDANCE_LOG!$B:$B, E253),
"")</f>
        <v>46106.41667</v>
      </c>
      <c r="I253" s="219">
        <f t="shared" si="2"/>
        <v>45813.375</v>
      </c>
      <c r="J253" s="190" t="str">
        <f>IFERROR(VLOOKUP(F253, LEVEL_HELPER!$A:$B, 2, 0), "")</f>
        <v/>
      </c>
      <c r="K253" s="190" t="str">
        <f>IFERROR(VLOOKUP(G253, LEVEL_HELPER!$A:$B, 2, 0), "")</f>
        <v/>
      </c>
      <c r="L253" s="220" t="s">
        <v>943</v>
      </c>
      <c r="M253" s="220" t="s">
        <v>923</v>
      </c>
      <c r="N253" s="190">
        <f t="array" ref="N253">IFERROR(
  INDEX($J$2:$J$543,
    MATCH(A253&amp;TEXT(I253,"yyyy-mm-dd"),
          $A$2:$A$543&amp;TEXT($H$2:$H$543,"yyyy-mm-dd"),
          0)),
"")</f>
        <v>1</v>
      </c>
      <c r="O253" s="210">
        <f t="shared" si="3"/>
        <v>3</v>
      </c>
      <c r="P253" s="210">
        <f t="shared" ref="P253:Q253" si="263">IF(N253="",0,IF(N253&lt;=2,1,IF(N253&lt;=4,2,IF(N253&lt;=5.5,3,4))))</f>
        <v>1</v>
      </c>
      <c r="Q253" s="210">
        <f t="shared" si="263"/>
        <v>2</v>
      </c>
      <c r="R253" s="210" t="str">
        <f t="shared" si="5"/>
        <v>Lv1 → Lv2</v>
      </c>
      <c r="S253" s="210">
        <f t="shared" si="6"/>
        <v>0</v>
      </c>
      <c r="T253" s="210"/>
      <c r="U253" s="210"/>
      <c r="V253" s="211" t="s">
        <v>551</v>
      </c>
      <c r="W253" s="210" t="str">
        <f t="shared" si="7"/>
        <v>GSD</v>
      </c>
      <c r="X253" s="210" t="str">
        <f t="shared" si="8"/>
        <v>GSD</v>
      </c>
      <c r="Y253" s="210" t="str">
        <f t="shared" si="9"/>
        <v>TBU</v>
      </c>
      <c r="Z253" s="210"/>
      <c r="AA253" s="210"/>
      <c r="AB253" s="210"/>
      <c r="AC253" s="210"/>
      <c r="AD253" s="210"/>
      <c r="AE253" s="210"/>
      <c r="AF253" s="210"/>
      <c r="AG253" s="210"/>
      <c r="AH253" s="210"/>
      <c r="AI253" s="210"/>
      <c r="AJ253" s="210"/>
      <c r="AK253" s="210"/>
      <c r="AL253" s="210"/>
      <c r="AM253" s="214"/>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c r="BU253" s="210"/>
      <c r="BV253" s="210"/>
      <c r="BW253" s="210"/>
      <c r="BX253" s="210"/>
      <c r="BY253" s="210"/>
      <c r="BZ253" s="210"/>
      <c r="CA253" s="210"/>
      <c r="CB253" s="210"/>
      <c r="CC253" s="210"/>
      <c r="CD253" s="210"/>
      <c r="CE253" s="210"/>
      <c r="CF253" s="210"/>
      <c r="CG253" s="210"/>
      <c r="CH253" s="210"/>
      <c r="CI253" s="210"/>
      <c r="CJ253" s="210"/>
      <c r="CK253" s="210"/>
    </row>
    <row r="254">
      <c r="A254" s="222" t="s">
        <v>186</v>
      </c>
      <c r="B254" s="190" t="s">
        <v>187</v>
      </c>
      <c r="C254" s="223" t="s">
        <v>74</v>
      </c>
      <c r="D254" s="223" t="s">
        <v>867</v>
      </c>
      <c r="E254" s="190" t="s">
        <v>22</v>
      </c>
      <c r="F254" s="190"/>
      <c r="G254" s="190"/>
      <c r="H254" s="219">
        <f>IFERROR(
  MINIFS(ATTENDANCE_LOG!$F:$F,
         ATTENDANCE_LOG!$A:$A, C254,
         ATTENDANCE_LOG!$B:$B, E254),
"")</f>
        <v>46106.41667</v>
      </c>
      <c r="I254" s="219">
        <f t="shared" si="2"/>
        <v>45813.375</v>
      </c>
      <c r="J254" s="190" t="str">
        <f>IFERROR(VLOOKUP(F254, LEVEL_HELPER!$A:$B, 2, 0), "")</f>
        <v/>
      </c>
      <c r="K254" s="190" t="str">
        <f>IFERROR(VLOOKUP(G254, LEVEL_HELPER!$A:$B, 2, 0), "")</f>
        <v/>
      </c>
      <c r="L254" s="220" t="s">
        <v>943</v>
      </c>
      <c r="M254" s="220" t="s">
        <v>924</v>
      </c>
      <c r="N254" s="190">
        <f t="array" ref="N254">IFERROR(
  INDEX($J$2:$J$543,
    MATCH(A254&amp;TEXT(I254,"yyyy-mm-dd"),
          $A$2:$A$543&amp;TEXT($H$2:$H$543,"yyyy-mm-dd"),
          0)),
"")</f>
        <v>1</v>
      </c>
      <c r="O254" s="210">
        <f t="shared" si="3"/>
        <v>3.5</v>
      </c>
      <c r="P254" s="210">
        <f t="shared" ref="P254:Q254" si="264">IF(N254="",0,IF(N254&lt;=2,1,IF(N254&lt;=4,2,IF(N254&lt;=5.5,3,4))))</f>
        <v>1</v>
      </c>
      <c r="Q254" s="210">
        <f t="shared" si="264"/>
        <v>2</v>
      </c>
      <c r="R254" s="210" t="str">
        <f t="shared" si="5"/>
        <v>Lv1 → Lv2</v>
      </c>
      <c r="S254" s="210">
        <f t="shared" si="6"/>
        <v>0</v>
      </c>
      <c r="T254" s="210"/>
      <c r="U254" s="210"/>
      <c r="V254" s="211" t="s">
        <v>609</v>
      </c>
      <c r="W254" s="210" t="str">
        <f t="shared" si="7"/>
        <v>GSD</v>
      </c>
      <c r="X254" s="210" t="str">
        <f t="shared" si="8"/>
        <v>GSD</v>
      </c>
      <c r="Y254" s="210" t="str">
        <f t="shared" si="9"/>
        <v>POC</v>
      </c>
      <c r="Z254" s="210"/>
      <c r="AA254" s="210"/>
      <c r="AB254" s="210"/>
      <c r="AC254" s="210"/>
      <c r="AD254" s="210"/>
      <c r="AE254" s="210"/>
      <c r="AF254" s="210"/>
      <c r="AG254" s="210"/>
      <c r="AH254" s="210"/>
      <c r="AI254" s="210"/>
      <c r="AJ254" s="210"/>
      <c r="AK254" s="210"/>
      <c r="AL254" s="210"/>
      <c r="AM254" s="214"/>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c r="BU254" s="210"/>
      <c r="BV254" s="210"/>
      <c r="BW254" s="210"/>
      <c r="BX254" s="210"/>
      <c r="BY254" s="210"/>
      <c r="BZ254" s="210"/>
      <c r="CA254" s="210"/>
      <c r="CB254" s="210"/>
      <c r="CC254" s="210"/>
      <c r="CD254" s="210"/>
      <c r="CE254" s="210"/>
      <c r="CF254" s="210"/>
      <c r="CG254" s="210"/>
      <c r="CH254" s="210"/>
      <c r="CI254" s="210"/>
      <c r="CJ254" s="210"/>
      <c r="CK254" s="210"/>
    </row>
    <row r="255">
      <c r="A255" s="222" t="s">
        <v>382</v>
      </c>
      <c r="B255" s="190" t="s">
        <v>380</v>
      </c>
      <c r="C255" s="223" t="s">
        <v>74</v>
      </c>
      <c r="D255" s="223" t="s">
        <v>867</v>
      </c>
      <c r="E255" s="190" t="s">
        <v>22</v>
      </c>
      <c r="F255" s="190"/>
      <c r="G255" s="190"/>
      <c r="H255" s="219">
        <f>IFERROR(
  MINIFS(ATTENDANCE_LOG!$F:$F,
         ATTENDANCE_LOG!$A:$A, C255,
         ATTENDANCE_LOG!$B:$B, E255),
"")</f>
        <v>46106.41667</v>
      </c>
      <c r="I255" s="219">
        <f t="shared" si="2"/>
        <v>45813.375</v>
      </c>
      <c r="J255" s="190" t="str">
        <f>IFERROR(VLOOKUP(F255, LEVEL_HELPER!$A:$B, 2, 0), "")</f>
        <v/>
      </c>
      <c r="K255" s="190" t="str">
        <f>IFERROR(VLOOKUP(G255, LEVEL_HELPER!$A:$B, 2, 0), "")</f>
        <v/>
      </c>
      <c r="L255" s="220" t="s">
        <v>943</v>
      </c>
      <c r="M255" s="220" t="s">
        <v>924</v>
      </c>
      <c r="N255" s="190">
        <f t="array" ref="N255">IFERROR(
  INDEX($J$2:$J$543,
    MATCH(A255&amp;TEXT(I255,"yyyy-mm-dd"),
          $A$2:$A$543&amp;TEXT($H$2:$H$543,"yyyy-mm-dd"),
          0)),
"")</f>
        <v>1</v>
      </c>
      <c r="O255" s="210">
        <f t="shared" si="3"/>
        <v>3</v>
      </c>
      <c r="P255" s="210">
        <f t="shared" ref="P255:Q255" si="265">IF(N255="",0,IF(N255&lt;=2,1,IF(N255&lt;=4,2,IF(N255&lt;=5.5,3,4))))</f>
        <v>1</v>
      </c>
      <c r="Q255" s="210">
        <f t="shared" si="265"/>
        <v>2</v>
      </c>
      <c r="R255" s="210" t="str">
        <f t="shared" si="5"/>
        <v>Lv1 → Lv2</v>
      </c>
      <c r="S255" s="210">
        <f t="shared" si="6"/>
        <v>0</v>
      </c>
      <c r="T255" s="210"/>
      <c r="U255" s="210"/>
      <c r="V255" s="211" t="s">
        <v>206</v>
      </c>
      <c r="W255" s="210" t="str">
        <f t="shared" si="7"/>
        <v>GSD</v>
      </c>
      <c r="X255" s="210" t="str">
        <f t="shared" si="8"/>
        <v>GSD</v>
      </c>
      <c r="Y255" s="210" t="str">
        <f t="shared" si="9"/>
        <v>POC</v>
      </c>
      <c r="Z255" s="210"/>
      <c r="AA255" s="210"/>
      <c r="AB255" s="210"/>
      <c r="AC255" s="210"/>
      <c r="AD255" s="210"/>
      <c r="AE255" s="210"/>
      <c r="AF255" s="210"/>
      <c r="AG255" s="210"/>
      <c r="AH255" s="210"/>
      <c r="AI255" s="210"/>
      <c r="AJ255" s="210"/>
      <c r="AK255" s="210"/>
      <c r="AL255" s="210"/>
      <c r="AM255" s="214"/>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c r="BU255" s="210"/>
      <c r="BV255" s="210"/>
      <c r="BW255" s="210"/>
      <c r="BX255" s="210"/>
      <c r="BY255" s="210"/>
      <c r="BZ255" s="210"/>
      <c r="CA255" s="210"/>
      <c r="CB255" s="210"/>
      <c r="CC255" s="210"/>
      <c r="CD255" s="210"/>
      <c r="CE255" s="210"/>
      <c r="CF255" s="210"/>
      <c r="CG255" s="210"/>
      <c r="CH255" s="210"/>
      <c r="CI255" s="210"/>
      <c r="CJ255" s="210"/>
      <c r="CK255" s="210"/>
    </row>
    <row r="256">
      <c r="A256" s="222" t="s">
        <v>425</v>
      </c>
      <c r="B256" s="190" t="s">
        <v>426</v>
      </c>
      <c r="C256" s="223" t="s">
        <v>74</v>
      </c>
      <c r="D256" s="223" t="s">
        <v>867</v>
      </c>
      <c r="E256" s="190" t="s">
        <v>22</v>
      </c>
      <c r="F256" s="190"/>
      <c r="G256" s="190"/>
      <c r="H256" s="219">
        <f>IFERROR(
  MINIFS(ATTENDANCE_LOG!$F:$F,
         ATTENDANCE_LOG!$A:$A, C256,
         ATTENDANCE_LOG!$B:$B, E256),
"")</f>
        <v>46106.41667</v>
      </c>
      <c r="I256" s="219">
        <f t="shared" si="2"/>
        <v>45813.375</v>
      </c>
      <c r="J256" s="190" t="str">
        <f>IFERROR(VLOOKUP(F256, LEVEL_HELPER!$A:$B, 2, 0), "")</f>
        <v/>
      </c>
      <c r="K256" s="190" t="str">
        <f>IFERROR(VLOOKUP(G256, LEVEL_HELPER!$A:$B, 2, 0), "")</f>
        <v/>
      </c>
      <c r="L256" s="220" t="s">
        <v>943</v>
      </c>
      <c r="M256" s="220" t="s">
        <v>923</v>
      </c>
      <c r="N256" s="190">
        <f t="array" ref="N256">IFERROR(
  INDEX($J$2:$J$543,
    MATCH(A256&amp;TEXT(I256,"yyyy-mm-dd"),
          $A$2:$A$543&amp;TEXT($H$2:$H$543,"yyyy-mm-dd"),
          0)),
"")</f>
        <v>1</v>
      </c>
      <c r="O256" s="210">
        <f t="shared" si="3"/>
        <v>3.5</v>
      </c>
      <c r="P256" s="210">
        <f t="shared" ref="P256:Q256" si="266">IF(N256="",0,IF(N256&lt;=2,1,IF(N256&lt;=4,2,IF(N256&lt;=5.5,3,4))))</f>
        <v>1</v>
      </c>
      <c r="Q256" s="210">
        <f t="shared" si="266"/>
        <v>2</v>
      </c>
      <c r="R256" s="210" t="str">
        <f t="shared" si="5"/>
        <v>Lv1 → Lv2</v>
      </c>
      <c r="S256" s="210">
        <f t="shared" si="6"/>
        <v>0</v>
      </c>
      <c r="T256" s="210"/>
      <c r="U256" s="210"/>
      <c r="V256" s="211" t="s">
        <v>372</v>
      </c>
      <c r="W256" s="210" t="str">
        <f t="shared" si="7"/>
        <v>GSD</v>
      </c>
      <c r="X256" s="210" t="str">
        <f t="shared" si="8"/>
        <v>GSD</v>
      </c>
      <c r="Y256" s="210" t="str">
        <f t="shared" si="9"/>
        <v>POC</v>
      </c>
      <c r="Z256" s="210"/>
      <c r="AA256" s="210"/>
      <c r="AB256" s="210"/>
      <c r="AC256" s="210"/>
      <c r="AD256" s="210"/>
      <c r="AE256" s="210"/>
      <c r="AF256" s="210"/>
      <c r="AG256" s="210"/>
      <c r="AH256" s="210"/>
      <c r="AI256" s="210"/>
      <c r="AJ256" s="210"/>
      <c r="AK256" s="210"/>
      <c r="AL256" s="210"/>
      <c r="AM256" s="214"/>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c r="BU256" s="210"/>
      <c r="BV256" s="210"/>
      <c r="BW256" s="210"/>
      <c r="BX256" s="210"/>
      <c r="BY256" s="210"/>
      <c r="BZ256" s="210"/>
      <c r="CA256" s="210"/>
      <c r="CB256" s="210"/>
      <c r="CC256" s="210"/>
      <c r="CD256" s="210"/>
      <c r="CE256" s="210"/>
      <c r="CF256" s="210"/>
      <c r="CG256" s="210"/>
      <c r="CH256" s="210"/>
      <c r="CI256" s="210"/>
      <c r="CJ256" s="210"/>
      <c r="CK256" s="210"/>
    </row>
    <row r="257">
      <c r="A257" s="222" t="s">
        <v>431</v>
      </c>
      <c r="B257" s="190" t="s">
        <v>432</v>
      </c>
      <c r="C257" s="223" t="s">
        <v>74</v>
      </c>
      <c r="D257" s="223" t="s">
        <v>867</v>
      </c>
      <c r="E257" s="190" t="s">
        <v>22</v>
      </c>
      <c r="F257" s="190"/>
      <c r="G257" s="190"/>
      <c r="H257" s="219">
        <f>IFERROR(
  MINIFS(ATTENDANCE_LOG!$F:$F,
         ATTENDANCE_LOG!$A:$A, C257,
         ATTENDANCE_LOG!$B:$B, E257),
"")</f>
        <v>46106.41667</v>
      </c>
      <c r="I257" s="219">
        <f t="shared" si="2"/>
        <v>45813.375</v>
      </c>
      <c r="J257" s="190" t="str">
        <f>IFERROR(VLOOKUP(F257, LEVEL_HELPER!$A:$B, 2, 0), "")</f>
        <v/>
      </c>
      <c r="K257" s="190" t="str">
        <f>IFERROR(VLOOKUP(G257, LEVEL_HELPER!$A:$B, 2, 0), "")</f>
        <v/>
      </c>
      <c r="L257" s="220" t="s">
        <v>943</v>
      </c>
      <c r="M257" s="220" t="s">
        <v>924</v>
      </c>
      <c r="N257" s="190">
        <f t="array" ref="N257">IFERROR(
  INDEX($J$2:$J$543,
    MATCH(A257&amp;TEXT(I257,"yyyy-mm-dd"),
          $A$2:$A$543&amp;TEXT($H$2:$H$543,"yyyy-mm-dd"),
          0)),
"")</f>
        <v>1</v>
      </c>
      <c r="O257" s="210">
        <f t="shared" si="3"/>
        <v>5</v>
      </c>
      <c r="P257" s="210">
        <f t="shared" ref="P257:Q257" si="267">IF(N257="",0,IF(N257&lt;=2,1,IF(N257&lt;=4,2,IF(N257&lt;=5.5,3,4))))</f>
        <v>1</v>
      </c>
      <c r="Q257" s="210">
        <f t="shared" si="267"/>
        <v>3</v>
      </c>
      <c r="R257" s="210" t="str">
        <f t="shared" si="5"/>
        <v>Lv1 → Lv3 (multi)</v>
      </c>
      <c r="S257" s="210">
        <f t="shared" si="6"/>
        <v>0</v>
      </c>
      <c r="T257" s="210"/>
      <c r="U257" s="210"/>
      <c r="V257" s="211" t="s">
        <v>459</v>
      </c>
      <c r="W257" s="210" t="str">
        <f t="shared" si="7"/>
        <v>GSD</v>
      </c>
      <c r="X257" s="210" t="str">
        <f t="shared" si="8"/>
        <v>GSD</v>
      </c>
      <c r="Y257" s="210" t="str">
        <f t="shared" si="9"/>
        <v>POC</v>
      </c>
      <c r="Z257" s="210"/>
      <c r="AA257" s="210"/>
      <c r="AB257" s="210"/>
      <c r="AC257" s="210"/>
      <c r="AD257" s="210"/>
      <c r="AE257" s="210"/>
      <c r="AF257" s="210"/>
      <c r="AG257" s="210"/>
      <c r="AH257" s="210"/>
      <c r="AI257" s="210"/>
      <c r="AJ257" s="210"/>
      <c r="AK257" s="210"/>
      <c r="AL257" s="210"/>
      <c r="AM257" s="214"/>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c r="BU257" s="210"/>
      <c r="BV257" s="210"/>
      <c r="BW257" s="210"/>
      <c r="BX257" s="210"/>
      <c r="BY257" s="210"/>
      <c r="BZ257" s="210"/>
      <c r="CA257" s="210"/>
      <c r="CB257" s="210"/>
      <c r="CC257" s="210"/>
      <c r="CD257" s="210"/>
      <c r="CE257" s="210"/>
      <c r="CF257" s="210"/>
      <c r="CG257" s="210"/>
      <c r="CH257" s="210"/>
      <c r="CI257" s="210"/>
      <c r="CJ257" s="210"/>
      <c r="CK257" s="210"/>
    </row>
    <row r="258">
      <c r="A258" s="222" t="s">
        <v>453</v>
      </c>
      <c r="B258" s="190" t="s">
        <v>454</v>
      </c>
      <c r="C258" s="223" t="s">
        <v>74</v>
      </c>
      <c r="D258" s="223" t="s">
        <v>867</v>
      </c>
      <c r="E258" s="190" t="s">
        <v>22</v>
      </c>
      <c r="F258" s="190"/>
      <c r="G258" s="190"/>
      <c r="H258" s="219">
        <f>IFERROR(
  MINIFS(ATTENDANCE_LOG!$F:$F,
         ATTENDANCE_LOG!$A:$A, C258,
         ATTENDANCE_LOG!$B:$B, E258),
"")</f>
        <v>46106.41667</v>
      </c>
      <c r="I258" s="219">
        <f t="shared" si="2"/>
        <v>45813.375</v>
      </c>
      <c r="J258" s="190" t="str">
        <f>IFERROR(VLOOKUP(F258, LEVEL_HELPER!$A:$B, 2, 0), "")</f>
        <v/>
      </c>
      <c r="K258" s="190" t="str">
        <f>IFERROR(VLOOKUP(G258, LEVEL_HELPER!$A:$B, 2, 0), "")</f>
        <v/>
      </c>
      <c r="L258" s="220" t="s">
        <v>943</v>
      </c>
      <c r="M258" s="220" t="s">
        <v>924</v>
      </c>
      <c r="N258" s="190">
        <f t="array" ref="N258">IFERROR(
  INDEX($J$2:$J$543,
    MATCH(A258&amp;TEXT(I258,"yyyy-mm-dd"),
          $A$2:$A$543&amp;TEXT($H$2:$H$543,"yyyy-mm-dd"),
          0)),
"")</f>
        <v>1</v>
      </c>
      <c r="O258" s="210">
        <f t="shared" si="3"/>
        <v>3</v>
      </c>
      <c r="P258" s="210">
        <f t="shared" ref="P258:Q258" si="268">IF(N258="",0,IF(N258&lt;=2,1,IF(N258&lt;=4,2,IF(N258&lt;=5.5,3,4))))</f>
        <v>1</v>
      </c>
      <c r="Q258" s="210">
        <f t="shared" si="268"/>
        <v>2</v>
      </c>
      <c r="R258" s="210" t="str">
        <f t="shared" si="5"/>
        <v>Lv1 → Lv2</v>
      </c>
      <c r="S258" s="210">
        <f t="shared" si="6"/>
        <v>0</v>
      </c>
      <c r="T258" s="210"/>
      <c r="U258" s="210"/>
      <c r="V258" s="211" t="s">
        <v>536</v>
      </c>
      <c r="W258" s="210" t="str">
        <f t="shared" si="7"/>
        <v>GSD</v>
      </c>
      <c r="X258" s="210" t="str">
        <f t="shared" si="8"/>
        <v>GSD</v>
      </c>
      <c r="Y258" s="210" t="str">
        <f t="shared" si="9"/>
        <v>POC</v>
      </c>
      <c r="Z258" s="210"/>
      <c r="AA258" s="210"/>
      <c r="AB258" s="210"/>
      <c r="AC258" s="210"/>
      <c r="AD258" s="210"/>
      <c r="AE258" s="210"/>
      <c r="AF258" s="210"/>
      <c r="AG258" s="210"/>
      <c r="AH258" s="210"/>
      <c r="AI258" s="210"/>
      <c r="AJ258" s="210"/>
      <c r="AK258" s="210"/>
      <c r="AL258" s="210"/>
      <c r="AM258" s="214"/>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c r="BU258" s="210"/>
      <c r="BV258" s="210"/>
      <c r="BW258" s="210"/>
      <c r="BX258" s="210"/>
      <c r="BY258" s="210"/>
      <c r="BZ258" s="210"/>
      <c r="CA258" s="210"/>
      <c r="CB258" s="210"/>
      <c r="CC258" s="210"/>
      <c r="CD258" s="210"/>
      <c r="CE258" s="210"/>
      <c r="CF258" s="210"/>
      <c r="CG258" s="210"/>
      <c r="CH258" s="210"/>
      <c r="CI258" s="210"/>
      <c r="CJ258" s="210"/>
      <c r="CK258" s="210"/>
    </row>
    <row r="259">
      <c r="A259" s="222" t="s">
        <v>492</v>
      </c>
      <c r="B259" s="190" t="s">
        <v>493</v>
      </c>
      <c r="C259" s="223" t="s">
        <v>74</v>
      </c>
      <c r="D259" s="223" t="s">
        <v>867</v>
      </c>
      <c r="E259" s="190" t="s">
        <v>22</v>
      </c>
      <c r="F259" s="190"/>
      <c r="G259" s="190"/>
      <c r="H259" s="219">
        <f>IFERROR(
  MINIFS(ATTENDANCE_LOG!$F:$F,
         ATTENDANCE_LOG!$A:$A, C259,
         ATTENDANCE_LOG!$B:$B, E259),
"")</f>
        <v>46106.41667</v>
      </c>
      <c r="I259" s="219">
        <f t="shared" si="2"/>
        <v>45813.375</v>
      </c>
      <c r="J259" s="190" t="str">
        <f>IFERROR(VLOOKUP(F259, LEVEL_HELPER!$A:$B, 2, 0), "")</f>
        <v/>
      </c>
      <c r="K259" s="190" t="str">
        <f>IFERROR(VLOOKUP(G259, LEVEL_HELPER!$A:$B, 2, 0), "")</f>
        <v/>
      </c>
      <c r="L259" s="220" t="s">
        <v>943</v>
      </c>
      <c r="M259" s="220" t="s">
        <v>923</v>
      </c>
      <c r="N259" s="190" t="str">
        <f t="array" ref="N259">IFERROR(
  INDEX($J$2:$J$543,
    MATCH(A259&amp;TEXT(I259,"yyyy-mm-dd"),
          $A$2:$A$543&amp;TEXT($H$2:$H$543,"yyyy-mm-dd"),
          0)),
"")</f>
        <v/>
      </c>
      <c r="O259" s="210">
        <f t="shared" si="3"/>
        <v>0</v>
      </c>
      <c r="P259" s="210">
        <f t="shared" ref="P259:Q259" si="269">IF(N259="",0,IF(N259&lt;=2,1,IF(N259&lt;=4,2,IF(N259&lt;=5.5,3,4))))</f>
        <v>0</v>
      </c>
      <c r="Q259" s="210">
        <f t="shared" si="269"/>
        <v>1</v>
      </c>
      <c r="R259" s="210" t="str">
        <f t="shared" si="5"/>
        <v>No Data</v>
      </c>
      <c r="S259" s="210">
        <f t="shared" si="6"/>
        <v>0</v>
      </c>
      <c r="T259" s="210"/>
      <c r="U259" s="210"/>
      <c r="V259" s="211" t="s">
        <v>405</v>
      </c>
      <c r="W259" s="210" t="str">
        <f t="shared" si="7"/>
        <v>GSD</v>
      </c>
      <c r="X259" s="210" t="str">
        <f t="shared" si="8"/>
        <v>GSD</v>
      </c>
      <c r="Y259" s="210" t="str">
        <f t="shared" si="9"/>
        <v>TBU</v>
      </c>
      <c r="Z259" s="210"/>
      <c r="AA259" s="210"/>
      <c r="AB259" s="210"/>
      <c r="AC259" s="210"/>
      <c r="AD259" s="210"/>
      <c r="AE259" s="210"/>
      <c r="AF259" s="210"/>
      <c r="AG259" s="210"/>
      <c r="AH259" s="210"/>
      <c r="AI259" s="210"/>
      <c r="AJ259" s="210"/>
      <c r="AK259" s="210"/>
      <c r="AL259" s="210"/>
      <c r="AM259" s="214"/>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c r="BU259" s="210"/>
      <c r="BV259" s="210"/>
      <c r="BW259" s="210"/>
      <c r="BX259" s="210"/>
      <c r="BY259" s="210"/>
      <c r="BZ259" s="210"/>
      <c r="CA259" s="210"/>
      <c r="CB259" s="210"/>
      <c r="CC259" s="210"/>
      <c r="CD259" s="210"/>
      <c r="CE259" s="210"/>
      <c r="CF259" s="210"/>
      <c r="CG259" s="210"/>
      <c r="CH259" s="210"/>
      <c r="CI259" s="210"/>
      <c r="CJ259" s="210"/>
      <c r="CK259" s="210"/>
    </row>
    <row r="260">
      <c r="A260" s="222" t="s">
        <v>591</v>
      </c>
      <c r="B260" s="190" t="s">
        <v>592</v>
      </c>
      <c r="C260" s="223" t="s">
        <v>74</v>
      </c>
      <c r="D260" s="223" t="s">
        <v>867</v>
      </c>
      <c r="E260" s="190" t="s">
        <v>22</v>
      </c>
      <c r="F260" s="190"/>
      <c r="G260" s="190"/>
      <c r="H260" s="219">
        <f>IFERROR(
  MINIFS(ATTENDANCE_LOG!$F:$F,
         ATTENDANCE_LOG!$A:$A, C260,
         ATTENDANCE_LOG!$B:$B, E260),
"")</f>
        <v>46106.41667</v>
      </c>
      <c r="I260" s="219">
        <f t="shared" si="2"/>
        <v>45813.375</v>
      </c>
      <c r="J260" s="190" t="str">
        <f>IFERROR(VLOOKUP(F260, LEVEL_HELPER!$A:$B, 2, 0), "")</f>
        <v/>
      </c>
      <c r="K260" s="190" t="str">
        <f>IFERROR(VLOOKUP(G260, LEVEL_HELPER!$A:$B, 2, 0), "")</f>
        <v/>
      </c>
      <c r="L260" s="220" t="s">
        <v>943</v>
      </c>
      <c r="M260" s="229" t="s">
        <v>923</v>
      </c>
      <c r="N260" s="190" t="str">
        <f t="array" ref="N260">IFERROR(
  INDEX($J$2:$J$543,
    MATCH(A260&amp;TEXT(I260,"yyyy-mm-dd"),
          $A$2:$A$543&amp;TEXT($H$2:$H$543,"yyyy-mm-dd"),
          0)),
"")</f>
        <v/>
      </c>
      <c r="O260" s="210">
        <f t="shared" si="3"/>
        <v>0</v>
      </c>
      <c r="P260" s="210">
        <f t="shared" ref="P260:Q260" si="270">IF(N260="",0,IF(N260&lt;=2,1,IF(N260&lt;=4,2,IF(N260&lt;=5.5,3,4))))</f>
        <v>0</v>
      </c>
      <c r="Q260" s="210">
        <f t="shared" si="270"/>
        <v>1</v>
      </c>
      <c r="R260" s="210" t="str">
        <f t="shared" si="5"/>
        <v>No Data</v>
      </c>
      <c r="S260" s="210">
        <f t="shared" si="6"/>
        <v>0</v>
      </c>
      <c r="T260" s="210"/>
      <c r="U260" s="210"/>
      <c r="V260" s="211" t="s">
        <v>269</v>
      </c>
      <c r="W260" s="210" t="str">
        <f t="shared" si="7"/>
        <v>DEV</v>
      </c>
      <c r="X260" s="210" t="str">
        <f t="shared" si="8"/>
        <v>DEV, TA</v>
      </c>
      <c r="Y260" s="210" t="str">
        <f t="shared" si="9"/>
        <v>MOC</v>
      </c>
      <c r="Z260" s="210"/>
      <c r="AA260" s="210"/>
      <c r="AB260" s="210"/>
      <c r="AC260" s="210"/>
      <c r="AD260" s="210"/>
      <c r="AE260" s="210"/>
      <c r="AF260" s="210"/>
      <c r="AG260" s="210"/>
      <c r="AH260" s="210"/>
      <c r="AI260" s="210"/>
      <c r="AJ260" s="210"/>
      <c r="AK260" s="210"/>
      <c r="AL260" s="210"/>
      <c r="AM260" s="214"/>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c r="BU260" s="210"/>
      <c r="BV260" s="210"/>
      <c r="BW260" s="210"/>
      <c r="BX260" s="210"/>
      <c r="BY260" s="210"/>
      <c r="BZ260" s="210"/>
      <c r="CA260" s="210"/>
      <c r="CB260" s="210"/>
      <c r="CC260" s="210"/>
      <c r="CD260" s="210"/>
      <c r="CE260" s="210"/>
      <c r="CF260" s="210"/>
      <c r="CG260" s="210"/>
      <c r="CH260" s="210"/>
      <c r="CI260" s="210"/>
      <c r="CJ260" s="210"/>
      <c r="CK260" s="210"/>
    </row>
    <row r="261">
      <c r="A261" s="222" t="s">
        <v>593</v>
      </c>
      <c r="B261" s="217" t="s">
        <v>594</v>
      </c>
      <c r="C261" s="218" t="s">
        <v>75</v>
      </c>
      <c r="D261" s="218" t="s">
        <v>868</v>
      </c>
      <c r="E261" s="217" t="s">
        <v>21</v>
      </c>
      <c r="F261" s="13" t="s">
        <v>927</v>
      </c>
      <c r="G261" s="13" t="s">
        <v>929</v>
      </c>
      <c r="H261" s="219">
        <f>IFERROR(
  MINIFS(ATTENDANCE_LOG!$F:$F,
         ATTENDANCE_LOG!$A:$A, C261,
         ATTENDANCE_LOG!$B:$B, E261),
"")</f>
        <v>45761.41667</v>
      </c>
      <c r="I261" s="219">
        <f t="shared" si="2"/>
        <v>45761.41667</v>
      </c>
      <c r="J261" s="190">
        <f>IFERROR(VLOOKUP(F261, LEVEL_HELPER!$A:$B, 2, 0), "")</f>
        <v>1</v>
      </c>
      <c r="K261" s="190">
        <f>IFERROR(VLOOKUP(G261, LEVEL_HELPER!$A:$B, 2, 0), "")</f>
        <v>1.5</v>
      </c>
      <c r="L261" s="220" t="s">
        <v>943</v>
      </c>
      <c r="M261" s="220" t="s">
        <v>924</v>
      </c>
      <c r="N261" s="190">
        <f t="array" ref="N261">IFERROR(
  INDEX($J$2:$J$543,
    MATCH(A261&amp;TEXT(I261,"yyyy-mm-dd"),
          $A$2:$A$543&amp;TEXT($H$2:$H$543,"yyyy-mm-dd"),
          0)),
"")</f>
        <v>1</v>
      </c>
      <c r="O261" s="210">
        <f t="shared" si="3"/>
        <v>1.5</v>
      </c>
      <c r="P261" s="210">
        <f t="shared" ref="P261:Q261" si="271">IF(N261="",0,IF(N261&lt;=2,1,IF(N261&lt;=4,2,IF(N261&lt;=5.5,3,4))))</f>
        <v>1</v>
      </c>
      <c r="Q261" s="210">
        <f t="shared" si="271"/>
        <v>1</v>
      </c>
      <c r="R261" s="210" t="str">
        <f t="shared" si="5"/>
        <v>Progress within level</v>
      </c>
      <c r="S261" s="210">
        <f t="shared" si="6"/>
        <v>1</v>
      </c>
      <c r="T261" s="210"/>
      <c r="U261" s="210"/>
      <c r="V261" s="211" t="s">
        <v>361</v>
      </c>
      <c r="W261" s="210" t="str">
        <f t="shared" si="7"/>
        <v>GSD</v>
      </c>
      <c r="X261" s="210" t="str">
        <f t="shared" si="8"/>
        <v>GSD</v>
      </c>
      <c r="Y261" s="210" t="str">
        <f t="shared" si="9"/>
        <v>POC</v>
      </c>
      <c r="Z261" s="210"/>
      <c r="AA261" s="210"/>
      <c r="AB261" s="210"/>
      <c r="AC261" s="210"/>
      <c r="AD261" s="210"/>
      <c r="AE261" s="210"/>
      <c r="AF261" s="210"/>
      <c r="AG261" s="210"/>
      <c r="AH261" s="210"/>
      <c r="AI261" s="210"/>
      <c r="AJ261" s="210"/>
      <c r="AK261" s="210"/>
      <c r="AL261" s="210"/>
      <c r="AM261" s="214"/>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c r="BU261" s="210"/>
      <c r="BV261" s="210"/>
      <c r="BW261" s="210"/>
      <c r="BX261" s="210"/>
      <c r="BY261" s="210"/>
      <c r="BZ261" s="210"/>
      <c r="CA261" s="210"/>
      <c r="CB261" s="210"/>
      <c r="CC261" s="210"/>
      <c r="CD261" s="210"/>
      <c r="CE261" s="210"/>
      <c r="CF261" s="210"/>
      <c r="CG261" s="210"/>
      <c r="CH261" s="210"/>
      <c r="CI261" s="210"/>
      <c r="CJ261" s="210"/>
      <c r="CK261" s="210"/>
    </row>
    <row r="262">
      <c r="A262" s="222" t="s">
        <v>173</v>
      </c>
      <c r="B262" s="190" t="s">
        <v>174</v>
      </c>
      <c r="C262" s="223" t="s">
        <v>75</v>
      </c>
      <c r="D262" s="223" t="s">
        <v>868</v>
      </c>
      <c r="E262" s="190" t="s">
        <v>21</v>
      </c>
      <c r="F262" s="13" t="s">
        <v>927</v>
      </c>
      <c r="G262" s="13" t="s">
        <v>918</v>
      </c>
      <c r="H262" s="219">
        <f>IFERROR(
  MINIFS(ATTENDANCE_LOG!$F:$F,
         ATTENDANCE_LOG!$A:$A, C262,
         ATTENDANCE_LOG!$B:$B, E262),
"")</f>
        <v>45761.41667</v>
      </c>
      <c r="I262" s="219">
        <f t="shared" si="2"/>
        <v>45761.41667</v>
      </c>
      <c r="J262" s="190">
        <f>IFERROR(VLOOKUP(F262, LEVEL_HELPER!$A:$B, 2, 0), "")</f>
        <v>1</v>
      </c>
      <c r="K262" s="190">
        <f>IFERROR(VLOOKUP(G262, LEVEL_HELPER!$A:$B, 2, 0), "")</f>
        <v>3</v>
      </c>
      <c r="L262" s="220" t="s">
        <v>943</v>
      </c>
      <c r="M262" s="220" t="s">
        <v>924</v>
      </c>
      <c r="N262" s="190">
        <f t="array" ref="N262">IFERROR(
  INDEX($J$2:$J$543,
    MATCH(A262&amp;TEXT(I262,"yyyy-mm-dd"),
          $A$2:$A$543&amp;TEXT($H$2:$H$543,"yyyy-mm-dd"),
          0)),
"")</f>
        <v>1</v>
      </c>
      <c r="O262" s="210">
        <f t="shared" si="3"/>
        <v>3</v>
      </c>
      <c r="P262" s="210">
        <f t="shared" ref="P262:Q262" si="272">IF(N262="",0,IF(N262&lt;=2,1,IF(N262&lt;=4,2,IF(N262&lt;=5.5,3,4))))</f>
        <v>1</v>
      </c>
      <c r="Q262" s="210">
        <f t="shared" si="272"/>
        <v>2</v>
      </c>
      <c r="R262" s="210" t="str">
        <f t="shared" si="5"/>
        <v>Lv1 → Lv2</v>
      </c>
      <c r="S262" s="210">
        <f t="shared" si="6"/>
        <v>1</v>
      </c>
      <c r="T262" s="210"/>
      <c r="U262" s="210"/>
      <c r="V262" s="211" t="s">
        <v>385</v>
      </c>
      <c r="W262" s="210" t="str">
        <f t="shared" si="7"/>
        <v>GSD</v>
      </c>
      <c r="X262" s="210" t="str">
        <f t="shared" si="8"/>
        <v>GSD</v>
      </c>
      <c r="Y262" s="210" t="str">
        <f t="shared" si="9"/>
        <v>LBU</v>
      </c>
      <c r="Z262" s="210"/>
      <c r="AA262" s="210"/>
      <c r="AB262" s="210"/>
      <c r="AC262" s="210"/>
      <c r="AD262" s="210"/>
      <c r="AE262" s="210"/>
      <c r="AF262" s="210"/>
      <c r="AG262" s="210"/>
      <c r="AH262" s="210"/>
      <c r="AI262" s="210"/>
      <c r="AJ262" s="210"/>
      <c r="AK262" s="210"/>
      <c r="AL262" s="210"/>
      <c r="AM262" s="214"/>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c r="BU262" s="210"/>
      <c r="BV262" s="210"/>
      <c r="BW262" s="210"/>
      <c r="BX262" s="210"/>
      <c r="BY262" s="210"/>
      <c r="BZ262" s="210"/>
      <c r="CA262" s="210"/>
      <c r="CB262" s="210"/>
      <c r="CC262" s="210"/>
      <c r="CD262" s="210"/>
      <c r="CE262" s="210"/>
      <c r="CF262" s="210"/>
      <c r="CG262" s="210"/>
      <c r="CH262" s="210"/>
      <c r="CI262" s="210"/>
      <c r="CJ262" s="210"/>
      <c r="CK262" s="210"/>
    </row>
    <row r="263">
      <c r="A263" s="222" t="s">
        <v>281</v>
      </c>
      <c r="B263" s="190" t="s">
        <v>282</v>
      </c>
      <c r="C263" s="223" t="s">
        <v>75</v>
      </c>
      <c r="D263" s="223" t="s">
        <v>868</v>
      </c>
      <c r="E263" s="190" t="s">
        <v>21</v>
      </c>
      <c r="F263" s="13" t="s">
        <v>927</v>
      </c>
      <c r="G263" s="13" t="s">
        <v>918</v>
      </c>
      <c r="H263" s="219">
        <f>IFERROR(
  MINIFS(ATTENDANCE_LOG!$F:$F,
         ATTENDANCE_LOG!$A:$A, C263,
         ATTENDANCE_LOG!$B:$B, E263),
"")</f>
        <v>45761.41667</v>
      </c>
      <c r="I263" s="219">
        <f t="shared" si="2"/>
        <v>45761.41667</v>
      </c>
      <c r="J263" s="190">
        <f>IFERROR(VLOOKUP(F263, LEVEL_HELPER!$A:$B, 2, 0), "")</f>
        <v>1</v>
      </c>
      <c r="K263" s="190">
        <f>IFERROR(VLOOKUP(G263, LEVEL_HELPER!$A:$B, 2, 0), "")</f>
        <v>3</v>
      </c>
      <c r="L263" s="220" t="s">
        <v>943</v>
      </c>
      <c r="M263" s="220" t="s">
        <v>924</v>
      </c>
      <c r="N263" s="190">
        <f t="array" ref="N263">IFERROR(
  INDEX($J$2:$J$543,
    MATCH(A263&amp;TEXT(I263,"yyyy-mm-dd"),
          $A$2:$A$543&amp;TEXT($H$2:$H$543,"yyyy-mm-dd"),
          0)),
"")</f>
        <v>1</v>
      </c>
      <c r="O263" s="210">
        <f t="shared" si="3"/>
        <v>3</v>
      </c>
      <c r="P263" s="210">
        <f t="shared" ref="P263:Q263" si="273">IF(N263="",0,IF(N263&lt;=2,1,IF(N263&lt;=4,2,IF(N263&lt;=5.5,3,4))))</f>
        <v>1</v>
      </c>
      <c r="Q263" s="210">
        <f t="shared" si="273"/>
        <v>2</v>
      </c>
      <c r="R263" s="210" t="str">
        <f t="shared" si="5"/>
        <v>Lv1 → Lv2</v>
      </c>
      <c r="S263" s="210">
        <f t="shared" si="6"/>
        <v>1</v>
      </c>
      <c r="T263" s="210"/>
      <c r="U263" s="210"/>
      <c r="V263" s="211" t="s">
        <v>470</v>
      </c>
      <c r="W263" s="210" t="str">
        <f t="shared" si="7"/>
        <v>GSD</v>
      </c>
      <c r="X263" s="210" t="str">
        <f t="shared" si="8"/>
        <v>GSD</v>
      </c>
      <c r="Y263" s="210" t="str">
        <f t="shared" si="9"/>
        <v>TBU</v>
      </c>
      <c r="Z263" s="210"/>
      <c r="AA263" s="210"/>
      <c r="AB263" s="210"/>
      <c r="AC263" s="210"/>
      <c r="AD263" s="210"/>
      <c r="AE263" s="210"/>
      <c r="AF263" s="210"/>
      <c r="AG263" s="210"/>
      <c r="AH263" s="210"/>
      <c r="AI263" s="210"/>
      <c r="AJ263" s="210"/>
      <c r="AK263" s="210"/>
      <c r="AL263" s="210"/>
      <c r="AM263" s="214"/>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c r="BU263" s="210"/>
      <c r="BV263" s="210"/>
      <c r="BW263" s="210"/>
      <c r="BX263" s="210"/>
      <c r="BY263" s="210"/>
      <c r="BZ263" s="210"/>
      <c r="CA263" s="210"/>
      <c r="CB263" s="210"/>
      <c r="CC263" s="210"/>
      <c r="CD263" s="210"/>
      <c r="CE263" s="210"/>
      <c r="CF263" s="210"/>
      <c r="CG263" s="210"/>
      <c r="CH263" s="210"/>
      <c r="CI263" s="210"/>
      <c r="CJ263" s="210"/>
      <c r="CK263" s="210"/>
    </row>
    <row r="264">
      <c r="A264" s="222" t="s">
        <v>336</v>
      </c>
      <c r="B264" s="190" t="s">
        <v>337</v>
      </c>
      <c r="C264" s="223" t="s">
        <v>75</v>
      </c>
      <c r="D264" s="223" t="s">
        <v>868</v>
      </c>
      <c r="E264" s="190" t="s">
        <v>21</v>
      </c>
      <c r="F264" s="13" t="s">
        <v>927</v>
      </c>
      <c r="G264" s="13" t="s">
        <v>935</v>
      </c>
      <c r="H264" s="219">
        <f>IFERROR(
  MINIFS(ATTENDANCE_LOG!$F:$F,
         ATTENDANCE_LOG!$A:$A, C264,
         ATTENDANCE_LOG!$B:$B, E264),
"")</f>
        <v>45761.41667</v>
      </c>
      <c r="I264" s="219">
        <f t="shared" si="2"/>
        <v>45761.41667</v>
      </c>
      <c r="J264" s="190">
        <f>IFERROR(VLOOKUP(F264, LEVEL_HELPER!$A:$B, 2, 0), "")</f>
        <v>1</v>
      </c>
      <c r="K264" s="190">
        <f>IFERROR(VLOOKUP(G264, LEVEL_HELPER!$A:$B, 2, 0), "")</f>
        <v>3.5</v>
      </c>
      <c r="L264" s="220" t="s">
        <v>919</v>
      </c>
      <c r="M264" s="220" t="s">
        <v>924</v>
      </c>
      <c r="N264" s="190">
        <f t="array" ref="N264">IFERROR(
  INDEX($J$2:$J$543,
    MATCH(A264&amp;TEXT(I264,"yyyy-mm-dd"),
          $A$2:$A$543&amp;TEXT($H$2:$H$543,"yyyy-mm-dd"),
          0)),
"")</f>
        <v>1</v>
      </c>
      <c r="O264" s="210">
        <f t="shared" si="3"/>
        <v>3.5</v>
      </c>
      <c r="P264" s="210">
        <f t="shared" ref="P264:Q264" si="274">IF(N264="",0,IF(N264&lt;=2,1,IF(N264&lt;=4,2,IF(N264&lt;=5.5,3,4))))</f>
        <v>1</v>
      </c>
      <c r="Q264" s="210">
        <f t="shared" si="274"/>
        <v>2</v>
      </c>
      <c r="R264" s="210" t="str">
        <f t="shared" si="5"/>
        <v>Lv1 → Lv2</v>
      </c>
      <c r="S264" s="210">
        <f t="shared" si="6"/>
        <v>1</v>
      </c>
      <c r="T264" s="210"/>
      <c r="U264" s="210"/>
      <c r="V264" s="211" t="s">
        <v>532</v>
      </c>
      <c r="W264" s="210" t="str">
        <f t="shared" si="7"/>
        <v>GSD</v>
      </c>
      <c r="X264" s="210" t="str">
        <f t="shared" si="8"/>
        <v>GSD</v>
      </c>
      <c r="Y264" s="210" t="str">
        <f t="shared" si="9"/>
        <v>TBU</v>
      </c>
      <c r="Z264" s="210"/>
      <c r="AA264" s="210"/>
      <c r="AB264" s="210"/>
      <c r="AC264" s="210"/>
      <c r="AD264" s="210"/>
      <c r="AE264" s="210"/>
      <c r="AF264" s="210"/>
      <c r="AG264" s="210"/>
      <c r="AH264" s="210"/>
      <c r="AI264" s="210"/>
      <c r="AJ264" s="210"/>
      <c r="AK264" s="210"/>
      <c r="AL264" s="210"/>
      <c r="AM264" s="214"/>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c r="BU264" s="210"/>
      <c r="BV264" s="210"/>
      <c r="BW264" s="210"/>
      <c r="BX264" s="210"/>
      <c r="BY264" s="210"/>
      <c r="BZ264" s="210"/>
      <c r="CA264" s="210"/>
      <c r="CB264" s="210"/>
      <c r="CC264" s="210"/>
      <c r="CD264" s="210"/>
      <c r="CE264" s="210"/>
      <c r="CF264" s="210"/>
      <c r="CG264" s="210"/>
      <c r="CH264" s="210"/>
      <c r="CI264" s="210"/>
      <c r="CJ264" s="210"/>
      <c r="CK264" s="210"/>
    </row>
    <row r="265">
      <c r="A265" s="222" t="s">
        <v>417</v>
      </c>
      <c r="B265" s="190" t="s">
        <v>418</v>
      </c>
      <c r="C265" s="223" t="s">
        <v>75</v>
      </c>
      <c r="D265" s="223" t="s">
        <v>868</v>
      </c>
      <c r="E265" s="190" t="s">
        <v>21</v>
      </c>
      <c r="F265" s="13" t="s">
        <v>927</v>
      </c>
      <c r="G265" s="13" t="s">
        <v>929</v>
      </c>
      <c r="H265" s="219">
        <f>IFERROR(
  MINIFS(ATTENDANCE_LOG!$F:$F,
         ATTENDANCE_LOG!$A:$A, C265,
         ATTENDANCE_LOG!$B:$B, E265),
"")</f>
        <v>45761.41667</v>
      </c>
      <c r="I265" s="219">
        <f t="shared" si="2"/>
        <v>45761.41667</v>
      </c>
      <c r="J265" s="190">
        <f>IFERROR(VLOOKUP(F265, LEVEL_HELPER!$A:$B, 2, 0), "")</f>
        <v>1</v>
      </c>
      <c r="K265" s="190">
        <f>IFERROR(VLOOKUP(G265, LEVEL_HELPER!$A:$B, 2, 0), "")</f>
        <v>1.5</v>
      </c>
      <c r="L265" s="220" t="s">
        <v>919</v>
      </c>
      <c r="M265" s="220" t="s">
        <v>924</v>
      </c>
      <c r="N265" s="190">
        <f t="array" ref="N265">IFERROR(
  INDEX($J$2:$J$543,
    MATCH(A265&amp;TEXT(I265,"yyyy-mm-dd"),
          $A$2:$A$543&amp;TEXT($H$2:$H$543,"yyyy-mm-dd"),
          0)),
"")</f>
        <v>1</v>
      </c>
      <c r="O265" s="210">
        <f t="shared" si="3"/>
        <v>1.5</v>
      </c>
      <c r="P265" s="210">
        <f t="shared" ref="P265:Q265" si="275">IF(N265="",0,IF(N265&lt;=2,1,IF(N265&lt;=4,2,IF(N265&lt;=5.5,3,4))))</f>
        <v>1</v>
      </c>
      <c r="Q265" s="210">
        <f t="shared" si="275"/>
        <v>1</v>
      </c>
      <c r="R265" s="210" t="str">
        <f t="shared" si="5"/>
        <v>Progress within level</v>
      </c>
      <c r="S265" s="210">
        <f t="shared" si="6"/>
        <v>1</v>
      </c>
      <c r="T265" s="210"/>
      <c r="U265" s="210"/>
      <c r="V265" s="211" t="s">
        <v>502</v>
      </c>
      <c r="W265" s="210" t="str">
        <f t="shared" si="7"/>
        <v>GSD</v>
      </c>
      <c r="X265" s="210" t="str">
        <f t="shared" si="8"/>
        <v>GSD</v>
      </c>
      <c r="Y265" s="210" t="str">
        <f t="shared" si="9"/>
        <v>LBU</v>
      </c>
      <c r="Z265" s="210"/>
      <c r="AA265" s="210"/>
      <c r="AB265" s="210"/>
      <c r="AC265" s="210"/>
      <c r="AD265" s="210"/>
      <c r="AE265" s="210"/>
      <c r="AF265" s="210"/>
      <c r="AG265" s="210"/>
      <c r="AH265" s="210"/>
      <c r="AI265" s="210"/>
      <c r="AJ265" s="210"/>
      <c r="AK265" s="210"/>
      <c r="AL265" s="210"/>
      <c r="AM265" s="214"/>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c r="BU265" s="210"/>
      <c r="BV265" s="210"/>
      <c r="BW265" s="210"/>
      <c r="BX265" s="210"/>
      <c r="BY265" s="210"/>
      <c r="BZ265" s="210"/>
      <c r="CA265" s="210"/>
      <c r="CB265" s="210"/>
      <c r="CC265" s="210"/>
      <c r="CD265" s="210"/>
      <c r="CE265" s="210"/>
      <c r="CF265" s="210"/>
      <c r="CG265" s="210"/>
      <c r="CH265" s="210"/>
      <c r="CI265" s="210"/>
      <c r="CJ265" s="210"/>
      <c r="CK265" s="210"/>
    </row>
    <row r="266">
      <c r="A266" s="222" t="s">
        <v>587</v>
      </c>
      <c r="B266" s="190" t="s">
        <v>588</v>
      </c>
      <c r="C266" s="223" t="s">
        <v>75</v>
      </c>
      <c r="D266" s="223" t="s">
        <v>868</v>
      </c>
      <c r="E266" s="190" t="s">
        <v>21</v>
      </c>
      <c r="F266" s="13" t="s">
        <v>927</v>
      </c>
      <c r="G266" s="13" t="s">
        <v>918</v>
      </c>
      <c r="H266" s="219">
        <f>IFERROR(
  MINIFS(ATTENDANCE_LOG!$F:$F,
         ATTENDANCE_LOG!$A:$A, C266,
         ATTENDANCE_LOG!$B:$B, E266),
"")</f>
        <v>45761.41667</v>
      </c>
      <c r="I266" s="219">
        <f t="shared" si="2"/>
        <v>45761.41667</v>
      </c>
      <c r="J266" s="190">
        <f>IFERROR(VLOOKUP(F266, LEVEL_HELPER!$A:$B, 2, 0), "")</f>
        <v>1</v>
      </c>
      <c r="K266" s="190">
        <f>IFERROR(VLOOKUP(G266, LEVEL_HELPER!$A:$B, 2, 0), "")</f>
        <v>3</v>
      </c>
      <c r="L266" s="220" t="s">
        <v>943</v>
      </c>
      <c r="M266" s="220" t="s">
        <v>923</v>
      </c>
      <c r="N266" s="190">
        <f t="array" ref="N266">IFERROR(
  INDEX($J$2:$J$543,
    MATCH(A266&amp;TEXT(I266,"yyyy-mm-dd"),
          $A$2:$A$543&amp;TEXT($H$2:$H$543,"yyyy-mm-dd"),
          0)),
"")</f>
        <v>1</v>
      </c>
      <c r="O266" s="210">
        <f t="shared" si="3"/>
        <v>3</v>
      </c>
      <c r="P266" s="210">
        <f t="shared" ref="P266:Q266" si="276">IF(N266="",0,IF(N266&lt;=2,1,IF(N266&lt;=4,2,IF(N266&lt;=5.5,3,4))))</f>
        <v>1</v>
      </c>
      <c r="Q266" s="210">
        <f t="shared" si="276"/>
        <v>2</v>
      </c>
      <c r="R266" s="210" t="str">
        <f t="shared" si="5"/>
        <v>Lv1 → Lv2</v>
      </c>
      <c r="S266" s="210">
        <f t="shared" si="6"/>
        <v>1</v>
      </c>
      <c r="T266" s="210"/>
      <c r="U266" s="210"/>
      <c r="V266" s="211" t="s">
        <v>427</v>
      </c>
      <c r="W266" s="210" t="str">
        <f t="shared" si="7"/>
        <v>GSD</v>
      </c>
      <c r="X266" s="210" t="str">
        <f t="shared" si="8"/>
        <v>GSD</v>
      </c>
      <c r="Y266" s="210" t="str">
        <f t="shared" si="9"/>
        <v>LBU</v>
      </c>
      <c r="Z266" s="210"/>
      <c r="AA266" s="210"/>
      <c r="AB266" s="210"/>
      <c r="AC266" s="210"/>
      <c r="AD266" s="210"/>
      <c r="AE266" s="210"/>
      <c r="AF266" s="210"/>
      <c r="AG266" s="210"/>
      <c r="AH266" s="210"/>
      <c r="AI266" s="210"/>
      <c r="AJ266" s="210"/>
      <c r="AK266" s="210"/>
      <c r="AL266" s="210"/>
      <c r="AM266" s="214"/>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c r="BU266" s="210"/>
      <c r="BV266" s="210"/>
      <c r="BW266" s="210"/>
      <c r="BX266" s="210"/>
      <c r="BY266" s="210"/>
      <c r="BZ266" s="210"/>
      <c r="CA266" s="210"/>
      <c r="CB266" s="210"/>
      <c r="CC266" s="210"/>
      <c r="CD266" s="210"/>
      <c r="CE266" s="210"/>
      <c r="CF266" s="210"/>
      <c r="CG266" s="210"/>
      <c r="CH266" s="210"/>
      <c r="CI266" s="210"/>
      <c r="CJ266" s="210"/>
      <c r="CK266" s="210"/>
    </row>
    <row r="267">
      <c r="A267" s="222" t="s">
        <v>593</v>
      </c>
      <c r="B267" s="217" t="s">
        <v>594</v>
      </c>
      <c r="C267" s="218" t="s">
        <v>75</v>
      </c>
      <c r="D267" s="218" t="s">
        <v>868</v>
      </c>
      <c r="E267" s="217" t="s">
        <v>22</v>
      </c>
      <c r="F267" s="13" t="s">
        <v>929</v>
      </c>
      <c r="G267" s="190"/>
      <c r="H267" s="219">
        <f>IFERROR(
  MINIFS(ATTENDANCE_LOG!$F:$F,
         ATTENDANCE_LOG!$A:$A, C267,
         ATTENDANCE_LOG!$B:$B, E267),
"")</f>
        <v>45922.41667</v>
      </c>
      <c r="I267" s="219">
        <f t="shared" si="2"/>
        <v>45761.41667</v>
      </c>
      <c r="J267" s="190">
        <f>IFERROR(VLOOKUP(F267, LEVEL_HELPER!$A:$B, 2, 0), "")</f>
        <v>1.5</v>
      </c>
      <c r="K267" s="190" t="str">
        <f>IFERROR(VLOOKUP(G267, LEVEL_HELPER!$A:$B, 2, 0), "")</f>
        <v/>
      </c>
      <c r="L267" s="220" t="s">
        <v>943</v>
      </c>
      <c r="M267" s="220" t="s">
        <v>924</v>
      </c>
      <c r="N267" s="190">
        <f t="array" ref="N267">IFERROR(
  INDEX($J$2:$J$543,
    MATCH(A267&amp;TEXT(I267,"yyyy-mm-dd"),
          $A$2:$A$543&amp;TEXT($H$2:$H$543,"yyyy-mm-dd"),
          0)),
"")</f>
        <v>1</v>
      </c>
      <c r="O267" s="210">
        <f t="shared" si="3"/>
        <v>1.5</v>
      </c>
      <c r="P267" s="210">
        <f t="shared" ref="P267:Q267" si="277">IF(N267="",0,IF(N267&lt;=2,1,IF(N267&lt;=4,2,IF(N267&lt;=5.5,3,4))))</f>
        <v>1</v>
      </c>
      <c r="Q267" s="210">
        <f t="shared" si="277"/>
        <v>1</v>
      </c>
      <c r="R267" s="210" t="str">
        <f t="shared" si="5"/>
        <v>Progress within level</v>
      </c>
      <c r="S267" s="210">
        <f t="shared" si="6"/>
        <v>0</v>
      </c>
      <c r="T267" s="210"/>
      <c r="U267" s="210"/>
      <c r="V267" s="211" t="s">
        <v>655</v>
      </c>
      <c r="W267" s="210" t="str">
        <f t="shared" si="7"/>
        <v>GSD</v>
      </c>
      <c r="X267" s="210" t="str">
        <f t="shared" si="8"/>
        <v>GSD</v>
      </c>
      <c r="Y267" s="210" t="str">
        <f t="shared" si="9"/>
        <v>LBU</v>
      </c>
      <c r="Z267" s="210"/>
      <c r="AA267" s="210"/>
      <c r="AB267" s="210"/>
      <c r="AC267" s="210"/>
      <c r="AD267" s="210"/>
      <c r="AE267" s="210"/>
      <c r="AF267" s="210"/>
      <c r="AG267" s="210"/>
      <c r="AH267" s="210"/>
      <c r="AI267" s="210"/>
      <c r="AJ267" s="210"/>
      <c r="AK267" s="210"/>
      <c r="AL267" s="210"/>
      <c r="AM267" s="214"/>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c r="BU267" s="210"/>
      <c r="BV267" s="210"/>
      <c r="BW267" s="210"/>
      <c r="BX267" s="210"/>
      <c r="BY267" s="210"/>
      <c r="BZ267" s="210"/>
      <c r="CA267" s="210"/>
      <c r="CB267" s="210"/>
      <c r="CC267" s="210"/>
      <c r="CD267" s="210"/>
      <c r="CE267" s="210"/>
      <c r="CF267" s="210"/>
      <c r="CG267" s="210"/>
      <c r="CH267" s="210"/>
      <c r="CI267" s="210"/>
      <c r="CJ267" s="210"/>
      <c r="CK267" s="210"/>
    </row>
    <row r="268">
      <c r="A268" s="222" t="s">
        <v>173</v>
      </c>
      <c r="B268" s="190" t="s">
        <v>174</v>
      </c>
      <c r="C268" s="223" t="s">
        <v>75</v>
      </c>
      <c r="D268" s="223" t="s">
        <v>868</v>
      </c>
      <c r="E268" s="190" t="s">
        <v>22</v>
      </c>
      <c r="F268" s="13" t="s">
        <v>918</v>
      </c>
      <c r="G268" s="190"/>
      <c r="H268" s="219">
        <f>IFERROR(
  MINIFS(ATTENDANCE_LOG!$F:$F,
         ATTENDANCE_LOG!$A:$A, C268,
         ATTENDANCE_LOG!$B:$B, E268),
"")</f>
        <v>45922.41667</v>
      </c>
      <c r="I268" s="219">
        <f t="shared" si="2"/>
        <v>45761.41667</v>
      </c>
      <c r="J268" s="190">
        <f>IFERROR(VLOOKUP(F268, LEVEL_HELPER!$A:$B, 2, 0), "")</f>
        <v>3</v>
      </c>
      <c r="K268" s="190" t="str">
        <f>IFERROR(VLOOKUP(G268, LEVEL_HELPER!$A:$B, 2, 0), "")</f>
        <v/>
      </c>
      <c r="L268" s="220" t="s">
        <v>943</v>
      </c>
      <c r="M268" s="220" t="s">
        <v>924</v>
      </c>
      <c r="N268" s="190">
        <f t="array" ref="N268">IFERROR(
  INDEX($J$2:$J$543,
    MATCH(A268&amp;TEXT(I268,"yyyy-mm-dd"),
          $A$2:$A$543&amp;TEXT($H$2:$H$543,"yyyy-mm-dd"),
          0)),
"")</f>
        <v>1</v>
      </c>
      <c r="O268" s="210">
        <f t="shared" si="3"/>
        <v>3</v>
      </c>
      <c r="P268" s="210">
        <f t="shared" ref="P268:Q268" si="278">IF(N268="",0,IF(N268&lt;=2,1,IF(N268&lt;=4,2,IF(N268&lt;=5.5,3,4))))</f>
        <v>1</v>
      </c>
      <c r="Q268" s="210">
        <f t="shared" si="278"/>
        <v>2</v>
      </c>
      <c r="R268" s="210" t="str">
        <f t="shared" si="5"/>
        <v>Lv1 → Lv2</v>
      </c>
      <c r="S268" s="210">
        <f t="shared" si="6"/>
        <v>0</v>
      </c>
      <c r="T268" s="210"/>
      <c r="U268" s="210"/>
      <c r="V268" s="211" t="s">
        <v>705</v>
      </c>
      <c r="W268" s="210" t="str">
        <f t="shared" si="7"/>
        <v>BC</v>
      </c>
      <c r="X268" s="210" t="str">
        <f t="shared" si="8"/>
        <v>BA, BC</v>
      </c>
      <c r="Y268" s="210" t="str">
        <f t="shared" si="9"/>
        <v>LBU</v>
      </c>
      <c r="Z268" s="210"/>
      <c r="AA268" s="210"/>
      <c r="AB268" s="210"/>
      <c r="AC268" s="210"/>
      <c r="AD268" s="210"/>
      <c r="AE268" s="210"/>
      <c r="AF268" s="210"/>
      <c r="AG268" s="210"/>
      <c r="AH268" s="210"/>
      <c r="AI268" s="210"/>
      <c r="AJ268" s="210"/>
      <c r="AK268" s="210"/>
      <c r="AL268" s="210"/>
      <c r="AM268" s="214"/>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c r="BU268" s="210"/>
      <c r="BV268" s="210"/>
      <c r="BW268" s="210"/>
      <c r="BX268" s="210"/>
      <c r="BY268" s="210"/>
      <c r="BZ268" s="210"/>
      <c r="CA268" s="210"/>
      <c r="CB268" s="210"/>
      <c r="CC268" s="210"/>
      <c r="CD268" s="210"/>
      <c r="CE268" s="210"/>
      <c r="CF268" s="210"/>
      <c r="CG268" s="210"/>
      <c r="CH268" s="210"/>
      <c r="CI268" s="210"/>
      <c r="CJ268" s="210"/>
      <c r="CK268" s="210"/>
    </row>
    <row r="269">
      <c r="A269" s="222" t="s">
        <v>281</v>
      </c>
      <c r="B269" s="190" t="s">
        <v>282</v>
      </c>
      <c r="C269" s="223" t="s">
        <v>75</v>
      </c>
      <c r="D269" s="223" t="s">
        <v>868</v>
      </c>
      <c r="E269" s="190" t="s">
        <v>22</v>
      </c>
      <c r="F269" s="13" t="s">
        <v>918</v>
      </c>
      <c r="G269" s="190"/>
      <c r="H269" s="219">
        <f>IFERROR(
  MINIFS(ATTENDANCE_LOG!$F:$F,
         ATTENDANCE_LOG!$A:$A, C269,
         ATTENDANCE_LOG!$B:$B, E269),
"")</f>
        <v>45922.41667</v>
      </c>
      <c r="I269" s="219">
        <f t="shared" si="2"/>
        <v>45761.41667</v>
      </c>
      <c r="J269" s="190">
        <f>IFERROR(VLOOKUP(F269, LEVEL_HELPER!$A:$B, 2, 0), "")</f>
        <v>3</v>
      </c>
      <c r="K269" s="190" t="str">
        <f>IFERROR(VLOOKUP(G269, LEVEL_HELPER!$A:$B, 2, 0), "")</f>
        <v/>
      </c>
      <c r="L269" s="220" t="s">
        <v>943</v>
      </c>
      <c r="M269" s="220" t="s">
        <v>924</v>
      </c>
      <c r="N269" s="190">
        <f t="array" ref="N269">IFERROR(
  INDEX($J$2:$J$543,
    MATCH(A269&amp;TEXT(I269,"yyyy-mm-dd"),
          $A$2:$A$543&amp;TEXT($H$2:$H$543,"yyyy-mm-dd"),
          0)),
"")</f>
        <v>1</v>
      </c>
      <c r="O269" s="210">
        <f t="shared" si="3"/>
        <v>3</v>
      </c>
      <c r="P269" s="210">
        <f t="shared" ref="P269:Q269" si="279">IF(N269="",0,IF(N269&lt;=2,1,IF(N269&lt;=4,2,IF(N269&lt;=5.5,3,4))))</f>
        <v>1</v>
      </c>
      <c r="Q269" s="210">
        <f t="shared" si="279"/>
        <v>2</v>
      </c>
      <c r="R269" s="210" t="str">
        <f t="shared" si="5"/>
        <v>Lv1 → Lv2</v>
      </c>
      <c r="S269" s="210">
        <f t="shared" si="6"/>
        <v>0</v>
      </c>
      <c r="T269" s="210"/>
      <c r="U269" s="210"/>
      <c r="V269" s="211" t="s">
        <v>581</v>
      </c>
      <c r="W269" s="210" t="str">
        <f t="shared" si="7"/>
        <v>DEV</v>
      </c>
      <c r="X269" s="210" t="str">
        <f t="shared" si="8"/>
        <v>DEV, TA</v>
      </c>
      <c r="Y269" s="210" t="str">
        <f t="shared" si="9"/>
        <v>ONC</v>
      </c>
      <c r="Z269" s="210"/>
      <c r="AA269" s="210"/>
      <c r="AB269" s="210"/>
      <c r="AC269" s="210"/>
      <c r="AD269" s="210"/>
      <c r="AE269" s="210"/>
      <c r="AF269" s="210"/>
      <c r="AG269" s="210"/>
      <c r="AH269" s="210"/>
      <c r="AI269" s="210"/>
      <c r="AJ269" s="210"/>
      <c r="AK269" s="210"/>
      <c r="AL269" s="210"/>
      <c r="AM269" s="214"/>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c r="BU269" s="210"/>
      <c r="BV269" s="210"/>
      <c r="BW269" s="210"/>
      <c r="BX269" s="210"/>
      <c r="BY269" s="210"/>
      <c r="BZ269" s="210"/>
      <c r="CA269" s="210"/>
      <c r="CB269" s="210"/>
      <c r="CC269" s="210"/>
      <c r="CD269" s="210"/>
      <c r="CE269" s="210"/>
      <c r="CF269" s="210"/>
      <c r="CG269" s="210"/>
      <c r="CH269" s="210"/>
      <c r="CI269" s="210"/>
      <c r="CJ269" s="210"/>
      <c r="CK269" s="210"/>
    </row>
    <row r="270">
      <c r="A270" s="222" t="s">
        <v>336</v>
      </c>
      <c r="B270" s="190" t="s">
        <v>337</v>
      </c>
      <c r="C270" s="223" t="s">
        <v>75</v>
      </c>
      <c r="D270" s="223" t="s">
        <v>868</v>
      </c>
      <c r="E270" s="190" t="s">
        <v>22</v>
      </c>
      <c r="F270" s="13" t="s">
        <v>935</v>
      </c>
      <c r="G270" s="190"/>
      <c r="H270" s="219">
        <f>IFERROR(
  MINIFS(ATTENDANCE_LOG!$F:$F,
         ATTENDANCE_LOG!$A:$A, C270,
         ATTENDANCE_LOG!$B:$B, E270),
"")</f>
        <v>45922.41667</v>
      </c>
      <c r="I270" s="219">
        <f t="shared" si="2"/>
        <v>45761.41667</v>
      </c>
      <c r="J270" s="190">
        <f>IFERROR(VLOOKUP(F270, LEVEL_HELPER!$A:$B, 2, 0), "")</f>
        <v>3.5</v>
      </c>
      <c r="K270" s="190" t="str">
        <f>IFERROR(VLOOKUP(G270, LEVEL_HELPER!$A:$B, 2, 0), "")</f>
        <v/>
      </c>
      <c r="L270" s="220" t="s">
        <v>919</v>
      </c>
      <c r="M270" s="220" t="s">
        <v>924</v>
      </c>
      <c r="N270" s="190">
        <f t="array" ref="N270">IFERROR(
  INDEX($J$2:$J$543,
    MATCH(A270&amp;TEXT(I270,"yyyy-mm-dd"),
          $A$2:$A$543&amp;TEXT($H$2:$H$543,"yyyy-mm-dd"),
          0)),
"")</f>
        <v>1</v>
      </c>
      <c r="O270" s="210">
        <f t="shared" si="3"/>
        <v>3.5</v>
      </c>
      <c r="P270" s="210">
        <f t="shared" ref="P270:Q270" si="280">IF(N270="",0,IF(N270&lt;=2,1,IF(N270&lt;=4,2,IF(N270&lt;=5.5,3,4))))</f>
        <v>1</v>
      </c>
      <c r="Q270" s="210">
        <f t="shared" si="280"/>
        <v>2</v>
      </c>
      <c r="R270" s="210" t="str">
        <f t="shared" si="5"/>
        <v>Lv1 → Lv2</v>
      </c>
      <c r="S270" s="210">
        <f t="shared" si="6"/>
        <v>0</v>
      </c>
      <c r="T270" s="210"/>
      <c r="U270" s="210"/>
      <c r="V270" s="211" t="s">
        <v>344</v>
      </c>
      <c r="W270" s="210" t="str">
        <f t="shared" si="7"/>
        <v>DEV</v>
      </c>
      <c r="X270" s="210" t="str">
        <f t="shared" si="8"/>
        <v>DEV, TA</v>
      </c>
      <c r="Y270" s="210" t="str">
        <f t="shared" si="9"/>
        <v>ONC</v>
      </c>
      <c r="Z270" s="210"/>
      <c r="AA270" s="210"/>
      <c r="AB270" s="210"/>
      <c r="AC270" s="210"/>
      <c r="AD270" s="210"/>
      <c r="AE270" s="210"/>
      <c r="AF270" s="210"/>
      <c r="AG270" s="210"/>
      <c r="AH270" s="210"/>
      <c r="AI270" s="210"/>
      <c r="AJ270" s="210"/>
      <c r="AK270" s="210"/>
      <c r="AL270" s="210"/>
      <c r="AM270" s="214"/>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c r="BU270" s="210"/>
      <c r="BV270" s="210"/>
      <c r="BW270" s="210"/>
      <c r="BX270" s="210"/>
      <c r="BY270" s="210"/>
      <c r="BZ270" s="210"/>
      <c r="CA270" s="210"/>
      <c r="CB270" s="210"/>
      <c r="CC270" s="210"/>
      <c r="CD270" s="210"/>
      <c r="CE270" s="210"/>
      <c r="CF270" s="210"/>
      <c r="CG270" s="210"/>
      <c r="CH270" s="210"/>
      <c r="CI270" s="210"/>
      <c r="CJ270" s="210"/>
      <c r="CK270" s="210"/>
    </row>
    <row r="271">
      <c r="A271" s="222" t="s">
        <v>417</v>
      </c>
      <c r="B271" s="190" t="s">
        <v>418</v>
      </c>
      <c r="C271" s="223" t="s">
        <v>75</v>
      </c>
      <c r="D271" s="223" t="s">
        <v>868</v>
      </c>
      <c r="E271" s="190" t="s">
        <v>22</v>
      </c>
      <c r="F271" s="13" t="s">
        <v>929</v>
      </c>
      <c r="G271" s="190"/>
      <c r="H271" s="219">
        <f>IFERROR(
  MINIFS(ATTENDANCE_LOG!$F:$F,
         ATTENDANCE_LOG!$A:$A, C271,
         ATTENDANCE_LOG!$B:$B, E271),
"")</f>
        <v>45922.41667</v>
      </c>
      <c r="I271" s="219">
        <f t="shared" si="2"/>
        <v>45761.41667</v>
      </c>
      <c r="J271" s="190">
        <f>IFERROR(VLOOKUP(F271, LEVEL_HELPER!$A:$B, 2, 0), "")</f>
        <v>1.5</v>
      </c>
      <c r="K271" s="190" t="str">
        <f>IFERROR(VLOOKUP(G271, LEVEL_HELPER!$A:$B, 2, 0), "")</f>
        <v/>
      </c>
      <c r="L271" s="220" t="s">
        <v>919</v>
      </c>
      <c r="M271" s="220" t="s">
        <v>924</v>
      </c>
      <c r="N271" s="190">
        <f t="array" ref="N271">IFERROR(
  INDEX($J$2:$J$543,
    MATCH(A271&amp;TEXT(I271,"yyyy-mm-dd"),
          $A$2:$A$543&amp;TEXT($H$2:$H$543,"yyyy-mm-dd"),
          0)),
"")</f>
        <v>1</v>
      </c>
      <c r="O271" s="210">
        <f t="shared" si="3"/>
        <v>1.5</v>
      </c>
      <c r="P271" s="210">
        <f t="shared" ref="P271:Q271" si="281">IF(N271="",0,IF(N271&lt;=2,1,IF(N271&lt;=4,2,IF(N271&lt;=5.5,3,4))))</f>
        <v>1</v>
      </c>
      <c r="Q271" s="210">
        <f t="shared" si="281"/>
        <v>1</v>
      </c>
      <c r="R271" s="210" t="str">
        <f t="shared" si="5"/>
        <v>Progress within level</v>
      </c>
      <c r="S271" s="210">
        <f t="shared" si="6"/>
        <v>0</v>
      </c>
      <c r="T271" s="210"/>
      <c r="U271" s="210"/>
      <c r="V271" s="211" t="s">
        <v>368</v>
      </c>
      <c r="W271" s="210" t="str">
        <f t="shared" si="7"/>
        <v>DEV</v>
      </c>
      <c r="X271" s="210" t="str">
        <f t="shared" si="8"/>
        <v>DEV, TA</v>
      </c>
      <c r="Y271" s="210" t="str">
        <f t="shared" si="9"/>
        <v>ONC</v>
      </c>
      <c r="Z271" s="210"/>
      <c r="AA271" s="210"/>
      <c r="AB271" s="210"/>
      <c r="AC271" s="210"/>
      <c r="AD271" s="210"/>
      <c r="AE271" s="210"/>
      <c r="AF271" s="210"/>
      <c r="AG271" s="210"/>
      <c r="AH271" s="210"/>
      <c r="AI271" s="210"/>
      <c r="AJ271" s="210"/>
      <c r="AK271" s="210"/>
      <c r="AL271" s="210"/>
      <c r="AM271" s="214"/>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c r="BU271" s="210"/>
      <c r="BV271" s="210"/>
      <c r="BW271" s="210"/>
      <c r="BX271" s="210"/>
      <c r="BY271" s="210"/>
      <c r="BZ271" s="210"/>
      <c r="CA271" s="210"/>
      <c r="CB271" s="210"/>
      <c r="CC271" s="210"/>
      <c r="CD271" s="210"/>
      <c r="CE271" s="210"/>
      <c r="CF271" s="210"/>
      <c r="CG271" s="210"/>
      <c r="CH271" s="210"/>
      <c r="CI271" s="210"/>
      <c r="CJ271" s="210"/>
      <c r="CK271" s="210"/>
    </row>
    <row r="272">
      <c r="A272" s="222" t="s">
        <v>587</v>
      </c>
      <c r="B272" s="190" t="s">
        <v>588</v>
      </c>
      <c r="C272" s="223" t="s">
        <v>75</v>
      </c>
      <c r="D272" s="223" t="s">
        <v>868</v>
      </c>
      <c r="E272" s="190" t="s">
        <v>22</v>
      </c>
      <c r="F272" s="13" t="s">
        <v>918</v>
      </c>
      <c r="G272" s="190"/>
      <c r="H272" s="219">
        <f>IFERROR(
  MINIFS(ATTENDANCE_LOG!$F:$F,
         ATTENDANCE_LOG!$A:$A, C272,
         ATTENDANCE_LOG!$B:$B, E272),
"")</f>
        <v>45922.41667</v>
      </c>
      <c r="I272" s="219">
        <f t="shared" si="2"/>
        <v>45761.41667</v>
      </c>
      <c r="J272" s="190">
        <f>IFERROR(VLOOKUP(F272, LEVEL_HELPER!$A:$B, 2, 0), "")</f>
        <v>3</v>
      </c>
      <c r="K272" s="190" t="str">
        <f>IFERROR(VLOOKUP(G272, LEVEL_HELPER!$A:$B, 2, 0), "")</f>
        <v/>
      </c>
      <c r="L272" s="220" t="s">
        <v>943</v>
      </c>
      <c r="M272" s="220" t="s">
        <v>923</v>
      </c>
      <c r="N272" s="190">
        <f t="array" ref="N272">IFERROR(
  INDEX($J$2:$J$543,
    MATCH(A272&amp;TEXT(I272,"yyyy-mm-dd"),
          $A$2:$A$543&amp;TEXT($H$2:$H$543,"yyyy-mm-dd"),
          0)),
"")</f>
        <v>1</v>
      </c>
      <c r="O272" s="210">
        <f t="shared" si="3"/>
        <v>3</v>
      </c>
      <c r="P272" s="210">
        <f t="shared" ref="P272:Q272" si="282">IF(N272="",0,IF(N272&lt;=2,1,IF(N272&lt;=4,2,IF(N272&lt;=5.5,3,4))))</f>
        <v>1</v>
      </c>
      <c r="Q272" s="210">
        <f t="shared" si="282"/>
        <v>2</v>
      </c>
      <c r="R272" s="210" t="str">
        <f t="shared" si="5"/>
        <v>Lv1 → Lv2</v>
      </c>
      <c r="S272" s="210">
        <f t="shared" si="6"/>
        <v>0</v>
      </c>
      <c r="T272" s="210"/>
      <c r="U272" s="210"/>
      <c r="V272" s="211" t="s">
        <v>543</v>
      </c>
      <c r="W272" s="210" t="str">
        <f t="shared" si="7"/>
        <v>DEV</v>
      </c>
      <c r="X272" s="210" t="str">
        <f t="shared" si="8"/>
        <v>DEV, TA</v>
      </c>
      <c r="Y272" s="210" t="str">
        <f t="shared" si="9"/>
        <v>ONC</v>
      </c>
      <c r="Z272" s="210"/>
      <c r="AA272" s="210"/>
      <c r="AB272" s="210"/>
      <c r="AC272" s="210"/>
      <c r="AD272" s="210"/>
      <c r="AE272" s="210"/>
      <c r="AF272" s="210"/>
      <c r="AG272" s="210"/>
      <c r="AH272" s="210"/>
      <c r="AI272" s="210"/>
      <c r="AJ272" s="210"/>
      <c r="AK272" s="210"/>
      <c r="AL272" s="210"/>
      <c r="AM272" s="214"/>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c r="BU272" s="210"/>
      <c r="BV272" s="210"/>
      <c r="BW272" s="210"/>
      <c r="BX272" s="210"/>
      <c r="BY272" s="210"/>
      <c r="BZ272" s="210"/>
      <c r="CA272" s="210"/>
      <c r="CB272" s="210"/>
      <c r="CC272" s="210"/>
      <c r="CD272" s="210"/>
      <c r="CE272" s="210"/>
      <c r="CF272" s="210"/>
      <c r="CG272" s="210"/>
      <c r="CH272" s="210"/>
      <c r="CI272" s="210"/>
      <c r="CJ272" s="210"/>
      <c r="CK272" s="210"/>
    </row>
    <row r="273">
      <c r="A273" s="216" t="s">
        <v>651</v>
      </c>
      <c r="B273" s="217" t="s">
        <v>652</v>
      </c>
      <c r="C273" s="218" t="s">
        <v>76</v>
      </c>
      <c r="D273" s="218" t="s">
        <v>869</v>
      </c>
      <c r="E273" s="217" t="s">
        <v>21</v>
      </c>
      <c r="F273" s="13" t="s">
        <v>927</v>
      </c>
      <c r="G273" s="13" t="s">
        <v>918</v>
      </c>
      <c r="H273" s="219">
        <f>IFERROR(
  MINIFS(ATTENDANCE_LOG!$F:$F,
         ATTENDANCE_LOG!$A:$A, C273,
         ATTENDANCE_LOG!$B:$B, E273),
"")</f>
        <v>45763.54167</v>
      </c>
      <c r="I273" s="219">
        <f t="shared" si="2"/>
        <v>45763.54167</v>
      </c>
      <c r="J273" s="190">
        <f>IFERROR(VLOOKUP(F273, LEVEL_HELPER!$A:$B, 2, 0), "")</f>
        <v>1</v>
      </c>
      <c r="K273" s="190">
        <f>IFERROR(VLOOKUP(G273, LEVEL_HELPER!$A:$B, 2, 0), "")</f>
        <v>3</v>
      </c>
      <c r="L273" s="220" t="s">
        <v>919</v>
      </c>
      <c r="M273" s="220" t="s">
        <v>923</v>
      </c>
      <c r="N273" s="190">
        <f t="array" ref="N273">IFERROR(
  INDEX($J$2:$J$543,
    MATCH(A273&amp;TEXT(I273,"yyyy-mm-dd"),
          $A$2:$A$543&amp;TEXT($H$2:$H$543,"yyyy-mm-dd"),
          0)),
"")</f>
        <v>1</v>
      </c>
      <c r="O273" s="210">
        <f t="shared" si="3"/>
        <v>3</v>
      </c>
      <c r="P273" s="210">
        <f t="shared" ref="P273:Q273" si="283">IF(N273="",0,IF(N273&lt;=2,1,IF(N273&lt;=4,2,IF(N273&lt;=5.5,3,4))))</f>
        <v>1</v>
      </c>
      <c r="Q273" s="210">
        <f t="shared" si="283"/>
        <v>2</v>
      </c>
      <c r="R273" s="210" t="str">
        <f t="shared" si="5"/>
        <v>Lv1 → Lv2</v>
      </c>
      <c r="S273" s="210">
        <f t="shared" si="6"/>
        <v>1</v>
      </c>
      <c r="T273" s="210"/>
      <c r="U273" s="210"/>
      <c r="V273" s="211" t="s">
        <v>579</v>
      </c>
      <c r="W273" s="210" t="str">
        <f t="shared" si="7"/>
        <v>DEV</v>
      </c>
      <c r="X273" s="210" t="str">
        <f t="shared" si="8"/>
        <v>DEV, TA</v>
      </c>
      <c r="Y273" s="210" t="str">
        <f t="shared" si="9"/>
        <v>ONC</v>
      </c>
      <c r="Z273" s="210"/>
      <c r="AA273" s="210"/>
      <c r="AB273" s="210"/>
      <c r="AC273" s="210"/>
      <c r="AD273" s="210"/>
      <c r="AE273" s="210"/>
      <c r="AF273" s="210"/>
      <c r="AG273" s="210"/>
      <c r="AH273" s="210"/>
      <c r="AI273" s="210"/>
      <c r="AJ273" s="210"/>
      <c r="AK273" s="210"/>
      <c r="AL273" s="210"/>
      <c r="AM273" s="214"/>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c r="BU273" s="210"/>
      <c r="BV273" s="210"/>
      <c r="BW273" s="210"/>
      <c r="BX273" s="210"/>
      <c r="BY273" s="210"/>
      <c r="BZ273" s="210"/>
      <c r="CA273" s="210"/>
      <c r="CB273" s="210"/>
      <c r="CC273" s="210"/>
      <c r="CD273" s="210"/>
      <c r="CE273" s="210"/>
      <c r="CF273" s="210"/>
      <c r="CG273" s="210"/>
      <c r="CH273" s="210"/>
      <c r="CI273" s="210"/>
      <c r="CJ273" s="210"/>
      <c r="CK273" s="210"/>
    </row>
    <row r="274">
      <c r="A274" s="222" t="s">
        <v>210</v>
      </c>
      <c r="B274" s="190" t="s">
        <v>211</v>
      </c>
      <c r="C274" s="223" t="s">
        <v>76</v>
      </c>
      <c r="D274" s="223" t="s">
        <v>869</v>
      </c>
      <c r="E274" s="190" t="s">
        <v>21</v>
      </c>
      <c r="F274" s="13" t="s">
        <v>917</v>
      </c>
      <c r="G274" s="13" t="s">
        <v>918</v>
      </c>
      <c r="H274" s="219">
        <f>IFERROR(
  MINIFS(ATTENDANCE_LOG!$F:$F,
         ATTENDANCE_LOG!$A:$A, C274,
         ATTENDANCE_LOG!$B:$B, E274),
"")</f>
        <v>45763.54167</v>
      </c>
      <c r="I274" s="219">
        <f t="shared" si="2"/>
        <v>45763.54167</v>
      </c>
      <c r="J274" s="190">
        <f>IFERROR(VLOOKUP(F274, LEVEL_HELPER!$A:$B, 2, 0), "")</f>
        <v>2.5</v>
      </c>
      <c r="K274" s="190">
        <f>IFERROR(VLOOKUP(G274, LEVEL_HELPER!$A:$B, 2, 0), "")</f>
        <v>3</v>
      </c>
      <c r="L274" s="220" t="s">
        <v>943</v>
      </c>
      <c r="M274" s="220" t="s">
        <v>923</v>
      </c>
      <c r="N274" s="190">
        <f t="array" ref="N274">IFERROR(
  INDEX($J$2:$J$543,
    MATCH(A274&amp;TEXT(I274,"yyyy-mm-dd"),
          $A$2:$A$543&amp;TEXT($H$2:$H$543,"yyyy-mm-dd"),
          0)),
"")</f>
        <v>2.5</v>
      </c>
      <c r="O274" s="210">
        <f t="shared" si="3"/>
        <v>3</v>
      </c>
      <c r="P274" s="210">
        <f t="shared" ref="P274:Q274" si="284">IF(N274="",0,IF(N274&lt;=2,1,IF(N274&lt;=4,2,IF(N274&lt;=5.5,3,4))))</f>
        <v>2</v>
      </c>
      <c r="Q274" s="210">
        <f t="shared" si="284"/>
        <v>2</v>
      </c>
      <c r="R274" s="210" t="str">
        <f t="shared" si="5"/>
        <v>Progress within level</v>
      </c>
      <c r="S274" s="210">
        <f t="shared" si="6"/>
        <v>1</v>
      </c>
      <c r="T274" s="210"/>
      <c r="U274" s="210"/>
      <c r="V274" s="211" t="s">
        <v>613</v>
      </c>
      <c r="W274" s="210" t="str">
        <f t="shared" si="7"/>
        <v>DEV</v>
      </c>
      <c r="X274" s="210" t="str">
        <f t="shared" si="8"/>
        <v>DEV, TA</v>
      </c>
      <c r="Y274" s="210" t="str">
        <f t="shared" si="9"/>
        <v>ONC</v>
      </c>
      <c r="Z274" s="210"/>
      <c r="AA274" s="210"/>
      <c r="AB274" s="210"/>
      <c r="AC274" s="210"/>
      <c r="AD274" s="210"/>
      <c r="AE274" s="210"/>
      <c r="AF274" s="210"/>
      <c r="AG274" s="210"/>
      <c r="AH274" s="210"/>
      <c r="AI274" s="210"/>
      <c r="AJ274" s="210"/>
      <c r="AK274" s="210"/>
      <c r="AL274" s="210"/>
      <c r="AM274" s="214"/>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c r="BU274" s="210"/>
      <c r="BV274" s="210"/>
      <c r="BW274" s="210"/>
      <c r="BX274" s="210"/>
      <c r="BY274" s="210"/>
      <c r="BZ274" s="210"/>
      <c r="CA274" s="210"/>
      <c r="CB274" s="210"/>
      <c r="CC274" s="210"/>
      <c r="CD274" s="210"/>
      <c r="CE274" s="210"/>
      <c r="CF274" s="210"/>
      <c r="CG274" s="210"/>
      <c r="CH274" s="210"/>
      <c r="CI274" s="210"/>
      <c r="CJ274" s="210"/>
      <c r="CK274" s="210"/>
    </row>
    <row r="275">
      <c r="A275" s="222" t="s">
        <v>440</v>
      </c>
      <c r="B275" s="190" t="s">
        <v>441</v>
      </c>
      <c r="C275" s="223" t="s">
        <v>76</v>
      </c>
      <c r="D275" s="223" t="s">
        <v>869</v>
      </c>
      <c r="E275" s="190" t="s">
        <v>21</v>
      </c>
      <c r="F275" s="13" t="s">
        <v>927</v>
      </c>
      <c r="G275" s="13" t="s">
        <v>927</v>
      </c>
      <c r="H275" s="219">
        <f>IFERROR(
  MINIFS(ATTENDANCE_LOG!$F:$F,
         ATTENDANCE_LOG!$A:$A, C275,
         ATTENDANCE_LOG!$B:$B, E275),
"")</f>
        <v>45763.54167</v>
      </c>
      <c r="I275" s="219">
        <f t="shared" si="2"/>
        <v>45763.54167</v>
      </c>
      <c r="J275" s="190">
        <f>IFERROR(VLOOKUP(F275, LEVEL_HELPER!$A:$B, 2, 0), "")</f>
        <v>1</v>
      </c>
      <c r="K275" s="190">
        <f>IFERROR(VLOOKUP(G275, LEVEL_HELPER!$A:$B, 2, 0), "")</f>
        <v>1</v>
      </c>
      <c r="L275" s="220" t="s">
        <v>943</v>
      </c>
      <c r="M275" s="220" t="s">
        <v>923</v>
      </c>
      <c r="N275" s="190">
        <f t="array" ref="N275">IFERROR(
  INDEX($J$2:$J$543,
    MATCH(A275&amp;TEXT(I275,"yyyy-mm-dd"),
          $A$2:$A$543&amp;TEXT($H$2:$H$543,"yyyy-mm-dd"),
          0)),
"")</f>
        <v>1</v>
      </c>
      <c r="O275" s="210">
        <f t="shared" si="3"/>
        <v>1.5</v>
      </c>
      <c r="P275" s="210">
        <f t="shared" ref="P275:Q275" si="285">IF(N275="",0,IF(N275&lt;=2,1,IF(N275&lt;=4,2,IF(N275&lt;=5.5,3,4))))</f>
        <v>1</v>
      </c>
      <c r="Q275" s="210">
        <f t="shared" si="285"/>
        <v>1</v>
      </c>
      <c r="R275" s="210" t="str">
        <f t="shared" si="5"/>
        <v>Progress within level</v>
      </c>
      <c r="S275" s="210">
        <f t="shared" si="6"/>
        <v>1</v>
      </c>
      <c r="T275" s="210"/>
      <c r="U275" s="210"/>
      <c r="V275" s="211" t="s">
        <v>954</v>
      </c>
      <c r="W275" s="210" t="str">
        <f t="shared" si="7"/>
        <v>DEV</v>
      </c>
      <c r="X275" s="210" t="str">
        <f t="shared" si="8"/>
        <v>DEV, TA</v>
      </c>
      <c r="Y275" s="210" t="str">
        <f t="shared" si="9"/>
        <v>ONC</v>
      </c>
      <c r="Z275" s="210"/>
      <c r="AA275" s="210"/>
      <c r="AB275" s="210"/>
      <c r="AC275" s="210"/>
      <c r="AD275" s="210"/>
      <c r="AE275" s="210"/>
      <c r="AF275" s="210"/>
      <c r="AG275" s="210"/>
      <c r="AH275" s="210"/>
      <c r="AI275" s="210"/>
      <c r="AJ275" s="210"/>
      <c r="AK275" s="210"/>
      <c r="AL275" s="210"/>
      <c r="AM275" s="214"/>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c r="BU275" s="210"/>
      <c r="BV275" s="210"/>
      <c r="BW275" s="210"/>
      <c r="BX275" s="210"/>
      <c r="BY275" s="210"/>
      <c r="BZ275" s="210"/>
      <c r="CA275" s="210"/>
      <c r="CB275" s="210"/>
      <c r="CC275" s="210"/>
      <c r="CD275" s="210"/>
      <c r="CE275" s="210"/>
      <c r="CF275" s="210"/>
      <c r="CG275" s="210"/>
      <c r="CH275" s="210"/>
      <c r="CI275" s="210"/>
      <c r="CJ275" s="210"/>
      <c r="CK275" s="210"/>
    </row>
    <row r="276">
      <c r="A276" s="222" t="s">
        <v>520</v>
      </c>
      <c r="B276" s="190" t="s">
        <v>521</v>
      </c>
      <c r="C276" s="223" t="s">
        <v>76</v>
      </c>
      <c r="D276" s="223" t="s">
        <v>869</v>
      </c>
      <c r="E276" s="190" t="s">
        <v>21</v>
      </c>
      <c r="F276" s="13" t="s">
        <v>927</v>
      </c>
      <c r="G276" s="13" t="s">
        <v>927</v>
      </c>
      <c r="H276" s="219">
        <f>IFERROR(
  MINIFS(ATTENDANCE_LOG!$F:$F,
         ATTENDANCE_LOG!$A:$A, C276,
         ATTENDANCE_LOG!$B:$B, E276),
"")</f>
        <v>45763.54167</v>
      </c>
      <c r="I276" s="219">
        <f t="shared" si="2"/>
        <v>45763.54167</v>
      </c>
      <c r="J276" s="190">
        <f>IFERROR(VLOOKUP(F276, LEVEL_HELPER!$A:$B, 2, 0), "")</f>
        <v>1</v>
      </c>
      <c r="K276" s="190">
        <f>IFERROR(VLOOKUP(G276, LEVEL_HELPER!$A:$B, 2, 0), "")</f>
        <v>1</v>
      </c>
      <c r="L276" s="220" t="s">
        <v>943</v>
      </c>
      <c r="M276" s="220" t="s">
        <v>923</v>
      </c>
      <c r="N276" s="190">
        <f t="array" ref="N276">IFERROR(
  INDEX($J$2:$J$543,
    MATCH(A276&amp;TEXT(I276,"yyyy-mm-dd"),
          $A$2:$A$543&amp;TEXT($H$2:$H$543,"yyyy-mm-dd"),
          0)),
"")</f>
        <v>1</v>
      </c>
      <c r="O276" s="210">
        <f t="shared" si="3"/>
        <v>1</v>
      </c>
      <c r="P276" s="210">
        <f t="shared" ref="P276:Q276" si="286">IF(N276="",0,IF(N276&lt;=2,1,IF(N276&lt;=4,2,IF(N276&lt;=5.5,3,4))))</f>
        <v>1</v>
      </c>
      <c r="Q276" s="210">
        <f t="shared" si="286"/>
        <v>1</v>
      </c>
      <c r="R276" s="210" t="str">
        <f t="shared" si="5"/>
        <v>No Progress</v>
      </c>
      <c r="S276" s="210">
        <f t="shared" si="6"/>
        <v>1</v>
      </c>
      <c r="T276" s="210"/>
      <c r="U276" s="210"/>
      <c r="V276" s="211" t="s">
        <v>725</v>
      </c>
      <c r="W276" s="210" t="str">
        <f t="shared" si="7"/>
        <v>DEV</v>
      </c>
      <c r="X276" s="210" t="str">
        <f t="shared" si="8"/>
        <v>DEV, TA</v>
      </c>
      <c r="Y276" s="210" t="str">
        <f t="shared" si="9"/>
        <v>ONC</v>
      </c>
      <c r="Z276" s="210"/>
      <c r="AA276" s="210"/>
      <c r="AB276" s="210"/>
      <c r="AC276" s="210"/>
      <c r="AD276" s="210"/>
      <c r="AE276" s="210"/>
      <c r="AF276" s="210"/>
      <c r="AG276" s="210"/>
      <c r="AH276" s="210"/>
      <c r="AI276" s="210"/>
      <c r="AJ276" s="210"/>
      <c r="AK276" s="210"/>
      <c r="AL276" s="210"/>
      <c r="AM276" s="214"/>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c r="BU276" s="210"/>
      <c r="BV276" s="210"/>
      <c r="BW276" s="210"/>
      <c r="BX276" s="210"/>
      <c r="BY276" s="210"/>
      <c r="BZ276" s="210"/>
      <c r="CA276" s="210"/>
      <c r="CB276" s="210"/>
      <c r="CC276" s="210"/>
      <c r="CD276" s="210"/>
      <c r="CE276" s="210"/>
      <c r="CF276" s="210"/>
      <c r="CG276" s="210"/>
      <c r="CH276" s="210"/>
      <c r="CI276" s="210"/>
      <c r="CJ276" s="210"/>
      <c r="CK276" s="210"/>
    </row>
    <row r="277">
      <c r="A277" s="222" t="s">
        <v>595</v>
      </c>
      <c r="B277" s="190" t="s">
        <v>596</v>
      </c>
      <c r="C277" s="223" t="s">
        <v>76</v>
      </c>
      <c r="D277" s="223" t="s">
        <v>869</v>
      </c>
      <c r="E277" s="190" t="s">
        <v>21</v>
      </c>
      <c r="F277" s="13" t="s">
        <v>927</v>
      </c>
      <c r="G277" s="13" t="s">
        <v>927</v>
      </c>
      <c r="H277" s="219">
        <f>IFERROR(
  MINIFS(ATTENDANCE_LOG!$F:$F,
         ATTENDANCE_LOG!$A:$A, C277,
         ATTENDANCE_LOG!$B:$B, E277),
"")</f>
        <v>45763.54167</v>
      </c>
      <c r="I277" s="219">
        <f t="shared" si="2"/>
        <v>45763.54167</v>
      </c>
      <c r="J277" s="190">
        <f>IFERROR(VLOOKUP(F277, LEVEL_HELPER!$A:$B, 2, 0), "")</f>
        <v>1</v>
      </c>
      <c r="K277" s="190">
        <f>IFERROR(VLOOKUP(G277, LEVEL_HELPER!$A:$B, 2, 0), "")</f>
        <v>1</v>
      </c>
      <c r="L277" s="220" t="s">
        <v>943</v>
      </c>
      <c r="M277" s="220" t="s">
        <v>923</v>
      </c>
      <c r="N277" s="190">
        <f t="array" ref="N277">IFERROR(
  INDEX($J$2:$J$543,
    MATCH(A277&amp;TEXT(I277,"yyyy-mm-dd"),
          $A$2:$A$543&amp;TEXT($H$2:$H$543,"yyyy-mm-dd"),
          0)),
"")</f>
        <v>1</v>
      </c>
      <c r="O277" s="210">
        <f t="shared" si="3"/>
        <v>1</v>
      </c>
      <c r="P277" s="210">
        <f t="shared" ref="P277:Q277" si="287">IF(N277="",0,IF(N277&lt;=2,1,IF(N277&lt;=4,2,IF(N277&lt;=5.5,3,4))))</f>
        <v>1</v>
      </c>
      <c r="Q277" s="210">
        <f t="shared" si="287"/>
        <v>1</v>
      </c>
      <c r="R277" s="210" t="str">
        <f t="shared" si="5"/>
        <v>No Progress</v>
      </c>
      <c r="S277" s="210">
        <f t="shared" si="6"/>
        <v>1</v>
      </c>
      <c r="T277" s="210"/>
      <c r="U277" s="210"/>
      <c r="V277" s="211" t="s">
        <v>727</v>
      </c>
      <c r="W277" s="210" t="str">
        <f t="shared" si="7"/>
        <v>DEV</v>
      </c>
      <c r="X277" s="210" t="str">
        <f t="shared" si="8"/>
        <v>DEV, TA</v>
      </c>
      <c r="Y277" s="210" t="str">
        <f t="shared" si="9"/>
        <v>ONC</v>
      </c>
      <c r="Z277" s="210"/>
      <c r="AA277" s="210"/>
      <c r="AB277" s="210"/>
      <c r="AC277" s="210"/>
      <c r="AD277" s="210"/>
      <c r="AE277" s="210"/>
      <c r="AF277" s="210"/>
      <c r="AG277" s="210"/>
      <c r="AH277" s="210"/>
      <c r="AI277" s="210"/>
      <c r="AJ277" s="210"/>
      <c r="AK277" s="210"/>
      <c r="AL277" s="210"/>
      <c r="AM277" s="214"/>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c r="BU277" s="210"/>
      <c r="BV277" s="210"/>
      <c r="BW277" s="210"/>
      <c r="BX277" s="210"/>
      <c r="BY277" s="210"/>
      <c r="BZ277" s="210"/>
      <c r="CA277" s="210"/>
      <c r="CB277" s="210"/>
      <c r="CC277" s="210"/>
      <c r="CD277" s="210"/>
      <c r="CE277" s="210"/>
      <c r="CF277" s="210"/>
      <c r="CG277" s="210"/>
      <c r="CH277" s="210"/>
      <c r="CI277" s="210"/>
      <c r="CJ277" s="210"/>
      <c r="CK277" s="210"/>
    </row>
    <row r="278">
      <c r="A278" s="222" t="s">
        <v>615</v>
      </c>
      <c r="B278" s="190" t="s">
        <v>616</v>
      </c>
      <c r="C278" s="223" t="s">
        <v>76</v>
      </c>
      <c r="D278" s="223" t="s">
        <v>869</v>
      </c>
      <c r="E278" s="190" t="s">
        <v>21</v>
      </c>
      <c r="F278" s="13" t="s">
        <v>927</v>
      </c>
      <c r="G278" s="13" t="s">
        <v>935</v>
      </c>
      <c r="H278" s="219">
        <f>IFERROR(
  MINIFS(ATTENDANCE_LOG!$F:$F,
         ATTENDANCE_LOG!$A:$A, C278,
         ATTENDANCE_LOG!$B:$B, E278),
"")</f>
        <v>45763.54167</v>
      </c>
      <c r="I278" s="219">
        <f t="shared" si="2"/>
        <v>45763.54167</v>
      </c>
      <c r="J278" s="190">
        <f>IFERROR(VLOOKUP(F278, LEVEL_HELPER!$A:$B, 2, 0), "")</f>
        <v>1</v>
      </c>
      <c r="K278" s="190">
        <f>IFERROR(VLOOKUP(G278, LEVEL_HELPER!$A:$B, 2, 0), "")</f>
        <v>3.5</v>
      </c>
      <c r="L278" s="220" t="s">
        <v>919</v>
      </c>
      <c r="M278" s="220" t="s">
        <v>923</v>
      </c>
      <c r="N278" s="190">
        <f t="array" ref="N278">IFERROR(
  INDEX($J$2:$J$543,
    MATCH(A278&amp;TEXT(I278,"yyyy-mm-dd"),
          $A$2:$A$543&amp;TEXT($H$2:$H$543,"yyyy-mm-dd"),
          0)),
"")</f>
        <v>1</v>
      </c>
      <c r="O278" s="210">
        <f t="shared" si="3"/>
        <v>3.5</v>
      </c>
      <c r="P278" s="210">
        <f t="shared" ref="P278:Q278" si="288">IF(N278="",0,IF(N278&lt;=2,1,IF(N278&lt;=4,2,IF(N278&lt;=5.5,3,4))))</f>
        <v>1</v>
      </c>
      <c r="Q278" s="210">
        <f t="shared" si="288"/>
        <v>2</v>
      </c>
      <c r="R278" s="210" t="str">
        <f t="shared" si="5"/>
        <v>Lv1 → Lv2</v>
      </c>
      <c r="S278" s="210">
        <f t="shared" si="6"/>
        <v>1</v>
      </c>
      <c r="T278" s="210"/>
      <c r="U278" s="210"/>
      <c r="V278" s="211" t="s">
        <v>729</v>
      </c>
      <c r="W278" s="210" t="str">
        <f t="shared" si="7"/>
        <v>DEV</v>
      </c>
      <c r="X278" s="210" t="str">
        <f t="shared" si="8"/>
        <v>DEV, TA</v>
      </c>
      <c r="Y278" s="210" t="str">
        <f t="shared" si="9"/>
        <v>ONC</v>
      </c>
      <c r="Z278" s="210"/>
      <c r="AA278" s="210"/>
      <c r="AB278" s="210"/>
      <c r="AC278" s="210"/>
      <c r="AD278" s="210"/>
      <c r="AE278" s="210"/>
      <c r="AF278" s="210"/>
      <c r="AG278" s="210"/>
      <c r="AH278" s="210"/>
      <c r="AI278" s="210"/>
      <c r="AJ278" s="210"/>
      <c r="AK278" s="210"/>
      <c r="AL278" s="210"/>
      <c r="AM278" s="214"/>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c r="BU278" s="210"/>
      <c r="BV278" s="210"/>
      <c r="BW278" s="210"/>
      <c r="BX278" s="210"/>
      <c r="BY278" s="210"/>
      <c r="BZ278" s="210"/>
      <c r="CA278" s="210"/>
      <c r="CB278" s="210"/>
      <c r="CC278" s="210"/>
      <c r="CD278" s="210"/>
      <c r="CE278" s="210"/>
      <c r="CF278" s="210"/>
      <c r="CG278" s="210"/>
      <c r="CH278" s="210"/>
      <c r="CI278" s="210"/>
      <c r="CJ278" s="210"/>
      <c r="CK278" s="210"/>
    </row>
    <row r="279">
      <c r="A279" s="222" t="s">
        <v>685</v>
      </c>
      <c r="B279" s="190" t="s">
        <v>686</v>
      </c>
      <c r="C279" s="223" t="s">
        <v>76</v>
      </c>
      <c r="D279" s="223" t="s">
        <v>869</v>
      </c>
      <c r="E279" s="190" t="s">
        <v>21</v>
      </c>
      <c r="F279" s="13" t="s">
        <v>927</v>
      </c>
      <c r="G279" s="13" t="s">
        <v>927</v>
      </c>
      <c r="H279" s="219">
        <f>IFERROR(
  MINIFS(ATTENDANCE_LOG!$F:$F,
         ATTENDANCE_LOG!$A:$A, C279,
         ATTENDANCE_LOG!$B:$B, E279),
"")</f>
        <v>45763.54167</v>
      </c>
      <c r="I279" s="219">
        <f t="shared" si="2"/>
        <v>45763.54167</v>
      </c>
      <c r="J279" s="190">
        <f>IFERROR(VLOOKUP(F279, LEVEL_HELPER!$A:$B, 2, 0), "")</f>
        <v>1</v>
      </c>
      <c r="K279" s="190">
        <f>IFERROR(VLOOKUP(G279, LEVEL_HELPER!$A:$B, 2, 0), "")</f>
        <v>1</v>
      </c>
      <c r="L279" s="220" t="s">
        <v>943</v>
      </c>
      <c r="M279" s="220" t="s">
        <v>923</v>
      </c>
      <c r="N279" s="190">
        <f t="array" ref="N279">IFERROR(
  INDEX($J$2:$J$543,
    MATCH(A279&amp;TEXT(I279,"yyyy-mm-dd"),
          $A$2:$A$543&amp;TEXT($H$2:$H$543,"yyyy-mm-dd"),
          0)),
"")</f>
        <v>1</v>
      </c>
      <c r="O279" s="210">
        <f t="shared" si="3"/>
        <v>1.5</v>
      </c>
      <c r="P279" s="210">
        <f t="shared" ref="P279:Q279" si="289">IF(N279="",0,IF(N279&lt;=2,1,IF(N279&lt;=4,2,IF(N279&lt;=5.5,3,4))))</f>
        <v>1</v>
      </c>
      <c r="Q279" s="210">
        <f t="shared" si="289"/>
        <v>1</v>
      </c>
      <c r="R279" s="210" t="str">
        <f t="shared" si="5"/>
        <v>Progress within level</v>
      </c>
      <c r="S279" s="210">
        <f t="shared" si="6"/>
        <v>1</v>
      </c>
      <c r="T279" s="210"/>
      <c r="U279" s="210"/>
      <c r="V279" s="211" t="s">
        <v>731</v>
      </c>
      <c r="W279" s="210" t="str">
        <f t="shared" si="7"/>
        <v>DEV</v>
      </c>
      <c r="X279" s="210" t="str">
        <f t="shared" si="8"/>
        <v>DEV, TA</v>
      </c>
      <c r="Y279" s="210" t="str">
        <f t="shared" si="9"/>
        <v>ONC</v>
      </c>
      <c r="Z279" s="210"/>
      <c r="AA279" s="210"/>
      <c r="AB279" s="210"/>
      <c r="AC279" s="210"/>
      <c r="AD279" s="210"/>
      <c r="AE279" s="210"/>
      <c r="AF279" s="210"/>
      <c r="AG279" s="210"/>
      <c r="AH279" s="210"/>
      <c r="AI279" s="210"/>
      <c r="AJ279" s="210"/>
      <c r="AK279" s="210"/>
      <c r="AL279" s="210"/>
      <c r="AM279" s="214"/>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c r="BU279" s="210"/>
      <c r="BV279" s="210"/>
      <c r="BW279" s="210"/>
      <c r="BX279" s="210"/>
      <c r="BY279" s="210"/>
      <c r="BZ279" s="210"/>
      <c r="CA279" s="210"/>
      <c r="CB279" s="210"/>
      <c r="CC279" s="210"/>
      <c r="CD279" s="210"/>
      <c r="CE279" s="210"/>
      <c r="CF279" s="210"/>
      <c r="CG279" s="210"/>
      <c r="CH279" s="210"/>
      <c r="CI279" s="210"/>
      <c r="CJ279" s="210"/>
      <c r="CK279" s="210"/>
    </row>
    <row r="280">
      <c r="A280" s="222" t="s">
        <v>709</v>
      </c>
      <c r="B280" s="190" t="s">
        <v>710</v>
      </c>
      <c r="C280" s="223" t="s">
        <v>76</v>
      </c>
      <c r="D280" s="223" t="s">
        <v>869</v>
      </c>
      <c r="E280" s="190" t="s">
        <v>21</v>
      </c>
      <c r="F280" s="13" t="s">
        <v>927</v>
      </c>
      <c r="G280" s="13" t="s">
        <v>927</v>
      </c>
      <c r="H280" s="219">
        <f>IFERROR(
  MINIFS(ATTENDANCE_LOG!$F:$F,
         ATTENDANCE_LOG!$A:$A, C280,
         ATTENDANCE_LOG!$B:$B, E280),
"")</f>
        <v>45763.54167</v>
      </c>
      <c r="I280" s="219">
        <f t="shared" si="2"/>
        <v>45763.54167</v>
      </c>
      <c r="J280" s="190">
        <f>IFERROR(VLOOKUP(F280, LEVEL_HELPER!$A:$B, 2, 0), "")</f>
        <v>1</v>
      </c>
      <c r="K280" s="190">
        <f>IFERROR(VLOOKUP(G280, LEVEL_HELPER!$A:$B, 2, 0), "")</f>
        <v>1</v>
      </c>
      <c r="L280" s="220" t="s">
        <v>943</v>
      </c>
      <c r="M280" s="220" t="s">
        <v>923</v>
      </c>
      <c r="N280" s="190">
        <f t="array" ref="N280">IFERROR(
  INDEX($J$2:$J$543,
    MATCH(A280&amp;TEXT(I280,"yyyy-mm-dd"),
          $A$2:$A$543&amp;TEXT($H$2:$H$543,"yyyy-mm-dd"),
          0)),
"")</f>
        <v>1</v>
      </c>
      <c r="O280" s="210">
        <f t="shared" si="3"/>
        <v>3.5</v>
      </c>
      <c r="P280" s="210">
        <f t="shared" ref="P280:Q280" si="290">IF(N280="",0,IF(N280&lt;=2,1,IF(N280&lt;=4,2,IF(N280&lt;=5.5,3,4))))</f>
        <v>1</v>
      </c>
      <c r="Q280" s="210">
        <f t="shared" si="290"/>
        <v>2</v>
      </c>
      <c r="R280" s="210" t="str">
        <f t="shared" si="5"/>
        <v>Lv1 → Lv2</v>
      </c>
      <c r="S280" s="210">
        <f t="shared" si="6"/>
        <v>1</v>
      </c>
      <c r="T280" s="210"/>
      <c r="U280" s="210"/>
      <c r="V280" s="211" t="s">
        <v>733</v>
      </c>
      <c r="W280" s="210" t="str">
        <f t="shared" si="7"/>
        <v>DEV</v>
      </c>
      <c r="X280" s="210" t="str">
        <f t="shared" si="8"/>
        <v>DEV, TA</v>
      </c>
      <c r="Y280" s="210" t="str">
        <f t="shared" si="9"/>
        <v>ONC</v>
      </c>
      <c r="Z280" s="210"/>
      <c r="AA280" s="210"/>
      <c r="AB280" s="210"/>
      <c r="AC280" s="210"/>
      <c r="AD280" s="210"/>
      <c r="AE280" s="210"/>
      <c r="AF280" s="210"/>
      <c r="AG280" s="210"/>
      <c r="AH280" s="210"/>
      <c r="AI280" s="210"/>
      <c r="AJ280" s="210"/>
      <c r="AK280" s="210"/>
      <c r="AL280" s="210"/>
      <c r="AM280" s="214"/>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c r="BU280" s="210"/>
      <c r="BV280" s="210"/>
      <c r="BW280" s="210"/>
      <c r="BX280" s="210"/>
      <c r="BY280" s="210"/>
      <c r="BZ280" s="210"/>
      <c r="CA280" s="210"/>
      <c r="CB280" s="210"/>
      <c r="CC280" s="210"/>
      <c r="CD280" s="210"/>
      <c r="CE280" s="210"/>
      <c r="CF280" s="210"/>
      <c r="CG280" s="210"/>
      <c r="CH280" s="210"/>
      <c r="CI280" s="210"/>
      <c r="CJ280" s="210"/>
      <c r="CK280" s="210"/>
    </row>
    <row r="281">
      <c r="A281" s="222" t="s">
        <v>210</v>
      </c>
      <c r="B281" s="190" t="s">
        <v>211</v>
      </c>
      <c r="C281" s="223" t="s">
        <v>76</v>
      </c>
      <c r="D281" s="223" t="s">
        <v>869</v>
      </c>
      <c r="E281" s="190" t="s">
        <v>22</v>
      </c>
      <c r="F281" s="13" t="s">
        <v>917</v>
      </c>
      <c r="G281" s="13" t="s">
        <v>918</v>
      </c>
      <c r="H281" s="219">
        <f>IFERROR(
  MINIFS(ATTENDANCE_LOG!$F:$F,
         ATTENDANCE_LOG!$A:$A, C281,
         ATTENDANCE_LOG!$B:$B, E281),
"")</f>
        <v>45895.58333</v>
      </c>
      <c r="I281" s="219">
        <f t="shared" si="2"/>
        <v>45763.54167</v>
      </c>
      <c r="J281" s="190">
        <f>IFERROR(VLOOKUP(F281, LEVEL_HELPER!$A:$B, 2, 0), "")</f>
        <v>2.5</v>
      </c>
      <c r="K281" s="190">
        <f>IFERROR(VLOOKUP(G281, LEVEL_HELPER!$A:$B, 2, 0), "")</f>
        <v>3</v>
      </c>
      <c r="L281" s="220" t="s">
        <v>943</v>
      </c>
      <c r="M281" s="220" t="s">
        <v>923</v>
      </c>
      <c r="N281" s="190">
        <f t="array" ref="N281">IFERROR(
  INDEX($J$2:$J$543,
    MATCH(A281&amp;TEXT(I281,"yyyy-mm-dd"),
          $A$2:$A$543&amp;TEXT($H$2:$H$543,"yyyy-mm-dd"),
          0)),
"")</f>
        <v>2.5</v>
      </c>
      <c r="O281" s="210">
        <f t="shared" si="3"/>
        <v>3</v>
      </c>
      <c r="P281" s="210">
        <f t="shared" ref="P281:Q281" si="291">IF(N281="",0,IF(N281&lt;=2,1,IF(N281&lt;=4,2,IF(N281&lt;=5.5,3,4))))</f>
        <v>2</v>
      </c>
      <c r="Q281" s="210">
        <f t="shared" si="291"/>
        <v>2</v>
      </c>
      <c r="R281" s="210" t="str">
        <f t="shared" si="5"/>
        <v>Progress within level</v>
      </c>
      <c r="S281" s="210">
        <f t="shared" si="6"/>
        <v>0</v>
      </c>
      <c r="T281" s="210"/>
      <c r="U281" s="210"/>
      <c r="V281" s="211" t="s">
        <v>735</v>
      </c>
      <c r="W281" s="210" t="str">
        <f t="shared" si="7"/>
        <v>DEV</v>
      </c>
      <c r="X281" s="210" t="str">
        <f t="shared" si="8"/>
        <v>DEV, TA</v>
      </c>
      <c r="Y281" s="210" t="str">
        <f t="shared" si="9"/>
        <v>ONC</v>
      </c>
      <c r="Z281" s="210"/>
      <c r="AA281" s="210"/>
      <c r="AB281" s="210"/>
      <c r="AC281" s="210"/>
      <c r="AD281" s="210"/>
      <c r="AE281" s="210"/>
      <c r="AF281" s="210"/>
      <c r="AG281" s="210"/>
      <c r="AH281" s="210"/>
      <c r="AI281" s="210"/>
      <c r="AJ281" s="210"/>
      <c r="AK281" s="210"/>
      <c r="AL281" s="210"/>
      <c r="AM281" s="214"/>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c r="BU281" s="210"/>
      <c r="BV281" s="210"/>
      <c r="BW281" s="210"/>
      <c r="BX281" s="210"/>
      <c r="BY281" s="210"/>
      <c r="BZ281" s="210"/>
      <c r="CA281" s="210"/>
      <c r="CB281" s="210"/>
      <c r="CC281" s="210"/>
      <c r="CD281" s="210"/>
      <c r="CE281" s="210"/>
      <c r="CF281" s="210"/>
      <c r="CG281" s="210"/>
      <c r="CH281" s="210"/>
      <c r="CI281" s="210"/>
      <c r="CJ281" s="210"/>
      <c r="CK281" s="210"/>
    </row>
    <row r="282">
      <c r="A282" s="216" t="s">
        <v>651</v>
      </c>
      <c r="B282" s="217" t="s">
        <v>652</v>
      </c>
      <c r="C282" s="218" t="s">
        <v>76</v>
      </c>
      <c r="D282" s="218" t="s">
        <v>869</v>
      </c>
      <c r="E282" s="217" t="s">
        <v>22</v>
      </c>
      <c r="F282" s="13" t="s">
        <v>918</v>
      </c>
      <c r="G282" s="190"/>
      <c r="H282" s="219">
        <f>IFERROR(
  MINIFS(ATTENDANCE_LOG!$F:$F,
         ATTENDANCE_LOG!$A:$A, C282,
         ATTENDANCE_LOG!$B:$B, E282),
"")</f>
        <v>45895.58333</v>
      </c>
      <c r="I282" s="219">
        <f t="shared" si="2"/>
        <v>45763.54167</v>
      </c>
      <c r="J282" s="190">
        <f>IFERROR(VLOOKUP(F282, LEVEL_HELPER!$A:$B, 2, 0), "")</f>
        <v>3</v>
      </c>
      <c r="K282" s="190" t="str">
        <f>IFERROR(VLOOKUP(G282, LEVEL_HELPER!$A:$B, 2, 0), "")</f>
        <v/>
      </c>
      <c r="L282" s="220" t="s">
        <v>919</v>
      </c>
      <c r="M282" s="220" t="s">
        <v>923</v>
      </c>
      <c r="N282" s="190">
        <f t="array" ref="N282">IFERROR(
  INDEX($J$2:$J$543,
    MATCH(A282&amp;TEXT(I282,"yyyy-mm-dd"),
          $A$2:$A$543&amp;TEXT($H$2:$H$543,"yyyy-mm-dd"),
          0)),
"")</f>
        <v>1</v>
      </c>
      <c r="O282" s="210">
        <f t="shared" si="3"/>
        <v>3</v>
      </c>
      <c r="P282" s="210">
        <f t="shared" ref="P282:Q282" si="292">IF(N282="",0,IF(N282&lt;=2,1,IF(N282&lt;=4,2,IF(N282&lt;=5.5,3,4))))</f>
        <v>1</v>
      </c>
      <c r="Q282" s="210">
        <f t="shared" si="292"/>
        <v>2</v>
      </c>
      <c r="R282" s="210" t="str">
        <f t="shared" si="5"/>
        <v>Lv1 → Lv2</v>
      </c>
      <c r="S282" s="210">
        <f t="shared" si="6"/>
        <v>0</v>
      </c>
      <c r="T282" s="210"/>
      <c r="U282" s="210"/>
      <c r="V282" s="211" t="s">
        <v>737</v>
      </c>
      <c r="W282" s="210" t="str">
        <f t="shared" si="7"/>
        <v>DEV</v>
      </c>
      <c r="X282" s="210" t="str">
        <f t="shared" si="8"/>
        <v>DEV, TA</v>
      </c>
      <c r="Y282" s="210" t="str">
        <f t="shared" si="9"/>
        <v>ONC</v>
      </c>
      <c r="Z282" s="210"/>
      <c r="AA282" s="210"/>
      <c r="AB282" s="210"/>
      <c r="AC282" s="210"/>
      <c r="AD282" s="210"/>
      <c r="AE282" s="210"/>
      <c r="AF282" s="210"/>
      <c r="AG282" s="210"/>
      <c r="AH282" s="210"/>
      <c r="AI282" s="210"/>
      <c r="AJ282" s="210"/>
      <c r="AK282" s="210"/>
      <c r="AL282" s="210"/>
      <c r="AM282" s="214"/>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c r="BU282" s="210"/>
      <c r="BV282" s="210"/>
      <c r="BW282" s="210"/>
      <c r="BX282" s="210"/>
      <c r="BY282" s="210"/>
      <c r="BZ282" s="210"/>
      <c r="CA282" s="210"/>
      <c r="CB282" s="210"/>
      <c r="CC282" s="210"/>
      <c r="CD282" s="210"/>
      <c r="CE282" s="210"/>
      <c r="CF282" s="210"/>
      <c r="CG282" s="210"/>
      <c r="CH282" s="210"/>
      <c r="CI282" s="210"/>
      <c r="CJ282" s="210"/>
      <c r="CK282" s="210"/>
    </row>
    <row r="283">
      <c r="A283" s="222" t="s">
        <v>228</v>
      </c>
      <c r="B283" s="190" t="s">
        <v>229</v>
      </c>
      <c r="C283" s="223" t="s">
        <v>76</v>
      </c>
      <c r="D283" s="223" t="s">
        <v>869</v>
      </c>
      <c r="E283" s="190" t="s">
        <v>22</v>
      </c>
      <c r="F283" s="13" t="s">
        <v>918</v>
      </c>
      <c r="G283" s="190"/>
      <c r="H283" s="219">
        <f>IFERROR(
  MINIFS(ATTENDANCE_LOG!$F:$F,
         ATTENDANCE_LOG!$A:$A, C283,
         ATTENDANCE_LOG!$B:$B, E283),
"")</f>
        <v>45895.58333</v>
      </c>
      <c r="I283" s="219">
        <f t="shared" si="2"/>
        <v>45639.41667</v>
      </c>
      <c r="J283" s="190">
        <f>IFERROR(VLOOKUP(F283, LEVEL_HELPER!$A:$B, 2, 0), "")</f>
        <v>3</v>
      </c>
      <c r="K283" s="190" t="str">
        <f>IFERROR(VLOOKUP(G283, LEVEL_HELPER!$A:$B, 2, 0), "")</f>
        <v/>
      </c>
      <c r="L283" s="220" t="s">
        <v>943</v>
      </c>
      <c r="M283" s="220" t="s">
        <v>923</v>
      </c>
      <c r="N283" s="190">
        <f t="array" ref="N283">IFERROR(
  INDEX($J$2:$J$543,
    MATCH(A283&amp;TEXT(I283,"yyyy-mm-dd"),
          $A$2:$A$543&amp;TEXT($H$2:$H$543,"yyyy-mm-dd"),
          0)),
"")</f>
        <v>1</v>
      </c>
      <c r="O283" s="210">
        <f t="shared" si="3"/>
        <v>3</v>
      </c>
      <c r="P283" s="210">
        <f t="shared" ref="P283:Q283" si="293">IF(N283="",0,IF(N283&lt;=2,1,IF(N283&lt;=4,2,IF(N283&lt;=5.5,3,4))))</f>
        <v>1</v>
      </c>
      <c r="Q283" s="210">
        <f t="shared" si="293"/>
        <v>2</v>
      </c>
      <c r="R283" s="210" t="str">
        <f t="shared" si="5"/>
        <v>Lv1 → Lv2</v>
      </c>
      <c r="S283" s="210">
        <f t="shared" si="6"/>
        <v>0</v>
      </c>
      <c r="T283" s="210"/>
      <c r="U283" s="210"/>
      <c r="V283" s="211" t="s">
        <v>739</v>
      </c>
      <c r="W283" s="210" t="str">
        <f t="shared" si="7"/>
        <v>DEV</v>
      </c>
      <c r="X283" s="210" t="str">
        <f t="shared" si="8"/>
        <v>DEV, TA</v>
      </c>
      <c r="Y283" s="210" t="str">
        <f t="shared" si="9"/>
        <v>ONC</v>
      </c>
      <c r="Z283" s="210"/>
      <c r="AA283" s="210"/>
      <c r="AB283" s="210"/>
      <c r="AC283" s="210"/>
      <c r="AD283" s="210"/>
      <c r="AE283" s="210"/>
      <c r="AF283" s="210"/>
      <c r="AG283" s="210"/>
      <c r="AH283" s="210"/>
      <c r="AI283" s="210"/>
      <c r="AJ283" s="210"/>
      <c r="AK283" s="210"/>
      <c r="AL283" s="210"/>
      <c r="AM283" s="214"/>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c r="BU283" s="210"/>
      <c r="BV283" s="210"/>
      <c r="BW283" s="210"/>
      <c r="BX283" s="210"/>
      <c r="BY283" s="210"/>
      <c r="BZ283" s="210"/>
      <c r="CA283" s="210"/>
      <c r="CB283" s="210"/>
      <c r="CC283" s="210"/>
      <c r="CD283" s="210"/>
      <c r="CE283" s="210"/>
      <c r="CF283" s="210"/>
      <c r="CG283" s="210"/>
      <c r="CH283" s="210"/>
      <c r="CI283" s="210"/>
      <c r="CJ283" s="210"/>
      <c r="CK283" s="210"/>
    </row>
    <row r="284">
      <c r="A284" s="222" t="s">
        <v>399</v>
      </c>
      <c r="B284" s="190" t="s">
        <v>400</v>
      </c>
      <c r="C284" s="223" t="s">
        <v>76</v>
      </c>
      <c r="D284" s="223" t="s">
        <v>869</v>
      </c>
      <c r="E284" s="190" t="s">
        <v>22</v>
      </c>
      <c r="F284" s="13" t="s">
        <v>935</v>
      </c>
      <c r="G284" s="190"/>
      <c r="H284" s="219">
        <f>IFERROR(
  MINIFS(ATTENDANCE_LOG!$F:$F,
         ATTENDANCE_LOG!$A:$A, C284,
         ATTENDANCE_LOG!$B:$B, E284),
"")</f>
        <v>45895.58333</v>
      </c>
      <c r="I284" s="219">
        <f t="shared" si="2"/>
        <v>45715.45833</v>
      </c>
      <c r="J284" s="190">
        <f>IFERROR(VLOOKUP(F284, LEVEL_HELPER!$A:$B, 2, 0), "")</f>
        <v>3.5</v>
      </c>
      <c r="K284" s="190" t="str">
        <f>IFERROR(VLOOKUP(G284, LEVEL_HELPER!$A:$B, 2, 0), "")</f>
        <v/>
      </c>
      <c r="L284" s="220" t="s">
        <v>945</v>
      </c>
      <c r="M284" s="220" t="s">
        <v>923</v>
      </c>
      <c r="N284" s="190">
        <f t="array" ref="N284">IFERROR(
  INDEX($J$2:$J$543,
    MATCH(A284&amp;TEXT(I284,"yyyy-mm-dd"),
          $A$2:$A$543&amp;TEXT($H$2:$H$543,"yyyy-mm-dd"),
          0)),
"")</f>
        <v>2.5</v>
      </c>
      <c r="O284" s="210">
        <f t="shared" si="3"/>
        <v>3.5</v>
      </c>
      <c r="P284" s="210">
        <f t="shared" ref="P284:Q284" si="294">IF(N284="",0,IF(N284&lt;=2,1,IF(N284&lt;=4,2,IF(N284&lt;=5.5,3,4))))</f>
        <v>2</v>
      </c>
      <c r="Q284" s="210">
        <f t="shared" si="294"/>
        <v>2</v>
      </c>
      <c r="R284" s="210" t="str">
        <f t="shared" si="5"/>
        <v>Progress within level</v>
      </c>
      <c r="S284" s="210">
        <f t="shared" si="6"/>
        <v>0</v>
      </c>
      <c r="T284" s="210"/>
      <c r="U284" s="210"/>
      <c r="V284" s="211" t="s">
        <v>741</v>
      </c>
      <c r="W284" s="210" t="str">
        <f t="shared" si="7"/>
        <v>DEV</v>
      </c>
      <c r="X284" s="210" t="str">
        <f t="shared" si="8"/>
        <v>DEV, TA</v>
      </c>
      <c r="Y284" s="210" t="str">
        <f t="shared" si="9"/>
        <v>ONC</v>
      </c>
      <c r="Z284" s="210"/>
      <c r="AA284" s="210"/>
      <c r="AB284" s="210"/>
      <c r="AC284" s="210"/>
      <c r="AD284" s="210"/>
      <c r="AE284" s="210"/>
      <c r="AF284" s="210"/>
      <c r="AG284" s="210"/>
      <c r="AH284" s="210"/>
      <c r="AI284" s="210"/>
      <c r="AJ284" s="210"/>
      <c r="AK284" s="210"/>
      <c r="AL284" s="210"/>
      <c r="AM284" s="214"/>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c r="BU284" s="210"/>
      <c r="BV284" s="210"/>
      <c r="BW284" s="210"/>
      <c r="BX284" s="210"/>
      <c r="BY284" s="210"/>
      <c r="BZ284" s="210"/>
      <c r="CA284" s="210"/>
      <c r="CB284" s="210"/>
      <c r="CC284" s="210"/>
      <c r="CD284" s="210"/>
      <c r="CE284" s="210"/>
      <c r="CF284" s="210"/>
      <c r="CG284" s="210"/>
      <c r="CH284" s="210"/>
      <c r="CI284" s="210"/>
      <c r="CJ284" s="210"/>
      <c r="CK284" s="210"/>
    </row>
    <row r="285" ht="14.25" customHeight="1">
      <c r="A285" s="222" t="s">
        <v>534</v>
      </c>
      <c r="B285" s="190" t="s">
        <v>535</v>
      </c>
      <c r="C285" s="223" t="s">
        <v>76</v>
      </c>
      <c r="D285" s="223" t="s">
        <v>869</v>
      </c>
      <c r="E285" s="190" t="s">
        <v>22</v>
      </c>
      <c r="F285" s="13" t="s">
        <v>918</v>
      </c>
      <c r="G285" s="190"/>
      <c r="H285" s="219">
        <f>IFERROR(
  MINIFS(ATTENDANCE_LOG!$F:$F,
         ATTENDANCE_LOG!$A:$A, C285,
         ATTENDANCE_LOG!$B:$B, E285),
"")</f>
        <v>45895.58333</v>
      </c>
      <c r="I285" s="219">
        <f t="shared" si="2"/>
        <v>45715.45833</v>
      </c>
      <c r="J285" s="190">
        <f>IFERROR(VLOOKUP(F285, LEVEL_HELPER!$A:$B, 2, 0), "")</f>
        <v>3</v>
      </c>
      <c r="K285" s="190" t="str">
        <f>IFERROR(VLOOKUP(G285, LEVEL_HELPER!$A:$B, 2, 0), "")</f>
        <v/>
      </c>
      <c r="L285" s="220" t="s">
        <v>919</v>
      </c>
      <c r="M285" s="220" t="s">
        <v>923</v>
      </c>
      <c r="N285" s="190">
        <f t="array" ref="N285">IFERROR(
  INDEX($J$2:$J$543,
    MATCH(A285&amp;TEXT(I285,"yyyy-mm-dd"),
          $A$2:$A$543&amp;TEXT($H$2:$H$543,"yyyy-mm-dd"),
          0)),
"")</f>
        <v>1</v>
      </c>
      <c r="O285" s="210">
        <f t="shared" si="3"/>
        <v>3</v>
      </c>
      <c r="P285" s="210">
        <f t="shared" ref="P285:Q285" si="295">IF(N285="",0,IF(N285&lt;=2,1,IF(N285&lt;=4,2,IF(N285&lt;=5.5,3,4))))</f>
        <v>1</v>
      </c>
      <c r="Q285" s="210">
        <f t="shared" si="295"/>
        <v>2</v>
      </c>
      <c r="R285" s="210" t="str">
        <f t="shared" si="5"/>
        <v>Lv1 → Lv2</v>
      </c>
      <c r="S285" s="210">
        <f t="shared" si="6"/>
        <v>0</v>
      </c>
      <c r="T285" s="210"/>
      <c r="U285" s="210"/>
      <c r="V285" s="211" t="s">
        <v>743</v>
      </c>
      <c r="W285" s="210" t="str">
        <f t="shared" si="7"/>
        <v>DEV</v>
      </c>
      <c r="X285" s="210" t="str">
        <f t="shared" si="8"/>
        <v>DEV, TA</v>
      </c>
      <c r="Y285" s="210" t="str">
        <f t="shared" si="9"/>
        <v>ONC</v>
      </c>
      <c r="Z285" s="210"/>
      <c r="AA285" s="210"/>
      <c r="AB285" s="210"/>
      <c r="AC285" s="210"/>
      <c r="AD285" s="210"/>
      <c r="AE285" s="210"/>
      <c r="AF285" s="210"/>
      <c r="AG285" s="210"/>
      <c r="AH285" s="210"/>
      <c r="AI285" s="210"/>
      <c r="AJ285" s="210"/>
      <c r="AK285" s="210"/>
      <c r="AL285" s="210"/>
      <c r="AM285" s="214"/>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c r="BU285" s="210"/>
      <c r="BV285" s="210"/>
      <c r="BW285" s="210"/>
      <c r="BX285" s="210"/>
      <c r="BY285" s="210"/>
      <c r="BZ285" s="210"/>
      <c r="CA285" s="210"/>
      <c r="CB285" s="210"/>
      <c r="CC285" s="210"/>
      <c r="CD285" s="210"/>
      <c r="CE285" s="210"/>
      <c r="CF285" s="210"/>
      <c r="CG285" s="210"/>
      <c r="CH285" s="210"/>
      <c r="CI285" s="210"/>
      <c r="CJ285" s="210"/>
      <c r="CK285" s="210"/>
    </row>
    <row r="286">
      <c r="A286" s="222" t="s">
        <v>595</v>
      </c>
      <c r="B286" s="190" t="s">
        <v>596</v>
      </c>
      <c r="C286" s="223" t="s">
        <v>76</v>
      </c>
      <c r="D286" s="223" t="s">
        <v>869</v>
      </c>
      <c r="E286" s="190" t="s">
        <v>22</v>
      </c>
      <c r="F286" s="13" t="s">
        <v>927</v>
      </c>
      <c r="G286" s="190"/>
      <c r="H286" s="219">
        <f>IFERROR(
  MINIFS(ATTENDANCE_LOG!$F:$F,
         ATTENDANCE_LOG!$A:$A, C286,
         ATTENDANCE_LOG!$B:$B, E286),
"")</f>
        <v>45895.58333</v>
      </c>
      <c r="I286" s="219">
        <f t="shared" si="2"/>
        <v>45763.54167</v>
      </c>
      <c r="J286" s="190">
        <f>IFERROR(VLOOKUP(F286, LEVEL_HELPER!$A:$B, 2, 0), "")</f>
        <v>1</v>
      </c>
      <c r="K286" s="190" t="str">
        <f>IFERROR(VLOOKUP(G286, LEVEL_HELPER!$A:$B, 2, 0), "")</f>
        <v/>
      </c>
      <c r="L286" s="220" t="s">
        <v>943</v>
      </c>
      <c r="M286" s="220" t="s">
        <v>923</v>
      </c>
      <c r="N286" s="190">
        <f t="array" ref="N286">IFERROR(
  INDEX($J$2:$J$543,
    MATCH(A286&amp;TEXT(I286,"yyyy-mm-dd"),
          $A$2:$A$543&amp;TEXT($H$2:$H$543,"yyyy-mm-dd"),
          0)),
"")</f>
        <v>1</v>
      </c>
      <c r="O286" s="210">
        <f t="shared" si="3"/>
        <v>1</v>
      </c>
      <c r="P286" s="210">
        <f t="shared" ref="P286:Q286" si="296">IF(N286="",0,IF(N286&lt;=2,1,IF(N286&lt;=4,2,IF(N286&lt;=5.5,3,4))))</f>
        <v>1</v>
      </c>
      <c r="Q286" s="210">
        <f t="shared" si="296"/>
        <v>1</v>
      </c>
      <c r="R286" s="210" t="str">
        <f t="shared" si="5"/>
        <v>No Progress</v>
      </c>
      <c r="S286" s="210">
        <f t="shared" si="6"/>
        <v>0</v>
      </c>
      <c r="T286" s="210"/>
      <c r="U286" s="210"/>
      <c r="V286" s="211" t="s">
        <v>745</v>
      </c>
      <c r="W286" s="210" t="str">
        <f t="shared" si="7"/>
        <v>IM</v>
      </c>
      <c r="X286" s="210" t="str">
        <f t="shared" si="8"/>
        <v>PPO, SM, IM </v>
      </c>
      <c r="Y286" s="210" t="str">
        <f t="shared" si="9"/>
        <v>CHORUS</v>
      </c>
      <c r="Z286" s="210"/>
      <c r="AA286" s="210"/>
      <c r="AB286" s="210"/>
      <c r="AC286" s="210"/>
      <c r="AD286" s="210"/>
      <c r="AE286" s="210"/>
      <c r="AF286" s="210"/>
      <c r="AG286" s="210"/>
      <c r="AH286" s="210"/>
      <c r="AI286" s="210"/>
      <c r="AJ286" s="210"/>
      <c r="AK286" s="210"/>
      <c r="AL286" s="210"/>
      <c r="AM286" s="214"/>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c r="BU286" s="210"/>
      <c r="BV286" s="210"/>
      <c r="BW286" s="210"/>
      <c r="BX286" s="210"/>
      <c r="BY286" s="210"/>
      <c r="BZ286" s="210"/>
      <c r="CA286" s="210"/>
      <c r="CB286" s="210"/>
      <c r="CC286" s="210"/>
      <c r="CD286" s="210"/>
      <c r="CE286" s="210"/>
      <c r="CF286" s="210"/>
      <c r="CG286" s="210"/>
      <c r="CH286" s="210"/>
      <c r="CI286" s="210"/>
      <c r="CJ286" s="210"/>
      <c r="CK286" s="210"/>
    </row>
    <row r="287">
      <c r="A287" s="222" t="s">
        <v>615</v>
      </c>
      <c r="B287" s="190" t="s">
        <v>616</v>
      </c>
      <c r="C287" s="223" t="s">
        <v>76</v>
      </c>
      <c r="D287" s="223" t="s">
        <v>869</v>
      </c>
      <c r="E287" s="190" t="s">
        <v>22</v>
      </c>
      <c r="F287" s="13" t="s">
        <v>935</v>
      </c>
      <c r="G287" s="190"/>
      <c r="H287" s="219">
        <f>IFERROR(
  MINIFS(ATTENDANCE_LOG!$F:$F,
         ATTENDANCE_LOG!$A:$A, C287,
         ATTENDANCE_LOG!$B:$B, E287),
"")</f>
        <v>45895.58333</v>
      </c>
      <c r="I287" s="219">
        <f t="shared" si="2"/>
        <v>45763.54167</v>
      </c>
      <c r="J287" s="190">
        <f>IFERROR(VLOOKUP(F287, LEVEL_HELPER!$A:$B, 2, 0), "")</f>
        <v>3.5</v>
      </c>
      <c r="K287" s="190" t="str">
        <f>IFERROR(VLOOKUP(G287, LEVEL_HELPER!$A:$B, 2, 0), "")</f>
        <v/>
      </c>
      <c r="L287" s="220" t="s">
        <v>919</v>
      </c>
      <c r="M287" s="220" t="s">
        <v>923</v>
      </c>
      <c r="N287" s="190">
        <f t="array" ref="N287">IFERROR(
  INDEX($J$2:$J$543,
    MATCH(A287&amp;TEXT(I287,"yyyy-mm-dd"),
          $A$2:$A$543&amp;TEXT($H$2:$H$543,"yyyy-mm-dd"),
          0)),
"")</f>
        <v>1</v>
      </c>
      <c r="O287" s="210">
        <f t="shared" si="3"/>
        <v>3.5</v>
      </c>
      <c r="P287" s="210">
        <f t="shared" ref="P287:Q287" si="297">IF(N287="",0,IF(N287&lt;=2,1,IF(N287&lt;=4,2,IF(N287&lt;=5.5,3,4))))</f>
        <v>1</v>
      </c>
      <c r="Q287" s="210">
        <f t="shared" si="297"/>
        <v>2</v>
      </c>
      <c r="R287" s="210" t="str">
        <f t="shared" si="5"/>
        <v>Lv1 → Lv2</v>
      </c>
      <c r="S287" s="210">
        <f t="shared" si="6"/>
        <v>0</v>
      </c>
      <c r="T287" s="210"/>
      <c r="U287" s="210"/>
      <c r="V287" s="211" t="s">
        <v>747</v>
      </c>
      <c r="W287" s="210" t="str">
        <f t="shared" si="7"/>
        <v>DEV</v>
      </c>
      <c r="X287" s="210" t="str">
        <f t="shared" si="8"/>
        <v>DEV, TA</v>
      </c>
      <c r="Y287" s="210" t="str">
        <f t="shared" si="9"/>
        <v>LBU</v>
      </c>
      <c r="Z287" s="210"/>
      <c r="AA287" s="210"/>
      <c r="AB287" s="210"/>
      <c r="AC287" s="210"/>
      <c r="AD287" s="210"/>
      <c r="AE287" s="210"/>
      <c r="AF287" s="210"/>
      <c r="AG287" s="210"/>
      <c r="AH287" s="210"/>
      <c r="AI287" s="210"/>
      <c r="AJ287" s="210"/>
      <c r="AK287" s="210"/>
      <c r="AL287" s="210"/>
      <c r="AM287" s="214"/>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c r="BU287" s="210"/>
      <c r="BV287" s="210"/>
      <c r="BW287" s="210"/>
      <c r="BX287" s="210"/>
      <c r="BY287" s="210"/>
      <c r="BZ287" s="210"/>
      <c r="CA287" s="210"/>
      <c r="CB287" s="210"/>
      <c r="CC287" s="210"/>
      <c r="CD287" s="210"/>
      <c r="CE287" s="210"/>
      <c r="CF287" s="210"/>
      <c r="CG287" s="210"/>
      <c r="CH287" s="210"/>
      <c r="CI287" s="210"/>
      <c r="CJ287" s="210"/>
      <c r="CK287" s="210"/>
    </row>
    <row r="288">
      <c r="A288" s="216" t="s">
        <v>421</v>
      </c>
      <c r="B288" s="217" t="s">
        <v>422</v>
      </c>
      <c r="C288" s="218" t="s">
        <v>77</v>
      </c>
      <c r="D288" s="218" t="s">
        <v>870</v>
      </c>
      <c r="E288" s="217" t="s">
        <v>21</v>
      </c>
      <c r="F288" s="13" t="s">
        <v>927</v>
      </c>
      <c r="G288" s="13" t="s">
        <v>918</v>
      </c>
      <c r="H288" s="219">
        <f>IFERROR(
  MINIFS(ATTENDANCE_LOG!$F:$F,
         ATTENDANCE_LOG!$A:$A, C288,
         ATTENDANCE_LOG!$B:$B, E288),
"")</f>
        <v>45715.58333</v>
      </c>
      <c r="I288" s="219">
        <f t="shared" si="2"/>
        <v>45715.58333</v>
      </c>
      <c r="J288" s="190">
        <f>IFERROR(VLOOKUP(F288, LEVEL_HELPER!$A:$B, 2, 0), "")</f>
        <v>1</v>
      </c>
      <c r="K288" s="190">
        <f>IFERROR(VLOOKUP(G288, LEVEL_HELPER!$A:$B, 2, 0), "")</f>
        <v>3</v>
      </c>
      <c r="L288" s="220" t="s">
        <v>931</v>
      </c>
      <c r="M288" s="220" t="s">
        <v>923</v>
      </c>
      <c r="N288" s="190">
        <f t="array" ref="N288">IFERROR(
  INDEX($J$2:$J$543,
    MATCH(A288&amp;TEXT(I288,"yyyy-mm-dd"),
          $A$2:$A$543&amp;TEXT($H$2:$H$543,"yyyy-mm-dd"),
          0)),
"")</f>
        <v>1</v>
      </c>
      <c r="O288" s="210">
        <f t="shared" si="3"/>
        <v>3.5</v>
      </c>
      <c r="P288" s="210">
        <f t="shared" ref="P288:Q288" si="298">IF(N288="",0,IF(N288&lt;=2,1,IF(N288&lt;=4,2,IF(N288&lt;=5.5,3,4))))</f>
        <v>1</v>
      </c>
      <c r="Q288" s="210">
        <f t="shared" si="298"/>
        <v>2</v>
      </c>
      <c r="R288" s="210" t="str">
        <f t="shared" si="5"/>
        <v>Lv1 → Lv2</v>
      </c>
      <c r="S288" s="210">
        <f t="shared" si="6"/>
        <v>1</v>
      </c>
      <c r="T288" s="210"/>
      <c r="U288" s="210"/>
      <c r="V288" s="211" t="s">
        <v>749</v>
      </c>
      <c r="W288" s="210" t="str">
        <f t="shared" si="7"/>
        <v>BA</v>
      </c>
      <c r="X288" s="210" t="str">
        <f t="shared" si="8"/>
        <v>BA, BC</v>
      </c>
      <c r="Y288" s="210" t="str">
        <f t="shared" si="9"/>
        <v>LBU</v>
      </c>
      <c r="Z288" s="210"/>
      <c r="AA288" s="210"/>
      <c r="AB288" s="210"/>
      <c r="AC288" s="210"/>
      <c r="AD288" s="210"/>
      <c r="AE288" s="210"/>
      <c r="AF288" s="210"/>
      <c r="AG288" s="210"/>
      <c r="AH288" s="210"/>
      <c r="AI288" s="210"/>
      <c r="AJ288" s="210"/>
      <c r="AK288" s="210"/>
      <c r="AL288" s="210"/>
      <c r="AM288" s="214"/>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c r="BU288" s="210"/>
      <c r="BV288" s="210"/>
      <c r="BW288" s="210"/>
      <c r="BX288" s="210"/>
      <c r="BY288" s="210"/>
      <c r="BZ288" s="210"/>
      <c r="CA288" s="210"/>
      <c r="CB288" s="210"/>
      <c r="CC288" s="210"/>
      <c r="CD288" s="210"/>
      <c r="CE288" s="210"/>
      <c r="CF288" s="210"/>
      <c r="CG288" s="210"/>
      <c r="CH288" s="210"/>
      <c r="CI288" s="210"/>
      <c r="CJ288" s="210"/>
      <c r="CK288" s="210"/>
    </row>
    <row r="289">
      <c r="A289" s="222" t="s">
        <v>147</v>
      </c>
      <c r="B289" s="190" t="s">
        <v>148</v>
      </c>
      <c r="C289" s="223" t="s">
        <v>77</v>
      </c>
      <c r="D289" s="223" t="s">
        <v>870</v>
      </c>
      <c r="E289" s="190" t="s">
        <v>21</v>
      </c>
      <c r="F289" s="13" t="s">
        <v>927</v>
      </c>
      <c r="G289" s="13" t="s">
        <v>918</v>
      </c>
      <c r="H289" s="219">
        <f>IFERROR(
  MINIFS(ATTENDANCE_LOG!$F:$F,
         ATTENDANCE_LOG!$A:$A, C289,
         ATTENDANCE_LOG!$B:$B, E289),
"")</f>
        <v>45715.58333</v>
      </c>
      <c r="I289" s="219">
        <f t="shared" si="2"/>
        <v>45715.58333</v>
      </c>
      <c r="J289" s="190">
        <f>IFERROR(VLOOKUP(F289, LEVEL_HELPER!$A:$B, 2, 0), "")</f>
        <v>1</v>
      </c>
      <c r="K289" s="190">
        <f>IFERROR(VLOOKUP(G289, LEVEL_HELPER!$A:$B, 2, 0), "")</f>
        <v>3</v>
      </c>
      <c r="L289" s="220" t="s">
        <v>931</v>
      </c>
      <c r="M289" s="220" t="s">
        <v>923</v>
      </c>
      <c r="N289" s="190">
        <f t="array" ref="N289">IFERROR(
  INDEX($J$2:$J$543,
    MATCH(A289&amp;TEXT(I289,"yyyy-mm-dd"),
          $A$2:$A$543&amp;TEXT($H$2:$H$543,"yyyy-mm-dd"),
          0)),
"")</f>
        <v>1</v>
      </c>
      <c r="O289" s="210">
        <f t="shared" si="3"/>
        <v>3.5</v>
      </c>
      <c r="P289" s="210">
        <f t="shared" ref="P289:Q289" si="299">IF(N289="",0,IF(N289&lt;=2,1,IF(N289&lt;=4,2,IF(N289&lt;=5.5,3,4))))</f>
        <v>1</v>
      </c>
      <c r="Q289" s="210">
        <f t="shared" si="299"/>
        <v>2</v>
      </c>
      <c r="R289" s="210" t="str">
        <f t="shared" si="5"/>
        <v>Lv1 → Lv2</v>
      </c>
      <c r="S289" s="210">
        <f t="shared" si="6"/>
        <v>1</v>
      </c>
      <c r="T289" s="210"/>
      <c r="U289" s="210"/>
      <c r="V289" s="211" t="s">
        <v>751</v>
      </c>
      <c r="W289" s="210" t="str">
        <f t="shared" si="7"/>
        <v>GSD</v>
      </c>
      <c r="X289" s="210" t="str">
        <f t="shared" si="8"/>
        <v>GSD</v>
      </c>
      <c r="Y289" s="210" t="str">
        <f t="shared" si="9"/>
        <v>POC</v>
      </c>
      <c r="Z289" s="210"/>
      <c r="AA289" s="210"/>
      <c r="AB289" s="210"/>
      <c r="AC289" s="210"/>
      <c r="AD289" s="210"/>
      <c r="AE289" s="210"/>
      <c r="AF289" s="210"/>
      <c r="AG289" s="210"/>
      <c r="AH289" s="210"/>
      <c r="AI289" s="210"/>
      <c r="AJ289" s="210"/>
      <c r="AK289" s="210"/>
      <c r="AL289" s="210"/>
      <c r="AM289" s="214"/>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c r="BU289" s="210"/>
      <c r="BV289" s="210"/>
      <c r="BW289" s="210"/>
      <c r="BX289" s="210"/>
      <c r="BY289" s="210"/>
      <c r="BZ289" s="210"/>
      <c r="CA289" s="210"/>
      <c r="CB289" s="210"/>
      <c r="CC289" s="210"/>
      <c r="CD289" s="210"/>
      <c r="CE289" s="210"/>
      <c r="CF289" s="210"/>
      <c r="CG289" s="210"/>
      <c r="CH289" s="210"/>
      <c r="CI289" s="210"/>
      <c r="CJ289" s="210"/>
      <c r="CK289" s="210"/>
    </row>
    <row r="290">
      <c r="A290" s="222" t="s">
        <v>247</v>
      </c>
      <c r="B290" s="190" t="s">
        <v>248</v>
      </c>
      <c r="C290" s="223" t="s">
        <v>77</v>
      </c>
      <c r="D290" s="223" t="s">
        <v>870</v>
      </c>
      <c r="E290" s="190" t="s">
        <v>21</v>
      </c>
      <c r="F290" s="13" t="s">
        <v>927</v>
      </c>
      <c r="G290" s="13" t="s">
        <v>929</v>
      </c>
      <c r="H290" s="219">
        <f>IFERROR(
  MINIFS(ATTENDANCE_LOG!$F:$F,
         ATTENDANCE_LOG!$A:$A, C290,
         ATTENDANCE_LOG!$B:$B, E290),
"")</f>
        <v>45715.58333</v>
      </c>
      <c r="I290" s="219">
        <f t="shared" si="2"/>
        <v>45715.58333</v>
      </c>
      <c r="J290" s="190">
        <f>IFERROR(VLOOKUP(F290, LEVEL_HELPER!$A:$B, 2, 0), "")</f>
        <v>1</v>
      </c>
      <c r="K290" s="190">
        <f>IFERROR(VLOOKUP(G290, LEVEL_HELPER!$A:$B, 2, 0), "")</f>
        <v>1.5</v>
      </c>
      <c r="L290" s="220" t="s">
        <v>931</v>
      </c>
      <c r="M290" s="220" t="s">
        <v>923</v>
      </c>
      <c r="N290" s="190">
        <f t="array" ref="N290">IFERROR(
  INDEX($J$2:$J$543,
    MATCH(A290&amp;TEXT(I290,"yyyy-mm-dd"),
          $A$2:$A$543&amp;TEXT($H$2:$H$543,"yyyy-mm-dd"),
          0)),
"")</f>
        <v>1</v>
      </c>
      <c r="O290" s="210">
        <f t="shared" si="3"/>
        <v>1.5</v>
      </c>
      <c r="P290" s="210">
        <f t="shared" ref="P290:Q290" si="300">IF(N290="",0,IF(N290&lt;=2,1,IF(N290&lt;=4,2,IF(N290&lt;=5.5,3,4))))</f>
        <v>1</v>
      </c>
      <c r="Q290" s="210">
        <f t="shared" si="300"/>
        <v>1</v>
      </c>
      <c r="R290" s="210" t="str">
        <f t="shared" si="5"/>
        <v>Progress within level</v>
      </c>
      <c r="S290" s="210">
        <f t="shared" si="6"/>
        <v>0</v>
      </c>
      <c r="T290" s="210"/>
      <c r="U290" s="210"/>
      <c r="V290" s="211" t="s">
        <v>753</v>
      </c>
      <c r="W290" s="210" t="str">
        <f t="shared" si="7"/>
        <v>Designer</v>
      </c>
      <c r="X290" s="210" t="str">
        <f t="shared" si="8"/>
        <v>UI/UX, Des</v>
      </c>
      <c r="Y290" s="210" t="str">
        <f t="shared" si="9"/>
        <v>LBU</v>
      </c>
      <c r="Z290" s="210"/>
      <c r="AA290" s="210"/>
      <c r="AB290" s="210"/>
      <c r="AC290" s="210"/>
      <c r="AD290" s="210"/>
      <c r="AE290" s="210"/>
      <c r="AF290" s="210"/>
      <c r="AG290" s="210"/>
      <c r="AH290" s="210"/>
      <c r="AI290" s="210"/>
      <c r="AJ290" s="210"/>
      <c r="AK290" s="210"/>
      <c r="AL290" s="210"/>
      <c r="AM290" s="214"/>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c r="BU290" s="210"/>
      <c r="BV290" s="210"/>
      <c r="BW290" s="210"/>
      <c r="BX290" s="210"/>
      <c r="BY290" s="210"/>
      <c r="BZ290" s="210"/>
      <c r="CA290" s="210"/>
      <c r="CB290" s="210"/>
      <c r="CC290" s="210"/>
      <c r="CD290" s="210"/>
      <c r="CE290" s="210"/>
      <c r="CF290" s="210"/>
      <c r="CG290" s="210"/>
      <c r="CH290" s="210"/>
      <c r="CI290" s="210"/>
      <c r="CJ290" s="210"/>
      <c r="CK290" s="210"/>
    </row>
    <row r="291">
      <c r="A291" s="222" t="s">
        <v>255</v>
      </c>
      <c r="B291" s="190" t="s">
        <v>256</v>
      </c>
      <c r="C291" s="223" t="s">
        <v>77</v>
      </c>
      <c r="D291" s="223" t="s">
        <v>870</v>
      </c>
      <c r="E291" s="190" t="s">
        <v>21</v>
      </c>
      <c r="F291" s="13" t="s">
        <v>927</v>
      </c>
      <c r="G291" s="13" t="s">
        <v>918</v>
      </c>
      <c r="H291" s="219">
        <f>IFERROR(
  MINIFS(ATTENDANCE_LOG!$F:$F,
         ATTENDANCE_LOG!$A:$A, C291,
         ATTENDANCE_LOG!$B:$B, E291),
"")</f>
        <v>45715.58333</v>
      </c>
      <c r="I291" s="219">
        <f t="shared" si="2"/>
        <v>45715.58333</v>
      </c>
      <c r="J291" s="190">
        <f>IFERROR(VLOOKUP(F291, LEVEL_HELPER!$A:$B, 2, 0), "")</f>
        <v>1</v>
      </c>
      <c r="K291" s="190">
        <f>IFERROR(VLOOKUP(G291, LEVEL_HELPER!$A:$B, 2, 0), "")</f>
        <v>3</v>
      </c>
      <c r="L291" s="220" t="s">
        <v>931</v>
      </c>
      <c r="M291" s="220" t="s">
        <v>923</v>
      </c>
      <c r="N291" s="190">
        <f t="array" ref="N291">IFERROR(
  INDEX($J$2:$J$543,
    MATCH(A291&amp;TEXT(I291,"yyyy-mm-dd"),
          $A$2:$A$543&amp;TEXT($H$2:$H$543,"yyyy-mm-dd"),
          0)),
"")</f>
        <v>1</v>
      </c>
      <c r="O291" s="210">
        <f t="shared" si="3"/>
        <v>3.5</v>
      </c>
      <c r="P291" s="210">
        <f t="shared" ref="P291:Q291" si="301">IF(N291="",0,IF(N291&lt;=2,1,IF(N291&lt;=4,2,IF(N291&lt;=5.5,3,4))))</f>
        <v>1</v>
      </c>
      <c r="Q291" s="210">
        <f t="shared" si="301"/>
        <v>2</v>
      </c>
      <c r="R291" s="210" t="str">
        <f t="shared" si="5"/>
        <v>Lv1 → Lv2</v>
      </c>
      <c r="S291" s="210">
        <f t="shared" si="6"/>
        <v>1</v>
      </c>
      <c r="T291" s="210"/>
      <c r="U291" s="210"/>
      <c r="V291" s="211" t="s">
        <v>755</v>
      </c>
      <c r="W291" s="210" t="str">
        <f t="shared" si="7"/>
        <v>Designer</v>
      </c>
      <c r="X291" s="210" t="str">
        <f t="shared" si="8"/>
        <v>UI/UX, Des</v>
      </c>
      <c r="Y291" s="210" t="str">
        <f t="shared" si="9"/>
        <v>LBU</v>
      </c>
      <c r="Z291" s="210"/>
      <c r="AA291" s="210"/>
      <c r="AB291" s="210"/>
      <c r="AC291" s="210"/>
      <c r="AD291" s="210"/>
      <c r="AE291" s="210"/>
      <c r="AF291" s="210"/>
      <c r="AG291" s="210"/>
      <c r="AH291" s="210"/>
      <c r="AI291" s="210"/>
      <c r="AJ291" s="210"/>
      <c r="AK291" s="210"/>
      <c r="AL291" s="210"/>
      <c r="AM291" s="214"/>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c r="BU291" s="210"/>
      <c r="BV291" s="210"/>
      <c r="BW291" s="210"/>
      <c r="BX291" s="210"/>
      <c r="BY291" s="210"/>
      <c r="BZ291" s="210"/>
      <c r="CA291" s="210"/>
      <c r="CB291" s="210"/>
      <c r="CC291" s="210"/>
      <c r="CD291" s="210"/>
      <c r="CE291" s="210"/>
      <c r="CF291" s="210"/>
      <c r="CG291" s="210"/>
      <c r="CH291" s="210"/>
      <c r="CI291" s="210"/>
      <c r="CJ291" s="210"/>
      <c r="CK291" s="210"/>
    </row>
    <row r="292">
      <c r="A292" s="222" t="s">
        <v>273</v>
      </c>
      <c r="B292" s="190" t="s">
        <v>274</v>
      </c>
      <c r="C292" s="223" t="s">
        <v>77</v>
      </c>
      <c r="D292" s="223" t="s">
        <v>870</v>
      </c>
      <c r="E292" s="190" t="s">
        <v>21</v>
      </c>
      <c r="F292" s="190"/>
      <c r="G292" s="190"/>
      <c r="H292" s="219">
        <f>IFERROR(
  MINIFS(ATTENDANCE_LOG!$F:$F,
         ATTENDANCE_LOG!$A:$A, C292,
         ATTENDANCE_LOG!$B:$B, E292),
"")</f>
        <v>45715.58333</v>
      </c>
      <c r="I292" s="219">
        <f t="shared" si="2"/>
        <v>45715.58333</v>
      </c>
      <c r="J292" s="190" t="str">
        <f>IFERROR(VLOOKUP(F292, LEVEL_HELPER!$A:$B, 2, 0), "")</f>
        <v/>
      </c>
      <c r="K292" s="190" t="str">
        <f>IFERROR(VLOOKUP(G292, LEVEL_HELPER!$A:$B, 2, 0), "")</f>
        <v/>
      </c>
      <c r="L292" s="220" t="s">
        <v>931</v>
      </c>
      <c r="M292" s="220" t="s">
        <v>923</v>
      </c>
      <c r="N292" s="190" t="str">
        <f t="array" ref="N292">IFERROR(
  INDEX($J$2:$J$543,
    MATCH(A292&amp;TEXT(I292,"yyyy-mm-dd"),
          $A$2:$A$543&amp;TEXT($H$2:$H$543,"yyyy-mm-dd"),
          0)),
"")</f>
        <v/>
      </c>
      <c r="O292" s="210">
        <f t="shared" si="3"/>
        <v>1</v>
      </c>
      <c r="P292" s="210">
        <f t="shared" ref="P292:Q292" si="302">IF(N292="",0,IF(N292&lt;=2,1,IF(N292&lt;=4,2,IF(N292&lt;=5.5,3,4))))</f>
        <v>0</v>
      </c>
      <c r="Q292" s="210">
        <f t="shared" si="302"/>
        <v>1</v>
      </c>
      <c r="R292" s="210" t="str">
        <f t="shared" si="5"/>
        <v>No Data</v>
      </c>
      <c r="S292" s="210">
        <f t="shared" si="6"/>
        <v>1</v>
      </c>
      <c r="T292" s="210"/>
      <c r="U292" s="210"/>
      <c r="V292" s="211" t="s">
        <v>478</v>
      </c>
      <c r="W292" s="210" t="str">
        <f t="shared" si="7"/>
        <v>UI/UX</v>
      </c>
      <c r="X292" s="210" t="str">
        <f t="shared" si="8"/>
        <v>UI/UX, Des</v>
      </c>
      <c r="Y292" s="210" t="str">
        <f t="shared" si="9"/>
        <v>CHORUS</v>
      </c>
      <c r="Z292" s="210"/>
      <c r="AA292" s="210"/>
      <c r="AB292" s="210"/>
      <c r="AC292" s="210"/>
      <c r="AD292" s="210"/>
      <c r="AE292" s="210"/>
      <c r="AF292" s="210"/>
      <c r="AG292" s="210"/>
      <c r="AH292" s="210"/>
      <c r="AI292" s="210"/>
      <c r="AJ292" s="210"/>
      <c r="AK292" s="210"/>
      <c r="AL292" s="210"/>
      <c r="AM292" s="214"/>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c r="BU292" s="210"/>
      <c r="BV292" s="210"/>
      <c r="BW292" s="210"/>
      <c r="BX292" s="210"/>
      <c r="BY292" s="210"/>
      <c r="BZ292" s="210"/>
      <c r="CA292" s="210"/>
      <c r="CB292" s="210"/>
      <c r="CC292" s="210"/>
      <c r="CD292" s="210"/>
      <c r="CE292" s="210"/>
      <c r="CF292" s="210"/>
      <c r="CG292" s="210"/>
      <c r="CH292" s="210"/>
      <c r="CI292" s="210"/>
      <c r="CJ292" s="210"/>
      <c r="CK292" s="210"/>
    </row>
    <row r="293">
      <c r="A293" s="222" t="s">
        <v>302</v>
      </c>
      <c r="B293" s="190" t="s">
        <v>303</v>
      </c>
      <c r="C293" s="223" t="s">
        <v>77</v>
      </c>
      <c r="D293" s="223" t="s">
        <v>870</v>
      </c>
      <c r="E293" s="190" t="s">
        <v>21</v>
      </c>
      <c r="F293" s="190"/>
      <c r="G293" s="190"/>
      <c r="H293" s="219">
        <f>IFERROR(
  MINIFS(ATTENDANCE_LOG!$F:$F,
         ATTENDANCE_LOG!$A:$A, C293,
         ATTENDANCE_LOG!$B:$B, E293),
"")</f>
        <v>45715.58333</v>
      </c>
      <c r="I293" s="219">
        <f t="shared" si="2"/>
        <v>45715.58333</v>
      </c>
      <c r="J293" s="190" t="str">
        <f>IFERROR(VLOOKUP(F293, LEVEL_HELPER!$A:$B, 2, 0), "")</f>
        <v/>
      </c>
      <c r="K293" s="190" t="str">
        <f>IFERROR(VLOOKUP(G293, LEVEL_HELPER!$A:$B, 2, 0), "")</f>
        <v/>
      </c>
      <c r="L293" s="220" t="s">
        <v>947</v>
      </c>
      <c r="M293" s="220" t="s">
        <v>923</v>
      </c>
      <c r="N293" s="190" t="str">
        <f t="array" ref="N293">IFERROR(
  INDEX($J$2:$J$543,
    MATCH(A293&amp;TEXT(I293,"yyyy-mm-dd"),
          $A$2:$A$543&amp;TEXT($H$2:$H$543,"yyyy-mm-dd"),
          0)),
"")</f>
        <v/>
      </c>
      <c r="O293" s="210">
        <f t="shared" si="3"/>
        <v>0.5</v>
      </c>
      <c r="P293" s="210">
        <f t="shared" ref="P293:Q293" si="303">IF(N293="",0,IF(N293&lt;=2,1,IF(N293&lt;=4,2,IF(N293&lt;=5.5,3,4))))</f>
        <v>0</v>
      </c>
      <c r="Q293" s="210">
        <f t="shared" si="303"/>
        <v>1</v>
      </c>
      <c r="R293" s="210" t="str">
        <f t="shared" si="5"/>
        <v>No Data</v>
      </c>
      <c r="S293" s="210">
        <f t="shared" si="6"/>
        <v>1</v>
      </c>
      <c r="T293" s="210"/>
      <c r="U293" s="210"/>
      <c r="V293" s="211" t="s">
        <v>151</v>
      </c>
      <c r="W293" s="210" t="str">
        <f t="shared" si="7"/>
        <v>DEV</v>
      </c>
      <c r="X293" s="210" t="str">
        <f t="shared" si="8"/>
        <v>DEV, TA</v>
      </c>
      <c r="Y293" s="210" t="str">
        <f t="shared" si="9"/>
        <v>MOC</v>
      </c>
      <c r="Z293" s="210"/>
      <c r="AA293" s="210"/>
      <c r="AB293" s="210"/>
      <c r="AC293" s="210"/>
      <c r="AD293" s="210"/>
      <c r="AE293" s="210"/>
      <c r="AF293" s="210"/>
      <c r="AG293" s="210"/>
      <c r="AH293" s="210"/>
      <c r="AI293" s="210"/>
      <c r="AJ293" s="210"/>
      <c r="AK293" s="210"/>
      <c r="AL293" s="210"/>
      <c r="AM293" s="214"/>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c r="BU293" s="210"/>
      <c r="BV293" s="210"/>
      <c r="BW293" s="210"/>
      <c r="BX293" s="210"/>
      <c r="BY293" s="210"/>
      <c r="BZ293" s="210"/>
      <c r="CA293" s="210"/>
      <c r="CB293" s="210"/>
      <c r="CC293" s="210"/>
      <c r="CD293" s="210"/>
      <c r="CE293" s="210"/>
      <c r="CF293" s="210"/>
      <c r="CG293" s="210"/>
      <c r="CH293" s="210"/>
      <c r="CI293" s="210"/>
      <c r="CJ293" s="210"/>
      <c r="CK293" s="210"/>
    </row>
    <row r="294">
      <c r="A294" s="222" t="s">
        <v>494</v>
      </c>
      <c r="B294" s="190" t="s">
        <v>495</v>
      </c>
      <c r="C294" s="223" t="s">
        <v>77</v>
      </c>
      <c r="D294" s="223" t="s">
        <v>870</v>
      </c>
      <c r="E294" s="190" t="s">
        <v>21</v>
      </c>
      <c r="F294" s="13" t="s">
        <v>927</v>
      </c>
      <c r="G294" s="13" t="s">
        <v>918</v>
      </c>
      <c r="H294" s="219">
        <f>IFERROR(
  MINIFS(ATTENDANCE_LOG!$F:$F,
         ATTENDANCE_LOG!$A:$A, C294,
         ATTENDANCE_LOG!$B:$B, E294),
"")</f>
        <v>45715.58333</v>
      </c>
      <c r="I294" s="219">
        <f t="shared" si="2"/>
        <v>45715.58333</v>
      </c>
      <c r="J294" s="190">
        <f>IFERROR(VLOOKUP(F294, LEVEL_HELPER!$A:$B, 2, 0), "")</f>
        <v>1</v>
      </c>
      <c r="K294" s="190">
        <f>IFERROR(VLOOKUP(G294, LEVEL_HELPER!$A:$B, 2, 0), "")</f>
        <v>3</v>
      </c>
      <c r="L294" s="220" t="s">
        <v>931</v>
      </c>
      <c r="M294" s="220" t="s">
        <v>923</v>
      </c>
      <c r="N294" s="190">
        <f t="array" ref="N294">IFERROR(
  INDEX($J$2:$J$543,
    MATCH(A294&amp;TEXT(I294,"yyyy-mm-dd"),
          $A$2:$A$543&amp;TEXT($H$2:$H$543,"yyyy-mm-dd"),
          0)),
"")</f>
        <v>1</v>
      </c>
      <c r="O294" s="210">
        <f t="shared" si="3"/>
        <v>3.5</v>
      </c>
      <c r="P294" s="210">
        <f t="shared" ref="P294:Q294" si="304">IF(N294="",0,IF(N294&lt;=2,1,IF(N294&lt;=4,2,IF(N294&lt;=5.5,3,4))))</f>
        <v>1</v>
      </c>
      <c r="Q294" s="210">
        <f t="shared" si="304"/>
        <v>2</v>
      </c>
      <c r="R294" s="210" t="str">
        <f t="shared" si="5"/>
        <v>Lv1 → Lv2</v>
      </c>
      <c r="S294" s="210">
        <f t="shared" si="6"/>
        <v>1</v>
      </c>
      <c r="T294" s="210"/>
      <c r="U294" s="210"/>
      <c r="V294" s="211" t="s">
        <v>163</v>
      </c>
      <c r="W294" s="210" t="str">
        <f t="shared" si="7"/>
        <v>Designer</v>
      </c>
      <c r="X294" s="210" t="str">
        <f t="shared" si="8"/>
        <v>UI/UX, Des</v>
      </c>
      <c r="Y294" s="210" t="str">
        <f t="shared" si="9"/>
        <v>LBU</v>
      </c>
      <c r="Z294" s="210"/>
      <c r="AA294" s="210"/>
      <c r="AB294" s="210"/>
      <c r="AC294" s="210"/>
      <c r="AD294" s="210"/>
      <c r="AE294" s="210"/>
      <c r="AF294" s="210"/>
      <c r="AG294" s="210"/>
      <c r="AH294" s="210"/>
      <c r="AI294" s="210"/>
      <c r="AJ294" s="210"/>
      <c r="AK294" s="210"/>
      <c r="AL294" s="210"/>
      <c r="AM294" s="214"/>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c r="BU294" s="210"/>
      <c r="BV294" s="210"/>
      <c r="BW294" s="210"/>
      <c r="BX294" s="210"/>
      <c r="BY294" s="210"/>
      <c r="BZ294" s="210"/>
      <c r="CA294" s="210"/>
      <c r="CB294" s="210"/>
      <c r="CC294" s="210"/>
      <c r="CD294" s="210"/>
      <c r="CE294" s="210"/>
      <c r="CF294" s="210"/>
      <c r="CG294" s="210"/>
      <c r="CH294" s="210"/>
      <c r="CI294" s="210"/>
      <c r="CJ294" s="210"/>
      <c r="CK294" s="210"/>
    </row>
    <row r="295">
      <c r="A295" s="222" t="s">
        <v>498</v>
      </c>
      <c r="B295" s="190" t="s">
        <v>499</v>
      </c>
      <c r="C295" s="223" t="s">
        <v>77</v>
      </c>
      <c r="D295" s="223" t="s">
        <v>870</v>
      </c>
      <c r="E295" s="190" t="s">
        <v>21</v>
      </c>
      <c r="F295" s="13" t="s">
        <v>927</v>
      </c>
      <c r="G295" s="13" t="s">
        <v>929</v>
      </c>
      <c r="H295" s="219">
        <f>IFERROR(
  MINIFS(ATTENDANCE_LOG!$F:$F,
         ATTENDANCE_LOG!$A:$A, C295,
         ATTENDANCE_LOG!$B:$B, E295),
"")</f>
        <v>45715.58333</v>
      </c>
      <c r="I295" s="219">
        <f t="shared" si="2"/>
        <v>45715.58333</v>
      </c>
      <c r="J295" s="190">
        <f>IFERROR(VLOOKUP(F295, LEVEL_HELPER!$A:$B, 2, 0), "")</f>
        <v>1</v>
      </c>
      <c r="K295" s="190">
        <f>IFERROR(VLOOKUP(G295, LEVEL_HELPER!$A:$B, 2, 0), "")</f>
        <v>1.5</v>
      </c>
      <c r="L295" s="220" t="s">
        <v>931</v>
      </c>
      <c r="M295" s="220" t="s">
        <v>923</v>
      </c>
      <c r="N295" s="190">
        <f t="array" ref="N295">IFERROR(
  INDEX($J$2:$J$543,
    MATCH(A295&amp;TEXT(I295,"yyyy-mm-dd"),
          $A$2:$A$543&amp;TEXT($H$2:$H$543,"yyyy-mm-dd"),
          0)),
"")</f>
        <v>1</v>
      </c>
      <c r="O295" s="210">
        <f t="shared" si="3"/>
        <v>3</v>
      </c>
      <c r="P295" s="210">
        <f t="shared" ref="P295:Q295" si="305">IF(N295="",0,IF(N295&lt;=2,1,IF(N295&lt;=4,2,IF(N295&lt;=5.5,3,4))))</f>
        <v>1</v>
      </c>
      <c r="Q295" s="210">
        <f t="shared" si="305"/>
        <v>2</v>
      </c>
      <c r="R295" s="210" t="str">
        <f t="shared" si="5"/>
        <v>Lv1 → Lv2</v>
      </c>
      <c r="S295" s="210">
        <f t="shared" si="6"/>
        <v>1</v>
      </c>
      <c r="T295" s="210"/>
      <c r="U295" s="210"/>
      <c r="V295" s="211" t="s">
        <v>180</v>
      </c>
      <c r="W295" s="210" t="str">
        <f t="shared" si="7"/>
        <v>DEV</v>
      </c>
      <c r="X295" s="210" t="str">
        <f t="shared" si="8"/>
        <v>DEV, TA</v>
      </c>
      <c r="Y295" s="210" t="str">
        <f t="shared" si="9"/>
        <v>CHORUS</v>
      </c>
      <c r="Z295" s="210"/>
      <c r="AA295" s="210"/>
      <c r="AB295" s="210"/>
      <c r="AC295" s="210"/>
      <c r="AD295" s="210"/>
      <c r="AE295" s="210"/>
      <c r="AF295" s="210"/>
      <c r="AG295" s="210"/>
      <c r="AH295" s="210"/>
      <c r="AI295" s="210"/>
      <c r="AJ295" s="210"/>
      <c r="AK295" s="210"/>
      <c r="AL295" s="210"/>
      <c r="AM295" s="214"/>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c r="BU295" s="210"/>
      <c r="BV295" s="210"/>
      <c r="BW295" s="210"/>
      <c r="BX295" s="210"/>
      <c r="BY295" s="210"/>
      <c r="BZ295" s="210"/>
      <c r="CA295" s="210"/>
      <c r="CB295" s="210"/>
      <c r="CC295" s="210"/>
      <c r="CD295" s="210"/>
      <c r="CE295" s="210"/>
      <c r="CF295" s="210"/>
      <c r="CG295" s="210"/>
      <c r="CH295" s="210"/>
      <c r="CI295" s="210"/>
      <c r="CJ295" s="210"/>
      <c r="CK295" s="210"/>
    </row>
    <row r="296">
      <c r="A296" s="222" t="s">
        <v>566</v>
      </c>
      <c r="B296" s="190" t="s">
        <v>567</v>
      </c>
      <c r="C296" s="223" t="s">
        <v>77</v>
      </c>
      <c r="D296" s="223" t="s">
        <v>870</v>
      </c>
      <c r="E296" s="190" t="s">
        <v>21</v>
      </c>
      <c r="F296" s="13" t="s">
        <v>927</v>
      </c>
      <c r="G296" s="13" t="s">
        <v>929</v>
      </c>
      <c r="H296" s="219">
        <f>IFERROR(
  MINIFS(ATTENDANCE_LOG!$F:$F,
         ATTENDANCE_LOG!$A:$A, C296,
         ATTENDANCE_LOG!$B:$B, E296),
"")</f>
        <v>45715.58333</v>
      </c>
      <c r="I296" s="219">
        <f t="shared" si="2"/>
        <v>45715.58333</v>
      </c>
      <c r="J296" s="190">
        <f>IFERROR(VLOOKUP(F296, LEVEL_HELPER!$A:$B, 2, 0), "")</f>
        <v>1</v>
      </c>
      <c r="K296" s="190">
        <f>IFERROR(VLOOKUP(G296, LEVEL_HELPER!$A:$B, 2, 0), "")</f>
        <v>1.5</v>
      </c>
      <c r="L296" s="220" t="s">
        <v>947</v>
      </c>
      <c r="M296" s="220" t="s">
        <v>923</v>
      </c>
      <c r="N296" s="190">
        <f t="array" ref="N296">IFERROR(
  INDEX($J$2:$J$543,
    MATCH(A296&amp;TEXT(I296,"yyyy-mm-dd"),
          $A$2:$A$543&amp;TEXT($H$2:$H$543,"yyyy-mm-dd"),
          0)),
"")</f>
        <v>1</v>
      </c>
      <c r="O296" s="210">
        <f t="shared" si="3"/>
        <v>1.5</v>
      </c>
      <c r="P296" s="210">
        <f t="shared" ref="P296:Q296" si="306">IF(N296="",0,IF(N296&lt;=2,1,IF(N296&lt;=4,2,IF(N296&lt;=5.5,3,4))))</f>
        <v>1</v>
      </c>
      <c r="Q296" s="210">
        <f t="shared" si="306"/>
        <v>1</v>
      </c>
      <c r="R296" s="210" t="str">
        <f t="shared" si="5"/>
        <v>Progress within level</v>
      </c>
      <c r="S296" s="210">
        <f t="shared" si="6"/>
        <v>1</v>
      </c>
      <c r="T296" s="210"/>
      <c r="U296" s="210"/>
      <c r="V296" s="211" t="s">
        <v>284</v>
      </c>
      <c r="W296" s="210" t="str">
        <f t="shared" si="7"/>
        <v>DEV</v>
      </c>
      <c r="X296" s="210" t="str">
        <f t="shared" si="8"/>
        <v>DEV, TA</v>
      </c>
      <c r="Y296" s="210" t="str">
        <f t="shared" si="9"/>
        <v>CHORUS</v>
      </c>
      <c r="Z296" s="210"/>
      <c r="AA296" s="210"/>
      <c r="AB296" s="210"/>
      <c r="AC296" s="210"/>
      <c r="AD296" s="210"/>
      <c r="AE296" s="210"/>
      <c r="AF296" s="210"/>
      <c r="AG296" s="210"/>
      <c r="AH296" s="210"/>
      <c r="AI296" s="210"/>
      <c r="AJ296" s="210"/>
      <c r="AK296" s="210"/>
      <c r="AL296" s="210"/>
      <c r="AM296" s="214"/>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c r="BU296" s="210"/>
      <c r="BV296" s="210"/>
      <c r="BW296" s="210"/>
      <c r="BX296" s="210"/>
      <c r="BY296" s="210"/>
      <c r="BZ296" s="210"/>
      <c r="CA296" s="210"/>
      <c r="CB296" s="210"/>
      <c r="CC296" s="210"/>
      <c r="CD296" s="210"/>
      <c r="CE296" s="210"/>
      <c r="CF296" s="210"/>
      <c r="CG296" s="210"/>
      <c r="CH296" s="210"/>
      <c r="CI296" s="210"/>
      <c r="CJ296" s="210"/>
      <c r="CK296" s="210"/>
    </row>
    <row r="297">
      <c r="A297" s="216" t="s">
        <v>421</v>
      </c>
      <c r="B297" s="217" t="s">
        <v>422</v>
      </c>
      <c r="C297" s="218" t="s">
        <v>77</v>
      </c>
      <c r="D297" s="218" t="s">
        <v>870</v>
      </c>
      <c r="E297" s="217" t="s">
        <v>22</v>
      </c>
      <c r="F297" s="13" t="s">
        <v>918</v>
      </c>
      <c r="G297" s="13" t="s">
        <v>935</v>
      </c>
      <c r="H297" s="219">
        <f>IFERROR(
  MINIFS(ATTENDANCE_LOG!$F:$F,
         ATTENDANCE_LOG!$A:$A, C297,
         ATTENDANCE_LOG!$B:$B, E297),
"")</f>
        <v>45890.54167</v>
      </c>
      <c r="I297" s="219">
        <f t="shared" si="2"/>
        <v>45715.58333</v>
      </c>
      <c r="J297" s="190">
        <f>IFERROR(VLOOKUP(F297, LEVEL_HELPER!$A:$B, 2, 0), "")</f>
        <v>3</v>
      </c>
      <c r="K297" s="190">
        <f>IFERROR(VLOOKUP(G297, LEVEL_HELPER!$A:$B, 2, 0), "")</f>
        <v>3.5</v>
      </c>
      <c r="L297" s="220" t="s">
        <v>931</v>
      </c>
      <c r="M297" s="220" t="s">
        <v>923</v>
      </c>
      <c r="N297" s="190">
        <f t="array" ref="N297">IFERROR(
  INDEX($J$2:$J$543,
    MATCH(A297&amp;TEXT(I297,"yyyy-mm-dd"),
          $A$2:$A$543&amp;TEXT($H$2:$H$543,"yyyy-mm-dd"),
          0)),
"")</f>
        <v>1</v>
      </c>
      <c r="O297" s="210">
        <f t="shared" si="3"/>
        <v>3.5</v>
      </c>
      <c r="P297" s="210">
        <f t="shared" ref="P297:Q297" si="307">IF(N297="",0,IF(N297&lt;=2,1,IF(N297&lt;=4,2,IF(N297&lt;=5.5,3,4))))</f>
        <v>1</v>
      </c>
      <c r="Q297" s="210">
        <f t="shared" si="307"/>
        <v>2</v>
      </c>
      <c r="R297" s="210" t="str">
        <f t="shared" si="5"/>
        <v>Lv1 → Lv2</v>
      </c>
      <c r="S297" s="210">
        <f t="shared" si="6"/>
        <v>0</v>
      </c>
      <c r="T297" s="210"/>
      <c r="U297" s="210"/>
      <c r="V297" s="211" t="s">
        <v>359</v>
      </c>
      <c r="W297" s="210" t="str">
        <f t="shared" si="7"/>
        <v>DEV</v>
      </c>
      <c r="X297" s="210" t="str">
        <f t="shared" si="8"/>
        <v>DEV, TA</v>
      </c>
      <c r="Y297" s="210" t="str">
        <f t="shared" si="9"/>
        <v>CHORUS</v>
      </c>
      <c r="Z297" s="210"/>
      <c r="AA297" s="210"/>
      <c r="AB297" s="210"/>
      <c r="AC297" s="210"/>
      <c r="AD297" s="210"/>
      <c r="AE297" s="210"/>
      <c r="AF297" s="210"/>
      <c r="AG297" s="210"/>
      <c r="AH297" s="210"/>
      <c r="AI297" s="210"/>
      <c r="AJ297" s="210"/>
      <c r="AK297" s="210"/>
      <c r="AL297" s="210"/>
      <c r="AM297" s="214"/>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c r="BU297" s="210"/>
      <c r="BV297" s="210"/>
      <c r="BW297" s="210"/>
      <c r="BX297" s="210"/>
      <c r="BY297" s="210"/>
      <c r="BZ297" s="210"/>
      <c r="CA297" s="210"/>
      <c r="CB297" s="210"/>
      <c r="CC297" s="210"/>
      <c r="CD297" s="210"/>
      <c r="CE297" s="210"/>
      <c r="CF297" s="210"/>
      <c r="CG297" s="210"/>
      <c r="CH297" s="210"/>
      <c r="CI297" s="210"/>
      <c r="CJ297" s="210"/>
      <c r="CK297" s="210"/>
    </row>
    <row r="298">
      <c r="A298" s="222" t="s">
        <v>147</v>
      </c>
      <c r="B298" s="190" t="s">
        <v>148</v>
      </c>
      <c r="C298" s="223" t="s">
        <v>77</v>
      </c>
      <c r="D298" s="223" t="s">
        <v>870</v>
      </c>
      <c r="E298" s="190" t="s">
        <v>22</v>
      </c>
      <c r="F298" s="13" t="s">
        <v>918</v>
      </c>
      <c r="G298" s="13" t="s">
        <v>935</v>
      </c>
      <c r="H298" s="219">
        <f>IFERROR(
  MINIFS(ATTENDANCE_LOG!$F:$F,
         ATTENDANCE_LOG!$A:$A, C298,
         ATTENDANCE_LOG!$B:$B, E298),
"")</f>
        <v>45890.54167</v>
      </c>
      <c r="I298" s="219">
        <f t="shared" si="2"/>
        <v>45715.58333</v>
      </c>
      <c r="J298" s="190">
        <f>IFERROR(VLOOKUP(F298, LEVEL_HELPER!$A:$B, 2, 0), "")</f>
        <v>3</v>
      </c>
      <c r="K298" s="190">
        <f>IFERROR(VLOOKUP(G298, LEVEL_HELPER!$A:$B, 2, 0), "")</f>
        <v>3.5</v>
      </c>
      <c r="L298" s="220" t="s">
        <v>931</v>
      </c>
      <c r="M298" s="220" t="s">
        <v>923</v>
      </c>
      <c r="N298" s="190">
        <f t="array" ref="N298">IFERROR(
  INDEX($J$2:$J$543,
    MATCH(A298&amp;TEXT(I298,"yyyy-mm-dd"),
          $A$2:$A$543&amp;TEXT($H$2:$H$543,"yyyy-mm-dd"),
          0)),
"")</f>
        <v>1</v>
      </c>
      <c r="O298" s="210">
        <f t="shared" si="3"/>
        <v>3.5</v>
      </c>
      <c r="P298" s="210">
        <f t="shared" ref="P298:Q298" si="308">IF(N298="",0,IF(N298&lt;=2,1,IF(N298&lt;=4,2,IF(N298&lt;=5.5,3,4))))</f>
        <v>1</v>
      </c>
      <c r="Q298" s="210">
        <f t="shared" si="308"/>
        <v>2</v>
      </c>
      <c r="R298" s="210" t="str">
        <f t="shared" si="5"/>
        <v>Lv1 → Lv2</v>
      </c>
      <c r="S298" s="210">
        <f t="shared" si="6"/>
        <v>0</v>
      </c>
      <c r="T298" s="210"/>
      <c r="U298" s="210"/>
      <c r="V298" s="211" t="s">
        <v>365</v>
      </c>
      <c r="W298" s="210" t="str">
        <f t="shared" si="7"/>
        <v>DEV</v>
      </c>
      <c r="X298" s="210" t="str">
        <f t="shared" si="8"/>
        <v>DEV, TA</v>
      </c>
      <c r="Y298" s="210" t="str">
        <f t="shared" si="9"/>
        <v>CHORUS</v>
      </c>
      <c r="Z298" s="210"/>
      <c r="AA298" s="210"/>
      <c r="AB298" s="210"/>
      <c r="AC298" s="210"/>
      <c r="AD298" s="210"/>
      <c r="AE298" s="210"/>
      <c r="AF298" s="210"/>
      <c r="AG298" s="210"/>
      <c r="AH298" s="210"/>
      <c r="AI298" s="210"/>
      <c r="AJ298" s="210"/>
      <c r="AK298" s="210"/>
      <c r="AL298" s="210"/>
      <c r="AM298" s="214"/>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c r="BU298" s="210"/>
      <c r="BV298" s="210"/>
      <c r="BW298" s="210"/>
      <c r="BX298" s="210"/>
      <c r="BY298" s="210"/>
      <c r="BZ298" s="210"/>
      <c r="CA298" s="210"/>
      <c r="CB298" s="210"/>
      <c r="CC298" s="210"/>
      <c r="CD298" s="210"/>
      <c r="CE298" s="210"/>
      <c r="CF298" s="210"/>
      <c r="CG298" s="210"/>
      <c r="CH298" s="210"/>
      <c r="CI298" s="210"/>
      <c r="CJ298" s="210"/>
      <c r="CK298" s="210"/>
    </row>
    <row r="299">
      <c r="A299" s="222" t="s">
        <v>159</v>
      </c>
      <c r="B299" s="190" t="s">
        <v>160</v>
      </c>
      <c r="C299" s="223" t="s">
        <v>77</v>
      </c>
      <c r="D299" s="223" t="s">
        <v>870</v>
      </c>
      <c r="E299" s="190" t="s">
        <v>22</v>
      </c>
      <c r="F299" s="13" t="s">
        <v>918</v>
      </c>
      <c r="G299" s="13" t="s">
        <v>918</v>
      </c>
      <c r="H299" s="219">
        <f>IFERROR(
  MINIFS(ATTENDANCE_LOG!$F:$F,
         ATTENDANCE_LOG!$A:$A, C299,
         ATTENDANCE_LOG!$B:$B, E299),
"")</f>
        <v>45890.54167</v>
      </c>
      <c r="I299" s="219">
        <f t="shared" si="2"/>
        <v>45663.58333</v>
      </c>
      <c r="J299" s="190">
        <f>IFERROR(VLOOKUP(F299, LEVEL_HELPER!$A:$B, 2, 0), "")</f>
        <v>3</v>
      </c>
      <c r="K299" s="190">
        <f>IFERROR(VLOOKUP(G299, LEVEL_HELPER!$A:$B, 2, 0), "")</f>
        <v>3</v>
      </c>
      <c r="L299" s="220" t="s">
        <v>931</v>
      </c>
      <c r="M299" s="220" t="s">
        <v>923</v>
      </c>
      <c r="N299" s="190" t="str">
        <f t="array" ref="N299">IFERROR(
  INDEX($J$2:$J$543,
    MATCH(A299&amp;TEXT(I299,"yyyy-mm-dd"),
          $A$2:$A$543&amp;TEXT($H$2:$H$543,"yyyy-mm-dd"),
          0)),
"")</f>
        <v/>
      </c>
      <c r="O299" s="210">
        <f t="shared" si="3"/>
        <v>3</v>
      </c>
      <c r="P299" s="210">
        <f t="shared" ref="P299:Q299" si="309">IF(N299="",0,IF(N299&lt;=2,1,IF(N299&lt;=4,2,IF(N299&lt;=5.5,3,4))))</f>
        <v>0</v>
      </c>
      <c r="Q299" s="210">
        <f t="shared" si="309"/>
        <v>2</v>
      </c>
      <c r="R299" s="210" t="str">
        <f t="shared" si="5"/>
        <v>No Data</v>
      </c>
      <c r="S299" s="210">
        <f t="shared" si="6"/>
        <v>0</v>
      </c>
      <c r="T299" s="210"/>
      <c r="U299" s="210"/>
      <c r="V299" s="211" t="s">
        <v>393</v>
      </c>
      <c r="W299" s="210" t="str">
        <f t="shared" si="7"/>
        <v>DEV</v>
      </c>
      <c r="X299" s="210" t="str">
        <f t="shared" si="8"/>
        <v>DEV, TA</v>
      </c>
      <c r="Y299" s="210" t="str">
        <f t="shared" si="9"/>
        <v>CHORUS</v>
      </c>
      <c r="Z299" s="210"/>
      <c r="AA299" s="210"/>
      <c r="AB299" s="210"/>
      <c r="AC299" s="210"/>
      <c r="AD299" s="210"/>
      <c r="AE299" s="210"/>
      <c r="AF299" s="210"/>
      <c r="AG299" s="210"/>
      <c r="AH299" s="210"/>
      <c r="AI299" s="210"/>
      <c r="AJ299" s="210"/>
      <c r="AK299" s="210"/>
      <c r="AL299" s="210"/>
      <c r="AM299" s="214"/>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c r="BU299" s="210"/>
      <c r="BV299" s="210"/>
      <c r="BW299" s="210"/>
      <c r="BX299" s="210"/>
      <c r="BY299" s="210"/>
      <c r="BZ299" s="210"/>
      <c r="CA299" s="210"/>
      <c r="CB299" s="210"/>
      <c r="CC299" s="210"/>
      <c r="CD299" s="210"/>
      <c r="CE299" s="210"/>
      <c r="CF299" s="210"/>
      <c r="CG299" s="210"/>
      <c r="CH299" s="210"/>
      <c r="CI299" s="210"/>
      <c r="CJ299" s="210"/>
      <c r="CK299" s="210"/>
    </row>
    <row r="300">
      <c r="A300" s="222" t="s">
        <v>255</v>
      </c>
      <c r="B300" s="190" t="s">
        <v>256</v>
      </c>
      <c r="C300" s="223" t="s">
        <v>77</v>
      </c>
      <c r="D300" s="223" t="s">
        <v>870</v>
      </c>
      <c r="E300" s="190" t="s">
        <v>22</v>
      </c>
      <c r="F300" s="13" t="s">
        <v>918</v>
      </c>
      <c r="G300" s="13" t="s">
        <v>935</v>
      </c>
      <c r="H300" s="219">
        <f>IFERROR(
  MINIFS(ATTENDANCE_LOG!$F:$F,
         ATTENDANCE_LOG!$A:$A, C300,
         ATTENDANCE_LOG!$B:$B, E300),
"")</f>
        <v>45890.54167</v>
      </c>
      <c r="I300" s="219">
        <f t="shared" si="2"/>
        <v>45715.58333</v>
      </c>
      <c r="J300" s="190">
        <f>IFERROR(VLOOKUP(F300, LEVEL_HELPER!$A:$B, 2, 0), "")</f>
        <v>3</v>
      </c>
      <c r="K300" s="190">
        <f>IFERROR(VLOOKUP(G300, LEVEL_HELPER!$A:$B, 2, 0), "")</f>
        <v>3.5</v>
      </c>
      <c r="L300" s="220" t="s">
        <v>931</v>
      </c>
      <c r="M300" s="220" t="s">
        <v>923</v>
      </c>
      <c r="N300" s="190">
        <f t="array" ref="N300">IFERROR(
  INDEX($J$2:$J$543,
    MATCH(A300&amp;TEXT(I300,"yyyy-mm-dd"),
          $A$2:$A$543&amp;TEXT($H$2:$H$543,"yyyy-mm-dd"),
          0)),
"")</f>
        <v>1</v>
      </c>
      <c r="O300" s="210">
        <f t="shared" si="3"/>
        <v>3.5</v>
      </c>
      <c r="P300" s="210">
        <f t="shared" ref="P300:Q300" si="310">IF(N300="",0,IF(N300&lt;=2,1,IF(N300&lt;=4,2,IF(N300&lt;=5.5,3,4))))</f>
        <v>1</v>
      </c>
      <c r="Q300" s="210">
        <f t="shared" si="310"/>
        <v>2</v>
      </c>
      <c r="R300" s="210" t="str">
        <f t="shared" si="5"/>
        <v>Lv1 → Lv2</v>
      </c>
      <c r="S300" s="210">
        <f t="shared" si="6"/>
        <v>0</v>
      </c>
      <c r="T300" s="210"/>
      <c r="U300" s="210"/>
      <c r="V300" s="211" t="s">
        <v>409</v>
      </c>
      <c r="W300" s="210" t="str">
        <f t="shared" si="7"/>
        <v>QC</v>
      </c>
      <c r="X300" s="210" t="str">
        <f t="shared" si="8"/>
        <v>QC</v>
      </c>
      <c r="Y300" s="210" t="str">
        <f t="shared" si="9"/>
        <v>CHORUS</v>
      </c>
      <c r="Z300" s="210"/>
      <c r="AA300" s="210"/>
      <c r="AB300" s="210"/>
      <c r="AC300" s="210"/>
      <c r="AD300" s="210"/>
      <c r="AE300" s="210"/>
      <c r="AF300" s="210"/>
      <c r="AG300" s="210"/>
      <c r="AH300" s="210"/>
      <c r="AI300" s="210"/>
      <c r="AJ300" s="210"/>
      <c r="AK300" s="210"/>
      <c r="AL300" s="210"/>
      <c r="AM300" s="214"/>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c r="BU300" s="210"/>
      <c r="BV300" s="210"/>
      <c r="BW300" s="210"/>
      <c r="BX300" s="210"/>
      <c r="BY300" s="210"/>
      <c r="BZ300" s="210"/>
      <c r="CA300" s="210"/>
      <c r="CB300" s="210"/>
      <c r="CC300" s="210"/>
      <c r="CD300" s="210"/>
      <c r="CE300" s="210"/>
      <c r="CF300" s="210"/>
      <c r="CG300" s="210"/>
      <c r="CH300" s="210"/>
      <c r="CI300" s="210"/>
      <c r="CJ300" s="210"/>
      <c r="CK300" s="210"/>
    </row>
    <row r="301">
      <c r="A301" s="222" t="s">
        <v>433</v>
      </c>
      <c r="B301" s="190" t="s">
        <v>432</v>
      </c>
      <c r="C301" s="223" t="s">
        <v>77</v>
      </c>
      <c r="D301" s="223" t="s">
        <v>870</v>
      </c>
      <c r="E301" s="190" t="s">
        <v>22</v>
      </c>
      <c r="F301" s="13" t="s">
        <v>918</v>
      </c>
      <c r="G301" s="13" t="s">
        <v>935</v>
      </c>
      <c r="H301" s="219">
        <f>IFERROR(
  MINIFS(ATTENDANCE_LOG!$F:$F,
         ATTENDANCE_LOG!$A:$A, C301,
         ATTENDANCE_LOG!$B:$B, E301),
"")</f>
        <v>45890.54167</v>
      </c>
      <c r="I301" s="219">
        <f t="shared" si="2"/>
        <v>45663.58333</v>
      </c>
      <c r="J301" s="190">
        <f>IFERROR(VLOOKUP(F301, LEVEL_HELPER!$A:$B, 2, 0), "")</f>
        <v>3</v>
      </c>
      <c r="K301" s="190">
        <f>IFERROR(VLOOKUP(G301, LEVEL_HELPER!$A:$B, 2, 0), "")</f>
        <v>3.5</v>
      </c>
      <c r="L301" s="220" t="s">
        <v>931</v>
      </c>
      <c r="M301" s="220" t="s">
        <v>923</v>
      </c>
      <c r="N301" s="190">
        <f t="array" ref="N301">IFERROR(
  INDEX($J$2:$J$543,
    MATCH(A301&amp;TEXT(I301,"yyyy-mm-dd"),
          $A$2:$A$543&amp;TEXT($H$2:$H$543,"yyyy-mm-dd"),
          0)),
"")</f>
        <v>2.5</v>
      </c>
      <c r="O301" s="210">
        <f t="shared" si="3"/>
        <v>3.5</v>
      </c>
      <c r="P301" s="210">
        <f t="shared" ref="P301:Q301" si="311">IF(N301="",0,IF(N301&lt;=2,1,IF(N301&lt;=4,2,IF(N301&lt;=5.5,3,4))))</f>
        <v>2</v>
      </c>
      <c r="Q301" s="210">
        <f t="shared" si="311"/>
        <v>2</v>
      </c>
      <c r="R301" s="210" t="str">
        <f t="shared" si="5"/>
        <v>Progress within level</v>
      </c>
      <c r="S301" s="210">
        <f t="shared" si="6"/>
        <v>0</v>
      </c>
      <c r="T301" s="210"/>
      <c r="U301" s="210"/>
      <c r="V301" s="211" t="s">
        <v>585</v>
      </c>
      <c r="W301" s="210" t="str">
        <f t="shared" si="7"/>
        <v>DEV</v>
      </c>
      <c r="X301" s="210" t="str">
        <f t="shared" si="8"/>
        <v>DEV, TA</v>
      </c>
      <c r="Y301" s="210" t="str">
        <f t="shared" si="9"/>
        <v>CHORUS</v>
      </c>
      <c r="Z301" s="210"/>
      <c r="AA301" s="210"/>
      <c r="AB301" s="210"/>
      <c r="AC301" s="210"/>
      <c r="AD301" s="210"/>
      <c r="AE301" s="210"/>
      <c r="AF301" s="210"/>
      <c r="AG301" s="210"/>
      <c r="AH301" s="210"/>
      <c r="AI301" s="210"/>
      <c r="AJ301" s="210"/>
      <c r="AK301" s="210"/>
      <c r="AL301" s="210"/>
      <c r="AM301" s="214"/>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c r="BU301" s="210"/>
      <c r="BV301" s="210"/>
      <c r="BW301" s="210"/>
      <c r="BX301" s="210"/>
      <c r="BY301" s="210"/>
      <c r="BZ301" s="210"/>
      <c r="CA301" s="210"/>
      <c r="CB301" s="210"/>
      <c r="CC301" s="210"/>
      <c r="CD301" s="210"/>
      <c r="CE301" s="210"/>
      <c r="CF301" s="210"/>
      <c r="CG301" s="210"/>
      <c r="CH301" s="210"/>
      <c r="CI301" s="210"/>
      <c r="CJ301" s="210"/>
      <c r="CK301" s="210"/>
    </row>
    <row r="302">
      <c r="A302" s="222" t="s">
        <v>494</v>
      </c>
      <c r="B302" s="190" t="s">
        <v>495</v>
      </c>
      <c r="C302" s="223" t="s">
        <v>77</v>
      </c>
      <c r="D302" s="223" t="s">
        <v>870</v>
      </c>
      <c r="E302" s="190" t="s">
        <v>22</v>
      </c>
      <c r="F302" s="13" t="s">
        <v>918</v>
      </c>
      <c r="G302" s="13" t="s">
        <v>935</v>
      </c>
      <c r="H302" s="219">
        <f>IFERROR(
  MINIFS(ATTENDANCE_LOG!$F:$F,
         ATTENDANCE_LOG!$A:$A, C302,
         ATTENDANCE_LOG!$B:$B, E302),
"")</f>
        <v>45890.54167</v>
      </c>
      <c r="I302" s="219">
        <f t="shared" si="2"/>
        <v>45715.58333</v>
      </c>
      <c r="J302" s="190">
        <f>IFERROR(VLOOKUP(F302, LEVEL_HELPER!$A:$B, 2, 0), "")</f>
        <v>3</v>
      </c>
      <c r="K302" s="190">
        <f>IFERROR(VLOOKUP(G302, LEVEL_HELPER!$A:$B, 2, 0), "")</f>
        <v>3.5</v>
      </c>
      <c r="L302" s="220" t="s">
        <v>931</v>
      </c>
      <c r="M302" s="220" t="s">
        <v>923</v>
      </c>
      <c r="N302" s="190">
        <f t="array" ref="N302">IFERROR(
  INDEX($J$2:$J$543,
    MATCH(A302&amp;TEXT(I302,"yyyy-mm-dd"),
          $A$2:$A$543&amp;TEXT($H$2:$H$543,"yyyy-mm-dd"),
          0)),
"")</f>
        <v>1</v>
      </c>
      <c r="O302" s="210">
        <f t="shared" si="3"/>
        <v>3.5</v>
      </c>
      <c r="P302" s="210">
        <f t="shared" ref="P302:Q302" si="312">IF(N302="",0,IF(N302&lt;=2,1,IF(N302&lt;=4,2,IF(N302&lt;=5.5,3,4))))</f>
        <v>1</v>
      </c>
      <c r="Q302" s="210">
        <f t="shared" si="312"/>
        <v>2</v>
      </c>
      <c r="R302" s="210" t="str">
        <f t="shared" si="5"/>
        <v>Lv1 → Lv2</v>
      </c>
      <c r="S302" s="210">
        <f t="shared" si="6"/>
        <v>0</v>
      </c>
      <c r="T302" s="210"/>
      <c r="U302" s="210"/>
      <c r="V302" s="211" t="s">
        <v>138</v>
      </c>
      <c r="W302" s="210" t="str">
        <f t="shared" si="7"/>
        <v>QC</v>
      </c>
      <c r="X302" s="210" t="str">
        <f t="shared" si="8"/>
        <v>QC</v>
      </c>
      <c r="Y302" s="210" t="str">
        <f t="shared" si="9"/>
        <v>ONC</v>
      </c>
      <c r="Z302" s="210"/>
      <c r="AA302" s="210"/>
      <c r="AB302" s="210"/>
      <c r="AC302" s="210"/>
      <c r="AD302" s="210"/>
      <c r="AE302" s="210"/>
      <c r="AF302" s="210"/>
      <c r="AG302" s="210"/>
      <c r="AH302" s="210"/>
      <c r="AI302" s="210"/>
      <c r="AJ302" s="210"/>
      <c r="AK302" s="210"/>
      <c r="AL302" s="210"/>
      <c r="AM302" s="214"/>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c r="BU302" s="210"/>
      <c r="BV302" s="210"/>
      <c r="BW302" s="210"/>
      <c r="BX302" s="210"/>
      <c r="BY302" s="210"/>
      <c r="BZ302" s="210"/>
      <c r="CA302" s="210"/>
      <c r="CB302" s="210"/>
      <c r="CC302" s="210"/>
      <c r="CD302" s="210"/>
      <c r="CE302" s="210"/>
      <c r="CF302" s="210"/>
      <c r="CG302" s="210"/>
      <c r="CH302" s="210"/>
      <c r="CI302" s="210"/>
      <c r="CJ302" s="210"/>
      <c r="CK302" s="210"/>
    </row>
    <row r="303">
      <c r="A303" s="222" t="s">
        <v>498</v>
      </c>
      <c r="B303" s="190" t="s">
        <v>499</v>
      </c>
      <c r="C303" s="223" t="s">
        <v>77</v>
      </c>
      <c r="D303" s="223" t="s">
        <v>870</v>
      </c>
      <c r="E303" s="190" t="s">
        <v>22</v>
      </c>
      <c r="F303" s="13" t="s">
        <v>929</v>
      </c>
      <c r="G303" s="13" t="s">
        <v>918</v>
      </c>
      <c r="H303" s="219">
        <f>IFERROR(
  MINIFS(ATTENDANCE_LOG!$F:$F,
         ATTENDANCE_LOG!$A:$A, C303,
         ATTENDANCE_LOG!$B:$B, E303),
"")</f>
        <v>45890.54167</v>
      </c>
      <c r="I303" s="219">
        <f t="shared" si="2"/>
        <v>45715.58333</v>
      </c>
      <c r="J303" s="190">
        <f>IFERROR(VLOOKUP(F303, LEVEL_HELPER!$A:$B, 2, 0), "")</f>
        <v>1.5</v>
      </c>
      <c r="K303" s="190">
        <f>IFERROR(VLOOKUP(G303, LEVEL_HELPER!$A:$B, 2, 0), "")</f>
        <v>3</v>
      </c>
      <c r="L303" s="220" t="s">
        <v>931</v>
      </c>
      <c r="M303" s="220" t="s">
        <v>923</v>
      </c>
      <c r="N303" s="190">
        <f t="array" ref="N303">IFERROR(
  INDEX($J$2:$J$543,
    MATCH(A303&amp;TEXT(I303,"yyyy-mm-dd"),
          $A$2:$A$543&amp;TEXT($H$2:$H$543,"yyyy-mm-dd"),
          0)),
"")</f>
        <v>1</v>
      </c>
      <c r="O303" s="210">
        <f t="shared" si="3"/>
        <v>3</v>
      </c>
      <c r="P303" s="210">
        <f t="shared" ref="P303:Q303" si="313">IF(N303="",0,IF(N303&lt;=2,1,IF(N303&lt;=4,2,IF(N303&lt;=5.5,3,4))))</f>
        <v>1</v>
      </c>
      <c r="Q303" s="210">
        <f t="shared" si="313"/>
        <v>2</v>
      </c>
      <c r="R303" s="210" t="str">
        <f t="shared" si="5"/>
        <v>Lv1 → Lv2</v>
      </c>
      <c r="S303" s="210">
        <f t="shared" si="6"/>
        <v>0</v>
      </c>
      <c r="T303" s="210"/>
      <c r="U303" s="210"/>
      <c r="V303" s="211" t="s">
        <v>286</v>
      </c>
      <c r="W303" s="210" t="str">
        <f t="shared" si="7"/>
        <v>QC</v>
      </c>
      <c r="X303" s="210" t="str">
        <f t="shared" si="8"/>
        <v>QC</v>
      </c>
      <c r="Y303" s="210" t="str">
        <f t="shared" si="9"/>
        <v>ONC</v>
      </c>
      <c r="Z303" s="210"/>
      <c r="AA303" s="210"/>
      <c r="AB303" s="210"/>
      <c r="AC303" s="210"/>
      <c r="AD303" s="210"/>
      <c r="AE303" s="210"/>
      <c r="AF303" s="210"/>
      <c r="AG303" s="210"/>
      <c r="AH303" s="210"/>
      <c r="AI303" s="210"/>
      <c r="AJ303" s="210"/>
      <c r="AK303" s="210"/>
      <c r="AL303" s="210"/>
      <c r="AM303" s="214"/>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c r="BU303" s="210"/>
      <c r="BV303" s="210"/>
      <c r="BW303" s="210"/>
      <c r="BX303" s="210"/>
      <c r="BY303" s="210"/>
      <c r="BZ303" s="210"/>
      <c r="CA303" s="210"/>
      <c r="CB303" s="210"/>
      <c r="CC303" s="210"/>
      <c r="CD303" s="210"/>
      <c r="CE303" s="210"/>
      <c r="CF303" s="210"/>
      <c r="CG303" s="210"/>
      <c r="CH303" s="210"/>
      <c r="CI303" s="210"/>
      <c r="CJ303" s="210"/>
      <c r="CK303" s="210"/>
    </row>
    <row r="304">
      <c r="A304" s="216" t="s">
        <v>421</v>
      </c>
      <c r="B304" s="217" t="s">
        <v>422</v>
      </c>
      <c r="C304" s="218" t="s">
        <v>77</v>
      </c>
      <c r="D304" s="218" t="s">
        <v>870</v>
      </c>
      <c r="E304" s="217" t="s">
        <v>23</v>
      </c>
      <c r="F304" s="190"/>
      <c r="G304" s="190"/>
      <c r="H304" s="219">
        <f>IFERROR(
  MINIFS(ATTENDANCE_LOG!$F:$F,
         ATTENDANCE_LOG!$A:$A, C304,
         ATTENDANCE_LOG!$B:$B, E304),
"")</f>
        <v>46107.58333</v>
      </c>
      <c r="I304" s="219">
        <f t="shared" si="2"/>
        <v>45715.58333</v>
      </c>
      <c r="J304" s="190" t="str">
        <f>IFERROR(VLOOKUP(F304, LEVEL_HELPER!$A:$B, 2, 0), "")</f>
        <v/>
      </c>
      <c r="K304" s="190" t="str">
        <f>IFERROR(VLOOKUP(G304, LEVEL_HELPER!$A:$B, 2, 0), "")</f>
        <v/>
      </c>
      <c r="L304" s="220" t="s">
        <v>931</v>
      </c>
      <c r="M304" s="220" t="s">
        <v>923</v>
      </c>
      <c r="N304" s="190">
        <f t="array" ref="N304">IFERROR(
  INDEX($J$2:$J$543,
    MATCH(A304&amp;TEXT(I304,"yyyy-mm-dd"),
          $A$2:$A$543&amp;TEXT($H$2:$H$543,"yyyy-mm-dd"),
          0)),
"")</f>
        <v>1</v>
      </c>
      <c r="O304" s="210">
        <f t="shared" si="3"/>
        <v>3.5</v>
      </c>
      <c r="P304" s="210">
        <f t="shared" ref="P304:Q304" si="314">IF(N304="",0,IF(N304&lt;=2,1,IF(N304&lt;=4,2,IF(N304&lt;=5.5,3,4))))</f>
        <v>1</v>
      </c>
      <c r="Q304" s="210">
        <f t="shared" si="314"/>
        <v>2</v>
      </c>
      <c r="R304" s="210" t="str">
        <f t="shared" si="5"/>
        <v>Lv1 → Lv2</v>
      </c>
      <c r="S304" s="210">
        <f t="shared" si="6"/>
        <v>0</v>
      </c>
      <c r="T304" s="210"/>
      <c r="U304" s="210"/>
      <c r="V304" s="211" t="s">
        <v>653</v>
      </c>
      <c r="W304" s="210" t="str">
        <f t="shared" si="7"/>
        <v>QC</v>
      </c>
      <c r="X304" s="210" t="str">
        <f t="shared" si="8"/>
        <v>QC</v>
      </c>
      <c r="Y304" s="210" t="str">
        <f t="shared" si="9"/>
        <v>ONC</v>
      </c>
      <c r="Z304" s="210"/>
      <c r="AA304" s="210"/>
      <c r="AB304" s="210"/>
      <c r="AC304" s="210"/>
      <c r="AD304" s="210"/>
      <c r="AE304" s="210"/>
      <c r="AF304" s="210"/>
      <c r="AG304" s="210"/>
      <c r="AH304" s="210"/>
      <c r="AI304" s="210"/>
      <c r="AJ304" s="210"/>
      <c r="AK304" s="210"/>
      <c r="AL304" s="210"/>
      <c r="AM304" s="214"/>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c r="BU304" s="210"/>
      <c r="BV304" s="210"/>
      <c r="BW304" s="210"/>
      <c r="BX304" s="210"/>
      <c r="BY304" s="210"/>
      <c r="BZ304" s="210"/>
      <c r="CA304" s="210"/>
      <c r="CB304" s="210"/>
      <c r="CC304" s="210"/>
      <c r="CD304" s="210"/>
      <c r="CE304" s="210"/>
      <c r="CF304" s="210"/>
      <c r="CG304" s="210"/>
      <c r="CH304" s="210"/>
      <c r="CI304" s="210"/>
      <c r="CJ304" s="210"/>
      <c r="CK304" s="210"/>
    </row>
    <row r="305">
      <c r="A305" s="222" t="s">
        <v>566</v>
      </c>
      <c r="B305" s="190" t="s">
        <v>567</v>
      </c>
      <c r="C305" s="223" t="s">
        <v>77</v>
      </c>
      <c r="D305" s="223" t="s">
        <v>870</v>
      </c>
      <c r="E305" s="190" t="s">
        <v>22</v>
      </c>
      <c r="F305" s="190"/>
      <c r="G305" s="190"/>
      <c r="H305" s="219">
        <f>IFERROR(
  MINIFS(ATTENDANCE_LOG!$F:$F,
         ATTENDANCE_LOG!$A:$A, C305,
         ATTENDANCE_LOG!$B:$B, E305),
"")</f>
        <v>45890.54167</v>
      </c>
      <c r="I305" s="219">
        <f t="shared" si="2"/>
        <v>45715.58333</v>
      </c>
      <c r="J305" s="190" t="str">
        <f>IFERROR(VLOOKUP(F305, LEVEL_HELPER!$A:$B, 2, 0), "")</f>
        <v/>
      </c>
      <c r="K305" s="190" t="str">
        <f>IFERROR(VLOOKUP(G305, LEVEL_HELPER!$A:$B, 2, 0), "")</f>
        <v/>
      </c>
      <c r="L305" s="220" t="s">
        <v>947</v>
      </c>
      <c r="M305" s="220" t="s">
        <v>923</v>
      </c>
      <c r="N305" s="190">
        <f t="array" ref="N305">IFERROR(
  INDEX($J$2:$J$543,
    MATCH(A305&amp;TEXT(I305,"yyyy-mm-dd"),
          $A$2:$A$543&amp;TEXT($H$2:$H$543,"yyyy-mm-dd"),
          0)),
"")</f>
        <v>1</v>
      </c>
      <c r="O305" s="210">
        <f t="shared" si="3"/>
        <v>1.5</v>
      </c>
      <c r="P305" s="210">
        <f t="shared" ref="P305:Q305" si="315">IF(N305="",0,IF(N305&lt;=2,1,IF(N305&lt;=4,2,IF(N305&lt;=5.5,3,4))))</f>
        <v>1</v>
      </c>
      <c r="Q305" s="210">
        <f t="shared" si="315"/>
        <v>1</v>
      </c>
      <c r="R305" s="210" t="str">
        <f t="shared" si="5"/>
        <v>Progress within level</v>
      </c>
      <c r="S305" s="210">
        <f t="shared" si="6"/>
        <v>0</v>
      </c>
      <c r="T305" s="210"/>
      <c r="U305" s="210"/>
      <c r="V305" s="211" t="s">
        <v>673</v>
      </c>
      <c r="W305" s="210" t="str">
        <f t="shared" si="7"/>
        <v>DEV</v>
      </c>
      <c r="X305" s="210" t="str">
        <f t="shared" si="8"/>
        <v>DEV, TA</v>
      </c>
      <c r="Y305" s="210" t="str">
        <f t="shared" si="9"/>
        <v>ONC</v>
      </c>
      <c r="Z305" s="210"/>
      <c r="AA305" s="210"/>
      <c r="AB305" s="210"/>
      <c r="AC305" s="210"/>
      <c r="AD305" s="210"/>
      <c r="AE305" s="210"/>
      <c r="AF305" s="210"/>
      <c r="AG305" s="210"/>
      <c r="AH305" s="210"/>
      <c r="AI305" s="210"/>
      <c r="AJ305" s="210"/>
      <c r="AK305" s="210"/>
      <c r="AL305" s="210"/>
      <c r="AM305" s="214"/>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c r="BU305" s="210"/>
      <c r="BV305" s="210"/>
      <c r="BW305" s="210"/>
      <c r="BX305" s="210"/>
      <c r="BY305" s="210"/>
      <c r="BZ305" s="210"/>
      <c r="CA305" s="210"/>
      <c r="CB305" s="210"/>
      <c r="CC305" s="210"/>
      <c r="CD305" s="210"/>
      <c r="CE305" s="210"/>
      <c r="CF305" s="210"/>
      <c r="CG305" s="210"/>
      <c r="CH305" s="210"/>
      <c r="CI305" s="210"/>
      <c r="CJ305" s="210"/>
      <c r="CK305" s="210"/>
    </row>
    <row r="306">
      <c r="A306" s="222" t="s">
        <v>147</v>
      </c>
      <c r="B306" s="190" t="s">
        <v>148</v>
      </c>
      <c r="C306" s="223" t="s">
        <v>77</v>
      </c>
      <c r="D306" s="223" t="s">
        <v>870</v>
      </c>
      <c r="E306" s="190" t="s">
        <v>23</v>
      </c>
      <c r="F306" s="190"/>
      <c r="G306" s="190"/>
      <c r="H306" s="219">
        <f>IFERROR(
  MINIFS(ATTENDANCE_LOG!$F:$F,
         ATTENDANCE_LOG!$A:$A, C306,
         ATTENDANCE_LOG!$B:$B, E306),
"")</f>
        <v>46107.58333</v>
      </c>
      <c r="I306" s="219">
        <f t="shared" si="2"/>
        <v>45715.58333</v>
      </c>
      <c r="J306" s="190" t="str">
        <f>IFERROR(VLOOKUP(F306, LEVEL_HELPER!$A:$B, 2, 0), "")</f>
        <v/>
      </c>
      <c r="K306" s="190" t="str">
        <f>IFERROR(VLOOKUP(G306, LEVEL_HELPER!$A:$B, 2, 0), "")</f>
        <v/>
      </c>
      <c r="L306" s="220" t="s">
        <v>931</v>
      </c>
      <c r="M306" s="220" t="s">
        <v>923</v>
      </c>
      <c r="N306" s="190">
        <f t="array" ref="N306">IFERROR(
  INDEX($J$2:$J$543,
    MATCH(A306&amp;TEXT(I306,"yyyy-mm-dd"),
          $A$2:$A$543&amp;TEXT($H$2:$H$543,"yyyy-mm-dd"),
          0)),
"")</f>
        <v>1</v>
      </c>
      <c r="O306" s="210">
        <f t="shared" si="3"/>
        <v>3.5</v>
      </c>
      <c r="P306" s="210">
        <f t="shared" ref="P306:Q306" si="316">IF(N306="",0,IF(N306&lt;=2,1,IF(N306&lt;=4,2,IF(N306&lt;=5.5,3,4))))</f>
        <v>1</v>
      </c>
      <c r="Q306" s="210">
        <f t="shared" si="316"/>
        <v>2</v>
      </c>
      <c r="R306" s="210" t="str">
        <f t="shared" si="5"/>
        <v>Lv1 → Lv2</v>
      </c>
      <c r="S306" s="210">
        <f t="shared" si="6"/>
        <v>0</v>
      </c>
      <c r="T306" s="210"/>
      <c r="U306" s="210"/>
      <c r="V306" s="211"/>
      <c r="W306" s="210"/>
      <c r="X306" s="210"/>
      <c r="Y306" s="210"/>
      <c r="Z306" s="210"/>
      <c r="AA306" s="210"/>
      <c r="AB306" s="210"/>
      <c r="AC306" s="210"/>
      <c r="AD306" s="210"/>
      <c r="AE306" s="210"/>
      <c r="AF306" s="210"/>
      <c r="AG306" s="210"/>
      <c r="AH306" s="210"/>
      <c r="AI306" s="210"/>
      <c r="AJ306" s="210"/>
      <c r="AK306" s="210"/>
      <c r="AL306" s="210"/>
      <c r="AM306" s="214"/>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c r="BU306" s="210"/>
      <c r="BV306" s="210"/>
      <c r="BW306" s="210"/>
      <c r="BX306" s="210"/>
      <c r="BY306" s="210"/>
      <c r="BZ306" s="210"/>
      <c r="CA306" s="210"/>
      <c r="CB306" s="210"/>
      <c r="CC306" s="210"/>
      <c r="CD306" s="210"/>
      <c r="CE306" s="210"/>
      <c r="CF306" s="210"/>
      <c r="CG306" s="210"/>
      <c r="CH306" s="210"/>
      <c r="CI306" s="210"/>
      <c r="CJ306" s="210"/>
      <c r="CK306" s="210"/>
    </row>
    <row r="307">
      <c r="A307" s="222" t="s">
        <v>159</v>
      </c>
      <c r="B307" s="190" t="s">
        <v>160</v>
      </c>
      <c r="C307" s="223" t="s">
        <v>77</v>
      </c>
      <c r="D307" s="223" t="s">
        <v>870</v>
      </c>
      <c r="E307" s="190" t="s">
        <v>23</v>
      </c>
      <c r="F307" s="190"/>
      <c r="G307" s="190"/>
      <c r="H307" s="219">
        <f>IFERROR(
  MINIFS(ATTENDANCE_LOG!$F:$F,
         ATTENDANCE_LOG!$A:$A, C307,
         ATTENDANCE_LOG!$B:$B, E307),
"")</f>
        <v>46107.58333</v>
      </c>
      <c r="I307" s="219">
        <f t="shared" si="2"/>
        <v>45663.58333</v>
      </c>
      <c r="J307" s="190" t="str">
        <f>IFERROR(VLOOKUP(F307, LEVEL_HELPER!$A:$B, 2, 0), "")</f>
        <v/>
      </c>
      <c r="K307" s="190" t="str">
        <f>IFERROR(VLOOKUP(G307, LEVEL_HELPER!$A:$B, 2, 0), "")</f>
        <v/>
      </c>
      <c r="L307" s="220" t="s">
        <v>931</v>
      </c>
      <c r="M307" s="220" t="s">
        <v>923</v>
      </c>
      <c r="N307" s="190" t="str">
        <f t="array" ref="N307">IFERROR(
  INDEX($J$2:$J$543,
    MATCH(A307&amp;TEXT(I307,"yyyy-mm-dd"),
          $A$2:$A$543&amp;TEXT($H$2:$H$543,"yyyy-mm-dd"),
          0)),
"")</f>
        <v/>
      </c>
      <c r="O307" s="210">
        <f t="shared" si="3"/>
        <v>3</v>
      </c>
      <c r="P307" s="210">
        <f t="shared" ref="P307:Q307" si="317">IF(N307="",0,IF(N307&lt;=2,1,IF(N307&lt;=4,2,IF(N307&lt;=5.5,3,4))))</f>
        <v>0</v>
      </c>
      <c r="Q307" s="210">
        <f t="shared" si="317"/>
        <v>2</v>
      </c>
      <c r="R307" s="210" t="str">
        <f t="shared" si="5"/>
        <v>No Data</v>
      </c>
      <c r="S307" s="210">
        <f t="shared" si="6"/>
        <v>0</v>
      </c>
      <c r="T307" s="210"/>
      <c r="U307" s="210"/>
      <c r="V307" s="210"/>
      <c r="W307" s="210"/>
      <c r="X307" s="210"/>
      <c r="Y307" s="210"/>
      <c r="Z307" s="210"/>
      <c r="AA307" s="210"/>
      <c r="AB307" s="210"/>
      <c r="AC307" s="210"/>
      <c r="AD307" s="210"/>
      <c r="AE307" s="210"/>
      <c r="AF307" s="210"/>
      <c r="AG307" s="210"/>
      <c r="AH307" s="210"/>
      <c r="AI307" s="210"/>
      <c r="AJ307" s="210"/>
      <c r="AK307" s="210"/>
      <c r="AL307" s="210"/>
      <c r="AM307" s="214"/>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c r="BU307" s="210"/>
      <c r="BV307" s="210"/>
      <c r="BW307" s="210"/>
      <c r="BX307" s="210"/>
      <c r="BY307" s="210"/>
      <c r="BZ307" s="210"/>
      <c r="CA307" s="210"/>
      <c r="CB307" s="210"/>
      <c r="CC307" s="210"/>
      <c r="CD307" s="210"/>
      <c r="CE307" s="210"/>
      <c r="CF307" s="210"/>
      <c r="CG307" s="210"/>
      <c r="CH307" s="210"/>
      <c r="CI307" s="210"/>
      <c r="CJ307" s="210"/>
      <c r="CK307" s="210"/>
    </row>
    <row r="308">
      <c r="A308" s="222" t="s">
        <v>255</v>
      </c>
      <c r="B308" s="190" t="s">
        <v>256</v>
      </c>
      <c r="C308" s="223" t="s">
        <v>77</v>
      </c>
      <c r="D308" s="223" t="s">
        <v>870</v>
      </c>
      <c r="E308" s="190" t="s">
        <v>23</v>
      </c>
      <c r="F308" s="190"/>
      <c r="G308" s="190"/>
      <c r="H308" s="219">
        <f>IFERROR(
  MINIFS(ATTENDANCE_LOG!$F:$F,
         ATTENDANCE_LOG!$A:$A, C308,
         ATTENDANCE_LOG!$B:$B, E308),
"")</f>
        <v>46107.58333</v>
      </c>
      <c r="I308" s="219">
        <f t="shared" si="2"/>
        <v>45715.58333</v>
      </c>
      <c r="J308" s="190" t="str">
        <f>IFERROR(VLOOKUP(F308, LEVEL_HELPER!$A:$B, 2, 0), "")</f>
        <v/>
      </c>
      <c r="K308" s="190" t="str">
        <f>IFERROR(VLOOKUP(G308, LEVEL_HELPER!$A:$B, 2, 0), "")</f>
        <v/>
      </c>
      <c r="L308" s="220" t="s">
        <v>931</v>
      </c>
      <c r="M308" s="220" t="s">
        <v>923</v>
      </c>
      <c r="N308" s="190">
        <f t="array" ref="N308">IFERROR(
  INDEX($J$2:$J$543,
    MATCH(A308&amp;TEXT(I308,"yyyy-mm-dd"),
          $A$2:$A$543&amp;TEXT($H$2:$H$543,"yyyy-mm-dd"),
          0)),
"")</f>
        <v>1</v>
      </c>
      <c r="O308" s="210">
        <f t="shared" si="3"/>
        <v>3.5</v>
      </c>
      <c r="P308" s="210">
        <f t="shared" ref="P308:Q308" si="318">IF(N308="",0,IF(N308&lt;=2,1,IF(N308&lt;=4,2,IF(N308&lt;=5.5,3,4))))</f>
        <v>1</v>
      </c>
      <c r="Q308" s="210">
        <f t="shared" si="318"/>
        <v>2</v>
      </c>
      <c r="R308" s="210" t="str">
        <f t="shared" si="5"/>
        <v>Lv1 → Lv2</v>
      </c>
      <c r="S308" s="210">
        <f t="shared" si="6"/>
        <v>0</v>
      </c>
      <c r="T308" s="210"/>
      <c r="U308" s="210"/>
      <c r="V308" s="210"/>
      <c r="W308" s="210"/>
      <c r="X308" s="210"/>
      <c r="Y308" s="210"/>
      <c r="Z308" s="210"/>
      <c r="AA308" s="210"/>
      <c r="AB308" s="210"/>
      <c r="AC308" s="210"/>
      <c r="AD308" s="210"/>
      <c r="AE308" s="210"/>
      <c r="AF308" s="210"/>
      <c r="AG308" s="210"/>
      <c r="AH308" s="210"/>
      <c r="AI308" s="210"/>
      <c r="AJ308" s="210"/>
      <c r="AK308" s="210"/>
      <c r="AL308" s="210"/>
      <c r="AM308" s="214"/>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c r="BU308" s="210"/>
      <c r="BV308" s="210"/>
      <c r="BW308" s="210"/>
      <c r="BX308" s="210"/>
      <c r="BY308" s="210"/>
      <c r="BZ308" s="210"/>
      <c r="CA308" s="210"/>
      <c r="CB308" s="210"/>
      <c r="CC308" s="210"/>
      <c r="CD308" s="210"/>
      <c r="CE308" s="210"/>
      <c r="CF308" s="210"/>
      <c r="CG308" s="210"/>
      <c r="CH308" s="210"/>
      <c r="CI308" s="210"/>
      <c r="CJ308" s="210"/>
      <c r="CK308" s="210"/>
    </row>
    <row r="309">
      <c r="A309" s="222" t="s">
        <v>433</v>
      </c>
      <c r="B309" s="190" t="s">
        <v>432</v>
      </c>
      <c r="C309" s="223" t="s">
        <v>77</v>
      </c>
      <c r="D309" s="223" t="s">
        <v>870</v>
      </c>
      <c r="E309" s="190" t="s">
        <v>23</v>
      </c>
      <c r="F309" s="190"/>
      <c r="G309" s="190"/>
      <c r="H309" s="219">
        <f>IFERROR(
  MINIFS(ATTENDANCE_LOG!$F:$F,
         ATTENDANCE_LOG!$A:$A, C309,
         ATTENDANCE_LOG!$B:$B, E309),
"")</f>
        <v>46107.58333</v>
      </c>
      <c r="I309" s="219">
        <f t="shared" si="2"/>
        <v>45663.58333</v>
      </c>
      <c r="J309" s="190" t="str">
        <f>IFERROR(VLOOKUP(F309, LEVEL_HELPER!$A:$B, 2, 0), "")</f>
        <v/>
      </c>
      <c r="K309" s="190" t="str">
        <f>IFERROR(VLOOKUP(G309, LEVEL_HELPER!$A:$B, 2, 0), "")</f>
        <v/>
      </c>
      <c r="L309" s="220" t="s">
        <v>931</v>
      </c>
      <c r="M309" s="220" t="s">
        <v>923</v>
      </c>
      <c r="N309" s="190">
        <f t="array" ref="N309">IFERROR(
  INDEX($J$2:$J$543,
    MATCH(A309&amp;TEXT(I309,"yyyy-mm-dd"),
          $A$2:$A$543&amp;TEXT($H$2:$H$543,"yyyy-mm-dd"),
          0)),
"")</f>
        <v>2.5</v>
      </c>
      <c r="O309" s="210">
        <f t="shared" si="3"/>
        <v>3.5</v>
      </c>
      <c r="P309" s="210">
        <f t="shared" ref="P309:Q309" si="319">IF(N309="",0,IF(N309&lt;=2,1,IF(N309&lt;=4,2,IF(N309&lt;=5.5,3,4))))</f>
        <v>2</v>
      </c>
      <c r="Q309" s="210">
        <f t="shared" si="319"/>
        <v>2</v>
      </c>
      <c r="R309" s="210" t="str">
        <f t="shared" si="5"/>
        <v>Progress within level</v>
      </c>
      <c r="S309" s="210">
        <f t="shared" si="6"/>
        <v>0</v>
      </c>
      <c r="T309" s="210"/>
      <c r="U309" s="210"/>
      <c r="V309" s="210"/>
      <c r="W309" s="210"/>
      <c r="X309" s="210"/>
      <c r="Y309" s="210"/>
      <c r="Z309" s="210"/>
      <c r="AA309" s="210"/>
      <c r="AB309" s="210"/>
      <c r="AC309" s="210"/>
      <c r="AD309" s="210"/>
      <c r="AE309" s="210"/>
      <c r="AF309" s="210"/>
      <c r="AG309" s="210"/>
      <c r="AH309" s="210"/>
      <c r="AI309" s="210"/>
      <c r="AJ309" s="210"/>
      <c r="AK309" s="210"/>
      <c r="AL309" s="210"/>
      <c r="AM309" s="214"/>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c r="BU309" s="210"/>
      <c r="BV309" s="210"/>
      <c r="BW309" s="210"/>
      <c r="BX309" s="210"/>
      <c r="BY309" s="210"/>
      <c r="BZ309" s="210"/>
      <c r="CA309" s="210"/>
      <c r="CB309" s="210"/>
      <c r="CC309" s="210"/>
      <c r="CD309" s="210"/>
      <c r="CE309" s="210"/>
      <c r="CF309" s="210"/>
      <c r="CG309" s="210"/>
      <c r="CH309" s="210"/>
      <c r="CI309" s="210"/>
      <c r="CJ309" s="210"/>
      <c r="CK309" s="210"/>
    </row>
    <row r="310">
      <c r="A310" s="222" t="s">
        <v>494</v>
      </c>
      <c r="B310" s="190" t="s">
        <v>495</v>
      </c>
      <c r="C310" s="223" t="s">
        <v>77</v>
      </c>
      <c r="D310" s="223" t="s">
        <v>870</v>
      </c>
      <c r="E310" s="190" t="s">
        <v>23</v>
      </c>
      <c r="F310" s="190"/>
      <c r="G310" s="190"/>
      <c r="H310" s="219">
        <f>IFERROR(
  MINIFS(ATTENDANCE_LOG!$F:$F,
         ATTENDANCE_LOG!$A:$A, C310,
         ATTENDANCE_LOG!$B:$B, E310),
"")</f>
        <v>46107.58333</v>
      </c>
      <c r="I310" s="219">
        <f t="shared" si="2"/>
        <v>45715.58333</v>
      </c>
      <c r="J310" s="190" t="str">
        <f>IFERROR(VLOOKUP(F310, LEVEL_HELPER!$A:$B, 2, 0), "")</f>
        <v/>
      </c>
      <c r="K310" s="190" t="str">
        <f>IFERROR(VLOOKUP(G310, LEVEL_HELPER!$A:$B, 2, 0), "")</f>
        <v/>
      </c>
      <c r="L310" s="220" t="s">
        <v>931</v>
      </c>
      <c r="M310" s="220" t="s">
        <v>923</v>
      </c>
      <c r="N310" s="190">
        <f t="array" ref="N310">IFERROR(
  INDEX($J$2:$J$543,
    MATCH(A310&amp;TEXT(I310,"yyyy-mm-dd"),
          $A$2:$A$543&amp;TEXT($H$2:$H$543,"yyyy-mm-dd"),
          0)),
"")</f>
        <v>1</v>
      </c>
      <c r="O310" s="210">
        <f t="shared" si="3"/>
        <v>3.5</v>
      </c>
      <c r="P310" s="210">
        <f t="shared" ref="P310:Q310" si="320">IF(N310="",0,IF(N310&lt;=2,1,IF(N310&lt;=4,2,IF(N310&lt;=5.5,3,4))))</f>
        <v>1</v>
      </c>
      <c r="Q310" s="210">
        <f t="shared" si="320"/>
        <v>2</v>
      </c>
      <c r="R310" s="210" t="str">
        <f t="shared" si="5"/>
        <v>Lv1 → Lv2</v>
      </c>
      <c r="S310" s="210">
        <f t="shared" si="6"/>
        <v>0</v>
      </c>
      <c r="T310" s="210"/>
      <c r="U310" s="210"/>
      <c r="V310" s="210"/>
      <c r="W310" s="210"/>
      <c r="X310" s="210"/>
      <c r="Y310" s="210"/>
      <c r="Z310" s="210"/>
      <c r="AA310" s="210"/>
      <c r="AB310" s="210"/>
      <c r="AC310" s="210"/>
      <c r="AD310" s="210"/>
      <c r="AE310" s="210"/>
      <c r="AF310" s="210"/>
      <c r="AG310" s="210"/>
      <c r="AH310" s="210"/>
      <c r="AI310" s="210"/>
      <c r="AJ310" s="210"/>
      <c r="AK310" s="210"/>
      <c r="AL310" s="210"/>
      <c r="AM310" s="214"/>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c r="BU310" s="210"/>
      <c r="BV310" s="210"/>
      <c r="BW310" s="210"/>
      <c r="BX310" s="210"/>
      <c r="BY310" s="210"/>
      <c r="BZ310" s="210"/>
      <c r="CA310" s="210"/>
      <c r="CB310" s="210"/>
      <c r="CC310" s="210"/>
      <c r="CD310" s="210"/>
      <c r="CE310" s="210"/>
      <c r="CF310" s="210"/>
      <c r="CG310" s="210"/>
      <c r="CH310" s="210"/>
      <c r="CI310" s="210"/>
      <c r="CJ310" s="210"/>
      <c r="CK310" s="210"/>
    </row>
    <row r="311">
      <c r="A311" s="222" t="s">
        <v>498</v>
      </c>
      <c r="B311" s="190" t="s">
        <v>499</v>
      </c>
      <c r="C311" s="223" t="s">
        <v>77</v>
      </c>
      <c r="D311" s="223" t="s">
        <v>870</v>
      </c>
      <c r="E311" s="190" t="s">
        <v>23</v>
      </c>
      <c r="F311" s="190"/>
      <c r="G311" s="190"/>
      <c r="H311" s="219">
        <f>IFERROR(
  MINIFS(ATTENDANCE_LOG!$F:$F,
         ATTENDANCE_LOG!$A:$A, C311,
         ATTENDANCE_LOG!$B:$B, E311),
"")</f>
        <v>46107.58333</v>
      </c>
      <c r="I311" s="219">
        <f t="shared" si="2"/>
        <v>45715.58333</v>
      </c>
      <c r="J311" s="190" t="str">
        <f>IFERROR(VLOOKUP(F311, LEVEL_HELPER!$A:$B, 2, 0), "")</f>
        <v/>
      </c>
      <c r="K311" s="190" t="str">
        <f>IFERROR(VLOOKUP(G311, LEVEL_HELPER!$A:$B, 2, 0), "")</f>
        <v/>
      </c>
      <c r="L311" s="220" t="s">
        <v>931</v>
      </c>
      <c r="M311" s="220" t="s">
        <v>923</v>
      </c>
      <c r="N311" s="190">
        <f t="array" ref="N311">IFERROR(
  INDEX($J$2:$J$543,
    MATCH(A311&amp;TEXT(I311,"yyyy-mm-dd"),
          $A$2:$A$543&amp;TEXT($H$2:$H$543,"yyyy-mm-dd"),
          0)),
"")</f>
        <v>1</v>
      </c>
      <c r="O311" s="210">
        <f t="shared" si="3"/>
        <v>3</v>
      </c>
      <c r="P311" s="210">
        <f t="shared" ref="P311:Q311" si="321">IF(N311="",0,IF(N311&lt;=2,1,IF(N311&lt;=4,2,IF(N311&lt;=5.5,3,4))))</f>
        <v>1</v>
      </c>
      <c r="Q311" s="210">
        <f t="shared" si="321"/>
        <v>2</v>
      </c>
      <c r="R311" s="210" t="str">
        <f t="shared" si="5"/>
        <v>Lv1 → Lv2</v>
      </c>
      <c r="S311" s="210">
        <f t="shared" si="6"/>
        <v>0</v>
      </c>
      <c r="T311" s="210"/>
      <c r="U311" s="210"/>
      <c r="V311" s="210"/>
      <c r="W311" s="210"/>
      <c r="X311" s="210"/>
      <c r="Y311" s="210"/>
      <c r="Z311" s="210"/>
      <c r="AA311" s="210"/>
      <c r="AB311" s="210"/>
      <c r="AC311" s="210"/>
      <c r="AD311" s="210"/>
      <c r="AE311" s="210"/>
      <c r="AF311" s="210"/>
      <c r="AG311" s="210"/>
      <c r="AH311" s="210"/>
      <c r="AI311" s="210"/>
      <c r="AJ311" s="210"/>
      <c r="AK311" s="210"/>
      <c r="AL311" s="210"/>
      <c r="AM311" s="214"/>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c r="BU311" s="210"/>
      <c r="BV311" s="210"/>
      <c r="BW311" s="210"/>
      <c r="BX311" s="210"/>
      <c r="BY311" s="210"/>
      <c r="BZ311" s="210"/>
      <c r="CA311" s="210"/>
      <c r="CB311" s="210"/>
      <c r="CC311" s="210"/>
      <c r="CD311" s="210"/>
      <c r="CE311" s="210"/>
      <c r="CF311" s="210"/>
      <c r="CG311" s="210"/>
      <c r="CH311" s="210"/>
      <c r="CI311" s="210"/>
      <c r="CJ311" s="210"/>
      <c r="CK311" s="210"/>
    </row>
    <row r="312">
      <c r="A312" s="222" t="s">
        <v>566</v>
      </c>
      <c r="B312" s="190" t="s">
        <v>567</v>
      </c>
      <c r="C312" s="223" t="s">
        <v>77</v>
      </c>
      <c r="D312" s="223" t="s">
        <v>870</v>
      </c>
      <c r="E312" s="190" t="s">
        <v>23</v>
      </c>
      <c r="F312" s="190"/>
      <c r="G312" s="190"/>
      <c r="H312" s="219">
        <f>IFERROR(
  MINIFS(ATTENDANCE_LOG!$F:$F,
         ATTENDANCE_LOG!$A:$A, C312,
         ATTENDANCE_LOG!$B:$B, E312),
"")</f>
        <v>46107.58333</v>
      </c>
      <c r="I312" s="219">
        <f t="shared" si="2"/>
        <v>45715.58333</v>
      </c>
      <c r="J312" s="190" t="str">
        <f>IFERROR(VLOOKUP(F312, LEVEL_HELPER!$A:$B, 2, 0), "")</f>
        <v/>
      </c>
      <c r="K312" s="190" t="str">
        <f>IFERROR(VLOOKUP(G312, LEVEL_HELPER!$A:$B, 2, 0), "")</f>
        <v/>
      </c>
      <c r="L312" s="220" t="s">
        <v>947</v>
      </c>
      <c r="M312" s="220" t="s">
        <v>923</v>
      </c>
      <c r="N312" s="190">
        <f t="array" ref="N312">IFERROR(
  INDEX($J$2:$J$543,
    MATCH(A312&amp;TEXT(I312,"yyyy-mm-dd"),
          $A$2:$A$543&amp;TEXT($H$2:$H$543,"yyyy-mm-dd"),
          0)),
"")</f>
        <v>1</v>
      </c>
      <c r="O312" s="210">
        <f t="shared" si="3"/>
        <v>1.5</v>
      </c>
      <c r="P312" s="210">
        <f t="shared" ref="P312:Q312" si="322">IF(N312="",0,IF(N312&lt;=2,1,IF(N312&lt;=4,2,IF(N312&lt;=5.5,3,4))))</f>
        <v>1</v>
      </c>
      <c r="Q312" s="210">
        <f t="shared" si="322"/>
        <v>1</v>
      </c>
      <c r="R312" s="210" t="str">
        <f t="shared" si="5"/>
        <v>Progress within level</v>
      </c>
      <c r="S312" s="210">
        <f t="shared" si="6"/>
        <v>0</v>
      </c>
      <c r="T312" s="210"/>
      <c r="U312" s="210"/>
      <c r="V312" s="210"/>
      <c r="W312" s="210"/>
      <c r="X312" s="210"/>
      <c r="Y312" s="210"/>
      <c r="Z312" s="210"/>
      <c r="AA312" s="210"/>
      <c r="AB312" s="210"/>
      <c r="AC312" s="210"/>
      <c r="AD312" s="210"/>
      <c r="AE312" s="210"/>
      <c r="AF312" s="210"/>
      <c r="AG312" s="210"/>
      <c r="AH312" s="210"/>
      <c r="AI312" s="210"/>
      <c r="AJ312" s="210"/>
      <c r="AK312" s="210"/>
      <c r="AL312" s="210"/>
      <c r="AM312" s="214"/>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c r="BU312" s="210"/>
      <c r="BV312" s="210"/>
      <c r="BW312" s="210"/>
      <c r="BX312" s="210"/>
      <c r="BY312" s="210"/>
      <c r="BZ312" s="210"/>
      <c r="CA312" s="210"/>
      <c r="CB312" s="210"/>
      <c r="CC312" s="210"/>
      <c r="CD312" s="210"/>
      <c r="CE312" s="210"/>
      <c r="CF312" s="210"/>
      <c r="CG312" s="210"/>
      <c r="CH312" s="210"/>
      <c r="CI312" s="210"/>
      <c r="CJ312" s="210"/>
      <c r="CK312" s="210"/>
    </row>
    <row r="313">
      <c r="A313" s="222" t="s">
        <v>261</v>
      </c>
      <c r="B313" s="217" t="s">
        <v>262</v>
      </c>
      <c r="C313" s="218" t="s">
        <v>78</v>
      </c>
      <c r="D313" s="218" t="s">
        <v>871</v>
      </c>
      <c r="E313" s="217" t="s">
        <v>21</v>
      </c>
      <c r="F313" s="13" t="s">
        <v>932</v>
      </c>
      <c r="G313" s="190"/>
      <c r="H313" s="219">
        <f>IFERROR(
  MINIFS(ATTENDANCE_LOG!$F:$F,
         ATTENDANCE_LOG!$A:$A, C313,
         ATTENDANCE_LOG!$B:$B, E313),
"")</f>
        <v>45638.45833</v>
      </c>
      <c r="I313" s="219">
        <f t="shared" si="2"/>
        <v>45638.45833</v>
      </c>
      <c r="J313" s="190">
        <f>IFERROR(VLOOKUP(F313, LEVEL_HELPER!$A:$B, 2, 0), "")</f>
        <v>4.5</v>
      </c>
      <c r="K313" s="190" t="str">
        <f>IFERROR(VLOOKUP(G313, LEVEL_HELPER!$A:$B, 2, 0), "")</f>
        <v/>
      </c>
      <c r="L313" s="220" t="s">
        <v>955</v>
      </c>
      <c r="M313" s="229" t="s">
        <v>922</v>
      </c>
      <c r="N313" s="190">
        <f t="array" ref="N313">IFERROR(
  INDEX($J$2:$J$543,
    MATCH(A313&amp;TEXT(I313,"yyyy-mm-dd"),
          $A$2:$A$543&amp;TEXT($H$2:$H$543,"yyyy-mm-dd"),
          0)),
"")</f>
        <v>4.5</v>
      </c>
      <c r="O313" s="210">
        <f t="shared" si="3"/>
        <v>0</v>
      </c>
      <c r="P313" s="210">
        <f t="shared" ref="P313:Q313" si="323">IF(N313="",0,IF(N313&lt;=2,1,IF(N313&lt;=4,2,IF(N313&lt;=5.5,3,4))))</f>
        <v>3</v>
      </c>
      <c r="Q313" s="210">
        <f t="shared" si="323"/>
        <v>1</v>
      </c>
      <c r="R313" s="210" t="str">
        <f t="shared" si="5"/>
        <v>Regressed</v>
      </c>
      <c r="S313" s="210">
        <f t="shared" si="6"/>
        <v>1</v>
      </c>
      <c r="T313" s="210"/>
      <c r="U313" s="210"/>
      <c r="V313" s="210"/>
      <c r="W313" s="210"/>
      <c r="X313" s="210"/>
      <c r="Y313" s="210"/>
      <c r="Z313" s="210"/>
      <c r="AA313" s="210"/>
      <c r="AB313" s="210"/>
      <c r="AC313" s="210"/>
      <c r="AD313" s="210"/>
      <c r="AE313" s="210"/>
      <c r="AF313" s="210"/>
      <c r="AG313" s="210"/>
      <c r="AH313" s="210"/>
      <c r="AI313" s="210"/>
      <c r="AJ313" s="210"/>
      <c r="AK313" s="210"/>
      <c r="AL313" s="210"/>
      <c r="AM313" s="214"/>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c r="BU313" s="210"/>
      <c r="BV313" s="210"/>
      <c r="BW313" s="210"/>
      <c r="BX313" s="210"/>
      <c r="BY313" s="210"/>
      <c r="BZ313" s="210"/>
      <c r="CA313" s="210"/>
      <c r="CB313" s="210"/>
      <c r="CC313" s="210"/>
      <c r="CD313" s="210"/>
      <c r="CE313" s="210"/>
      <c r="CF313" s="210"/>
      <c r="CG313" s="210"/>
      <c r="CH313" s="210"/>
      <c r="CI313" s="210"/>
      <c r="CJ313" s="210"/>
      <c r="CK313" s="210"/>
    </row>
    <row r="314">
      <c r="A314" s="222" t="s">
        <v>182</v>
      </c>
      <c r="B314" s="190" t="s">
        <v>183</v>
      </c>
      <c r="C314" s="223" t="s">
        <v>78</v>
      </c>
      <c r="D314" s="223" t="s">
        <v>871</v>
      </c>
      <c r="E314" s="190" t="s">
        <v>21</v>
      </c>
      <c r="F314" s="13" t="s">
        <v>927</v>
      </c>
      <c r="G314" s="13" t="s">
        <v>927</v>
      </c>
      <c r="H314" s="219">
        <f>IFERROR(
  MINIFS(ATTENDANCE_LOG!$F:$F,
         ATTENDANCE_LOG!$A:$A, C314,
         ATTENDANCE_LOG!$B:$B, E314),
"")</f>
        <v>45638.45833</v>
      </c>
      <c r="I314" s="219">
        <f t="shared" si="2"/>
        <v>45638.45833</v>
      </c>
      <c r="J314" s="190">
        <f>IFERROR(VLOOKUP(F314, LEVEL_HELPER!$A:$B, 2, 0), "")</f>
        <v>1</v>
      </c>
      <c r="K314" s="190">
        <f>IFERROR(VLOOKUP(G314, LEVEL_HELPER!$A:$B, 2, 0), "")</f>
        <v>1</v>
      </c>
      <c r="L314" s="220" t="s">
        <v>919</v>
      </c>
      <c r="M314" s="229" t="s">
        <v>922</v>
      </c>
      <c r="N314" s="190">
        <f t="array" ref="N314">IFERROR(
  INDEX($J$2:$J$543,
    MATCH(A314&amp;TEXT(I314,"yyyy-mm-dd"),
          $A$2:$A$543&amp;TEXT($H$2:$H$543,"yyyy-mm-dd"),
          0)),
"")</f>
        <v>1</v>
      </c>
      <c r="O314" s="210">
        <f t="shared" si="3"/>
        <v>1</v>
      </c>
      <c r="P314" s="210">
        <f t="shared" ref="P314:Q314" si="324">IF(N314="",0,IF(N314&lt;=2,1,IF(N314&lt;=4,2,IF(N314&lt;=5.5,3,4))))</f>
        <v>1</v>
      </c>
      <c r="Q314" s="210">
        <f t="shared" si="324"/>
        <v>1</v>
      </c>
      <c r="R314" s="210" t="str">
        <f t="shared" si="5"/>
        <v>No Progress</v>
      </c>
      <c r="S314" s="210">
        <f t="shared" si="6"/>
        <v>1</v>
      </c>
      <c r="T314" s="210"/>
      <c r="U314" s="210"/>
      <c r="V314" s="210"/>
      <c r="W314" s="210"/>
      <c r="X314" s="210"/>
      <c r="Y314" s="210"/>
      <c r="Z314" s="210"/>
      <c r="AA314" s="210"/>
      <c r="AB314" s="210"/>
      <c r="AC314" s="210"/>
      <c r="AD314" s="210"/>
      <c r="AE314" s="210"/>
      <c r="AF314" s="210"/>
      <c r="AG314" s="210"/>
      <c r="AH314" s="210"/>
      <c r="AI314" s="210"/>
      <c r="AJ314" s="210"/>
      <c r="AK314" s="210"/>
      <c r="AL314" s="210"/>
      <c r="AM314" s="214"/>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c r="BU314" s="210"/>
      <c r="BV314" s="210"/>
      <c r="BW314" s="210"/>
      <c r="BX314" s="210"/>
      <c r="BY314" s="210"/>
      <c r="BZ314" s="210"/>
      <c r="CA314" s="210"/>
      <c r="CB314" s="210"/>
      <c r="CC314" s="210"/>
      <c r="CD314" s="210"/>
      <c r="CE314" s="210"/>
      <c r="CF314" s="210"/>
      <c r="CG314" s="210"/>
      <c r="CH314" s="210"/>
      <c r="CI314" s="210"/>
      <c r="CJ314" s="210"/>
      <c r="CK314" s="210"/>
    </row>
    <row r="315">
      <c r="A315" s="222" t="s">
        <v>259</v>
      </c>
      <c r="B315" s="190" t="s">
        <v>260</v>
      </c>
      <c r="C315" s="223" t="s">
        <v>78</v>
      </c>
      <c r="D315" s="223" t="s">
        <v>871</v>
      </c>
      <c r="E315" s="190" t="s">
        <v>21</v>
      </c>
      <c r="F315" s="13" t="s">
        <v>927</v>
      </c>
      <c r="G315" s="13" t="s">
        <v>927</v>
      </c>
      <c r="H315" s="219">
        <f>IFERROR(
  MINIFS(ATTENDANCE_LOG!$F:$F,
         ATTENDANCE_LOG!$A:$A, C315,
         ATTENDANCE_LOG!$B:$B, E315),
"")</f>
        <v>45638.45833</v>
      </c>
      <c r="I315" s="219">
        <f t="shared" si="2"/>
        <v>45638.45833</v>
      </c>
      <c r="J315" s="190">
        <f>IFERROR(VLOOKUP(F315, LEVEL_HELPER!$A:$B, 2, 0), "")</f>
        <v>1</v>
      </c>
      <c r="K315" s="190">
        <f>IFERROR(VLOOKUP(G315, LEVEL_HELPER!$A:$B, 2, 0), "")</f>
        <v>1</v>
      </c>
      <c r="L315" s="220" t="s">
        <v>945</v>
      </c>
      <c r="M315" s="229" t="s">
        <v>922</v>
      </c>
      <c r="N315" s="190">
        <f t="array" ref="N315">IFERROR(
  INDEX($J$2:$J$543,
    MATCH(A315&amp;TEXT(I315,"yyyy-mm-dd"),
          $A$2:$A$543&amp;TEXT($H$2:$H$543,"yyyy-mm-dd"),
          0)),
"")</f>
        <v>1</v>
      </c>
      <c r="O315" s="210">
        <f t="shared" si="3"/>
        <v>1</v>
      </c>
      <c r="P315" s="210">
        <f t="shared" ref="P315:Q315" si="325">IF(N315="",0,IF(N315&lt;=2,1,IF(N315&lt;=4,2,IF(N315&lt;=5.5,3,4))))</f>
        <v>1</v>
      </c>
      <c r="Q315" s="210">
        <f t="shared" si="325"/>
        <v>1</v>
      </c>
      <c r="R315" s="210" t="str">
        <f t="shared" si="5"/>
        <v>No Progress</v>
      </c>
      <c r="S315" s="210">
        <f t="shared" si="6"/>
        <v>1</v>
      </c>
      <c r="T315" s="210"/>
      <c r="U315" s="210"/>
      <c r="V315" s="210"/>
      <c r="W315" s="210"/>
      <c r="X315" s="210"/>
      <c r="Y315" s="210"/>
      <c r="Z315" s="210"/>
      <c r="AA315" s="210"/>
      <c r="AB315" s="210"/>
      <c r="AC315" s="210"/>
      <c r="AD315" s="210"/>
      <c r="AE315" s="210"/>
      <c r="AF315" s="210"/>
      <c r="AG315" s="210"/>
      <c r="AH315" s="210"/>
      <c r="AI315" s="210"/>
      <c r="AJ315" s="210"/>
      <c r="AK315" s="210"/>
      <c r="AL315" s="210"/>
      <c r="AM315" s="214"/>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c r="BU315" s="210"/>
      <c r="BV315" s="210"/>
      <c r="BW315" s="210"/>
      <c r="BX315" s="210"/>
      <c r="BY315" s="210"/>
      <c r="BZ315" s="210"/>
      <c r="CA315" s="210"/>
      <c r="CB315" s="210"/>
      <c r="CC315" s="210"/>
      <c r="CD315" s="210"/>
      <c r="CE315" s="210"/>
      <c r="CF315" s="210"/>
      <c r="CG315" s="210"/>
      <c r="CH315" s="210"/>
      <c r="CI315" s="210"/>
      <c r="CJ315" s="210"/>
      <c r="CK315" s="210"/>
    </row>
    <row r="316">
      <c r="A316" s="222" t="s">
        <v>423</v>
      </c>
      <c r="B316" s="190" t="s">
        <v>424</v>
      </c>
      <c r="C316" s="223" t="s">
        <v>78</v>
      </c>
      <c r="D316" s="223" t="s">
        <v>871</v>
      </c>
      <c r="E316" s="190" t="s">
        <v>21</v>
      </c>
      <c r="F316" s="13" t="s">
        <v>927</v>
      </c>
      <c r="G316" s="13" t="s">
        <v>918</v>
      </c>
      <c r="H316" s="219">
        <f>IFERROR(
  MINIFS(ATTENDANCE_LOG!$F:$F,
         ATTENDANCE_LOG!$A:$A, C316,
         ATTENDANCE_LOG!$B:$B, E316),
"")</f>
        <v>45638.45833</v>
      </c>
      <c r="I316" s="219">
        <f t="shared" si="2"/>
        <v>45638.45833</v>
      </c>
      <c r="J316" s="190">
        <f>IFERROR(VLOOKUP(F316, LEVEL_HELPER!$A:$B, 2, 0), "")</f>
        <v>1</v>
      </c>
      <c r="K316" s="190">
        <f>IFERROR(VLOOKUP(G316, LEVEL_HELPER!$A:$B, 2, 0), "")</f>
        <v>3</v>
      </c>
      <c r="L316" s="220" t="s">
        <v>943</v>
      </c>
      <c r="M316" s="229" t="s">
        <v>922</v>
      </c>
      <c r="N316" s="190">
        <f t="array" ref="N316">IFERROR(
  INDEX($J$2:$J$543,
    MATCH(A316&amp;TEXT(I316,"yyyy-mm-dd"),
          $A$2:$A$543&amp;TEXT($H$2:$H$543,"yyyy-mm-dd"),
          0)),
"")</f>
        <v>1</v>
      </c>
      <c r="O316" s="210">
        <f t="shared" si="3"/>
        <v>3</v>
      </c>
      <c r="P316" s="210">
        <f t="shared" ref="P316:Q316" si="326">IF(N316="",0,IF(N316&lt;=2,1,IF(N316&lt;=4,2,IF(N316&lt;=5.5,3,4))))</f>
        <v>1</v>
      </c>
      <c r="Q316" s="210">
        <f t="shared" si="326"/>
        <v>2</v>
      </c>
      <c r="R316" s="210" t="str">
        <f t="shared" si="5"/>
        <v>Lv1 → Lv2</v>
      </c>
      <c r="S316" s="210">
        <f t="shared" si="6"/>
        <v>1</v>
      </c>
      <c r="T316" s="210"/>
      <c r="U316" s="210"/>
      <c r="V316" s="210"/>
      <c r="W316" s="210"/>
      <c r="X316" s="210"/>
      <c r="Y316" s="210"/>
      <c r="Z316" s="210"/>
      <c r="AA316" s="210"/>
      <c r="AB316" s="210"/>
      <c r="AC316" s="210"/>
      <c r="AD316" s="210"/>
      <c r="AE316" s="210"/>
      <c r="AF316" s="210"/>
      <c r="AG316" s="210"/>
      <c r="AH316" s="210"/>
      <c r="AI316" s="210"/>
      <c r="AJ316" s="210"/>
      <c r="AK316" s="210"/>
      <c r="AL316" s="210"/>
      <c r="AM316" s="214"/>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c r="BU316" s="210"/>
      <c r="BV316" s="210"/>
      <c r="BW316" s="210"/>
      <c r="BX316" s="210"/>
      <c r="BY316" s="210"/>
      <c r="BZ316" s="210"/>
      <c r="CA316" s="210"/>
      <c r="CB316" s="210"/>
      <c r="CC316" s="210"/>
      <c r="CD316" s="210"/>
      <c r="CE316" s="210"/>
      <c r="CF316" s="210"/>
      <c r="CG316" s="210"/>
      <c r="CH316" s="210"/>
      <c r="CI316" s="210"/>
      <c r="CJ316" s="210"/>
      <c r="CK316" s="210"/>
    </row>
    <row r="317">
      <c r="A317" s="222" t="s">
        <v>711</v>
      </c>
      <c r="B317" s="190" t="s">
        <v>712</v>
      </c>
      <c r="C317" s="223" t="s">
        <v>78</v>
      </c>
      <c r="D317" s="223" t="s">
        <v>871</v>
      </c>
      <c r="E317" s="190" t="s">
        <v>21</v>
      </c>
      <c r="F317" s="13" t="s">
        <v>917</v>
      </c>
      <c r="G317" s="13" t="s">
        <v>932</v>
      </c>
      <c r="H317" s="219">
        <f>IFERROR(
  MINIFS(ATTENDANCE_LOG!$F:$F,
         ATTENDANCE_LOG!$A:$A, C317,
         ATTENDANCE_LOG!$B:$B, E317),
"")</f>
        <v>45638.45833</v>
      </c>
      <c r="I317" s="219">
        <f t="shared" si="2"/>
        <v>45638.45833</v>
      </c>
      <c r="J317" s="190">
        <f>IFERROR(VLOOKUP(F317, LEVEL_HELPER!$A:$B, 2, 0), "")</f>
        <v>2.5</v>
      </c>
      <c r="K317" s="190">
        <f>IFERROR(VLOOKUP(G317, LEVEL_HELPER!$A:$B, 2, 0), "")</f>
        <v>4.5</v>
      </c>
      <c r="L317" s="220" t="s">
        <v>956</v>
      </c>
      <c r="M317" s="229" t="s">
        <v>922</v>
      </c>
      <c r="N317" s="190">
        <f t="array" ref="N317">IFERROR(
  INDEX($J$2:$J$543,
    MATCH(A317&amp;TEXT(I317,"yyyy-mm-dd"),
          $A$2:$A$543&amp;TEXT($H$2:$H$543,"yyyy-mm-dd"),
          0)),
"")</f>
        <v>2.5</v>
      </c>
      <c r="O317" s="210">
        <f t="shared" si="3"/>
        <v>4.5</v>
      </c>
      <c r="P317" s="210">
        <f t="shared" ref="P317:Q317" si="327">IF(N317="",0,IF(N317&lt;=2,1,IF(N317&lt;=4,2,IF(N317&lt;=5.5,3,4))))</f>
        <v>2</v>
      </c>
      <c r="Q317" s="210">
        <f t="shared" si="327"/>
        <v>3</v>
      </c>
      <c r="R317" s="210" t="str">
        <f t="shared" si="5"/>
        <v>Lv2 → Lv3</v>
      </c>
      <c r="S317" s="210">
        <f t="shared" si="6"/>
        <v>1</v>
      </c>
      <c r="T317" s="210"/>
      <c r="U317" s="210"/>
      <c r="V317" s="210"/>
      <c r="W317" s="210"/>
      <c r="X317" s="210"/>
      <c r="Y317" s="210"/>
      <c r="Z317" s="210"/>
      <c r="AA317" s="210"/>
      <c r="AB317" s="210"/>
      <c r="AC317" s="210"/>
      <c r="AD317" s="210"/>
      <c r="AE317" s="210"/>
      <c r="AF317" s="210"/>
      <c r="AG317" s="210"/>
      <c r="AH317" s="210"/>
      <c r="AI317" s="210"/>
      <c r="AJ317" s="210"/>
      <c r="AK317" s="210"/>
      <c r="AL317" s="210"/>
      <c r="AM317" s="214"/>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c r="BU317" s="210"/>
      <c r="BV317" s="210"/>
      <c r="BW317" s="210"/>
      <c r="BX317" s="210"/>
      <c r="BY317" s="210"/>
      <c r="BZ317" s="210"/>
      <c r="CA317" s="210"/>
      <c r="CB317" s="210"/>
      <c r="CC317" s="210"/>
      <c r="CD317" s="210"/>
      <c r="CE317" s="210"/>
      <c r="CF317" s="210"/>
      <c r="CG317" s="210"/>
      <c r="CH317" s="210"/>
      <c r="CI317" s="210"/>
      <c r="CJ317" s="210"/>
      <c r="CK317" s="210"/>
    </row>
    <row r="318">
      <c r="A318" s="222" t="s">
        <v>713</v>
      </c>
      <c r="B318" s="190" t="s">
        <v>714</v>
      </c>
      <c r="C318" s="223" t="s">
        <v>78</v>
      </c>
      <c r="D318" s="223" t="s">
        <v>871</v>
      </c>
      <c r="E318" s="190" t="s">
        <v>21</v>
      </c>
      <c r="F318" s="13" t="s">
        <v>927</v>
      </c>
      <c r="G318" s="190"/>
      <c r="H318" s="219">
        <f>IFERROR(
  MINIFS(ATTENDANCE_LOG!$F:$F,
         ATTENDANCE_LOG!$A:$A, C318,
         ATTENDANCE_LOG!$B:$B, E318),
"")</f>
        <v>45638.45833</v>
      </c>
      <c r="I318" s="219">
        <f t="shared" si="2"/>
        <v>45638.45833</v>
      </c>
      <c r="J318" s="190">
        <f>IFERROR(VLOOKUP(F318, LEVEL_HELPER!$A:$B, 2, 0), "")</f>
        <v>1</v>
      </c>
      <c r="K318" s="190" t="str">
        <f>IFERROR(VLOOKUP(G318, LEVEL_HELPER!$A:$B, 2, 0), "")</f>
        <v/>
      </c>
      <c r="L318" s="220" t="s">
        <v>943</v>
      </c>
      <c r="M318" s="229" t="s">
        <v>922</v>
      </c>
      <c r="N318" s="190">
        <f t="array" ref="N318">IFERROR(
  INDEX($J$2:$J$543,
    MATCH(A318&amp;TEXT(I318,"yyyy-mm-dd"),
          $A$2:$A$543&amp;TEXT($H$2:$H$543,"yyyy-mm-dd"),
          0)),
"")</f>
        <v>1</v>
      </c>
      <c r="O318" s="210">
        <f t="shared" si="3"/>
        <v>0</v>
      </c>
      <c r="P318" s="210">
        <f t="shared" ref="P318:Q318" si="328">IF(N318="",0,IF(N318&lt;=2,1,IF(N318&lt;=4,2,IF(N318&lt;=5.5,3,4))))</f>
        <v>1</v>
      </c>
      <c r="Q318" s="210">
        <f t="shared" si="328"/>
        <v>1</v>
      </c>
      <c r="R318" s="210" t="str">
        <f t="shared" si="5"/>
        <v>No Progress</v>
      </c>
      <c r="S318" s="210">
        <f t="shared" si="6"/>
        <v>1</v>
      </c>
      <c r="T318" s="210"/>
      <c r="U318" s="210"/>
      <c r="V318" s="210"/>
      <c r="W318" s="210"/>
      <c r="X318" s="210"/>
      <c r="Y318" s="210"/>
      <c r="Z318" s="210"/>
      <c r="AA318" s="210"/>
      <c r="AB318" s="210"/>
      <c r="AC318" s="210"/>
      <c r="AD318" s="210"/>
      <c r="AE318" s="210"/>
      <c r="AF318" s="210"/>
      <c r="AG318" s="210"/>
      <c r="AH318" s="210"/>
      <c r="AI318" s="210"/>
      <c r="AJ318" s="210"/>
      <c r="AK318" s="210"/>
      <c r="AL318" s="210"/>
      <c r="AM318" s="214"/>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c r="BU318" s="210"/>
      <c r="BV318" s="210"/>
      <c r="BW318" s="210"/>
      <c r="BX318" s="210"/>
      <c r="BY318" s="210"/>
      <c r="BZ318" s="210"/>
      <c r="CA318" s="210"/>
      <c r="CB318" s="210"/>
      <c r="CC318" s="210"/>
      <c r="CD318" s="210"/>
      <c r="CE318" s="210"/>
      <c r="CF318" s="210"/>
      <c r="CG318" s="210"/>
      <c r="CH318" s="210"/>
      <c r="CI318" s="210"/>
      <c r="CJ318" s="210"/>
      <c r="CK318" s="210"/>
    </row>
    <row r="319">
      <c r="A319" s="222" t="s">
        <v>182</v>
      </c>
      <c r="B319" s="190" t="s">
        <v>183</v>
      </c>
      <c r="C319" s="223" t="s">
        <v>78</v>
      </c>
      <c r="D319" s="223" t="s">
        <v>871</v>
      </c>
      <c r="E319" s="190" t="s">
        <v>22</v>
      </c>
      <c r="F319" s="13" t="s">
        <v>927</v>
      </c>
      <c r="G319" s="13" t="s">
        <v>927</v>
      </c>
      <c r="H319" s="219">
        <f>IFERROR(
  MINIFS(ATTENDANCE_LOG!$F:$F,
         ATTENDANCE_LOG!$A:$A, C319,
         ATTENDANCE_LOG!$B:$B, E319),
"")</f>
        <v>0</v>
      </c>
      <c r="I319" s="219">
        <f t="shared" si="2"/>
        <v>45638.45833</v>
      </c>
      <c r="J319" s="190">
        <f>IFERROR(VLOOKUP(F319, LEVEL_HELPER!$A:$B, 2, 0), "")</f>
        <v>1</v>
      </c>
      <c r="K319" s="190">
        <f>IFERROR(VLOOKUP(G319, LEVEL_HELPER!$A:$B, 2, 0), "")</f>
        <v>1</v>
      </c>
      <c r="L319" s="220" t="s">
        <v>919</v>
      </c>
      <c r="M319" s="229" t="s">
        <v>922</v>
      </c>
      <c r="N319" s="190">
        <f t="array" ref="N319">IFERROR(
  INDEX($J$2:$J$543,
    MATCH(A319&amp;TEXT(I319,"yyyy-mm-dd"),
          $A$2:$A$543&amp;TEXT($H$2:$H$543,"yyyy-mm-dd"),
          0)),
"")</f>
        <v>1</v>
      </c>
      <c r="O319" s="210">
        <f t="shared" si="3"/>
        <v>1</v>
      </c>
      <c r="P319" s="210">
        <f t="shared" ref="P319:Q319" si="329">IF(N319="",0,IF(N319&lt;=2,1,IF(N319&lt;=4,2,IF(N319&lt;=5.5,3,4))))</f>
        <v>1</v>
      </c>
      <c r="Q319" s="210">
        <f t="shared" si="329"/>
        <v>1</v>
      </c>
      <c r="R319" s="210" t="str">
        <f t="shared" si="5"/>
        <v>No Progress</v>
      </c>
      <c r="S319" s="210">
        <f t="shared" si="6"/>
        <v>0</v>
      </c>
      <c r="T319" s="210"/>
      <c r="U319" s="210"/>
      <c r="V319" s="210"/>
      <c r="W319" s="210"/>
      <c r="X319" s="210"/>
      <c r="Y319" s="210"/>
      <c r="Z319" s="210"/>
      <c r="AA319" s="210"/>
      <c r="AB319" s="210"/>
      <c r="AC319" s="210"/>
      <c r="AD319" s="210"/>
      <c r="AE319" s="210"/>
      <c r="AF319" s="210"/>
      <c r="AG319" s="210"/>
      <c r="AH319" s="210"/>
      <c r="AI319" s="210"/>
      <c r="AJ319" s="210"/>
      <c r="AK319" s="210"/>
      <c r="AL319" s="210"/>
      <c r="AM319" s="214"/>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c r="BU319" s="210"/>
      <c r="BV319" s="210"/>
      <c r="BW319" s="210"/>
      <c r="BX319" s="210"/>
      <c r="BY319" s="210"/>
      <c r="BZ319" s="210"/>
      <c r="CA319" s="210"/>
      <c r="CB319" s="210"/>
      <c r="CC319" s="210"/>
      <c r="CD319" s="210"/>
      <c r="CE319" s="210"/>
      <c r="CF319" s="210"/>
      <c r="CG319" s="210"/>
      <c r="CH319" s="210"/>
      <c r="CI319" s="210"/>
      <c r="CJ319" s="210"/>
      <c r="CK319" s="210"/>
    </row>
    <row r="320">
      <c r="A320" s="222" t="s">
        <v>549</v>
      </c>
      <c r="B320" s="217" t="s">
        <v>550</v>
      </c>
      <c r="C320" s="218" t="s">
        <v>79</v>
      </c>
      <c r="D320" s="218" t="s">
        <v>872</v>
      </c>
      <c r="E320" s="217" t="s">
        <v>21</v>
      </c>
      <c r="F320" s="13" t="s">
        <v>917</v>
      </c>
      <c r="G320" s="13" t="s">
        <v>918</v>
      </c>
      <c r="H320" s="219">
        <f>IFERROR(
  MINIFS(ATTENDANCE_LOG!$F:$F,
         ATTENDANCE_LOG!$A:$A, C320,
         ATTENDANCE_LOG!$B:$B, E320),
"")</f>
        <v>45645.45833</v>
      </c>
      <c r="I320" s="219">
        <f t="shared" si="2"/>
        <v>45645.45833</v>
      </c>
      <c r="J320" s="190">
        <f>IFERROR(VLOOKUP(F320, LEVEL_HELPER!$A:$B, 2, 0), "")</f>
        <v>2.5</v>
      </c>
      <c r="K320" s="190">
        <f>IFERROR(VLOOKUP(G320, LEVEL_HELPER!$A:$B, 2, 0), "")</f>
        <v>3</v>
      </c>
      <c r="L320" s="220" t="s">
        <v>943</v>
      </c>
      <c r="M320" s="229" t="s">
        <v>922</v>
      </c>
      <c r="N320" s="190">
        <f t="array" ref="N320">IFERROR(
  INDEX($J$2:$J$543,
    MATCH(A320&amp;TEXT(I320,"yyyy-mm-dd"),
          $A$2:$A$543&amp;TEXT($H$2:$H$543,"yyyy-mm-dd"),
          0)),
"")</f>
        <v>2.5</v>
      </c>
      <c r="O320" s="210">
        <f t="shared" si="3"/>
        <v>3</v>
      </c>
      <c r="P320" s="210">
        <f t="shared" ref="P320:Q320" si="330">IF(N320="",0,IF(N320&lt;=2,1,IF(N320&lt;=4,2,IF(N320&lt;=5.5,3,4))))</f>
        <v>2</v>
      </c>
      <c r="Q320" s="210">
        <f t="shared" si="330"/>
        <v>2</v>
      </c>
      <c r="R320" s="210" t="str">
        <f t="shared" si="5"/>
        <v>Progress within level</v>
      </c>
      <c r="S320" s="210">
        <f t="shared" si="6"/>
        <v>1</v>
      </c>
      <c r="T320" s="210"/>
      <c r="U320" s="210"/>
      <c r="V320" s="210"/>
      <c r="W320" s="210"/>
      <c r="X320" s="210"/>
      <c r="Y320" s="210"/>
      <c r="Z320" s="210"/>
      <c r="AA320" s="210"/>
      <c r="AB320" s="210"/>
      <c r="AC320" s="210"/>
      <c r="AD320" s="210"/>
      <c r="AE320" s="210"/>
      <c r="AF320" s="210"/>
      <c r="AG320" s="210"/>
      <c r="AH320" s="210"/>
      <c r="AI320" s="210"/>
      <c r="AJ320" s="210"/>
      <c r="AK320" s="210"/>
      <c r="AL320" s="210"/>
      <c r="AM320" s="214"/>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c r="BU320" s="210"/>
      <c r="BV320" s="210"/>
      <c r="BW320" s="210"/>
      <c r="BX320" s="210"/>
      <c r="BY320" s="210"/>
      <c r="BZ320" s="210"/>
      <c r="CA320" s="210"/>
      <c r="CB320" s="210"/>
      <c r="CC320" s="210"/>
      <c r="CD320" s="210"/>
      <c r="CE320" s="210"/>
      <c r="CF320" s="210"/>
      <c r="CG320" s="210"/>
      <c r="CH320" s="210"/>
      <c r="CI320" s="210"/>
      <c r="CJ320" s="210"/>
      <c r="CK320" s="210"/>
    </row>
    <row r="321">
      <c r="A321" s="222" t="s">
        <v>200</v>
      </c>
      <c r="B321" s="190" t="s">
        <v>201</v>
      </c>
      <c r="C321" s="223" t="s">
        <v>79</v>
      </c>
      <c r="D321" s="223" t="s">
        <v>872</v>
      </c>
      <c r="E321" s="190" t="s">
        <v>21</v>
      </c>
      <c r="F321" s="13" t="s">
        <v>917</v>
      </c>
      <c r="G321" s="13" t="s">
        <v>932</v>
      </c>
      <c r="H321" s="219">
        <f>IFERROR(
  MINIFS(ATTENDANCE_LOG!$F:$F,
         ATTENDANCE_LOG!$A:$A, C321,
         ATTENDANCE_LOG!$B:$B, E321),
"")</f>
        <v>45645.45833</v>
      </c>
      <c r="I321" s="219">
        <f t="shared" si="2"/>
        <v>45645.45833</v>
      </c>
      <c r="J321" s="190">
        <f>IFERROR(VLOOKUP(F321, LEVEL_HELPER!$A:$B, 2, 0), "")</f>
        <v>2.5</v>
      </c>
      <c r="K321" s="190">
        <f>IFERROR(VLOOKUP(G321, LEVEL_HELPER!$A:$B, 2, 0), "")</f>
        <v>4.5</v>
      </c>
      <c r="L321" s="220" t="s">
        <v>943</v>
      </c>
      <c r="M321" s="229" t="s">
        <v>922</v>
      </c>
      <c r="N321" s="190">
        <f t="array" ref="N321">IFERROR(
  INDEX($J$2:$J$543,
    MATCH(A321&amp;TEXT(I321,"yyyy-mm-dd"),
          $A$2:$A$543&amp;TEXT($H$2:$H$543,"yyyy-mm-dd"),
          0)),
"")</f>
        <v>2.5</v>
      </c>
      <c r="O321" s="210">
        <f t="shared" si="3"/>
        <v>4.5</v>
      </c>
      <c r="P321" s="210">
        <f t="shared" ref="P321:Q321" si="331">IF(N321="",0,IF(N321&lt;=2,1,IF(N321&lt;=4,2,IF(N321&lt;=5.5,3,4))))</f>
        <v>2</v>
      </c>
      <c r="Q321" s="210">
        <f t="shared" si="331"/>
        <v>3</v>
      </c>
      <c r="R321" s="210" t="str">
        <f t="shared" si="5"/>
        <v>Lv2 → Lv3</v>
      </c>
      <c r="S321" s="210">
        <f t="shared" si="6"/>
        <v>1</v>
      </c>
      <c r="T321" s="210"/>
      <c r="U321" s="210"/>
      <c r="V321" s="210"/>
      <c r="W321" s="210"/>
      <c r="X321" s="210"/>
      <c r="Y321" s="210"/>
      <c r="Z321" s="210"/>
      <c r="AA321" s="210"/>
      <c r="AB321" s="210"/>
      <c r="AC321" s="210"/>
      <c r="AD321" s="210"/>
      <c r="AE321" s="210"/>
      <c r="AF321" s="210"/>
      <c r="AG321" s="210"/>
      <c r="AH321" s="210"/>
      <c r="AI321" s="210"/>
      <c r="AJ321" s="210"/>
      <c r="AK321" s="210"/>
      <c r="AL321" s="210"/>
      <c r="AM321" s="214"/>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c r="BU321" s="210"/>
      <c r="BV321" s="210"/>
      <c r="BW321" s="210"/>
      <c r="BX321" s="210"/>
      <c r="BY321" s="210"/>
      <c r="BZ321" s="210"/>
      <c r="CA321" s="210"/>
      <c r="CB321" s="210"/>
      <c r="CC321" s="210"/>
      <c r="CD321" s="210"/>
      <c r="CE321" s="210"/>
      <c r="CF321" s="210"/>
      <c r="CG321" s="210"/>
      <c r="CH321" s="210"/>
      <c r="CI321" s="210"/>
      <c r="CJ321" s="210"/>
      <c r="CK321" s="210"/>
    </row>
    <row r="322">
      <c r="A322" s="222" t="s">
        <v>214</v>
      </c>
      <c r="B322" s="190" t="s">
        <v>215</v>
      </c>
      <c r="C322" s="223" t="s">
        <v>79</v>
      </c>
      <c r="D322" s="223" t="s">
        <v>872</v>
      </c>
      <c r="E322" s="190" t="s">
        <v>21</v>
      </c>
      <c r="F322" s="13" t="s">
        <v>927</v>
      </c>
      <c r="G322" s="13" t="s">
        <v>929</v>
      </c>
      <c r="H322" s="219">
        <f>IFERROR(
  MINIFS(ATTENDANCE_LOG!$F:$F,
         ATTENDANCE_LOG!$A:$A, C322,
         ATTENDANCE_LOG!$B:$B, E322),
"")</f>
        <v>45645.45833</v>
      </c>
      <c r="I322" s="219">
        <f t="shared" si="2"/>
        <v>45645.45833</v>
      </c>
      <c r="J322" s="190">
        <f>IFERROR(VLOOKUP(F322, LEVEL_HELPER!$A:$B, 2, 0), "")</f>
        <v>1</v>
      </c>
      <c r="K322" s="190">
        <f>IFERROR(VLOOKUP(G322, LEVEL_HELPER!$A:$B, 2, 0), "")</f>
        <v>1.5</v>
      </c>
      <c r="L322" s="220" t="s">
        <v>943</v>
      </c>
      <c r="M322" s="229" t="s">
        <v>922</v>
      </c>
      <c r="N322" s="190">
        <f t="array" ref="N322">IFERROR(
  INDEX($J$2:$J$543,
    MATCH(A322&amp;TEXT(I322,"yyyy-mm-dd"),
          $A$2:$A$543&amp;TEXT($H$2:$H$543,"yyyy-mm-dd"),
          0)),
"")</f>
        <v>1</v>
      </c>
      <c r="O322" s="210">
        <f t="shared" si="3"/>
        <v>1.5</v>
      </c>
      <c r="P322" s="210">
        <f t="shared" ref="P322:Q322" si="332">IF(N322="",0,IF(N322&lt;=2,1,IF(N322&lt;=4,2,IF(N322&lt;=5.5,3,4))))</f>
        <v>1</v>
      </c>
      <c r="Q322" s="210">
        <f t="shared" si="332"/>
        <v>1</v>
      </c>
      <c r="R322" s="210" t="str">
        <f t="shared" si="5"/>
        <v>Progress within level</v>
      </c>
      <c r="S322" s="210">
        <f t="shared" si="6"/>
        <v>1</v>
      </c>
      <c r="T322" s="210"/>
      <c r="U322" s="210"/>
      <c r="V322" s="210"/>
      <c r="W322" s="210"/>
      <c r="X322" s="210"/>
      <c r="Y322" s="210"/>
      <c r="Z322" s="210"/>
      <c r="AA322" s="210"/>
      <c r="AB322" s="210"/>
      <c r="AC322" s="210"/>
      <c r="AD322" s="210"/>
      <c r="AE322" s="210"/>
      <c r="AF322" s="210"/>
      <c r="AG322" s="210"/>
      <c r="AH322" s="210"/>
      <c r="AI322" s="210"/>
      <c r="AJ322" s="210"/>
      <c r="AK322" s="210"/>
      <c r="AL322" s="210"/>
      <c r="AM322" s="214"/>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c r="BU322" s="210"/>
      <c r="BV322" s="210"/>
      <c r="BW322" s="210"/>
      <c r="BX322" s="210"/>
      <c r="BY322" s="210"/>
      <c r="BZ322" s="210"/>
      <c r="CA322" s="210"/>
      <c r="CB322" s="210"/>
      <c r="CC322" s="210"/>
      <c r="CD322" s="210"/>
      <c r="CE322" s="210"/>
      <c r="CF322" s="210"/>
      <c r="CG322" s="210"/>
      <c r="CH322" s="210"/>
      <c r="CI322" s="210"/>
      <c r="CJ322" s="210"/>
      <c r="CK322" s="210"/>
    </row>
    <row r="323">
      <c r="A323" s="222" t="s">
        <v>436</v>
      </c>
      <c r="B323" s="190" t="s">
        <v>437</v>
      </c>
      <c r="C323" s="223" t="s">
        <v>79</v>
      </c>
      <c r="D323" s="223" t="s">
        <v>872</v>
      </c>
      <c r="E323" s="190" t="s">
        <v>21</v>
      </c>
      <c r="F323" s="13" t="s">
        <v>927</v>
      </c>
      <c r="G323" s="13" t="s">
        <v>935</v>
      </c>
      <c r="H323" s="219">
        <f>IFERROR(
  MINIFS(ATTENDANCE_LOG!$F:$F,
         ATTENDANCE_LOG!$A:$A, C323,
         ATTENDANCE_LOG!$B:$B, E323),
"")</f>
        <v>45645.45833</v>
      </c>
      <c r="I323" s="219">
        <f t="shared" si="2"/>
        <v>45645.45833</v>
      </c>
      <c r="J323" s="190">
        <f>IFERROR(VLOOKUP(F323, LEVEL_HELPER!$A:$B, 2, 0), "")</f>
        <v>1</v>
      </c>
      <c r="K323" s="190">
        <f>IFERROR(VLOOKUP(G323, LEVEL_HELPER!$A:$B, 2, 0), "")</f>
        <v>3.5</v>
      </c>
      <c r="L323" s="220" t="s">
        <v>943</v>
      </c>
      <c r="M323" s="229" t="s">
        <v>922</v>
      </c>
      <c r="N323" s="190">
        <f t="array" ref="N323">IFERROR(
  INDEX($J$2:$J$543,
    MATCH(A323&amp;TEXT(I323,"yyyy-mm-dd"),
          $A$2:$A$543&amp;TEXT($H$2:$H$543,"yyyy-mm-dd"),
          0)),
"")</f>
        <v>1</v>
      </c>
      <c r="O323" s="210">
        <f t="shared" si="3"/>
        <v>3.5</v>
      </c>
      <c r="P323" s="210">
        <f t="shared" ref="P323:Q323" si="333">IF(N323="",0,IF(N323&lt;=2,1,IF(N323&lt;=4,2,IF(N323&lt;=5.5,3,4))))</f>
        <v>1</v>
      </c>
      <c r="Q323" s="210">
        <f t="shared" si="333"/>
        <v>2</v>
      </c>
      <c r="R323" s="210" t="str">
        <f t="shared" si="5"/>
        <v>Lv1 → Lv2</v>
      </c>
      <c r="S323" s="210">
        <f t="shared" si="6"/>
        <v>1</v>
      </c>
      <c r="T323" s="210"/>
      <c r="U323" s="210"/>
      <c r="V323" s="210"/>
      <c r="W323" s="210"/>
      <c r="X323" s="210"/>
      <c r="Y323" s="210"/>
      <c r="Z323" s="210"/>
      <c r="AA323" s="210"/>
      <c r="AB323" s="210"/>
      <c r="AC323" s="210"/>
      <c r="AD323" s="210"/>
      <c r="AE323" s="210"/>
      <c r="AF323" s="210"/>
      <c r="AG323" s="210"/>
      <c r="AH323" s="210"/>
      <c r="AI323" s="210"/>
      <c r="AJ323" s="210"/>
      <c r="AK323" s="210"/>
      <c r="AL323" s="210"/>
      <c r="AM323" s="214"/>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c r="BU323" s="210"/>
      <c r="BV323" s="210"/>
      <c r="BW323" s="210"/>
      <c r="BX323" s="210"/>
      <c r="BY323" s="210"/>
      <c r="BZ323" s="210"/>
      <c r="CA323" s="210"/>
      <c r="CB323" s="210"/>
      <c r="CC323" s="210"/>
      <c r="CD323" s="210"/>
      <c r="CE323" s="210"/>
      <c r="CF323" s="210"/>
      <c r="CG323" s="210"/>
      <c r="CH323" s="210"/>
      <c r="CI323" s="210"/>
      <c r="CJ323" s="210"/>
      <c r="CK323" s="210"/>
    </row>
    <row r="324">
      <c r="A324" s="222" t="s">
        <v>476</v>
      </c>
      <c r="B324" s="190" t="s">
        <v>477</v>
      </c>
      <c r="C324" s="223" t="s">
        <v>79</v>
      </c>
      <c r="D324" s="223" t="s">
        <v>872</v>
      </c>
      <c r="E324" s="190" t="s">
        <v>21</v>
      </c>
      <c r="F324" s="13" t="s">
        <v>927</v>
      </c>
      <c r="G324" s="13" t="s">
        <v>927</v>
      </c>
      <c r="H324" s="219">
        <f>IFERROR(
  MINIFS(ATTENDANCE_LOG!$F:$F,
         ATTENDANCE_LOG!$A:$A, C324,
         ATTENDANCE_LOG!$B:$B, E324),
"")</f>
        <v>45645.45833</v>
      </c>
      <c r="I324" s="219">
        <f t="shared" si="2"/>
        <v>45645.45833</v>
      </c>
      <c r="J324" s="190">
        <f>IFERROR(VLOOKUP(F324, LEVEL_HELPER!$A:$B, 2, 0), "")</f>
        <v>1</v>
      </c>
      <c r="K324" s="190">
        <f>IFERROR(VLOOKUP(G324, LEVEL_HELPER!$A:$B, 2, 0), "")</f>
        <v>1</v>
      </c>
      <c r="L324" s="220" t="s">
        <v>943</v>
      </c>
      <c r="M324" s="229" t="s">
        <v>922</v>
      </c>
      <c r="N324" s="190">
        <f t="array" ref="N324">IFERROR(
  INDEX($J$2:$J$543,
    MATCH(A324&amp;TEXT(I324,"yyyy-mm-dd"),
          $A$2:$A$543&amp;TEXT($H$2:$H$543,"yyyy-mm-dd"),
          0)),
"")</f>
        <v>1</v>
      </c>
      <c r="O324" s="210">
        <f t="shared" si="3"/>
        <v>1</v>
      </c>
      <c r="P324" s="210">
        <f t="shared" ref="P324:Q324" si="334">IF(N324="",0,IF(N324&lt;=2,1,IF(N324&lt;=4,2,IF(N324&lt;=5.5,3,4))))</f>
        <v>1</v>
      </c>
      <c r="Q324" s="210">
        <f t="shared" si="334"/>
        <v>1</v>
      </c>
      <c r="R324" s="210" t="str">
        <f t="shared" si="5"/>
        <v>No Progress</v>
      </c>
      <c r="S324" s="210">
        <f t="shared" si="6"/>
        <v>1</v>
      </c>
      <c r="T324" s="210"/>
      <c r="U324" s="210"/>
      <c r="V324" s="210"/>
      <c r="W324" s="210"/>
      <c r="X324" s="210"/>
      <c r="Y324" s="210"/>
      <c r="Z324" s="210"/>
      <c r="AA324" s="210"/>
      <c r="AB324" s="210"/>
      <c r="AC324" s="210"/>
      <c r="AD324" s="210"/>
      <c r="AE324" s="210"/>
      <c r="AF324" s="210"/>
      <c r="AG324" s="210"/>
      <c r="AH324" s="210"/>
      <c r="AI324" s="210"/>
      <c r="AJ324" s="210"/>
      <c r="AK324" s="210"/>
      <c r="AL324" s="210"/>
      <c r="AM324" s="214"/>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c r="BU324" s="210"/>
      <c r="BV324" s="210"/>
      <c r="BW324" s="210"/>
      <c r="BX324" s="210"/>
      <c r="BY324" s="210"/>
      <c r="BZ324" s="210"/>
      <c r="CA324" s="210"/>
      <c r="CB324" s="210"/>
      <c r="CC324" s="210"/>
      <c r="CD324" s="210"/>
      <c r="CE324" s="210"/>
      <c r="CF324" s="210"/>
      <c r="CG324" s="210"/>
      <c r="CH324" s="210"/>
      <c r="CI324" s="210"/>
      <c r="CJ324" s="210"/>
      <c r="CK324" s="210"/>
    </row>
    <row r="325">
      <c r="A325" s="222" t="s">
        <v>488</v>
      </c>
      <c r="B325" s="190" t="s">
        <v>489</v>
      </c>
      <c r="C325" s="223" t="s">
        <v>79</v>
      </c>
      <c r="D325" s="223" t="s">
        <v>872</v>
      </c>
      <c r="E325" s="190" t="s">
        <v>21</v>
      </c>
      <c r="F325" s="13" t="s">
        <v>917</v>
      </c>
      <c r="G325" s="13" t="s">
        <v>929</v>
      </c>
      <c r="H325" s="219">
        <f>IFERROR(
  MINIFS(ATTENDANCE_LOG!$F:$F,
         ATTENDANCE_LOG!$A:$A, C325,
         ATTENDANCE_LOG!$B:$B, E325),
"")</f>
        <v>45645.45833</v>
      </c>
      <c r="I325" s="219">
        <f t="shared" si="2"/>
        <v>45645.45833</v>
      </c>
      <c r="J325" s="190">
        <f>IFERROR(VLOOKUP(F325, LEVEL_HELPER!$A:$B, 2, 0), "")</f>
        <v>2.5</v>
      </c>
      <c r="K325" s="190">
        <f>IFERROR(VLOOKUP(G325, LEVEL_HELPER!$A:$B, 2, 0), "")</f>
        <v>1.5</v>
      </c>
      <c r="L325" s="229" t="s">
        <v>919</v>
      </c>
      <c r="M325" s="229" t="s">
        <v>922</v>
      </c>
      <c r="N325" s="190">
        <f t="array" ref="N325">IFERROR(
  INDEX($J$2:$J$543,
    MATCH(A325&amp;TEXT(I325,"yyyy-mm-dd"),
          $A$2:$A$543&amp;TEXT($H$2:$H$543,"yyyy-mm-dd"),
          0)),
"")</f>
        <v>2.5</v>
      </c>
      <c r="O325" s="210">
        <f t="shared" si="3"/>
        <v>1.5</v>
      </c>
      <c r="P325" s="210">
        <f t="shared" ref="P325:Q325" si="335">IF(N325="",0,IF(N325&lt;=2,1,IF(N325&lt;=4,2,IF(N325&lt;=5.5,3,4))))</f>
        <v>2</v>
      </c>
      <c r="Q325" s="210">
        <f t="shared" si="335"/>
        <v>1</v>
      </c>
      <c r="R325" s="210" t="str">
        <f t="shared" si="5"/>
        <v>Regressed</v>
      </c>
      <c r="S325" s="210">
        <f t="shared" si="6"/>
        <v>1</v>
      </c>
      <c r="T325" s="210"/>
      <c r="U325" s="210"/>
      <c r="V325" s="210"/>
      <c r="W325" s="210"/>
      <c r="X325" s="210"/>
      <c r="Y325" s="210"/>
      <c r="Z325" s="210"/>
      <c r="AA325" s="210"/>
      <c r="AB325" s="210"/>
      <c r="AC325" s="210"/>
      <c r="AD325" s="210"/>
      <c r="AE325" s="210"/>
      <c r="AF325" s="210"/>
      <c r="AG325" s="210"/>
      <c r="AH325" s="210"/>
      <c r="AI325" s="210"/>
      <c r="AJ325" s="210"/>
      <c r="AK325" s="210"/>
      <c r="AL325" s="210"/>
      <c r="AM325" s="214"/>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c r="BU325" s="210"/>
      <c r="BV325" s="210"/>
      <c r="BW325" s="210"/>
      <c r="BX325" s="210"/>
      <c r="BY325" s="210"/>
      <c r="BZ325" s="210"/>
      <c r="CA325" s="210"/>
      <c r="CB325" s="210"/>
      <c r="CC325" s="210"/>
      <c r="CD325" s="210"/>
      <c r="CE325" s="210"/>
      <c r="CF325" s="210"/>
      <c r="CG325" s="210"/>
      <c r="CH325" s="210"/>
      <c r="CI325" s="210"/>
      <c r="CJ325" s="210"/>
      <c r="CK325" s="210"/>
    </row>
    <row r="326">
      <c r="A326" s="222" t="s">
        <v>661</v>
      </c>
      <c r="B326" s="217" t="s">
        <v>662</v>
      </c>
      <c r="C326" s="218" t="s">
        <v>80</v>
      </c>
      <c r="D326" s="218" t="s">
        <v>873</v>
      </c>
      <c r="E326" s="217" t="s">
        <v>21</v>
      </c>
      <c r="F326" s="13" t="s">
        <v>917</v>
      </c>
      <c r="G326" s="190"/>
      <c r="H326" s="219">
        <f>IFERROR(
  MINIFS(ATTENDANCE_LOG!$F:$F,
         ATTENDANCE_LOG!$A:$A, C326,
         ATTENDANCE_LOG!$B:$B, E326),
"")</f>
        <v>45646.41667</v>
      </c>
      <c r="I326" s="219">
        <f t="shared" si="2"/>
        <v>45646.41667</v>
      </c>
      <c r="J326" s="190">
        <f>IFERROR(VLOOKUP(F326, LEVEL_HELPER!$A:$B, 2, 0), "")</f>
        <v>2.5</v>
      </c>
      <c r="K326" s="190" t="str">
        <f>IFERROR(VLOOKUP(G326, LEVEL_HELPER!$A:$B, 2, 0), "")</f>
        <v/>
      </c>
      <c r="L326" s="220" t="s">
        <v>942</v>
      </c>
      <c r="M326" s="229" t="s">
        <v>922</v>
      </c>
      <c r="N326" s="190">
        <f t="array" ref="N326">IFERROR(
  INDEX($J$2:$J$543,
    MATCH(A326&amp;TEXT(I326,"yyyy-mm-dd"),
          $A$2:$A$543&amp;TEXT($H$2:$H$543,"yyyy-mm-dd"),
          0)),
"")</f>
        <v>2.5</v>
      </c>
      <c r="O326" s="210">
        <f t="shared" si="3"/>
        <v>0</v>
      </c>
      <c r="P326" s="210">
        <f t="shared" ref="P326:Q326" si="336">IF(N326="",0,IF(N326&lt;=2,1,IF(N326&lt;=4,2,IF(N326&lt;=5.5,3,4))))</f>
        <v>2</v>
      </c>
      <c r="Q326" s="210">
        <f t="shared" si="336"/>
        <v>1</v>
      </c>
      <c r="R326" s="210" t="str">
        <f t="shared" si="5"/>
        <v>Regressed</v>
      </c>
      <c r="S326" s="210">
        <f t="shared" si="6"/>
        <v>1</v>
      </c>
      <c r="T326" s="210"/>
      <c r="U326" s="210"/>
      <c r="V326" s="210"/>
      <c r="W326" s="210"/>
      <c r="X326" s="210"/>
      <c r="Y326" s="210"/>
      <c r="Z326" s="210"/>
      <c r="AA326" s="210"/>
      <c r="AB326" s="210"/>
      <c r="AC326" s="210"/>
      <c r="AD326" s="210"/>
      <c r="AE326" s="210"/>
      <c r="AF326" s="210"/>
      <c r="AG326" s="210"/>
      <c r="AH326" s="210"/>
      <c r="AI326" s="210"/>
      <c r="AJ326" s="210"/>
      <c r="AK326" s="210"/>
      <c r="AL326" s="210"/>
      <c r="AM326" s="214"/>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c r="BU326" s="210"/>
      <c r="BV326" s="210"/>
      <c r="BW326" s="210"/>
      <c r="BX326" s="210"/>
      <c r="BY326" s="210"/>
      <c r="BZ326" s="210"/>
      <c r="CA326" s="210"/>
      <c r="CB326" s="210"/>
      <c r="CC326" s="210"/>
      <c r="CD326" s="210"/>
      <c r="CE326" s="210"/>
      <c r="CF326" s="210"/>
      <c r="CG326" s="210"/>
      <c r="CH326" s="210"/>
      <c r="CI326" s="210"/>
      <c r="CJ326" s="210"/>
      <c r="CK326" s="210"/>
    </row>
    <row r="327">
      <c r="A327" s="222" t="s">
        <v>157</v>
      </c>
      <c r="B327" s="190" t="s">
        <v>158</v>
      </c>
      <c r="C327" s="223" t="s">
        <v>80</v>
      </c>
      <c r="D327" s="223" t="s">
        <v>873</v>
      </c>
      <c r="E327" s="190" t="s">
        <v>21</v>
      </c>
      <c r="F327" s="13" t="s">
        <v>927</v>
      </c>
      <c r="G327" s="190"/>
      <c r="H327" s="219">
        <f>IFERROR(
  MINIFS(ATTENDANCE_LOG!$F:$F,
         ATTENDANCE_LOG!$A:$A, C327,
         ATTENDANCE_LOG!$B:$B, E327),
"")</f>
        <v>45646.41667</v>
      </c>
      <c r="I327" s="219">
        <f t="shared" si="2"/>
        <v>45646.41667</v>
      </c>
      <c r="J327" s="190">
        <f>IFERROR(VLOOKUP(F327, LEVEL_HELPER!$A:$B, 2, 0), "")</f>
        <v>1</v>
      </c>
      <c r="K327" s="190" t="str">
        <f>IFERROR(VLOOKUP(G327, LEVEL_HELPER!$A:$B, 2, 0), "")</f>
        <v/>
      </c>
      <c r="L327" s="220" t="s">
        <v>919</v>
      </c>
      <c r="M327" s="229" t="s">
        <v>922</v>
      </c>
      <c r="N327" s="190">
        <f t="array" ref="N327">IFERROR(
  INDEX($J$2:$J$543,
    MATCH(A327&amp;TEXT(I327,"yyyy-mm-dd"),
          $A$2:$A$543&amp;TEXT($H$2:$H$543,"yyyy-mm-dd"),
          0)),
"")</f>
        <v>1</v>
      </c>
      <c r="O327" s="210">
        <f t="shared" si="3"/>
        <v>0</v>
      </c>
      <c r="P327" s="210">
        <f t="shared" ref="P327:Q327" si="337">IF(N327="",0,IF(N327&lt;=2,1,IF(N327&lt;=4,2,IF(N327&lt;=5.5,3,4))))</f>
        <v>1</v>
      </c>
      <c r="Q327" s="210">
        <f t="shared" si="337"/>
        <v>1</v>
      </c>
      <c r="R327" s="210" t="str">
        <f t="shared" si="5"/>
        <v>No Progress</v>
      </c>
      <c r="S327" s="210">
        <f t="shared" si="6"/>
        <v>1</v>
      </c>
      <c r="T327" s="210"/>
      <c r="U327" s="210"/>
      <c r="V327" s="210"/>
      <c r="W327" s="210"/>
      <c r="X327" s="210"/>
      <c r="Y327" s="210"/>
      <c r="Z327" s="210"/>
      <c r="AA327" s="210"/>
      <c r="AB327" s="210"/>
      <c r="AC327" s="210"/>
      <c r="AD327" s="210"/>
      <c r="AE327" s="210"/>
      <c r="AF327" s="210"/>
      <c r="AG327" s="210"/>
      <c r="AH327" s="210"/>
      <c r="AI327" s="210"/>
      <c r="AJ327" s="210"/>
      <c r="AK327" s="210"/>
      <c r="AL327" s="210"/>
      <c r="AM327" s="214"/>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c r="BU327" s="210"/>
      <c r="BV327" s="210"/>
      <c r="BW327" s="210"/>
      <c r="BX327" s="210"/>
      <c r="BY327" s="210"/>
      <c r="BZ327" s="210"/>
      <c r="CA327" s="210"/>
      <c r="CB327" s="210"/>
      <c r="CC327" s="210"/>
      <c r="CD327" s="210"/>
      <c r="CE327" s="210"/>
      <c r="CF327" s="210"/>
      <c r="CG327" s="210"/>
      <c r="CH327" s="210"/>
      <c r="CI327" s="210"/>
      <c r="CJ327" s="210"/>
      <c r="CK327" s="210"/>
    </row>
    <row r="328">
      <c r="A328" s="222" t="s">
        <v>194</v>
      </c>
      <c r="B328" s="190" t="s">
        <v>195</v>
      </c>
      <c r="C328" s="223" t="s">
        <v>80</v>
      </c>
      <c r="D328" s="223" t="s">
        <v>873</v>
      </c>
      <c r="E328" s="190" t="s">
        <v>21</v>
      </c>
      <c r="F328" s="13" t="s">
        <v>927</v>
      </c>
      <c r="G328" s="190"/>
      <c r="H328" s="219">
        <f>IFERROR(
  MINIFS(ATTENDANCE_LOG!$F:$F,
         ATTENDANCE_LOG!$A:$A, C328,
         ATTENDANCE_LOG!$B:$B, E328),
"")</f>
        <v>45646.41667</v>
      </c>
      <c r="I328" s="219">
        <f t="shared" si="2"/>
        <v>45646.41667</v>
      </c>
      <c r="J328" s="190">
        <f>IFERROR(VLOOKUP(F328, LEVEL_HELPER!$A:$B, 2, 0), "")</f>
        <v>1</v>
      </c>
      <c r="K328" s="190" t="str">
        <f>IFERROR(VLOOKUP(G328, LEVEL_HELPER!$A:$B, 2, 0), "")</f>
        <v/>
      </c>
      <c r="L328" s="220" t="s">
        <v>943</v>
      </c>
      <c r="M328" s="229" t="s">
        <v>922</v>
      </c>
      <c r="N328" s="190">
        <f t="array" ref="N328">IFERROR(
  INDEX($J$2:$J$543,
    MATCH(A328&amp;TEXT(I328,"yyyy-mm-dd"),
          $A$2:$A$543&amp;TEXT($H$2:$H$543,"yyyy-mm-dd"),
          0)),
"")</f>
        <v>1</v>
      </c>
      <c r="O328" s="210">
        <f t="shared" si="3"/>
        <v>0</v>
      </c>
      <c r="P328" s="210">
        <f t="shared" ref="P328:Q328" si="338">IF(N328="",0,IF(N328&lt;=2,1,IF(N328&lt;=4,2,IF(N328&lt;=5.5,3,4))))</f>
        <v>1</v>
      </c>
      <c r="Q328" s="210">
        <f t="shared" si="338"/>
        <v>1</v>
      </c>
      <c r="R328" s="210" t="str">
        <f t="shared" si="5"/>
        <v>No Progress</v>
      </c>
      <c r="S328" s="210">
        <f t="shared" si="6"/>
        <v>1</v>
      </c>
      <c r="T328" s="210"/>
      <c r="U328" s="210"/>
      <c r="V328" s="210"/>
      <c r="W328" s="210"/>
      <c r="X328" s="210"/>
      <c r="Y328" s="210"/>
      <c r="Z328" s="210"/>
      <c r="AA328" s="210"/>
      <c r="AB328" s="210"/>
      <c r="AC328" s="210"/>
      <c r="AD328" s="210"/>
      <c r="AE328" s="210"/>
      <c r="AF328" s="210"/>
      <c r="AG328" s="210"/>
      <c r="AH328" s="210"/>
      <c r="AI328" s="210"/>
      <c r="AJ328" s="210"/>
      <c r="AK328" s="210"/>
      <c r="AL328" s="210"/>
      <c r="AM328" s="214"/>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c r="BU328" s="210"/>
      <c r="BV328" s="210"/>
      <c r="BW328" s="210"/>
      <c r="BX328" s="210"/>
      <c r="BY328" s="210"/>
      <c r="BZ328" s="210"/>
      <c r="CA328" s="210"/>
      <c r="CB328" s="210"/>
      <c r="CC328" s="210"/>
      <c r="CD328" s="210"/>
      <c r="CE328" s="210"/>
      <c r="CF328" s="210"/>
      <c r="CG328" s="210"/>
      <c r="CH328" s="210"/>
      <c r="CI328" s="210"/>
      <c r="CJ328" s="210"/>
      <c r="CK328" s="210"/>
    </row>
    <row r="329">
      <c r="A329" s="222" t="s">
        <v>457</v>
      </c>
      <c r="B329" s="190" t="s">
        <v>458</v>
      </c>
      <c r="C329" s="223" t="s">
        <v>80</v>
      </c>
      <c r="D329" s="223" t="s">
        <v>873</v>
      </c>
      <c r="E329" s="190" t="s">
        <v>21</v>
      </c>
      <c r="F329" s="13" t="s">
        <v>917</v>
      </c>
      <c r="G329" s="190"/>
      <c r="H329" s="219">
        <f>IFERROR(
  MINIFS(ATTENDANCE_LOG!$F:$F,
         ATTENDANCE_LOG!$A:$A, C329,
         ATTENDANCE_LOG!$B:$B, E329),
"")</f>
        <v>45646.41667</v>
      </c>
      <c r="I329" s="219">
        <f t="shared" si="2"/>
        <v>45646.41667</v>
      </c>
      <c r="J329" s="190">
        <f>IFERROR(VLOOKUP(F329, LEVEL_HELPER!$A:$B, 2, 0), "")</f>
        <v>2.5</v>
      </c>
      <c r="K329" s="190" t="str">
        <f>IFERROR(VLOOKUP(G329, LEVEL_HELPER!$A:$B, 2, 0), "")</f>
        <v/>
      </c>
      <c r="L329" s="220" t="s">
        <v>919</v>
      </c>
      <c r="M329" s="229" t="s">
        <v>922</v>
      </c>
      <c r="N329" s="190">
        <f t="array" ref="N329">IFERROR(
  INDEX($J$2:$J$543,
    MATCH(A329&amp;TEXT(I329,"yyyy-mm-dd"),
          $A$2:$A$543&amp;TEXT($H$2:$H$543,"yyyy-mm-dd"),
          0)),
"")</f>
        <v>2.5</v>
      </c>
      <c r="O329" s="210">
        <f t="shared" si="3"/>
        <v>0</v>
      </c>
      <c r="P329" s="210">
        <f t="shared" ref="P329:Q329" si="339">IF(N329="",0,IF(N329&lt;=2,1,IF(N329&lt;=4,2,IF(N329&lt;=5.5,3,4))))</f>
        <v>2</v>
      </c>
      <c r="Q329" s="210">
        <f t="shared" si="339"/>
        <v>1</v>
      </c>
      <c r="R329" s="210" t="str">
        <f t="shared" si="5"/>
        <v>Regressed</v>
      </c>
      <c r="S329" s="210">
        <f t="shared" si="6"/>
        <v>1</v>
      </c>
      <c r="T329" s="210"/>
      <c r="U329" s="210"/>
      <c r="V329" s="210"/>
      <c r="W329" s="210"/>
      <c r="X329" s="210"/>
      <c r="Y329" s="210"/>
      <c r="Z329" s="210"/>
      <c r="AA329" s="210"/>
      <c r="AB329" s="210"/>
      <c r="AC329" s="210"/>
      <c r="AD329" s="210"/>
      <c r="AE329" s="210"/>
      <c r="AF329" s="210"/>
      <c r="AG329" s="210"/>
      <c r="AH329" s="210"/>
      <c r="AI329" s="210"/>
      <c r="AJ329" s="210"/>
      <c r="AK329" s="210"/>
      <c r="AL329" s="210"/>
      <c r="AM329" s="214"/>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c r="BU329" s="210"/>
      <c r="BV329" s="210"/>
      <c r="BW329" s="210"/>
      <c r="BX329" s="210"/>
      <c r="BY329" s="210"/>
      <c r="BZ329" s="210"/>
      <c r="CA329" s="210"/>
      <c r="CB329" s="210"/>
      <c r="CC329" s="210"/>
      <c r="CD329" s="210"/>
      <c r="CE329" s="210"/>
      <c r="CF329" s="210"/>
      <c r="CG329" s="210"/>
      <c r="CH329" s="210"/>
      <c r="CI329" s="210"/>
      <c r="CJ329" s="210"/>
      <c r="CK329" s="210"/>
    </row>
    <row r="330">
      <c r="A330" s="222" t="s">
        <v>541</v>
      </c>
      <c r="B330" s="190" t="s">
        <v>542</v>
      </c>
      <c r="C330" s="223" t="s">
        <v>80</v>
      </c>
      <c r="D330" s="223" t="s">
        <v>873</v>
      </c>
      <c r="E330" s="190" t="s">
        <v>21</v>
      </c>
      <c r="F330" s="13" t="s">
        <v>927</v>
      </c>
      <c r="G330" s="190"/>
      <c r="H330" s="219">
        <f>IFERROR(
  MINIFS(ATTENDANCE_LOG!$F:$F,
         ATTENDANCE_LOG!$A:$A, C330,
         ATTENDANCE_LOG!$B:$B, E330),
"")</f>
        <v>45646.41667</v>
      </c>
      <c r="I330" s="219">
        <f t="shared" si="2"/>
        <v>45646.41667</v>
      </c>
      <c r="J330" s="190">
        <f>IFERROR(VLOOKUP(F330, LEVEL_HELPER!$A:$B, 2, 0), "")</f>
        <v>1</v>
      </c>
      <c r="K330" s="190" t="str">
        <f>IFERROR(VLOOKUP(G330, LEVEL_HELPER!$A:$B, 2, 0), "")</f>
        <v/>
      </c>
      <c r="L330" s="220" t="s">
        <v>942</v>
      </c>
      <c r="M330" s="229" t="s">
        <v>922</v>
      </c>
      <c r="N330" s="190">
        <f t="array" ref="N330">IFERROR(
  INDEX($J$2:$J$543,
    MATCH(A330&amp;TEXT(I330,"yyyy-mm-dd"),
          $A$2:$A$543&amp;TEXT($H$2:$H$543,"yyyy-mm-dd"),
          0)),
"")</f>
        <v>1</v>
      </c>
      <c r="O330" s="210">
        <f t="shared" si="3"/>
        <v>0</v>
      </c>
      <c r="P330" s="210">
        <f t="shared" ref="P330:Q330" si="340">IF(N330="",0,IF(N330&lt;=2,1,IF(N330&lt;=4,2,IF(N330&lt;=5.5,3,4))))</f>
        <v>1</v>
      </c>
      <c r="Q330" s="210">
        <f t="shared" si="340"/>
        <v>1</v>
      </c>
      <c r="R330" s="210" t="str">
        <f t="shared" si="5"/>
        <v>No Progress</v>
      </c>
      <c r="S330" s="210">
        <f t="shared" si="6"/>
        <v>1</v>
      </c>
      <c r="T330" s="210"/>
      <c r="U330" s="210"/>
      <c r="V330" s="210"/>
      <c r="W330" s="210"/>
      <c r="X330" s="210"/>
      <c r="Y330" s="210"/>
      <c r="Z330" s="210"/>
      <c r="AA330" s="210"/>
      <c r="AB330" s="210"/>
      <c r="AC330" s="210"/>
      <c r="AD330" s="210"/>
      <c r="AE330" s="210"/>
      <c r="AF330" s="210"/>
      <c r="AG330" s="210"/>
      <c r="AH330" s="210"/>
      <c r="AI330" s="210"/>
      <c r="AJ330" s="210"/>
      <c r="AK330" s="210"/>
      <c r="AL330" s="210"/>
      <c r="AM330" s="214"/>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c r="BU330" s="210"/>
      <c r="BV330" s="210"/>
      <c r="BW330" s="210"/>
      <c r="BX330" s="210"/>
      <c r="BY330" s="210"/>
      <c r="BZ330" s="210"/>
      <c r="CA330" s="210"/>
      <c r="CB330" s="210"/>
      <c r="CC330" s="210"/>
      <c r="CD330" s="210"/>
      <c r="CE330" s="210"/>
      <c r="CF330" s="210"/>
      <c r="CG330" s="210"/>
      <c r="CH330" s="210"/>
      <c r="CI330" s="210"/>
      <c r="CJ330" s="210"/>
      <c r="CK330" s="210"/>
    </row>
    <row r="331">
      <c r="A331" s="222" t="s">
        <v>703</v>
      </c>
      <c r="B331" s="190" t="s">
        <v>704</v>
      </c>
      <c r="C331" s="223" t="s">
        <v>80</v>
      </c>
      <c r="D331" s="223" t="s">
        <v>873</v>
      </c>
      <c r="E331" s="190" t="s">
        <v>21</v>
      </c>
      <c r="F331" s="13" t="s">
        <v>927</v>
      </c>
      <c r="G331" s="190"/>
      <c r="H331" s="219">
        <f>IFERROR(
  MINIFS(ATTENDANCE_LOG!$F:$F,
         ATTENDANCE_LOG!$A:$A, C331,
         ATTENDANCE_LOG!$B:$B, E331),
"")</f>
        <v>45646.41667</v>
      </c>
      <c r="I331" s="219">
        <f t="shared" si="2"/>
        <v>45646.41667</v>
      </c>
      <c r="J331" s="190">
        <f>IFERROR(VLOOKUP(F331, LEVEL_HELPER!$A:$B, 2, 0), "")</f>
        <v>1</v>
      </c>
      <c r="K331" s="190" t="str">
        <f>IFERROR(VLOOKUP(G331, LEVEL_HELPER!$A:$B, 2, 0), "")</f>
        <v/>
      </c>
      <c r="L331" s="220" t="s">
        <v>943</v>
      </c>
      <c r="M331" s="229" t="s">
        <v>922</v>
      </c>
      <c r="N331" s="190">
        <f t="array" ref="N331">IFERROR(
  INDEX($J$2:$J$543,
    MATCH(A331&amp;TEXT(I331,"yyyy-mm-dd"),
          $A$2:$A$543&amp;TEXT($H$2:$H$543,"yyyy-mm-dd"),
          0)),
"")</f>
        <v>1</v>
      </c>
      <c r="O331" s="210">
        <f t="shared" si="3"/>
        <v>0</v>
      </c>
      <c r="P331" s="210">
        <f t="shared" ref="P331:Q331" si="341">IF(N331="",0,IF(N331&lt;=2,1,IF(N331&lt;=4,2,IF(N331&lt;=5.5,3,4))))</f>
        <v>1</v>
      </c>
      <c r="Q331" s="210">
        <f t="shared" si="341"/>
        <v>1</v>
      </c>
      <c r="R331" s="210" t="str">
        <f t="shared" si="5"/>
        <v>No Progress</v>
      </c>
      <c r="S331" s="210">
        <f t="shared" si="6"/>
        <v>1</v>
      </c>
      <c r="T331" s="210"/>
      <c r="U331" s="210"/>
      <c r="V331" s="210"/>
      <c r="W331" s="210"/>
      <c r="X331" s="210"/>
      <c r="Y331" s="210"/>
      <c r="Z331" s="210"/>
      <c r="AA331" s="210"/>
      <c r="AB331" s="210"/>
      <c r="AC331" s="210"/>
      <c r="AD331" s="210"/>
      <c r="AE331" s="210"/>
      <c r="AF331" s="210"/>
      <c r="AG331" s="210"/>
      <c r="AH331" s="210"/>
      <c r="AI331" s="210"/>
      <c r="AJ331" s="210"/>
      <c r="AK331" s="210"/>
      <c r="AL331" s="210"/>
      <c r="AM331" s="214"/>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c r="BU331" s="210"/>
      <c r="BV331" s="210"/>
      <c r="BW331" s="210"/>
      <c r="BX331" s="210"/>
      <c r="BY331" s="210"/>
      <c r="BZ331" s="210"/>
      <c r="CA331" s="210"/>
      <c r="CB331" s="210"/>
      <c r="CC331" s="210"/>
      <c r="CD331" s="210"/>
      <c r="CE331" s="210"/>
      <c r="CF331" s="210"/>
      <c r="CG331" s="210"/>
      <c r="CH331" s="210"/>
      <c r="CI331" s="210"/>
      <c r="CJ331" s="210"/>
      <c r="CK331" s="210"/>
    </row>
    <row r="332">
      <c r="A332" s="222" t="s">
        <v>707</v>
      </c>
      <c r="B332" s="190" t="s">
        <v>708</v>
      </c>
      <c r="C332" s="223" t="s">
        <v>80</v>
      </c>
      <c r="D332" s="223" t="s">
        <v>873</v>
      </c>
      <c r="E332" s="190" t="s">
        <v>21</v>
      </c>
      <c r="F332" s="13" t="s">
        <v>927</v>
      </c>
      <c r="G332" s="190"/>
      <c r="H332" s="219">
        <f>IFERROR(
  MINIFS(ATTENDANCE_LOG!$F:$F,
         ATTENDANCE_LOG!$A:$A, C332,
         ATTENDANCE_LOG!$B:$B, E332),
"")</f>
        <v>45646.41667</v>
      </c>
      <c r="I332" s="219">
        <f t="shared" si="2"/>
        <v>45646.41667</v>
      </c>
      <c r="J332" s="190">
        <f>IFERROR(VLOOKUP(F332, LEVEL_HELPER!$A:$B, 2, 0), "")</f>
        <v>1</v>
      </c>
      <c r="K332" s="190" t="str">
        <f>IFERROR(VLOOKUP(G332, LEVEL_HELPER!$A:$B, 2, 0), "")</f>
        <v/>
      </c>
      <c r="L332" s="220" t="s">
        <v>942</v>
      </c>
      <c r="M332" s="229" t="s">
        <v>922</v>
      </c>
      <c r="N332" s="190">
        <f t="array" ref="N332">IFERROR(
  INDEX($J$2:$J$543,
    MATCH(A332&amp;TEXT(I332,"yyyy-mm-dd"),
          $A$2:$A$543&amp;TEXT($H$2:$H$543,"yyyy-mm-dd"),
          0)),
"")</f>
        <v>1</v>
      </c>
      <c r="O332" s="210">
        <f t="shared" si="3"/>
        <v>0</v>
      </c>
      <c r="P332" s="210">
        <f t="shared" ref="P332:Q332" si="342">IF(N332="",0,IF(N332&lt;=2,1,IF(N332&lt;=4,2,IF(N332&lt;=5.5,3,4))))</f>
        <v>1</v>
      </c>
      <c r="Q332" s="210">
        <f t="shared" si="342"/>
        <v>1</v>
      </c>
      <c r="R332" s="210" t="str">
        <f t="shared" si="5"/>
        <v>No Progress</v>
      </c>
      <c r="S332" s="210">
        <f t="shared" si="6"/>
        <v>1</v>
      </c>
      <c r="T332" s="210"/>
      <c r="U332" s="210"/>
      <c r="V332" s="210"/>
      <c r="W332" s="210"/>
      <c r="X332" s="210"/>
      <c r="Y332" s="210"/>
      <c r="Z332" s="210"/>
      <c r="AA332" s="210"/>
      <c r="AB332" s="210"/>
      <c r="AC332" s="210"/>
      <c r="AD332" s="210"/>
      <c r="AE332" s="210"/>
      <c r="AF332" s="210"/>
      <c r="AG332" s="210"/>
      <c r="AH332" s="210"/>
      <c r="AI332" s="210"/>
      <c r="AJ332" s="210"/>
      <c r="AK332" s="210"/>
      <c r="AL332" s="210"/>
      <c r="AM332" s="214"/>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c r="BU332" s="210"/>
      <c r="BV332" s="210"/>
      <c r="BW332" s="210"/>
      <c r="BX332" s="210"/>
      <c r="BY332" s="210"/>
      <c r="BZ332" s="210"/>
      <c r="CA332" s="210"/>
      <c r="CB332" s="210"/>
      <c r="CC332" s="210"/>
      <c r="CD332" s="210"/>
      <c r="CE332" s="210"/>
      <c r="CF332" s="210"/>
      <c r="CG332" s="210"/>
      <c r="CH332" s="210"/>
      <c r="CI332" s="210"/>
      <c r="CJ332" s="210"/>
      <c r="CK332" s="210"/>
    </row>
    <row r="333">
      <c r="A333" s="222" t="s">
        <v>512</v>
      </c>
      <c r="B333" s="217" t="s">
        <v>513</v>
      </c>
      <c r="C333" s="218" t="s">
        <v>81</v>
      </c>
      <c r="D333" s="218" t="s">
        <v>874</v>
      </c>
      <c r="E333" s="217" t="s">
        <v>21</v>
      </c>
      <c r="F333" s="13" t="s">
        <v>927</v>
      </c>
      <c r="G333" s="13" t="s">
        <v>917</v>
      </c>
      <c r="H333" s="219">
        <f>IFERROR(
  MINIFS(ATTENDANCE_LOG!$F:$F,
         ATTENDANCE_LOG!$A:$A, C333,
         ATTENDANCE_LOG!$B:$B, E333),
"")</f>
        <v>45765.41667</v>
      </c>
      <c r="I333" s="219">
        <f t="shared" si="2"/>
        <v>45765.41667</v>
      </c>
      <c r="J333" s="190">
        <f>IFERROR(VLOOKUP(F333, LEVEL_HELPER!$A:$B, 2, 0), "")</f>
        <v>1</v>
      </c>
      <c r="K333" s="190">
        <f>IFERROR(VLOOKUP(G333, LEVEL_HELPER!$A:$B, 2, 0), "")</f>
        <v>2.5</v>
      </c>
      <c r="L333" s="220" t="s">
        <v>943</v>
      </c>
      <c r="M333" s="220" t="s">
        <v>924</v>
      </c>
      <c r="N333" s="190">
        <f t="array" ref="N333">IFERROR(
  INDEX($J$2:$J$543,
    MATCH(A333&amp;TEXT(I333,"yyyy-mm-dd"),
          $A$2:$A$543&amp;TEXT($H$2:$H$543,"yyyy-mm-dd"),
          0)),
"")</f>
        <v>1</v>
      </c>
      <c r="O333" s="210">
        <f t="shared" si="3"/>
        <v>2.5</v>
      </c>
      <c r="P333" s="210">
        <f t="shared" ref="P333:Q333" si="343">IF(N333="",0,IF(N333&lt;=2,1,IF(N333&lt;=4,2,IF(N333&lt;=5.5,3,4))))</f>
        <v>1</v>
      </c>
      <c r="Q333" s="210">
        <f t="shared" si="343"/>
        <v>2</v>
      </c>
      <c r="R333" s="210" t="str">
        <f t="shared" si="5"/>
        <v>Lv1 → Lv2</v>
      </c>
      <c r="S333" s="210">
        <f t="shared" si="6"/>
        <v>1</v>
      </c>
      <c r="T333" s="210"/>
      <c r="U333" s="210"/>
      <c r="V333" s="210"/>
      <c r="W333" s="210"/>
      <c r="X333" s="210"/>
      <c r="Y333" s="210"/>
      <c r="Z333" s="210"/>
      <c r="AA333" s="210"/>
      <c r="AB333" s="210"/>
      <c r="AC333" s="210"/>
      <c r="AD333" s="210"/>
      <c r="AE333" s="210"/>
      <c r="AF333" s="210"/>
      <c r="AG333" s="210"/>
      <c r="AH333" s="210"/>
      <c r="AI333" s="210"/>
      <c r="AJ333" s="210"/>
      <c r="AK333" s="210"/>
      <c r="AL333" s="210"/>
      <c r="AM333" s="214"/>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c r="BU333" s="210"/>
      <c r="BV333" s="210"/>
      <c r="BW333" s="210"/>
      <c r="BX333" s="210"/>
      <c r="BY333" s="210"/>
      <c r="BZ333" s="210"/>
      <c r="CA333" s="210"/>
      <c r="CB333" s="210"/>
      <c r="CC333" s="210"/>
      <c r="CD333" s="210"/>
      <c r="CE333" s="210"/>
      <c r="CF333" s="210"/>
      <c r="CG333" s="210"/>
      <c r="CH333" s="210"/>
      <c r="CI333" s="210"/>
      <c r="CJ333" s="210"/>
      <c r="CK333" s="210"/>
    </row>
    <row r="334">
      <c r="A334" s="222" t="s">
        <v>524</v>
      </c>
      <c r="B334" s="190" t="s">
        <v>525</v>
      </c>
      <c r="C334" s="223" t="s">
        <v>81</v>
      </c>
      <c r="D334" s="223" t="s">
        <v>874</v>
      </c>
      <c r="E334" s="190" t="s">
        <v>21</v>
      </c>
      <c r="F334" s="13" t="s">
        <v>25</v>
      </c>
      <c r="G334" s="13" t="s">
        <v>929</v>
      </c>
      <c r="H334" s="219">
        <f>IFERROR(
  MINIFS(ATTENDANCE_LOG!$F:$F,
         ATTENDANCE_LOG!$A:$A, C334,
         ATTENDANCE_LOG!$B:$B, E334),
"")</f>
        <v>45765.41667</v>
      </c>
      <c r="I334" s="219">
        <f t="shared" si="2"/>
        <v>45765.41667</v>
      </c>
      <c r="J334" s="190">
        <f>IFERROR(VLOOKUP(F334, LEVEL_HELPER!$A:$B, 2, 0), "")</f>
        <v>0.5</v>
      </c>
      <c r="K334" s="190">
        <f>IFERROR(VLOOKUP(G334, LEVEL_HELPER!$A:$B, 2, 0), "")</f>
        <v>1.5</v>
      </c>
      <c r="L334" s="220" t="s">
        <v>943</v>
      </c>
      <c r="M334" s="220" t="s">
        <v>924</v>
      </c>
      <c r="N334" s="190">
        <f t="array" ref="N334">IFERROR(
  INDEX($J$2:$J$543,
    MATCH(A334&amp;TEXT(I334,"yyyy-mm-dd"),
          $A$2:$A$543&amp;TEXT($H$2:$H$543,"yyyy-mm-dd"),
          0)),
"")</f>
        <v>0.5</v>
      </c>
      <c r="O334" s="210">
        <f t="shared" si="3"/>
        <v>3.5</v>
      </c>
      <c r="P334" s="210">
        <f t="shared" ref="P334:Q334" si="344">IF(N334="",0,IF(N334&lt;=2,1,IF(N334&lt;=4,2,IF(N334&lt;=5.5,3,4))))</f>
        <v>1</v>
      </c>
      <c r="Q334" s="210">
        <f t="shared" si="344"/>
        <v>2</v>
      </c>
      <c r="R334" s="210" t="str">
        <f t="shared" si="5"/>
        <v>Lv1 → Lv2</v>
      </c>
      <c r="S334" s="210">
        <f t="shared" si="6"/>
        <v>1</v>
      </c>
      <c r="T334" s="210"/>
      <c r="U334" s="210"/>
      <c r="V334" s="210"/>
      <c r="W334" s="210"/>
      <c r="X334" s="210"/>
      <c r="Y334" s="210"/>
      <c r="Z334" s="210"/>
      <c r="AA334" s="210"/>
      <c r="AB334" s="210"/>
      <c r="AC334" s="210"/>
      <c r="AD334" s="210"/>
      <c r="AE334" s="210"/>
      <c r="AF334" s="210"/>
      <c r="AG334" s="210"/>
      <c r="AH334" s="210"/>
      <c r="AI334" s="210"/>
      <c r="AJ334" s="210"/>
      <c r="AK334" s="210"/>
      <c r="AL334" s="210"/>
      <c r="AM334" s="214"/>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c r="BU334" s="210"/>
      <c r="BV334" s="210"/>
      <c r="BW334" s="210"/>
      <c r="BX334" s="210"/>
      <c r="BY334" s="210"/>
      <c r="BZ334" s="210"/>
      <c r="CA334" s="210"/>
      <c r="CB334" s="210"/>
      <c r="CC334" s="210"/>
      <c r="CD334" s="210"/>
      <c r="CE334" s="210"/>
      <c r="CF334" s="210"/>
      <c r="CG334" s="210"/>
      <c r="CH334" s="210"/>
      <c r="CI334" s="210"/>
      <c r="CJ334" s="210"/>
      <c r="CK334" s="210"/>
    </row>
    <row r="335">
      <c r="A335" s="222" t="s">
        <v>530</v>
      </c>
      <c r="B335" s="190" t="s">
        <v>531</v>
      </c>
      <c r="C335" s="223" t="s">
        <v>81</v>
      </c>
      <c r="D335" s="223" t="s">
        <v>874</v>
      </c>
      <c r="E335" s="190" t="s">
        <v>21</v>
      </c>
      <c r="F335" s="13" t="s">
        <v>927</v>
      </c>
      <c r="G335" s="13" t="s">
        <v>918</v>
      </c>
      <c r="H335" s="219">
        <f>IFERROR(
  MINIFS(ATTENDANCE_LOG!$F:$F,
         ATTENDANCE_LOG!$A:$A, C335,
         ATTENDANCE_LOG!$B:$B, E335),
"")</f>
        <v>45765.41667</v>
      </c>
      <c r="I335" s="219">
        <f t="shared" si="2"/>
        <v>45765.41667</v>
      </c>
      <c r="J335" s="190">
        <f>IFERROR(VLOOKUP(F335, LEVEL_HELPER!$A:$B, 2, 0), "")</f>
        <v>1</v>
      </c>
      <c r="K335" s="190">
        <f>IFERROR(VLOOKUP(G335, LEVEL_HELPER!$A:$B, 2, 0), "")</f>
        <v>3</v>
      </c>
      <c r="L335" s="220" t="s">
        <v>943</v>
      </c>
      <c r="M335" s="220" t="s">
        <v>924</v>
      </c>
      <c r="N335" s="190">
        <f t="array" ref="N335">IFERROR(
  INDEX($J$2:$J$543,
    MATCH(A335&amp;TEXT(I335,"yyyy-mm-dd"),
          $A$2:$A$543&amp;TEXT($H$2:$H$543,"yyyy-mm-dd"),
          0)),
"")</f>
        <v>1</v>
      </c>
      <c r="O335" s="210">
        <f t="shared" si="3"/>
        <v>5</v>
      </c>
      <c r="P335" s="210">
        <f t="shared" ref="P335:Q335" si="345">IF(N335="",0,IF(N335&lt;=2,1,IF(N335&lt;=4,2,IF(N335&lt;=5.5,3,4))))</f>
        <v>1</v>
      </c>
      <c r="Q335" s="210">
        <f t="shared" si="345"/>
        <v>3</v>
      </c>
      <c r="R335" s="210" t="str">
        <f t="shared" si="5"/>
        <v>Lv1 → Lv3 (multi)</v>
      </c>
      <c r="S335" s="210">
        <f t="shared" si="6"/>
        <v>1</v>
      </c>
      <c r="T335" s="210"/>
      <c r="U335" s="210"/>
      <c r="V335" s="210"/>
      <c r="W335" s="210"/>
      <c r="X335" s="210"/>
      <c r="Y335" s="210"/>
      <c r="Z335" s="210"/>
      <c r="AA335" s="210"/>
      <c r="AB335" s="210"/>
      <c r="AC335" s="210"/>
      <c r="AD335" s="210"/>
      <c r="AE335" s="210"/>
      <c r="AF335" s="210"/>
      <c r="AG335" s="210"/>
      <c r="AH335" s="210"/>
      <c r="AI335" s="210"/>
      <c r="AJ335" s="210"/>
      <c r="AK335" s="210"/>
      <c r="AL335" s="210"/>
      <c r="AM335" s="214"/>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c r="BU335" s="210"/>
      <c r="BV335" s="210"/>
      <c r="BW335" s="210"/>
      <c r="BX335" s="210"/>
      <c r="BY335" s="210"/>
      <c r="BZ335" s="210"/>
      <c r="CA335" s="210"/>
      <c r="CB335" s="210"/>
      <c r="CC335" s="210"/>
      <c r="CD335" s="210"/>
      <c r="CE335" s="210"/>
      <c r="CF335" s="210"/>
      <c r="CG335" s="210"/>
      <c r="CH335" s="210"/>
      <c r="CI335" s="210"/>
      <c r="CJ335" s="210"/>
      <c r="CK335" s="210"/>
    </row>
    <row r="336">
      <c r="A336" s="222" t="s">
        <v>621</v>
      </c>
      <c r="B336" s="190" t="s">
        <v>622</v>
      </c>
      <c r="C336" s="223" t="s">
        <v>81</v>
      </c>
      <c r="D336" s="223" t="s">
        <v>874</v>
      </c>
      <c r="E336" s="190" t="s">
        <v>21</v>
      </c>
      <c r="F336" s="13" t="s">
        <v>927</v>
      </c>
      <c r="G336" s="13" t="s">
        <v>935</v>
      </c>
      <c r="H336" s="219">
        <f>IFERROR(
  MINIFS(ATTENDANCE_LOG!$F:$F,
         ATTENDANCE_LOG!$A:$A, C336,
         ATTENDANCE_LOG!$B:$B, E336),
"")</f>
        <v>45765.41667</v>
      </c>
      <c r="I336" s="219">
        <f t="shared" si="2"/>
        <v>45765.41667</v>
      </c>
      <c r="J336" s="190">
        <f>IFERROR(VLOOKUP(F336, LEVEL_HELPER!$A:$B, 2, 0), "")</f>
        <v>1</v>
      </c>
      <c r="K336" s="190">
        <f>IFERROR(VLOOKUP(G336, LEVEL_HELPER!$A:$B, 2, 0), "")</f>
        <v>3.5</v>
      </c>
      <c r="L336" s="220" t="s">
        <v>943</v>
      </c>
      <c r="M336" s="220" t="s">
        <v>924</v>
      </c>
      <c r="N336" s="190">
        <f t="array" ref="N336">IFERROR(
  INDEX($J$2:$J$543,
    MATCH(A336&amp;TEXT(I336,"yyyy-mm-dd"),
          $A$2:$A$543&amp;TEXT($H$2:$H$543,"yyyy-mm-dd"),
          0)),
"")</f>
        <v>1</v>
      </c>
      <c r="O336" s="210">
        <f t="shared" si="3"/>
        <v>5</v>
      </c>
      <c r="P336" s="210">
        <f t="shared" ref="P336:Q336" si="346">IF(N336="",0,IF(N336&lt;=2,1,IF(N336&lt;=4,2,IF(N336&lt;=5.5,3,4))))</f>
        <v>1</v>
      </c>
      <c r="Q336" s="210">
        <f t="shared" si="346"/>
        <v>3</v>
      </c>
      <c r="R336" s="210" t="str">
        <f t="shared" si="5"/>
        <v>Lv1 → Lv3 (multi)</v>
      </c>
      <c r="S336" s="210">
        <f t="shared" si="6"/>
        <v>1</v>
      </c>
      <c r="T336" s="210"/>
      <c r="U336" s="210"/>
      <c r="V336" s="210"/>
      <c r="W336" s="210"/>
      <c r="X336" s="210"/>
      <c r="Y336" s="210"/>
      <c r="Z336" s="210"/>
      <c r="AA336" s="210"/>
      <c r="AB336" s="210"/>
      <c r="AC336" s="210"/>
      <c r="AD336" s="210"/>
      <c r="AE336" s="210"/>
      <c r="AF336" s="210"/>
      <c r="AG336" s="210"/>
      <c r="AH336" s="210"/>
      <c r="AI336" s="210"/>
      <c r="AJ336" s="210"/>
      <c r="AK336" s="210"/>
      <c r="AL336" s="210"/>
      <c r="AM336" s="214"/>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c r="BU336" s="210"/>
      <c r="BV336" s="210"/>
      <c r="BW336" s="210"/>
      <c r="BX336" s="210"/>
      <c r="BY336" s="210"/>
      <c r="BZ336" s="210"/>
      <c r="CA336" s="210"/>
      <c r="CB336" s="210"/>
      <c r="CC336" s="210"/>
      <c r="CD336" s="210"/>
      <c r="CE336" s="210"/>
      <c r="CF336" s="210"/>
      <c r="CG336" s="210"/>
      <c r="CH336" s="210"/>
      <c r="CI336" s="210"/>
      <c r="CJ336" s="210"/>
      <c r="CK336" s="210"/>
    </row>
    <row r="337">
      <c r="A337" s="222" t="s">
        <v>526</v>
      </c>
      <c r="B337" s="217" t="s">
        <v>527</v>
      </c>
      <c r="C337" s="218" t="s">
        <v>82</v>
      </c>
      <c r="D337" s="218" t="s">
        <v>875</v>
      </c>
      <c r="E337" s="217" t="s">
        <v>21</v>
      </c>
      <c r="F337" s="13" t="s">
        <v>927</v>
      </c>
      <c r="G337" s="13" t="s">
        <v>927</v>
      </c>
      <c r="H337" s="219">
        <f>IFERROR(
  MINIFS(ATTENDANCE_LOG!$F:$F,
         ATTENDANCE_LOG!$A:$A, C337,
         ATTENDANCE_LOG!$B:$B, E337),
"")</f>
        <v>45765.58333</v>
      </c>
      <c r="I337" s="219">
        <f t="shared" si="2"/>
        <v>45765.58333</v>
      </c>
      <c r="J337" s="190">
        <f>IFERROR(VLOOKUP(F337, LEVEL_HELPER!$A:$B, 2, 0), "")</f>
        <v>1</v>
      </c>
      <c r="K337" s="190">
        <f>IFERROR(VLOOKUP(G337, LEVEL_HELPER!$A:$B, 2, 0), "")</f>
        <v>1</v>
      </c>
      <c r="L337" s="220" t="s">
        <v>943</v>
      </c>
      <c r="M337" s="220" t="s">
        <v>924</v>
      </c>
      <c r="N337" s="190">
        <f t="array" ref="N337">IFERROR(
  INDEX($J$2:$J$543,
    MATCH(A337&amp;TEXT(I337,"yyyy-mm-dd"),
          $A$2:$A$543&amp;TEXT($H$2:$H$543,"yyyy-mm-dd"),
          0)),
"")</f>
        <v>1</v>
      </c>
      <c r="O337" s="210">
        <f t="shared" si="3"/>
        <v>3</v>
      </c>
      <c r="P337" s="210">
        <f t="shared" ref="P337:Q337" si="347">IF(N337="",0,IF(N337&lt;=2,1,IF(N337&lt;=4,2,IF(N337&lt;=5.5,3,4))))</f>
        <v>1</v>
      </c>
      <c r="Q337" s="210">
        <f t="shared" si="347"/>
        <v>2</v>
      </c>
      <c r="R337" s="210" t="str">
        <f t="shared" si="5"/>
        <v>Lv1 → Lv2</v>
      </c>
      <c r="S337" s="210">
        <f t="shared" si="6"/>
        <v>1</v>
      </c>
      <c r="T337" s="210"/>
      <c r="U337" s="210"/>
      <c r="V337" s="210"/>
      <c r="W337" s="210"/>
      <c r="X337" s="210"/>
      <c r="Y337" s="210"/>
      <c r="Z337" s="210"/>
      <c r="AA337" s="210"/>
      <c r="AB337" s="210"/>
      <c r="AC337" s="210"/>
      <c r="AD337" s="210"/>
      <c r="AE337" s="210"/>
      <c r="AF337" s="210"/>
      <c r="AG337" s="210"/>
      <c r="AH337" s="210"/>
      <c r="AI337" s="210"/>
      <c r="AJ337" s="210"/>
      <c r="AK337" s="210"/>
      <c r="AL337" s="210"/>
      <c r="AM337" s="214"/>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c r="BU337" s="210"/>
      <c r="BV337" s="210"/>
      <c r="BW337" s="210"/>
      <c r="BX337" s="210"/>
      <c r="BY337" s="210"/>
      <c r="BZ337" s="210"/>
      <c r="CA337" s="210"/>
      <c r="CB337" s="210"/>
      <c r="CC337" s="210"/>
      <c r="CD337" s="210"/>
      <c r="CE337" s="210"/>
      <c r="CF337" s="210"/>
      <c r="CG337" s="210"/>
      <c r="CH337" s="210"/>
      <c r="CI337" s="210"/>
      <c r="CJ337" s="210"/>
      <c r="CK337" s="210"/>
    </row>
    <row r="338">
      <c r="A338" s="222" t="s">
        <v>271</v>
      </c>
      <c r="B338" s="190" t="s">
        <v>272</v>
      </c>
      <c r="C338" s="223" t="s">
        <v>82</v>
      </c>
      <c r="D338" s="223" t="s">
        <v>875</v>
      </c>
      <c r="E338" s="190" t="s">
        <v>21</v>
      </c>
      <c r="F338" s="13" t="s">
        <v>927</v>
      </c>
      <c r="G338" s="13" t="s">
        <v>927</v>
      </c>
      <c r="H338" s="219">
        <f>IFERROR(
  MINIFS(ATTENDANCE_LOG!$F:$F,
         ATTENDANCE_LOG!$A:$A, C338,
         ATTENDANCE_LOG!$B:$B, E338),
"")</f>
        <v>45765.58333</v>
      </c>
      <c r="I338" s="219">
        <f t="shared" si="2"/>
        <v>45765.58333</v>
      </c>
      <c r="J338" s="190">
        <f>IFERROR(VLOOKUP(F338, LEVEL_HELPER!$A:$B, 2, 0), "")</f>
        <v>1</v>
      </c>
      <c r="K338" s="190">
        <f>IFERROR(VLOOKUP(G338, LEVEL_HELPER!$A:$B, 2, 0), "")</f>
        <v>1</v>
      </c>
      <c r="L338" s="220" t="s">
        <v>943</v>
      </c>
      <c r="M338" s="220" t="s">
        <v>926</v>
      </c>
      <c r="N338" s="190">
        <f t="array" ref="N338">IFERROR(
  INDEX($J$2:$J$543,
    MATCH(A338&amp;TEXT(I338,"yyyy-mm-dd"),
          $A$2:$A$543&amp;TEXT($H$2:$H$543,"yyyy-mm-dd"),
          0)),
"")</f>
        <v>1</v>
      </c>
      <c r="O338" s="210">
        <f t="shared" si="3"/>
        <v>1</v>
      </c>
      <c r="P338" s="210">
        <f t="shared" ref="P338:Q338" si="348">IF(N338="",0,IF(N338&lt;=2,1,IF(N338&lt;=4,2,IF(N338&lt;=5.5,3,4))))</f>
        <v>1</v>
      </c>
      <c r="Q338" s="210">
        <f t="shared" si="348"/>
        <v>1</v>
      </c>
      <c r="R338" s="210" t="str">
        <f t="shared" si="5"/>
        <v>No Progress</v>
      </c>
      <c r="S338" s="210">
        <f t="shared" si="6"/>
        <v>1</v>
      </c>
      <c r="T338" s="210"/>
      <c r="U338" s="210"/>
      <c r="V338" s="210"/>
      <c r="W338" s="210"/>
      <c r="X338" s="210"/>
      <c r="Y338" s="210"/>
      <c r="Z338" s="210"/>
      <c r="AA338" s="210"/>
      <c r="AB338" s="210"/>
      <c r="AC338" s="210"/>
      <c r="AD338" s="210"/>
      <c r="AE338" s="210"/>
      <c r="AF338" s="210"/>
      <c r="AG338" s="210"/>
      <c r="AH338" s="210"/>
      <c r="AI338" s="210"/>
      <c r="AJ338" s="210"/>
      <c r="AK338" s="210"/>
      <c r="AL338" s="210"/>
      <c r="AM338" s="214"/>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c r="BU338" s="210"/>
      <c r="BV338" s="210"/>
      <c r="BW338" s="210"/>
      <c r="BX338" s="210"/>
      <c r="BY338" s="210"/>
      <c r="BZ338" s="210"/>
      <c r="CA338" s="210"/>
      <c r="CB338" s="210"/>
      <c r="CC338" s="210"/>
      <c r="CD338" s="210"/>
      <c r="CE338" s="210"/>
      <c r="CF338" s="210"/>
      <c r="CG338" s="210"/>
      <c r="CH338" s="210"/>
      <c r="CI338" s="210"/>
      <c r="CJ338" s="210"/>
      <c r="CK338" s="210"/>
    </row>
    <row r="339">
      <c r="A339" s="222" t="s">
        <v>279</v>
      </c>
      <c r="B339" s="190" t="s">
        <v>280</v>
      </c>
      <c r="C339" s="223" t="s">
        <v>82</v>
      </c>
      <c r="D339" s="223" t="s">
        <v>875</v>
      </c>
      <c r="E339" s="190" t="s">
        <v>21</v>
      </c>
      <c r="F339" s="13" t="s">
        <v>927</v>
      </c>
      <c r="G339" s="13" t="s">
        <v>918</v>
      </c>
      <c r="H339" s="219">
        <f>IFERROR(
  MINIFS(ATTENDANCE_LOG!$F:$F,
         ATTENDANCE_LOG!$A:$A, C339,
         ATTENDANCE_LOG!$B:$B, E339),
"")</f>
        <v>45765.58333</v>
      </c>
      <c r="I339" s="219">
        <f t="shared" si="2"/>
        <v>45765.58333</v>
      </c>
      <c r="J339" s="190">
        <f>IFERROR(VLOOKUP(F339, LEVEL_HELPER!$A:$B, 2, 0), "")</f>
        <v>1</v>
      </c>
      <c r="K339" s="190">
        <f>IFERROR(VLOOKUP(G339, LEVEL_HELPER!$A:$B, 2, 0), "")</f>
        <v>3</v>
      </c>
      <c r="L339" s="220" t="s">
        <v>943</v>
      </c>
      <c r="M339" s="220" t="s">
        <v>924</v>
      </c>
      <c r="N339" s="190">
        <f t="array" ref="N339">IFERROR(
  INDEX($J$2:$J$543,
    MATCH(A339&amp;TEXT(I339,"yyyy-mm-dd"),
          $A$2:$A$543&amp;TEXT($H$2:$H$543,"yyyy-mm-dd"),
          0)),
"")</f>
        <v>1</v>
      </c>
      <c r="O339" s="210">
        <f t="shared" si="3"/>
        <v>3</v>
      </c>
      <c r="P339" s="210">
        <f t="shared" ref="P339:Q339" si="349">IF(N339="",0,IF(N339&lt;=2,1,IF(N339&lt;=4,2,IF(N339&lt;=5.5,3,4))))</f>
        <v>1</v>
      </c>
      <c r="Q339" s="210">
        <f t="shared" si="349"/>
        <v>2</v>
      </c>
      <c r="R339" s="210" t="str">
        <f t="shared" si="5"/>
        <v>Lv1 → Lv2</v>
      </c>
      <c r="S339" s="210">
        <f t="shared" si="6"/>
        <v>1</v>
      </c>
      <c r="T339" s="210"/>
      <c r="U339" s="210"/>
      <c r="V339" s="210"/>
      <c r="W339" s="210"/>
      <c r="X339" s="210"/>
      <c r="Y339" s="210"/>
      <c r="Z339" s="210"/>
      <c r="AA339" s="210"/>
      <c r="AB339" s="210"/>
      <c r="AC339" s="210"/>
      <c r="AD339" s="210"/>
      <c r="AE339" s="210"/>
      <c r="AF339" s="210"/>
      <c r="AG339" s="210"/>
      <c r="AH339" s="210"/>
      <c r="AI339" s="210"/>
      <c r="AJ339" s="210"/>
      <c r="AK339" s="210"/>
      <c r="AL339" s="210"/>
      <c r="AM339" s="214"/>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c r="BU339" s="210"/>
      <c r="BV339" s="210"/>
      <c r="BW339" s="210"/>
      <c r="BX339" s="210"/>
      <c r="BY339" s="210"/>
      <c r="BZ339" s="210"/>
      <c r="CA339" s="210"/>
      <c r="CB339" s="210"/>
      <c r="CC339" s="210"/>
      <c r="CD339" s="210"/>
      <c r="CE339" s="210"/>
      <c r="CF339" s="210"/>
      <c r="CG339" s="210"/>
      <c r="CH339" s="210"/>
      <c r="CI339" s="210"/>
      <c r="CJ339" s="210"/>
      <c r="CK339" s="210"/>
    </row>
    <row r="340">
      <c r="A340" s="222" t="s">
        <v>300</v>
      </c>
      <c r="B340" s="190" t="s">
        <v>301</v>
      </c>
      <c r="C340" s="223" t="s">
        <v>82</v>
      </c>
      <c r="D340" s="223" t="s">
        <v>875</v>
      </c>
      <c r="E340" s="190" t="s">
        <v>21</v>
      </c>
      <c r="F340" s="13" t="s">
        <v>927</v>
      </c>
      <c r="G340" s="13" t="s">
        <v>918</v>
      </c>
      <c r="H340" s="219">
        <f>IFERROR(
  MINIFS(ATTENDANCE_LOG!$F:$F,
         ATTENDANCE_LOG!$A:$A, C340,
         ATTENDANCE_LOG!$B:$B, E340),
"")</f>
        <v>45765.58333</v>
      </c>
      <c r="I340" s="219">
        <f t="shared" si="2"/>
        <v>45765.58333</v>
      </c>
      <c r="J340" s="190">
        <f>IFERROR(VLOOKUP(F340, LEVEL_HELPER!$A:$B, 2, 0), "")</f>
        <v>1</v>
      </c>
      <c r="K340" s="190">
        <f>IFERROR(VLOOKUP(G340, LEVEL_HELPER!$A:$B, 2, 0), "")</f>
        <v>3</v>
      </c>
      <c r="L340" s="220" t="s">
        <v>943</v>
      </c>
      <c r="M340" s="220" t="s">
        <v>924</v>
      </c>
      <c r="N340" s="190">
        <f t="array" ref="N340">IFERROR(
  INDEX($J$2:$J$543,
    MATCH(A340&amp;TEXT(I340,"yyyy-mm-dd"),
          $A$2:$A$543&amp;TEXT($H$2:$H$543,"yyyy-mm-dd"),
          0)),
"")</f>
        <v>1</v>
      </c>
      <c r="O340" s="210">
        <f t="shared" si="3"/>
        <v>5</v>
      </c>
      <c r="P340" s="210">
        <f t="shared" ref="P340:Q340" si="350">IF(N340="",0,IF(N340&lt;=2,1,IF(N340&lt;=4,2,IF(N340&lt;=5.5,3,4))))</f>
        <v>1</v>
      </c>
      <c r="Q340" s="210">
        <f t="shared" si="350"/>
        <v>3</v>
      </c>
      <c r="R340" s="210" t="str">
        <f t="shared" si="5"/>
        <v>Lv1 → Lv3 (multi)</v>
      </c>
      <c r="S340" s="210">
        <f t="shared" si="6"/>
        <v>1</v>
      </c>
      <c r="T340" s="210"/>
      <c r="U340" s="210"/>
      <c r="V340" s="210"/>
      <c r="W340" s="210"/>
      <c r="X340" s="210"/>
      <c r="Y340" s="210"/>
      <c r="Z340" s="210"/>
      <c r="AA340" s="210"/>
      <c r="AB340" s="210"/>
      <c r="AC340" s="210"/>
      <c r="AD340" s="210"/>
      <c r="AE340" s="210"/>
      <c r="AF340" s="210"/>
      <c r="AG340" s="210"/>
      <c r="AH340" s="210"/>
      <c r="AI340" s="210"/>
      <c r="AJ340" s="210"/>
      <c r="AK340" s="210"/>
      <c r="AL340" s="210"/>
      <c r="AM340" s="214"/>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c r="BU340" s="210"/>
      <c r="BV340" s="210"/>
      <c r="BW340" s="210"/>
      <c r="BX340" s="210"/>
      <c r="BY340" s="210"/>
      <c r="BZ340" s="210"/>
      <c r="CA340" s="210"/>
      <c r="CB340" s="210"/>
      <c r="CC340" s="210"/>
      <c r="CD340" s="210"/>
      <c r="CE340" s="210"/>
      <c r="CF340" s="210"/>
      <c r="CG340" s="210"/>
      <c r="CH340" s="210"/>
      <c r="CI340" s="210"/>
      <c r="CJ340" s="210"/>
      <c r="CK340" s="210"/>
    </row>
    <row r="341">
      <c r="A341" s="222" t="s">
        <v>350</v>
      </c>
      <c r="B341" s="190" t="s">
        <v>351</v>
      </c>
      <c r="C341" s="223" t="s">
        <v>82</v>
      </c>
      <c r="D341" s="223" t="s">
        <v>875</v>
      </c>
      <c r="E341" s="190" t="s">
        <v>21</v>
      </c>
      <c r="F341" s="13" t="s">
        <v>927</v>
      </c>
      <c r="G341" s="13" t="s">
        <v>927</v>
      </c>
      <c r="H341" s="219">
        <f>IFERROR(
  MINIFS(ATTENDANCE_LOG!$F:$F,
         ATTENDANCE_LOG!$A:$A, C341,
         ATTENDANCE_LOG!$B:$B, E341),
"")</f>
        <v>45765.58333</v>
      </c>
      <c r="I341" s="219">
        <f t="shared" si="2"/>
        <v>45765.58333</v>
      </c>
      <c r="J341" s="190">
        <f>IFERROR(VLOOKUP(F341, LEVEL_HELPER!$A:$B, 2, 0), "")</f>
        <v>1</v>
      </c>
      <c r="K341" s="190">
        <f>IFERROR(VLOOKUP(G341, LEVEL_HELPER!$A:$B, 2, 0), "")</f>
        <v>1</v>
      </c>
      <c r="L341" s="220" t="s">
        <v>943</v>
      </c>
      <c r="M341" s="220" t="s">
        <v>924</v>
      </c>
      <c r="N341" s="190">
        <f t="array" ref="N341">IFERROR(
  INDEX($J$2:$J$543,
    MATCH(A341&amp;TEXT(I341,"yyyy-mm-dd"),
          $A$2:$A$543&amp;TEXT($H$2:$H$543,"yyyy-mm-dd"),
          0)),
"")</f>
        <v>1</v>
      </c>
      <c r="O341" s="210">
        <f t="shared" si="3"/>
        <v>1</v>
      </c>
      <c r="P341" s="210">
        <f t="shared" ref="P341:Q341" si="351">IF(N341="",0,IF(N341&lt;=2,1,IF(N341&lt;=4,2,IF(N341&lt;=5.5,3,4))))</f>
        <v>1</v>
      </c>
      <c r="Q341" s="210">
        <f t="shared" si="351"/>
        <v>1</v>
      </c>
      <c r="R341" s="210" t="str">
        <f t="shared" si="5"/>
        <v>No Progress</v>
      </c>
      <c r="S341" s="210">
        <f t="shared" si="6"/>
        <v>1</v>
      </c>
      <c r="T341" s="210"/>
      <c r="U341" s="210"/>
      <c r="V341" s="210"/>
      <c r="W341" s="210"/>
      <c r="X341" s="210"/>
      <c r="Y341" s="210"/>
      <c r="Z341" s="210"/>
      <c r="AA341" s="210"/>
      <c r="AB341" s="210"/>
      <c r="AC341" s="210"/>
      <c r="AD341" s="210"/>
      <c r="AE341" s="210"/>
      <c r="AF341" s="210"/>
      <c r="AG341" s="210"/>
      <c r="AH341" s="210"/>
      <c r="AI341" s="210"/>
      <c r="AJ341" s="210"/>
      <c r="AK341" s="210"/>
      <c r="AL341" s="210"/>
      <c r="AM341" s="214"/>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c r="BU341" s="210"/>
      <c r="BV341" s="210"/>
      <c r="BW341" s="210"/>
      <c r="BX341" s="210"/>
      <c r="BY341" s="210"/>
      <c r="BZ341" s="210"/>
      <c r="CA341" s="210"/>
      <c r="CB341" s="210"/>
      <c r="CC341" s="210"/>
      <c r="CD341" s="210"/>
      <c r="CE341" s="210"/>
      <c r="CF341" s="210"/>
      <c r="CG341" s="210"/>
      <c r="CH341" s="210"/>
      <c r="CI341" s="210"/>
      <c r="CJ341" s="210"/>
      <c r="CK341" s="210"/>
    </row>
    <row r="342">
      <c r="A342" s="222" t="s">
        <v>526</v>
      </c>
      <c r="B342" s="217" t="s">
        <v>527</v>
      </c>
      <c r="C342" s="218" t="s">
        <v>82</v>
      </c>
      <c r="D342" s="218" t="s">
        <v>875</v>
      </c>
      <c r="E342" s="217" t="s">
        <v>22</v>
      </c>
      <c r="F342" s="13" t="s">
        <v>927</v>
      </c>
      <c r="G342" s="13" t="s">
        <v>918</v>
      </c>
      <c r="H342" s="219">
        <f>IFERROR(
  MINIFS(ATTENDANCE_LOG!$F:$F,
         ATTENDANCE_LOG!$A:$A, C342,
         ATTENDANCE_LOG!$B:$B, E342),
"")</f>
        <v>45881.54167</v>
      </c>
      <c r="I342" s="219">
        <f t="shared" si="2"/>
        <v>45765.58333</v>
      </c>
      <c r="J342" s="190">
        <f>IFERROR(VLOOKUP(F342, LEVEL_HELPER!$A:$B, 2, 0), "")</f>
        <v>1</v>
      </c>
      <c r="K342" s="190">
        <f>IFERROR(VLOOKUP(G342, LEVEL_HELPER!$A:$B, 2, 0), "")</f>
        <v>3</v>
      </c>
      <c r="L342" s="220" t="s">
        <v>943</v>
      </c>
      <c r="M342" s="220" t="s">
        <v>924</v>
      </c>
      <c r="N342" s="190">
        <f t="array" ref="N342">IFERROR(
  INDEX($J$2:$J$543,
    MATCH(A342&amp;TEXT(I342,"yyyy-mm-dd"),
          $A$2:$A$543&amp;TEXT($H$2:$H$543,"yyyy-mm-dd"),
          0)),
"")</f>
        <v>1</v>
      </c>
      <c r="O342" s="210">
        <f t="shared" si="3"/>
        <v>3</v>
      </c>
      <c r="P342" s="210">
        <f t="shared" ref="P342:Q342" si="352">IF(N342="",0,IF(N342&lt;=2,1,IF(N342&lt;=4,2,IF(N342&lt;=5.5,3,4))))</f>
        <v>1</v>
      </c>
      <c r="Q342" s="210">
        <f t="shared" si="352"/>
        <v>2</v>
      </c>
      <c r="R342" s="210" t="str">
        <f t="shared" si="5"/>
        <v>Lv1 → Lv2</v>
      </c>
      <c r="S342" s="210">
        <f t="shared" si="6"/>
        <v>0</v>
      </c>
      <c r="T342" s="210"/>
      <c r="U342" s="210"/>
      <c r="V342" s="210"/>
      <c r="W342" s="210"/>
      <c r="X342" s="210"/>
      <c r="Y342" s="210"/>
      <c r="Z342" s="210"/>
      <c r="AA342" s="210"/>
      <c r="AB342" s="210"/>
      <c r="AC342" s="210"/>
      <c r="AD342" s="210"/>
      <c r="AE342" s="210"/>
      <c r="AF342" s="210"/>
      <c r="AG342" s="210"/>
      <c r="AH342" s="210"/>
      <c r="AI342" s="210"/>
      <c r="AJ342" s="210"/>
      <c r="AK342" s="210"/>
      <c r="AL342" s="210"/>
      <c r="AM342" s="214"/>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c r="BU342" s="210"/>
      <c r="BV342" s="210"/>
      <c r="BW342" s="210"/>
      <c r="BX342" s="210"/>
      <c r="BY342" s="210"/>
      <c r="BZ342" s="210"/>
      <c r="CA342" s="210"/>
      <c r="CB342" s="210"/>
      <c r="CC342" s="210"/>
      <c r="CD342" s="210"/>
      <c r="CE342" s="210"/>
      <c r="CF342" s="210"/>
      <c r="CG342" s="210"/>
      <c r="CH342" s="210"/>
      <c r="CI342" s="210"/>
      <c r="CJ342" s="210"/>
      <c r="CK342" s="210"/>
    </row>
    <row r="343">
      <c r="A343" s="222" t="s">
        <v>271</v>
      </c>
      <c r="B343" s="190" t="s">
        <v>272</v>
      </c>
      <c r="C343" s="223" t="s">
        <v>82</v>
      </c>
      <c r="D343" s="223" t="s">
        <v>875</v>
      </c>
      <c r="E343" s="190" t="s">
        <v>22</v>
      </c>
      <c r="F343" s="13" t="s">
        <v>927</v>
      </c>
      <c r="G343" s="190"/>
      <c r="H343" s="219">
        <f>IFERROR(
  MINIFS(ATTENDANCE_LOG!$F:$F,
         ATTENDANCE_LOG!$A:$A, C343,
         ATTENDANCE_LOG!$B:$B, E343),
"")</f>
        <v>45881.54167</v>
      </c>
      <c r="I343" s="219">
        <f t="shared" si="2"/>
        <v>45765.58333</v>
      </c>
      <c r="J343" s="190">
        <f>IFERROR(VLOOKUP(F343, LEVEL_HELPER!$A:$B, 2, 0), "")</f>
        <v>1</v>
      </c>
      <c r="K343" s="190" t="str">
        <f>IFERROR(VLOOKUP(G343, LEVEL_HELPER!$A:$B, 2, 0), "")</f>
        <v/>
      </c>
      <c r="L343" s="220" t="s">
        <v>943</v>
      </c>
      <c r="M343" s="220" t="s">
        <v>926</v>
      </c>
      <c r="N343" s="190">
        <f t="array" ref="N343">IFERROR(
  INDEX($J$2:$J$543,
    MATCH(A343&amp;TEXT(I343,"yyyy-mm-dd"),
          $A$2:$A$543&amp;TEXT($H$2:$H$543,"yyyy-mm-dd"),
          0)),
"")</f>
        <v>1</v>
      </c>
      <c r="O343" s="210">
        <f t="shared" si="3"/>
        <v>1</v>
      </c>
      <c r="P343" s="210">
        <f t="shared" ref="P343:Q343" si="353">IF(N343="",0,IF(N343&lt;=2,1,IF(N343&lt;=4,2,IF(N343&lt;=5.5,3,4))))</f>
        <v>1</v>
      </c>
      <c r="Q343" s="210">
        <f t="shared" si="353"/>
        <v>1</v>
      </c>
      <c r="R343" s="210" t="str">
        <f t="shared" si="5"/>
        <v>No Progress</v>
      </c>
      <c r="S343" s="210">
        <f t="shared" si="6"/>
        <v>0</v>
      </c>
      <c r="T343" s="210"/>
      <c r="U343" s="210"/>
      <c r="V343" s="210"/>
      <c r="W343" s="210"/>
      <c r="X343" s="210"/>
      <c r="Y343" s="210"/>
      <c r="Z343" s="210"/>
      <c r="AA343" s="210"/>
      <c r="AB343" s="210"/>
      <c r="AC343" s="210"/>
      <c r="AD343" s="210"/>
      <c r="AE343" s="210"/>
      <c r="AF343" s="210"/>
      <c r="AG343" s="210"/>
      <c r="AH343" s="210"/>
      <c r="AI343" s="210"/>
      <c r="AJ343" s="210"/>
      <c r="AK343" s="210"/>
      <c r="AL343" s="210"/>
      <c r="AM343" s="214"/>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c r="BU343" s="210"/>
      <c r="BV343" s="210"/>
      <c r="BW343" s="210"/>
      <c r="BX343" s="210"/>
      <c r="BY343" s="210"/>
      <c r="BZ343" s="210"/>
      <c r="CA343" s="210"/>
      <c r="CB343" s="210"/>
      <c r="CC343" s="210"/>
      <c r="CD343" s="210"/>
      <c r="CE343" s="210"/>
      <c r="CF343" s="210"/>
      <c r="CG343" s="210"/>
      <c r="CH343" s="210"/>
      <c r="CI343" s="210"/>
      <c r="CJ343" s="210"/>
      <c r="CK343" s="210"/>
    </row>
    <row r="344">
      <c r="A344" s="222" t="s">
        <v>279</v>
      </c>
      <c r="B344" s="190" t="s">
        <v>280</v>
      </c>
      <c r="C344" s="223" t="s">
        <v>82</v>
      </c>
      <c r="D344" s="223" t="s">
        <v>875</v>
      </c>
      <c r="E344" s="190" t="s">
        <v>22</v>
      </c>
      <c r="F344" s="13" t="s">
        <v>918</v>
      </c>
      <c r="G344" s="190"/>
      <c r="H344" s="219">
        <f>IFERROR(
  MINIFS(ATTENDANCE_LOG!$F:$F,
         ATTENDANCE_LOG!$A:$A, C344,
         ATTENDANCE_LOG!$B:$B, E344),
"")</f>
        <v>45881.54167</v>
      </c>
      <c r="I344" s="219">
        <f t="shared" si="2"/>
        <v>45765.58333</v>
      </c>
      <c r="J344" s="190">
        <f>IFERROR(VLOOKUP(F344, LEVEL_HELPER!$A:$B, 2, 0), "")</f>
        <v>3</v>
      </c>
      <c r="K344" s="190" t="str">
        <f>IFERROR(VLOOKUP(G344, LEVEL_HELPER!$A:$B, 2, 0), "")</f>
        <v/>
      </c>
      <c r="L344" s="220" t="s">
        <v>943</v>
      </c>
      <c r="M344" s="220" t="s">
        <v>924</v>
      </c>
      <c r="N344" s="190">
        <f t="array" ref="N344">IFERROR(
  INDEX($J$2:$J$543,
    MATCH(A344&amp;TEXT(I344,"yyyy-mm-dd"),
          $A$2:$A$543&amp;TEXT($H$2:$H$543,"yyyy-mm-dd"),
          0)),
"")</f>
        <v>1</v>
      </c>
      <c r="O344" s="210">
        <f t="shared" si="3"/>
        <v>3</v>
      </c>
      <c r="P344" s="210">
        <f t="shared" ref="P344:Q344" si="354">IF(N344="",0,IF(N344&lt;=2,1,IF(N344&lt;=4,2,IF(N344&lt;=5.5,3,4))))</f>
        <v>1</v>
      </c>
      <c r="Q344" s="210">
        <f t="shared" si="354"/>
        <v>2</v>
      </c>
      <c r="R344" s="210" t="str">
        <f t="shared" si="5"/>
        <v>Lv1 → Lv2</v>
      </c>
      <c r="S344" s="210">
        <f t="shared" si="6"/>
        <v>0</v>
      </c>
      <c r="T344" s="210"/>
      <c r="U344" s="210"/>
      <c r="V344" s="210"/>
      <c r="W344" s="210"/>
      <c r="X344" s="210"/>
      <c r="Y344" s="210"/>
      <c r="Z344" s="210"/>
      <c r="AA344" s="210"/>
      <c r="AB344" s="210"/>
      <c r="AC344" s="210"/>
      <c r="AD344" s="210"/>
      <c r="AE344" s="210"/>
      <c r="AF344" s="210"/>
      <c r="AG344" s="210"/>
      <c r="AH344" s="210"/>
      <c r="AI344" s="210"/>
      <c r="AJ344" s="210"/>
      <c r="AK344" s="210"/>
      <c r="AL344" s="210"/>
      <c r="AM344" s="214"/>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c r="BU344" s="210"/>
      <c r="BV344" s="210"/>
      <c r="BW344" s="210"/>
      <c r="BX344" s="210"/>
      <c r="BY344" s="210"/>
      <c r="BZ344" s="210"/>
      <c r="CA344" s="210"/>
      <c r="CB344" s="210"/>
      <c r="CC344" s="210"/>
      <c r="CD344" s="210"/>
      <c r="CE344" s="210"/>
      <c r="CF344" s="210"/>
      <c r="CG344" s="210"/>
      <c r="CH344" s="210"/>
      <c r="CI344" s="210"/>
      <c r="CJ344" s="210"/>
      <c r="CK344" s="210"/>
    </row>
    <row r="345">
      <c r="A345" s="222" t="s">
        <v>300</v>
      </c>
      <c r="B345" s="190" t="s">
        <v>301</v>
      </c>
      <c r="C345" s="223" t="s">
        <v>82</v>
      </c>
      <c r="D345" s="223" t="s">
        <v>875</v>
      </c>
      <c r="E345" s="190" t="s">
        <v>22</v>
      </c>
      <c r="F345" s="13" t="s">
        <v>918</v>
      </c>
      <c r="G345" s="13" t="s">
        <v>941</v>
      </c>
      <c r="H345" s="219">
        <f>IFERROR(
  MINIFS(ATTENDANCE_LOG!$F:$F,
         ATTENDANCE_LOG!$A:$A, C345,
         ATTENDANCE_LOG!$B:$B, E345),
"")</f>
        <v>45881.54167</v>
      </c>
      <c r="I345" s="219">
        <f t="shared" si="2"/>
        <v>45765.58333</v>
      </c>
      <c r="J345" s="190">
        <f>IFERROR(VLOOKUP(F345, LEVEL_HELPER!$A:$B, 2, 0), "")</f>
        <v>3</v>
      </c>
      <c r="K345" s="190">
        <f>IFERROR(VLOOKUP(G345, LEVEL_HELPER!$A:$B, 2, 0), "")</f>
        <v>5</v>
      </c>
      <c r="L345" s="220" t="s">
        <v>943</v>
      </c>
      <c r="M345" s="220" t="s">
        <v>924</v>
      </c>
      <c r="N345" s="190">
        <f t="array" ref="N345">IFERROR(
  INDEX($J$2:$J$543,
    MATCH(A345&amp;TEXT(I345,"yyyy-mm-dd"),
          $A$2:$A$543&amp;TEXT($H$2:$H$543,"yyyy-mm-dd"),
          0)),
"")</f>
        <v>1</v>
      </c>
      <c r="O345" s="210">
        <f t="shared" si="3"/>
        <v>5</v>
      </c>
      <c r="P345" s="210">
        <f t="shared" ref="P345:Q345" si="355">IF(N345="",0,IF(N345&lt;=2,1,IF(N345&lt;=4,2,IF(N345&lt;=5.5,3,4))))</f>
        <v>1</v>
      </c>
      <c r="Q345" s="210">
        <f t="shared" si="355"/>
        <v>3</v>
      </c>
      <c r="R345" s="210" t="str">
        <f t="shared" si="5"/>
        <v>Lv1 → Lv3 (multi)</v>
      </c>
      <c r="S345" s="210">
        <f t="shared" si="6"/>
        <v>0</v>
      </c>
      <c r="T345" s="210"/>
      <c r="U345" s="210"/>
      <c r="V345" s="210"/>
      <c r="W345" s="210"/>
      <c r="X345" s="210"/>
      <c r="Y345" s="210"/>
      <c r="Z345" s="210"/>
      <c r="AA345" s="210"/>
      <c r="AB345" s="210"/>
      <c r="AC345" s="210"/>
      <c r="AD345" s="210"/>
      <c r="AE345" s="210"/>
      <c r="AF345" s="210"/>
      <c r="AG345" s="210"/>
      <c r="AH345" s="210"/>
      <c r="AI345" s="210"/>
      <c r="AJ345" s="210"/>
      <c r="AK345" s="210"/>
      <c r="AL345" s="210"/>
      <c r="AM345" s="214"/>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c r="BU345" s="210"/>
      <c r="BV345" s="210"/>
      <c r="BW345" s="210"/>
      <c r="BX345" s="210"/>
      <c r="BY345" s="210"/>
      <c r="BZ345" s="210"/>
      <c r="CA345" s="210"/>
      <c r="CB345" s="210"/>
      <c r="CC345" s="210"/>
      <c r="CD345" s="210"/>
      <c r="CE345" s="210"/>
      <c r="CF345" s="210"/>
      <c r="CG345" s="210"/>
      <c r="CH345" s="210"/>
      <c r="CI345" s="210"/>
      <c r="CJ345" s="210"/>
      <c r="CK345" s="210"/>
    </row>
    <row r="346">
      <c r="A346" s="222" t="s">
        <v>309</v>
      </c>
      <c r="B346" s="190" t="s">
        <v>310</v>
      </c>
      <c r="C346" s="223" t="s">
        <v>82</v>
      </c>
      <c r="D346" s="223" t="s">
        <v>875</v>
      </c>
      <c r="E346" s="190" t="s">
        <v>22</v>
      </c>
      <c r="F346" s="13" t="s">
        <v>929</v>
      </c>
      <c r="G346" s="13" t="s">
        <v>941</v>
      </c>
      <c r="H346" s="219">
        <f>IFERROR(
  MINIFS(ATTENDANCE_LOG!$F:$F,
         ATTENDANCE_LOG!$A:$A, C346,
         ATTENDANCE_LOG!$B:$B, E346),
"")</f>
        <v>45881.54167</v>
      </c>
      <c r="I346" s="219">
        <f t="shared" si="2"/>
        <v>45765.375</v>
      </c>
      <c r="J346" s="190">
        <f>IFERROR(VLOOKUP(F346, LEVEL_HELPER!$A:$B, 2, 0), "")</f>
        <v>1.5</v>
      </c>
      <c r="K346" s="190">
        <f>IFERROR(VLOOKUP(G346, LEVEL_HELPER!$A:$B, 2, 0), "")</f>
        <v>5</v>
      </c>
      <c r="L346" s="220" t="s">
        <v>943</v>
      </c>
      <c r="M346" s="220" t="s">
        <v>924</v>
      </c>
      <c r="N346" s="190">
        <f t="array" ref="N346">IFERROR(
  INDEX($J$2:$J$543,
    MATCH(A346&amp;TEXT(I346,"yyyy-mm-dd"),
          $A$2:$A$543&amp;TEXT($H$2:$H$543,"yyyy-mm-dd"),
          0)),
"")</f>
        <v>1</v>
      </c>
      <c r="O346" s="210">
        <f t="shared" si="3"/>
        <v>5</v>
      </c>
      <c r="P346" s="210">
        <f t="shared" ref="P346:Q346" si="356">IF(N346="",0,IF(N346&lt;=2,1,IF(N346&lt;=4,2,IF(N346&lt;=5.5,3,4))))</f>
        <v>1</v>
      </c>
      <c r="Q346" s="210">
        <f t="shared" si="356"/>
        <v>3</v>
      </c>
      <c r="R346" s="210" t="str">
        <f t="shared" si="5"/>
        <v>Lv1 → Lv3 (multi)</v>
      </c>
      <c r="S346" s="210">
        <f t="shared" si="6"/>
        <v>0</v>
      </c>
      <c r="T346" s="210"/>
      <c r="U346" s="210"/>
      <c r="V346" s="210"/>
      <c r="W346" s="210"/>
      <c r="X346" s="210"/>
      <c r="Y346" s="210"/>
      <c r="Z346" s="210"/>
      <c r="AA346" s="210"/>
      <c r="AB346" s="210"/>
      <c r="AC346" s="210"/>
      <c r="AD346" s="210"/>
      <c r="AE346" s="210"/>
      <c r="AF346" s="210"/>
      <c r="AG346" s="210"/>
      <c r="AH346" s="210"/>
      <c r="AI346" s="210"/>
      <c r="AJ346" s="210"/>
      <c r="AK346" s="210"/>
      <c r="AL346" s="210"/>
      <c r="AM346" s="214"/>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c r="BU346" s="210"/>
      <c r="BV346" s="210"/>
      <c r="BW346" s="210"/>
      <c r="BX346" s="210"/>
      <c r="BY346" s="210"/>
      <c r="BZ346" s="210"/>
      <c r="CA346" s="210"/>
      <c r="CB346" s="210"/>
      <c r="CC346" s="210"/>
      <c r="CD346" s="210"/>
      <c r="CE346" s="210"/>
      <c r="CF346" s="210"/>
      <c r="CG346" s="210"/>
      <c r="CH346" s="210"/>
      <c r="CI346" s="210"/>
      <c r="CJ346" s="210"/>
      <c r="CK346" s="210"/>
    </row>
    <row r="347">
      <c r="A347" s="222" t="s">
        <v>332</v>
      </c>
      <c r="B347" s="190" t="s">
        <v>333</v>
      </c>
      <c r="C347" s="223" t="s">
        <v>82</v>
      </c>
      <c r="D347" s="223" t="s">
        <v>875</v>
      </c>
      <c r="E347" s="190" t="s">
        <v>22</v>
      </c>
      <c r="F347" s="13" t="s">
        <v>918</v>
      </c>
      <c r="G347" s="13" t="s">
        <v>941</v>
      </c>
      <c r="H347" s="219">
        <f>IFERROR(
  MINIFS(ATTENDANCE_LOG!$F:$F,
         ATTENDANCE_LOG!$A:$A, C347,
         ATTENDANCE_LOG!$B:$B, E347),
"")</f>
        <v>45881.54167</v>
      </c>
      <c r="I347" s="219">
        <f t="shared" si="2"/>
        <v>45765.375</v>
      </c>
      <c r="J347" s="190">
        <f>IFERROR(VLOOKUP(F347, LEVEL_HELPER!$A:$B, 2, 0), "")</f>
        <v>3</v>
      </c>
      <c r="K347" s="190">
        <f>IFERROR(VLOOKUP(G347, LEVEL_HELPER!$A:$B, 2, 0), "")</f>
        <v>5</v>
      </c>
      <c r="L347" s="220" t="s">
        <v>943</v>
      </c>
      <c r="M347" s="220" t="s">
        <v>924</v>
      </c>
      <c r="N347" s="190">
        <f t="array" ref="N347">IFERROR(
  INDEX($J$2:$J$543,
    MATCH(A347&amp;TEXT(I347,"yyyy-mm-dd"),
          $A$2:$A$543&amp;TEXT($H$2:$H$543,"yyyy-mm-dd"),
          0)),
"")</f>
        <v>1</v>
      </c>
      <c r="O347" s="210">
        <f t="shared" si="3"/>
        <v>5</v>
      </c>
      <c r="P347" s="210">
        <f t="shared" ref="P347:Q347" si="357">IF(N347="",0,IF(N347&lt;=2,1,IF(N347&lt;=4,2,IF(N347&lt;=5.5,3,4))))</f>
        <v>1</v>
      </c>
      <c r="Q347" s="210">
        <f t="shared" si="357"/>
        <v>3</v>
      </c>
      <c r="R347" s="210" t="str">
        <f t="shared" si="5"/>
        <v>Lv1 → Lv3 (multi)</v>
      </c>
      <c r="S347" s="210">
        <f t="shared" si="6"/>
        <v>0</v>
      </c>
      <c r="T347" s="210"/>
      <c r="U347" s="210"/>
      <c r="V347" s="210"/>
      <c r="W347" s="210"/>
      <c r="X347" s="210"/>
      <c r="Y347" s="210"/>
      <c r="Z347" s="210"/>
      <c r="AA347" s="210"/>
      <c r="AB347" s="210"/>
      <c r="AC347" s="210"/>
      <c r="AD347" s="210"/>
      <c r="AE347" s="210"/>
      <c r="AF347" s="210"/>
      <c r="AG347" s="210"/>
      <c r="AH347" s="210"/>
      <c r="AI347" s="210"/>
      <c r="AJ347" s="210"/>
      <c r="AK347" s="210"/>
      <c r="AL347" s="210"/>
      <c r="AM347" s="214"/>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c r="BU347" s="210"/>
      <c r="BV347" s="210"/>
      <c r="BW347" s="210"/>
      <c r="BX347" s="210"/>
      <c r="BY347" s="210"/>
      <c r="BZ347" s="210"/>
      <c r="CA347" s="210"/>
      <c r="CB347" s="210"/>
      <c r="CC347" s="210"/>
      <c r="CD347" s="210"/>
      <c r="CE347" s="210"/>
      <c r="CF347" s="210"/>
      <c r="CG347" s="210"/>
      <c r="CH347" s="210"/>
      <c r="CI347" s="210"/>
      <c r="CJ347" s="210"/>
      <c r="CK347" s="210"/>
    </row>
    <row r="348">
      <c r="A348" s="222" t="s">
        <v>562</v>
      </c>
      <c r="B348" s="190" t="s">
        <v>563</v>
      </c>
      <c r="C348" s="223" t="s">
        <v>82</v>
      </c>
      <c r="D348" s="223" t="s">
        <v>875</v>
      </c>
      <c r="E348" s="190" t="s">
        <v>22</v>
      </c>
      <c r="F348" s="13" t="s">
        <v>918</v>
      </c>
      <c r="G348" s="13" t="s">
        <v>935</v>
      </c>
      <c r="H348" s="219">
        <f>IFERROR(
  MINIFS(ATTENDANCE_LOG!$F:$F,
         ATTENDANCE_LOG!$A:$A, C348,
         ATTENDANCE_LOG!$B:$B, E348),
"")</f>
        <v>45881.54167</v>
      </c>
      <c r="I348" s="219">
        <f t="shared" si="2"/>
        <v>45765.375</v>
      </c>
      <c r="J348" s="190">
        <f>IFERROR(VLOOKUP(F348, LEVEL_HELPER!$A:$B, 2, 0), "")</f>
        <v>3</v>
      </c>
      <c r="K348" s="190">
        <f>IFERROR(VLOOKUP(G348, LEVEL_HELPER!$A:$B, 2, 0), "")</f>
        <v>3.5</v>
      </c>
      <c r="L348" s="220" t="s">
        <v>943</v>
      </c>
      <c r="M348" s="220" t="s">
        <v>924</v>
      </c>
      <c r="N348" s="190">
        <f t="array" ref="N348">IFERROR(
  INDEX($J$2:$J$543,
    MATCH(A348&amp;TEXT(I348,"yyyy-mm-dd"),
          $A$2:$A$543&amp;TEXT($H$2:$H$543,"yyyy-mm-dd"),
          0)),
"")</f>
        <v>1</v>
      </c>
      <c r="O348" s="210">
        <f t="shared" si="3"/>
        <v>3.5</v>
      </c>
      <c r="P348" s="210">
        <f t="shared" ref="P348:Q348" si="358">IF(N348="",0,IF(N348&lt;=2,1,IF(N348&lt;=4,2,IF(N348&lt;=5.5,3,4))))</f>
        <v>1</v>
      </c>
      <c r="Q348" s="210">
        <f t="shared" si="358"/>
        <v>2</v>
      </c>
      <c r="R348" s="210" t="str">
        <f t="shared" si="5"/>
        <v>Lv1 → Lv2</v>
      </c>
      <c r="S348" s="210">
        <f t="shared" si="6"/>
        <v>0</v>
      </c>
      <c r="T348" s="210"/>
      <c r="U348" s="210"/>
      <c r="V348" s="210"/>
      <c r="W348" s="210"/>
      <c r="X348" s="210"/>
      <c r="Y348" s="210"/>
      <c r="Z348" s="210"/>
      <c r="AA348" s="210"/>
      <c r="AB348" s="210"/>
      <c r="AC348" s="210"/>
      <c r="AD348" s="210"/>
      <c r="AE348" s="210"/>
      <c r="AF348" s="210"/>
      <c r="AG348" s="210"/>
      <c r="AH348" s="210"/>
      <c r="AI348" s="210"/>
      <c r="AJ348" s="210"/>
      <c r="AK348" s="210"/>
      <c r="AL348" s="210"/>
      <c r="AM348" s="214"/>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c r="BU348" s="210"/>
      <c r="BV348" s="210"/>
      <c r="BW348" s="210"/>
      <c r="BX348" s="210"/>
      <c r="BY348" s="210"/>
      <c r="BZ348" s="210"/>
      <c r="CA348" s="210"/>
      <c r="CB348" s="210"/>
      <c r="CC348" s="210"/>
      <c r="CD348" s="210"/>
      <c r="CE348" s="210"/>
      <c r="CF348" s="210"/>
      <c r="CG348" s="210"/>
      <c r="CH348" s="210"/>
      <c r="CI348" s="210"/>
      <c r="CJ348" s="210"/>
      <c r="CK348" s="210"/>
    </row>
    <row r="349">
      <c r="A349" s="222" t="s">
        <v>693</v>
      </c>
      <c r="B349" s="190" t="s">
        <v>694</v>
      </c>
      <c r="C349" s="223" t="s">
        <v>82</v>
      </c>
      <c r="D349" s="223" t="s">
        <v>875</v>
      </c>
      <c r="E349" s="190" t="s">
        <v>22</v>
      </c>
      <c r="F349" s="13" t="s">
        <v>918</v>
      </c>
      <c r="G349" s="13" t="s">
        <v>935</v>
      </c>
      <c r="H349" s="219">
        <f>IFERROR(
  MINIFS(ATTENDANCE_LOG!$F:$F,
         ATTENDANCE_LOG!$A:$A, C349,
         ATTENDANCE_LOG!$B:$B, E349),
"")</f>
        <v>45881.54167</v>
      </c>
      <c r="I349" s="219">
        <f t="shared" si="2"/>
        <v>45765.375</v>
      </c>
      <c r="J349" s="190">
        <f>IFERROR(VLOOKUP(F349, LEVEL_HELPER!$A:$B, 2, 0), "")</f>
        <v>3</v>
      </c>
      <c r="K349" s="190">
        <f>IFERROR(VLOOKUP(G349, LEVEL_HELPER!$A:$B, 2, 0), "")</f>
        <v>3.5</v>
      </c>
      <c r="L349" s="220" t="s">
        <v>943</v>
      </c>
      <c r="M349" s="220" t="s">
        <v>924</v>
      </c>
      <c r="N349" s="190">
        <f t="array" ref="N349">IFERROR(
  INDEX($J$2:$J$543,
    MATCH(A349&amp;TEXT(I349,"yyyy-mm-dd"),
          $A$2:$A$543&amp;TEXT($H$2:$H$543,"yyyy-mm-dd"),
          0)),
"")</f>
        <v>1</v>
      </c>
      <c r="O349" s="210">
        <f t="shared" si="3"/>
        <v>3.5</v>
      </c>
      <c r="P349" s="210">
        <f t="shared" ref="P349:Q349" si="359">IF(N349="",0,IF(N349&lt;=2,1,IF(N349&lt;=4,2,IF(N349&lt;=5.5,3,4))))</f>
        <v>1</v>
      </c>
      <c r="Q349" s="210">
        <f t="shared" si="359"/>
        <v>2</v>
      </c>
      <c r="R349" s="210" t="str">
        <f t="shared" si="5"/>
        <v>Lv1 → Lv2</v>
      </c>
      <c r="S349" s="210">
        <f t="shared" si="6"/>
        <v>0</v>
      </c>
      <c r="T349" s="210"/>
      <c r="U349" s="210"/>
      <c r="V349" s="210"/>
      <c r="W349" s="210"/>
      <c r="X349" s="210"/>
      <c r="Y349" s="210"/>
      <c r="Z349" s="210"/>
      <c r="AA349" s="210"/>
      <c r="AB349" s="210"/>
      <c r="AC349" s="210"/>
      <c r="AD349" s="210"/>
      <c r="AE349" s="210"/>
      <c r="AF349" s="210"/>
      <c r="AG349" s="210"/>
      <c r="AH349" s="210"/>
      <c r="AI349" s="210"/>
      <c r="AJ349" s="210"/>
      <c r="AK349" s="210"/>
      <c r="AL349" s="210"/>
      <c r="AM349" s="214"/>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c r="BU349" s="210"/>
      <c r="BV349" s="210"/>
      <c r="BW349" s="210"/>
      <c r="BX349" s="210"/>
      <c r="BY349" s="210"/>
      <c r="BZ349" s="210"/>
      <c r="CA349" s="210"/>
      <c r="CB349" s="210"/>
      <c r="CC349" s="210"/>
      <c r="CD349" s="210"/>
      <c r="CE349" s="210"/>
      <c r="CF349" s="210"/>
      <c r="CG349" s="210"/>
      <c r="CH349" s="210"/>
      <c r="CI349" s="210"/>
      <c r="CJ349" s="210"/>
      <c r="CK349" s="210"/>
    </row>
    <row r="350">
      <c r="A350" s="222" t="s">
        <v>208</v>
      </c>
      <c r="B350" s="217" t="s">
        <v>209</v>
      </c>
      <c r="C350" s="218" t="s">
        <v>83</v>
      </c>
      <c r="D350" s="218" t="s">
        <v>876</v>
      </c>
      <c r="E350" s="217" t="s">
        <v>21</v>
      </c>
      <c r="F350" s="13" t="s">
        <v>927</v>
      </c>
      <c r="G350" s="13" t="s">
        <v>935</v>
      </c>
      <c r="H350" s="219">
        <f>IFERROR(
  MINIFS(ATTENDANCE_LOG!$F:$F,
         ATTENDANCE_LOG!$A:$A, C350,
         ATTENDANCE_LOG!$B:$B, E350),
"")</f>
        <v>45764.41667</v>
      </c>
      <c r="I350" s="219">
        <f t="shared" si="2"/>
        <v>45764.41667</v>
      </c>
      <c r="J350" s="190">
        <f>IFERROR(VLOOKUP(F350, LEVEL_HELPER!$A:$B, 2, 0), "")</f>
        <v>1</v>
      </c>
      <c r="K350" s="190">
        <f>IFERROR(VLOOKUP(G350, LEVEL_HELPER!$A:$B, 2, 0), "")</f>
        <v>3.5</v>
      </c>
      <c r="L350" s="220" t="s">
        <v>943</v>
      </c>
      <c r="M350" s="220" t="s">
        <v>924</v>
      </c>
      <c r="N350" s="190">
        <f t="array" ref="N350">IFERROR(
  INDEX($J$2:$J$543,
    MATCH(A350&amp;TEXT(I350,"yyyy-mm-dd"),
          $A$2:$A$543&amp;TEXT($H$2:$H$543,"yyyy-mm-dd"),
          0)),
"")</f>
        <v>1</v>
      </c>
      <c r="O350" s="210">
        <f t="shared" si="3"/>
        <v>5</v>
      </c>
      <c r="P350" s="210">
        <f t="shared" ref="P350:Q350" si="360">IF(N350="",0,IF(N350&lt;=2,1,IF(N350&lt;=4,2,IF(N350&lt;=5.5,3,4))))</f>
        <v>1</v>
      </c>
      <c r="Q350" s="210">
        <f t="shared" si="360"/>
        <v>3</v>
      </c>
      <c r="R350" s="210" t="str">
        <f t="shared" si="5"/>
        <v>Lv1 → Lv3 (multi)</v>
      </c>
      <c r="S350" s="210">
        <f t="shared" si="6"/>
        <v>1</v>
      </c>
      <c r="T350" s="210"/>
      <c r="U350" s="210"/>
      <c r="V350" s="210"/>
      <c r="W350" s="210"/>
      <c r="X350" s="210"/>
      <c r="Y350" s="210"/>
      <c r="Z350" s="210"/>
      <c r="AA350" s="210"/>
      <c r="AB350" s="210"/>
      <c r="AC350" s="210"/>
      <c r="AD350" s="210"/>
      <c r="AE350" s="210"/>
      <c r="AF350" s="210"/>
      <c r="AG350" s="210"/>
      <c r="AH350" s="210"/>
      <c r="AI350" s="210"/>
      <c r="AJ350" s="210"/>
      <c r="AK350" s="210"/>
      <c r="AL350" s="210"/>
      <c r="AM350" s="214"/>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c r="BU350" s="210"/>
      <c r="BV350" s="210"/>
      <c r="BW350" s="210"/>
      <c r="BX350" s="210"/>
      <c r="BY350" s="210"/>
      <c r="BZ350" s="210"/>
      <c r="CA350" s="210"/>
      <c r="CB350" s="210"/>
      <c r="CC350" s="210"/>
      <c r="CD350" s="210"/>
      <c r="CE350" s="210"/>
      <c r="CF350" s="210"/>
      <c r="CG350" s="210"/>
      <c r="CH350" s="210"/>
      <c r="CI350" s="210"/>
      <c r="CJ350" s="210"/>
      <c r="CK350" s="210"/>
    </row>
    <row r="351">
      <c r="A351" s="222" t="s">
        <v>243</v>
      </c>
      <c r="B351" s="190" t="s">
        <v>244</v>
      </c>
      <c r="C351" s="223" t="s">
        <v>83</v>
      </c>
      <c r="D351" s="223" t="s">
        <v>876</v>
      </c>
      <c r="E351" s="190" t="s">
        <v>21</v>
      </c>
      <c r="F351" s="13" t="s">
        <v>927</v>
      </c>
      <c r="G351" s="13" t="s">
        <v>918</v>
      </c>
      <c r="H351" s="219">
        <f>IFERROR(
  MINIFS(ATTENDANCE_LOG!$F:$F,
         ATTENDANCE_LOG!$A:$A, C351,
         ATTENDANCE_LOG!$B:$B, E351),
"")</f>
        <v>45764.41667</v>
      </c>
      <c r="I351" s="219">
        <f t="shared" si="2"/>
        <v>45764.41667</v>
      </c>
      <c r="J351" s="190">
        <f>IFERROR(VLOOKUP(F351, LEVEL_HELPER!$A:$B, 2, 0), "")</f>
        <v>1</v>
      </c>
      <c r="K351" s="190">
        <f>IFERROR(VLOOKUP(G351, LEVEL_HELPER!$A:$B, 2, 0), "")</f>
        <v>3</v>
      </c>
      <c r="L351" s="220" t="s">
        <v>943</v>
      </c>
      <c r="M351" s="220" t="s">
        <v>924</v>
      </c>
      <c r="N351" s="190">
        <f t="array" ref="N351">IFERROR(
  INDEX($J$2:$J$543,
    MATCH(A351&amp;TEXT(I351,"yyyy-mm-dd"),
          $A$2:$A$543&amp;TEXT($H$2:$H$543,"yyyy-mm-dd"),
          0)),
"")</f>
        <v>1</v>
      </c>
      <c r="O351" s="210">
        <f t="shared" si="3"/>
        <v>3</v>
      </c>
      <c r="P351" s="210">
        <f t="shared" ref="P351:Q351" si="361">IF(N351="",0,IF(N351&lt;=2,1,IF(N351&lt;=4,2,IF(N351&lt;=5.5,3,4))))</f>
        <v>1</v>
      </c>
      <c r="Q351" s="210">
        <f t="shared" si="361"/>
        <v>2</v>
      </c>
      <c r="R351" s="210" t="str">
        <f t="shared" si="5"/>
        <v>Lv1 → Lv2</v>
      </c>
      <c r="S351" s="210">
        <f t="shared" si="6"/>
        <v>1</v>
      </c>
      <c r="T351" s="210"/>
      <c r="U351" s="210"/>
      <c r="V351" s="210"/>
      <c r="W351" s="210"/>
      <c r="X351" s="210"/>
      <c r="Y351" s="210"/>
      <c r="Z351" s="210"/>
      <c r="AA351" s="210"/>
      <c r="AB351" s="210"/>
      <c r="AC351" s="210"/>
      <c r="AD351" s="210"/>
      <c r="AE351" s="210"/>
      <c r="AF351" s="210"/>
      <c r="AG351" s="210"/>
      <c r="AH351" s="210"/>
      <c r="AI351" s="210"/>
      <c r="AJ351" s="210"/>
      <c r="AK351" s="210"/>
      <c r="AL351" s="210"/>
      <c r="AM351" s="214"/>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c r="BU351" s="210"/>
      <c r="BV351" s="210"/>
      <c r="BW351" s="210"/>
      <c r="BX351" s="210"/>
      <c r="BY351" s="210"/>
      <c r="BZ351" s="210"/>
      <c r="CA351" s="210"/>
      <c r="CB351" s="210"/>
      <c r="CC351" s="210"/>
      <c r="CD351" s="210"/>
      <c r="CE351" s="210"/>
      <c r="CF351" s="210"/>
      <c r="CG351" s="210"/>
      <c r="CH351" s="210"/>
      <c r="CI351" s="210"/>
      <c r="CJ351" s="210"/>
      <c r="CK351" s="210"/>
    </row>
    <row r="352">
      <c r="A352" s="222" t="s">
        <v>305</v>
      </c>
      <c r="B352" s="190" t="s">
        <v>306</v>
      </c>
      <c r="C352" s="223" t="s">
        <v>83</v>
      </c>
      <c r="D352" s="223" t="s">
        <v>876</v>
      </c>
      <c r="E352" s="190" t="s">
        <v>21</v>
      </c>
      <c r="F352" s="13" t="s">
        <v>927</v>
      </c>
      <c r="G352" s="13" t="s">
        <v>929</v>
      </c>
      <c r="H352" s="219">
        <f>IFERROR(
  MINIFS(ATTENDANCE_LOG!$F:$F,
         ATTENDANCE_LOG!$A:$A, C352,
         ATTENDANCE_LOG!$B:$B, E352),
"")</f>
        <v>45764.41667</v>
      </c>
      <c r="I352" s="219">
        <f t="shared" si="2"/>
        <v>45764.41667</v>
      </c>
      <c r="J352" s="190">
        <f>IFERROR(VLOOKUP(F352, LEVEL_HELPER!$A:$B, 2, 0), "")</f>
        <v>1</v>
      </c>
      <c r="K352" s="190">
        <f>IFERROR(VLOOKUP(G352, LEVEL_HELPER!$A:$B, 2, 0), "")</f>
        <v>1.5</v>
      </c>
      <c r="L352" s="220" t="s">
        <v>943</v>
      </c>
      <c r="M352" s="220" t="s">
        <v>924</v>
      </c>
      <c r="N352" s="190">
        <f t="array" ref="N352">IFERROR(
  INDEX($J$2:$J$543,
    MATCH(A352&amp;TEXT(I352,"yyyy-mm-dd"),
          $A$2:$A$543&amp;TEXT($H$2:$H$543,"yyyy-mm-dd"),
          0)),
"")</f>
        <v>1</v>
      </c>
      <c r="O352" s="210">
        <f t="shared" si="3"/>
        <v>3</v>
      </c>
      <c r="P352" s="210">
        <f t="shared" ref="P352:Q352" si="362">IF(N352="",0,IF(N352&lt;=2,1,IF(N352&lt;=4,2,IF(N352&lt;=5.5,3,4))))</f>
        <v>1</v>
      </c>
      <c r="Q352" s="210">
        <f t="shared" si="362"/>
        <v>2</v>
      </c>
      <c r="R352" s="210" t="str">
        <f t="shared" si="5"/>
        <v>Lv1 → Lv2</v>
      </c>
      <c r="S352" s="210">
        <f t="shared" si="6"/>
        <v>1</v>
      </c>
      <c r="T352" s="210"/>
      <c r="U352" s="210"/>
      <c r="V352" s="210"/>
      <c r="W352" s="210"/>
      <c r="X352" s="210"/>
      <c r="Y352" s="210"/>
      <c r="Z352" s="210"/>
      <c r="AA352" s="210"/>
      <c r="AB352" s="210"/>
      <c r="AC352" s="210"/>
      <c r="AD352" s="210"/>
      <c r="AE352" s="210"/>
      <c r="AF352" s="210"/>
      <c r="AG352" s="210"/>
      <c r="AH352" s="210"/>
      <c r="AI352" s="210"/>
      <c r="AJ352" s="210"/>
      <c r="AK352" s="210"/>
      <c r="AL352" s="210"/>
      <c r="AM352" s="214"/>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c r="BU352" s="210"/>
      <c r="BV352" s="210"/>
      <c r="BW352" s="210"/>
      <c r="BX352" s="210"/>
      <c r="BY352" s="210"/>
      <c r="BZ352" s="210"/>
      <c r="CA352" s="210"/>
      <c r="CB352" s="210"/>
      <c r="CC352" s="210"/>
      <c r="CD352" s="210"/>
      <c r="CE352" s="210"/>
      <c r="CF352" s="210"/>
      <c r="CG352" s="210"/>
      <c r="CH352" s="210"/>
      <c r="CI352" s="210"/>
      <c r="CJ352" s="210"/>
      <c r="CK352" s="210"/>
    </row>
    <row r="353">
      <c r="A353" s="222" t="s">
        <v>442</v>
      </c>
      <c r="B353" s="190" t="s">
        <v>443</v>
      </c>
      <c r="C353" s="223" t="s">
        <v>83</v>
      </c>
      <c r="D353" s="223" t="s">
        <v>876</v>
      </c>
      <c r="E353" s="190" t="s">
        <v>21</v>
      </c>
      <c r="F353" s="13" t="s">
        <v>927</v>
      </c>
      <c r="G353" s="13" t="s">
        <v>918</v>
      </c>
      <c r="H353" s="219">
        <f>IFERROR(
  MINIFS(ATTENDANCE_LOG!$F:$F,
         ATTENDANCE_LOG!$A:$A, C353,
         ATTENDANCE_LOG!$B:$B, E353),
"")</f>
        <v>45764.41667</v>
      </c>
      <c r="I353" s="219">
        <f t="shared" si="2"/>
        <v>45764.41667</v>
      </c>
      <c r="J353" s="190">
        <f>IFERROR(VLOOKUP(F353, LEVEL_HELPER!$A:$B, 2, 0), "")</f>
        <v>1</v>
      </c>
      <c r="K353" s="190">
        <f>IFERROR(VLOOKUP(G353, LEVEL_HELPER!$A:$B, 2, 0), "")</f>
        <v>3</v>
      </c>
      <c r="L353" s="220" t="s">
        <v>943</v>
      </c>
      <c r="M353" s="220" t="s">
        <v>924</v>
      </c>
      <c r="N353" s="190">
        <f t="array" ref="N353">IFERROR(
  INDEX($J$2:$J$543,
    MATCH(A353&amp;TEXT(I353,"yyyy-mm-dd"),
          $A$2:$A$543&amp;TEXT($H$2:$H$543,"yyyy-mm-dd"),
          0)),
"")</f>
        <v>1</v>
      </c>
      <c r="O353" s="210">
        <f t="shared" si="3"/>
        <v>3.5</v>
      </c>
      <c r="P353" s="210">
        <f t="shared" ref="P353:Q353" si="363">IF(N353="",0,IF(N353&lt;=2,1,IF(N353&lt;=4,2,IF(N353&lt;=5.5,3,4))))</f>
        <v>1</v>
      </c>
      <c r="Q353" s="210">
        <f t="shared" si="363"/>
        <v>2</v>
      </c>
      <c r="R353" s="210" t="str">
        <f t="shared" si="5"/>
        <v>Lv1 → Lv2</v>
      </c>
      <c r="S353" s="210">
        <f t="shared" si="6"/>
        <v>1</v>
      </c>
      <c r="T353" s="210"/>
      <c r="U353" s="210"/>
      <c r="V353" s="210"/>
      <c r="W353" s="210"/>
      <c r="X353" s="210"/>
      <c r="Y353" s="210"/>
      <c r="Z353" s="210"/>
      <c r="AA353" s="210"/>
      <c r="AB353" s="210"/>
      <c r="AC353" s="210"/>
      <c r="AD353" s="210"/>
      <c r="AE353" s="210"/>
      <c r="AF353" s="210"/>
      <c r="AG353" s="210"/>
      <c r="AH353" s="210"/>
      <c r="AI353" s="210"/>
      <c r="AJ353" s="210"/>
      <c r="AK353" s="210"/>
      <c r="AL353" s="210"/>
      <c r="AM353" s="214"/>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c r="BU353" s="210"/>
      <c r="BV353" s="210"/>
      <c r="BW353" s="210"/>
      <c r="BX353" s="210"/>
      <c r="BY353" s="210"/>
      <c r="BZ353" s="210"/>
      <c r="CA353" s="210"/>
      <c r="CB353" s="210"/>
      <c r="CC353" s="210"/>
      <c r="CD353" s="210"/>
      <c r="CE353" s="210"/>
      <c r="CF353" s="210"/>
      <c r="CG353" s="210"/>
      <c r="CH353" s="210"/>
      <c r="CI353" s="210"/>
      <c r="CJ353" s="210"/>
      <c r="CK353" s="210"/>
    </row>
    <row r="354">
      <c r="A354" s="222" t="s">
        <v>633</v>
      </c>
      <c r="B354" s="190" t="s">
        <v>634</v>
      </c>
      <c r="C354" s="223" t="s">
        <v>83</v>
      </c>
      <c r="D354" s="223" t="s">
        <v>876</v>
      </c>
      <c r="E354" s="190" t="s">
        <v>21</v>
      </c>
      <c r="F354" s="13" t="s">
        <v>927</v>
      </c>
      <c r="G354" s="13" t="s">
        <v>918</v>
      </c>
      <c r="H354" s="219">
        <f>IFERROR(
  MINIFS(ATTENDANCE_LOG!$F:$F,
         ATTENDANCE_LOG!$A:$A, C354,
         ATTENDANCE_LOG!$B:$B, E354),
"")</f>
        <v>45764.41667</v>
      </c>
      <c r="I354" s="219">
        <f t="shared" si="2"/>
        <v>45764.41667</v>
      </c>
      <c r="J354" s="190">
        <f>IFERROR(VLOOKUP(F354, LEVEL_HELPER!$A:$B, 2, 0), "")</f>
        <v>1</v>
      </c>
      <c r="K354" s="190">
        <f>IFERROR(VLOOKUP(G354, LEVEL_HELPER!$A:$B, 2, 0), "")</f>
        <v>3</v>
      </c>
      <c r="L354" s="220" t="s">
        <v>943</v>
      </c>
      <c r="M354" s="220" t="s">
        <v>924</v>
      </c>
      <c r="N354" s="190">
        <f t="array" ref="N354">IFERROR(
  INDEX($J$2:$J$543,
    MATCH(A354&amp;TEXT(I354,"yyyy-mm-dd"),
          $A$2:$A$543&amp;TEXT($H$2:$H$543,"yyyy-mm-dd"),
          0)),
"")</f>
        <v>1</v>
      </c>
      <c r="O354" s="210">
        <f t="shared" si="3"/>
        <v>3</v>
      </c>
      <c r="P354" s="210">
        <f t="shared" ref="P354:Q354" si="364">IF(N354="",0,IF(N354&lt;=2,1,IF(N354&lt;=4,2,IF(N354&lt;=5.5,3,4))))</f>
        <v>1</v>
      </c>
      <c r="Q354" s="210">
        <f t="shared" si="364"/>
        <v>2</v>
      </c>
      <c r="R354" s="210" t="str">
        <f t="shared" si="5"/>
        <v>Lv1 → Lv2</v>
      </c>
      <c r="S354" s="210">
        <f t="shared" si="6"/>
        <v>1</v>
      </c>
      <c r="T354" s="210"/>
      <c r="U354" s="210"/>
      <c r="V354" s="210"/>
      <c r="W354" s="210"/>
      <c r="X354" s="210"/>
      <c r="Y354" s="210"/>
      <c r="Z354" s="210"/>
      <c r="AA354" s="210"/>
      <c r="AB354" s="210"/>
      <c r="AC354" s="210"/>
      <c r="AD354" s="210"/>
      <c r="AE354" s="210"/>
      <c r="AF354" s="210"/>
      <c r="AG354" s="210"/>
      <c r="AH354" s="210"/>
      <c r="AI354" s="210"/>
      <c r="AJ354" s="210"/>
      <c r="AK354" s="210"/>
      <c r="AL354" s="210"/>
      <c r="AM354" s="214"/>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c r="BU354" s="210"/>
      <c r="BV354" s="210"/>
      <c r="BW354" s="210"/>
      <c r="BX354" s="210"/>
      <c r="BY354" s="210"/>
      <c r="BZ354" s="210"/>
      <c r="CA354" s="210"/>
      <c r="CB354" s="210"/>
      <c r="CC354" s="210"/>
      <c r="CD354" s="210"/>
      <c r="CE354" s="210"/>
      <c r="CF354" s="210"/>
      <c r="CG354" s="210"/>
      <c r="CH354" s="210"/>
      <c r="CI354" s="210"/>
      <c r="CJ354" s="210"/>
      <c r="CK354" s="210"/>
    </row>
    <row r="355">
      <c r="A355" s="222" t="s">
        <v>641</v>
      </c>
      <c r="B355" s="190" t="s">
        <v>642</v>
      </c>
      <c r="C355" s="223" t="s">
        <v>83</v>
      </c>
      <c r="D355" s="223" t="s">
        <v>876</v>
      </c>
      <c r="E355" s="190" t="s">
        <v>21</v>
      </c>
      <c r="F355" s="13" t="s">
        <v>927</v>
      </c>
      <c r="G355" s="13" t="s">
        <v>935</v>
      </c>
      <c r="H355" s="219">
        <f>IFERROR(
  MINIFS(ATTENDANCE_LOG!$F:$F,
         ATTENDANCE_LOG!$A:$A, C355,
         ATTENDANCE_LOG!$B:$B, E355),
"")</f>
        <v>45764.41667</v>
      </c>
      <c r="I355" s="219">
        <f t="shared" si="2"/>
        <v>45764.41667</v>
      </c>
      <c r="J355" s="190">
        <f>IFERROR(VLOOKUP(F355, LEVEL_HELPER!$A:$B, 2, 0), "")</f>
        <v>1</v>
      </c>
      <c r="K355" s="190">
        <f>IFERROR(VLOOKUP(G355, LEVEL_HELPER!$A:$B, 2, 0), "")</f>
        <v>3.5</v>
      </c>
      <c r="L355" s="220" t="s">
        <v>943</v>
      </c>
      <c r="M355" s="220" t="s">
        <v>924</v>
      </c>
      <c r="N355" s="190">
        <f t="array" ref="N355">IFERROR(
  INDEX($J$2:$J$543,
    MATCH(A355&amp;TEXT(I355,"yyyy-mm-dd"),
          $A$2:$A$543&amp;TEXT($H$2:$H$543,"yyyy-mm-dd"),
          0)),
"")</f>
        <v>1</v>
      </c>
      <c r="O355" s="210">
        <f t="shared" si="3"/>
        <v>5</v>
      </c>
      <c r="P355" s="210">
        <f t="shared" ref="P355:Q355" si="365">IF(N355="",0,IF(N355&lt;=2,1,IF(N355&lt;=4,2,IF(N355&lt;=5.5,3,4))))</f>
        <v>1</v>
      </c>
      <c r="Q355" s="210">
        <f t="shared" si="365"/>
        <v>3</v>
      </c>
      <c r="R355" s="210" t="str">
        <f t="shared" si="5"/>
        <v>Lv1 → Lv3 (multi)</v>
      </c>
      <c r="S355" s="210">
        <f t="shared" si="6"/>
        <v>1</v>
      </c>
      <c r="T355" s="210"/>
      <c r="U355" s="210"/>
      <c r="V355" s="210"/>
      <c r="W355" s="210"/>
      <c r="X355" s="210"/>
      <c r="Y355" s="210"/>
      <c r="Z355" s="210"/>
      <c r="AA355" s="210"/>
      <c r="AB355" s="210"/>
      <c r="AC355" s="210"/>
      <c r="AD355" s="210"/>
      <c r="AE355" s="210"/>
      <c r="AF355" s="210"/>
      <c r="AG355" s="210"/>
      <c r="AH355" s="210"/>
      <c r="AI355" s="210"/>
      <c r="AJ355" s="210"/>
      <c r="AK355" s="210"/>
      <c r="AL355" s="210"/>
      <c r="AM355" s="214"/>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c r="BU355" s="210"/>
      <c r="BV355" s="210"/>
      <c r="BW355" s="210"/>
      <c r="BX355" s="210"/>
      <c r="BY355" s="210"/>
      <c r="BZ355" s="210"/>
      <c r="CA355" s="210"/>
      <c r="CB355" s="210"/>
      <c r="CC355" s="210"/>
      <c r="CD355" s="210"/>
      <c r="CE355" s="210"/>
      <c r="CF355" s="210"/>
      <c r="CG355" s="210"/>
      <c r="CH355" s="210"/>
      <c r="CI355" s="210"/>
      <c r="CJ355" s="210"/>
      <c r="CK355" s="210"/>
    </row>
    <row r="356">
      <c r="A356" s="222" t="s">
        <v>671</v>
      </c>
      <c r="B356" s="190" t="s">
        <v>672</v>
      </c>
      <c r="C356" s="223" t="s">
        <v>83</v>
      </c>
      <c r="D356" s="223" t="s">
        <v>876</v>
      </c>
      <c r="E356" s="190" t="s">
        <v>21</v>
      </c>
      <c r="F356" s="13" t="s">
        <v>927</v>
      </c>
      <c r="G356" s="13" t="s">
        <v>935</v>
      </c>
      <c r="H356" s="219">
        <f>IFERROR(
  MINIFS(ATTENDANCE_LOG!$F:$F,
         ATTENDANCE_LOG!$A:$A, C356,
         ATTENDANCE_LOG!$B:$B, E356),
"")</f>
        <v>45764.41667</v>
      </c>
      <c r="I356" s="219">
        <f t="shared" si="2"/>
        <v>45764.41667</v>
      </c>
      <c r="J356" s="190">
        <f>IFERROR(VLOOKUP(F356, LEVEL_HELPER!$A:$B, 2, 0), "")</f>
        <v>1</v>
      </c>
      <c r="K356" s="190">
        <f>IFERROR(VLOOKUP(G356, LEVEL_HELPER!$A:$B, 2, 0), "")</f>
        <v>3.5</v>
      </c>
      <c r="L356" s="220" t="s">
        <v>943</v>
      </c>
      <c r="M356" s="220" t="s">
        <v>924</v>
      </c>
      <c r="N356" s="190">
        <f t="array" ref="N356">IFERROR(
  INDEX($J$2:$J$543,
    MATCH(A356&amp;TEXT(I356,"yyyy-mm-dd"),
          $A$2:$A$543&amp;TEXT($H$2:$H$543,"yyyy-mm-dd"),
          0)),
"")</f>
        <v>1</v>
      </c>
      <c r="O356" s="210">
        <f t="shared" si="3"/>
        <v>3.5</v>
      </c>
      <c r="P356" s="210">
        <f t="shared" ref="P356:Q356" si="366">IF(N356="",0,IF(N356&lt;=2,1,IF(N356&lt;=4,2,IF(N356&lt;=5.5,3,4))))</f>
        <v>1</v>
      </c>
      <c r="Q356" s="210">
        <f t="shared" si="366"/>
        <v>2</v>
      </c>
      <c r="R356" s="210" t="str">
        <f t="shared" si="5"/>
        <v>Lv1 → Lv2</v>
      </c>
      <c r="S356" s="210">
        <f t="shared" si="6"/>
        <v>1</v>
      </c>
      <c r="T356" s="210"/>
      <c r="U356" s="210"/>
      <c r="V356" s="210"/>
      <c r="W356" s="210"/>
      <c r="X356" s="210"/>
      <c r="Y356" s="210"/>
      <c r="Z356" s="210"/>
      <c r="AA356" s="210"/>
      <c r="AB356" s="210"/>
      <c r="AC356" s="210"/>
      <c r="AD356" s="210"/>
      <c r="AE356" s="210"/>
      <c r="AF356" s="210"/>
      <c r="AG356" s="210"/>
      <c r="AH356" s="210"/>
      <c r="AI356" s="210"/>
      <c r="AJ356" s="210"/>
      <c r="AK356" s="210"/>
      <c r="AL356" s="210"/>
      <c r="AM356" s="214"/>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c r="BU356" s="210"/>
      <c r="BV356" s="210"/>
      <c r="BW356" s="210"/>
      <c r="BX356" s="210"/>
      <c r="BY356" s="210"/>
      <c r="BZ356" s="210"/>
      <c r="CA356" s="210"/>
      <c r="CB356" s="210"/>
      <c r="CC356" s="210"/>
      <c r="CD356" s="210"/>
      <c r="CE356" s="210"/>
      <c r="CF356" s="210"/>
      <c r="CG356" s="210"/>
      <c r="CH356" s="210"/>
      <c r="CI356" s="210"/>
      <c r="CJ356" s="210"/>
      <c r="CK356" s="210"/>
    </row>
    <row r="357">
      <c r="A357" s="222" t="s">
        <v>208</v>
      </c>
      <c r="B357" s="217" t="s">
        <v>209</v>
      </c>
      <c r="C357" s="218" t="s">
        <v>83</v>
      </c>
      <c r="D357" s="218" t="s">
        <v>876</v>
      </c>
      <c r="E357" s="217" t="s">
        <v>22</v>
      </c>
      <c r="F357" s="13" t="s">
        <v>935</v>
      </c>
      <c r="G357" s="13" t="s">
        <v>941</v>
      </c>
      <c r="H357" s="219">
        <f>IFERROR(
  MINIFS(ATTENDANCE_LOG!$F:$F,
         ATTENDANCE_LOG!$A:$A, C357,
         ATTENDANCE_LOG!$B:$B, E357),
"")</f>
        <v>45882.41667</v>
      </c>
      <c r="I357" s="219">
        <f t="shared" si="2"/>
        <v>45764.41667</v>
      </c>
      <c r="J357" s="190">
        <f>IFERROR(VLOOKUP(F357, LEVEL_HELPER!$A:$B, 2, 0), "")</f>
        <v>3.5</v>
      </c>
      <c r="K357" s="190">
        <f>IFERROR(VLOOKUP(G357, LEVEL_HELPER!$A:$B, 2, 0), "")</f>
        <v>5</v>
      </c>
      <c r="L357" s="220" t="s">
        <v>943</v>
      </c>
      <c r="M357" s="220" t="s">
        <v>924</v>
      </c>
      <c r="N357" s="190">
        <f t="array" ref="N357">IFERROR(
  INDEX($J$2:$J$543,
    MATCH(A357&amp;TEXT(I357,"yyyy-mm-dd"),
          $A$2:$A$543&amp;TEXT($H$2:$H$543,"yyyy-mm-dd"),
          0)),
"")</f>
        <v>1</v>
      </c>
      <c r="O357" s="210">
        <f t="shared" si="3"/>
        <v>5</v>
      </c>
      <c r="P357" s="210">
        <f t="shared" ref="P357:Q357" si="367">IF(N357="",0,IF(N357&lt;=2,1,IF(N357&lt;=4,2,IF(N357&lt;=5.5,3,4))))</f>
        <v>1</v>
      </c>
      <c r="Q357" s="210">
        <f t="shared" si="367"/>
        <v>3</v>
      </c>
      <c r="R357" s="210" t="str">
        <f t="shared" si="5"/>
        <v>Lv1 → Lv3 (multi)</v>
      </c>
      <c r="S357" s="210">
        <f t="shared" si="6"/>
        <v>0</v>
      </c>
      <c r="T357" s="210"/>
      <c r="U357" s="210"/>
      <c r="V357" s="210"/>
      <c r="W357" s="210"/>
      <c r="X357" s="210"/>
      <c r="Y357" s="210"/>
      <c r="Z357" s="210"/>
      <c r="AA357" s="210"/>
      <c r="AB357" s="210"/>
      <c r="AC357" s="210"/>
      <c r="AD357" s="210"/>
      <c r="AE357" s="210"/>
      <c r="AF357" s="210"/>
      <c r="AG357" s="210"/>
      <c r="AH357" s="210"/>
      <c r="AI357" s="210"/>
      <c r="AJ357" s="210"/>
      <c r="AK357" s="210"/>
      <c r="AL357" s="210"/>
      <c r="AM357" s="214"/>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c r="BU357" s="210"/>
      <c r="BV357" s="210"/>
      <c r="BW357" s="210"/>
      <c r="BX357" s="210"/>
      <c r="BY357" s="210"/>
      <c r="BZ357" s="210"/>
      <c r="CA357" s="210"/>
      <c r="CB357" s="210"/>
      <c r="CC357" s="210"/>
      <c r="CD357" s="210"/>
      <c r="CE357" s="210"/>
      <c r="CF357" s="210"/>
      <c r="CG357" s="210"/>
      <c r="CH357" s="210"/>
      <c r="CI357" s="210"/>
      <c r="CJ357" s="210"/>
      <c r="CK357" s="210"/>
    </row>
    <row r="358">
      <c r="A358" s="222" t="s">
        <v>241</v>
      </c>
      <c r="B358" s="190" t="s">
        <v>242</v>
      </c>
      <c r="C358" s="223" t="s">
        <v>83</v>
      </c>
      <c r="D358" s="223" t="s">
        <v>876</v>
      </c>
      <c r="E358" s="190" t="s">
        <v>22</v>
      </c>
      <c r="F358" s="13" t="s">
        <v>929</v>
      </c>
      <c r="G358" s="13" t="s">
        <v>918</v>
      </c>
      <c r="H358" s="219">
        <f>IFERROR(
  MINIFS(ATTENDANCE_LOG!$F:$F,
         ATTENDANCE_LOG!$A:$A, C358,
         ATTENDANCE_LOG!$B:$B, E358),
"")</f>
        <v>45882.41667</v>
      </c>
      <c r="I358" s="219">
        <f t="shared" si="2"/>
        <v>45764.58333</v>
      </c>
      <c r="J358" s="190">
        <f>IFERROR(VLOOKUP(F358, LEVEL_HELPER!$A:$B, 2, 0), "")</f>
        <v>1.5</v>
      </c>
      <c r="K358" s="190">
        <f>IFERROR(VLOOKUP(G358, LEVEL_HELPER!$A:$B, 2, 0), "")</f>
        <v>3</v>
      </c>
      <c r="L358" s="220" t="s">
        <v>919</v>
      </c>
      <c r="M358" s="220" t="s">
        <v>924</v>
      </c>
      <c r="N358" s="190">
        <f t="array" ref="N358">IFERROR(
  INDEX($J$2:$J$543,
    MATCH(A358&amp;TEXT(I358,"yyyy-mm-dd"),
          $A$2:$A$543&amp;TEXT($H$2:$H$543,"yyyy-mm-dd"),
          0)),
"")</f>
        <v>1</v>
      </c>
      <c r="O358" s="210">
        <f t="shared" si="3"/>
        <v>3</v>
      </c>
      <c r="P358" s="210">
        <f t="shared" ref="P358:Q358" si="368">IF(N358="",0,IF(N358&lt;=2,1,IF(N358&lt;=4,2,IF(N358&lt;=5.5,3,4))))</f>
        <v>1</v>
      </c>
      <c r="Q358" s="210">
        <f t="shared" si="368"/>
        <v>2</v>
      </c>
      <c r="R358" s="210" t="str">
        <f t="shared" si="5"/>
        <v>Lv1 → Lv2</v>
      </c>
      <c r="S358" s="210">
        <f t="shared" si="6"/>
        <v>1</v>
      </c>
      <c r="T358" s="210"/>
      <c r="U358" s="210"/>
      <c r="V358" s="210"/>
      <c r="W358" s="210"/>
      <c r="X358" s="210"/>
      <c r="Y358" s="210"/>
      <c r="Z358" s="210"/>
      <c r="AA358" s="210"/>
      <c r="AB358" s="210"/>
      <c r="AC358" s="210"/>
      <c r="AD358" s="210"/>
      <c r="AE358" s="210"/>
      <c r="AF358" s="210"/>
      <c r="AG358" s="210"/>
      <c r="AH358" s="210"/>
      <c r="AI358" s="210"/>
      <c r="AJ358" s="210"/>
      <c r="AK358" s="210"/>
      <c r="AL358" s="210"/>
      <c r="AM358" s="214"/>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c r="BU358" s="210"/>
      <c r="BV358" s="210"/>
      <c r="BW358" s="210"/>
      <c r="BX358" s="210"/>
      <c r="BY358" s="210"/>
      <c r="BZ358" s="210"/>
      <c r="CA358" s="210"/>
      <c r="CB358" s="210"/>
      <c r="CC358" s="210"/>
      <c r="CD358" s="210"/>
      <c r="CE358" s="210"/>
      <c r="CF358" s="210"/>
      <c r="CG358" s="210"/>
      <c r="CH358" s="210"/>
      <c r="CI358" s="210"/>
      <c r="CJ358" s="210"/>
      <c r="CK358" s="210"/>
    </row>
    <row r="359">
      <c r="A359" s="222" t="s">
        <v>243</v>
      </c>
      <c r="B359" s="190" t="s">
        <v>244</v>
      </c>
      <c r="C359" s="223" t="s">
        <v>83</v>
      </c>
      <c r="D359" s="223" t="s">
        <v>876</v>
      </c>
      <c r="E359" s="190" t="s">
        <v>22</v>
      </c>
      <c r="F359" s="13" t="s">
        <v>927</v>
      </c>
      <c r="G359" s="13" t="s">
        <v>918</v>
      </c>
      <c r="H359" s="219">
        <f>IFERROR(
  MINIFS(ATTENDANCE_LOG!$F:$F,
         ATTENDANCE_LOG!$A:$A, C359,
         ATTENDANCE_LOG!$B:$B, E359),
"")</f>
        <v>45882.41667</v>
      </c>
      <c r="I359" s="219">
        <f t="shared" si="2"/>
        <v>45764.41667</v>
      </c>
      <c r="J359" s="190">
        <f>IFERROR(VLOOKUP(F359, LEVEL_HELPER!$A:$B, 2, 0), "")</f>
        <v>1</v>
      </c>
      <c r="K359" s="190">
        <f>IFERROR(VLOOKUP(G359, LEVEL_HELPER!$A:$B, 2, 0), "")</f>
        <v>3</v>
      </c>
      <c r="L359" s="220" t="s">
        <v>943</v>
      </c>
      <c r="M359" s="220" t="s">
        <v>924</v>
      </c>
      <c r="N359" s="190">
        <f t="array" ref="N359">IFERROR(
  INDEX($J$2:$J$543,
    MATCH(A359&amp;TEXT(I359,"yyyy-mm-dd"),
          $A$2:$A$543&amp;TEXT($H$2:$H$543,"yyyy-mm-dd"),
          0)),
"")</f>
        <v>1</v>
      </c>
      <c r="O359" s="210">
        <f t="shared" si="3"/>
        <v>3</v>
      </c>
      <c r="P359" s="210">
        <f t="shared" ref="P359:Q359" si="369">IF(N359="",0,IF(N359&lt;=2,1,IF(N359&lt;=4,2,IF(N359&lt;=5.5,3,4))))</f>
        <v>1</v>
      </c>
      <c r="Q359" s="210">
        <f t="shared" si="369"/>
        <v>2</v>
      </c>
      <c r="R359" s="210" t="str">
        <f t="shared" si="5"/>
        <v>Lv1 → Lv2</v>
      </c>
      <c r="S359" s="210">
        <f t="shared" si="6"/>
        <v>0</v>
      </c>
      <c r="T359" s="210"/>
      <c r="U359" s="210"/>
      <c r="V359" s="210"/>
      <c r="W359" s="210"/>
      <c r="X359" s="210"/>
      <c r="Y359" s="210"/>
      <c r="Z359" s="210"/>
      <c r="AA359" s="210"/>
      <c r="AB359" s="210"/>
      <c r="AC359" s="210"/>
      <c r="AD359" s="210"/>
      <c r="AE359" s="210"/>
      <c r="AF359" s="210"/>
      <c r="AG359" s="210"/>
      <c r="AH359" s="210"/>
      <c r="AI359" s="210"/>
      <c r="AJ359" s="210"/>
      <c r="AK359" s="210"/>
      <c r="AL359" s="210"/>
      <c r="AM359" s="214"/>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c r="BU359" s="210"/>
      <c r="BV359" s="210"/>
      <c r="BW359" s="210"/>
      <c r="BX359" s="210"/>
      <c r="BY359" s="210"/>
      <c r="BZ359" s="210"/>
      <c r="CA359" s="210"/>
      <c r="CB359" s="210"/>
      <c r="CC359" s="210"/>
      <c r="CD359" s="210"/>
      <c r="CE359" s="210"/>
      <c r="CF359" s="210"/>
      <c r="CG359" s="210"/>
      <c r="CH359" s="210"/>
      <c r="CI359" s="210"/>
      <c r="CJ359" s="210"/>
      <c r="CK359" s="210"/>
    </row>
    <row r="360">
      <c r="A360" s="222" t="s">
        <v>305</v>
      </c>
      <c r="B360" s="190" t="s">
        <v>306</v>
      </c>
      <c r="C360" s="223" t="s">
        <v>83</v>
      </c>
      <c r="D360" s="223" t="s">
        <v>876</v>
      </c>
      <c r="E360" s="190" t="s">
        <v>22</v>
      </c>
      <c r="F360" s="13" t="s">
        <v>929</v>
      </c>
      <c r="G360" s="13" t="s">
        <v>918</v>
      </c>
      <c r="H360" s="219">
        <f>IFERROR(
  MINIFS(ATTENDANCE_LOG!$F:$F,
         ATTENDANCE_LOG!$A:$A, C360,
         ATTENDANCE_LOG!$B:$B, E360),
"")</f>
        <v>45882.41667</v>
      </c>
      <c r="I360" s="219">
        <f t="shared" si="2"/>
        <v>45764.41667</v>
      </c>
      <c r="J360" s="190">
        <f>IFERROR(VLOOKUP(F360, LEVEL_HELPER!$A:$B, 2, 0), "")</f>
        <v>1.5</v>
      </c>
      <c r="K360" s="190">
        <f>IFERROR(VLOOKUP(G360, LEVEL_HELPER!$A:$B, 2, 0), "")</f>
        <v>3</v>
      </c>
      <c r="L360" s="220" t="s">
        <v>943</v>
      </c>
      <c r="M360" s="220" t="s">
        <v>924</v>
      </c>
      <c r="N360" s="190">
        <f t="array" ref="N360">IFERROR(
  INDEX($J$2:$J$543,
    MATCH(A360&amp;TEXT(I360,"yyyy-mm-dd"),
          $A$2:$A$543&amp;TEXT($H$2:$H$543,"yyyy-mm-dd"),
          0)),
"")</f>
        <v>1</v>
      </c>
      <c r="O360" s="210">
        <f t="shared" si="3"/>
        <v>3</v>
      </c>
      <c r="P360" s="210">
        <f t="shared" ref="P360:Q360" si="370">IF(N360="",0,IF(N360&lt;=2,1,IF(N360&lt;=4,2,IF(N360&lt;=5.5,3,4))))</f>
        <v>1</v>
      </c>
      <c r="Q360" s="210">
        <f t="shared" si="370"/>
        <v>2</v>
      </c>
      <c r="R360" s="210" t="str">
        <f t="shared" si="5"/>
        <v>Lv1 → Lv2</v>
      </c>
      <c r="S360" s="210">
        <f t="shared" si="6"/>
        <v>0</v>
      </c>
      <c r="T360" s="210"/>
      <c r="U360" s="210"/>
      <c r="V360" s="210"/>
      <c r="W360" s="210"/>
      <c r="X360" s="210"/>
      <c r="Y360" s="210"/>
      <c r="Z360" s="210"/>
      <c r="AA360" s="210"/>
      <c r="AB360" s="210"/>
      <c r="AC360" s="210"/>
      <c r="AD360" s="210"/>
      <c r="AE360" s="210"/>
      <c r="AF360" s="210"/>
      <c r="AG360" s="210"/>
      <c r="AH360" s="210"/>
      <c r="AI360" s="210"/>
      <c r="AJ360" s="210"/>
      <c r="AK360" s="210"/>
      <c r="AL360" s="210"/>
      <c r="AM360" s="214"/>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c r="BU360" s="210"/>
      <c r="BV360" s="210"/>
      <c r="BW360" s="210"/>
      <c r="BX360" s="210"/>
      <c r="BY360" s="210"/>
      <c r="BZ360" s="210"/>
      <c r="CA360" s="210"/>
      <c r="CB360" s="210"/>
      <c r="CC360" s="210"/>
      <c r="CD360" s="210"/>
      <c r="CE360" s="210"/>
      <c r="CF360" s="210"/>
      <c r="CG360" s="210"/>
      <c r="CH360" s="210"/>
      <c r="CI360" s="210"/>
      <c r="CJ360" s="210"/>
      <c r="CK360" s="210"/>
    </row>
    <row r="361">
      <c r="A361" s="222" t="s">
        <v>442</v>
      </c>
      <c r="B361" s="190" t="s">
        <v>443</v>
      </c>
      <c r="C361" s="223" t="s">
        <v>83</v>
      </c>
      <c r="D361" s="223" t="s">
        <v>876</v>
      </c>
      <c r="E361" s="190" t="s">
        <v>22</v>
      </c>
      <c r="F361" s="13" t="s">
        <v>918</v>
      </c>
      <c r="G361" s="13" t="s">
        <v>935</v>
      </c>
      <c r="H361" s="219">
        <f>IFERROR(
  MINIFS(ATTENDANCE_LOG!$F:$F,
         ATTENDANCE_LOG!$A:$A, C361,
         ATTENDANCE_LOG!$B:$B, E361),
"")</f>
        <v>45882.41667</v>
      </c>
      <c r="I361" s="219">
        <f t="shared" si="2"/>
        <v>45764.41667</v>
      </c>
      <c r="J361" s="190">
        <f>IFERROR(VLOOKUP(F361, LEVEL_HELPER!$A:$B, 2, 0), "")</f>
        <v>3</v>
      </c>
      <c r="K361" s="190">
        <f>IFERROR(VLOOKUP(G361, LEVEL_HELPER!$A:$B, 2, 0), "")</f>
        <v>3.5</v>
      </c>
      <c r="L361" s="220" t="s">
        <v>943</v>
      </c>
      <c r="M361" s="220" t="s">
        <v>924</v>
      </c>
      <c r="N361" s="190">
        <f t="array" ref="N361">IFERROR(
  INDEX($J$2:$J$543,
    MATCH(A361&amp;TEXT(I361,"yyyy-mm-dd"),
          $A$2:$A$543&amp;TEXT($H$2:$H$543,"yyyy-mm-dd"),
          0)),
"")</f>
        <v>1</v>
      </c>
      <c r="O361" s="210">
        <f t="shared" si="3"/>
        <v>3.5</v>
      </c>
      <c r="P361" s="210">
        <f t="shared" ref="P361:Q361" si="371">IF(N361="",0,IF(N361&lt;=2,1,IF(N361&lt;=4,2,IF(N361&lt;=5.5,3,4))))</f>
        <v>1</v>
      </c>
      <c r="Q361" s="210">
        <f t="shared" si="371"/>
        <v>2</v>
      </c>
      <c r="R361" s="210" t="str">
        <f t="shared" si="5"/>
        <v>Lv1 → Lv2</v>
      </c>
      <c r="S361" s="210">
        <f t="shared" si="6"/>
        <v>0</v>
      </c>
      <c r="T361" s="210"/>
      <c r="U361" s="210"/>
      <c r="V361" s="210"/>
      <c r="W361" s="210"/>
      <c r="X361" s="210"/>
      <c r="Y361" s="210"/>
      <c r="Z361" s="210"/>
      <c r="AA361" s="210"/>
      <c r="AB361" s="210"/>
      <c r="AC361" s="210"/>
      <c r="AD361" s="210"/>
      <c r="AE361" s="210"/>
      <c r="AF361" s="210"/>
      <c r="AG361" s="210"/>
      <c r="AH361" s="210"/>
      <c r="AI361" s="210"/>
      <c r="AJ361" s="210"/>
      <c r="AK361" s="210"/>
      <c r="AL361" s="210"/>
      <c r="AM361" s="214"/>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c r="BU361" s="210"/>
      <c r="BV361" s="210"/>
      <c r="BW361" s="210"/>
      <c r="BX361" s="210"/>
      <c r="BY361" s="210"/>
      <c r="BZ361" s="210"/>
      <c r="CA361" s="210"/>
      <c r="CB361" s="210"/>
      <c r="CC361" s="210"/>
      <c r="CD361" s="210"/>
      <c r="CE361" s="210"/>
      <c r="CF361" s="210"/>
      <c r="CG361" s="210"/>
      <c r="CH361" s="210"/>
      <c r="CI361" s="210"/>
      <c r="CJ361" s="210"/>
      <c r="CK361" s="210"/>
    </row>
    <row r="362">
      <c r="A362" s="222" t="s">
        <v>463</v>
      </c>
      <c r="B362" s="190" t="s">
        <v>464</v>
      </c>
      <c r="C362" s="223" t="s">
        <v>83</v>
      </c>
      <c r="D362" s="223" t="s">
        <v>876</v>
      </c>
      <c r="E362" s="190" t="s">
        <v>22</v>
      </c>
      <c r="F362" s="13" t="s">
        <v>929</v>
      </c>
      <c r="G362" s="190"/>
      <c r="H362" s="219">
        <f>IFERROR(
  MINIFS(ATTENDANCE_LOG!$F:$F,
         ATTENDANCE_LOG!$A:$A, C362,
         ATTENDANCE_LOG!$B:$B, E362),
"")</f>
        <v>45882.41667</v>
      </c>
      <c r="I362" s="219">
        <f t="shared" si="2"/>
        <v>45764.58333</v>
      </c>
      <c r="J362" s="190">
        <f>IFERROR(VLOOKUP(F362, LEVEL_HELPER!$A:$B, 2, 0), "")</f>
        <v>1.5</v>
      </c>
      <c r="K362" s="190" t="str">
        <f>IFERROR(VLOOKUP(G362, LEVEL_HELPER!$A:$B, 2, 0), "")</f>
        <v/>
      </c>
      <c r="L362" s="220" t="s">
        <v>919</v>
      </c>
      <c r="M362" s="220" t="s">
        <v>924</v>
      </c>
      <c r="N362" s="190">
        <f t="array" ref="N362">IFERROR(
  INDEX($J$2:$J$543,
    MATCH(A362&amp;TEXT(I362,"yyyy-mm-dd"),
          $A$2:$A$543&amp;TEXT($H$2:$H$543,"yyyy-mm-dd"),
          0)),
"")</f>
        <v>1</v>
      </c>
      <c r="O362" s="210">
        <f t="shared" si="3"/>
        <v>1.5</v>
      </c>
      <c r="P362" s="210">
        <f t="shared" ref="P362:Q362" si="372">IF(N362="",0,IF(N362&lt;=2,1,IF(N362&lt;=4,2,IF(N362&lt;=5.5,3,4))))</f>
        <v>1</v>
      </c>
      <c r="Q362" s="210">
        <f t="shared" si="372"/>
        <v>1</v>
      </c>
      <c r="R362" s="210" t="str">
        <f t="shared" si="5"/>
        <v>Progress within level</v>
      </c>
      <c r="S362" s="210">
        <f t="shared" si="6"/>
        <v>1</v>
      </c>
      <c r="T362" s="210"/>
      <c r="U362" s="210"/>
      <c r="V362" s="210"/>
      <c r="W362" s="210"/>
      <c r="X362" s="210"/>
      <c r="Y362" s="210"/>
      <c r="Z362" s="210"/>
      <c r="AA362" s="210"/>
      <c r="AB362" s="210"/>
      <c r="AC362" s="210"/>
      <c r="AD362" s="210"/>
      <c r="AE362" s="210"/>
      <c r="AF362" s="210"/>
      <c r="AG362" s="210"/>
      <c r="AH362" s="210"/>
      <c r="AI362" s="210"/>
      <c r="AJ362" s="210"/>
      <c r="AK362" s="210"/>
      <c r="AL362" s="210"/>
      <c r="AM362" s="214"/>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c r="BU362" s="210"/>
      <c r="BV362" s="210"/>
      <c r="BW362" s="210"/>
      <c r="BX362" s="210"/>
      <c r="BY362" s="210"/>
      <c r="BZ362" s="210"/>
      <c r="CA362" s="210"/>
      <c r="CB362" s="210"/>
      <c r="CC362" s="210"/>
      <c r="CD362" s="210"/>
      <c r="CE362" s="210"/>
      <c r="CF362" s="210"/>
      <c r="CG362" s="210"/>
      <c r="CH362" s="210"/>
      <c r="CI362" s="210"/>
      <c r="CJ362" s="210"/>
      <c r="CK362" s="210"/>
    </row>
    <row r="363">
      <c r="A363" s="222" t="s">
        <v>633</v>
      </c>
      <c r="B363" s="190" t="s">
        <v>634</v>
      </c>
      <c r="C363" s="223" t="s">
        <v>83</v>
      </c>
      <c r="D363" s="223" t="s">
        <v>876</v>
      </c>
      <c r="E363" s="190" t="s">
        <v>22</v>
      </c>
      <c r="F363" s="13" t="s">
        <v>918</v>
      </c>
      <c r="G363" s="13" t="s">
        <v>929</v>
      </c>
      <c r="H363" s="219">
        <f>IFERROR(
  MINIFS(ATTENDANCE_LOG!$F:$F,
         ATTENDANCE_LOG!$A:$A, C363,
         ATTENDANCE_LOG!$B:$B, E363),
"")</f>
        <v>45882.41667</v>
      </c>
      <c r="I363" s="219">
        <f t="shared" si="2"/>
        <v>45764.41667</v>
      </c>
      <c r="J363" s="190">
        <f>IFERROR(VLOOKUP(F363, LEVEL_HELPER!$A:$B, 2, 0), "")</f>
        <v>3</v>
      </c>
      <c r="K363" s="190">
        <f>IFERROR(VLOOKUP(G363, LEVEL_HELPER!$A:$B, 2, 0), "")</f>
        <v>1.5</v>
      </c>
      <c r="L363" s="220" t="s">
        <v>943</v>
      </c>
      <c r="M363" s="220" t="s">
        <v>924</v>
      </c>
      <c r="N363" s="190">
        <f t="array" ref="N363">IFERROR(
  INDEX($J$2:$J$543,
    MATCH(A363&amp;TEXT(I363,"yyyy-mm-dd"),
          $A$2:$A$543&amp;TEXT($H$2:$H$543,"yyyy-mm-dd"),
          0)),
"")</f>
        <v>1</v>
      </c>
      <c r="O363" s="210">
        <f t="shared" si="3"/>
        <v>3</v>
      </c>
      <c r="P363" s="210">
        <f t="shared" ref="P363:Q363" si="373">IF(N363="",0,IF(N363&lt;=2,1,IF(N363&lt;=4,2,IF(N363&lt;=5.5,3,4))))</f>
        <v>1</v>
      </c>
      <c r="Q363" s="210">
        <f t="shared" si="373"/>
        <v>2</v>
      </c>
      <c r="R363" s="210" t="str">
        <f t="shared" si="5"/>
        <v>Lv1 → Lv2</v>
      </c>
      <c r="S363" s="210">
        <f t="shared" si="6"/>
        <v>0</v>
      </c>
      <c r="T363" s="210"/>
      <c r="U363" s="210"/>
      <c r="V363" s="210"/>
      <c r="W363" s="210"/>
      <c r="X363" s="210"/>
      <c r="Y363" s="210"/>
      <c r="Z363" s="210"/>
      <c r="AA363" s="210"/>
      <c r="AB363" s="210"/>
      <c r="AC363" s="210"/>
      <c r="AD363" s="210"/>
      <c r="AE363" s="210"/>
      <c r="AF363" s="210"/>
      <c r="AG363" s="210"/>
      <c r="AH363" s="210"/>
      <c r="AI363" s="210"/>
      <c r="AJ363" s="210"/>
      <c r="AK363" s="210"/>
      <c r="AL363" s="210"/>
      <c r="AM363" s="214"/>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c r="BU363" s="210"/>
      <c r="BV363" s="210"/>
      <c r="BW363" s="210"/>
      <c r="BX363" s="210"/>
      <c r="BY363" s="210"/>
      <c r="BZ363" s="210"/>
      <c r="CA363" s="210"/>
      <c r="CB363" s="210"/>
      <c r="CC363" s="210"/>
      <c r="CD363" s="210"/>
      <c r="CE363" s="210"/>
      <c r="CF363" s="210"/>
      <c r="CG363" s="210"/>
      <c r="CH363" s="210"/>
      <c r="CI363" s="210"/>
      <c r="CJ363" s="210"/>
      <c r="CK363" s="210"/>
    </row>
    <row r="364">
      <c r="A364" s="222" t="s">
        <v>641</v>
      </c>
      <c r="B364" s="190" t="s">
        <v>642</v>
      </c>
      <c r="C364" s="223" t="s">
        <v>83</v>
      </c>
      <c r="D364" s="223" t="s">
        <v>876</v>
      </c>
      <c r="E364" s="190" t="s">
        <v>22</v>
      </c>
      <c r="F364" s="13" t="s">
        <v>935</v>
      </c>
      <c r="G364" s="13" t="s">
        <v>941</v>
      </c>
      <c r="H364" s="219">
        <f>IFERROR(
  MINIFS(ATTENDANCE_LOG!$F:$F,
         ATTENDANCE_LOG!$A:$A, C364,
         ATTENDANCE_LOG!$B:$B, E364),
"")</f>
        <v>45882.41667</v>
      </c>
      <c r="I364" s="219">
        <f t="shared" si="2"/>
        <v>45764.41667</v>
      </c>
      <c r="J364" s="190">
        <f>IFERROR(VLOOKUP(F364, LEVEL_HELPER!$A:$B, 2, 0), "")</f>
        <v>3.5</v>
      </c>
      <c r="K364" s="190">
        <f>IFERROR(VLOOKUP(G364, LEVEL_HELPER!$A:$B, 2, 0), "")</f>
        <v>5</v>
      </c>
      <c r="L364" s="220" t="s">
        <v>943</v>
      </c>
      <c r="M364" s="220" t="s">
        <v>924</v>
      </c>
      <c r="N364" s="190">
        <f t="array" ref="N364">IFERROR(
  INDEX($J$2:$J$543,
    MATCH(A364&amp;TEXT(I364,"yyyy-mm-dd"),
          $A$2:$A$543&amp;TEXT($H$2:$H$543,"yyyy-mm-dd"),
          0)),
"")</f>
        <v>1</v>
      </c>
      <c r="O364" s="210">
        <f t="shared" si="3"/>
        <v>5</v>
      </c>
      <c r="P364" s="210">
        <f t="shared" ref="P364:Q364" si="374">IF(N364="",0,IF(N364&lt;=2,1,IF(N364&lt;=4,2,IF(N364&lt;=5.5,3,4))))</f>
        <v>1</v>
      </c>
      <c r="Q364" s="210">
        <f t="shared" si="374"/>
        <v>3</v>
      </c>
      <c r="R364" s="210" t="str">
        <f t="shared" si="5"/>
        <v>Lv1 → Lv3 (multi)</v>
      </c>
      <c r="S364" s="210">
        <f t="shared" si="6"/>
        <v>0</v>
      </c>
      <c r="T364" s="210"/>
      <c r="U364" s="210"/>
      <c r="V364" s="210"/>
      <c r="W364" s="210"/>
      <c r="X364" s="210"/>
      <c r="Y364" s="210"/>
      <c r="Z364" s="210"/>
      <c r="AA364" s="210"/>
      <c r="AB364" s="210"/>
      <c r="AC364" s="210"/>
      <c r="AD364" s="210"/>
      <c r="AE364" s="210"/>
      <c r="AF364" s="210"/>
      <c r="AG364" s="210"/>
      <c r="AH364" s="210"/>
      <c r="AI364" s="210"/>
      <c r="AJ364" s="210"/>
      <c r="AK364" s="210"/>
      <c r="AL364" s="210"/>
      <c r="AM364" s="214"/>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c r="BU364" s="210"/>
      <c r="BV364" s="210"/>
      <c r="BW364" s="210"/>
      <c r="BX364" s="210"/>
      <c r="BY364" s="210"/>
      <c r="BZ364" s="210"/>
      <c r="CA364" s="210"/>
      <c r="CB364" s="210"/>
      <c r="CC364" s="210"/>
      <c r="CD364" s="210"/>
      <c r="CE364" s="210"/>
      <c r="CF364" s="210"/>
      <c r="CG364" s="210"/>
      <c r="CH364" s="210"/>
      <c r="CI364" s="210"/>
      <c r="CJ364" s="210"/>
      <c r="CK364" s="210"/>
    </row>
    <row r="365">
      <c r="A365" s="222" t="s">
        <v>671</v>
      </c>
      <c r="B365" s="190" t="s">
        <v>672</v>
      </c>
      <c r="C365" s="223" t="s">
        <v>83</v>
      </c>
      <c r="D365" s="223" t="s">
        <v>876</v>
      </c>
      <c r="E365" s="190" t="s">
        <v>22</v>
      </c>
      <c r="F365" s="13" t="s">
        <v>935</v>
      </c>
      <c r="G365" s="13" t="s">
        <v>935</v>
      </c>
      <c r="H365" s="219">
        <f>IFERROR(
  MINIFS(ATTENDANCE_LOG!$F:$F,
         ATTENDANCE_LOG!$A:$A, C365,
         ATTENDANCE_LOG!$B:$B, E365),
"")</f>
        <v>45882.41667</v>
      </c>
      <c r="I365" s="219">
        <f t="shared" si="2"/>
        <v>45764.41667</v>
      </c>
      <c r="J365" s="190">
        <f>IFERROR(VLOOKUP(F365, LEVEL_HELPER!$A:$B, 2, 0), "")</f>
        <v>3.5</v>
      </c>
      <c r="K365" s="190">
        <f>IFERROR(VLOOKUP(G365, LEVEL_HELPER!$A:$B, 2, 0), "")</f>
        <v>3.5</v>
      </c>
      <c r="L365" s="220" t="s">
        <v>943</v>
      </c>
      <c r="M365" s="220" t="s">
        <v>924</v>
      </c>
      <c r="N365" s="190">
        <f t="array" ref="N365">IFERROR(
  INDEX($J$2:$J$543,
    MATCH(A365&amp;TEXT(I365,"yyyy-mm-dd"),
          $A$2:$A$543&amp;TEXT($H$2:$H$543,"yyyy-mm-dd"),
          0)),
"")</f>
        <v>1</v>
      </c>
      <c r="O365" s="210">
        <f t="shared" si="3"/>
        <v>3.5</v>
      </c>
      <c r="P365" s="210">
        <f t="shared" ref="P365:Q365" si="375">IF(N365="",0,IF(N365&lt;=2,1,IF(N365&lt;=4,2,IF(N365&lt;=5.5,3,4))))</f>
        <v>1</v>
      </c>
      <c r="Q365" s="210">
        <f t="shared" si="375"/>
        <v>2</v>
      </c>
      <c r="R365" s="210" t="str">
        <f t="shared" si="5"/>
        <v>Lv1 → Lv2</v>
      </c>
      <c r="S365" s="210">
        <f t="shared" si="6"/>
        <v>0</v>
      </c>
      <c r="T365" s="210"/>
      <c r="U365" s="210"/>
      <c r="V365" s="210"/>
      <c r="W365" s="210"/>
      <c r="X365" s="210"/>
      <c r="Y365" s="210"/>
      <c r="Z365" s="210"/>
      <c r="AA365" s="210"/>
      <c r="AB365" s="210"/>
      <c r="AC365" s="210"/>
      <c r="AD365" s="210"/>
      <c r="AE365" s="210"/>
      <c r="AF365" s="210"/>
      <c r="AG365" s="210"/>
      <c r="AH365" s="210"/>
      <c r="AI365" s="210"/>
      <c r="AJ365" s="210"/>
      <c r="AK365" s="210"/>
      <c r="AL365" s="210"/>
      <c r="AM365" s="214"/>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c r="BU365" s="210"/>
      <c r="BV365" s="210"/>
      <c r="BW365" s="210"/>
      <c r="BX365" s="210"/>
      <c r="BY365" s="210"/>
      <c r="BZ365" s="210"/>
      <c r="CA365" s="210"/>
      <c r="CB365" s="210"/>
      <c r="CC365" s="210"/>
      <c r="CD365" s="210"/>
      <c r="CE365" s="210"/>
      <c r="CF365" s="210"/>
      <c r="CG365" s="210"/>
      <c r="CH365" s="210"/>
      <c r="CI365" s="210"/>
      <c r="CJ365" s="210"/>
      <c r="CK365" s="210"/>
    </row>
    <row r="366">
      <c r="A366" s="216" t="s">
        <v>649</v>
      </c>
      <c r="B366" s="217" t="s">
        <v>650</v>
      </c>
      <c r="C366" s="218" t="s">
        <v>84</v>
      </c>
      <c r="D366" s="218" t="s">
        <v>877</v>
      </c>
      <c r="E366" s="217" t="s">
        <v>24</v>
      </c>
      <c r="F366" s="190"/>
      <c r="G366" s="190"/>
      <c r="H366" s="219">
        <f>IFERROR(
  MINIFS(ATTENDANCE_LOG!$F:$F,
         ATTENDANCE_LOG!$A:$A, C366,
         ATTENDANCE_LOG!$B:$B, E366),
"")</f>
        <v>46091.54167</v>
      </c>
      <c r="I366" s="219">
        <f t="shared" si="2"/>
        <v>45764.58333</v>
      </c>
      <c r="J366" s="190" t="str">
        <f>IFERROR(VLOOKUP(F366, LEVEL_HELPER!$A:$B, 2, 0), "")</f>
        <v/>
      </c>
      <c r="K366" s="190" t="str">
        <f>IFERROR(VLOOKUP(G366, LEVEL_HELPER!$A:$B, 2, 0), "")</f>
        <v/>
      </c>
      <c r="L366" s="220" t="s">
        <v>931</v>
      </c>
      <c r="M366" s="220" t="s">
        <v>924</v>
      </c>
      <c r="N366" s="190">
        <f t="array" ref="N366">IFERROR(
  INDEX($J$2:$J$543,
    MATCH(A366&amp;TEXT(I366,"yyyy-mm-dd"),
          $A$2:$A$543&amp;TEXT($H$2:$H$543,"yyyy-mm-dd"),
          0)),
"")</f>
        <v>1</v>
      </c>
      <c r="O366" s="210">
        <f t="shared" si="3"/>
        <v>5</v>
      </c>
      <c r="P366" s="210">
        <f t="shared" ref="P366:Q366" si="376">IF(N366="",0,IF(N366&lt;=2,1,IF(N366&lt;=4,2,IF(N366&lt;=5.5,3,4))))</f>
        <v>1</v>
      </c>
      <c r="Q366" s="210">
        <f t="shared" si="376"/>
        <v>3</v>
      </c>
      <c r="R366" s="210" t="str">
        <f t="shared" si="5"/>
        <v>Lv1 → Lv3 (multi)</v>
      </c>
      <c r="S366" s="210">
        <f t="shared" si="6"/>
        <v>1</v>
      </c>
      <c r="T366" s="210"/>
      <c r="U366" s="210"/>
      <c r="V366" s="210"/>
      <c r="W366" s="210"/>
      <c r="X366" s="210"/>
      <c r="Y366" s="210"/>
      <c r="Z366" s="210"/>
      <c r="AA366" s="210"/>
      <c r="AB366" s="210"/>
      <c r="AC366" s="210"/>
      <c r="AD366" s="210"/>
      <c r="AE366" s="210"/>
      <c r="AF366" s="210"/>
      <c r="AG366" s="210"/>
      <c r="AH366" s="210"/>
      <c r="AI366" s="210"/>
      <c r="AJ366" s="210"/>
      <c r="AK366" s="210"/>
      <c r="AL366" s="210"/>
      <c r="AM366" s="214"/>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c r="BU366" s="210"/>
      <c r="BV366" s="210"/>
      <c r="BW366" s="210"/>
      <c r="BX366" s="210"/>
      <c r="BY366" s="210"/>
      <c r="BZ366" s="210"/>
      <c r="CA366" s="210"/>
      <c r="CB366" s="210"/>
      <c r="CC366" s="210"/>
      <c r="CD366" s="210"/>
      <c r="CE366" s="210"/>
      <c r="CF366" s="210"/>
      <c r="CG366" s="210"/>
      <c r="CH366" s="210"/>
      <c r="CI366" s="210"/>
      <c r="CJ366" s="210"/>
      <c r="CK366" s="210"/>
    </row>
    <row r="367">
      <c r="A367" s="222" t="s">
        <v>253</v>
      </c>
      <c r="B367" s="190" t="s">
        <v>254</v>
      </c>
      <c r="C367" s="223" t="s">
        <v>84</v>
      </c>
      <c r="D367" s="223" t="s">
        <v>877</v>
      </c>
      <c r="E367" s="190" t="s">
        <v>24</v>
      </c>
      <c r="F367" s="190"/>
      <c r="G367" s="190"/>
      <c r="H367" s="219">
        <f>IFERROR(
  MINIFS(ATTENDANCE_LOG!$F:$F,
         ATTENDANCE_LOG!$A:$A, C367,
         ATTENDANCE_LOG!$B:$B, E367),
"")</f>
        <v>46091.54167</v>
      </c>
      <c r="I367" s="219">
        <f t="shared" si="2"/>
        <v>45764.58333</v>
      </c>
      <c r="J367" s="190" t="str">
        <f>IFERROR(VLOOKUP(F367, LEVEL_HELPER!$A:$B, 2, 0), "")</f>
        <v/>
      </c>
      <c r="K367" s="190" t="str">
        <f>IFERROR(VLOOKUP(G367, LEVEL_HELPER!$A:$B, 2, 0), "")</f>
        <v/>
      </c>
      <c r="L367" s="220" t="s">
        <v>931</v>
      </c>
      <c r="M367" s="220" t="s">
        <v>924</v>
      </c>
      <c r="N367" s="190">
        <f t="array" ref="N367">IFERROR(
  INDEX($J$2:$J$543,
    MATCH(A367&amp;TEXT(I367,"yyyy-mm-dd"),
          $A$2:$A$543&amp;TEXT($H$2:$H$543,"yyyy-mm-dd"),
          0)),
"")</f>
        <v>2.5</v>
      </c>
      <c r="O367" s="210">
        <f t="shared" si="3"/>
        <v>5.5</v>
      </c>
      <c r="P367" s="210">
        <f t="shared" ref="P367:Q367" si="377">IF(N367="",0,IF(N367&lt;=2,1,IF(N367&lt;=4,2,IF(N367&lt;=5.5,3,4))))</f>
        <v>2</v>
      </c>
      <c r="Q367" s="210">
        <f t="shared" si="377"/>
        <v>3</v>
      </c>
      <c r="R367" s="210" t="str">
        <f t="shared" si="5"/>
        <v>Lv2 → Lv3</v>
      </c>
      <c r="S367" s="210">
        <f t="shared" si="6"/>
        <v>1</v>
      </c>
      <c r="T367" s="210"/>
      <c r="U367" s="210"/>
      <c r="V367" s="210"/>
      <c r="W367" s="210"/>
      <c r="X367" s="210"/>
      <c r="Y367" s="210"/>
      <c r="Z367" s="210"/>
      <c r="AA367" s="210"/>
      <c r="AB367" s="210"/>
      <c r="AC367" s="210"/>
      <c r="AD367" s="210"/>
      <c r="AE367" s="210"/>
      <c r="AF367" s="210"/>
      <c r="AG367" s="210"/>
      <c r="AH367" s="210"/>
      <c r="AI367" s="210"/>
      <c r="AJ367" s="210"/>
      <c r="AK367" s="210"/>
      <c r="AL367" s="210"/>
      <c r="AM367" s="214"/>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c r="BU367" s="210"/>
      <c r="BV367" s="210"/>
      <c r="BW367" s="210"/>
      <c r="BX367" s="210"/>
      <c r="BY367" s="210"/>
      <c r="BZ367" s="210"/>
      <c r="CA367" s="210"/>
      <c r="CB367" s="210"/>
      <c r="CC367" s="210"/>
      <c r="CD367" s="210"/>
      <c r="CE367" s="210"/>
      <c r="CF367" s="210"/>
      <c r="CG367" s="210"/>
      <c r="CH367" s="210"/>
      <c r="CI367" s="210"/>
      <c r="CJ367" s="210"/>
      <c r="CK367" s="210"/>
    </row>
    <row r="368">
      <c r="A368" s="222" t="s">
        <v>447</v>
      </c>
      <c r="B368" s="190" t="s">
        <v>448</v>
      </c>
      <c r="C368" s="223" t="s">
        <v>84</v>
      </c>
      <c r="D368" s="223" t="s">
        <v>877</v>
      </c>
      <c r="E368" s="190" t="s">
        <v>24</v>
      </c>
      <c r="F368" s="190"/>
      <c r="G368" s="190"/>
      <c r="H368" s="219">
        <f>IFERROR(
  MINIFS(ATTENDANCE_LOG!$F:$F,
         ATTENDANCE_LOG!$A:$A, C368,
         ATTENDANCE_LOG!$B:$B, E368),
"")</f>
        <v>46091.54167</v>
      </c>
      <c r="I368" s="219">
        <f t="shared" si="2"/>
        <v>45764.58333</v>
      </c>
      <c r="J368" s="190" t="str">
        <f>IFERROR(VLOOKUP(F368, LEVEL_HELPER!$A:$B, 2, 0), "")</f>
        <v/>
      </c>
      <c r="K368" s="190" t="str">
        <f>IFERROR(VLOOKUP(G368, LEVEL_HELPER!$A:$B, 2, 0), "")</f>
        <v/>
      </c>
      <c r="L368" s="220" t="s">
        <v>931</v>
      </c>
      <c r="M368" s="220" t="s">
        <v>924</v>
      </c>
      <c r="N368" s="190">
        <f t="array" ref="N368">IFERROR(
  INDEX($J$2:$J$543,
    MATCH(A368&amp;TEXT(I368,"yyyy-mm-dd"),
          $A$2:$A$543&amp;TEXT($H$2:$H$543,"yyyy-mm-dd"),
          0)),
"")</f>
        <v>1</v>
      </c>
      <c r="O368" s="210">
        <f t="shared" si="3"/>
        <v>5</v>
      </c>
      <c r="P368" s="210">
        <f t="shared" ref="P368:Q368" si="378">IF(N368="",0,IF(N368&lt;=2,1,IF(N368&lt;=4,2,IF(N368&lt;=5.5,3,4))))</f>
        <v>1</v>
      </c>
      <c r="Q368" s="210">
        <f t="shared" si="378"/>
        <v>3</v>
      </c>
      <c r="R368" s="210" t="str">
        <f t="shared" si="5"/>
        <v>Lv1 → Lv3 (multi)</v>
      </c>
      <c r="S368" s="210">
        <f t="shared" si="6"/>
        <v>1</v>
      </c>
      <c r="T368" s="210"/>
      <c r="U368" s="210"/>
      <c r="V368" s="210"/>
      <c r="W368" s="210"/>
      <c r="X368" s="210"/>
      <c r="Y368" s="210"/>
      <c r="Z368" s="210"/>
      <c r="AA368" s="210"/>
      <c r="AB368" s="210"/>
      <c r="AC368" s="210"/>
      <c r="AD368" s="210"/>
      <c r="AE368" s="210"/>
      <c r="AF368" s="210"/>
      <c r="AG368" s="210"/>
      <c r="AH368" s="210"/>
      <c r="AI368" s="210"/>
      <c r="AJ368" s="210"/>
      <c r="AK368" s="210"/>
      <c r="AL368" s="210"/>
      <c r="AM368" s="214"/>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c r="BU368" s="210"/>
      <c r="BV368" s="210"/>
      <c r="BW368" s="210"/>
      <c r="BX368" s="210"/>
      <c r="BY368" s="210"/>
      <c r="BZ368" s="210"/>
      <c r="CA368" s="210"/>
      <c r="CB368" s="210"/>
      <c r="CC368" s="210"/>
      <c r="CD368" s="210"/>
      <c r="CE368" s="210"/>
      <c r="CF368" s="210"/>
      <c r="CG368" s="210"/>
      <c r="CH368" s="210"/>
      <c r="CI368" s="210"/>
      <c r="CJ368" s="210"/>
      <c r="CK368" s="210"/>
    </row>
    <row r="369">
      <c r="A369" s="222" t="s">
        <v>486</v>
      </c>
      <c r="B369" s="190" t="s">
        <v>487</v>
      </c>
      <c r="C369" s="223" t="s">
        <v>84</v>
      </c>
      <c r="D369" s="223" t="s">
        <v>877</v>
      </c>
      <c r="E369" s="190" t="s">
        <v>24</v>
      </c>
      <c r="F369" s="190"/>
      <c r="G369" s="190"/>
      <c r="H369" s="219">
        <f>IFERROR(
  MINIFS(ATTENDANCE_LOG!$F:$F,
         ATTENDANCE_LOG!$A:$A, C369,
         ATTENDANCE_LOG!$B:$B, E369),
"")</f>
        <v>46091.54167</v>
      </c>
      <c r="I369" s="219">
        <f t="shared" si="2"/>
        <v>45764.58333</v>
      </c>
      <c r="J369" s="190" t="str">
        <f>IFERROR(VLOOKUP(F369, LEVEL_HELPER!$A:$B, 2, 0), "")</f>
        <v/>
      </c>
      <c r="K369" s="190" t="str">
        <f>IFERROR(VLOOKUP(G369, LEVEL_HELPER!$A:$B, 2, 0), "")</f>
        <v/>
      </c>
      <c r="L369" s="220" t="s">
        <v>931</v>
      </c>
      <c r="M369" s="220" t="s">
        <v>924</v>
      </c>
      <c r="N369" s="190">
        <f t="array" ref="N369">IFERROR(
  INDEX($J$2:$J$543,
    MATCH(A369&amp;TEXT(I369,"yyyy-mm-dd"),
          $A$2:$A$543&amp;TEXT($H$2:$H$543,"yyyy-mm-dd"),
          0)),
"")</f>
        <v>1</v>
      </c>
      <c r="O369" s="210">
        <f t="shared" si="3"/>
        <v>5</v>
      </c>
      <c r="P369" s="210">
        <f t="shared" ref="P369:Q369" si="379">IF(N369="",0,IF(N369&lt;=2,1,IF(N369&lt;=4,2,IF(N369&lt;=5.5,3,4))))</f>
        <v>1</v>
      </c>
      <c r="Q369" s="210">
        <f t="shared" si="379"/>
        <v>3</v>
      </c>
      <c r="R369" s="210" t="str">
        <f t="shared" si="5"/>
        <v>Lv1 → Lv3 (multi)</v>
      </c>
      <c r="S369" s="210">
        <f t="shared" si="6"/>
        <v>1</v>
      </c>
      <c r="T369" s="210"/>
      <c r="U369" s="210"/>
      <c r="V369" s="210"/>
      <c r="W369" s="210"/>
      <c r="X369" s="210"/>
      <c r="Y369" s="210"/>
      <c r="Z369" s="210"/>
      <c r="AA369" s="210"/>
      <c r="AB369" s="210"/>
      <c r="AC369" s="210"/>
      <c r="AD369" s="210"/>
      <c r="AE369" s="210"/>
      <c r="AF369" s="210"/>
      <c r="AG369" s="210"/>
      <c r="AH369" s="210"/>
      <c r="AI369" s="210"/>
      <c r="AJ369" s="210"/>
      <c r="AK369" s="210"/>
      <c r="AL369" s="210"/>
      <c r="AM369" s="214"/>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c r="BU369" s="210"/>
      <c r="BV369" s="210"/>
      <c r="BW369" s="210"/>
      <c r="BX369" s="210"/>
      <c r="BY369" s="210"/>
      <c r="BZ369" s="210"/>
      <c r="CA369" s="210"/>
      <c r="CB369" s="210"/>
      <c r="CC369" s="210"/>
      <c r="CD369" s="210"/>
      <c r="CE369" s="210"/>
      <c r="CF369" s="210"/>
      <c r="CG369" s="210"/>
      <c r="CH369" s="210"/>
      <c r="CI369" s="210"/>
      <c r="CJ369" s="210"/>
      <c r="CK369" s="210"/>
    </row>
    <row r="370">
      <c r="A370" s="222" t="s">
        <v>508</v>
      </c>
      <c r="B370" s="190" t="s">
        <v>509</v>
      </c>
      <c r="C370" s="223" t="s">
        <v>84</v>
      </c>
      <c r="D370" s="223" t="s">
        <v>877</v>
      </c>
      <c r="E370" s="190" t="s">
        <v>24</v>
      </c>
      <c r="F370" s="190"/>
      <c r="G370" s="190"/>
      <c r="H370" s="219">
        <f>IFERROR(
  MINIFS(ATTENDANCE_LOG!$F:$F,
         ATTENDANCE_LOG!$A:$A, C370,
         ATTENDANCE_LOG!$B:$B, E370),
"")</f>
        <v>46091.54167</v>
      </c>
      <c r="I370" s="219">
        <f t="shared" si="2"/>
        <v>45764.58333</v>
      </c>
      <c r="J370" s="190" t="str">
        <f>IFERROR(VLOOKUP(F370, LEVEL_HELPER!$A:$B, 2, 0), "")</f>
        <v/>
      </c>
      <c r="K370" s="190" t="str">
        <f>IFERROR(VLOOKUP(G370, LEVEL_HELPER!$A:$B, 2, 0), "")</f>
        <v/>
      </c>
      <c r="L370" s="220" t="s">
        <v>931</v>
      </c>
      <c r="M370" s="220" t="s">
        <v>924</v>
      </c>
      <c r="N370" s="190">
        <f t="array" ref="N370">IFERROR(
  INDEX($J$2:$J$543,
    MATCH(A370&amp;TEXT(I370,"yyyy-mm-dd"),
          $A$2:$A$543&amp;TEXT($H$2:$H$543,"yyyy-mm-dd"),
          0)),
"")</f>
        <v>1</v>
      </c>
      <c r="O370" s="210">
        <f t="shared" si="3"/>
        <v>5.5</v>
      </c>
      <c r="P370" s="210">
        <f t="shared" ref="P370:Q370" si="380">IF(N370="",0,IF(N370&lt;=2,1,IF(N370&lt;=4,2,IF(N370&lt;=5.5,3,4))))</f>
        <v>1</v>
      </c>
      <c r="Q370" s="210">
        <f t="shared" si="380"/>
        <v>3</v>
      </c>
      <c r="R370" s="210" t="str">
        <f t="shared" si="5"/>
        <v>Lv1 → Lv3 (multi)</v>
      </c>
      <c r="S370" s="210">
        <f t="shared" si="6"/>
        <v>1</v>
      </c>
      <c r="T370" s="210"/>
      <c r="U370" s="210"/>
      <c r="V370" s="210"/>
      <c r="W370" s="210"/>
      <c r="X370" s="210"/>
      <c r="Y370" s="210"/>
      <c r="Z370" s="210"/>
      <c r="AA370" s="210"/>
      <c r="AB370" s="210"/>
      <c r="AC370" s="210"/>
      <c r="AD370" s="210"/>
      <c r="AE370" s="210"/>
      <c r="AF370" s="210"/>
      <c r="AG370" s="210"/>
      <c r="AH370" s="210"/>
      <c r="AI370" s="210"/>
      <c r="AJ370" s="210"/>
      <c r="AK370" s="210"/>
      <c r="AL370" s="210"/>
      <c r="AM370" s="214"/>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c r="BU370" s="210"/>
      <c r="BV370" s="210"/>
      <c r="BW370" s="210"/>
      <c r="BX370" s="210"/>
      <c r="BY370" s="210"/>
      <c r="BZ370" s="210"/>
      <c r="CA370" s="210"/>
      <c r="CB370" s="210"/>
      <c r="CC370" s="210"/>
      <c r="CD370" s="210"/>
      <c r="CE370" s="210"/>
      <c r="CF370" s="210"/>
      <c r="CG370" s="210"/>
      <c r="CH370" s="210"/>
      <c r="CI370" s="210"/>
      <c r="CJ370" s="210"/>
      <c r="CK370" s="210"/>
    </row>
    <row r="371">
      <c r="A371" s="222" t="s">
        <v>597</v>
      </c>
      <c r="B371" s="190" t="s">
        <v>598</v>
      </c>
      <c r="C371" s="223" t="s">
        <v>84</v>
      </c>
      <c r="D371" s="223" t="s">
        <v>877</v>
      </c>
      <c r="E371" s="190" t="s">
        <v>24</v>
      </c>
      <c r="F371" s="190"/>
      <c r="G371" s="190"/>
      <c r="H371" s="219">
        <f>IFERROR(
  MINIFS(ATTENDANCE_LOG!$F:$F,
         ATTENDANCE_LOG!$A:$A, C371,
         ATTENDANCE_LOG!$B:$B, E371),
"")</f>
        <v>46091.54167</v>
      </c>
      <c r="I371" s="219">
        <f t="shared" si="2"/>
        <v>45764.58333</v>
      </c>
      <c r="J371" s="190" t="str">
        <f>IFERROR(VLOOKUP(F371, LEVEL_HELPER!$A:$B, 2, 0), "")</f>
        <v/>
      </c>
      <c r="K371" s="190" t="str">
        <f>IFERROR(VLOOKUP(G371, LEVEL_HELPER!$A:$B, 2, 0), "")</f>
        <v/>
      </c>
      <c r="L371" s="220" t="s">
        <v>931</v>
      </c>
      <c r="M371" s="220" t="s">
        <v>924</v>
      </c>
      <c r="N371" s="190">
        <f t="array" ref="N371">IFERROR(
  INDEX($J$2:$J$543,
    MATCH(A371&amp;TEXT(I371,"yyyy-mm-dd"),
          $A$2:$A$543&amp;TEXT($H$2:$H$543,"yyyy-mm-dd"),
          0)),
"")</f>
        <v>1</v>
      </c>
      <c r="O371" s="210">
        <f t="shared" si="3"/>
        <v>5</v>
      </c>
      <c r="P371" s="210">
        <f t="shared" ref="P371:Q371" si="381">IF(N371="",0,IF(N371&lt;=2,1,IF(N371&lt;=4,2,IF(N371&lt;=5.5,3,4))))</f>
        <v>1</v>
      </c>
      <c r="Q371" s="210">
        <f t="shared" si="381"/>
        <v>3</v>
      </c>
      <c r="R371" s="210" t="str">
        <f t="shared" si="5"/>
        <v>Lv1 → Lv3 (multi)</v>
      </c>
      <c r="S371" s="210">
        <f t="shared" si="6"/>
        <v>1</v>
      </c>
      <c r="T371" s="210"/>
      <c r="U371" s="210"/>
      <c r="V371" s="210"/>
      <c r="W371" s="210"/>
      <c r="X371" s="210"/>
      <c r="Y371" s="210"/>
      <c r="Z371" s="210"/>
      <c r="AA371" s="210"/>
      <c r="AB371" s="210"/>
      <c r="AC371" s="210"/>
      <c r="AD371" s="210"/>
      <c r="AE371" s="210"/>
      <c r="AF371" s="210"/>
      <c r="AG371" s="210"/>
      <c r="AH371" s="210"/>
      <c r="AI371" s="210"/>
      <c r="AJ371" s="210"/>
      <c r="AK371" s="210"/>
      <c r="AL371" s="210"/>
      <c r="AM371" s="214"/>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c r="BU371" s="210"/>
      <c r="BV371" s="210"/>
      <c r="BW371" s="210"/>
      <c r="BX371" s="210"/>
      <c r="BY371" s="210"/>
      <c r="BZ371" s="210"/>
      <c r="CA371" s="210"/>
      <c r="CB371" s="210"/>
      <c r="CC371" s="210"/>
      <c r="CD371" s="210"/>
      <c r="CE371" s="210"/>
      <c r="CF371" s="210"/>
      <c r="CG371" s="210"/>
      <c r="CH371" s="210"/>
      <c r="CI371" s="210"/>
      <c r="CJ371" s="210"/>
      <c r="CK371" s="210"/>
    </row>
    <row r="372">
      <c r="A372" s="222" t="s">
        <v>623</v>
      </c>
      <c r="B372" s="190" t="s">
        <v>624</v>
      </c>
      <c r="C372" s="223" t="s">
        <v>84</v>
      </c>
      <c r="D372" s="223" t="s">
        <v>877</v>
      </c>
      <c r="E372" s="190" t="s">
        <v>24</v>
      </c>
      <c r="F372" s="190"/>
      <c r="G372" s="190"/>
      <c r="H372" s="219">
        <f>IFERROR(
  MINIFS(ATTENDANCE_LOG!$F:$F,
         ATTENDANCE_LOG!$A:$A, C372,
         ATTENDANCE_LOG!$B:$B, E372),
"")</f>
        <v>46091.54167</v>
      </c>
      <c r="I372" s="219">
        <f t="shared" si="2"/>
        <v>45764.58333</v>
      </c>
      <c r="J372" s="190" t="str">
        <f>IFERROR(VLOOKUP(F372, LEVEL_HELPER!$A:$B, 2, 0), "")</f>
        <v/>
      </c>
      <c r="K372" s="190" t="str">
        <f>IFERROR(VLOOKUP(G372, LEVEL_HELPER!$A:$B, 2, 0), "")</f>
        <v/>
      </c>
      <c r="L372" s="220" t="s">
        <v>931</v>
      </c>
      <c r="M372" s="220" t="s">
        <v>924</v>
      </c>
      <c r="N372" s="190">
        <f t="array" ref="N372">IFERROR(
  INDEX($J$2:$J$543,
    MATCH(A372&amp;TEXT(I372,"yyyy-mm-dd"),
          $A$2:$A$543&amp;TEXT($H$2:$H$543,"yyyy-mm-dd"),
          0)),
"")</f>
        <v>1</v>
      </c>
      <c r="O372" s="210">
        <f t="shared" si="3"/>
        <v>3</v>
      </c>
      <c r="P372" s="210">
        <f t="shared" ref="P372:Q372" si="382">IF(N372="",0,IF(N372&lt;=2,1,IF(N372&lt;=4,2,IF(N372&lt;=5.5,3,4))))</f>
        <v>1</v>
      </c>
      <c r="Q372" s="210">
        <f t="shared" si="382"/>
        <v>2</v>
      </c>
      <c r="R372" s="210" t="str">
        <f t="shared" si="5"/>
        <v>Lv1 → Lv2</v>
      </c>
      <c r="S372" s="210">
        <f t="shared" si="6"/>
        <v>1</v>
      </c>
      <c r="T372" s="210"/>
      <c r="U372" s="210"/>
      <c r="V372" s="210"/>
      <c r="W372" s="210"/>
      <c r="X372" s="210"/>
      <c r="Y372" s="210"/>
      <c r="Z372" s="210"/>
      <c r="AA372" s="210"/>
      <c r="AB372" s="210"/>
      <c r="AC372" s="210"/>
      <c r="AD372" s="210"/>
      <c r="AE372" s="210"/>
      <c r="AF372" s="210"/>
      <c r="AG372" s="210"/>
      <c r="AH372" s="210"/>
      <c r="AI372" s="210"/>
      <c r="AJ372" s="210"/>
      <c r="AK372" s="210"/>
      <c r="AL372" s="210"/>
      <c r="AM372" s="214"/>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c r="BU372" s="210"/>
      <c r="BV372" s="210"/>
      <c r="BW372" s="210"/>
      <c r="BX372" s="210"/>
      <c r="BY372" s="210"/>
      <c r="BZ372" s="210"/>
      <c r="CA372" s="210"/>
      <c r="CB372" s="210"/>
      <c r="CC372" s="210"/>
      <c r="CD372" s="210"/>
      <c r="CE372" s="210"/>
      <c r="CF372" s="210"/>
      <c r="CG372" s="210"/>
      <c r="CH372" s="210"/>
      <c r="CI372" s="210"/>
      <c r="CJ372" s="210"/>
      <c r="CK372" s="210"/>
    </row>
    <row r="373">
      <c r="A373" s="216" t="s">
        <v>649</v>
      </c>
      <c r="B373" s="217" t="s">
        <v>650</v>
      </c>
      <c r="C373" s="218" t="s">
        <v>84</v>
      </c>
      <c r="D373" s="218" t="s">
        <v>877</v>
      </c>
      <c r="E373" s="217" t="s">
        <v>21</v>
      </c>
      <c r="F373" s="13" t="s">
        <v>927</v>
      </c>
      <c r="G373" s="13" t="s">
        <v>918</v>
      </c>
      <c r="H373" s="219">
        <f>IFERROR(
  MINIFS(ATTENDANCE_LOG!$F:$F,
         ATTENDANCE_LOG!$A:$A, C373,
         ATTENDANCE_LOG!$B:$B, E373),
"")</f>
        <v>45764.58333</v>
      </c>
      <c r="I373" s="219">
        <f t="shared" si="2"/>
        <v>45764.58333</v>
      </c>
      <c r="J373" s="190">
        <f>IFERROR(VLOOKUP(F373, LEVEL_HELPER!$A:$B, 2, 0), "")</f>
        <v>1</v>
      </c>
      <c r="K373" s="190">
        <f>IFERROR(VLOOKUP(G373, LEVEL_HELPER!$A:$B, 2, 0), "")</f>
        <v>3</v>
      </c>
      <c r="L373" s="220" t="s">
        <v>931</v>
      </c>
      <c r="M373" s="220" t="s">
        <v>924</v>
      </c>
      <c r="N373" s="190">
        <f t="array" ref="N373">IFERROR(
  INDEX($J$2:$J$543,
    MATCH(A373&amp;TEXT(I373,"yyyy-mm-dd"),
          $A$2:$A$543&amp;TEXT($H$2:$H$543,"yyyy-mm-dd"),
          0)),
"")</f>
        <v>1</v>
      </c>
      <c r="O373" s="210">
        <f t="shared" si="3"/>
        <v>5</v>
      </c>
      <c r="P373" s="210">
        <f t="shared" ref="P373:Q373" si="383">IF(N373="",0,IF(N373&lt;=2,1,IF(N373&lt;=4,2,IF(N373&lt;=5.5,3,4))))</f>
        <v>1</v>
      </c>
      <c r="Q373" s="210">
        <f t="shared" si="383"/>
        <v>3</v>
      </c>
      <c r="R373" s="210" t="str">
        <f t="shared" si="5"/>
        <v>Lv1 → Lv3 (multi)</v>
      </c>
      <c r="S373" s="210">
        <f t="shared" si="6"/>
        <v>0</v>
      </c>
      <c r="T373" s="210"/>
      <c r="U373" s="210"/>
      <c r="V373" s="210"/>
      <c r="W373" s="210"/>
      <c r="X373" s="210"/>
      <c r="Y373" s="210"/>
      <c r="Z373" s="210"/>
      <c r="AA373" s="210"/>
      <c r="AB373" s="210"/>
      <c r="AC373" s="210"/>
      <c r="AD373" s="210"/>
      <c r="AE373" s="210"/>
      <c r="AF373" s="210"/>
      <c r="AG373" s="210"/>
      <c r="AH373" s="210"/>
      <c r="AI373" s="210"/>
      <c r="AJ373" s="210"/>
      <c r="AK373" s="210"/>
      <c r="AL373" s="210"/>
      <c r="AM373" s="214"/>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c r="BU373" s="210"/>
      <c r="BV373" s="210"/>
      <c r="BW373" s="210"/>
      <c r="BX373" s="210"/>
      <c r="BY373" s="210"/>
      <c r="BZ373" s="210"/>
      <c r="CA373" s="210"/>
      <c r="CB373" s="210"/>
      <c r="CC373" s="210"/>
      <c r="CD373" s="210"/>
      <c r="CE373" s="210"/>
      <c r="CF373" s="210"/>
      <c r="CG373" s="210"/>
      <c r="CH373" s="210"/>
      <c r="CI373" s="210"/>
      <c r="CJ373" s="210"/>
      <c r="CK373" s="210"/>
    </row>
    <row r="374">
      <c r="A374" s="222" t="s">
        <v>241</v>
      </c>
      <c r="B374" s="190" t="s">
        <v>242</v>
      </c>
      <c r="C374" s="223" t="s">
        <v>84</v>
      </c>
      <c r="D374" s="223" t="s">
        <v>877</v>
      </c>
      <c r="E374" s="190" t="s">
        <v>21</v>
      </c>
      <c r="F374" s="13" t="s">
        <v>927</v>
      </c>
      <c r="G374" s="13" t="s">
        <v>929</v>
      </c>
      <c r="H374" s="219">
        <f>IFERROR(
  MINIFS(ATTENDANCE_LOG!$F:$F,
         ATTENDANCE_LOG!$A:$A, C374,
         ATTENDANCE_LOG!$B:$B, E374),
"")</f>
        <v>45764.58333</v>
      </c>
      <c r="I374" s="219">
        <f t="shared" si="2"/>
        <v>45764.58333</v>
      </c>
      <c r="J374" s="190">
        <f>IFERROR(VLOOKUP(F374, LEVEL_HELPER!$A:$B, 2, 0), "")</f>
        <v>1</v>
      </c>
      <c r="K374" s="190">
        <f>IFERROR(VLOOKUP(G374, LEVEL_HELPER!$A:$B, 2, 0), "")</f>
        <v>1.5</v>
      </c>
      <c r="L374" s="220" t="s">
        <v>919</v>
      </c>
      <c r="M374" s="220" t="s">
        <v>924</v>
      </c>
      <c r="N374" s="190">
        <f t="array" ref="N374">IFERROR(
  INDEX($J$2:$J$543,
    MATCH(A374&amp;TEXT(I374,"yyyy-mm-dd"),
          $A$2:$A$543&amp;TEXT($H$2:$H$543,"yyyy-mm-dd"),
          0)),
"")</f>
        <v>1</v>
      </c>
      <c r="O374" s="210">
        <f t="shared" si="3"/>
        <v>3</v>
      </c>
      <c r="P374" s="210">
        <f t="shared" ref="P374:Q374" si="384">IF(N374="",0,IF(N374&lt;=2,1,IF(N374&lt;=4,2,IF(N374&lt;=5.5,3,4))))</f>
        <v>1</v>
      </c>
      <c r="Q374" s="210">
        <f t="shared" si="384"/>
        <v>2</v>
      </c>
      <c r="R374" s="210" t="str">
        <f t="shared" si="5"/>
        <v>Lv1 → Lv2</v>
      </c>
      <c r="S374" s="210">
        <f t="shared" si="6"/>
        <v>0</v>
      </c>
      <c r="T374" s="210"/>
      <c r="U374" s="210"/>
      <c r="V374" s="210"/>
      <c r="W374" s="210"/>
      <c r="X374" s="210"/>
      <c r="Y374" s="210"/>
      <c r="Z374" s="210"/>
      <c r="AA374" s="210"/>
      <c r="AB374" s="210"/>
      <c r="AC374" s="210"/>
      <c r="AD374" s="210"/>
      <c r="AE374" s="210"/>
      <c r="AF374" s="210"/>
      <c r="AG374" s="210"/>
      <c r="AH374" s="210"/>
      <c r="AI374" s="210"/>
      <c r="AJ374" s="210"/>
      <c r="AK374" s="210"/>
      <c r="AL374" s="210"/>
      <c r="AM374" s="214"/>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c r="BU374" s="210"/>
      <c r="BV374" s="210"/>
      <c r="BW374" s="210"/>
      <c r="BX374" s="210"/>
      <c r="BY374" s="210"/>
      <c r="BZ374" s="210"/>
      <c r="CA374" s="210"/>
      <c r="CB374" s="210"/>
      <c r="CC374" s="210"/>
      <c r="CD374" s="210"/>
      <c r="CE374" s="210"/>
      <c r="CF374" s="210"/>
      <c r="CG374" s="210"/>
      <c r="CH374" s="210"/>
      <c r="CI374" s="210"/>
      <c r="CJ374" s="210"/>
      <c r="CK374" s="210"/>
    </row>
    <row r="375">
      <c r="A375" s="222" t="s">
        <v>253</v>
      </c>
      <c r="B375" s="190" t="s">
        <v>254</v>
      </c>
      <c r="C375" s="223" t="s">
        <v>84</v>
      </c>
      <c r="D375" s="223" t="s">
        <v>877</v>
      </c>
      <c r="E375" s="190" t="s">
        <v>21</v>
      </c>
      <c r="F375" s="13" t="s">
        <v>917</v>
      </c>
      <c r="G375" s="13" t="s">
        <v>935</v>
      </c>
      <c r="H375" s="219">
        <f>IFERROR(
  MINIFS(ATTENDANCE_LOG!$F:$F,
         ATTENDANCE_LOG!$A:$A, C375,
         ATTENDANCE_LOG!$B:$B, E375),
"")</f>
        <v>45764.58333</v>
      </c>
      <c r="I375" s="219">
        <f t="shared" si="2"/>
        <v>45764.58333</v>
      </c>
      <c r="J375" s="190">
        <f>IFERROR(VLOOKUP(F375, LEVEL_HELPER!$A:$B, 2, 0), "")</f>
        <v>2.5</v>
      </c>
      <c r="K375" s="190">
        <f>IFERROR(VLOOKUP(G375, LEVEL_HELPER!$A:$B, 2, 0), "")</f>
        <v>3.5</v>
      </c>
      <c r="L375" s="220" t="s">
        <v>931</v>
      </c>
      <c r="M375" s="220" t="s">
        <v>924</v>
      </c>
      <c r="N375" s="190">
        <f t="array" ref="N375">IFERROR(
  INDEX($J$2:$J$543,
    MATCH(A375&amp;TEXT(I375,"yyyy-mm-dd"),
          $A$2:$A$543&amp;TEXT($H$2:$H$543,"yyyy-mm-dd"),
          0)),
"")</f>
        <v>2.5</v>
      </c>
      <c r="O375" s="210">
        <f t="shared" si="3"/>
        <v>5.5</v>
      </c>
      <c r="P375" s="210">
        <f t="shared" ref="P375:Q375" si="385">IF(N375="",0,IF(N375&lt;=2,1,IF(N375&lt;=4,2,IF(N375&lt;=5.5,3,4))))</f>
        <v>2</v>
      </c>
      <c r="Q375" s="210">
        <f t="shared" si="385"/>
        <v>3</v>
      </c>
      <c r="R375" s="210" t="str">
        <f t="shared" si="5"/>
        <v>Lv2 → Lv3</v>
      </c>
      <c r="S375" s="210">
        <f t="shared" si="6"/>
        <v>0</v>
      </c>
      <c r="T375" s="210"/>
      <c r="U375" s="210"/>
      <c r="V375" s="210"/>
      <c r="W375" s="210"/>
      <c r="X375" s="210"/>
      <c r="Y375" s="210"/>
      <c r="Z375" s="210"/>
      <c r="AA375" s="210"/>
      <c r="AB375" s="210"/>
      <c r="AC375" s="210"/>
      <c r="AD375" s="210"/>
      <c r="AE375" s="210"/>
      <c r="AF375" s="210"/>
      <c r="AG375" s="210"/>
      <c r="AH375" s="210"/>
      <c r="AI375" s="210"/>
      <c r="AJ375" s="210"/>
      <c r="AK375" s="210"/>
      <c r="AL375" s="210"/>
      <c r="AM375" s="214"/>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c r="BU375" s="210"/>
      <c r="BV375" s="210"/>
      <c r="BW375" s="210"/>
      <c r="BX375" s="210"/>
      <c r="BY375" s="210"/>
      <c r="BZ375" s="210"/>
      <c r="CA375" s="210"/>
      <c r="CB375" s="210"/>
      <c r="CC375" s="210"/>
      <c r="CD375" s="210"/>
      <c r="CE375" s="210"/>
      <c r="CF375" s="210"/>
      <c r="CG375" s="210"/>
      <c r="CH375" s="210"/>
      <c r="CI375" s="210"/>
      <c r="CJ375" s="210"/>
      <c r="CK375" s="210"/>
    </row>
    <row r="376">
      <c r="A376" s="222" t="s">
        <v>447</v>
      </c>
      <c r="B376" s="190" t="s">
        <v>448</v>
      </c>
      <c r="C376" s="223" t="s">
        <v>84</v>
      </c>
      <c r="D376" s="223" t="s">
        <v>877</v>
      </c>
      <c r="E376" s="190" t="s">
        <v>21</v>
      </c>
      <c r="F376" s="13" t="s">
        <v>927</v>
      </c>
      <c r="G376" s="13" t="s">
        <v>929</v>
      </c>
      <c r="H376" s="219">
        <f>IFERROR(
  MINIFS(ATTENDANCE_LOG!$F:$F,
         ATTENDANCE_LOG!$A:$A, C376,
         ATTENDANCE_LOG!$B:$B, E376),
"")</f>
        <v>45764.58333</v>
      </c>
      <c r="I376" s="219">
        <f t="shared" si="2"/>
        <v>45764.58333</v>
      </c>
      <c r="J376" s="190">
        <f>IFERROR(VLOOKUP(F376, LEVEL_HELPER!$A:$B, 2, 0), "")</f>
        <v>1</v>
      </c>
      <c r="K376" s="190">
        <f>IFERROR(VLOOKUP(G376, LEVEL_HELPER!$A:$B, 2, 0), "")</f>
        <v>1.5</v>
      </c>
      <c r="L376" s="220" t="s">
        <v>931</v>
      </c>
      <c r="M376" s="220" t="s">
        <v>924</v>
      </c>
      <c r="N376" s="190">
        <f t="array" ref="N376">IFERROR(
  INDEX($J$2:$J$543,
    MATCH(A376&amp;TEXT(I376,"yyyy-mm-dd"),
          $A$2:$A$543&amp;TEXT($H$2:$H$543,"yyyy-mm-dd"),
          0)),
"")</f>
        <v>1</v>
      </c>
      <c r="O376" s="210">
        <f t="shared" si="3"/>
        <v>5</v>
      </c>
      <c r="P376" s="210">
        <f t="shared" ref="P376:Q376" si="386">IF(N376="",0,IF(N376&lt;=2,1,IF(N376&lt;=4,2,IF(N376&lt;=5.5,3,4))))</f>
        <v>1</v>
      </c>
      <c r="Q376" s="210">
        <f t="shared" si="386"/>
        <v>3</v>
      </c>
      <c r="R376" s="210" t="str">
        <f t="shared" si="5"/>
        <v>Lv1 → Lv3 (multi)</v>
      </c>
      <c r="S376" s="210">
        <f t="shared" si="6"/>
        <v>0</v>
      </c>
      <c r="T376" s="210"/>
      <c r="U376" s="210"/>
      <c r="V376" s="210"/>
      <c r="W376" s="210"/>
      <c r="X376" s="210"/>
      <c r="Y376" s="210"/>
      <c r="Z376" s="210"/>
      <c r="AA376" s="210"/>
      <c r="AB376" s="210"/>
      <c r="AC376" s="210"/>
      <c r="AD376" s="210"/>
      <c r="AE376" s="210"/>
      <c r="AF376" s="210"/>
      <c r="AG376" s="210"/>
      <c r="AH376" s="210"/>
      <c r="AI376" s="210"/>
      <c r="AJ376" s="210"/>
      <c r="AK376" s="210"/>
      <c r="AL376" s="210"/>
      <c r="AM376" s="214"/>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c r="BU376" s="210"/>
      <c r="BV376" s="210"/>
      <c r="BW376" s="210"/>
      <c r="BX376" s="210"/>
      <c r="BY376" s="210"/>
      <c r="BZ376" s="210"/>
      <c r="CA376" s="210"/>
      <c r="CB376" s="210"/>
      <c r="CC376" s="210"/>
      <c r="CD376" s="210"/>
      <c r="CE376" s="210"/>
      <c r="CF376" s="210"/>
      <c r="CG376" s="210"/>
      <c r="CH376" s="210"/>
      <c r="CI376" s="210"/>
      <c r="CJ376" s="210"/>
      <c r="CK376" s="210"/>
    </row>
    <row r="377">
      <c r="A377" s="222" t="s">
        <v>463</v>
      </c>
      <c r="B377" s="190" t="s">
        <v>464</v>
      </c>
      <c r="C377" s="223" t="s">
        <v>84</v>
      </c>
      <c r="D377" s="223" t="s">
        <v>877</v>
      </c>
      <c r="E377" s="190" t="s">
        <v>21</v>
      </c>
      <c r="F377" s="13" t="s">
        <v>927</v>
      </c>
      <c r="G377" s="13" t="s">
        <v>929</v>
      </c>
      <c r="H377" s="219">
        <f>IFERROR(
  MINIFS(ATTENDANCE_LOG!$F:$F,
         ATTENDANCE_LOG!$A:$A, C377,
         ATTENDANCE_LOG!$B:$B, E377),
"")</f>
        <v>45764.58333</v>
      </c>
      <c r="I377" s="219">
        <f t="shared" si="2"/>
        <v>45764.58333</v>
      </c>
      <c r="J377" s="190">
        <f>IFERROR(VLOOKUP(F377, LEVEL_HELPER!$A:$B, 2, 0), "")</f>
        <v>1</v>
      </c>
      <c r="K377" s="190">
        <f>IFERROR(VLOOKUP(G377, LEVEL_HELPER!$A:$B, 2, 0), "")</f>
        <v>1.5</v>
      </c>
      <c r="L377" s="220" t="s">
        <v>919</v>
      </c>
      <c r="M377" s="220" t="s">
        <v>924</v>
      </c>
      <c r="N377" s="190">
        <f t="array" ref="N377">IFERROR(
  INDEX($J$2:$J$543,
    MATCH(A377&amp;TEXT(I377,"yyyy-mm-dd"),
          $A$2:$A$543&amp;TEXT($H$2:$H$543,"yyyy-mm-dd"),
          0)),
"")</f>
        <v>1</v>
      </c>
      <c r="O377" s="210">
        <f t="shared" si="3"/>
        <v>1.5</v>
      </c>
      <c r="P377" s="210">
        <f t="shared" ref="P377:Q377" si="387">IF(N377="",0,IF(N377&lt;=2,1,IF(N377&lt;=4,2,IF(N377&lt;=5.5,3,4))))</f>
        <v>1</v>
      </c>
      <c r="Q377" s="210">
        <f t="shared" si="387"/>
        <v>1</v>
      </c>
      <c r="R377" s="210" t="str">
        <f t="shared" si="5"/>
        <v>Progress within level</v>
      </c>
      <c r="S377" s="210">
        <f t="shared" si="6"/>
        <v>0</v>
      </c>
      <c r="T377" s="210"/>
      <c r="U377" s="210"/>
      <c r="V377" s="210"/>
      <c r="W377" s="210"/>
      <c r="X377" s="210"/>
      <c r="Y377" s="210"/>
      <c r="Z377" s="210"/>
      <c r="AA377" s="210"/>
      <c r="AB377" s="210"/>
      <c r="AC377" s="210"/>
      <c r="AD377" s="210"/>
      <c r="AE377" s="210"/>
      <c r="AF377" s="210"/>
      <c r="AG377" s="210"/>
      <c r="AH377" s="210"/>
      <c r="AI377" s="210"/>
      <c r="AJ377" s="210"/>
      <c r="AK377" s="210"/>
      <c r="AL377" s="210"/>
      <c r="AM377" s="214"/>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c r="BU377" s="210"/>
      <c r="BV377" s="210"/>
      <c r="BW377" s="210"/>
      <c r="BX377" s="210"/>
      <c r="BY377" s="210"/>
      <c r="BZ377" s="210"/>
      <c r="CA377" s="210"/>
      <c r="CB377" s="210"/>
      <c r="CC377" s="210"/>
      <c r="CD377" s="210"/>
      <c r="CE377" s="210"/>
      <c r="CF377" s="210"/>
      <c r="CG377" s="210"/>
      <c r="CH377" s="210"/>
      <c r="CI377" s="210"/>
      <c r="CJ377" s="210"/>
      <c r="CK377" s="210"/>
    </row>
    <row r="378">
      <c r="A378" s="222" t="s">
        <v>472</v>
      </c>
      <c r="B378" s="190" t="s">
        <v>473</v>
      </c>
      <c r="C378" s="223" t="s">
        <v>84</v>
      </c>
      <c r="D378" s="223" t="s">
        <v>877</v>
      </c>
      <c r="E378" s="190" t="s">
        <v>21</v>
      </c>
      <c r="F378" s="13" t="s">
        <v>927</v>
      </c>
      <c r="G378" s="190"/>
      <c r="H378" s="219">
        <f>IFERROR(
  MINIFS(ATTENDANCE_LOG!$F:$F,
         ATTENDANCE_LOG!$A:$A, C378,
         ATTENDANCE_LOG!$B:$B, E378),
"")</f>
        <v>45764.58333</v>
      </c>
      <c r="I378" s="219">
        <f t="shared" si="2"/>
        <v>45764.58333</v>
      </c>
      <c r="J378" s="190">
        <f>IFERROR(VLOOKUP(F378, LEVEL_HELPER!$A:$B, 2, 0), "")</f>
        <v>1</v>
      </c>
      <c r="K378" s="190" t="str">
        <f>IFERROR(VLOOKUP(G378, LEVEL_HELPER!$A:$B, 2, 0), "")</f>
        <v/>
      </c>
      <c r="L378" s="220" t="s">
        <v>919</v>
      </c>
      <c r="M378" s="220" t="s">
        <v>923</v>
      </c>
      <c r="N378" s="190">
        <f t="array" ref="N378">IFERROR(
  INDEX($J$2:$J$543,
    MATCH(A378&amp;TEXT(I378,"yyyy-mm-dd"),
          $A$2:$A$543&amp;TEXT($H$2:$H$543,"yyyy-mm-dd"),
          0)),
"")</f>
        <v>1</v>
      </c>
      <c r="O378" s="210">
        <f t="shared" si="3"/>
        <v>0</v>
      </c>
      <c r="P378" s="210">
        <f t="shared" ref="P378:Q378" si="388">IF(N378="",0,IF(N378&lt;=2,1,IF(N378&lt;=4,2,IF(N378&lt;=5.5,3,4))))</f>
        <v>1</v>
      </c>
      <c r="Q378" s="210">
        <f t="shared" si="388"/>
        <v>1</v>
      </c>
      <c r="R378" s="210" t="str">
        <f t="shared" si="5"/>
        <v>No Progress</v>
      </c>
      <c r="S378" s="210">
        <f t="shared" si="6"/>
        <v>1</v>
      </c>
      <c r="T378" s="210"/>
      <c r="U378" s="210"/>
      <c r="V378" s="210"/>
      <c r="W378" s="210"/>
      <c r="X378" s="210"/>
      <c r="Y378" s="210"/>
      <c r="Z378" s="210"/>
      <c r="AA378" s="210"/>
      <c r="AB378" s="210"/>
      <c r="AC378" s="210"/>
      <c r="AD378" s="210"/>
      <c r="AE378" s="210"/>
      <c r="AF378" s="210"/>
      <c r="AG378" s="210"/>
      <c r="AH378" s="210"/>
      <c r="AI378" s="210"/>
      <c r="AJ378" s="210"/>
      <c r="AK378" s="210"/>
      <c r="AL378" s="210"/>
      <c r="AM378" s="214"/>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c r="BU378" s="210"/>
      <c r="BV378" s="210"/>
      <c r="BW378" s="210"/>
      <c r="BX378" s="210"/>
      <c r="BY378" s="210"/>
      <c r="BZ378" s="210"/>
      <c r="CA378" s="210"/>
      <c r="CB378" s="210"/>
      <c r="CC378" s="210"/>
      <c r="CD378" s="210"/>
      <c r="CE378" s="210"/>
      <c r="CF378" s="210"/>
      <c r="CG378" s="210"/>
      <c r="CH378" s="210"/>
      <c r="CI378" s="210"/>
      <c r="CJ378" s="210"/>
      <c r="CK378" s="210"/>
    </row>
    <row r="379">
      <c r="A379" s="222" t="s">
        <v>486</v>
      </c>
      <c r="B379" s="190" t="s">
        <v>487</v>
      </c>
      <c r="C379" s="223" t="s">
        <v>84</v>
      </c>
      <c r="D379" s="223" t="s">
        <v>877</v>
      </c>
      <c r="E379" s="190" t="s">
        <v>21</v>
      </c>
      <c r="F379" s="13" t="s">
        <v>927</v>
      </c>
      <c r="G379" s="13" t="s">
        <v>918</v>
      </c>
      <c r="H379" s="219">
        <f>IFERROR(
  MINIFS(ATTENDANCE_LOG!$F:$F,
         ATTENDANCE_LOG!$A:$A, C379,
         ATTENDANCE_LOG!$B:$B, E379),
"")</f>
        <v>45764.58333</v>
      </c>
      <c r="I379" s="219">
        <f t="shared" si="2"/>
        <v>45764.58333</v>
      </c>
      <c r="J379" s="190">
        <f>IFERROR(VLOOKUP(F379, LEVEL_HELPER!$A:$B, 2, 0), "")</f>
        <v>1</v>
      </c>
      <c r="K379" s="190">
        <f>IFERROR(VLOOKUP(G379, LEVEL_HELPER!$A:$B, 2, 0), "")</f>
        <v>3</v>
      </c>
      <c r="L379" s="220" t="s">
        <v>931</v>
      </c>
      <c r="M379" s="220" t="s">
        <v>924</v>
      </c>
      <c r="N379" s="190">
        <f t="array" ref="N379">IFERROR(
  INDEX($J$2:$J$543,
    MATCH(A379&amp;TEXT(I379,"yyyy-mm-dd"),
          $A$2:$A$543&amp;TEXT($H$2:$H$543,"yyyy-mm-dd"),
          0)),
"")</f>
        <v>1</v>
      </c>
      <c r="O379" s="210">
        <f t="shared" si="3"/>
        <v>5</v>
      </c>
      <c r="P379" s="210">
        <f t="shared" ref="P379:Q379" si="389">IF(N379="",0,IF(N379&lt;=2,1,IF(N379&lt;=4,2,IF(N379&lt;=5.5,3,4))))</f>
        <v>1</v>
      </c>
      <c r="Q379" s="210">
        <f t="shared" si="389"/>
        <v>3</v>
      </c>
      <c r="R379" s="210" t="str">
        <f t="shared" si="5"/>
        <v>Lv1 → Lv3 (multi)</v>
      </c>
      <c r="S379" s="210">
        <f t="shared" si="6"/>
        <v>0</v>
      </c>
      <c r="T379" s="210"/>
      <c r="U379" s="210"/>
      <c r="V379" s="210"/>
      <c r="W379" s="210"/>
      <c r="X379" s="210"/>
      <c r="Y379" s="210"/>
      <c r="Z379" s="210"/>
      <c r="AA379" s="210"/>
      <c r="AB379" s="210"/>
      <c r="AC379" s="210"/>
      <c r="AD379" s="210"/>
      <c r="AE379" s="210"/>
      <c r="AF379" s="210"/>
      <c r="AG379" s="210"/>
      <c r="AH379" s="210"/>
      <c r="AI379" s="210"/>
      <c r="AJ379" s="210"/>
      <c r="AK379" s="210"/>
      <c r="AL379" s="210"/>
      <c r="AM379" s="214"/>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c r="BU379" s="210"/>
      <c r="BV379" s="210"/>
      <c r="BW379" s="210"/>
      <c r="BX379" s="210"/>
      <c r="BY379" s="210"/>
      <c r="BZ379" s="210"/>
      <c r="CA379" s="210"/>
      <c r="CB379" s="210"/>
      <c r="CC379" s="210"/>
      <c r="CD379" s="210"/>
      <c r="CE379" s="210"/>
      <c r="CF379" s="210"/>
      <c r="CG379" s="210"/>
      <c r="CH379" s="210"/>
      <c r="CI379" s="210"/>
      <c r="CJ379" s="210"/>
      <c r="CK379" s="210"/>
    </row>
    <row r="380">
      <c r="A380" s="222" t="s">
        <v>508</v>
      </c>
      <c r="B380" s="190" t="s">
        <v>509</v>
      </c>
      <c r="C380" s="223" t="s">
        <v>84</v>
      </c>
      <c r="D380" s="223" t="s">
        <v>877</v>
      </c>
      <c r="E380" s="190" t="s">
        <v>21</v>
      </c>
      <c r="F380" s="13" t="s">
        <v>927</v>
      </c>
      <c r="G380" s="13" t="s">
        <v>918</v>
      </c>
      <c r="H380" s="219">
        <f>IFERROR(
  MINIFS(ATTENDANCE_LOG!$F:$F,
         ATTENDANCE_LOG!$A:$A, C380,
         ATTENDANCE_LOG!$B:$B, E380),
"")</f>
        <v>45764.58333</v>
      </c>
      <c r="I380" s="219">
        <f t="shared" si="2"/>
        <v>45764.58333</v>
      </c>
      <c r="J380" s="190">
        <f>IFERROR(VLOOKUP(F380, LEVEL_HELPER!$A:$B, 2, 0), "")</f>
        <v>1</v>
      </c>
      <c r="K380" s="190">
        <f>IFERROR(VLOOKUP(G380, LEVEL_HELPER!$A:$B, 2, 0), "")</f>
        <v>3</v>
      </c>
      <c r="L380" s="220" t="s">
        <v>931</v>
      </c>
      <c r="M380" s="220" t="s">
        <v>924</v>
      </c>
      <c r="N380" s="190">
        <f t="array" ref="N380">IFERROR(
  INDEX($J$2:$J$543,
    MATCH(A380&amp;TEXT(I380,"yyyy-mm-dd"),
          $A$2:$A$543&amp;TEXT($H$2:$H$543,"yyyy-mm-dd"),
          0)),
"")</f>
        <v>1</v>
      </c>
      <c r="O380" s="210">
        <f t="shared" si="3"/>
        <v>5.5</v>
      </c>
      <c r="P380" s="210">
        <f t="shared" ref="P380:Q380" si="390">IF(N380="",0,IF(N380&lt;=2,1,IF(N380&lt;=4,2,IF(N380&lt;=5.5,3,4))))</f>
        <v>1</v>
      </c>
      <c r="Q380" s="210">
        <f t="shared" si="390"/>
        <v>3</v>
      </c>
      <c r="R380" s="210" t="str">
        <f t="shared" si="5"/>
        <v>Lv1 → Lv3 (multi)</v>
      </c>
      <c r="S380" s="210">
        <f t="shared" si="6"/>
        <v>0</v>
      </c>
      <c r="T380" s="210"/>
      <c r="U380" s="210"/>
      <c r="V380" s="210"/>
      <c r="W380" s="210"/>
      <c r="X380" s="210"/>
      <c r="Y380" s="210"/>
      <c r="Z380" s="210"/>
      <c r="AA380" s="210"/>
      <c r="AB380" s="210"/>
      <c r="AC380" s="210"/>
      <c r="AD380" s="210"/>
      <c r="AE380" s="210"/>
      <c r="AF380" s="210"/>
      <c r="AG380" s="210"/>
      <c r="AH380" s="210"/>
      <c r="AI380" s="210"/>
      <c r="AJ380" s="210"/>
      <c r="AK380" s="210"/>
      <c r="AL380" s="210"/>
      <c r="AM380" s="214"/>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c r="BU380" s="210"/>
      <c r="BV380" s="210"/>
      <c r="BW380" s="210"/>
      <c r="BX380" s="210"/>
      <c r="BY380" s="210"/>
      <c r="BZ380" s="210"/>
      <c r="CA380" s="210"/>
      <c r="CB380" s="210"/>
      <c r="CC380" s="210"/>
      <c r="CD380" s="210"/>
      <c r="CE380" s="210"/>
      <c r="CF380" s="210"/>
      <c r="CG380" s="210"/>
      <c r="CH380" s="210"/>
      <c r="CI380" s="210"/>
      <c r="CJ380" s="210"/>
      <c r="CK380" s="210"/>
    </row>
    <row r="381">
      <c r="A381" s="222" t="s">
        <v>597</v>
      </c>
      <c r="B381" s="190" t="s">
        <v>598</v>
      </c>
      <c r="C381" s="223" t="s">
        <v>84</v>
      </c>
      <c r="D381" s="223" t="s">
        <v>877</v>
      </c>
      <c r="E381" s="190" t="s">
        <v>21</v>
      </c>
      <c r="F381" s="13" t="s">
        <v>927</v>
      </c>
      <c r="G381" s="13" t="s">
        <v>918</v>
      </c>
      <c r="H381" s="219">
        <f>IFERROR(
  MINIFS(ATTENDANCE_LOG!$F:$F,
         ATTENDANCE_LOG!$A:$A, C381,
         ATTENDANCE_LOG!$B:$B, E381),
"")</f>
        <v>45764.58333</v>
      </c>
      <c r="I381" s="219">
        <f t="shared" si="2"/>
        <v>45764.58333</v>
      </c>
      <c r="J381" s="190">
        <f>IFERROR(VLOOKUP(F381, LEVEL_HELPER!$A:$B, 2, 0), "")</f>
        <v>1</v>
      </c>
      <c r="K381" s="190">
        <f>IFERROR(VLOOKUP(G381, LEVEL_HELPER!$A:$B, 2, 0), "")</f>
        <v>3</v>
      </c>
      <c r="L381" s="220" t="s">
        <v>931</v>
      </c>
      <c r="M381" s="220" t="s">
        <v>924</v>
      </c>
      <c r="N381" s="190">
        <f t="array" ref="N381">IFERROR(
  INDEX($J$2:$J$543,
    MATCH(A381&amp;TEXT(I381,"yyyy-mm-dd"),
          $A$2:$A$543&amp;TEXT($H$2:$H$543,"yyyy-mm-dd"),
          0)),
"")</f>
        <v>1</v>
      </c>
      <c r="O381" s="210">
        <f t="shared" si="3"/>
        <v>5</v>
      </c>
      <c r="P381" s="210">
        <f t="shared" ref="P381:Q381" si="391">IF(N381="",0,IF(N381&lt;=2,1,IF(N381&lt;=4,2,IF(N381&lt;=5.5,3,4))))</f>
        <v>1</v>
      </c>
      <c r="Q381" s="210">
        <f t="shared" si="391"/>
        <v>3</v>
      </c>
      <c r="R381" s="210" t="str">
        <f t="shared" si="5"/>
        <v>Lv1 → Lv3 (multi)</v>
      </c>
      <c r="S381" s="210">
        <f t="shared" si="6"/>
        <v>0</v>
      </c>
      <c r="T381" s="210"/>
      <c r="U381" s="210"/>
      <c r="V381" s="210"/>
      <c r="W381" s="210"/>
      <c r="X381" s="210"/>
      <c r="Y381" s="210"/>
      <c r="Z381" s="210"/>
      <c r="AA381" s="210"/>
      <c r="AB381" s="210"/>
      <c r="AC381" s="210"/>
      <c r="AD381" s="210"/>
      <c r="AE381" s="210"/>
      <c r="AF381" s="210"/>
      <c r="AG381" s="210"/>
      <c r="AH381" s="210"/>
      <c r="AI381" s="210"/>
      <c r="AJ381" s="210"/>
      <c r="AK381" s="210"/>
      <c r="AL381" s="210"/>
      <c r="AM381" s="214"/>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c r="BU381" s="210"/>
      <c r="BV381" s="210"/>
      <c r="BW381" s="210"/>
      <c r="BX381" s="210"/>
      <c r="BY381" s="210"/>
      <c r="BZ381" s="210"/>
      <c r="CA381" s="210"/>
      <c r="CB381" s="210"/>
      <c r="CC381" s="210"/>
      <c r="CD381" s="210"/>
      <c r="CE381" s="210"/>
      <c r="CF381" s="210"/>
      <c r="CG381" s="210"/>
      <c r="CH381" s="210"/>
      <c r="CI381" s="210"/>
      <c r="CJ381" s="210"/>
      <c r="CK381" s="210"/>
    </row>
    <row r="382">
      <c r="A382" s="222" t="s">
        <v>623</v>
      </c>
      <c r="B382" s="190" t="s">
        <v>624</v>
      </c>
      <c r="C382" s="223" t="s">
        <v>84</v>
      </c>
      <c r="D382" s="223" t="s">
        <v>877</v>
      </c>
      <c r="E382" s="190" t="s">
        <v>21</v>
      </c>
      <c r="F382" s="13" t="s">
        <v>927</v>
      </c>
      <c r="G382" s="13" t="s">
        <v>918</v>
      </c>
      <c r="H382" s="219">
        <f>IFERROR(
  MINIFS(ATTENDANCE_LOG!$F:$F,
         ATTENDANCE_LOG!$A:$A, C382,
         ATTENDANCE_LOG!$B:$B, E382),
"")</f>
        <v>45764.58333</v>
      </c>
      <c r="I382" s="219">
        <f t="shared" si="2"/>
        <v>45764.58333</v>
      </c>
      <c r="J382" s="190">
        <f>IFERROR(VLOOKUP(F382, LEVEL_HELPER!$A:$B, 2, 0), "")</f>
        <v>1</v>
      </c>
      <c r="K382" s="190">
        <f>IFERROR(VLOOKUP(G382, LEVEL_HELPER!$A:$B, 2, 0), "")</f>
        <v>3</v>
      </c>
      <c r="L382" s="220" t="s">
        <v>931</v>
      </c>
      <c r="M382" s="220" t="s">
        <v>924</v>
      </c>
      <c r="N382" s="190">
        <f t="array" ref="N382">IFERROR(
  INDEX($J$2:$J$543,
    MATCH(A382&amp;TEXT(I382,"yyyy-mm-dd"),
          $A$2:$A$543&amp;TEXT($H$2:$H$543,"yyyy-mm-dd"),
          0)),
"")</f>
        <v>1</v>
      </c>
      <c r="O382" s="210">
        <f t="shared" si="3"/>
        <v>3</v>
      </c>
      <c r="P382" s="210">
        <f t="shared" ref="P382:Q382" si="392">IF(N382="",0,IF(N382&lt;=2,1,IF(N382&lt;=4,2,IF(N382&lt;=5.5,3,4))))</f>
        <v>1</v>
      </c>
      <c r="Q382" s="210">
        <f t="shared" si="392"/>
        <v>2</v>
      </c>
      <c r="R382" s="210" t="str">
        <f t="shared" si="5"/>
        <v>Lv1 → Lv2</v>
      </c>
      <c r="S382" s="210">
        <f t="shared" si="6"/>
        <v>0</v>
      </c>
      <c r="T382" s="210"/>
      <c r="U382" s="210"/>
      <c r="V382" s="210"/>
      <c r="W382" s="210"/>
      <c r="X382" s="210"/>
      <c r="Y382" s="210"/>
      <c r="Z382" s="210"/>
      <c r="AA382" s="210"/>
      <c r="AB382" s="210"/>
      <c r="AC382" s="210"/>
      <c r="AD382" s="210"/>
      <c r="AE382" s="210"/>
      <c r="AF382" s="210"/>
      <c r="AG382" s="210"/>
      <c r="AH382" s="210"/>
      <c r="AI382" s="210"/>
      <c r="AJ382" s="210"/>
      <c r="AK382" s="210"/>
      <c r="AL382" s="210"/>
      <c r="AM382" s="214"/>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c r="BU382" s="210"/>
      <c r="BV382" s="210"/>
      <c r="BW382" s="210"/>
      <c r="BX382" s="210"/>
      <c r="BY382" s="210"/>
      <c r="BZ382" s="210"/>
      <c r="CA382" s="210"/>
      <c r="CB382" s="210"/>
      <c r="CC382" s="210"/>
      <c r="CD382" s="210"/>
      <c r="CE382" s="210"/>
      <c r="CF382" s="210"/>
      <c r="CG382" s="210"/>
      <c r="CH382" s="210"/>
      <c r="CI382" s="210"/>
      <c r="CJ382" s="210"/>
      <c r="CK382" s="210"/>
    </row>
    <row r="383">
      <c r="A383" s="216" t="s">
        <v>649</v>
      </c>
      <c r="B383" s="217" t="s">
        <v>650</v>
      </c>
      <c r="C383" s="218" t="s">
        <v>84</v>
      </c>
      <c r="D383" s="218" t="s">
        <v>877</v>
      </c>
      <c r="E383" s="217" t="s">
        <v>22</v>
      </c>
      <c r="F383" s="13" t="s">
        <v>918</v>
      </c>
      <c r="G383" s="13" t="s">
        <v>941</v>
      </c>
      <c r="H383" s="219">
        <f>IFERROR(
  MINIFS(ATTENDANCE_LOG!$F:$F,
         ATTENDANCE_LOG!$A:$A, C383,
         ATTENDANCE_LOG!$B:$B, E383),
"")</f>
        <v>45882.58333</v>
      </c>
      <c r="I383" s="219">
        <f t="shared" si="2"/>
        <v>45764.58333</v>
      </c>
      <c r="J383" s="190">
        <f>IFERROR(VLOOKUP(F383, LEVEL_HELPER!$A:$B, 2, 0), "")</f>
        <v>3</v>
      </c>
      <c r="K383" s="190">
        <f>IFERROR(VLOOKUP(G383, LEVEL_HELPER!$A:$B, 2, 0), "")</f>
        <v>5</v>
      </c>
      <c r="L383" s="220" t="s">
        <v>931</v>
      </c>
      <c r="M383" s="220" t="s">
        <v>924</v>
      </c>
      <c r="N383" s="190">
        <f t="array" ref="N383">IFERROR(
  INDEX($J$2:$J$543,
    MATCH(A383&amp;TEXT(I383,"yyyy-mm-dd"),
          $A$2:$A$543&amp;TEXT($H$2:$H$543,"yyyy-mm-dd"),
          0)),
"")</f>
        <v>1</v>
      </c>
      <c r="O383" s="210">
        <f t="shared" si="3"/>
        <v>5</v>
      </c>
      <c r="P383" s="210">
        <f t="shared" ref="P383:Q383" si="393">IF(N383="",0,IF(N383&lt;=2,1,IF(N383&lt;=4,2,IF(N383&lt;=5.5,3,4))))</f>
        <v>1</v>
      </c>
      <c r="Q383" s="210">
        <f t="shared" si="393"/>
        <v>3</v>
      </c>
      <c r="R383" s="210" t="str">
        <f t="shared" si="5"/>
        <v>Lv1 → Lv3 (multi)</v>
      </c>
      <c r="S383" s="210">
        <f t="shared" si="6"/>
        <v>0</v>
      </c>
      <c r="T383" s="210"/>
      <c r="U383" s="210"/>
      <c r="V383" s="210"/>
      <c r="W383" s="210"/>
      <c r="X383" s="210"/>
      <c r="Y383" s="210"/>
      <c r="Z383" s="210"/>
      <c r="AA383" s="210"/>
      <c r="AB383" s="210"/>
      <c r="AC383" s="210"/>
      <c r="AD383" s="210"/>
      <c r="AE383" s="210"/>
      <c r="AF383" s="210"/>
      <c r="AG383" s="210"/>
      <c r="AH383" s="210"/>
      <c r="AI383" s="210"/>
      <c r="AJ383" s="210"/>
      <c r="AK383" s="210"/>
      <c r="AL383" s="210"/>
      <c r="AM383" s="214"/>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c r="BU383" s="210"/>
      <c r="BV383" s="210"/>
      <c r="BW383" s="210"/>
      <c r="BX383" s="210"/>
      <c r="BY383" s="210"/>
      <c r="BZ383" s="210"/>
      <c r="CA383" s="210"/>
      <c r="CB383" s="210"/>
      <c r="CC383" s="210"/>
      <c r="CD383" s="210"/>
      <c r="CE383" s="210"/>
      <c r="CF383" s="210"/>
      <c r="CG383" s="210"/>
      <c r="CH383" s="210"/>
      <c r="CI383" s="210"/>
      <c r="CJ383" s="210"/>
      <c r="CK383" s="210"/>
    </row>
    <row r="384">
      <c r="A384" s="222" t="s">
        <v>253</v>
      </c>
      <c r="B384" s="190" t="s">
        <v>254</v>
      </c>
      <c r="C384" s="223" t="s">
        <v>84</v>
      </c>
      <c r="D384" s="223" t="s">
        <v>877</v>
      </c>
      <c r="E384" s="190" t="s">
        <v>22</v>
      </c>
      <c r="F384" s="13" t="s">
        <v>935</v>
      </c>
      <c r="G384" s="13" t="s">
        <v>938</v>
      </c>
      <c r="H384" s="219">
        <f>IFERROR(
  MINIFS(ATTENDANCE_LOG!$F:$F,
         ATTENDANCE_LOG!$A:$A, C384,
         ATTENDANCE_LOG!$B:$B, E384),
"")</f>
        <v>45882.58333</v>
      </c>
      <c r="I384" s="219">
        <f t="shared" si="2"/>
        <v>45764.58333</v>
      </c>
      <c r="J384" s="190">
        <f>IFERROR(VLOOKUP(F384, LEVEL_HELPER!$A:$B, 2, 0), "")</f>
        <v>3.5</v>
      </c>
      <c r="K384" s="190">
        <f>IFERROR(VLOOKUP(G384, LEVEL_HELPER!$A:$B, 2, 0), "")</f>
        <v>5.5</v>
      </c>
      <c r="L384" s="220" t="s">
        <v>931</v>
      </c>
      <c r="M384" s="220" t="s">
        <v>924</v>
      </c>
      <c r="N384" s="190">
        <f t="array" ref="N384">IFERROR(
  INDEX($J$2:$J$543,
    MATCH(A384&amp;TEXT(I384,"yyyy-mm-dd"),
          $A$2:$A$543&amp;TEXT($H$2:$H$543,"yyyy-mm-dd"),
          0)),
"")</f>
        <v>2.5</v>
      </c>
      <c r="O384" s="210">
        <f t="shared" si="3"/>
        <v>5.5</v>
      </c>
      <c r="P384" s="210">
        <f t="shared" ref="P384:Q384" si="394">IF(N384="",0,IF(N384&lt;=2,1,IF(N384&lt;=4,2,IF(N384&lt;=5.5,3,4))))</f>
        <v>2</v>
      </c>
      <c r="Q384" s="210">
        <f t="shared" si="394"/>
        <v>3</v>
      </c>
      <c r="R384" s="210" t="str">
        <f t="shared" si="5"/>
        <v>Lv2 → Lv3</v>
      </c>
      <c r="S384" s="210">
        <f t="shared" si="6"/>
        <v>0</v>
      </c>
      <c r="T384" s="210"/>
      <c r="U384" s="210"/>
      <c r="V384" s="210"/>
      <c r="W384" s="210"/>
      <c r="X384" s="210"/>
      <c r="Y384" s="210"/>
      <c r="Z384" s="210"/>
      <c r="AA384" s="210"/>
      <c r="AB384" s="210"/>
      <c r="AC384" s="210"/>
      <c r="AD384" s="210"/>
      <c r="AE384" s="210"/>
      <c r="AF384" s="210"/>
      <c r="AG384" s="210"/>
      <c r="AH384" s="210"/>
      <c r="AI384" s="210"/>
      <c r="AJ384" s="210"/>
      <c r="AK384" s="210"/>
      <c r="AL384" s="210"/>
      <c r="AM384" s="214"/>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c r="BU384" s="210"/>
      <c r="BV384" s="210"/>
      <c r="BW384" s="210"/>
      <c r="BX384" s="210"/>
      <c r="BY384" s="210"/>
      <c r="BZ384" s="210"/>
      <c r="CA384" s="210"/>
      <c r="CB384" s="210"/>
      <c r="CC384" s="210"/>
      <c r="CD384" s="210"/>
      <c r="CE384" s="210"/>
      <c r="CF384" s="210"/>
      <c r="CG384" s="210"/>
      <c r="CH384" s="210"/>
      <c r="CI384" s="210"/>
      <c r="CJ384" s="210"/>
      <c r="CK384" s="210"/>
    </row>
    <row r="385">
      <c r="A385" s="222" t="s">
        <v>447</v>
      </c>
      <c r="B385" s="190" t="s">
        <v>448</v>
      </c>
      <c r="C385" s="223" t="s">
        <v>84</v>
      </c>
      <c r="D385" s="223" t="s">
        <v>877</v>
      </c>
      <c r="E385" s="190" t="s">
        <v>22</v>
      </c>
      <c r="F385" s="13" t="s">
        <v>929</v>
      </c>
      <c r="G385" s="13" t="s">
        <v>941</v>
      </c>
      <c r="H385" s="219">
        <f>IFERROR(
  MINIFS(ATTENDANCE_LOG!$F:$F,
         ATTENDANCE_LOG!$A:$A, C385,
         ATTENDANCE_LOG!$B:$B, E385),
"")</f>
        <v>45882.58333</v>
      </c>
      <c r="I385" s="219">
        <f t="shared" si="2"/>
        <v>45764.58333</v>
      </c>
      <c r="J385" s="190">
        <f>IFERROR(VLOOKUP(F385, LEVEL_HELPER!$A:$B, 2, 0), "")</f>
        <v>1.5</v>
      </c>
      <c r="K385" s="190">
        <f>IFERROR(VLOOKUP(G385, LEVEL_HELPER!$A:$B, 2, 0), "")</f>
        <v>5</v>
      </c>
      <c r="L385" s="220" t="s">
        <v>931</v>
      </c>
      <c r="M385" s="220" t="s">
        <v>924</v>
      </c>
      <c r="N385" s="190">
        <f t="array" ref="N385">IFERROR(
  INDEX($J$2:$J$543,
    MATCH(A385&amp;TEXT(I385,"yyyy-mm-dd"),
          $A$2:$A$543&amp;TEXT($H$2:$H$543,"yyyy-mm-dd"),
          0)),
"")</f>
        <v>1</v>
      </c>
      <c r="O385" s="210">
        <f t="shared" si="3"/>
        <v>5</v>
      </c>
      <c r="P385" s="210">
        <f t="shared" ref="P385:Q385" si="395">IF(N385="",0,IF(N385&lt;=2,1,IF(N385&lt;=4,2,IF(N385&lt;=5.5,3,4))))</f>
        <v>1</v>
      </c>
      <c r="Q385" s="210">
        <f t="shared" si="395"/>
        <v>3</v>
      </c>
      <c r="R385" s="210" t="str">
        <f t="shared" si="5"/>
        <v>Lv1 → Lv3 (multi)</v>
      </c>
      <c r="S385" s="210">
        <f t="shared" si="6"/>
        <v>0</v>
      </c>
      <c r="T385" s="210"/>
      <c r="U385" s="210"/>
      <c r="V385" s="210"/>
      <c r="W385" s="210"/>
      <c r="X385" s="210"/>
      <c r="Y385" s="210"/>
      <c r="Z385" s="210"/>
      <c r="AA385" s="210"/>
      <c r="AB385" s="210"/>
      <c r="AC385" s="210"/>
      <c r="AD385" s="210"/>
      <c r="AE385" s="210"/>
      <c r="AF385" s="210"/>
      <c r="AG385" s="210"/>
      <c r="AH385" s="210"/>
      <c r="AI385" s="210"/>
      <c r="AJ385" s="210"/>
      <c r="AK385" s="210"/>
      <c r="AL385" s="210"/>
      <c r="AM385" s="214"/>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c r="BU385" s="210"/>
      <c r="BV385" s="210"/>
      <c r="BW385" s="210"/>
      <c r="BX385" s="210"/>
      <c r="BY385" s="210"/>
      <c r="BZ385" s="210"/>
      <c r="CA385" s="210"/>
      <c r="CB385" s="210"/>
      <c r="CC385" s="210"/>
      <c r="CD385" s="210"/>
      <c r="CE385" s="210"/>
      <c r="CF385" s="210"/>
      <c r="CG385" s="210"/>
      <c r="CH385" s="210"/>
      <c r="CI385" s="210"/>
      <c r="CJ385" s="210"/>
      <c r="CK385" s="210"/>
    </row>
    <row r="386">
      <c r="A386" s="222" t="s">
        <v>486</v>
      </c>
      <c r="B386" s="190" t="s">
        <v>487</v>
      </c>
      <c r="C386" s="223" t="s">
        <v>84</v>
      </c>
      <c r="D386" s="223" t="s">
        <v>877</v>
      </c>
      <c r="E386" s="190" t="s">
        <v>22</v>
      </c>
      <c r="F386" s="13" t="s">
        <v>918</v>
      </c>
      <c r="G386" s="13" t="s">
        <v>941</v>
      </c>
      <c r="H386" s="219">
        <f>IFERROR(
  MINIFS(ATTENDANCE_LOG!$F:$F,
         ATTENDANCE_LOG!$A:$A, C386,
         ATTENDANCE_LOG!$B:$B, E386),
"")</f>
        <v>45882.58333</v>
      </c>
      <c r="I386" s="219">
        <f t="shared" si="2"/>
        <v>45764.58333</v>
      </c>
      <c r="J386" s="190">
        <f>IFERROR(VLOOKUP(F386, LEVEL_HELPER!$A:$B, 2, 0), "")</f>
        <v>3</v>
      </c>
      <c r="K386" s="190">
        <f>IFERROR(VLOOKUP(G386, LEVEL_HELPER!$A:$B, 2, 0), "")</f>
        <v>5</v>
      </c>
      <c r="L386" s="220" t="s">
        <v>931</v>
      </c>
      <c r="M386" s="220" t="s">
        <v>924</v>
      </c>
      <c r="N386" s="190">
        <f t="array" ref="N386">IFERROR(
  INDEX($J$2:$J$543,
    MATCH(A386&amp;TEXT(I386,"yyyy-mm-dd"),
          $A$2:$A$543&amp;TEXT($H$2:$H$543,"yyyy-mm-dd"),
          0)),
"")</f>
        <v>1</v>
      </c>
      <c r="O386" s="210">
        <f t="shared" si="3"/>
        <v>5</v>
      </c>
      <c r="P386" s="210">
        <f t="shared" ref="P386:Q386" si="396">IF(N386="",0,IF(N386&lt;=2,1,IF(N386&lt;=4,2,IF(N386&lt;=5.5,3,4))))</f>
        <v>1</v>
      </c>
      <c r="Q386" s="210">
        <f t="shared" si="396"/>
        <v>3</v>
      </c>
      <c r="R386" s="210" t="str">
        <f t="shared" si="5"/>
        <v>Lv1 → Lv3 (multi)</v>
      </c>
      <c r="S386" s="210">
        <f t="shared" si="6"/>
        <v>0</v>
      </c>
      <c r="T386" s="210"/>
      <c r="U386" s="210"/>
      <c r="V386" s="210"/>
      <c r="W386" s="210"/>
      <c r="X386" s="210"/>
      <c r="Y386" s="210"/>
      <c r="Z386" s="210"/>
      <c r="AA386" s="210"/>
      <c r="AB386" s="210"/>
      <c r="AC386" s="210"/>
      <c r="AD386" s="210"/>
      <c r="AE386" s="210"/>
      <c r="AF386" s="210"/>
      <c r="AG386" s="210"/>
      <c r="AH386" s="210"/>
      <c r="AI386" s="210"/>
      <c r="AJ386" s="210"/>
      <c r="AK386" s="210"/>
      <c r="AL386" s="210"/>
      <c r="AM386" s="214"/>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c r="BU386" s="210"/>
      <c r="BV386" s="210"/>
      <c r="BW386" s="210"/>
      <c r="BX386" s="210"/>
      <c r="BY386" s="210"/>
      <c r="BZ386" s="210"/>
      <c r="CA386" s="210"/>
      <c r="CB386" s="210"/>
      <c r="CC386" s="210"/>
      <c r="CD386" s="210"/>
      <c r="CE386" s="210"/>
      <c r="CF386" s="210"/>
      <c r="CG386" s="210"/>
      <c r="CH386" s="210"/>
      <c r="CI386" s="210"/>
      <c r="CJ386" s="210"/>
      <c r="CK386" s="210"/>
    </row>
    <row r="387">
      <c r="A387" s="222" t="s">
        <v>508</v>
      </c>
      <c r="B387" s="190" t="s">
        <v>509</v>
      </c>
      <c r="C387" s="223" t="s">
        <v>84</v>
      </c>
      <c r="D387" s="223" t="s">
        <v>877</v>
      </c>
      <c r="E387" s="190" t="s">
        <v>22</v>
      </c>
      <c r="F387" s="13" t="s">
        <v>918</v>
      </c>
      <c r="G387" s="13" t="s">
        <v>938</v>
      </c>
      <c r="H387" s="219">
        <f>IFERROR(
  MINIFS(ATTENDANCE_LOG!$F:$F,
         ATTENDANCE_LOG!$A:$A, C387,
         ATTENDANCE_LOG!$B:$B, E387),
"")</f>
        <v>45882.58333</v>
      </c>
      <c r="I387" s="219">
        <f t="shared" si="2"/>
        <v>45764.58333</v>
      </c>
      <c r="J387" s="190">
        <f>IFERROR(VLOOKUP(F387, LEVEL_HELPER!$A:$B, 2, 0), "")</f>
        <v>3</v>
      </c>
      <c r="K387" s="190">
        <f>IFERROR(VLOOKUP(G387, LEVEL_HELPER!$A:$B, 2, 0), "")</f>
        <v>5.5</v>
      </c>
      <c r="L387" s="220" t="s">
        <v>931</v>
      </c>
      <c r="M387" s="220" t="s">
        <v>924</v>
      </c>
      <c r="N387" s="190">
        <f t="array" ref="N387">IFERROR(
  INDEX($J$2:$J$543,
    MATCH(A387&amp;TEXT(I387,"yyyy-mm-dd"),
          $A$2:$A$543&amp;TEXT($H$2:$H$543,"yyyy-mm-dd"),
          0)),
"")</f>
        <v>1</v>
      </c>
      <c r="O387" s="210">
        <f t="shared" si="3"/>
        <v>5.5</v>
      </c>
      <c r="P387" s="210">
        <f t="shared" ref="P387:Q387" si="397">IF(N387="",0,IF(N387&lt;=2,1,IF(N387&lt;=4,2,IF(N387&lt;=5.5,3,4))))</f>
        <v>1</v>
      </c>
      <c r="Q387" s="210">
        <f t="shared" si="397"/>
        <v>3</v>
      </c>
      <c r="R387" s="210" t="str">
        <f t="shared" si="5"/>
        <v>Lv1 → Lv3 (multi)</v>
      </c>
      <c r="S387" s="210">
        <f t="shared" si="6"/>
        <v>0</v>
      </c>
      <c r="T387" s="210"/>
      <c r="U387" s="210"/>
      <c r="V387" s="210"/>
      <c r="W387" s="210"/>
      <c r="X387" s="210"/>
      <c r="Y387" s="210"/>
      <c r="Z387" s="210"/>
      <c r="AA387" s="210"/>
      <c r="AB387" s="210"/>
      <c r="AC387" s="210"/>
      <c r="AD387" s="210"/>
      <c r="AE387" s="210"/>
      <c r="AF387" s="210"/>
      <c r="AG387" s="210"/>
      <c r="AH387" s="210"/>
      <c r="AI387" s="210"/>
      <c r="AJ387" s="210"/>
      <c r="AK387" s="210"/>
      <c r="AL387" s="210"/>
      <c r="AM387" s="214"/>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c r="BU387" s="210"/>
      <c r="BV387" s="210"/>
      <c r="BW387" s="210"/>
      <c r="BX387" s="210"/>
      <c r="BY387" s="210"/>
      <c r="BZ387" s="210"/>
      <c r="CA387" s="210"/>
      <c r="CB387" s="210"/>
      <c r="CC387" s="210"/>
      <c r="CD387" s="210"/>
      <c r="CE387" s="210"/>
      <c r="CF387" s="210"/>
      <c r="CG387" s="210"/>
      <c r="CH387" s="210"/>
      <c r="CI387" s="210"/>
      <c r="CJ387" s="210"/>
      <c r="CK387" s="210"/>
    </row>
    <row r="388">
      <c r="A388" s="222" t="s">
        <v>597</v>
      </c>
      <c r="B388" s="190" t="s">
        <v>598</v>
      </c>
      <c r="C388" s="223" t="s">
        <v>84</v>
      </c>
      <c r="D388" s="223" t="s">
        <v>877</v>
      </c>
      <c r="E388" s="190" t="s">
        <v>22</v>
      </c>
      <c r="F388" s="13" t="s">
        <v>918</v>
      </c>
      <c r="G388" s="13" t="s">
        <v>941</v>
      </c>
      <c r="H388" s="219">
        <f>IFERROR(
  MINIFS(ATTENDANCE_LOG!$F:$F,
         ATTENDANCE_LOG!$A:$A, C388,
         ATTENDANCE_LOG!$B:$B, E388),
"")</f>
        <v>45882.58333</v>
      </c>
      <c r="I388" s="219">
        <f t="shared" si="2"/>
        <v>45764.58333</v>
      </c>
      <c r="J388" s="190">
        <f>IFERROR(VLOOKUP(F388, LEVEL_HELPER!$A:$B, 2, 0), "")</f>
        <v>3</v>
      </c>
      <c r="K388" s="190">
        <f>IFERROR(VLOOKUP(G388, LEVEL_HELPER!$A:$B, 2, 0), "")</f>
        <v>5</v>
      </c>
      <c r="L388" s="220" t="s">
        <v>931</v>
      </c>
      <c r="M388" s="220" t="s">
        <v>924</v>
      </c>
      <c r="N388" s="190">
        <f t="array" ref="N388">IFERROR(
  INDEX($J$2:$J$543,
    MATCH(A388&amp;TEXT(I388,"yyyy-mm-dd"),
          $A$2:$A$543&amp;TEXT($H$2:$H$543,"yyyy-mm-dd"),
          0)),
"")</f>
        <v>1</v>
      </c>
      <c r="O388" s="210">
        <f t="shared" si="3"/>
        <v>5</v>
      </c>
      <c r="P388" s="210">
        <f t="shared" ref="P388:Q388" si="398">IF(N388="",0,IF(N388&lt;=2,1,IF(N388&lt;=4,2,IF(N388&lt;=5.5,3,4))))</f>
        <v>1</v>
      </c>
      <c r="Q388" s="210">
        <f t="shared" si="398"/>
        <v>3</v>
      </c>
      <c r="R388" s="210" t="str">
        <f t="shared" si="5"/>
        <v>Lv1 → Lv3 (multi)</v>
      </c>
      <c r="S388" s="210">
        <f t="shared" si="6"/>
        <v>0</v>
      </c>
      <c r="T388" s="210"/>
      <c r="U388" s="210"/>
      <c r="V388" s="210"/>
      <c r="W388" s="210"/>
      <c r="X388" s="210"/>
      <c r="Y388" s="210"/>
      <c r="Z388" s="210"/>
      <c r="AA388" s="210"/>
      <c r="AB388" s="210"/>
      <c r="AC388" s="210"/>
      <c r="AD388" s="210"/>
      <c r="AE388" s="210"/>
      <c r="AF388" s="210"/>
      <c r="AG388" s="210"/>
      <c r="AH388" s="210"/>
      <c r="AI388" s="210"/>
      <c r="AJ388" s="210"/>
      <c r="AK388" s="210"/>
      <c r="AL388" s="210"/>
      <c r="AM388" s="214"/>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c r="BU388" s="210"/>
      <c r="BV388" s="210"/>
      <c r="BW388" s="210"/>
      <c r="BX388" s="210"/>
      <c r="BY388" s="210"/>
      <c r="BZ388" s="210"/>
      <c r="CA388" s="210"/>
      <c r="CB388" s="210"/>
      <c r="CC388" s="210"/>
      <c r="CD388" s="210"/>
      <c r="CE388" s="210"/>
      <c r="CF388" s="210"/>
      <c r="CG388" s="210"/>
      <c r="CH388" s="210"/>
      <c r="CI388" s="210"/>
      <c r="CJ388" s="210"/>
      <c r="CK388" s="210"/>
    </row>
    <row r="389">
      <c r="A389" s="222" t="s">
        <v>623</v>
      </c>
      <c r="B389" s="190" t="s">
        <v>624</v>
      </c>
      <c r="C389" s="223" t="s">
        <v>84</v>
      </c>
      <c r="D389" s="223" t="s">
        <v>877</v>
      </c>
      <c r="E389" s="190" t="s">
        <v>22</v>
      </c>
      <c r="F389" s="13" t="s">
        <v>932</v>
      </c>
      <c r="G389" s="190"/>
      <c r="H389" s="219">
        <f>IFERROR(
  MINIFS(ATTENDANCE_LOG!$F:$F,
         ATTENDANCE_LOG!$A:$A, C389,
         ATTENDANCE_LOG!$B:$B, E389),
"")</f>
        <v>45882.58333</v>
      </c>
      <c r="I389" s="219">
        <f t="shared" si="2"/>
        <v>45764.58333</v>
      </c>
      <c r="J389" s="190">
        <f>IFERROR(VLOOKUP(F389, LEVEL_HELPER!$A:$B, 2, 0), "")</f>
        <v>4.5</v>
      </c>
      <c r="K389" s="190" t="str">
        <f>IFERROR(VLOOKUP(G389, LEVEL_HELPER!$A:$B, 2, 0), "")</f>
        <v/>
      </c>
      <c r="L389" s="220" t="s">
        <v>931</v>
      </c>
      <c r="M389" s="220" t="s">
        <v>924</v>
      </c>
      <c r="N389" s="190">
        <f t="array" ref="N389">IFERROR(
  INDEX($J$2:$J$543,
    MATCH(A389&amp;TEXT(I389,"yyyy-mm-dd"),
          $A$2:$A$543&amp;TEXT($H$2:$H$543,"yyyy-mm-dd"),
          0)),
"")</f>
        <v>1</v>
      </c>
      <c r="O389" s="210">
        <f t="shared" si="3"/>
        <v>3</v>
      </c>
      <c r="P389" s="210">
        <f t="shared" ref="P389:Q389" si="399">IF(N389="",0,IF(N389&lt;=2,1,IF(N389&lt;=4,2,IF(N389&lt;=5.5,3,4))))</f>
        <v>1</v>
      </c>
      <c r="Q389" s="210">
        <f t="shared" si="399"/>
        <v>2</v>
      </c>
      <c r="R389" s="210" t="str">
        <f t="shared" si="5"/>
        <v>Lv1 → Lv2</v>
      </c>
      <c r="S389" s="210">
        <f t="shared" si="6"/>
        <v>0</v>
      </c>
      <c r="T389" s="210"/>
      <c r="U389" s="210"/>
      <c r="V389" s="210"/>
      <c r="W389" s="210"/>
      <c r="X389" s="210"/>
      <c r="Y389" s="210"/>
      <c r="Z389" s="210"/>
      <c r="AA389" s="210"/>
      <c r="AB389" s="210"/>
      <c r="AC389" s="210"/>
      <c r="AD389" s="210"/>
      <c r="AE389" s="210"/>
      <c r="AF389" s="210"/>
      <c r="AG389" s="210"/>
      <c r="AH389" s="210"/>
      <c r="AI389" s="210"/>
      <c r="AJ389" s="210"/>
      <c r="AK389" s="210"/>
      <c r="AL389" s="210"/>
      <c r="AM389" s="214"/>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c r="BU389" s="210"/>
      <c r="BV389" s="210"/>
      <c r="BW389" s="210"/>
      <c r="BX389" s="210"/>
      <c r="BY389" s="210"/>
      <c r="BZ389" s="210"/>
      <c r="CA389" s="210"/>
      <c r="CB389" s="210"/>
      <c r="CC389" s="210"/>
      <c r="CD389" s="210"/>
      <c r="CE389" s="210"/>
      <c r="CF389" s="210"/>
      <c r="CG389" s="210"/>
      <c r="CH389" s="210"/>
      <c r="CI389" s="210"/>
      <c r="CJ389" s="210"/>
      <c r="CK389" s="210"/>
    </row>
    <row r="390">
      <c r="A390" s="216" t="s">
        <v>397</v>
      </c>
      <c r="B390" s="217" t="s">
        <v>398</v>
      </c>
      <c r="C390" s="218" t="s">
        <v>85</v>
      </c>
      <c r="D390" s="218" t="s">
        <v>878</v>
      </c>
      <c r="E390" s="217" t="s">
        <v>24</v>
      </c>
      <c r="F390" s="244"/>
      <c r="G390" s="244"/>
      <c r="H390" s="219">
        <f>IFERROR(
  MINIFS(ATTENDANCE_LOG!$F:$F,
         ATTENDANCE_LOG!$A:$A, C390,
         ATTENDANCE_LOG!$B:$B, E390),
"")</f>
        <v>46086.45833</v>
      </c>
      <c r="I390" s="219">
        <f t="shared" si="2"/>
        <v>45764.45833</v>
      </c>
      <c r="J390" s="244" t="str">
        <f>IFERROR(VLOOKUP(F390, LEVEL_HELPER!$A:$B, 2, 0), "")</f>
        <v/>
      </c>
      <c r="K390" s="244" t="str">
        <f>IFERROR(VLOOKUP(G390, LEVEL_HELPER!$A:$B, 2, 0), "")</f>
        <v/>
      </c>
      <c r="L390" s="245" t="s">
        <v>957</v>
      </c>
      <c r="M390" s="245" t="s">
        <v>924</v>
      </c>
      <c r="N390" s="190">
        <f t="array" ref="N390">IFERROR(
  INDEX($J$2:$J$543,
    MATCH(A390&amp;TEXT(I390,"yyyy-mm-dd"),
          $A$2:$A$543&amp;TEXT($H$2:$H$543,"yyyy-mm-dd"),
          0)),
"")</f>
        <v>1</v>
      </c>
      <c r="O390" s="246">
        <f t="shared" si="3"/>
        <v>5</v>
      </c>
      <c r="P390" s="210">
        <f t="shared" ref="P390:Q390" si="400">IF(N390="",0,IF(N390&lt;=2,1,IF(N390&lt;=4,2,IF(N390&lt;=5.5,3,4))))</f>
        <v>1</v>
      </c>
      <c r="Q390" s="210">
        <f t="shared" si="400"/>
        <v>3</v>
      </c>
      <c r="R390" s="210" t="str">
        <f t="shared" si="5"/>
        <v>Lv1 → Lv3 (multi)</v>
      </c>
      <c r="S390" s="210">
        <f t="shared" si="6"/>
        <v>1</v>
      </c>
      <c r="T390" s="210"/>
      <c r="U390" s="210"/>
      <c r="V390" s="210"/>
      <c r="W390" s="210"/>
      <c r="X390" s="210"/>
      <c r="Y390" s="210"/>
      <c r="Z390" s="210"/>
      <c r="AA390" s="210"/>
      <c r="AB390" s="210"/>
      <c r="AC390" s="210"/>
      <c r="AD390" s="210"/>
      <c r="AE390" s="210"/>
      <c r="AF390" s="210"/>
      <c r="AG390" s="210"/>
      <c r="AH390" s="210"/>
      <c r="AI390" s="210"/>
      <c r="AJ390" s="210"/>
      <c r="AK390" s="210"/>
      <c r="AL390" s="210"/>
      <c r="AM390" s="214"/>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c r="BU390" s="210"/>
      <c r="BV390" s="210"/>
      <c r="BW390" s="210"/>
      <c r="BX390" s="210"/>
      <c r="BY390" s="210"/>
      <c r="BZ390" s="210"/>
      <c r="CA390" s="210"/>
      <c r="CB390" s="210"/>
      <c r="CC390" s="210"/>
      <c r="CD390" s="210"/>
      <c r="CE390" s="210"/>
      <c r="CF390" s="210"/>
      <c r="CG390" s="210"/>
      <c r="CH390" s="210"/>
      <c r="CI390" s="210"/>
      <c r="CJ390" s="210"/>
      <c r="CK390" s="210"/>
    </row>
    <row r="391">
      <c r="A391" s="222" t="s">
        <v>136</v>
      </c>
      <c r="B391" s="190" t="s">
        <v>137</v>
      </c>
      <c r="C391" s="223" t="s">
        <v>85</v>
      </c>
      <c r="D391" s="223" t="s">
        <v>878</v>
      </c>
      <c r="E391" s="190" t="s">
        <v>24</v>
      </c>
      <c r="F391" s="190"/>
      <c r="G391" s="190"/>
      <c r="H391" s="219">
        <f>IFERROR(
  MINIFS(ATTENDANCE_LOG!$F:$F,
         ATTENDANCE_LOG!$A:$A, C391,
         ATTENDANCE_LOG!$B:$B, E391),
"")</f>
        <v>46086.45833</v>
      </c>
      <c r="I391" s="219">
        <f t="shared" si="2"/>
        <v>45764.45833</v>
      </c>
      <c r="J391" s="190" t="str">
        <f>IFERROR(VLOOKUP(F391, LEVEL_HELPER!$A:$B, 2, 0), "")</f>
        <v/>
      </c>
      <c r="K391" s="190" t="str">
        <f>IFERROR(VLOOKUP(G391, LEVEL_HELPER!$A:$B, 2, 0), "")</f>
        <v/>
      </c>
      <c r="L391" s="220" t="s">
        <v>943</v>
      </c>
      <c r="M391" s="220" t="s">
        <v>924</v>
      </c>
      <c r="N391" s="190">
        <f t="array" ref="N391">IFERROR(
  INDEX($J$2:$J$543,
    MATCH(A391&amp;TEXT(I391,"yyyy-mm-dd"),
          $A$2:$A$543&amp;TEXT($H$2:$H$543,"yyyy-mm-dd"),
          0)),
"")</f>
        <v>0</v>
      </c>
      <c r="O391" s="210">
        <f t="shared" si="3"/>
        <v>5</v>
      </c>
      <c r="P391" s="210">
        <f t="shared" ref="P391:Q391" si="401">IF(N391="",0,IF(N391&lt;=2,1,IF(N391&lt;=4,2,IF(N391&lt;=5.5,3,4))))</f>
        <v>1</v>
      </c>
      <c r="Q391" s="210">
        <f t="shared" si="401"/>
        <v>3</v>
      </c>
      <c r="R391" s="210" t="str">
        <f t="shared" si="5"/>
        <v>Lv1 → Lv3 (multi)</v>
      </c>
      <c r="S391" s="210">
        <f t="shared" si="6"/>
        <v>1</v>
      </c>
      <c r="T391" s="210"/>
      <c r="U391" s="210"/>
      <c r="V391" s="210"/>
      <c r="W391" s="210"/>
      <c r="X391" s="210"/>
      <c r="Y391" s="210"/>
      <c r="Z391" s="210"/>
      <c r="AA391" s="210"/>
      <c r="AB391" s="210"/>
      <c r="AC391" s="210"/>
      <c r="AD391" s="210"/>
      <c r="AE391" s="210"/>
      <c r="AF391" s="210"/>
      <c r="AG391" s="210"/>
      <c r="AH391" s="210"/>
      <c r="AI391" s="210"/>
      <c r="AJ391" s="210"/>
      <c r="AK391" s="210"/>
      <c r="AL391" s="210"/>
      <c r="AM391" s="214"/>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c r="BU391" s="210"/>
      <c r="BV391" s="210"/>
      <c r="BW391" s="210"/>
      <c r="BX391" s="210"/>
      <c r="BY391" s="210"/>
      <c r="BZ391" s="210"/>
      <c r="CA391" s="210"/>
      <c r="CB391" s="210"/>
      <c r="CC391" s="210"/>
      <c r="CD391" s="210"/>
      <c r="CE391" s="210"/>
      <c r="CF391" s="210"/>
      <c r="CG391" s="210"/>
      <c r="CH391" s="210"/>
      <c r="CI391" s="210"/>
      <c r="CJ391" s="210"/>
      <c r="CK391" s="210"/>
    </row>
    <row r="392">
      <c r="A392" s="222" t="s">
        <v>208</v>
      </c>
      <c r="B392" s="190" t="s">
        <v>209</v>
      </c>
      <c r="C392" s="223" t="s">
        <v>85</v>
      </c>
      <c r="D392" s="223" t="s">
        <v>878</v>
      </c>
      <c r="E392" s="190" t="s">
        <v>24</v>
      </c>
      <c r="F392" s="190"/>
      <c r="G392" s="190"/>
      <c r="H392" s="219">
        <f>IFERROR(
  MINIFS(ATTENDANCE_LOG!$F:$F,
         ATTENDANCE_LOG!$A:$A, C392,
         ATTENDANCE_LOG!$B:$B, E392),
"")</f>
        <v>46086.45833</v>
      </c>
      <c r="I392" s="219">
        <f t="shared" si="2"/>
        <v>45764.41667</v>
      </c>
      <c r="J392" s="190" t="str">
        <f>IFERROR(VLOOKUP(F392, LEVEL_HELPER!$A:$B, 2, 0), "")</f>
        <v/>
      </c>
      <c r="K392" s="190" t="str">
        <f>IFERROR(VLOOKUP(G392, LEVEL_HELPER!$A:$B, 2, 0), "")</f>
        <v/>
      </c>
      <c r="L392" s="220" t="s">
        <v>943</v>
      </c>
      <c r="M392" s="220" t="s">
        <v>924</v>
      </c>
      <c r="N392" s="190">
        <f t="array" ref="N392">IFERROR(
  INDEX($J$2:$J$543,
    MATCH(A392&amp;TEXT(I392,"yyyy-mm-dd"),
          $A$2:$A$543&amp;TEXT($H$2:$H$543,"yyyy-mm-dd"),
          0)),
"")</f>
        <v>1</v>
      </c>
      <c r="O392" s="210">
        <f t="shared" si="3"/>
        <v>5</v>
      </c>
      <c r="P392" s="210">
        <f t="shared" ref="P392:Q392" si="402">IF(N392="",0,IF(N392&lt;=2,1,IF(N392&lt;=4,2,IF(N392&lt;=5.5,3,4))))</f>
        <v>1</v>
      </c>
      <c r="Q392" s="210">
        <f t="shared" si="402"/>
        <v>3</v>
      </c>
      <c r="R392" s="210" t="str">
        <f t="shared" si="5"/>
        <v>Lv1 → Lv3 (multi)</v>
      </c>
      <c r="S392" s="210">
        <f t="shared" si="6"/>
        <v>0</v>
      </c>
      <c r="T392" s="210"/>
      <c r="U392" s="210"/>
      <c r="V392" s="210"/>
      <c r="W392" s="210"/>
      <c r="X392" s="210"/>
      <c r="Y392" s="210"/>
      <c r="Z392" s="210"/>
      <c r="AA392" s="210"/>
      <c r="AB392" s="210"/>
      <c r="AC392" s="210"/>
      <c r="AD392" s="210"/>
      <c r="AE392" s="210"/>
      <c r="AF392" s="210"/>
      <c r="AG392" s="210"/>
      <c r="AH392" s="210"/>
      <c r="AI392" s="210"/>
      <c r="AJ392" s="210"/>
      <c r="AK392" s="210"/>
      <c r="AL392" s="210"/>
      <c r="AM392" s="214"/>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c r="BU392" s="210"/>
      <c r="BV392" s="210"/>
      <c r="BW392" s="210"/>
      <c r="BX392" s="210"/>
      <c r="BY392" s="210"/>
      <c r="BZ392" s="210"/>
      <c r="CA392" s="210"/>
      <c r="CB392" s="210"/>
      <c r="CC392" s="210"/>
      <c r="CD392" s="210"/>
      <c r="CE392" s="210"/>
      <c r="CF392" s="210"/>
      <c r="CG392" s="210"/>
      <c r="CH392" s="210"/>
      <c r="CI392" s="210"/>
      <c r="CJ392" s="210"/>
      <c r="CK392" s="210"/>
    </row>
    <row r="393">
      <c r="A393" s="222" t="s">
        <v>300</v>
      </c>
      <c r="B393" s="190" t="s">
        <v>301</v>
      </c>
      <c r="C393" s="223" t="s">
        <v>85</v>
      </c>
      <c r="D393" s="223" t="s">
        <v>878</v>
      </c>
      <c r="E393" s="190" t="s">
        <v>24</v>
      </c>
      <c r="F393" s="190"/>
      <c r="G393" s="190"/>
      <c r="H393" s="219">
        <f>IFERROR(
  MINIFS(ATTENDANCE_LOG!$F:$F,
         ATTENDANCE_LOG!$A:$A, C393,
         ATTENDANCE_LOG!$B:$B, E393),
"")</f>
        <v>46086.45833</v>
      </c>
      <c r="I393" s="219">
        <f t="shared" si="2"/>
        <v>45765.58333</v>
      </c>
      <c r="J393" s="190" t="str">
        <f>IFERROR(VLOOKUP(F393, LEVEL_HELPER!$A:$B, 2, 0), "")</f>
        <v/>
      </c>
      <c r="K393" s="190" t="str">
        <f>IFERROR(VLOOKUP(G393, LEVEL_HELPER!$A:$B, 2, 0), "")</f>
        <v/>
      </c>
      <c r="L393" s="220" t="s">
        <v>943</v>
      </c>
      <c r="M393" s="220" t="s">
        <v>924</v>
      </c>
      <c r="N393" s="190">
        <f t="array" ref="N393">IFERROR(
  INDEX($J$2:$J$543,
    MATCH(A393&amp;TEXT(I393,"yyyy-mm-dd"),
          $A$2:$A$543&amp;TEXT($H$2:$H$543,"yyyy-mm-dd"),
          0)),
"")</f>
        <v>1</v>
      </c>
      <c r="O393" s="210">
        <f t="shared" si="3"/>
        <v>5</v>
      </c>
      <c r="P393" s="210">
        <f t="shared" ref="P393:Q393" si="403">IF(N393="",0,IF(N393&lt;=2,1,IF(N393&lt;=4,2,IF(N393&lt;=5.5,3,4))))</f>
        <v>1</v>
      </c>
      <c r="Q393" s="210">
        <f t="shared" si="403"/>
        <v>3</v>
      </c>
      <c r="R393" s="210" t="str">
        <f t="shared" si="5"/>
        <v>Lv1 → Lv3 (multi)</v>
      </c>
      <c r="S393" s="210">
        <f t="shared" si="6"/>
        <v>0</v>
      </c>
      <c r="T393" s="210"/>
      <c r="U393" s="210"/>
      <c r="V393" s="210"/>
      <c r="W393" s="210"/>
      <c r="X393" s="210"/>
      <c r="Y393" s="210"/>
      <c r="Z393" s="210"/>
      <c r="AA393" s="210"/>
      <c r="AB393" s="210"/>
      <c r="AC393" s="210"/>
      <c r="AD393" s="210"/>
      <c r="AE393" s="210"/>
      <c r="AF393" s="210"/>
      <c r="AG393" s="210"/>
      <c r="AH393" s="210"/>
      <c r="AI393" s="210"/>
      <c r="AJ393" s="210"/>
      <c r="AK393" s="210"/>
      <c r="AL393" s="210"/>
      <c r="AM393" s="214"/>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c r="BU393" s="210"/>
      <c r="BV393" s="210"/>
      <c r="BW393" s="210"/>
      <c r="BX393" s="210"/>
      <c r="BY393" s="210"/>
      <c r="BZ393" s="210"/>
      <c r="CA393" s="210"/>
      <c r="CB393" s="210"/>
      <c r="CC393" s="210"/>
      <c r="CD393" s="210"/>
      <c r="CE393" s="210"/>
      <c r="CF393" s="210"/>
      <c r="CG393" s="210"/>
      <c r="CH393" s="210"/>
      <c r="CI393" s="210"/>
      <c r="CJ393" s="210"/>
      <c r="CK393" s="210"/>
    </row>
    <row r="394">
      <c r="A394" s="222" t="s">
        <v>309</v>
      </c>
      <c r="B394" s="190" t="s">
        <v>310</v>
      </c>
      <c r="C394" s="223" t="s">
        <v>85</v>
      </c>
      <c r="D394" s="223" t="s">
        <v>878</v>
      </c>
      <c r="E394" s="190" t="s">
        <v>24</v>
      </c>
      <c r="F394" s="190"/>
      <c r="G394" s="190"/>
      <c r="H394" s="219">
        <f>IFERROR(
  MINIFS(ATTENDANCE_LOG!$F:$F,
         ATTENDANCE_LOG!$A:$A, C394,
         ATTENDANCE_LOG!$B:$B, E394),
"")</f>
        <v>46086.45833</v>
      </c>
      <c r="I394" s="219">
        <f t="shared" si="2"/>
        <v>45765.375</v>
      </c>
      <c r="J394" s="190" t="str">
        <f>IFERROR(VLOOKUP(F394, LEVEL_HELPER!$A:$B, 2, 0), "")</f>
        <v/>
      </c>
      <c r="K394" s="190" t="str">
        <f>IFERROR(VLOOKUP(G394, LEVEL_HELPER!$A:$B, 2, 0), "")</f>
        <v/>
      </c>
      <c r="L394" s="220" t="s">
        <v>943</v>
      </c>
      <c r="M394" s="220" t="s">
        <v>924</v>
      </c>
      <c r="N394" s="190">
        <f t="array" ref="N394">IFERROR(
  INDEX($J$2:$J$543,
    MATCH(A394&amp;TEXT(I394,"yyyy-mm-dd"),
          $A$2:$A$543&amp;TEXT($H$2:$H$543,"yyyy-mm-dd"),
          0)),
"")</f>
        <v>1</v>
      </c>
      <c r="O394" s="210">
        <f t="shared" si="3"/>
        <v>5</v>
      </c>
      <c r="P394" s="210">
        <f t="shared" ref="P394:Q394" si="404">IF(N394="",0,IF(N394&lt;=2,1,IF(N394&lt;=4,2,IF(N394&lt;=5.5,3,4))))</f>
        <v>1</v>
      </c>
      <c r="Q394" s="210">
        <f t="shared" si="404"/>
        <v>3</v>
      </c>
      <c r="R394" s="210" t="str">
        <f t="shared" si="5"/>
        <v>Lv1 → Lv3 (multi)</v>
      </c>
      <c r="S394" s="210">
        <f t="shared" si="6"/>
        <v>0</v>
      </c>
      <c r="T394" s="210"/>
      <c r="U394" s="210"/>
      <c r="V394" s="210"/>
      <c r="W394" s="210"/>
      <c r="X394" s="210"/>
      <c r="Y394" s="210"/>
      <c r="Z394" s="210"/>
      <c r="AA394" s="210"/>
      <c r="AB394" s="210"/>
      <c r="AC394" s="210"/>
      <c r="AD394" s="210"/>
      <c r="AE394" s="210"/>
      <c r="AF394" s="210"/>
      <c r="AG394" s="210"/>
      <c r="AH394" s="210"/>
      <c r="AI394" s="210"/>
      <c r="AJ394" s="210"/>
      <c r="AK394" s="210"/>
      <c r="AL394" s="210"/>
      <c r="AM394" s="214"/>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c r="BU394" s="210"/>
      <c r="BV394" s="210"/>
      <c r="BW394" s="210"/>
      <c r="BX394" s="210"/>
      <c r="BY394" s="210"/>
      <c r="BZ394" s="210"/>
      <c r="CA394" s="210"/>
      <c r="CB394" s="210"/>
      <c r="CC394" s="210"/>
      <c r="CD394" s="210"/>
      <c r="CE394" s="210"/>
      <c r="CF394" s="210"/>
      <c r="CG394" s="210"/>
      <c r="CH394" s="210"/>
      <c r="CI394" s="210"/>
      <c r="CJ394" s="210"/>
      <c r="CK394" s="210"/>
    </row>
    <row r="395">
      <c r="A395" s="222" t="s">
        <v>530</v>
      </c>
      <c r="B395" s="190" t="s">
        <v>531</v>
      </c>
      <c r="C395" s="223" t="s">
        <v>85</v>
      </c>
      <c r="D395" s="223" t="s">
        <v>878</v>
      </c>
      <c r="E395" s="190" t="s">
        <v>24</v>
      </c>
      <c r="F395" s="190"/>
      <c r="G395" s="190"/>
      <c r="H395" s="219">
        <f>IFERROR(
  MINIFS(ATTENDANCE_LOG!$F:$F,
         ATTENDANCE_LOG!$A:$A, C395,
         ATTENDANCE_LOG!$B:$B, E395),
"")</f>
        <v>46086.45833</v>
      </c>
      <c r="I395" s="219">
        <f t="shared" si="2"/>
        <v>45765.41667</v>
      </c>
      <c r="J395" s="190" t="str">
        <f>IFERROR(VLOOKUP(F395, LEVEL_HELPER!$A:$B, 2, 0), "")</f>
        <v/>
      </c>
      <c r="K395" s="190" t="str">
        <f>IFERROR(VLOOKUP(G395, LEVEL_HELPER!$A:$B, 2, 0), "")</f>
        <v/>
      </c>
      <c r="L395" s="220" t="s">
        <v>943</v>
      </c>
      <c r="M395" s="220" t="s">
        <v>924</v>
      </c>
      <c r="N395" s="190">
        <f t="array" ref="N395">IFERROR(
  INDEX($J$2:$J$543,
    MATCH(A395&amp;TEXT(I395,"yyyy-mm-dd"),
          $A$2:$A$543&amp;TEXT($H$2:$H$543,"yyyy-mm-dd"),
          0)),
"")</f>
        <v>1</v>
      </c>
      <c r="O395" s="210">
        <f t="shared" si="3"/>
        <v>5</v>
      </c>
      <c r="P395" s="210">
        <f t="shared" ref="P395:Q395" si="405">IF(N395="",0,IF(N395&lt;=2,1,IF(N395&lt;=4,2,IF(N395&lt;=5.5,3,4))))</f>
        <v>1</v>
      </c>
      <c r="Q395" s="210">
        <f t="shared" si="405"/>
        <v>3</v>
      </c>
      <c r="R395" s="210" t="str">
        <f t="shared" si="5"/>
        <v>Lv1 → Lv3 (multi)</v>
      </c>
      <c r="S395" s="210">
        <f t="shared" si="6"/>
        <v>0</v>
      </c>
      <c r="T395" s="210"/>
      <c r="U395" s="210"/>
      <c r="V395" s="210"/>
      <c r="W395" s="210"/>
      <c r="X395" s="210"/>
      <c r="Y395" s="210"/>
      <c r="Z395" s="210"/>
      <c r="AA395" s="210"/>
      <c r="AB395" s="210"/>
      <c r="AC395" s="210"/>
      <c r="AD395" s="210"/>
      <c r="AE395" s="210"/>
      <c r="AF395" s="210"/>
      <c r="AG395" s="210"/>
      <c r="AH395" s="210"/>
      <c r="AI395" s="210"/>
      <c r="AJ395" s="210"/>
      <c r="AK395" s="210"/>
      <c r="AL395" s="210"/>
      <c r="AM395" s="214"/>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c r="BU395" s="210"/>
      <c r="BV395" s="210"/>
      <c r="BW395" s="210"/>
      <c r="BX395" s="210"/>
      <c r="BY395" s="210"/>
      <c r="BZ395" s="210"/>
      <c r="CA395" s="210"/>
      <c r="CB395" s="210"/>
      <c r="CC395" s="210"/>
      <c r="CD395" s="210"/>
      <c r="CE395" s="210"/>
      <c r="CF395" s="210"/>
      <c r="CG395" s="210"/>
      <c r="CH395" s="210"/>
      <c r="CI395" s="210"/>
      <c r="CJ395" s="210"/>
      <c r="CK395" s="210"/>
    </row>
    <row r="396">
      <c r="A396" s="222" t="s">
        <v>621</v>
      </c>
      <c r="B396" s="190" t="s">
        <v>622</v>
      </c>
      <c r="C396" s="223" t="s">
        <v>85</v>
      </c>
      <c r="D396" s="223" t="s">
        <v>878</v>
      </c>
      <c r="E396" s="190" t="s">
        <v>24</v>
      </c>
      <c r="F396" s="190"/>
      <c r="G396" s="190"/>
      <c r="H396" s="219">
        <f>IFERROR(
  MINIFS(ATTENDANCE_LOG!$F:$F,
         ATTENDANCE_LOG!$A:$A, C396,
         ATTENDANCE_LOG!$B:$B, E396),
"")</f>
        <v>46086.45833</v>
      </c>
      <c r="I396" s="219">
        <f t="shared" si="2"/>
        <v>45765.41667</v>
      </c>
      <c r="J396" s="190" t="str">
        <f>IFERROR(VLOOKUP(F396, LEVEL_HELPER!$A:$B, 2, 0), "")</f>
        <v/>
      </c>
      <c r="K396" s="190" t="str">
        <f>IFERROR(VLOOKUP(G396, LEVEL_HELPER!$A:$B, 2, 0), "")</f>
        <v/>
      </c>
      <c r="L396" s="220" t="s">
        <v>943</v>
      </c>
      <c r="M396" s="220" t="s">
        <v>924</v>
      </c>
      <c r="N396" s="190">
        <f t="array" ref="N396">IFERROR(
  INDEX($J$2:$J$543,
    MATCH(A396&amp;TEXT(I396,"yyyy-mm-dd"),
          $A$2:$A$543&amp;TEXT($H$2:$H$543,"yyyy-mm-dd"),
          0)),
"")</f>
        <v>1</v>
      </c>
      <c r="O396" s="210">
        <f t="shared" si="3"/>
        <v>5</v>
      </c>
      <c r="P396" s="210">
        <f t="shared" ref="P396:Q396" si="406">IF(N396="",0,IF(N396&lt;=2,1,IF(N396&lt;=4,2,IF(N396&lt;=5.5,3,4))))</f>
        <v>1</v>
      </c>
      <c r="Q396" s="210">
        <f t="shared" si="406"/>
        <v>3</v>
      </c>
      <c r="R396" s="210" t="str">
        <f t="shared" si="5"/>
        <v>Lv1 → Lv3 (multi)</v>
      </c>
      <c r="S396" s="210">
        <f t="shared" si="6"/>
        <v>0</v>
      </c>
      <c r="T396" s="210"/>
      <c r="U396" s="210"/>
      <c r="V396" s="210"/>
      <c r="W396" s="210"/>
      <c r="X396" s="210"/>
      <c r="Y396" s="210"/>
      <c r="Z396" s="210"/>
      <c r="AA396" s="210"/>
      <c r="AB396" s="210"/>
      <c r="AC396" s="210"/>
      <c r="AD396" s="210"/>
      <c r="AE396" s="210"/>
      <c r="AF396" s="210"/>
      <c r="AG396" s="210"/>
      <c r="AH396" s="210"/>
      <c r="AI396" s="210"/>
      <c r="AJ396" s="210"/>
      <c r="AK396" s="210"/>
      <c r="AL396" s="210"/>
      <c r="AM396" s="214"/>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c r="BU396" s="210"/>
      <c r="BV396" s="210"/>
      <c r="BW396" s="210"/>
      <c r="BX396" s="210"/>
      <c r="BY396" s="210"/>
      <c r="BZ396" s="210"/>
      <c r="CA396" s="210"/>
      <c r="CB396" s="210"/>
      <c r="CC396" s="210"/>
      <c r="CD396" s="210"/>
      <c r="CE396" s="210"/>
      <c r="CF396" s="210"/>
      <c r="CG396" s="210"/>
      <c r="CH396" s="210"/>
      <c r="CI396" s="210"/>
      <c r="CJ396" s="210"/>
      <c r="CK396" s="210"/>
    </row>
    <row r="397">
      <c r="A397" s="216" t="s">
        <v>397</v>
      </c>
      <c r="B397" s="217" t="s">
        <v>398</v>
      </c>
      <c r="C397" s="218" t="s">
        <v>85</v>
      </c>
      <c r="D397" s="218" t="s">
        <v>878</v>
      </c>
      <c r="E397" s="217" t="s">
        <v>21</v>
      </c>
      <c r="F397" s="13" t="s">
        <v>927</v>
      </c>
      <c r="G397" s="13" t="s">
        <v>935</v>
      </c>
      <c r="H397" s="219">
        <f>IFERROR(
  MINIFS(ATTENDANCE_LOG!$F:$F,
         ATTENDANCE_LOG!$A:$A, C397,
         ATTENDANCE_LOG!$B:$B, E397),
"")</f>
        <v>45764.45833</v>
      </c>
      <c r="I397" s="219">
        <f t="shared" si="2"/>
        <v>45764.45833</v>
      </c>
      <c r="J397" s="190">
        <f>IFERROR(VLOOKUP(F397, LEVEL_HELPER!$A:$B, 2, 0), "")</f>
        <v>1</v>
      </c>
      <c r="K397" s="190">
        <f>IFERROR(VLOOKUP(G397, LEVEL_HELPER!$A:$B, 2, 0), "")</f>
        <v>3.5</v>
      </c>
      <c r="L397" s="220" t="s">
        <v>957</v>
      </c>
      <c r="M397" s="220" t="s">
        <v>924</v>
      </c>
      <c r="N397" s="190">
        <f t="array" ref="N397">IFERROR(
  INDEX($J$2:$J$543,
    MATCH(A397&amp;TEXT(I397,"yyyy-mm-dd"),
          $A$2:$A$543&amp;TEXT($H$2:$H$543,"yyyy-mm-dd"),
          0)),
"")</f>
        <v>1</v>
      </c>
      <c r="O397" s="210">
        <f t="shared" si="3"/>
        <v>5</v>
      </c>
      <c r="P397" s="210">
        <f t="shared" ref="P397:Q397" si="407">IF(N397="",0,IF(N397&lt;=2,1,IF(N397&lt;=4,2,IF(N397&lt;=5.5,3,4))))</f>
        <v>1</v>
      </c>
      <c r="Q397" s="210">
        <f t="shared" si="407"/>
        <v>3</v>
      </c>
      <c r="R397" s="210" t="str">
        <f t="shared" si="5"/>
        <v>Lv1 → Lv3 (multi)</v>
      </c>
      <c r="S397" s="210">
        <f t="shared" si="6"/>
        <v>0</v>
      </c>
      <c r="T397" s="210"/>
      <c r="U397" s="210"/>
      <c r="V397" s="210"/>
      <c r="W397" s="210"/>
      <c r="X397" s="210"/>
      <c r="Y397" s="210"/>
      <c r="Z397" s="210"/>
      <c r="AA397" s="210"/>
      <c r="AB397" s="210"/>
      <c r="AC397" s="210"/>
      <c r="AD397" s="210"/>
      <c r="AE397" s="210"/>
      <c r="AF397" s="210"/>
      <c r="AG397" s="210"/>
      <c r="AH397" s="210"/>
      <c r="AI397" s="210"/>
      <c r="AJ397" s="210"/>
      <c r="AK397" s="210"/>
      <c r="AL397" s="210"/>
      <c r="AM397" s="214"/>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c r="BU397" s="210"/>
      <c r="BV397" s="210"/>
      <c r="BW397" s="210"/>
      <c r="BX397" s="210"/>
      <c r="BY397" s="210"/>
      <c r="BZ397" s="210"/>
      <c r="CA397" s="210"/>
      <c r="CB397" s="210"/>
      <c r="CC397" s="210"/>
      <c r="CD397" s="210"/>
      <c r="CE397" s="210"/>
      <c r="CF397" s="210"/>
      <c r="CG397" s="210"/>
      <c r="CH397" s="210"/>
      <c r="CI397" s="210"/>
      <c r="CJ397" s="210"/>
      <c r="CK397" s="210"/>
    </row>
    <row r="398">
      <c r="A398" s="222" t="s">
        <v>136</v>
      </c>
      <c r="B398" s="190" t="s">
        <v>137</v>
      </c>
      <c r="C398" s="223" t="s">
        <v>85</v>
      </c>
      <c r="D398" s="223" t="s">
        <v>878</v>
      </c>
      <c r="E398" s="190" t="s">
        <v>21</v>
      </c>
      <c r="F398" s="13" t="s">
        <v>958</v>
      </c>
      <c r="G398" s="13" t="s">
        <v>935</v>
      </c>
      <c r="H398" s="219">
        <f>IFERROR(
  MINIFS(ATTENDANCE_LOG!$F:$F,
         ATTENDANCE_LOG!$A:$A, C398,
         ATTENDANCE_LOG!$B:$B, E398),
"")</f>
        <v>45764.45833</v>
      </c>
      <c r="I398" s="219">
        <f t="shared" si="2"/>
        <v>45764.45833</v>
      </c>
      <c r="J398" s="190">
        <f>IFERROR(VLOOKUP(F398, LEVEL_HELPER!$A:$B, 2, 0), "")</f>
        <v>0</v>
      </c>
      <c r="K398" s="190">
        <f>IFERROR(VLOOKUP(G398, LEVEL_HELPER!$A:$B, 2, 0), "")</f>
        <v>3.5</v>
      </c>
      <c r="L398" s="220" t="s">
        <v>943</v>
      </c>
      <c r="M398" s="220" t="s">
        <v>924</v>
      </c>
      <c r="N398" s="190">
        <f t="array" ref="N398">IFERROR(
  INDEX($J$2:$J$543,
    MATCH(A398&amp;TEXT(I398,"yyyy-mm-dd"),
          $A$2:$A$543&amp;TEXT($H$2:$H$543,"yyyy-mm-dd"),
          0)),
"")</f>
        <v>0</v>
      </c>
      <c r="O398" s="210">
        <f t="shared" si="3"/>
        <v>5</v>
      </c>
      <c r="P398" s="210">
        <f t="shared" ref="P398:Q398" si="408">IF(N398="",0,IF(N398&lt;=2,1,IF(N398&lt;=4,2,IF(N398&lt;=5.5,3,4))))</f>
        <v>1</v>
      </c>
      <c r="Q398" s="210">
        <f t="shared" si="408"/>
        <v>3</v>
      </c>
      <c r="R398" s="210" t="str">
        <f t="shared" si="5"/>
        <v>Lv1 → Lv3 (multi)</v>
      </c>
      <c r="S398" s="210">
        <f t="shared" si="6"/>
        <v>0</v>
      </c>
      <c r="T398" s="210"/>
      <c r="U398" s="210"/>
      <c r="V398" s="210"/>
      <c r="W398" s="210"/>
      <c r="X398" s="210"/>
      <c r="Y398" s="210"/>
      <c r="Z398" s="210"/>
      <c r="AA398" s="210"/>
      <c r="AB398" s="210"/>
      <c r="AC398" s="210"/>
      <c r="AD398" s="210"/>
      <c r="AE398" s="210"/>
      <c r="AF398" s="210"/>
      <c r="AG398" s="210"/>
      <c r="AH398" s="210"/>
      <c r="AI398" s="210"/>
      <c r="AJ398" s="210"/>
      <c r="AK398" s="210"/>
      <c r="AL398" s="210"/>
      <c r="AM398" s="214"/>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c r="BU398" s="210"/>
      <c r="BV398" s="210"/>
      <c r="BW398" s="210"/>
      <c r="BX398" s="210"/>
      <c r="BY398" s="210"/>
      <c r="BZ398" s="210"/>
      <c r="CA398" s="210"/>
      <c r="CB398" s="210"/>
      <c r="CC398" s="210"/>
      <c r="CD398" s="210"/>
      <c r="CE398" s="210"/>
      <c r="CF398" s="210"/>
      <c r="CG398" s="210"/>
      <c r="CH398" s="210"/>
      <c r="CI398" s="210"/>
      <c r="CJ398" s="210"/>
      <c r="CK398" s="210"/>
    </row>
    <row r="399">
      <c r="A399" s="222" t="s">
        <v>165</v>
      </c>
      <c r="B399" s="190" t="s">
        <v>166</v>
      </c>
      <c r="C399" s="223" t="s">
        <v>85</v>
      </c>
      <c r="D399" s="223" t="s">
        <v>878</v>
      </c>
      <c r="E399" s="190" t="s">
        <v>21</v>
      </c>
      <c r="F399" s="13" t="s">
        <v>927</v>
      </c>
      <c r="G399" s="13" t="s">
        <v>918</v>
      </c>
      <c r="H399" s="219">
        <f>IFERROR(
  MINIFS(ATTENDANCE_LOG!$F:$F,
         ATTENDANCE_LOG!$A:$A, C399,
         ATTENDANCE_LOG!$B:$B, E399),
"")</f>
        <v>45764.45833</v>
      </c>
      <c r="I399" s="219">
        <f t="shared" si="2"/>
        <v>45764.45833</v>
      </c>
      <c r="J399" s="190">
        <f>IFERROR(VLOOKUP(F399, LEVEL_HELPER!$A:$B, 2, 0), "")</f>
        <v>1</v>
      </c>
      <c r="K399" s="190">
        <f>IFERROR(VLOOKUP(G399, LEVEL_HELPER!$A:$B, 2, 0), "")</f>
        <v>3</v>
      </c>
      <c r="L399" s="220" t="s">
        <v>943</v>
      </c>
      <c r="M399" s="220" t="s">
        <v>924</v>
      </c>
      <c r="N399" s="190">
        <f t="array" ref="N399">IFERROR(
  INDEX($J$2:$J$543,
    MATCH(A399&amp;TEXT(I399,"yyyy-mm-dd"),
          $A$2:$A$543&amp;TEXT($H$2:$H$543,"yyyy-mm-dd"),
          0)),
"")</f>
        <v>1</v>
      </c>
      <c r="O399" s="210">
        <f t="shared" si="3"/>
        <v>3</v>
      </c>
      <c r="P399" s="210">
        <f t="shared" ref="P399:Q399" si="409">IF(N399="",0,IF(N399&lt;=2,1,IF(N399&lt;=4,2,IF(N399&lt;=5.5,3,4))))</f>
        <v>1</v>
      </c>
      <c r="Q399" s="210">
        <f t="shared" si="409"/>
        <v>2</v>
      </c>
      <c r="R399" s="210" t="str">
        <f t="shared" si="5"/>
        <v>Lv1 → Lv2</v>
      </c>
      <c r="S399" s="210">
        <f t="shared" si="6"/>
        <v>1</v>
      </c>
      <c r="T399" s="210"/>
      <c r="U399" s="210"/>
      <c r="V399" s="210"/>
      <c r="W399" s="210"/>
      <c r="X399" s="210"/>
      <c r="Y399" s="210"/>
      <c r="Z399" s="210"/>
      <c r="AA399" s="210"/>
      <c r="AB399" s="210"/>
      <c r="AC399" s="210"/>
      <c r="AD399" s="210"/>
      <c r="AE399" s="210"/>
      <c r="AF399" s="210"/>
      <c r="AG399" s="210"/>
      <c r="AH399" s="210"/>
      <c r="AI399" s="210"/>
      <c r="AJ399" s="210"/>
      <c r="AK399" s="210"/>
      <c r="AL399" s="210"/>
      <c r="AM399" s="214"/>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c r="BU399" s="210"/>
      <c r="BV399" s="210"/>
      <c r="BW399" s="210"/>
      <c r="BX399" s="210"/>
      <c r="BY399" s="210"/>
      <c r="BZ399" s="210"/>
      <c r="CA399" s="210"/>
      <c r="CB399" s="210"/>
      <c r="CC399" s="210"/>
      <c r="CD399" s="210"/>
      <c r="CE399" s="210"/>
      <c r="CF399" s="210"/>
      <c r="CG399" s="210"/>
      <c r="CH399" s="210"/>
      <c r="CI399" s="210"/>
      <c r="CJ399" s="210"/>
      <c r="CK399" s="210"/>
    </row>
    <row r="400">
      <c r="A400" s="222" t="s">
        <v>275</v>
      </c>
      <c r="B400" s="190" t="s">
        <v>276</v>
      </c>
      <c r="C400" s="223" t="s">
        <v>85</v>
      </c>
      <c r="D400" s="223" t="s">
        <v>878</v>
      </c>
      <c r="E400" s="190" t="s">
        <v>21</v>
      </c>
      <c r="F400" s="13" t="s">
        <v>927</v>
      </c>
      <c r="G400" s="13" t="s">
        <v>918</v>
      </c>
      <c r="H400" s="219">
        <f>IFERROR(
  MINIFS(ATTENDANCE_LOG!$F:$F,
         ATTENDANCE_LOG!$A:$A, C400,
         ATTENDANCE_LOG!$B:$B, E400),
"")</f>
        <v>45764.45833</v>
      </c>
      <c r="I400" s="219">
        <f t="shared" si="2"/>
        <v>45764.45833</v>
      </c>
      <c r="J400" s="190">
        <f>IFERROR(VLOOKUP(F400, LEVEL_HELPER!$A:$B, 2, 0), "")</f>
        <v>1</v>
      </c>
      <c r="K400" s="190">
        <f>IFERROR(VLOOKUP(G400, LEVEL_HELPER!$A:$B, 2, 0), "")</f>
        <v>3</v>
      </c>
      <c r="L400" s="220" t="s">
        <v>943</v>
      </c>
      <c r="M400" s="220" t="s">
        <v>924</v>
      </c>
      <c r="N400" s="190">
        <f t="array" ref="N400">IFERROR(
  INDEX($J$2:$J$543,
    MATCH(A400&amp;TEXT(I400,"yyyy-mm-dd"),
          $A$2:$A$543&amp;TEXT($H$2:$H$543,"yyyy-mm-dd"),
          0)),
"")</f>
        <v>1</v>
      </c>
      <c r="O400" s="210">
        <f t="shared" si="3"/>
        <v>3</v>
      </c>
      <c r="P400" s="210">
        <f t="shared" ref="P400:Q400" si="410">IF(N400="",0,IF(N400&lt;=2,1,IF(N400&lt;=4,2,IF(N400&lt;=5.5,3,4))))</f>
        <v>1</v>
      </c>
      <c r="Q400" s="210">
        <f t="shared" si="410"/>
        <v>2</v>
      </c>
      <c r="R400" s="210" t="str">
        <f t="shared" si="5"/>
        <v>Lv1 → Lv2</v>
      </c>
      <c r="S400" s="210">
        <f t="shared" si="6"/>
        <v>1</v>
      </c>
      <c r="T400" s="210"/>
      <c r="U400" s="210"/>
      <c r="V400" s="210"/>
      <c r="W400" s="210"/>
      <c r="X400" s="210"/>
      <c r="Y400" s="210"/>
      <c r="Z400" s="210"/>
      <c r="AA400" s="210"/>
      <c r="AB400" s="210"/>
      <c r="AC400" s="210"/>
      <c r="AD400" s="210"/>
      <c r="AE400" s="210"/>
      <c r="AF400" s="210"/>
      <c r="AG400" s="210"/>
      <c r="AH400" s="210"/>
      <c r="AI400" s="210"/>
      <c r="AJ400" s="210"/>
      <c r="AK400" s="210"/>
      <c r="AL400" s="210"/>
      <c r="AM400" s="214"/>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c r="BU400" s="210"/>
      <c r="BV400" s="210"/>
      <c r="BW400" s="210"/>
      <c r="BX400" s="210"/>
      <c r="BY400" s="210"/>
      <c r="BZ400" s="210"/>
      <c r="CA400" s="210"/>
      <c r="CB400" s="210"/>
      <c r="CC400" s="210"/>
      <c r="CD400" s="210"/>
      <c r="CE400" s="210"/>
      <c r="CF400" s="210"/>
      <c r="CG400" s="210"/>
      <c r="CH400" s="210"/>
      <c r="CI400" s="210"/>
      <c r="CJ400" s="210"/>
      <c r="CK400" s="210"/>
    </row>
    <row r="401">
      <c r="A401" s="222" t="s">
        <v>681</v>
      </c>
      <c r="B401" s="190" t="s">
        <v>682</v>
      </c>
      <c r="C401" s="223" t="s">
        <v>85</v>
      </c>
      <c r="D401" s="223" t="s">
        <v>878</v>
      </c>
      <c r="E401" s="190" t="s">
        <v>21</v>
      </c>
      <c r="F401" s="13" t="s">
        <v>927</v>
      </c>
      <c r="G401" s="13" t="s">
        <v>927</v>
      </c>
      <c r="H401" s="219">
        <f>IFERROR(
  MINIFS(ATTENDANCE_LOG!$F:$F,
         ATTENDANCE_LOG!$A:$A, C401,
         ATTENDANCE_LOG!$B:$B, E401),
"")</f>
        <v>45764.45833</v>
      </c>
      <c r="I401" s="219">
        <f t="shared" si="2"/>
        <v>45764.45833</v>
      </c>
      <c r="J401" s="190">
        <f>IFERROR(VLOOKUP(F401, LEVEL_HELPER!$A:$B, 2, 0), "")</f>
        <v>1</v>
      </c>
      <c r="K401" s="190">
        <f>IFERROR(VLOOKUP(G401, LEVEL_HELPER!$A:$B, 2, 0), "")</f>
        <v>1</v>
      </c>
      <c r="L401" s="220" t="s">
        <v>943</v>
      </c>
      <c r="M401" s="220" t="s">
        <v>924</v>
      </c>
      <c r="N401" s="190">
        <f t="array" ref="N401">IFERROR(
  INDEX($J$2:$J$543,
    MATCH(A401&amp;TEXT(I401,"yyyy-mm-dd"),
          $A$2:$A$543&amp;TEXT($H$2:$H$543,"yyyy-mm-dd"),
          0)),
"")</f>
        <v>1</v>
      </c>
      <c r="O401" s="210">
        <f t="shared" si="3"/>
        <v>3</v>
      </c>
      <c r="P401" s="210">
        <f t="shared" ref="P401:Q401" si="411">IF(N401="",0,IF(N401&lt;=2,1,IF(N401&lt;=4,2,IF(N401&lt;=5.5,3,4))))</f>
        <v>1</v>
      </c>
      <c r="Q401" s="210">
        <f t="shared" si="411"/>
        <v>2</v>
      </c>
      <c r="R401" s="210" t="str">
        <f t="shared" si="5"/>
        <v>Lv1 → Lv2</v>
      </c>
      <c r="S401" s="210">
        <f t="shared" si="6"/>
        <v>1</v>
      </c>
      <c r="T401" s="210"/>
      <c r="U401" s="210"/>
      <c r="V401" s="210"/>
      <c r="W401" s="210"/>
      <c r="X401" s="210"/>
      <c r="Y401" s="210"/>
      <c r="Z401" s="210"/>
      <c r="AA401" s="210"/>
      <c r="AB401" s="210"/>
      <c r="AC401" s="210"/>
      <c r="AD401" s="210"/>
      <c r="AE401" s="210"/>
      <c r="AF401" s="210"/>
      <c r="AG401" s="210"/>
      <c r="AH401" s="210"/>
      <c r="AI401" s="210"/>
      <c r="AJ401" s="210"/>
      <c r="AK401" s="210"/>
      <c r="AL401" s="210"/>
      <c r="AM401" s="214"/>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c r="BU401" s="210"/>
      <c r="BV401" s="210"/>
      <c r="BW401" s="210"/>
      <c r="BX401" s="210"/>
      <c r="BY401" s="210"/>
      <c r="BZ401" s="210"/>
      <c r="CA401" s="210"/>
      <c r="CB401" s="210"/>
      <c r="CC401" s="210"/>
      <c r="CD401" s="210"/>
      <c r="CE401" s="210"/>
      <c r="CF401" s="210"/>
      <c r="CG401" s="210"/>
      <c r="CH401" s="210"/>
      <c r="CI401" s="210"/>
      <c r="CJ401" s="210"/>
      <c r="CK401" s="210"/>
    </row>
    <row r="402">
      <c r="A402" s="222" t="s">
        <v>719</v>
      </c>
      <c r="B402" s="190" t="s">
        <v>720</v>
      </c>
      <c r="C402" s="223" t="s">
        <v>85</v>
      </c>
      <c r="D402" s="223" t="s">
        <v>878</v>
      </c>
      <c r="E402" s="190" t="s">
        <v>21</v>
      </c>
      <c r="F402" s="13" t="s">
        <v>958</v>
      </c>
      <c r="G402" s="13" t="s">
        <v>935</v>
      </c>
      <c r="H402" s="219">
        <f>IFERROR(
  MINIFS(ATTENDANCE_LOG!$F:$F,
         ATTENDANCE_LOG!$A:$A, C402,
         ATTENDANCE_LOG!$B:$B, E402),
"")</f>
        <v>45764.45833</v>
      </c>
      <c r="I402" s="219">
        <f t="shared" si="2"/>
        <v>45764.45833</v>
      </c>
      <c r="J402" s="190">
        <f>IFERROR(VLOOKUP(F402, LEVEL_HELPER!$A:$B, 2, 0), "")</f>
        <v>0</v>
      </c>
      <c r="K402" s="190">
        <f>IFERROR(VLOOKUP(G402, LEVEL_HELPER!$A:$B, 2, 0), "")</f>
        <v>3.5</v>
      </c>
      <c r="L402" s="220" t="s">
        <v>957</v>
      </c>
      <c r="M402" s="220" t="s">
        <v>924</v>
      </c>
      <c r="N402" s="190">
        <f t="array" ref="N402">IFERROR(
  INDEX($J$2:$J$543,
    MATCH(A402&amp;TEXT(I402,"yyyy-mm-dd"),
          $A$2:$A$543&amp;TEXT($H$2:$H$543,"yyyy-mm-dd"),
          0)),
"")</f>
        <v>0</v>
      </c>
      <c r="O402" s="210">
        <f t="shared" si="3"/>
        <v>5</v>
      </c>
      <c r="P402" s="210">
        <f t="shared" ref="P402:Q402" si="412">IF(N402="",0,IF(N402&lt;=2,1,IF(N402&lt;=4,2,IF(N402&lt;=5.5,3,4))))</f>
        <v>1</v>
      </c>
      <c r="Q402" s="210">
        <f t="shared" si="412"/>
        <v>3</v>
      </c>
      <c r="R402" s="210" t="str">
        <f t="shared" si="5"/>
        <v>Lv1 → Lv3 (multi)</v>
      </c>
      <c r="S402" s="210">
        <f t="shared" si="6"/>
        <v>1</v>
      </c>
      <c r="T402" s="210"/>
      <c r="U402" s="210"/>
      <c r="V402" s="210"/>
      <c r="W402" s="210"/>
      <c r="X402" s="210"/>
      <c r="Y402" s="210"/>
      <c r="Z402" s="210"/>
      <c r="AA402" s="210"/>
      <c r="AB402" s="210"/>
      <c r="AC402" s="210"/>
      <c r="AD402" s="210"/>
      <c r="AE402" s="210"/>
      <c r="AF402" s="210"/>
      <c r="AG402" s="210"/>
      <c r="AH402" s="210"/>
      <c r="AI402" s="210"/>
      <c r="AJ402" s="210"/>
      <c r="AK402" s="210"/>
      <c r="AL402" s="210"/>
      <c r="AM402" s="214"/>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c r="BU402" s="210"/>
      <c r="BV402" s="210"/>
      <c r="BW402" s="210"/>
      <c r="BX402" s="210"/>
      <c r="BY402" s="210"/>
      <c r="BZ402" s="210"/>
      <c r="CA402" s="210"/>
      <c r="CB402" s="210"/>
      <c r="CC402" s="210"/>
      <c r="CD402" s="210"/>
      <c r="CE402" s="210"/>
      <c r="CF402" s="210"/>
      <c r="CG402" s="210"/>
      <c r="CH402" s="210"/>
      <c r="CI402" s="210"/>
      <c r="CJ402" s="210"/>
      <c r="CK402" s="210"/>
    </row>
    <row r="403">
      <c r="A403" s="216" t="s">
        <v>397</v>
      </c>
      <c r="B403" s="217" t="s">
        <v>398</v>
      </c>
      <c r="C403" s="218" t="s">
        <v>85</v>
      </c>
      <c r="D403" s="218" t="s">
        <v>878</v>
      </c>
      <c r="E403" s="217" t="s">
        <v>22</v>
      </c>
      <c r="F403" s="13" t="s">
        <v>935</v>
      </c>
      <c r="G403" s="13" t="s">
        <v>941</v>
      </c>
      <c r="H403" s="219">
        <f>IFERROR(
  MINIFS(ATTENDANCE_LOG!$F:$F,
         ATTENDANCE_LOG!$A:$A, C403,
         ATTENDANCE_LOG!$B:$B, E403),
"")</f>
        <v>45910.54167</v>
      </c>
      <c r="I403" s="219">
        <f t="shared" si="2"/>
        <v>45764.45833</v>
      </c>
      <c r="J403" s="190">
        <f>IFERROR(VLOOKUP(F403, LEVEL_HELPER!$A:$B, 2, 0), "")</f>
        <v>3.5</v>
      </c>
      <c r="K403" s="190">
        <f>IFERROR(VLOOKUP(G403, LEVEL_HELPER!$A:$B, 2, 0), "")</f>
        <v>5</v>
      </c>
      <c r="L403" s="220" t="s">
        <v>957</v>
      </c>
      <c r="M403" s="220" t="s">
        <v>924</v>
      </c>
      <c r="N403" s="190">
        <f t="array" ref="N403">IFERROR(
  INDEX($J$2:$J$543,
    MATCH(A403&amp;TEXT(I403,"yyyy-mm-dd"),
          $A$2:$A$543&amp;TEXT($H$2:$H$543,"yyyy-mm-dd"),
          0)),
"")</f>
        <v>1</v>
      </c>
      <c r="O403" s="210">
        <f t="shared" si="3"/>
        <v>5</v>
      </c>
      <c r="P403" s="210">
        <f t="shared" ref="P403:Q403" si="413">IF(N403="",0,IF(N403&lt;=2,1,IF(N403&lt;=4,2,IF(N403&lt;=5.5,3,4))))</f>
        <v>1</v>
      </c>
      <c r="Q403" s="210">
        <f t="shared" si="413"/>
        <v>3</v>
      </c>
      <c r="R403" s="210" t="str">
        <f t="shared" si="5"/>
        <v>Lv1 → Lv3 (multi)</v>
      </c>
      <c r="S403" s="210">
        <f t="shared" si="6"/>
        <v>0</v>
      </c>
      <c r="T403" s="210"/>
      <c r="U403" s="210"/>
      <c r="V403" s="210"/>
      <c r="W403" s="210"/>
      <c r="X403" s="210"/>
      <c r="Y403" s="210"/>
      <c r="Z403" s="210"/>
      <c r="AA403" s="210"/>
      <c r="AB403" s="210"/>
      <c r="AC403" s="210"/>
      <c r="AD403" s="210"/>
      <c r="AE403" s="210"/>
      <c r="AF403" s="210"/>
      <c r="AG403" s="210"/>
      <c r="AH403" s="210"/>
      <c r="AI403" s="210"/>
      <c r="AJ403" s="210"/>
      <c r="AK403" s="210"/>
      <c r="AL403" s="210"/>
      <c r="AM403" s="214"/>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c r="BU403" s="210"/>
      <c r="BV403" s="210"/>
      <c r="BW403" s="210"/>
      <c r="BX403" s="210"/>
      <c r="BY403" s="210"/>
      <c r="BZ403" s="210"/>
      <c r="CA403" s="210"/>
      <c r="CB403" s="210"/>
      <c r="CC403" s="210"/>
      <c r="CD403" s="210"/>
      <c r="CE403" s="210"/>
      <c r="CF403" s="210"/>
      <c r="CG403" s="210"/>
      <c r="CH403" s="210"/>
      <c r="CI403" s="210"/>
      <c r="CJ403" s="210"/>
      <c r="CK403" s="210"/>
    </row>
    <row r="404">
      <c r="A404" s="222" t="s">
        <v>136</v>
      </c>
      <c r="B404" s="190" t="s">
        <v>137</v>
      </c>
      <c r="C404" s="223" t="s">
        <v>85</v>
      </c>
      <c r="D404" s="223" t="s">
        <v>878</v>
      </c>
      <c r="E404" s="190" t="s">
        <v>22</v>
      </c>
      <c r="F404" s="13" t="s">
        <v>935</v>
      </c>
      <c r="G404" s="13" t="s">
        <v>941</v>
      </c>
      <c r="H404" s="219">
        <f>IFERROR(
  MINIFS(ATTENDANCE_LOG!$F:$F,
         ATTENDANCE_LOG!$A:$A, C404,
         ATTENDANCE_LOG!$B:$B, E404),
"")</f>
        <v>45910.54167</v>
      </c>
      <c r="I404" s="219">
        <f t="shared" si="2"/>
        <v>45764.45833</v>
      </c>
      <c r="J404" s="190">
        <f>IFERROR(VLOOKUP(F404, LEVEL_HELPER!$A:$B, 2, 0), "")</f>
        <v>3.5</v>
      </c>
      <c r="K404" s="190">
        <f>IFERROR(VLOOKUP(G404, LEVEL_HELPER!$A:$B, 2, 0), "")</f>
        <v>5</v>
      </c>
      <c r="L404" s="220" t="s">
        <v>943</v>
      </c>
      <c r="M404" s="220" t="s">
        <v>924</v>
      </c>
      <c r="N404" s="190">
        <f t="array" ref="N404">IFERROR(
  INDEX($J$2:$J$543,
    MATCH(A404&amp;TEXT(I404,"yyyy-mm-dd"),
          $A$2:$A$543&amp;TEXT($H$2:$H$543,"yyyy-mm-dd"),
          0)),
"")</f>
        <v>0</v>
      </c>
      <c r="O404" s="210">
        <f t="shared" si="3"/>
        <v>5</v>
      </c>
      <c r="P404" s="210">
        <f t="shared" ref="P404:Q404" si="414">IF(N404="",0,IF(N404&lt;=2,1,IF(N404&lt;=4,2,IF(N404&lt;=5.5,3,4))))</f>
        <v>1</v>
      </c>
      <c r="Q404" s="210">
        <f t="shared" si="414"/>
        <v>3</v>
      </c>
      <c r="R404" s="210" t="str">
        <f t="shared" si="5"/>
        <v>Lv1 → Lv3 (multi)</v>
      </c>
      <c r="S404" s="210">
        <f t="shared" si="6"/>
        <v>0</v>
      </c>
      <c r="T404" s="210"/>
      <c r="U404" s="210"/>
      <c r="V404" s="210"/>
      <c r="W404" s="210"/>
      <c r="X404" s="210"/>
      <c r="Y404" s="210"/>
      <c r="Z404" s="210"/>
      <c r="AA404" s="210"/>
      <c r="AB404" s="210"/>
      <c r="AC404" s="210"/>
      <c r="AD404" s="210"/>
      <c r="AE404" s="210"/>
      <c r="AF404" s="210"/>
      <c r="AG404" s="210"/>
      <c r="AH404" s="210"/>
      <c r="AI404" s="210"/>
      <c r="AJ404" s="210"/>
      <c r="AK404" s="210"/>
      <c r="AL404" s="210"/>
      <c r="AM404" s="214"/>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c r="BU404" s="210"/>
      <c r="BV404" s="210"/>
      <c r="BW404" s="210"/>
      <c r="BX404" s="210"/>
      <c r="BY404" s="210"/>
      <c r="BZ404" s="210"/>
      <c r="CA404" s="210"/>
      <c r="CB404" s="210"/>
      <c r="CC404" s="210"/>
      <c r="CD404" s="210"/>
      <c r="CE404" s="210"/>
      <c r="CF404" s="210"/>
      <c r="CG404" s="210"/>
      <c r="CH404" s="210"/>
      <c r="CI404" s="210"/>
      <c r="CJ404" s="210"/>
      <c r="CK404" s="210"/>
    </row>
    <row r="405">
      <c r="A405" s="222" t="s">
        <v>165</v>
      </c>
      <c r="B405" s="190" t="s">
        <v>166</v>
      </c>
      <c r="C405" s="223" t="s">
        <v>85</v>
      </c>
      <c r="D405" s="223" t="s">
        <v>878</v>
      </c>
      <c r="E405" s="190" t="s">
        <v>22</v>
      </c>
      <c r="F405" s="13" t="s">
        <v>918</v>
      </c>
      <c r="G405" s="190"/>
      <c r="H405" s="219">
        <f>IFERROR(
  MINIFS(ATTENDANCE_LOG!$F:$F,
         ATTENDANCE_LOG!$A:$A, C405,
         ATTENDANCE_LOG!$B:$B, E405),
"")</f>
        <v>45910.54167</v>
      </c>
      <c r="I405" s="219">
        <f t="shared" si="2"/>
        <v>45764.45833</v>
      </c>
      <c r="J405" s="190">
        <f>IFERROR(VLOOKUP(F405, LEVEL_HELPER!$A:$B, 2, 0), "")</f>
        <v>3</v>
      </c>
      <c r="K405" s="190" t="str">
        <f>IFERROR(VLOOKUP(G405, LEVEL_HELPER!$A:$B, 2, 0), "")</f>
        <v/>
      </c>
      <c r="L405" s="220" t="s">
        <v>943</v>
      </c>
      <c r="M405" s="220" t="s">
        <v>924</v>
      </c>
      <c r="N405" s="190">
        <f t="array" ref="N405">IFERROR(
  INDEX($J$2:$J$543,
    MATCH(A405&amp;TEXT(I405,"yyyy-mm-dd"),
          $A$2:$A$543&amp;TEXT($H$2:$H$543,"yyyy-mm-dd"),
          0)),
"")</f>
        <v>1</v>
      </c>
      <c r="O405" s="210">
        <f t="shared" si="3"/>
        <v>3</v>
      </c>
      <c r="P405" s="210">
        <f t="shared" ref="P405:Q405" si="415">IF(N405="",0,IF(N405&lt;=2,1,IF(N405&lt;=4,2,IF(N405&lt;=5.5,3,4))))</f>
        <v>1</v>
      </c>
      <c r="Q405" s="210">
        <f t="shared" si="415"/>
        <v>2</v>
      </c>
      <c r="R405" s="210" t="str">
        <f t="shared" si="5"/>
        <v>Lv1 → Lv2</v>
      </c>
      <c r="S405" s="210">
        <f t="shared" si="6"/>
        <v>0</v>
      </c>
      <c r="T405" s="210"/>
      <c r="U405" s="210"/>
      <c r="V405" s="210"/>
      <c r="W405" s="210"/>
      <c r="X405" s="210"/>
      <c r="Y405" s="210"/>
      <c r="Z405" s="210"/>
      <c r="AA405" s="210"/>
      <c r="AB405" s="210"/>
      <c r="AC405" s="210"/>
      <c r="AD405" s="210"/>
      <c r="AE405" s="210"/>
      <c r="AF405" s="210"/>
      <c r="AG405" s="210"/>
      <c r="AH405" s="210"/>
      <c r="AI405" s="210"/>
      <c r="AJ405" s="210"/>
      <c r="AK405" s="210"/>
      <c r="AL405" s="210"/>
      <c r="AM405" s="214"/>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c r="BU405" s="210"/>
      <c r="BV405" s="210"/>
      <c r="BW405" s="210"/>
      <c r="BX405" s="210"/>
      <c r="BY405" s="210"/>
      <c r="BZ405" s="210"/>
      <c r="CA405" s="210"/>
      <c r="CB405" s="210"/>
      <c r="CC405" s="210"/>
      <c r="CD405" s="210"/>
      <c r="CE405" s="210"/>
      <c r="CF405" s="210"/>
      <c r="CG405" s="210"/>
      <c r="CH405" s="210"/>
      <c r="CI405" s="210"/>
      <c r="CJ405" s="210"/>
      <c r="CK405" s="210"/>
    </row>
    <row r="406">
      <c r="A406" s="222" t="s">
        <v>275</v>
      </c>
      <c r="B406" s="190" t="s">
        <v>276</v>
      </c>
      <c r="C406" s="223" t="s">
        <v>85</v>
      </c>
      <c r="D406" s="223" t="s">
        <v>878</v>
      </c>
      <c r="E406" s="190" t="s">
        <v>22</v>
      </c>
      <c r="F406" s="13" t="s">
        <v>918</v>
      </c>
      <c r="G406" s="190"/>
      <c r="H406" s="219">
        <f>IFERROR(
  MINIFS(ATTENDANCE_LOG!$F:$F,
         ATTENDANCE_LOG!$A:$A, C406,
         ATTENDANCE_LOG!$B:$B, E406),
"")</f>
        <v>45910.54167</v>
      </c>
      <c r="I406" s="219">
        <f t="shared" si="2"/>
        <v>45764.45833</v>
      </c>
      <c r="J406" s="190">
        <f>IFERROR(VLOOKUP(F406, LEVEL_HELPER!$A:$B, 2, 0), "")</f>
        <v>3</v>
      </c>
      <c r="K406" s="190" t="str">
        <f>IFERROR(VLOOKUP(G406, LEVEL_HELPER!$A:$B, 2, 0), "")</f>
        <v/>
      </c>
      <c r="L406" s="220" t="s">
        <v>943</v>
      </c>
      <c r="M406" s="220" t="s">
        <v>924</v>
      </c>
      <c r="N406" s="190">
        <f t="array" ref="N406">IFERROR(
  INDEX($J$2:$J$543,
    MATCH(A406&amp;TEXT(I406,"yyyy-mm-dd"),
          $A$2:$A$543&amp;TEXT($H$2:$H$543,"yyyy-mm-dd"),
          0)),
"")</f>
        <v>1</v>
      </c>
      <c r="O406" s="210">
        <f t="shared" si="3"/>
        <v>3</v>
      </c>
      <c r="P406" s="210">
        <f t="shared" ref="P406:Q406" si="416">IF(N406="",0,IF(N406&lt;=2,1,IF(N406&lt;=4,2,IF(N406&lt;=5.5,3,4))))</f>
        <v>1</v>
      </c>
      <c r="Q406" s="210">
        <f t="shared" si="416"/>
        <v>2</v>
      </c>
      <c r="R406" s="210" t="str">
        <f t="shared" si="5"/>
        <v>Lv1 → Lv2</v>
      </c>
      <c r="S406" s="210">
        <f t="shared" si="6"/>
        <v>0</v>
      </c>
      <c r="T406" s="210"/>
      <c r="U406" s="210"/>
      <c r="V406" s="210"/>
      <c r="W406" s="210"/>
      <c r="X406" s="210"/>
      <c r="Y406" s="210"/>
      <c r="Z406" s="210"/>
      <c r="AA406" s="210"/>
      <c r="AB406" s="210"/>
      <c r="AC406" s="210"/>
      <c r="AD406" s="210"/>
      <c r="AE406" s="210"/>
      <c r="AF406" s="210"/>
      <c r="AG406" s="210"/>
      <c r="AH406" s="210"/>
      <c r="AI406" s="210"/>
      <c r="AJ406" s="210"/>
      <c r="AK406" s="210"/>
      <c r="AL406" s="210"/>
      <c r="AM406" s="214"/>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c r="BU406" s="210"/>
      <c r="BV406" s="210"/>
      <c r="BW406" s="210"/>
      <c r="BX406" s="210"/>
      <c r="BY406" s="210"/>
      <c r="BZ406" s="210"/>
      <c r="CA406" s="210"/>
      <c r="CB406" s="210"/>
      <c r="CC406" s="210"/>
      <c r="CD406" s="210"/>
      <c r="CE406" s="210"/>
      <c r="CF406" s="210"/>
      <c r="CG406" s="210"/>
      <c r="CH406" s="210"/>
      <c r="CI406" s="210"/>
      <c r="CJ406" s="210"/>
      <c r="CK406" s="210"/>
    </row>
    <row r="407">
      <c r="A407" s="222" t="s">
        <v>512</v>
      </c>
      <c r="B407" s="190" t="s">
        <v>513</v>
      </c>
      <c r="C407" s="223" t="s">
        <v>85</v>
      </c>
      <c r="D407" s="223" t="s">
        <v>878</v>
      </c>
      <c r="E407" s="190" t="s">
        <v>22</v>
      </c>
      <c r="F407" s="13" t="s">
        <v>918</v>
      </c>
      <c r="G407" s="190"/>
      <c r="H407" s="219">
        <f>IFERROR(
  MINIFS(ATTENDANCE_LOG!$F:$F,
         ATTENDANCE_LOG!$A:$A, C407,
         ATTENDANCE_LOG!$B:$B, E407),
"")</f>
        <v>45910.54167</v>
      </c>
      <c r="I407" s="219">
        <f t="shared" si="2"/>
        <v>45765.41667</v>
      </c>
      <c r="J407" s="190">
        <f>IFERROR(VLOOKUP(F407, LEVEL_HELPER!$A:$B, 2, 0), "")</f>
        <v>3</v>
      </c>
      <c r="K407" s="190" t="str">
        <f>IFERROR(VLOOKUP(G407, LEVEL_HELPER!$A:$B, 2, 0), "")</f>
        <v/>
      </c>
      <c r="L407" s="220" t="s">
        <v>943</v>
      </c>
      <c r="M407" s="220" t="s">
        <v>924</v>
      </c>
      <c r="N407" s="190">
        <f t="array" ref="N407">IFERROR(
  INDEX($J$2:$J$543,
    MATCH(A407&amp;TEXT(I407,"yyyy-mm-dd"),
          $A$2:$A$543&amp;TEXT($H$2:$H$543,"yyyy-mm-dd"),
          0)),
"")</f>
        <v>1</v>
      </c>
      <c r="O407" s="210">
        <f t="shared" si="3"/>
        <v>2.5</v>
      </c>
      <c r="P407" s="210">
        <f t="shared" ref="P407:Q407" si="417">IF(N407="",0,IF(N407&lt;=2,1,IF(N407&lt;=4,2,IF(N407&lt;=5.5,3,4))))</f>
        <v>1</v>
      </c>
      <c r="Q407" s="210">
        <f t="shared" si="417"/>
        <v>2</v>
      </c>
      <c r="R407" s="210" t="str">
        <f t="shared" si="5"/>
        <v>Lv1 → Lv2</v>
      </c>
      <c r="S407" s="210">
        <f t="shared" si="6"/>
        <v>0</v>
      </c>
      <c r="T407" s="210"/>
      <c r="U407" s="210"/>
      <c r="V407" s="210"/>
      <c r="W407" s="210"/>
      <c r="X407" s="210"/>
      <c r="Y407" s="210"/>
      <c r="Z407" s="210"/>
      <c r="AA407" s="210"/>
      <c r="AB407" s="210"/>
      <c r="AC407" s="210"/>
      <c r="AD407" s="210"/>
      <c r="AE407" s="210"/>
      <c r="AF407" s="210"/>
      <c r="AG407" s="210"/>
      <c r="AH407" s="210"/>
      <c r="AI407" s="210"/>
      <c r="AJ407" s="210"/>
      <c r="AK407" s="210"/>
      <c r="AL407" s="210"/>
      <c r="AM407" s="214"/>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c r="BU407" s="210"/>
      <c r="BV407" s="210"/>
      <c r="BW407" s="210"/>
      <c r="BX407" s="210"/>
      <c r="BY407" s="210"/>
      <c r="BZ407" s="210"/>
      <c r="CA407" s="210"/>
      <c r="CB407" s="210"/>
      <c r="CC407" s="210"/>
      <c r="CD407" s="210"/>
      <c r="CE407" s="210"/>
      <c r="CF407" s="210"/>
      <c r="CG407" s="210"/>
      <c r="CH407" s="210"/>
      <c r="CI407" s="210"/>
      <c r="CJ407" s="210"/>
      <c r="CK407" s="210"/>
    </row>
    <row r="408">
      <c r="A408" s="222" t="s">
        <v>524</v>
      </c>
      <c r="B408" s="190" t="s">
        <v>525</v>
      </c>
      <c r="C408" s="223" t="s">
        <v>85</v>
      </c>
      <c r="D408" s="223" t="s">
        <v>878</v>
      </c>
      <c r="E408" s="190" t="s">
        <v>22</v>
      </c>
      <c r="F408" s="13" t="s">
        <v>929</v>
      </c>
      <c r="G408" s="13" t="s">
        <v>935</v>
      </c>
      <c r="H408" s="219">
        <f>IFERROR(
  MINIFS(ATTENDANCE_LOG!$F:$F,
         ATTENDANCE_LOG!$A:$A, C408,
         ATTENDANCE_LOG!$B:$B, E408),
"")</f>
        <v>45910.54167</v>
      </c>
      <c r="I408" s="219">
        <f t="shared" si="2"/>
        <v>45765.41667</v>
      </c>
      <c r="J408" s="190">
        <f>IFERROR(VLOOKUP(F408, LEVEL_HELPER!$A:$B, 2, 0), "")</f>
        <v>1.5</v>
      </c>
      <c r="K408" s="190">
        <f>IFERROR(VLOOKUP(G408, LEVEL_HELPER!$A:$B, 2, 0), "")</f>
        <v>3.5</v>
      </c>
      <c r="L408" s="220" t="s">
        <v>943</v>
      </c>
      <c r="M408" s="220" t="s">
        <v>924</v>
      </c>
      <c r="N408" s="190">
        <f t="array" ref="N408">IFERROR(
  INDEX($J$2:$J$543,
    MATCH(A408&amp;TEXT(I408,"yyyy-mm-dd"),
          $A$2:$A$543&amp;TEXT($H$2:$H$543,"yyyy-mm-dd"),
          0)),
"")</f>
        <v>0.5</v>
      </c>
      <c r="O408" s="210">
        <f t="shared" si="3"/>
        <v>3.5</v>
      </c>
      <c r="P408" s="210">
        <f t="shared" ref="P408:Q408" si="418">IF(N408="",0,IF(N408&lt;=2,1,IF(N408&lt;=4,2,IF(N408&lt;=5.5,3,4))))</f>
        <v>1</v>
      </c>
      <c r="Q408" s="210">
        <f t="shared" si="418"/>
        <v>2</v>
      </c>
      <c r="R408" s="210" t="str">
        <f t="shared" si="5"/>
        <v>Lv1 → Lv2</v>
      </c>
      <c r="S408" s="210">
        <f t="shared" si="6"/>
        <v>0</v>
      </c>
      <c r="T408" s="210"/>
      <c r="U408" s="210"/>
      <c r="V408" s="210"/>
      <c r="W408" s="210"/>
      <c r="X408" s="210"/>
      <c r="Y408" s="210"/>
      <c r="Z408" s="210"/>
      <c r="AA408" s="210"/>
      <c r="AB408" s="210"/>
      <c r="AC408" s="210"/>
      <c r="AD408" s="210"/>
      <c r="AE408" s="210"/>
      <c r="AF408" s="210"/>
      <c r="AG408" s="210"/>
      <c r="AH408" s="210"/>
      <c r="AI408" s="210"/>
      <c r="AJ408" s="210"/>
      <c r="AK408" s="210"/>
      <c r="AL408" s="210"/>
      <c r="AM408" s="214"/>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c r="BU408" s="210"/>
      <c r="BV408" s="210"/>
      <c r="BW408" s="210"/>
      <c r="BX408" s="210"/>
      <c r="BY408" s="210"/>
      <c r="BZ408" s="210"/>
      <c r="CA408" s="210"/>
      <c r="CB408" s="210"/>
      <c r="CC408" s="210"/>
      <c r="CD408" s="210"/>
      <c r="CE408" s="210"/>
      <c r="CF408" s="210"/>
      <c r="CG408" s="210"/>
      <c r="CH408" s="210"/>
      <c r="CI408" s="210"/>
      <c r="CJ408" s="210"/>
      <c r="CK408" s="210"/>
    </row>
    <row r="409">
      <c r="A409" s="222" t="s">
        <v>530</v>
      </c>
      <c r="B409" s="190" t="s">
        <v>531</v>
      </c>
      <c r="C409" s="223" t="s">
        <v>85</v>
      </c>
      <c r="D409" s="223" t="s">
        <v>878</v>
      </c>
      <c r="E409" s="190" t="s">
        <v>22</v>
      </c>
      <c r="F409" s="13" t="s">
        <v>918</v>
      </c>
      <c r="G409" s="13" t="s">
        <v>941</v>
      </c>
      <c r="H409" s="219">
        <f>IFERROR(
  MINIFS(ATTENDANCE_LOG!$F:$F,
         ATTENDANCE_LOG!$A:$A, C409,
         ATTENDANCE_LOG!$B:$B, E409),
"")</f>
        <v>45910.54167</v>
      </c>
      <c r="I409" s="219">
        <f t="shared" si="2"/>
        <v>45765.41667</v>
      </c>
      <c r="J409" s="190">
        <f>IFERROR(VLOOKUP(F409, LEVEL_HELPER!$A:$B, 2, 0), "")</f>
        <v>3</v>
      </c>
      <c r="K409" s="190">
        <f>IFERROR(VLOOKUP(G409, LEVEL_HELPER!$A:$B, 2, 0), "")</f>
        <v>5</v>
      </c>
      <c r="L409" s="220" t="s">
        <v>943</v>
      </c>
      <c r="M409" s="220" t="s">
        <v>924</v>
      </c>
      <c r="N409" s="190">
        <f t="array" ref="N409">IFERROR(
  INDEX($J$2:$J$543,
    MATCH(A409&amp;TEXT(I409,"yyyy-mm-dd"),
          $A$2:$A$543&amp;TEXT($H$2:$H$543,"yyyy-mm-dd"),
          0)),
"")</f>
        <v>1</v>
      </c>
      <c r="O409" s="210">
        <f t="shared" si="3"/>
        <v>5</v>
      </c>
      <c r="P409" s="210">
        <f t="shared" ref="P409:Q409" si="419">IF(N409="",0,IF(N409&lt;=2,1,IF(N409&lt;=4,2,IF(N409&lt;=5.5,3,4))))</f>
        <v>1</v>
      </c>
      <c r="Q409" s="210">
        <f t="shared" si="419"/>
        <v>3</v>
      </c>
      <c r="R409" s="210" t="str">
        <f t="shared" si="5"/>
        <v>Lv1 → Lv3 (multi)</v>
      </c>
      <c r="S409" s="210">
        <f t="shared" si="6"/>
        <v>0</v>
      </c>
      <c r="T409" s="210"/>
      <c r="U409" s="210"/>
      <c r="V409" s="210"/>
      <c r="W409" s="210"/>
      <c r="X409" s="210"/>
      <c r="Y409" s="210"/>
      <c r="Z409" s="210"/>
      <c r="AA409" s="210"/>
      <c r="AB409" s="210"/>
      <c r="AC409" s="210"/>
      <c r="AD409" s="210"/>
      <c r="AE409" s="210"/>
      <c r="AF409" s="210"/>
      <c r="AG409" s="210"/>
      <c r="AH409" s="210"/>
      <c r="AI409" s="210"/>
      <c r="AJ409" s="210"/>
      <c r="AK409" s="210"/>
      <c r="AL409" s="210"/>
      <c r="AM409" s="214"/>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c r="BU409" s="210"/>
      <c r="BV409" s="210"/>
      <c r="BW409" s="210"/>
      <c r="BX409" s="210"/>
      <c r="BY409" s="210"/>
      <c r="BZ409" s="210"/>
      <c r="CA409" s="210"/>
      <c r="CB409" s="210"/>
      <c r="CC409" s="210"/>
      <c r="CD409" s="210"/>
      <c r="CE409" s="210"/>
      <c r="CF409" s="210"/>
      <c r="CG409" s="210"/>
      <c r="CH409" s="210"/>
      <c r="CI409" s="210"/>
      <c r="CJ409" s="210"/>
      <c r="CK409" s="210"/>
    </row>
    <row r="410">
      <c r="A410" s="222" t="s">
        <v>621</v>
      </c>
      <c r="B410" s="190" t="s">
        <v>622</v>
      </c>
      <c r="C410" s="223" t="s">
        <v>85</v>
      </c>
      <c r="D410" s="223" t="s">
        <v>878</v>
      </c>
      <c r="E410" s="190" t="s">
        <v>22</v>
      </c>
      <c r="F410" s="13" t="s">
        <v>935</v>
      </c>
      <c r="G410" s="13" t="s">
        <v>941</v>
      </c>
      <c r="H410" s="219">
        <f>IFERROR(
  MINIFS(ATTENDANCE_LOG!$F:$F,
         ATTENDANCE_LOG!$A:$A, C410,
         ATTENDANCE_LOG!$B:$B, E410),
"")</f>
        <v>45910.54167</v>
      </c>
      <c r="I410" s="219">
        <f t="shared" si="2"/>
        <v>45765.41667</v>
      </c>
      <c r="J410" s="190">
        <f>IFERROR(VLOOKUP(F410, LEVEL_HELPER!$A:$B, 2, 0), "")</f>
        <v>3.5</v>
      </c>
      <c r="K410" s="190">
        <f>IFERROR(VLOOKUP(G410, LEVEL_HELPER!$A:$B, 2, 0), "")</f>
        <v>5</v>
      </c>
      <c r="L410" s="220" t="s">
        <v>943</v>
      </c>
      <c r="M410" s="220" t="s">
        <v>924</v>
      </c>
      <c r="N410" s="190">
        <f t="array" ref="N410">IFERROR(
  INDEX($J$2:$J$543,
    MATCH(A410&amp;TEXT(I410,"yyyy-mm-dd"),
          $A$2:$A$543&amp;TEXT($H$2:$H$543,"yyyy-mm-dd"),
          0)),
"")</f>
        <v>1</v>
      </c>
      <c r="O410" s="210">
        <f t="shared" si="3"/>
        <v>5</v>
      </c>
      <c r="P410" s="210">
        <f t="shared" ref="P410:Q410" si="420">IF(N410="",0,IF(N410&lt;=2,1,IF(N410&lt;=4,2,IF(N410&lt;=5.5,3,4))))</f>
        <v>1</v>
      </c>
      <c r="Q410" s="210">
        <f t="shared" si="420"/>
        <v>3</v>
      </c>
      <c r="R410" s="210" t="str">
        <f t="shared" si="5"/>
        <v>Lv1 → Lv3 (multi)</v>
      </c>
      <c r="S410" s="210">
        <f t="shared" si="6"/>
        <v>0</v>
      </c>
      <c r="T410" s="210"/>
      <c r="U410" s="210"/>
      <c r="V410" s="210"/>
      <c r="W410" s="210"/>
      <c r="X410" s="210"/>
      <c r="Y410" s="210"/>
      <c r="Z410" s="210"/>
      <c r="AA410" s="210"/>
      <c r="AB410" s="210"/>
      <c r="AC410" s="210"/>
      <c r="AD410" s="210"/>
      <c r="AE410" s="210"/>
      <c r="AF410" s="210"/>
      <c r="AG410" s="210"/>
      <c r="AH410" s="210"/>
      <c r="AI410" s="210"/>
      <c r="AJ410" s="210"/>
      <c r="AK410" s="210"/>
      <c r="AL410" s="210"/>
      <c r="AM410" s="214"/>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c r="BU410" s="210"/>
      <c r="BV410" s="210"/>
      <c r="BW410" s="210"/>
      <c r="BX410" s="210"/>
      <c r="BY410" s="210"/>
      <c r="BZ410" s="210"/>
      <c r="CA410" s="210"/>
      <c r="CB410" s="210"/>
      <c r="CC410" s="210"/>
      <c r="CD410" s="210"/>
      <c r="CE410" s="210"/>
      <c r="CF410" s="210"/>
      <c r="CG410" s="210"/>
      <c r="CH410" s="210"/>
      <c r="CI410" s="210"/>
      <c r="CJ410" s="210"/>
      <c r="CK410" s="210"/>
    </row>
    <row r="411">
      <c r="A411" s="222" t="s">
        <v>719</v>
      </c>
      <c r="B411" s="190" t="s">
        <v>720</v>
      </c>
      <c r="C411" s="223" t="s">
        <v>85</v>
      </c>
      <c r="D411" s="223" t="s">
        <v>878</v>
      </c>
      <c r="E411" s="190" t="s">
        <v>22</v>
      </c>
      <c r="F411" s="13" t="s">
        <v>935</v>
      </c>
      <c r="G411" s="13" t="s">
        <v>941</v>
      </c>
      <c r="H411" s="219">
        <f>IFERROR(
  MINIFS(ATTENDANCE_LOG!$F:$F,
         ATTENDANCE_LOG!$A:$A, C411,
         ATTENDANCE_LOG!$B:$B, E411),
"")</f>
        <v>45910.54167</v>
      </c>
      <c r="I411" s="219">
        <f t="shared" si="2"/>
        <v>45764.45833</v>
      </c>
      <c r="J411" s="190">
        <f>IFERROR(VLOOKUP(F411, LEVEL_HELPER!$A:$B, 2, 0), "")</f>
        <v>3.5</v>
      </c>
      <c r="K411" s="190">
        <f>IFERROR(VLOOKUP(G411, LEVEL_HELPER!$A:$B, 2, 0), "")</f>
        <v>5</v>
      </c>
      <c r="L411" s="220" t="s">
        <v>957</v>
      </c>
      <c r="M411" s="220" t="s">
        <v>924</v>
      </c>
      <c r="N411" s="190">
        <f t="array" ref="N411">IFERROR(
  INDEX($J$2:$J$543,
    MATCH(A411&amp;TEXT(I411,"yyyy-mm-dd"),
          $A$2:$A$543&amp;TEXT($H$2:$H$543,"yyyy-mm-dd"),
          0)),
"")</f>
        <v>0</v>
      </c>
      <c r="O411" s="210">
        <f t="shared" si="3"/>
        <v>5</v>
      </c>
      <c r="P411" s="210">
        <f t="shared" ref="P411:Q411" si="421">IF(N411="",0,IF(N411&lt;=2,1,IF(N411&lt;=4,2,IF(N411&lt;=5.5,3,4))))</f>
        <v>1</v>
      </c>
      <c r="Q411" s="210">
        <f t="shared" si="421"/>
        <v>3</v>
      </c>
      <c r="R411" s="210" t="str">
        <f t="shared" si="5"/>
        <v>Lv1 → Lv3 (multi)</v>
      </c>
      <c r="S411" s="210">
        <f t="shared" si="6"/>
        <v>0</v>
      </c>
      <c r="T411" s="210"/>
      <c r="U411" s="210"/>
      <c r="V411" s="210"/>
      <c r="W411" s="210"/>
      <c r="X411" s="210"/>
      <c r="Y411" s="210"/>
      <c r="Z411" s="210"/>
      <c r="AA411" s="210"/>
      <c r="AB411" s="210"/>
      <c r="AC411" s="210"/>
      <c r="AD411" s="210"/>
      <c r="AE411" s="210"/>
      <c r="AF411" s="210"/>
      <c r="AG411" s="210"/>
      <c r="AH411" s="210"/>
      <c r="AI411" s="210"/>
      <c r="AJ411" s="210"/>
      <c r="AK411" s="210"/>
      <c r="AL411" s="210"/>
      <c r="AM411" s="214"/>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c r="BU411" s="210"/>
      <c r="BV411" s="210"/>
      <c r="BW411" s="210"/>
      <c r="BX411" s="210"/>
      <c r="BY411" s="210"/>
      <c r="BZ411" s="210"/>
      <c r="CA411" s="210"/>
      <c r="CB411" s="210"/>
      <c r="CC411" s="210"/>
      <c r="CD411" s="210"/>
      <c r="CE411" s="210"/>
      <c r="CF411" s="210"/>
      <c r="CG411" s="210"/>
      <c r="CH411" s="210"/>
      <c r="CI411" s="210"/>
      <c r="CJ411" s="210"/>
      <c r="CK411" s="210"/>
    </row>
    <row r="412">
      <c r="A412" s="216" t="s">
        <v>407</v>
      </c>
      <c r="B412" s="217" t="s">
        <v>408</v>
      </c>
      <c r="C412" s="218" t="s">
        <v>86</v>
      </c>
      <c r="D412" s="218" t="s">
        <v>879</v>
      </c>
      <c r="E412" s="217" t="s">
        <v>25</v>
      </c>
      <c r="F412" s="242" t="s">
        <v>25</v>
      </c>
      <c r="G412" s="242" t="s">
        <v>927</v>
      </c>
      <c r="H412" s="219">
        <f>IFERROR(
  MINIFS(ATTENDANCE_LOG!$F:$F,
         ATTENDANCE_LOG!$A:$A, C412,
         ATTENDANCE_LOG!$B:$B, E412),
"")</f>
        <v>45805.375</v>
      </c>
      <c r="I412" s="219">
        <f t="shared" si="2"/>
        <v>45805.375</v>
      </c>
      <c r="J412" s="217">
        <f>IFERROR(VLOOKUP(F412, LEVEL_HELPER!$A:$B, 2, 0), "")</f>
        <v>0.5</v>
      </c>
      <c r="K412" s="217">
        <f>IFERROR(VLOOKUP(G412, LEVEL_HELPER!$A:$B, 2, 0), "")</f>
        <v>1</v>
      </c>
      <c r="L412" s="247" t="s">
        <v>943</v>
      </c>
      <c r="M412" s="247" t="s">
        <v>924</v>
      </c>
      <c r="N412" s="190">
        <f t="array" ref="N412">IFERROR(
  INDEX($J$2:$J$543,
    MATCH(A412&amp;TEXT(I412,"yyyy-mm-dd"),
          $A$2:$A$543&amp;TEXT($H$2:$H$543,"yyyy-mm-dd"),
          0)),
"")</f>
        <v>0.5</v>
      </c>
      <c r="O412" s="248">
        <f t="shared" si="3"/>
        <v>3</v>
      </c>
      <c r="P412" s="210">
        <f t="shared" ref="P412:Q412" si="422">IF(N412="",0,IF(N412&lt;=2,1,IF(N412&lt;=4,2,IF(N412&lt;=5.5,3,4))))</f>
        <v>1</v>
      </c>
      <c r="Q412" s="210">
        <f t="shared" si="422"/>
        <v>2</v>
      </c>
      <c r="R412" s="210" t="str">
        <f t="shared" si="5"/>
        <v>Lv1 → Lv2</v>
      </c>
      <c r="S412" s="210">
        <f t="shared" si="6"/>
        <v>1</v>
      </c>
      <c r="T412" s="210"/>
      <c r="U412" s="210"/>
      <c r="V412" s="210"/>
      <c r="W412" s="210"/>
      <c r="X412" s="210"/>
      <c r="Y412" s="210"/>
      <c r="Z412" s="210"/>
      <c r="AA412" s="210"/>
      <c r="AB412" s="210"/>
      <c r="AC412" s="210"/>
      <c r="AD412" s="210"/>
      <c r="AE412" s="210"/>
      <c r="AF412" s="210"/>
      <c r="AG412" s="210"/>
      <c r="AH412" s="210"/>
      <c r="AI412" s="210"/>
      <c r="AJ412" s="210"/>
      <c r="AK412" s="210"/>
      <c r="AL412" s="210"/>
      <c r="AM412" s="214"/>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c r="BU412" s="210"/>
      <c r="BV412" s="210"/>
      <c r="BW412" s="210"/>
      <c r="BX412" s="210"/>
      <c r="BY412" s="210"/>
      <c r="BZ412" s="210"/>
      <c r="CA412" s="210"/>
      <c r="CB412" s="210"/>
      <c r="CC412" s="210"/>
      <c r="CD412" s="210"/>
      <c r="CE412" s="210"/>
      <c r="CF412" s="210"/>
      <c r="CG412" s="210"/>
      <c r="CH412" s="210"/>
      <c r="CI412" s="210"/>
      <c r="CJ412" s="210"/>
      <c r="CK412" s="210"/>
    </row>
    <row r="413">
      <c r="A413" s="222" t="s">
        <v>153</v>
      </c>
      <c r="B413" s="190" t="s">
        <v>154</v>
      </c>
      <c r="C413" s="223" t="s">
        <v>86</v>
      </c>
      <c r="D413" s="223" t="s">
        <v>879</v>
      </c>
      <c r="E413" s="190" t="s">
        <v>25</v>
      </c>
      <c r="F413" s="13" t="s">
        <v>25</v>
      </c>
      <c r="G413" s="13" t="s">
        <v>25</v>
      </c>
      <c r="H413" s="219">
        <f>IFERROR(
  MINIFS(ATTENDANCE_LOG!$F:$F,
         ATTENDANCE_LOG!$A:$A, C413,
         ATTENDANCE_LOG!$B:$B, E413),
"")</f>
        <v>45805.375</v>
      </c>
      <c r="I413" s="219">
        <f t="shared" si="2"/>
        <v>45805.375</v>
      </c>
      <c r="J413" s="190">
        <f>IFERROR(VLOOKUP(F413, LEVEL_HELPER!$A:$B, 2, 0), "")</f>
        <v>0.5</v>
      </c>
      <c r="K413" s="190">
        <f>IFERROR(VLOOKUP(G413, LEVEL_HELPER!$A:$B, 2, 0), "")</f>
        <v>0.5</v>
      </c>
      <c r="L413" s="220" t="s">
        <v>943</v>
      </c>
      <c r="M413" s="220" t="s">
        <v>924</v>
      </c>
      <c r="N413" s="190">
        <f t="array" ref="N413">IFERROR(
  INDEX($J$2:$J$543,
    MATCH(A413&amp;TEXT(I413,"yyyy-mm-dd"),
          $A$2:$A$543&amp;TEXT($H$2:$H$543,"yyyy-mm-dd"),
          0)),
"")</f>
        <v>0.5</v>
      </c>
      <c r="O413" s="210">
        <f t="shared" si="3"/>
        <v>0.5</v>
      </c>
      <c r="P413" s="210">
        <f t="shared" ref="P413:Q413" si="423">IF(N413="",0,IF(N413&lt;=2,1,IF(N413&lt;=4,2,IF(N413&lt;=5.5,3,4))))</f>
        <v>1</v>
      </c>
      <c r="Q413" s="210">
        <f t="shared" si="423"/>
        <v>1</v>
      </c>
      <c r="R413" s="210" t="str">
        <f t="shared" si="5"/>
        <v>No Progress</v>
      </c>
      <c r="S413" s="210">
        <f t="shared" si="6"/>
        <v>1</v>
      </c>
      <c r="T413" s="210"/>
      <c r="U413" s="210"/>
      <c r="V413" s="210"/>
      <c r="W413" s="210"/>
      <c r="X413" s="210"/>
      <c r="Y413" s="210"/>
      <c r="Z413" s="210"/>
      <c r="AA413" s="210"/>
      <c r="AB413" s="210"/>
      <c r="AC413" s="210"/>
      <c r="AD413" s="210"/>
      <c r="AE413" s="210"/>
      <c r="AF413" s="210"/>
      <c r="AG413" s="210"/>
      <c r="AH413" s="210"/>
      <c r="AI413" s="210"/>
      <c r="AJ413" s="210"/>
      <c r="AK413" s="210"/>
      <c r="AL413" s="210"/>
      <c r="AM413" s="214"/>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c r="BU413" s="210"/>
      <c r="BV413" s="210"/>
      <c r="BW413" s="210"/>
      <c r="BX413" s="210"/>
      <c r="BY413" s="210"/>
      <c r="BZ413" s="210"/>
      <c r="CA413" s="210"/>
      <c r="CB413" s="210"/>
      <c r="CC413" s="210"/>
      <c r="CD413" s="210"/>
      <c r="CE413" s="210"/>
      <c r="CF413" s="210"/>
      <c r="CG413" s="210"/>
      <c r="CH413" s="210"/>
      <c r="CI413" s="210"/>
      <c r="CJ413" s="210"/>
      <c r="CK413" s="210"/>
    </row>
    <row r="414">
      <c r="A414" s="222" t="s">
        <v>277</v>
      </c>
      <c r="B414" s="190" t="s">
        <v>278</v>
      </c>
      <c r="C414" s="223" t="s">
        <v>86</v>
      </c>
      <c r="D414" s="223" t="s">
        <v>879</v>
      </c>
      <c r="E414" s="190" t="s">
        <v>25</v>
      </c>
      <c r="F414" s="13" t="s">
        <v>25</v>
      </c>
      <c r="G414" s="13" t="s">
        <v>25</v>
      </c>
      <c r="H414" s="219">
        <f>IFERROR(
  MINIFS(ATTENDANCE_LOG!$F:$F,
         ATTENDANCE_LOG!$A:$A, C414,
         ATTENDANCE_LOG!$B:$B, E414),
"")</f>
        <v>45805.375</v>
      </c>
      <c r="I414" s="219">
        <f t="shared" si="2"/>
        <v>45805.375</v>
      </c>
      <c r="J414" s="190">
        <f>IFERROR(VLOOKUP(F414, LEVEL_HELPER!$A:$B, 2, 0), "")</f>
        <v>0.5</v>
      </c>
      <c r="K414" s="190">
        <f>IFERROR(VLOOKUP(G414, LEVEL_HELPER!$A:$B, 2, 0), "")</f>
        <v>0.5</v>
      </c>
      <c r="L414" s="220" t="s">
        <v>943</v>
      </c>
      <c r="M414" s="220" t="s">
        <v>924</v>
      </c>
      <c r="N414" s="190">
        <f t="array" ref="N414">IFERROR(
  INDEX($J$2:$J$543,
    MATCH(A414&amp;TEXT(I414,"yyyy-mm-dd"),
          $A$2:$A$543&amp;TEXT($H$2:$H$543,"yyyy-mm-dd"),
          0)),
"")</f>
        <v>0.5</v>
      </c>
      <c r="O414" s="210">
        <f t="shared" si="3"/>
        <v>1.5</v>
      </c>
      <c r="P414" s="210">
        <f t="shared" ref="P414:Q414" si="424">IF(N414="",0,IF(N414&lt;=2,1,IF(N414&lt;=4,2,IF(N414&lt;=5.5,3,4))))</f>
        <v>1</v>
      </c>
      <c r="Q414" s="210">
        <f t="shared" si="424"/>
        <v>1</v>
      </c>
      <c r="R414" s="210" t="str">
        <f t="shared" si="5"/>
        <v>Progress within level</v>
      </c>
      <c r="S414" s="210">
        <f t="shared" si="6"/>
        <v>1</v>
      </c>
      <c r="T414" s="210"/>
      <c r="U414" s="210"/>
      <c r="V414" s="210"/>
      <c r="W414" s="210"/>
      <c r="X414" s="210"/>
      <c r="Y414" s="210"/>
      <c r="Z414" s="210"/>
      <c r="AA414" s="210"/>
      <c r="AB414" s="210"/>
      <c r="AC414" s="210"/>
      <c r="AD414" s="210"/>
      <c r="AE414" s="210"/>
      <c r="AF414" s="210"/>
      <c r="AG414" s="210"/>
      <c r="AH414" s="210"/>
      <c r="AI414" s="210"/>
      <c r="AJ414" s="210"/>
      <c r="AK414" s="210"/>
      <c r="AL414" s="210"/>
      <c r="AM414" s="214"/>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c r="BU414" s="210"/>
      <c r="BV414" s="210"/>
      <c r="BW414" s="210"/>
      <c r="BX414" s="210"/>
      <c r="BY414" s="210"/>
      <c r="BZ414" s="210"/>
      <c r="CA414" s="210"/>
      <c r="CB414" s="210"/>
      <c r="CC414" s="210"/>
      <c r="CD414" s="210"/>
      <c r="CE414" s="210"/>
      <c r="CF414" s="210"/>
      <c r="CG414" s="210"/>
      <c r="CH414" s="210"/>
      <c r="CI414" s="210"/>
      <c r="CJ414" s="210"/>
      <c r="CK414" s="210"/>
    </row>
    <row r="415">
      <c r="A415" s="222" t="s">
        <v>355</v>
      </c>
      <c r="B415" s="190" t="s">
        <v>356</v>
      </c>
      <c r="C415" s="223" t="s">
        <v>86</v>
      </c>
      <c r="D415" s="223" t="s">
        <v>879</v>
      </c>
      <c r="E415" s="190" t="s">
        <v>25</v>
      </c>
      <c r="F415" s="13" t="s">
        <v>25</v>
      </c>
      <c r="G415" s="13" t="s">
        <v>25</v>
      </c>
      <c r="H415" s="219">
        <f>IFERROR(
  MINIFS(ATTENDANCE_LOG!$F:$F,
         ATTENDANCE_LOG!$A:$A, C415,
         ATTENDANCE_LOG!$B:$B, E415),
"")</f>
        <v>45805.375</v>
      </c>
      <c r="I415" s="219">
        <f t="shared" si="2"/>
        <v>45805.375</v>
      </c>
      <c r="J415" s="190">
        <f>IFERROR(VLOOKUP(F415, LEVEL_HELPER!$A:$B, 2, 0), "")</f>
        <v>0.5</v>
      </c>
      <c r="K415" s="190">
        <f>IFERROR(VLOOKUP(G415, LEVEL_HELPER!$A:$B, 2, 0), "")</f>
        <v>0.5</v>
      </c>
      <c r="L415" s="220" t="s">
        <v>943</v>
      </c>
      <c r="M415" s="220" t="s">
        <v>924</v>
      </c>
      <c r="N415" s="190">
        <f t="array" ref="N415">IFERROR(
  INDEX($J$2:$J$543,
    MATCH(A415&amp;TEXT(I415,"yyyy-mm-dd"),
          $A$2:$A$543&amp;TEXT($H$2:$H$543,"yyyy-mm-dd"),
          0)),
"")</f>
        <v>0.5</v>
      </c>
      <c r="O415" s="210">
        <f t="shared" si="3"/>
        <v>0.5</v>
      </c>
      <c r="P415" s="210">
        <f t="shared" ref="P415:Q415" si="425">IF(N415="",0,IF(N415&lt;=2,1,IF(N415&lt;=4,2,IF(N415&lt;=5.5,3,4))))</f>
        <v>1</v>
      </c>
      <c r="Q415" s="210">
        <f t="shared" si="425"/>
        <v>1</v>
      </c>
      <c r="R415" s="210" t="str">
        <f t="shared" si="5"/>
        <v>No Progress</v>
      </c>
      <c r="S415" s="210">
        <f t="shared" si="6"/>
        <v>1</v>
      </c>
      <c r="T415" s="210"/>
      <c r="U415" s="210"/>
      <c r="V415" s="210"/>
      <c r="W415" s="210"/>
      <c r="X415" s="210"/>
      <c r="Y415" s="210"/>
      <c r="Z415" s="210"/>
      <c r="AA415" s="210"/>
      <c r="AB415" s="210"/>
      <c r="AC415" s="210"/>
      <c r="AD415" s="210"/>
      <c r="AE415" s="210"/>
      <c r="AF415" s="210"/>
      <c r="AG415" s="210"/>
      <c r="AH415" s="210"/>
      <c r="AI415" s="210"/>
      <c r="AJ415" s="210"/>
      <c r="AK415" s="210"/>
      <c r="AL415" s="210"/>
      <c r="AM415" s="214"/>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c r="BU415" s="210"/>
      <c r="BV415" s="210"/>
      <c r="BW415" s="210"/>
      <c r="BX415" s="210"/>
      <c r="BY415" s="210"/>
      <c r="BZ415" s="210"/>
      <c r="CA415" s="210"/>
      <c r="CB415" s="210"/>
      <c r="CC415" s="210"/>
      <c r="CD415" s="210"/>
      <c r="CE415" s="210"/>
      <c r="CF415" s="210"/>
      <c r="CG415" s="210"/>
      <c r="CH415" s="210"/>
      <c r="CI415" s="210"/>
      <c r="CJ415" s="210"/>
      <c r="CK415" s="210"/>
    </row>
    <row r="416">
      <c r="A416" s="222" t="s">
        <v>429</v>
      </c>
      <c r="B416" s="190" t="s">
        <v>430</v>
      </c>
      <c r="C416" s="223" t="s">
        <v>86</v>
      </c>
      <c r="D416" s="223" t="s">
        <v>879</v>
      </c>
      <c r="E416" s="190" t="s">
        <v>25</v>
      </c>
      <c r="F416" s="13" t="s">
        <v>25</v>
      </c>
      <c r="G416" s="13" t="s">
        <v>25</v>
      </c>
      <c r="H416" s="219">
        <f>IFERROR(
  MINIFS(ATTENDANCE_LOG!$F:$F,
         ATTENDANCE_LOG!$A:$A, C416,
         ATTENDANCE_LOG!$B:$B, E416),
"")</f>
        <v>45805.375</v>
      </c>
      <c r="I416" s="219">
        <f t="shared" si="2"/>
        <v>45805.375</v>
      </c>
      <c r="J416" s="190">
        <f>IFERROR(VLOOKUP(F416, LEVEL_HELPER!$A:$B, 2, 0), "")</f>
        <v>0.5</v>
      </c>
      <c r="K416" s="190">
        <f>IFERROR(VLOOKUP(G416, LEVEL_HELPER!$A:$B, 2, 0), "")</f>
        <v>0.5</v>
      </c>
      <c r="L416" s="220" t="s">
        <v>944</v>
      </c>
      <c r="M416" s="220" t="s">
        <v>924</v>
      </c>
      <c r="N416" s="190">
        <f t="array" ref="N416">IFERROR(
  INDEX($J$2:$J$543,
    MATCH(A416&amp;TEXT(I416,"yyyy-mm-dd"),
          $A$2:$A$543&amp;TEXT($H$2:$H$543,"yyyy-mm-dd"),
          0)),
"")</f>
        <v>0.5</v>
      </c>
      <c r="O416" s="210">
        <f t="shared" si="3"/>
        <v>3</v>
      </c>
      <c r="P416" s="210">
        <f t="shared" ref="P416:Q416" si="426">IF(N416="",0,IF(N416&lt;=2,1,IF(N416&lt;=4,2,IF(N416&lt;=5.5,3,4))))</f>
        <v>1</v>
      </c>
      <c r="Q416" s="210">
        <f t="shared" si="426"/>
        <v>2</v>
      </c>
      <c r="R416" s="210" t="str">
        <f t="shared" si="5"/>
        <v>Lv1 → Lv2</v>
      </c>
      <c r="S416" s="210">
        <f t="shared" si="6"/>
        <v>1</v>
      </c>
      <c r="T416" s="210"/>
      <c r="U416" s="210"/>
      <c r="V416" s="210"/>
      <c r="W416" s="210"/>
      <c r="X416" s="210"/>
      <c r="Y416" s="210"/>
      <c r="Z416" s="210"/>
      <c r="AA416" s="210"/>
      <c r="AB416" s="210"/>
      <c r="AC416" s="210"/>
      <c r="AD416" s="210"/>
      <c r="AE416" s="210"/>
      <c r="AF416" s="210"/>
      <c r="AG416" s="210"/>
      <c r="AH416" s="210"/>
      <c r="AI416" s="210"/>
      <c r="AJ416" s="210"/>
      <c r="AK416" s="210"/>
      <c r="AL416" s="210"/>
      <c r="AM416" s="214"/>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c r="BU416" s="210"/>
      <c r="BV416" s="210"/>
      <c r="BW416" s="210"/>
      <c r="BX416" s="210"/>
      <c r="BY416" s="210"/>
      <c r="BZ416" s="210"/>
      <c r="CA416" s="210"/>
      <c r="CB416" s="210"/>
      <c r="CC416" s="210"/>
      <c r="CD416" s="210"/>
      <c r="CE416" s="210"/>
      <c r="CF416" s="210"/>
      <c r="CG416" s="210"/>
      <c r="CH416" s="210"/>
      <c r="CI416" s="210"/>
      <c r="CJ416" s="210"/>
      <c r="CK416" s="210"/>
    </row>
    <row r="417">
      <c r="A417" s="222" t="s">
        <v>538</v>
      </c>
      <c r="B417" s="190" t="s">
        <v>539</v>
      </c>
      <c r="C417" s="223" t="s">
        <v>86</v>
      </c>
      <c r="D417" s="223" t="s">
        <v>879</v>
      </c>
      <c r="E417" s="190" t="s">
        <v>25</v>
      </c>
      <c r="F417" s="13" t="s">
        <v>25</v>
      </c>
      <c r="G417" s="13" t="s">
        <v>25</v>
      </c>
      <c r="H417" s="219">
        <f>IFERROR(
  MINIFS(ATTENDANCE_LOG!$F:$F,
         ATTENDANCE_LOG!$A:$A, C417,
         ATTENDANCE_LOG!$B:$B, E417),
"")</f>
        <v>45805.375</v>
      </c>
      <c r="I417" s="219">
        <f t="shared" si="2"/>
        <v>45805.375</v>
      </c>
      <c r="J417" s="190">
        <f>IFERROR(VLOOKUP(F417, LEVEL_HELPER!$A:$B, 2, 0), "")</f>
        <v>0.5</v>
      </c>
      <c r="K417" s="190">
        <f>IFERROR(VLOOKUP(G417, LEVEL_HELPER!$A:$B, 2, 0), "")</f>
        <v>0.5</v>
      </c>
      <c r="L417" s="220" t="s">
        <v>943</v>
      </c>
      <c r="M417" s="220" t="s">
        <v>924</v>
      </c>
      <c r="N417" s="190">
        <f t="array" ref="N417">IFERROR(
  INDEX($J$2:$J$543,
    MATCH(A417&amp;TEXT(I417,"yyyy-mm-dd"),
          $A$2:$A$543&amp;TEXT($H$2:$H$543,"yyyy-mm-dd"),
          0)),
"")</f>
        <v>0.5</v>
      </c>
      <c r="O417" s="210">
        <f t="shared" si="3"/>
        <v>3</v>
      </c>
      <c r="P417" s="210">
        <f t="shared" ref="P417:Q417" si="427">IF(N417="",0,IF(N417&lt;=2,1,IF(N417&lt;=4,2,IF(N417&lt;=5.5,3,4))))</f>
        <v>1</v>
      </c>
      <c r="Q417" s="210">
        <f t="shared" si="427"/>
        <v>2</v>
      </c>
      <c r="R417" s="210" t="str">
        <f t="shared" si="5"/>
        <v>Lv1 → Lv2</v>
      </c>
      <c r="S417" s="210">
        <f t="shared" si="6"/>
        <v>1</v>
      </c>
      <c r="T417" s="210"/>
      <c r="U417" s="210"/>
      <c r="V417" s="210"/>
      <c r="W417" s="210"/>
      <c r="X417" s="210"/>
      <c r="Y417" s="210"/>
      <c r="Z417" s="210"/>
      <c r="AA417" s="210"/>
      <c r="AB417" s="210"/>
      <c r="AC417" s="210"/>
      <c r="AD417" s="210"/>
      <c r="AE417" s="210"/>
      <c r="AF417" s="210"/>
      <c r="AG417" s="210"/>
      <c r="AH417" s="210"/>
      <c r="AI417" s="210"/>
      <c r="AJ417" s="210"/>
      <c r="AK417" s="210"/>
      <c r="AL417" s="210"/>
      <c r="AM417" s="214"/>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c r="BU417" s="210"/>
      <c r="BV417" s="210"/>
      <c r="BW417" s="210"/>
      <c r="BX417" s="210"/>
      <c r="BY417" s="210"/>
      <c r="BZ417" s="210"/>
      <c r="CA417" s="210"/>
      <c r="CB417" s="210"/>
      <c r="CC417" s="210"/>
      <c r="CD417" s="210"/>
      <c r="CE417" s="210"/>
      <c r="CF417" s="210"/>
      <c r="CG417" s="210"/>
      <c r="CH417" s="210"/>
      <c r="CI417" s="210"/>
      <c r="CJ417" s="210"/>
      <c r="CK417" s="210"/>
    </row>
    <row r="418">
      <c r="A418" s="222" t="s">
        <v>629</v>
      </c>
      <c r="B418" s="190" t="s">
        <v>630</v>
      </c>
      <c r="C418" s="223" t="s">
        <v>86</v>
      </c>
      <c r="D418" s="223" t="s">
        <v>879</v>
      </c>
      <c r="E418" s="190" t="s">
        <v>25</v>
      </c>
      <c r="F418" s="13" t="s">
        <v>25</v>
      </c>
      <c r="G418" s="13" t="s">
        <v>25</v>
      </c>
      <c r="H418" s="219">
        <f>IFERROR(
  MINIFS(ATTENDANCE_LOG!$F:$F,
         ATTENDANCE_LOG!$A:$A, C418,
         ATTENDANCE_LOG!$B:$B, E418),
"")</f>
        <v>45805.375</v>
      </c>
      <c r="I418" s="219">
        <f t="shared" si="2"/>
        <v>45805.375</v>
      </c>
      <c r="J418" s="190">
        <f>IFERROR(VLOOKUP(F418, LEVEL_HELPER!$A:$B, 2, 0), "")</f>
        <v>0.5</v>
      </c>
      <c r="K418" s="190">
        <f>IFERROR(VLOOKUP(G418, LEVEL_HELPER!$A:$B, 2, 0), "")</f>
        <v>0.5</v>
      </c>
      <c r="L418" s="220" t="s">
        <v>943</v>
      </c>
      <c r="M418" s="220" t="s">
        <v>924</v>
      </c>
      <c r="N418" s="190">
        <f t="array" ref="N418">IFERROR(
  INDEX($J$2:$J$543,
    MATCH(A418&amp;TEXT(I418,"yyyy-mm-dd"),
          $A$2:$A$543&amp;TEXT($H$2:$H$543,"yyyy-mm-dd"),
          0)),
"")</f>
        <v>0.5</v>
      </c>
      <c r="O418" s="210">
        <f t="shared" si="3"/>
        <v>0.5</v>
      </c>
      <c r="P418" s="210">
        <f t="shared" ref="P418:Q418" si="428">IF(N418="",0,IF(N418&lt;=2,1,IF(N418&lt;=4,2,IF(N418&lt;=5.5,3,4))))</f>
        <v>1</v>
      </c>
      <c r="Q418" s="210">
        <f t="shared" si="428"/>
        <v>1</v>
      </c>
      <c r="R418" s="210" t="str">
        <f t="shared" si="5"/>
        <v>No Progress</v>
      </c>
      <c r="S418" s="210">
        <f t="shared" si="6"/>
        <v>1</v>
      </c>
      <c r="T418" s="210"/>
      <c r="U418" s="210"/>
      <c r="V418" s="210"/>
      <c r="W418" s="210"/>
      <c r="X418" s="210"/>
      <c r="Y418" s="210"/>
      <c r="Z418" s="210"/>
      <c r="AA418" s="210"/>
      <c r="AB418" s="210"/>
      <c r="AC418" s="210"/>
      <c r="AD418" s="210"/>
      <c r="AE418" s="210"/>
      <c r="AF418" s="210"/>
      <c r="AG418" s="210"/>
      <c r="AH418" s="210"/>
      <c r="AI418" s="210"/>
      <c r="AJ418" s="210"/>
      <c r="AK418" s="210"/>
      <c r="AL418" s="210"/>
      <c r="AM418" s="214"/>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c r="BU418" s="210"/>
      <c r="BV418" s="210"/>
      <c r="BW418" s="210"/>
      <c r="BX418" s="210"/>
      <c r="BY418" s="210"/>
      <c r="BZ418" s="210"/>
      <c r="CA418" s="210"/>
      <c r="CB418" s="210"/>
      <c r="CC418" s="210"/>
      <c r="CD418" s="210"/>
      <c r="CE418" s="210"/>
      <c r="CF418" s="210"/>
      <c r="CG418" s="210"/>
      <c r="CH418" s="210"/>
      <c r="CI418" s="210"/>
      <c r="CJ418" s="210"/>
      <c r="CK418" s="210"/>
    </row>
    <row r="419">
      <c r="A419" s="222" t="s">
        <v>679</v>
      </c>
      <c r="B419" s="190" t="s">
        <v>680</v>
      </c>
      <c r="C419" s="223" t="s">
        <v>86</v>
      </c>
      <c r="D419" s="223" t="s">
        <v>879</v>
      </c>
      <c r="E419" s="190" t="s">
        <v>25</v>
      </c>
      <c r="F419" s="13" t="s">
        <v>25</v>
      </c>
      <c r="G419" s="13" t="s">
        <v>25</v>
      </c>
      <c r="H419" s="219">
        <f>IFERROR(
  MINIFS(ATTENDANCE_LOG!$F:$F,
         ATTENDANCE_LOG!$A:$A, C419,
         ATTENDANCE_LOG!$B:$B, E419),
"")</f>
        <v>45805.375</v>
      </c>
      <c r="I419" s="219">
        <f t="shared" si="2"/>
        <v>45805.375</v>
      </c>
      <c r="J419" s="190">
        <f>IFERROR(VLOOKUP(F419, LEVEL_HELPER!$A:$B, 2, 0), "")</f>
        <v>0.5</v>
      </c>
      <c r="K419" s="190">
        <f>IFERROR(VLOOKUP(G419, LEVEL_HELPER!$A:$B, 2, 0), "")</f>
        <v>0.5</v>
      </c>
      <c r="L419" s="220" t="s">
        <v>943</v>
      </c>
      <c r="M419" s="220" t="s">
        <v>924</v>
      </c>
      <c r="N419" s="190">
        <f t="array" ref="N419">IFERROR(
  INDEX($J$2:$J$543,
    MATCH(A419&amp;TEXT(I419,"yyyy-mm-dd"),
          $A$2:$A$543&amp;TEXT($H$2:$H$543,"yyyy-mm-dd"),
          0)),
"")</f>
        <v>0.5</v>
      </c>
      <c r="O419" s="210">
        <f t="shared" si="3"/>
        <v>3.5</v>
      </c>
      <c r="P419" s="210">
        <f t="shared" ref="P419:Q419" si="429">IF(N419="",0,IF(N419&lt;=2,1,IF(N419&lt;=4,2,IF(N419&lt;=5.5,3,4))))</f>
        <v>1</v>
      </c>
      <c r="Q419" s="210">
        <f t="shared" si="429"/>
        <v>2</v>
      </c>
      <c r="R419" s="210" t="str">
        <f t="shared" si="5"/>
        <v>Lv1 → Lv2</v>
      </c>
      <c r="S419" s="210">
        <f t="shared" si="6"/>
        <v>1</v>
      </c>
      <c r="T419" s="210"/>
      <c r="U419" s="210"/>
      <c r="V419" s="210"/>
      <c r="W419" s="210"/>
      <c r="X419" s="210"/>
      <c r="Y419" s="210"/>
      <c r="Z419" s="210"/>
      <c r="AA419" s="210"/>
      <c r="AB419" s="210"/>
      <c r="AC419" s="210"/>
      <c r="AD419" s="210"/>
      <c r="AE419" s="210"/>
      <c r="AF419" s="210"/>
      <c r="AG419" s="210"/>
      <c r="AH419" s="210"/>
      <c r="AI419" s="210"/>
      <c r="AJ419" s="210"/>
      <c r="AK419" s="210"/>
      <c r="AL419" s="210"/>
      <c r="AM419" s="214"/>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c r="BU419" s="210"/>
      <c r="BV419" s="210"/>
      <c r="BW419" s="210"/>
      <c r="BX419" s="210"/>
      <c r="BY419" s="210"/>
      <c r="BZ419" s="210"/>
      <c r="CA419" s="210"/>
      <c r="CB419" s="210"/>
      <c r="CC419" s="210"/>
      <c r="CD419" s="210"/>
      <c r="CE419" s="210"/>
      <c r="CF419" s="210"/>
      <c r="CG419" s="210"/>
      <c r="CH419" s="210"/>
      <c r="CI419" s="210"/>
      <c r="CJ419" s="210"/>
      <c r="CK419" s="210"/>
    </row>
    <row r="420">
      <c r="A420" s="222" t="s">
        <v>691</v>
      </c>
      <c r="B420" s="190" t="s">
        <v>692</v>
      </c>
      <c r="C420" s="223" t="s">
        <v>86</v>
      </c>
      <c r="D420" s="223" t="s">
        <v>879</v>
      </c>
      <c r="E420" s="190" t="s">
        <v>25</v>
      </c>
      <c r="F420" s="13" t="s">
        <v>25</v>
      </c>
      <c r="G420" s="13" t="s">
        <v>25</v>
      </c>
      <c r="H420" s="219">
        <f>IFERROR(
  MINIFS(ATTENDANCE_LOG!$F:$F,
         ATTENDANCE_LOG!$A:$A, C420,
         ATTENDANCE_LOG!$B:$B, E420),
"")</f>
        <v>45805.375</v>
      </c>
      <c r="I420" s="219">
        <f t="shared" si="2"/>
        <v>45805.375</v>
      </c>
      <c r="J420" s="190">
        <f>IFERROR(VLOOKUP(F420, LEVEL_HELPER!$A:$B, 2, 0), "")</f>
        <v>0.5</v>
      </c>
      <c r="K420" s="190">
        <f>IFERROR(VLOOKUP(G420, LEVEL_HELPER!$A:$B, 2, 0), "")</f>
        <v>0.5</v>
      </c>
      <c r="L420" s="220" t="s">
        <v>943</v>
      </c>
      <c r="M420" s="220" t="s">
        <v>924</v>
      </c>
      <c r="N420" s="190">
        <f t="array" ref="N420">IFERROR(
  INDEX($J$2:$J$543,
    MATCH(A420&amp;TEXT(I420,"yyyy-mm-dd"),
          $A$2:$A$543&amp;TEXT($H$2:$H$543,"yyyy-mm-dd"),
          0)),
"")</f>
        <v>0.5</v>
      </c>
      <c r="O420" s="210">
        <f t="shared" si="3"/>
        <v>3.5</v>
      </c>
      <c r="P420" s="210">
        <f t="shared" ref="P420:Q420" si="430">IF(N420="",0,IF(N420&lt;=2,1,IF(N420&lt;=4,2,IF(N420&lt;=5.5,3,4))))</f>
        <v>1</v>
      </c>
      <c r="Q420" s="210">
        <f t="shared" si="430"/>
        <v>2</v>
      </c>
      <c r="R420" s="210" t="str">
        <f t="shared" si="5"/>
        <v>Lv1 → Lv2</v>
      </c>
      <c r="S420" s="210">
        <f t="shared" si="6"/>
        <v>1</v>
      </c>
      <c r="T420" s="210"/>
      <c r="U420" s="210"/>
      <c r="V420" s="210"/>
      <c r="W420" s="210"/>
      <c r="X420" s="210"/>
      <c r="Y420" s="210"/>
      <c r="Z420" s="210"/>
      <c r="AA420" s="210"/>
      <c r="AB420" s="210"/>
      <c r="AC420" s="210"/>
      <c r="AD420" s="210"/>
      <c r="AE420" s="210"/>
      <c r="AF420" s="210"/>
      <c r="AG420" s="210"/>
      <c r="AH420" s="210"/>
      <c r="AI420" s="210"/>
      <c r="AJ420" s="210"/>
      <c r="AK420" s="210"/>
      <c r="AL420" s="210"/>
      <c r="AM420" s="214"/>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c r="BU420" s="210"/>
      <c r="BV420" s="210"/>
      <c r="BW420" s="210"/>
      <c r="BX420" s="210"/>
      <c r="BY420" s="210"/>
      <c r="BZ420" s="210"/>
      <c r="CA420" s="210"/>
      <c r="CB420" s="210"/>
      <c r="CC420" s="210"/>
      <c r="CD420" s="210"/>
      <c r="CE420" s="210"/>
      <c r="CF420" s="210"/>
      <c r="CG420" s="210"/>
      <c r="CH420" s="210"/>
      <c r="CI420" s="210"/>
      <c r="CJ420" s="210"/>
      <c r="CK420" s="210"/>
    </row>
    <row r="421">
      <c r="A421" s="216" t="s">
        <v>407</v>
      </c>
      <c r="B421" s="217" t="s">
        <v>408</v>
      </c>
      <c r="C421" s="218" t="s">
        <v>86</v>
      </c>
      <c r="D421" s="218" t="s">
        <v>879</v>
      </c>
      <c r="E421" s="217" t="s">
        <v>21</v>
      </c>
      <c r="F421" s="13" t="s">
        <v>927</v>
      </c>
      <c r="G421" s="13" t="s">
        <v>918</v>
      </c>
      <c r="H421" s="219">
        <f>IFERROR(
  MINIFS(ATTENDANCE_LOG!$F:$F,
         ATTENDANCE_LOG!$A:$A, C421,
         ATTENDANCE_LOG!$B:$B, E421),
"")</f>
        <v>45930.41667</v>
      </c>
      <c r="I421" s="219">
        <f t="shared" si="2"/>
        <v>45805.375</v>
      </c>
      <c r="J421" s="190">
        <f>IFERROR(VLOOKUP(F421, LEVEL_HELPER!$A:$B, 2, 0), "")</f>
        <v>1</v>
      </c>
      <c r="K421" s="190">
        <f>IFERROR(VLOOKUP(G421, LEVEL_HELPER!$A:$B, 2, 0), "")</f>
        <v>3</v>
      </c>
      <c r="L421" s="220" t="s">
        <v>943</v>
      </c>
      <c r="M421" s="220" t="s">
        <v>924</v>
      </c>
      <c r="N421" s="190">
        <f t="array" ref="N421">IFERROR(
  INDEX($J$2:$J$543,
    MATCH(A421&amp;TEXT(I421,"yyyy-mm-dd"),
          $A$2:$A$543&amp;TEXT($H$2:$H$543,"yyyy-mm-dd"),
          0)),
"")</f>
        <v>0.5</v>
      </c>
      <c r="O421" s="210">
        <f t="shared" si="3"/>
        <v>3</v>
      </c>
      <c r="P421" s="210">
        <f t="shared" ref="P421:Q421" si="431">IF(N421="",0,IF(N421&lt;=2,1,IF(N421&lt;=4,2,IF(N421&lt;=5.5,3,4))))</f>
        <v>1</v>
      </c>
      <c r="Q421" s="210">
        <f t="shared" si="431"/>
        <v>2</v>
      </c>
      <c r="R421" s="210" t="str">
        <f t="shared" si="5"/>
        <v>Lv1 → Lv2</v>
      </c>
      <c r="S421" s="210">
        <f t="shared" si="6"/>
        <v>0</v>
      </c>
      <c r="T421" s="210"/>
      <c r="U421" s="210"/>
      <c r="V421" s="210"/>
      <c r="W421" s="210"/>
      <c r="X421" s="210"/>
      <c r="Y421" s="210"/>
      <c r="Z421" s="210"/>
      <c r="AA421" s="210"/>
      <c r="AB421" s="210"/>
      <c r="AC421" s="210"/>
      <c r="AD421" s="210"/>
      <c r="AE421" s="210"/>
      <c r="AF421" s="210"/>
      <c r="AG421" s="210"/>
      <c r="AH421" s="210"/>
      <c r="AI421" s="210"/>
      <c r="AJ421" s="210"/>
      <c r="AK421" s="210"/>
      <c r="AL421" s="210"/>
      <c r="AM421" s="214"/>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c r="BU421" s="210"/>
      <c r="BV421" s="210"/>
      <c r="BW421" s="210"/>
      <c r="BX421" s="210"/>
      <c r="BY421" s="210"/>
      <c r="BZ421" s="210"/>
      <c r="CA421" s="210"/>
      <c r="CB421" s="210"/>
      <c r="CC421" s="210"/>
      <c r="CD421" s="210"/>
      <c r="CE421" s="210"/>
      <c r="CF421" s="210"/>
      <c r="CG421" s="210"/>
      <c r="CH421" s="210"/>
      <c r="CI421" s="210"/>
      <c r="CJ421" s="210"/>
      <c r="CK421" s="210"/>
    </row>
    <row r="422">
      <c r="A422" s="222" t="s">
        <v>277</v>
      </c>
      <c r="B422" s="190" t="s">
        <v>278</v>
      </c>
      <c r="C422" s="223" t="s">
        <v>86</v>
      </c>
      <c r="D422" s="223" t="s">
        <v>879</v>
      </c>
      <c r="E422" s="190" t="s">
        <v>21</v>
      </c>
      <c r="F422" s="13" t="s">
        <v>927</v>
      </c>
      <c r="G422" s="13" t="s">
        <v>929</v>
      </c>
      <c r="H422" s="219">
        <f>IFERROR(
  MINIFS(ATTENDANCE_LOG!$F:$F,
         ATTENDANCE_LOG!$A:$A, C422,
         ATTENDANCE_LOG!$B:$B, E422),
"")</f>
        <v>45930.41667</v>
      </c>
      <c r="I422" s="219">
        <f t="shared" si="2"/>
        <v>45805.375</v>
      </c>
      <c r="J422" s="190">
        <f>IFERROR(VLOOKUP(F422, LEVEL_HELPER!$A:$B, 2, 0), "")</f>
        <v>1</v>
      </c>
      <c r="K422" s="190">
        <f>IFERROR(VLOOKUP(G422, LEVEL_HELPER!$A:$B, 2, 0), "")</f>
        <v>1.5</v>
      </c>
      <c r="L422" s="220" t="s">
        <v>943</v>
      </c>
      <c r="M422" s="220" t="s">
        <v>924</v>
      </c>
      <c r="N422" s="190">
        <f t="array" ref="N422">IFERROR(
  INDEX($J$2:$J$543,
    MATCH(A422&amp;TEXT(I422,"yyyy-mm-dd"),
          $A$2:$A$543&amp;TEXT($H$2:$H$543,"yyyy-mm-dd"),
          0)),
"")</f>
        <v>0.5</v>
      </c>
      <c r="O422" s="210">
        <f t="shared" si="3"/>
        <v>1.5</v>
      </c>
      <c r="P422" s="210">
        <f t="shared" ref="P422:Q422" si="432">IF(N422="",0,IF(N422&lt;=2,1,IF(N422&lt;=4,2,IF(N422&lt;=5.5,3,4))))</f>
        <v>1</v>
      </c>
      <c r="Q422" s="210">
        <f t="shared" si="432"/>
        <v>1</v>
      </c>
      <c r="R422" s="210" t="str">
        <f t="shared" si="5"/>
        <v>Progress within level</v>
      </c>
      <c r="S422" s="210">
        <f t="shared" si="6"/>
        <v>0</v>
      </c>
      <c r="T422" s="210"/>
      <c r="U422" s="210"/>
      <c r="V422" s="210"/>
      <c r="W422" s="210"/>
      <c r="X422" s="210"/>
      <c r="Y422" s="210"/>
      <c r="Z422" s="210"/>
      <c r="AA422" s="210"/>
      <c r="AB422" s="210"/>
      <c r="AC422" s="210"/>
      <c r="AD422" s="210"/>
      <c r="AE422" s="210"/>
      <c r="AF422" s="210"/>
      <c r="AG422" s="210"/>
      <c r="AH422" s="210"/>
      <c r="AI422" s="210"/>
      <c r="AJ422" s="210"/>
      <c r="AK422" s="210"/>
      <c r="AL422" s="210"/>
      <c r="AM422" s="214"/>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c r="BU422" s="210"/>
      <c r="BV422" s="210"/>
      <c r="BW422" s="210"/>
      <c r="BX422" s="210"/>
      <c r="BY422" s="210"/>
      <c r="BZ422" s="210"/>
      <c r="CA422" s="210"/>
      <c r="CB422" s="210"/>
      <c r="CC422" s="210"/>
      <c r="CD422" s="210"/>
      <c r="CE422" s="210"/>
      <c r="CF422" s="210"/>
      <c r="CG422" s="210"/>
      <c r="CH422" s="210"/>
      <c r="CI422" s="210"/>
      <c r="CJ422" s="210"/>
      <c r="CK422" s="210"/>
    </row>
    <row r="423">
      <c r="A423" s="222" t="s">
        <v>355</v>
      </c>
      <c r="B423" s="190" t="s">
        <v>356</v>
      </c>
      <c r="C423" s="223" t="s">
        <v>86</v>
      </c>
      <c r="D423" s="223" t="s">
        <v>879</v>
      </c>
      <c r="E423" s="190" t="s">
        <v>21</v>
      </c>
      <c r="F423" s="190"/>
      <c r="G423" s="190"/>
      <c r="H423" s="219">
        <f>IFERROR(
  MINIFS(ATTENDANCE_LOG!$F:$F,
         ATTENDANCE_LOG!$A:$A, C423,
         ATTENDANCE_LOG!$B:$B, E423),
"")</f>
        <v>45930.41667</v>
      </c>
      <c r="I423" s="219">
        <f t="shared" si="2"/>
        <v>45805.375</v>
      </c>
      <c r="J423" s="190" t="str">
        <f>IFERROR(VLOOKUP(F423, LEVEL_HELPER!$A:$B, 2, 0), "")</f>
        <v/>
      </c>
      <c r="K423" s="190" t="str">
        <f>IFERROR(VLOOKUP(G423, LEVEL_HELPER!$A:$B, 2, 0), "")</f>
        <v/>
      </c>
      <c r="L423" s="220" t="s">
        <v>943</v>
      </c>
      <c r="M423" s="220" t="s">
        <v>924</v>
      </c>
      <c r="N423" s="190">
        <f t="array" ref="N423">IFERROR(
  INDEX($J$2:$J$543,
    MATCH(A423&amp;TEXT(I423,"yyyy-mm-dd"),
          $A$2:$A$543&amp;TEXT($H$2:$H$543,"yyyy-mm-dd"),
          0)),
"")</f>
        <v>0.5</v>
      </c>
      <c r="O423" s="210">
        <f t="shared" si="3"/>
        <v>0.5</v>
      </c>
      <c r="P423" s="210">
        <f t="shared" ref="P423:Q423" si="433">IF(N423="",0,IF(N423&lt;=2,1,IF(N423&lt;=4,2,IF(N423&lt;=5.5,3,4))))</f>
        <v>1</v>
      </c>
      <c r="Q423" s="210">
        <f t="shared" si="433"/>
        <v>1</v>
      </c>
      <c r="R423" s="210" t="str">
        <f t="shared" si="5"/>
        <v>No Progress</v>
      </c>
      <c r="S423" s="210">
        <f t="shared" si="6"/>
        <v>0</v>
      </c>
      <c r="T423" s="210"/>
      <c r="U423" s="210"/>
      <c r="V423" s="210"/>
      <c r="W423" s="210"/>
      <c r="X423" s="210"/>
      <c r="Y423" s="210"/>
      <c r="Z423" s="210"/>
      <c r="AA423" s="210"/>
      <c r="AB423" s="210"/>
      <c r="AC423" s="210"/>
      <c r="AD423" s="210"/>
      <c r="AE423" s="210"/>
      <c r="AF423" s="210"/>
      <c r="AG423" s="210"/>
      <c r="AH423" s="210"/>
      <c r="AI423" s="210"/>
      <c r="AJ423" s="210"/>
      <c r="AK423" s="210"/>
      <c r="AL423" s="210"/>
      <c r="AM423" s="214"/>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c r="BU423" s="210"/>
      <c r="BV423" s="210"/>
      <c r="BW423" s="210"/>
      <c r="BX423" s="210"/>
      <c r="BY423" s="210"/>
      <c r="BZ423" s="210"/>
      <c r="CA423" s="210"/>
      <c r="CB423" s="210"/>
      <c r="CC423" s="210"/>
      <c r="CD423" s="210"/>
      <c r="CE423" s="210"/>
      <c r="CF423" s="210"/>
      <c r="CG423" s="210"/>
      <c r="CH423" s="210"/>
      <c r="CI423" s="210"/>
      <c r="CJ423" s="210"/>
      <c r="CK423" s="210"/>
    </row>
    <row r="424">
      <c r="A424" s="222" t="s">
        <v>429</v>
      </c>
      <c r="B424" s="190" t="s">
        <v>430</v>
      </c>
      <c r="C424" s="223" t="s">
        <v>86</v>
      </c>
      <c r="D424" s="223" t="s">
        <v>879</v>
      </c>
      <c r="E424" s="190" t="s">
        <v>21</v>
      </c>
      <c r="F424" s="13" t="s">
        <v>927</v>
      </c>
      <c r="G424" s="13" t="s">
        <v>918</v>
      </c>
      <c r="H424" s="219">
        <f>IFERROR(
  MINIFS(ATTENDANCE_LOG!$F:$F,
         ATTENDANCE_LOG!$A:$A, C424,
         ATTENDANCE_LOG!$B:$B, E424),
"")</f>
        <v>45930.41667</v>
      </c>
      <c r="I424" s="219">
        <f t="shared" si="2"/>
        <v>45805.375</v>
      </c>
      <c r="J424" s="190">
        <f>IFERROR(VLOOKUP(F424, LEVEL_HELPER!$A:$B, 2, 0), "")</f>
        <v>1</v>
      </c>
      <c r="K424" s="190">
        <f>IFERROR(VLOOKUP(G424, LEVEL_HELPER!$A:$B, 2, 0), "")</f>
        <v>3</v>
      </c>
      <c r="L424" s="220" t="s">
        <v>944</v>
      </c>
      <c r="M424" s="220" t="s">
        <v>924</v>
      </c>
      <c r="N424" s="190">
        <f t="array" ref="N424">IFERROR(
  INDEX($J$2:$J$543,
    MATCH(A424&amp;TEXT(I424,"yyyy-mm-dd"),
          $A$2:$A$543&amp;TEXT($H$2:$H$543,"yyyy-mm-dd"),
          0)),
"")</f>
        <v>0.5</v>
      </c>
      <c r="O424" s="210">
        <f t="shared" si="3"/>
        <v>3</v>
      </c>
      <c r="P424" s="210">
        <f t="shared" ref="P424:Q424" si="434">IF(N424="",0,IF(N424&lt;=2,1,IF(N424&lt;=4,2,IF(N424&lt;=5.5,3,4))))</f>
        <v>1</v>
      </c>
      <c r="Q424" s="210">
        <f t="shared" si="434"/>
        <v>2</v>
      </c>
      <c r="R424" s="210" t="str">
        <f t="shared" si="5"/>
        <v>Lv1 → Lv2</v>
      </c>
      <c r="S424" s="210">
        <f t="shared" si="6"/>
        <v>0</v>
      </c>
      <c r="T424" s="210"/>
      <c r="U424" s="210"/>
      <c r="V424" s="210"/>
      <c r="W424" s="210"/>
      <c r="X424" s="210"/>
      <c r="Y424" s="210"/>
      <c r="Z424" s="210"/>
      <c r="AA424" s="210"/>
      <c r="AB424" s="210"/>
      <c r="AC424" s="210"/>
      <c r="AD424" s="210"/>
      <c r="AE424" s="210"/>
      <c r="AF424" s="210"/>
      <c r="AG424" s="210"/>
      <c r="AH424" s="210"/>
      <c r="AI424" s="210"/>
      <c r="AJ424" s="210"/>
      <c r="AK424" s="210"/>
      <c r="AL424" s="210"/>
      <c r="AM424" s="214"/>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c r="BU424" s="210"/>
      <c r="BV424" s="210"/>
      <c r="BW424" s="210"/>
      <c r="BX424" s="210"/>
      <c r="BY424" s="210"/>
      <c r="BZ424" s="210"/>
      <c r="CA424" s="210"/>
      <c r="CB424" s="210"/>
      <c r="CC424" s="210"/>
      <c r="CD424" s="210"/>
      <c r="CE424" s="210"/>
      <c r="CF424" s="210"/>
      <c r="CG424" s="210"/>
      <c r="CH424" s="210"/>
      <c r="CI424" s="210"/>
      <c r="CJ424" s="210"/>
      <c r="CK424" s="210"/>
    </row>
    <row r="425">
      <c r="A425" s="222" t="s">
        <v>538</v>
      </c>
      <c r="B425" s="190" t="s">
        <v>539</v>
      </c>
      <c r="C425" s="223" t="s">
        <v>86</v>
      </c>
      <c r="D425" s="223" t="s">
        <v>879</v>
      </c>
      <c r="E425" s="190" t="s">
        <v>21</v>
      </c>
      <c r="F425" s="13" t="s">
        <v>927</v>
      </c>
      <c r="G425" s="13" t="s">
        <v>918</v>
      </c>
      <c r="H425" s="219">
        <f>IFERROR(
  MINIFS(ATTENDANCE_LOG!$F:$F,
         ATTENDANCE_LOG!$A:$A, C425,
         ATTENDANCE_LOG!$B:$B, E425),
"")</f>
        <v>45930.41667</v>
      </c>
      <c r="I425" s="219">
        <f t="shared" si="2"/>
        <v>45805.375</v>
      </c>
      <c r="J425" s="190">
        <f>IFERROR(VLOOKUP(F425, LEVEL_HELPER!$A:$B, 2, 0), "")</f>
        <v>1</v>
      </c>
      <c r="K425" s="190">
        <f>IFERROR(VLOOKUP(G425, LEVEL_HELPER!$A:$B, 2, 0), "")</f>
        <v>3</v>
      </c>
      <c r="L425" s="220" t="s">
        <v>943</v>
      </c>
      <c r="M425" s="220" t="s">
        <v>924</v>
      </c>
      <c r="N425" s="190">
        <f t="array" ref="N425">IFERROR(
  INDEX($J$2:$J$543,
    MATCH(A425&amp;TEXT(I425,"yyyy-mm-dd"),
          $A$2:$A$543&amp;TEXT($H$2:$H$543,"yyyy-mm-dd"),
          0)),
"")</f>
        <v>0.5</v>
      </c>
      <c r="O425" s="210">
        <f t="shared" si="3"/>
        <v>3</v>
      </c>
      <c r="P425" s="210">
        <f t="shared" ref="P425:Q425" si="435">IF(N425="",0,IF(N425&lt;=2,1,IF(N425&lt;=4,2,IF(N425&lt;=5.5,3,4))))</f>
        <v>1</v>
      </c>
      <c r="Q425" s="210">
        <f t="shared" si="435"/>
        <v>2</v>
      </c>
      <c r="R425" s="210" t="str">
        <f t="shared" si="5"/>
        <v>Lv1 → Lv2</v>
      </c>
      <c r="S425" s="210">
        <f t="shared" si="6"/>
        <v>0</v>
      </c>
      <c r="T425" s="210"/>
      <c r="U425" s="210"/>
      <c r="V425" s="210"/>
      <c r="W425" s="210"/>
      <c r="X425" s="210"/>
      <c r="Y425" s="210"/>
      <c r="Z425" s="210"/>
      <c r="AA425" s="210"/>
      <c r="AB425" s="210"/>
      <c r="AC425" s="210"/>
      <c r="AD425" s="210"/>
      <c r="AE425" s="210"/>
      <c r="AF425" s="210"/>
      <c r="AG425" s="210"/>
      <c r="AH425" s="210"/>
      <c r="AI425" s="210"/>
      <c r="AJ425" s="210"/>
      <c r="AK425" s="210"/>
      <c r="AL425" s="210"/>
      <c r="AM425" s="214"/>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c r="BU425" s="210"/>
      <c r="BV425" s="210"/>
      <c r="BW425" s="210"/>
      <c r="BX425" s="210"/>
      <c r="BY425" s="210"/>
      <c r="BZ425" s="210"/>
      <c r="CA425" s="210"/>
      <c r="CB425" s="210"/>
      <c r="CC425" s="210"/>
      <c r="CD425" s="210"/>
      <c r="CE425" s="210"/>
      <c r="CF425" s="210"/>
      <c r="CG425" s="210"/>
      <c r="CH425" s="210"/>
      <c r="CI425" s="210"/>
      <c r="CJ425" s="210"/>
      <c r="CK425" s="210"/>
    </row>
    <row r="426">
      <c r="A426" s="222" t="s">
        <v>629</v>
      </c>
      <c r="B426" s="190" t="s">
        <v>630</v>
      </c>
      <c r="C426" s="223" t="s">
        <v>86</v>
      </c>
      <c r="D426" s="223" t="s">
        <v>879</v>
      </c>
      <c r="E426" s="190" t="s">
        <v>21</v>
      </c>
      <c r="F426" s="190"/>
      <c r="G426" s="190"/>
      <c r="H426" s="219">
        <f>IFERROR(
  MINIFS(ATTENDANCE_LOG!$F:$F,
         ATTENDANCE_LOG!$A:$A, C426,
         ATTENDANCE_LOG!$B:$B, E426),
"")</f>
        <v>45930.41667</v>
      </c>
      <c r="I426" s="219">
        <f t="shared" si="2"/>
        <v>45805.375</v>
      </c>
      <c r="J426" s="190" t="str">
        <f>IFERROR(VLOOKUP(F426, LEVEL_HELPER!$A:$B, 2, 0), "")</f>
        <v/>
      </c>
      <c r="K426" s="190" t="str">
        <f>IFERROR(VLOOKUP(G426, LEVEL_HELPER!$A:$B, 2, 0), "")</f>
        <v/>
      </c>
      <c r="L426" s="220" t="s">
        <v>943</v>
      </c>
      <c r="M426" s="220" t="s">
        <v>924</v>
      </c>
      <c r="N426" s="190">
        <f t="array" ref="N426">IFERROR(
  INDEX($J$2:$J$543,
    MATCH(A426&amp;TEXT(I426,"yyyy-mm-dd"),
          $A$2:$A$543&amp;TEXT($H$2:$H$543,"yyyy-mm-dd"),
          0)),
"")</f>
        <v>0.5</v>
      </c>
      <c r="O426" s="210">
        <f t="shared" si="3"/>
        <v>0.5</v>
      </c>
      <c r="P426" s="210">
        <f t="shared" ref="P426:Q426" si="436">IF(N426="",0,IF(N426&lt;=2,1,IF(N426&lt;=4,2,IF(N426&lt;=5.5,3,4))))</f>
        <v>1</v>
      </c>
      <c r="Q426" s="210">
        <f t="shared" si="436"/>
        <v>1</v>
      </c>
      <c r="R426" s="210" t="str">
        <f t="shared" si="5"/>
        <v>No Progress</v>
      </c>
      <c r="S426" s="210">
        <f t="shared" si="6"/>
        <v>0</v>
      </c>
      <c r="T426" s="210"/>
      <c r="U426" s="210"/>
      <c r="V426" s="210"/>
      <c r="W426" s="210"/>
      <c r="X426" s="210"/>
      <c r="Y426" s="210"/>
      <c r="Z426" s="210"/>
      <c r="AA426" s="210"/>
      <c r="AB426" s="210"/>
      <c r="AC426" s="210"/>
      <c r="AD426" s="210"/>
      <c r="AE426" s="210"/>
      <c r="AF426" s="210"/>
      <c r="AG426" s="210"/>
      <c r="AH426" s="210"/>
      <c r="AI426" s="210"/>
      <c r="AJ426" s="210"/>
      <c r="AK426" s="210"/>
      <c r="AL426" s="210"/>
      <c r="AM426" s="214"/>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c r="BU426" s="210"/>
      <c r="BV426" s="210"/>
      <c r="BW426" s="210"/>
      <c r="BX426" s="210"/>
      <c r="BY426" s="210"/>
      <c r="BZ426" s="210"/>
      <c r="CA426" s="210"/>
      <c r="CB426" s="210"/>
      <c r="CC426" s="210"/>
      <c r="CD426" s="210"/>
      <c r="CE426" s="210"/>
      <c r="CF426" s="210"/>
      <c r="CG426" s="210"/>
      <c r="CH426" s="210"/>
      <c r="CI426" s="210"/>
      <c r="CJ426" s="210"/>
      <c r="CK426" s="210"/>
    </row>
    <row r="427">
      <c r="A427" s="222" t="s">
        <v>679</v>
      </c>
      <c r="B427" s="190" t="s">
        <v>680</v>
      </c>
      <c r="C427" s="223" t="s">
        <v>86</v>
      </c>
      <c r="D427" s="223" t="s">
        <v>879</v>
      </c>
      <c r="E427" s="190" t="s">
        <v>21</v>
      </c>
      <c r="F427" s="13" t="s">
        <v>927</v>
      </c>
      <c r="G427" s="13" t="s">
        <v>935</v>
      </c>
      <c r="H427" s="219">
        <f>IFERROR(
  MINIFS(ATTENDANCE_LOG!$F:$F,
         ATTENDANCE_LOG!$A:$A, C427,
         ATTENDANCE_LOG!$B:$B, E427),
"")</f>
        <v>45930.41667</v>
      </c>
      <c r="I427" s="219">
        <f t="shared" si="2"/>
        <v>45805.375</v>
      </c>
      <c r="J427" s="190">
        <f>IFERROR(VLOOKUP(F427, LEVEL_HELPER!$A:$B, 2, 0), "")</f>
        <v>1</v>
      </c>
      <c r="K427" s="190">
        <f>IFERROR(VLOOKUP(G427, LEVEL_HELPER!$A:$B, 2, 0), "")</f>
        <v>3.5</v>
      </c>
      <c r="L427" s="220" t="s">
        <v>943</v>
      </c>
      <c r="M427" s="220" t="s">
        <v>924</v>
      </c>
      <c r="N427" s="190">
        <f t="array" ref="N427">IFERROR(
  INDEX($J$2:$J$543,
    MATCH(A427&amp;TEXT(I427,"yyyy-mm-dd"),
          $A$2:$A$543&amp;TEXT($H$2:$H$543,"yyyy-mm-dd"),
          0)),
"")</f>
        <v>0.5</v>
      </c>
      <c r="O427" s="210">
        <f t="shared" si="3"/>
        <v>3.5</v>
      </c>
      <c r="P427" s="210">
        <f t="shared" ref="P427:Q427" si="437">IF(N427="",0,IF(N427&lt;=2,1,IF(N427&lt;=4,2,IF(N427&lt;=5.5,3,4))))</f>
        <v>1</v>
      </c>
      <c r="Q427" s="210">
        <f t="shared" si="437"/>
        <v>2</v>
      </c>
      <c r="R427" s="210" t="str">
        <f t="shared" si="5"/>
        <v>Lv1 → Lv2</v>
      </c>
      <c r="S427" s="210">
        <f t="shared" si="6"/>
        <v>0</v>
      </c>
      <c r="T427" s="210"/>
      <c r="U427" s="210"/>
      <c r="V427" s="210"/>
      <c r="W427" s="210"/>
      <c r="X427" s="210"/>
      <c r="Y427" s="210"/>
      <c r="Z427" s="210"/>
      <c r="AA427" s="210"/>
      <c r="AB427" s="210"/>
      <c r="AC427" s="210"/>
      <c r="AD427" s="210"/>
      <c r="AE427" s="210"/>
      <c r="AF427" s="210"/>
      <c r="AG427" s="210"/>
      <c r="AH427" s="210"/>
      <c r="AI427" s="210"/>
      <c r="AJ427" s="210"/>
      <c r="AK427" s="210"/>
      <c r="AL427" s="210"/>
      <c r="AM427" s="214"/>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c r="BU427" s="210"/>
      <c r="BV427" s="210"/>
      <c r="BW427" s="210"/>
      <c r="BX427" s="210"/>
      <c r="BY427" s="210"/>
      <c r="BZ427" s="210"/>
      <c r="CA427" s="210"/>
      <c r="CB427" s="210"/>
      <c r="CC427" s="210"/>
      <c r="CD427" s="210"/>
      <c r="CE427" s="210"/>
      <c r="CF427" s="210"/>
      <c r="CG427" s="210"/>
      <c r="CH427" s="210"/>
      <c r="CI427" s="210"/>
      <c r="CJ427" s="210"/>
      <c r="CK427" s="210"/>
    </row>
    <row r="428">
      <c r="A428" s="222" t="s">
        <v>691</v>
      </c>
      <c r="B428" s="190" t="s">
        <v>692</v>
      </c>
      <c r="C428" s="223" t="s">
        <v>86</v>
      </c>
      <c r="D428" s="223" t="s">
        <v>879</v>
      </c>
      <c r="E428" s="190" t="s">
        <v>21</v>
      </c>
      <c r="F428" s="13" t="s">
        <v>927</v>
      </c>
      <c r="G428" s="13" t="s">
        <v>935</v>
      </c>
      <c r="H428" s="219">
        <f>IFERROR(
  MINIFS(ATTENDANCE_LOG!$F:$F,
         ATTENDANCE_LOG!$A:$A, C428,
         ATTENDANCE_LOG!$B:$B, E428),
"")</f>
        <v>45930.41667</v>
      </c>
      <c r="I428" s="219">
        <f t="shared" si="2"/>
        <v>45805.375</v>
      </c>
      <c r="J428" s="190">
        <f>IFERROR(VLOOKUP(F428, LEVEL_HELPER!$A:$B, 2, 0), "")</f>
        <v>1</v>
      </c>
      <c r="K428" s="190">
        <f>IFERROR(VLOOKUP(G428, LEVEL_HELPER!$A:$B, 2, 0), "")</f>
        <v>3.5</v>
      </c>
      <c r="L428" s="220" t="s">
        <v>943</v>
      </c>
      <c r="M428" s="220" t="s">
        <v>924</v>
      </c>
      <c r="N428" s="190">
        <f t="array" ref="N428">IFERROR(
  INDEX($J$2:$J$543,
    MATCH(A428&amp;TEXT(I428,"yyyy-mm-dd"),
          $A$2:$A$543&amp;TEXT($H$2:$H$543,"yyyy-mm-dd"),
          0)),
"")</f>
        <v>0.5</v>
      </c>
      <c r="O428" s="210">
        <f t="shared" si="3"/>
        <v>3.5</v>
      </c>
      <c r="P428" s="210">
        <f t="shared" ref="P428:Q428" si="438">IF(N428="",0,IF(N428&lt;=2,1,IF(N428&lt;=4,2,IF(N428&lt;=5.5,3,4))))</f>
        <v>1</v>
      </c>
      <c r="Q428" s="210">
        <f t="shared" si="438"/>
        <v>2</v>
      </c>
      <c r="R428" s="210" t="str">
        <f t="shared" si="5"/>
        <v>Lv1 → Lv2</v>
      </c>
      <c r="S428" s="210">
        <f t="shared" si="6"/>
        <v>0</v>
      </c>
      <c r="T428" s="210"/>
      <c r="U428" s="210"/>
      <c r="V428" s="210"/>
      <c r="W428" s="210"/>
      <c r="X428" s="210"/>
      <c r="Y428" s="210"/>
      <c r="Z428" s="210"/>
      <c r="AA428" s="210"/>
      <c r="AB428" s="210"/>
      <c r="AC428" s="210"/>
      <c r="AD428" s="210"/>
      <c r="AE428" s="210"/>
      <c r="AF428" s="210"/>
      <c r="AG428" s="210"/>
      <c r="AH428" s="210"/>
      <c r="AI428" s="210"/>
      <c r="AJ428" s="210"/>
      <c r="AK428" s="210"/>
      <c r="AL428" s="210"/>
      <c r="AM428" s="214"/>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c r="BU428" s="210"/>
      <c r="BV428" s="210"/>
      <c r="BW428" s="210"/>
      <c r="BX428" s="210"/>
      <c r="BY428" s="210"/>
      <c r="BZ428" s="210"/>
      <c r="CA428" s="210"/>
      <c r="CB428" s="210"/>
      <c r="CC428" s="210"/>
      <c r="CD428" s="210"/>
      <c r="CE428" s="210"/>
      <c r="CF428" s="210"/>
      <c r="CG428" s="210"/>
      <c r="CH428" s="210"/>
      <c r="CI428" s="210"/>
      <c r="CJ428" s="210"/>
      <c r="CK428" s="210"/>
    </row>
    <row r="429">
      <c r="A429" s="216" t="s">
        <v>407</v>
      </c>
      <c r="B429" s="217" t="s">
        <v>408</v>
      </c>
      <c r="C429" s="218" t="s">
        <v>86</v>
      </c>
      <c r="D429" s="218" t="s">
        <v>879</v>
      </c>
      <c r="E429" s="217" t="s">
        <v>22</v>
      </c>
      <c r="F429" s="190"/>
      <c r="G429" s="190"/>
      <c r="H429" s="219">
        <f>IFERROR(
  MINIFS(ATTENDANCE_LOG!$F:$F,
         ATTENDANCE_LOG!$A:$A, C429,
         ATTENDANCE_LOG!$B:$B, E429),
"")</f>
        <v>46098.625</v>
      </c>
      <c r="I429" s="219">
        <f t="shared" si="2"/>
        <v>45805.375</v>
      </c>
      <c r="J429" s="190" t="str">
        <f>IFERROR(VLOOKUP(F429, LEVEL_HELPER!$A:$B, 2, 0), "")</f>
        <v/>
      </c>
      <c r="K429" s="190" t="str">
        <f>IFERROR(VLOOKUP(G429, LEVEL_HELPER!$A:$B, 2, 0), "")</f>
        <v/>
      </c>
      <c r="L429" s="220" t="s">
        <v>943</v>
      </c>
      <c r="M429" s="220" t="s">
        <v>924</v>
      </c>
      <c r="N429" s="190">
        <f t="array" ref="N429">IFERROR(
  INDEX($J$2:$J$543,
    MATCH(A429&amp;TEXT(I429,"yyyy-mm-dd"),
          $A$2:$A$543&amp;TEXT($H$2:$H$543,"yyyy-mm-dd"),
          0)),
"")</f>
        <v>0.5</v>
      </c>
      <c r="O429" s="210">
        <f t="shared" si="3"/>
        <v>3</v>
      </c>
      <c r="P429" s="210">
        <f t="shared" ref="P429:Q429" si="439">IF(N429="",0,IF(N429&lt;=2,1,IF(N429&lt;=4,2,IF(N429&lt;=5.5,3,4))))</f>
        <v>1</v>
      </c>
      <c r="Q429" s="210">
        <f t="shared" si="439"/>
        <v>2</v>
      </c>
      <c r="R429" s="210" t="str">
        <f t="shared" si="5"/>
        <v>Lv1 → Lv2</v>
      </c>
      <c r="S429" s="210">
        <f t="shared" si="6"/>
        <v>0</v>
      </c>
      <c r="T429" s="210"/>
      <c r="U429" s="210"/>
      <c r="V429" s="210"/>
      <c r="W429" s="210"/>
      <c r="X429" s="210"/>
      <c r="Y429" s="210"/>
      <c r="Z429" s="210"/>
      <c r="AA429" s="210"/>
      <c r="AB429" s="210"/>
      <c r="AC429" s="210"/>
      <c r="AD429" s="210"/>
      <c r="AE429" s="210"/>
      <c r="AF429" s="210"/>
      <c r="AG429" s="210"/>
      <c r="AH429" s="210"/>
      <c r="AI429" s="210"/>
      <c r="AJ429" s="210"/>
      <c r="AK429" s="210"/>
      <c r="AL429" s="210"/>
      <c r="AM429" s="214"/>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c r="BU429" s="210"/>
      <c r="BV429" s="210"/>
      <c r="BW429" s="210"/>
      <c r="BX429" s="210"/>
      <c r="BY429" s="210"/>
      <c r="BZ429" s="210"/>
      <c r="CA429" s="210"/>
      <c r="CB429" s="210"/>
      <c r="CC429" s="210"/>
      <c r="CD429" s="210"/>
      <c r="CE429" s="210"/>
      <c r="CF429" s="210"/>
      <c r="CG429" s="210"/>
      <c r="CH429" s="210"/>
      <c r="CI429" s="210"/>
      <c r="CJ429" s="210"/>
      <c r="CK429" s="210"/>
    </row>
    <row r="430">
      <c r="A430" s="222" t="s">
        <v>429</v>
      </c>
      <c r="B430" s="190" t="s">
        <v>430</v>
      </c>
      <c r="C430" s="223" t="s">
        <v>86</v>
      </c>
      <c r="D430" s="223" t="s">
        <v>879</v>
      </c>
      <c r="E430" s="190" t="s">
        <v>22</v>
      </c>
      <c r="F430" s="190"/>
      <c r="G430" s="190"/>
      <c r="H430" s="219">
        <f>IFERROR(
  MINIFS(ATTENDANCE_LOG!$F:$F,
         ATTENDANCE_LOG!$A:$A, C430,
         ATTENDANCE_LOG!$B:$B, E430),
"")</f>
        <v>46098.625</v>
      </c>
      <c r="I430" s="219">
        <f t="shared" si="2"/>
        <v>45805.375</v>
      </c>
      <c r="J430" s="190" t="str">
        <f>IFERROR(VLOOKUP(F430, LEVEL_HELPER!$A:$B, 2, 0), "")</f>
        <v/>
      </c>
      <c r="K430" s="190" t="str">
        <f>IFERROR(VLOOKUP(G430, LEVEL_HELPER!$A:$B, 2, 0), "")</f>
        <v/>
      </c>
      <c r="L430" s="220" t="s">
        <v>944</v>
      </c>
      <c r="M430" s="220" t="s">
        <v>924</v>
      </c>
      <c r="N430" s="190">
        <f t="array" ref="N430">IFERROR(
  INDEX($J$2:$J$543,
    MATCH(A430&amp;TEXT(I430,"yyyy-mm-dd"),
          $A$2:$A$543&amp;TEXT($H$2:$H$543,"yyyy-mm-dd"),
          0)),
"")</f>
        <v>0.5</v>
      </c>
      <c r="O430" s="210">
        <f t="shared" si="3"/>
        <v>3</v>
      </c>
      <c r="P430" s="210">
        <f t="shared" ref="P430:Q430" si="440">IF(N430="",0,IF(N430&lt;=2,1,IF(N430&lt;=4,2,IF(N430&lt;=5.5,3,4))))</f>
        <v>1</v>
      </c>
      <c r="Q430" s="210">
        <f t="shared" si="440"/>
        <v>2</v>
      </c>
      <c r="R430" s="210" t="str">
        <f t="shared" si="5"/>
        <v>Lv1 → Lv2</v>
      </c>
      <c r="S430" s="210">
        <f t="shared" si="6"/>
        <v>0</v>
      </c>
      <c r="T430" s="210"/>
      <c r="U430" s="210"/>
      <c r="V430" s="210"/>
      <c r="W430" s="210"/>
      <c r="X430" s="210"/>
      <c r="Y430" s="210"/>
      <c r="Z430" s="210"/>
      <c r="AA430" s="210"/>
      <c r="AB430" s="210"/>
      <c r="AC430" s="210"/>
      <c r="AD430" s="210"/>
      <c r="AE430" s="210"/>
      <c r="AF430" s="210"/>
      <c r="AG430" s="210"/>
      <c r="AH430" s="210"/>
      <c r="AI430" s="210"/>
      <c r="AJ430" s="210"/>
      <c r="AK430" s="210"/>
      <c r="AL430" s="210"/>
      <c r="AM430" s="214"/>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c r="BU430" s="210"/>
      <c r="BV430" s="210"/>
      <c r="BW430" s="210"/>
      <c r="BX430" s="210"/>
      <c r="BY430" s="210"/>
      <c r="BZ430" s="210"/>
      <c r="CA430" s="210"/>
      <c r="CB430" s="210"/>
      <c r="CC430" s="210"/>
      <c r="CD430" s="210"/>
      <c r="CE430" s="210"/>
      <c r="CF430" s="210"/>
      <c r="CG430" s="210"/>
      <c r="CH430" s="210"/>
      <c r="CI430" s="210"/>
      <c r="CJ430" s="210"/>
      <c r="CK430" s="210"/>
    </row>
    <row r="431">
      <c r="A431" s="222" t="s">
        <v>538</v>
      </c>
      <c r="B431" s="190" t="s">
        <v>539</v>
      </c>
      <c r="C431" s="223" t="s">
        <v>86</v>
      </c>
      <c r="D431" s="223" t="s">
        <v>879</v>
      </c>
      <c r="E431" s="190" t="s">
        <v>22</v>
      </c>
      <c r="F431" s="190"/>
      <c r="G431" s="190"/>
      <c r="H431" s="219">
        <f>IFERROR(
  MINIFS(ATTENDANCE_LOG!$F:$F,
         ATTENDANCE_LOG!$A:$A, C431,
         ATTENDANCE_LOG!$B:$B, E431),
"")</f>
        <v>46098.625</v>
      </c>
      <c r="I431" s="219">
        <f t="shared" si="2"/>
        <v>45805.375</v>
      </c>
      <c r="J431" s="190" t="str">
        <f>IFERROR(VLOOKUP(F431, LEVEL_HELPER!$A:$B, 2, 0), "")</f>
        <v/>
      </c>
      <c r="K431" s="190" t="str">
        <f>IFERROR(VLOOKUP(G431, LEVEL_HELPER!$A:$B, 2, 0), "")</f>
        <v/>
      </c>
      <c r="L431" s="220" t="s">
        <v>943</v>
      </c>
      <c r="M431" s="220" t="s">
        <v>924</v>
      </c>
      <c r="N431" s="190">
        <f t="array" ref="N431">IFERROR(
  INDEX($J$2:$J$543,
    MATCH(A431&amp;TEXT(I431,"yyyy-mm-dd"),
          $A$2:$A$543&amp;TEXT($H$2:$H$543,"yyyy-mm-dd"),
          0)),
"")</f>
        <v>0.5</v>
      </c>
      <c r="O431" s="210">
        <f t="shared" si="3"/>
        <v>3</v>
      </c>
      <c r="P431" s="210">
        <f t="shared" ref="P431:Q431" si="441">IF(N431="",0,IF(N431&lt;=2,1,IF(N431&lt;=4,2,IF(N431&lt;=5.5,3,4))))</f>
        <v>1</v>
      </c>
      <c r="Q431" s="210">
        <f t="shared" si="441"/>
        <v>2</v>
      </c>
      <c r="R431" s="210" t="str">
        <f t="shared" si="5"/>
        <v>Lv1 → Lv2</v>
      </c>
      <c r="S431" s="210">
        <f t="shared" si="6"/>
        <v>0</v>
      </c>
      <c r="T431" s="210"/>
      <c r="U431" s="210"/>
      <c r="V431" s="210"/>
      <c r="W431" s="210"/>
      <c r="X431" s="210"/>
      <c r="Y431" s="210"/>
      <c r="Z431" s="210"/>
      <c r="AA431" s="210"/>
      <c r="AB431" s="210"/>
      <c r="AC431" s="210"/>
      <c r="AD431" s="210"/>
      <c r="AE431" s="210"/>
      <c r="AF431" s="210"/>
      <c r="AG431" s="210"/>
      <c r="AH431" s="210"/>
      <c r="AI431" s="210"/>
      <c r="AJ431" s="210"/>
      <c r="AK431" s="210"/>
      <c r="AL431" s="210"/>
      <c r="AM431" s="214"/>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c r="BU431" s="210"/>
      <c r="BV431" s="210"/>
      <c r="BW431" s="210"/>
      <c r="BX431" s="210"/>
      <c r="BY431" s="210"/>
      <c r="BZ431" s="210"/>
      <c r="CA431" s="210"/>
      <c r="CB431" s="210"/>
      <c r="CC431" s="210"/>
      <c r="CD431" s="210"/>
      <c r="CE431" s="210"/>
      <c r="CF431" s="210"/>
      <c r="CG431" s="210"/>
      <c r="CH431" s="210"/>
      <c r="CI431" s="210"/>
      <c r="CJ431" s="210"/>
      <c r="CK431" s="210"/>
    </row>
    <row r="432">
      <c r="A432" s="222" t="s">
        <v>691</v>
      </c>
      <c r="B432" s="190" t="s">
        <v>692</v>
      </c>
      <c r="C432" s="223" t="s">
        <v>86</v>
      </c>
      <c r="D432" s="223" t="s">
        <v>879</v>
      </c>
      <c r="E432" s="190" t="s">
        <v>22</v>
      </c>
      <c r="F432" s="190"/>
      <c r="G432" s="190"/>
      <c r="H432" s="219">
        <f>IFERROR(
  MINIFS(ATTENDANCE_LOG!$F:$F,
         ATTENDANCE_LOG!$A:$A, C432,
         ATTENDANCE_LOG!$B:$B, E432),
"")</f>
        <v>46098.625</v>
      </c>
      <c r="I432" s="219">
        <f t="shared" si="2"/>
        <v>45805.375</v>
      </c>
      <c r="J432" s="190" t="str">
        <f>IFERROR(VLOOKUP(F432, LEVEL_HELPER!$A:$B, 2, 0), "")</f>
        <v/>
      </c>
      <c r="K432" s="190" t="str">
        <f>IFERROR(VLOOKUP(G432, LEVEL_HELPER!$A:$B, 2, 0), "")</f>
        <v/>
      </c>
      <c r="L432" s="220" t="s">
        <v>943</v>
      </c>
      <c r="M432" s="220" t="s">
        <v>924</v>
      </c>
      <c r="N432" s="190">
        <f t="array" ref="N432">IFERROR(
  INDEX($J$2:$J$543,
    MATCH(A432&amp;TEXT(I432,"yyyy-mm-dd"),
          $A$2:$A$543&amp;TEXT($H$2:$H$543,"yyyy-mm-dd"),
          0)),
"")</f>
        <v>0.5</v>
      </c>
      <c r="O432" s="210">
        <f t="shared" si="3"/>
        <v>3.5</v>
      </c>
      <c r="P432" s="210">
        <f t="shared" ref="P432:Q432" si="442">IF(N432="",0,IF(N432&lt;=2,1,IF(N432&lt;=4,2,IF(N432&lt;=5.5,3,4))))</f>
        <v>1</v>
      </c>
      <c r="Q432" s="210">
        <f t="shared" si="442"/>
        <v>2</v>
      </c>
      <c r="R432" s="210" t="str">
        <f t="shared" si="5"/>
        <v>Lv1 → Lv2</v>
      </c>
      <c r="S432" s="210">
        <f t="shared" si="6"/>
        <v>0</v>
      </c>
      <c r="T432" s="210"/>
      <c r="U432" s="210"/>
      <c r="V432" s="210"/>
      <c r="W432" s="210"/>
      <c r="X432" s="210"/>
      <c r="Y432" s="210"/>
      <c r="Z432" s="210"/>
      <c r="AA432" s="210"/>
      <c r="AB432" s="210"/>
      <c r="AC432" s="210"/>
      <c r="AD432" s="210"/>
      <c r="AE432" s="210"/>
      <c r="AF432" s="210"/>
      <c r="AG432" s="210"/>
      <c r="AH432" s="210"/>
      <c r="AI432" s="210"/>
      <c r="AJ432" s="210"/>
      <c r="AK432" s="210"/>
      <c r="AL432" s="210"/>
      <c r="AM432" s="214"/>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c r="BU432" s="210"/>
      <c r="BV432" s="210"/>
      <c r="BW432" s="210"/>
      <c r="BX432" s="210"/>
      <c r="BY432" s="210"/>
      <c r="BZ432" s="210"/>
      <c r="CA432" s="210"/>
      <c r="CB432" s="210"/>
      <c r="CC432" s="210"/>
      <c r="CD432" s="210"/>
      <c r="CE432" s="210"/>
      <c r="CF432" s="210"/>
      <c r="CG432" s="210"/>
      <c r="CH432" s="210"/>
      <c r="CI432" s="210"/>
      <c r="CJ432" s="210"/>
      <c r="CK432" s="210"/>
    </row>
    <row r="433">
      <c r="A433" s="216" t="s">
        <v>383</v>
      </c>
      <c r="B433" s="217" t="s">
        <v>384</v>
      </c>
      <c r="C433" s="218" t="s">
        <v>87</v>
      </c>
      <c r="D433" s="218" t="s">
        <v>880</v>
      </c>
      <c r="E433" s="217" t="s">
        <v>21</v>
      </c>
      <c r="F433" s="242" t="s">
        <v>932</v>
      </c>
      <c r="G433" s="242" t="s">
        <v>938</v>
      </c>
      <c r="H433" s="219">
        <f>IFERROR(
  MINIFS(ATTENDANCE_LOG!$F:$F,
         ATTENDANCE_LOG!$A:$A, C433,
         ATTENDANCE_LOG!$B:$B, E433),
"")</f>
        <v>45813.45833</v>
      </c>
      <c r="I433" s="219">
        <f t="shared" si="2"/>
        <v>45813.45833</v>
      </c>
      <c r="J433" s="217">
        <f>IFERROR(VLOOKUP(F433, LEVEL_HELPER!$A:$B, 2, 0), "")</f>
        <v>4.5</v>
      </c>
      <c r="K433" s="217">
        <f>IFERROR(VLOOKUP(G433, LEVEL_HELPER!$A:$B, 2, 0), "")</f>
        <v>5.5</v>
      </c>
      <c r="L433" s="247" t="s">
        <v>942</v>
      </c>
      <c r="M433" s="247" t="s">
        <v>926</v>
      </c>
      <c r="N433" s="190">
        <f t="array" ref="N433">IFERROR(
  INDEX($J$2:$J$543,
    MATCH(A433&amp;TEXT(I433,"yyyy-mm-dd"),
          $A$2:$A$543&amp;TEXT($H$2:$H$543,"yyyy-mm-dd"),
          0)),
"")</f>
        <v>4.5</v>
      </c>
      <c r="O433" s="248">
        <f t="shared" si="3"/>
        <v>5.5</v>
      </c>
      <c r="P433" s="210">
        <f t="shared" ref="P433:Q433" si="443">IF(N433="",0,IF(N433&lt;=2,1,IF(N433&lt;=4,2,IF(N433&lt;=5.5,3,4))))</f>
        <v>3</v>
      </c>
      <c r="Q433" s="210">
        <f t="shared" si="443"/>
        <v>3</v>
      </c>
      <c r="R433" s="210" t="str">
        <f t="shared" si="5"/>
        <v>Progress within level</v>
      </c>
      <c r="S433" s="210">
        <f t="shared" si="6"/>
        <v>0</v>
      </c>
      <c r="T433" s="210"/>
      <c r="U433" s="210"/>
      <c r="V433" s="210"/>
      <c r="W433" s="210"/>
      <c r="X433" s="210"/>
      <c r="Y433" s="210"/>
      <c r="Z433" s="210"/>
      <c r="AA433" s="210"/>
      <c r="AB433" s="210"/>
      <c r="AC433" s="210"/>
      <c r="AD433" s="210"/>
      <c r="AE433" s="210"/>
      <c r="AF433" s="210"/>
      <c r="AG433" s="210"/>
      <c r="AH433" s="210"/>
      <c r="AI433" s="210"/>
      <c r="AJ433" s="210"/>
      <c r="AK433" s="210"/>
      <c r="AL433" s="210"/>
      <c r="AM433" s="214"/>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c r="BU433" s="210"/>
      <c r="BV433" s="210"/>
      <c r="BW433" s="210"/>
      <c r="BX433" s="210"/>
      <c r="BY433" s="210"/>
      <c r="BZ433" s="210"/>
      <c r="CA433" s="210"/>
      <c r="CB433" s="210"/>
      <c r="CC433" s="210"/>
      <c r="CD433" s="210"/>
      <c r="CE433" s="210"/>
      <c r="CF433" s="210"/>
      <c r="CG433" s="210"/>
      <c r="CH433" s="210"/>
      <c r="CI433" s="210"/>
      <c r="CJ433" s="210"/>
      <c r="CK433" s="210"/>
    </row>
    <row r="434">
      <c r="A434" s="222" t="s">
        <v>389</v>
      </c>
      <c r="B434" s="190" t="s">
        <v>390</v>
      </c>
      <c r="C434" s="223" t="s">
        <v>87</v>
      </c>
      <c r="D434" s="223" t="s">
        <v>880</v>
      </c>
      <c r="E434" s="190" t="s">
        <v>21</v>
      </c>
      <c r="F434" s="13" t="s">
        <v>927</v>
      </c>
      <c r="G434" s="13" t="s">
        <v>918</v>
      </c>
      <c r="H434" s="219">
        <f>IFERROR(
  MINIFS(ATTENDANCE_LOG!$F:$F,
         ATTENDANCE_LOG!$A:$A, C434,
         ATTENDANCE_LOG!$B:$B, E434),
"")</f>
        <v>45813.45833</v>
      </c>
      <c r="I434" s="219">
        <f t="shared" si="2"/>
        <v>45813.45833</v>
      </c>
      <c r="J434" s="190">
        <f>IFERROR(VLOOKUP(F434, LEVEL_HELPER!$A:$B, 2, 0), "")</f>
        <v>1</v>
      </c>
      <c r="K434" s="190">
        <f>IFERROR(VLOOKUP(G434, LEVEL_HELPER!$A:$B, 2, 0), "")</f>
        <v>3</v>
      </c>
      <c r="L434" s="220" t="s">
        <v>947</v>
      </c>
      <c r="M434" s="220" t="s">
        <v>926</v>
      </c>
      <c r="N434" s="190">
        <f t="array" ref="N434">IFERROR(
  INDEX($J$2:$J$543,
    MATCH(A434&amp;TEXT(I434,"yyyy-mm-dd"),
          $A$2:$A$543&amp;TEXT($H$2:$H$543,"yyyy-mm-dd"),
          0)),
"")</f>
        <v>1</v>
      </c>
      <c r="O434" s="210">
        <f t="shared" si="3"/>
        <v>3</v>
      </c>
      <c r="P434" s="210">
        <f t="shared" ref="P434:Q434" si="444">IF(N434="",0,IF(N434&lt;=2,1,IF(N434&lt;=4,2,IF(N434&lt;=5.5,3,4))))</f>
        <v>1</v>
      </c>
      <c r="Q434" s="210">
        <f t="shared" si="444"/>
        <v>2</v>
      </c>
      <c r="R434" s="210" t="str">
        <f t="shared" si="5"/>
        <v>Lv1 → Lv2</v>
      </c>
      <c r="S434" s="210">
        <f t="shared" si="6"/>
        <v>1</v>
      </c>
      <c r="T434" s="210"/>
      <c r="U434" s="210"/>
      <c r="V434" s="210"/>
      <c r="W434" s="210"/>
      <c r="X434" s="210"/>
      <c r="Y434" s="210"/>
      <c r="Z434" s="210"/>
      <c r="AA434" s="210"/>
      <c r="AB434" s="210"/>
      <c r="AC434" s="210"/>
      <c r="AD434" s="210"/>
      <c r="AE434" s="210"/>
      <c r="AF434" s="210"/>
      <c r="AG434" s="210"/>
      <c r="AH434" s="210"/>
      <c r="AI434" s="210"/>
      <c r="AJ434" s="210"/>
      <c r="AK434" s="210"/>
      <c r="AL434" s="210"/>
      <c r="AM434" s="214"/>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c r="BU434" s="210"/>
      <c r="BV434" s="210"/>
      <c r="BW434" s="210"/>
      <c r="BX434" s="210"/>
      <c r="BY434" s="210"/>
      <c r="BZ434" s="210"/>
      <c r="CA434" s="210"/>
      <c r="CB434" s="210"/>
      <c r="CC434" s="210"/>
      <c r="CD434" s="210"/>
      <c r="CE434" s="210"/>
      <c r="CF434" s="210"/>
      <c r="CG434" s="210"/>
      <c r="CH434" s="210"/>
      <c r="CI434" s="210"/>
      <c r="CJ434" s="210"/>
      <c r="CK434" s="210"/>
    </row>
    <row r="435">
      <c r="A435" s="222" t="s">
        <v>637</v>
      </c>
      <c r="B435" s="190" t="s">
        <v>638</v>
      </c>
      <c r="C435" s="223" t="s">
        <v>87</v>
      </c>
      <c r="D435" s="223" t="s">
        <v>880</v>
      </c>
      <c r="E435" s="190" t="s">
        <v>21</v>
      </c>
      <c r="F435" s="13" t="s">
        <v>927</v>
      </c>
      <c r="G435" s="13" t="s">
        <v>918</v>
      </c>
      <c r="H435" s="219">
        <f>IFERROR(
  MINIFS(ATTENDANCE_LOG!$F:$F,
         ATTENDANCE_LOG!$A:$A, C435,
         ATTENDANCE_LOG!$B:$B, E435),
"")</f>
        <v>45813.45833</v>
      </c>
      <c r="I435" s="219">
        <f t="shared" si="2"/>
        <v>45813.45833</v>
      </c>
      <c r="J435" s="190">
        <f>IFERROR(VLOOKUP(F435, LEVEL_HELPER!$A:$B, 2, 0), "")</f>
        <v>1</v>
      </c>
      <c r="K435" s="190">
        <f>IFERROR(VLOOKUP(G435, LEVEL_HELPER!$A:$B, 2, 0), "")</f>
        <v>3</v>
      </c>
      <c r="L435" s="220" t="s">
        <v>943</v>
      </c>
      <c r="M435" s="220" t="s">
        <v>926</v>
      </c>
      <c r="N435" s="190">
        <f t="array" ref="N435">IFERROR(
  INDEX($J$2:$J$543,
    MATCH(A435&amp;TEXT(I435,"yyyy-mm-dd"),
          $A$2:$A$543&amp;TEXT($H$2:$H$543,"yyyy-mm-dd"),
          0)),
"")</f>
        <v>1</v>
      </c>
      <c r="O435" s="210">
        <f t="shared" si="3"/>
        <v>3</v>
      </c>
      <c r="P435" s="210">
        <f t="shared" ref="P435:Q435" si="445">IF(N435="",0,IF(N435&lt;=2,1,IF(N435&lt;=4,2,IF(N435&lt;=5.5,3,4))))</f>
        <v>1</v>
      </c>
      <c r="Q435" s="210">
        <f t="shared" si="445"/>
        <v>2</v>
      </c>
      <c r="R435" s="210" t="str">
        <f t="shared" si="5"/>
        <v>Lv1 → Lv2</v>
      </c>
      <c r="S435" s="210">
        <f t="shared" si="6"/>
        <v>1</v>
      </c>
      <c r="T435" s="210"/>
      <c r="U435" s="210"/>
      <c r="V435" s="210"/>
      <c r="W435" s="210"/>
      <c r="X435" s="210"/>
      <c r="Y435" s="210"/>
      <c r="Z435" s="210"/>
      <c r="AA435" s="210"/>
      <c r="AB435" s="210"/>
      <c r="AC435" s="210"/>
      <c r="AD435" s="210"/>
      <c r="AE435" s="210"/>
      <c r="AF435" s="210"/>
      <c r="AG435" s="210"/>
      <c r="AH435" s="210"/>
      <c r="AI435" s="210"/>
      <c r="AJ435" s="210"/>
      <c r="AK435" s="210"/>
      <c r="AL435" s="210"/>
      <c r="AM435" s="214"/>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c r="BU435" s="210"/>
      <c r="BV435" s="210"/>
      <c r="BW435" s="210"/>
      <c r="BX435" s="210"/>
      <c r="BY435" s="210"/>
      <c r="BZ435" s="210"/>
      <c r="CA435" s="210"/>
      <c r="CB435" s="210"/>
      <c r="CC435" s="210"/>
      <c r="CD435" s="210"/>
      <c r="CE435" s="210"/>
      <c r="CF435" s="210"/>
      <c r="CG435" s="210"/>
      <c r="CH435" s="210"/>
      <c r="CI435" s="210"/>
      <c r="CJ435" s="210"/>
      <c r="CK435" s="210"/>
    </row>
    <row r="436">
      <c r="A436" s="222" t="s">
        <v>663</v>
      </c>
      <c r="B436" s="190" t="s">
        <v>664</v>
      </c>
      <c r="C436" s="223" t="s">
        <v>87</v>
      </c>
      <c r="D436" s="223" t="s">
        <v>880</v>
      </c>
      <c r="E436" s="190" t="s">
        <v>21</v>
      </c>
      <c r="F436" s="13" t="s">
        <v>927</v>
      </c>
      <c r="G436" s="13" t="s">
        <v>927</v>
      </c>
      <c r="H436" s="219">
        <f>IFERROR(
  MINIFS(ATTENDANCE_LOG!$F:$F,
         ATTENDANCE_LOG!$A:$A, C436,
         ATTENDANCE_LOG!$B:$B, E436),
"")</f>
        <v>45813.45833</v>
      </c>
      <c r="I436" s="219">
        <f t="shared" si="2"/>
        <v>45813.45833</v>
      </c>
      <c r="J436" s="190">
        <f>IFERROR(VLOOKUP(F436, LEVEL_HELPER!$A:$B, 2, 0), "")</f>
        <v>1</v>
      </c>
      <c r="K436" s="190">
        <f>IFERROR(VLOOKUP(G436, LEVEL_HELPER!$A:$B, 2, 0), "")</f>
        <v>1</v>
      </c>
      <c r="L436" s="220" t="s">
        <v>943</v>
      </c>
      <c r="M436" s="220" t="s">
        <v>926</v>
      </c>
      <c r="N436" s="190">
        <f t="array" ref="N436">IFERROR(
  INDEX($J$2:$J$543,
    MATCH(A436&amp;TEXT(I436,"yyyy-mm-dd"),
          $A$2:$A$543&amp;TEXT($H$2:$H$543,"yyyy-mm-dd"),
          0)),
"")</f>
        <v>1</v>
      </c>
      <c r="O436" s="210">
        <f t="shared" si="3"/>
        <v>1</v>
      </c>
      <c r="P436" s="210">
        <f t="shared" ref="P436:Q436" si="446">IF(N436="",0,IF(N436&lt;=2,1,IF(N436&lt;=4,2,IF(N436&lt;=5.5,3,4))))</f>
        <v>1</v>
      </c>
      <c r="Q436" s="210">
        <f t="shared" si="446"/>
        <v>1</v>
      </c>
      <c r="R436" s="210" t="str">
        <f t="shared" si="5"/>
        <v>No Progress</v>
      </c>
      <c r="S436" s="210">
        <f t="shared" si="6"/>
        <v>1</v>
      </c>
      <c r="T436" s="210"/>
      <c r="U436" s="210"/>
      <c r="V436" s="210"/>
      <c r="W436" s="210"/>
      <c r="X436" s="210"/>
      <c r="Y436" s="210"/>
      <c r="Z436" s="210"/>
      <c r="AA436" s="210"/>
      <c r="AB436" s="210"/>
      <c r="AC436" s="210"/>
      <c r="AD436" s="210"/>
      <c r="AE436" s="210"/>
      <c r="AF436" s="210"/>
      <c r="AG436" s="210"/>
      <c r="AH436" s="210"/>
      <c r="AI436" s="210"/>
      <c r="AJ436" s="210"/>
      <c r="AK436" s="210"/>
      <c r="AL436" s="210"/>
      <c r="AM436" s="214"/>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c r="BU436" s="210"/>
      <c r="BV436" s="210"/>
      <c r="BW436" s="210"/>
      <c r="BX436" s="210"/>
      <c r="BY436" s="210"/>
      <c r="BZ436" s="210"/>
      <c r="CA436" s="210"/>
      <c r="CB436" s="210"/>
      <c r="CC436" s="210"/>
      <c r="CD436" s="210"/>
      <c r="CE436" s="210"/>
      <c r="CF436" s="210"/>
      <c r="CG436" s="210"/>
      <c r="CH436" s="210"/>
      <c r="CI436" s="210"/>
      <c r="CJ436" s="210"/>
      <c r="CK436" s="210"/>
    </row>
    <row r="437">
      <c r="A437" s="216" t="s">
        <v>383</v>
      </c>
      <c r="B437" s="217" t="s">
        <v>384</v>
      </c>
      <c r="C437" s="218" t="s">
        <v>87</v>
      </c>
      <c r="D437" s="218" t="s">
        <v>880</v>
      </c>
      <c r="E437" s="217" t="s">
        <v>22</v>
      </c>
      <c r="F437" s="242" t="s">
        <v>938</v>
      </c>
      <c r="G437" s="217"/>
      <c r="H437" s="219">
        <f>IFERROR(
  MINIFS(ATTENDANCE_LOG!$F:$F,
         ATTENDANCE_LOG!$A:$A, C437,
         ATTENDANCE_LOG!$B:$B, E437),
"")</f>
        <v>46038.41667</v>
      </c>
      <c r="I437" s="219">
        <f t="shared" si="2"/>
        <v>45813.45833</v>
      </c>
      <c r="J437" s="217">
        <f>IFERROR(VLOOKUP(F437, LEVEL_HELPER!$A:$B, 2, 0), "")</f>
        <v>5.5</v>
      </c>
      <c r="K437" s="217" t="str">
        <f>IFERROR(VLOOKUP(G437, LEVEL_HELPER!$A:$B, 2, 0), "")</f>
        <v/>
      </c>
      <c r="L437" s="247" t="s">
        <v>942</v>
      </c>
      <c r="M437" s="247" t="s">
        <v>926</v>
      </c>
      <c r="N437" s="190">
        <f t="array" ref="N437">IFERROR(
  INDEX($J$2:$J$543,
    MATCH(A437&amp;TEXT(I437,"yyyy-mm-dd"),
          $A$2:$A$543&amp;TEXT($H$2:$H$543,"yyyy-mm-dd"),
          0)),
"")</f>
        <v>4.5</v>
      </c>
      <c r="O437" s="248">
        <f t="shared" si="3"/>
        <v>5.5</v>
      </c>
      <c r="P437" s="210">
        <f t="shared" ref="P437:Q437" si="447">IF(N437="",0,IF(N437&lt;=2,1,IF(N437&lt;=4,2,IF(N437&lt;=5.5,3,4))))</f>
        <v>3</v>
      </c>
      <c r="Q437" s="210">
        <f t="shared" si="447"/>
        <v>3</v>
      </c>
      <c r="R437" s="210" t="str">
        <f t="shared" si="5"/>
        <v>Progress within level</v>
      </c>
      <c r="S437" s="210">
        <f t="shared" si="6"/>
        <v>0</v>
      </c>
      <c r="T437" s="210"/>
      <c r="U437" s="210"/>
      <c r="V437" s="210"/>
      <c r="W437" s="210"/>
      <c r="X437" s="210"/>
      <c r="Y437" s="210"/>
      <c r="Z437" s="210"/>
      <c r="AA437" s="210"/>
      <c r="AB437" s="210"/>
      <c r="AC437" s="210"/>
      <c r="AD437" s="210"/>
      <c r="AE437" s="210"/>
      <c r="AF437" s="210"/>
      <c r="AG437" s="210"/>
      <c r="AH437" s="210"/>
      <c r="AI437" s="210"/>
      <c r="AJ437" s="210"/>
      <c r="AK437" s="210"/>
      <c r="AL437" s="210"/>
      <c r="AM437" s="214"/>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c r="BU437" s="210"/>
      <c r="BV437" s="210"/>
      <c r="BW437" s="210"/>
      <c r="BX437" s="210"/>
      <c r="BY437" s="210"/>
      <c r="BZ437" s="210"/>
      <c r="CA437" s="210"/>
      <c r="CB437" s="210"/>
      <c r="CC437" s="210"/>
      <c r="CD437" s="210"/>
      <c r="CE437" s="210"/>
      <c r="CF437" s="210"/>
      <c r="CG437" s="210"/>
      <c r="CH437" s="210"/>
      <c r="CI437" s="210"/>
      <c r="CJ437" s="210"/>
      <c r="CK437" s="210"/>
    </row>
    <row r="438">
      <c r="A438" s="222" t="s">
        <v>389</v>
      </c>
      <c r="B438" s="190" t="s">
        <v>390</v>
      </c>
      <c r="C438" s="223" t="s">
        <v>87</v>
      </c>
      <c r="D438" s="223" t="s">
        <v>880</v>
      </c>
      <c r="E438" s="190" t="s">
        <v>22</v>
      </c>
      <c r="F438" s="13" t="s">
        <v>918</v>
      </c>
      <c r="G438" s="190"/>
      <c r="H438" s="219">
        <f>IFERROR(
  MINIFS(ATTENDANCE_LOG!$F:$F,
         ATTENDANCE_LOG!$A:$A, C438,
         ATTENDANCE_LOG!$B:$B, E438),
"")</f>
        <v>46038.41667</v>
      </c>
      <c r="I438" s="219">
        <f t="shared" si="2"/>
        <v>45813.45833</v>
      </c>
      <c r="J438" s="190">
        <f>IFERROR(VLOOKUP(F438, LEVEL_HELPER!$A:$B, 2, 0), "")</f>
        <v>3</v>
      </c>
      <c r="K438" s="190" t="str">
        <f>IFERROR(VLOOKUP(G438, LEVEL_HELPER!$A:$B, 2, 0), "")</f>
        <v/>
      </c>
      <c r="L438" s="220" t="s">
        <v>947</v>
      </c>
      <c r="M438" s="220" t="s">
        <v>926</v>
      </c>
      <c r="N438" s="190">
        <f t="array" ref="N438">IFERROR(
  INDEX($J$2:$J$543,
    MATCH(A438&amp;TEXT(I438,"yyyy-mm-dd"),
          $A$2:$A$543&amp;TEXT($H$2:$H$543,"yyyy-mm-dd"),
          0)),
"")</f>
        <v>1</v>
      </c>
      <c r="O438" s="210">
        <f t="shared" si="3"/>
        <v>3</v>
      </c>
      <c r="P438" s="210">
        <f t="shared" ref="P438:Q438" si="448">IF(N438="",0,IF(N438&lt;=2,1,IF(N438&lt;=4,2,IF(N438&lt;=5.5,3,4))))</f>
        <v>1</v>
      </c>
      <c r="Q438" s="210">
        <f t="shared" si="448"/>
        <v>2</v>
      </c>
      <c r="R438" s="210" t="str">
        <f t="shared" si="5"/>
        <v>Lv1 → Lv2</v>
      </c>
      <c r="S438" s="210">
        <f t="shared" si="6"/>
        <v>0</v>
      </c>
      <c r="T438" s="210"/>
      <c r="U438" s="210"/>
      <c r="V438" s="210"/>
      <c r="W438" s="210"/>
      <c r="X438" s="210"/>
      <c r="Y438" s="210"/>
      <c r="Z438" s="210"/>
      <c r="AA438" s="210"/>
      <c r="AB438" s="210"/>
      <c r="AC438" s="210"/>
      <c r="AD438" s="210"/>
      <c r="AE438" s="210"/>
      <c r="AF438" s="210"/>
      <c r="AG438" s="210"/>
      <c r="AH438" s="210"/>
      <c r="AI438" s="210"/>
      <c r="AJ438" s="210"/>
      <c r="AK438" s="210"/>
      <c r="AL438" s="210"/>
      <c r="AM438" s="214"/>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c r="BU438" s="210"/>
      <c r="BV438" s="210"/>
      <c r="BW438" s="210"/>
      <c r="BX438" s="210"/>
      <c r="BY438" s="210"/>
      <c r="BZ438" s="210"/>
      <c r="CA438" s="210"/>
      <c r="CB438" s="210"/>
      <c r="CC438" s="210"/>
      <c r="CD438" s="210"/>
      <c r="CE438" s="210"/>
      <c r="CF438" s="210"/>
      <c r="CG438" s="210"/>
      <c r="CH438" s="210"/>
      <c r="CI438" s="210"/>
      <c r="CJ438" s="210"/>
      <c r="CK438" s="210"/>
    </row>
    <row r="439">
      <c r="A439" s="222" t="s">
        <v>637</v>
      </c>
      <c r="B439" s="190" t="s">
        <v>638</v>
      </c>
      <c r="C439" s="223" t="s">
        <v>87</v>
      </c>
      <c r="D439" s="223" t="s">
        <v>880</v>
      </c>
      <c r="E439" s="190" t="s">
        <v>22</v>
      </c>
      <c r="F439" s="13" t="s">
        <v>918</v>
      </c>
      <c r="G439" s="190"/>
      <c r="H439" s="219">
        <f>IFERROR(
  MINIFS(ATTENDANCE_LOG!$F:$F,
         ATTENDANCE_LOG!$A:$A, C439,
         ATTENDANCE_LOG!$B:$B, E439),
"")</f>
        <v>46038.41667</v>
      </c>
      <c r="I439" s="219">
        <f t="shared" si="2"/>
        <v>45813.45833</v>
      </c>
      <c r="J439" s="190">
        <f>IFERROR(VLOOKUP(F439, LEVEL_HELPER!$A:$B, 2, 0), "")</f>
        <v>3</v>
      </c>
      <c r="K439" s="190" t="str">
        <f>IFERROR(VLOOKUP(G439, LEVEL_HELPER!$A:$B, 2, 0), "")</f>
        <v/>
      </c>
      <c r="L439" s="220" t="s">
        <v>943</v>
      </c>
      <c r="M439" s="220" t="s">
        <v>926</v>
      </c>
      <c r="N439" s="190">
        <f t="array" ref="N439">IFERROR(
  INDEX($J$2:$J$543,
    MATCH(A439&amp;TEXT(I439,"yyyy-mm-dd"),
          $A$2:$A$543&amp;TEXT($H$2:$H$543,"yyyy-mm-dd"),
          0)),
"")</f>
        <v>1</v>
      </c>
      <c r="O439" s="210">
        <f t="shared" si="3"/>
        <v>3</v>
      </c>
      <c r="P439" s="210">
        <f t="shared" ref="P439:Q439" si="449">IF(N439="",0,IF(N439&lt;=2,1,IF(N439&lt;=4,2,IF(N439&lt;=5.5,3,4))))</f>
        <v>1</v>
      </c>
      <c r="Q439" s="210">
        <f t="shared" si="449"/>
        <v>2</v>
      </c>
      <c r="R439" s="210" t="str">
        <f t="shared" si="5"/>
        <v>Lv1 → Lv2</v>
      </c>
      <c r="S439" s="210">
        <f t="shared" si="6"/>
        <v>0</v>
      </c>
      <c r="T439" s="210"/>
      <c r="U439" s="210"/>
      <c r="V439" s="210"/>
      <c r="W439" s="210"/>
      <c r="X439" s="210"/>
      <c r="Y439" s="210"/>
      <c r="Z439" s="210"/>
      <c r="AA439" s="210"/>
      <c r="AB439" s="210"/>
      <c r="AC439" s="210"/>
      <c r="AD439" s="210"/>
      <c r="AE439" s="210"/>
      <c r="AF439" s="210"/>
      <c r="AG439" s="210"/>
      <c r="AH439" s="210"/>
      <c r="AI439" s="210"/>
      <c r="AJ439" s="210"/>
      <c r="AK439" s="210"/>
      <c r="AL439" s="210"/>
      <c r="AM439" s="214"/>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c r="BU439" s="210"/>
      <c r="BV439" s="210"/>
      <c r="BW439" s="210"/>
      <c r="BX439" s="210"/>
      <c r="BY439" s="210"/>
      <c r="BZ439" s="210"/>
      <c r="CA439" s="210"/>
      <c r="CB439" s="210"/>
      <c r="CC439" s="210"/>
      <c r="CD439" s="210"/>
      <c r="CE439" s="210"/>
      <c r="CF439" s="210"/>
      <c r="CG439" s="210"/>
      <c r="CH439" s="210"/>
      <c r="CI439" s="210"/>
      <c r="CJ439" s="210"/>
      <c r="CK439" s="210"/>
    </row>
    <row r="440">
      <c r="A440" s="222" t="s">
        <v>663</v>
      </c>
      <c r="B440" s="190" t="s">
        <v>664</v>
      </c>
      <c r="C440" s="223" t="s">
        <v>87</v>
      </c>
      <c r="D440" s="223" t="s">
        <v>880</v>
      </c>
      <c r="E440" s="190" t="s">
        <v>22</v>
      </c>
      <c r="F440" s="13" t="s">
        <v>927</v>
      </c>
      <c r="G440" s="190"/>
      <c r="H440" s="219">
        <f>IFERROR(
  MINIFS(ATTENDANCE_LOG!$F:$F,
         ATTENDANCE_LOG!$A:$A, C440,
         ATTENDANCE_LOG!$B:$B, E440),
"")</f>
        <v>46038.41667</v>
      </c>
      <c r="I440" s="219">
        <f t="shared" si="2"/>
        <v>45813.45833</v>
      </c>
      <c r="J440" s="190">
        <f>IFERROR(VLOOKUP(F440, LEVEL_HELPER!$A:$B, 2, 0), "")</f>
        <v>1</v>
      </c>
      <c r="K440" s="190" t="str">
        <f>IFERROR(VLOOKUP(G440, LEVEL_HELPER!$A:$B, 2, 0), "")</f>
        <v/>
      </c>
      <c r="L440" s="220" t="s">
        <v>943</v>
      </c>
      <c r="M440" s="220" t="s">
        <v>926</v>
      </c>
      <c r="N440" s="190">
        <f t="array" ref="N440">IFERROR(
  INDEX($J$2:$J$543,
    MATCH(A440&amp;TEXT(I440,"yyyy-mm-dd"),
          $A$2:$A$543&amp;TEXT($H$2:$H$543,"yyyy-mm-dd"),
          0)),
"")</f>
        <v>1</v>
      </c>
      <c r="O440" s="210">
        <f t="shared" si="3"/>
        <v>1</v>
      </c>
      <c r="P440" s="210">
        <f t="shared" ref="P440:Q440" si="450">IF(N440="",0,IF(N440&lt;=2,1,IF(N440&lt;=4,2,IF(N440&lt;=5.5,3,4))))</f>
        <v>1</v>
      </c>
      <c r="Q440" s="210">
        <f t="shared" si="450"/>
        <v>1</v>
      </c>
      <c r="R440" s="210" t="str">
        <f t="shared" si="5"/>
        <v>No Progress</v>
      </c>
      <c r="S440" s="210">
        <f t="shared" si="6"/>
        <v>0</v>
      </c>
      <c r="T440" s="210"/>
      <c r="U440" s="210"/>
      <c r="V440" s="210"/>
      <c r="W440" s="210"/>
      <c r="X440" s="210"/>
      <c r="Y440" s="210"/>
      <c r="Z440" s="210"/>
      <c r="AA440" s="210"/>
      <c r="AB440" s="210"/>
      <c r="AC440" s="210"/>
      <c r="AD440" s="210"/>
      <c r="AE440" s="210"/>
      <c r="AF440" s="210"/>
      <c r="AG440" s="210"/>
      <c r="AH440" s="210"/>
      <c r="AI440" s="210"/>
      <c r="AJ440" s="210"/>
      <c r="AK440" s="210"/>
      <c r="AL440" s="210"/>
      <c r="AM440" s="214"/>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c r="BU440" s="210"/>
      <c r="BV440" s="210"/>
      <c r="BW440" s="210"/>
      <c r="BX440" s="210"/>
      <c r="BY440" s="210"/>
      <c r="BZ440" s="210"/>
      <c r="CA440" s="210"/>
      <c r="CB440" s="210"/>
      <c r="CC440" s="210"/>
      <c r="CD440" s="210"/>
      <c r="CE440" s="210"/>
      <c r="CF440" s="210"/>
      <c r="CG440" s="210"/>
      <c r="CH440" s="210"/>
      <c r="CI440" s="210"/>
      <c r="CJ440" s="210"/>
      <c r="CK440" s="210"/>
    </row>
    <row r="441">
      <c r="A441" s="216" t="s">
        <v>440</v>
      </c>
      <c r="B441" s="217" t="s">
        <v>441</v>
      </c>
      <c r="C441" s="218" t="s">
        <v>88</v>
      </c>
      <c r="D441" s="218" t="s">
        <v>881</v>
      </c>
      <c r="E441" s="217" t="s">
        <v>21</v>
      </c>
      <c r="F441" s="242" t="s">
        <v>927</v>
      </c>
      <c r="G441" s="242" t="s">
        <v>929</v>
      </c>
      <c r="H441" s="219">
        <f>IFERROR(
  MINIFS(ATTENDANCE_LOG!$F:$F,
         ATTENDANCE_LOG!$A:$A, C441,
         ATTENDANCE_LOG!$B:$B, E441),
"")</f>
        <v>45882.54167</v>
      </c>
      <c r="I441" s="219">
        <f t="shared" si="2"/>
        <v>45763.54167</v>
      </c>
      <c r="J441" s="217">
        <f>IFERROR(VLOOKUP(F441, LEVEL_HELPER!$A:$B, 2, 0), "")</f>
        <v>1</v>
      </c>
      <c r="K441" s="217">
        <f>IFERROR(VLOOKUP(G441, LEVEL_HELPER!$A:$B, 2, 0), "")</f>
        <v>1.5</v>
      </c>
      <c r="L441" s="247" t="s">
        <v>943</v>
      </c>
      <c r="M441" s="247" t="s">
        <v>923</v>
      </c>
      <c r="N441" s="190">
        <f t="array" ref="N441">IFERROR(
  INDEX($J$2:$J$543,
    MATCH(A441&amp;TEXT(I441,"yyyy-mm-dd"),
          $A$2:$A$543&amp;TEXT($H$2:$H$543,"yyyy-mm-dd"),
          0)),
"")</f>
        <v>1</v>
      </c>
      <c r="O441" s="248">
        <f t="shared" si="3"/>
        <v>1.5</v>
      </c>
      <c r="P441" s="210">
        <f t="shared" ref="P441:Q441" si="451">IF(N441="",0,IF(N441&lt;=2,1,IF(N441&lt;=4,2,IF(N441&lt;=5.5,3,4))))</f>
        <v>1</v>
      </c>
      <c r="Q441" s="210">
        <f t="shared" si="451"/>
        <v>1</v>
      </c>
      <c r="R441" s="210" t="str">
        <f t="shared" si="5"/>
        <v>Progress within level</v>
      </c>
      <c r="S441" s="210">
        <f t="shared" si="6"/>
        <v>0</v>
      </c>
      <c r="T441" s="210"/>
      <c r="U441" s="210"/>
      <c r="V441" s="210"/>
      <c r="W441" s="210"/>
      <c r="X441" s="210"/>
      <c r="Y441" s="210"/>
      <c r="Z441" s="210"/>
      <c r="AA441" s="210"/>
      <c r="AB441" s="210"/>
      <c r="AC441" s="210"/>
      <c r="AD441" s="210"/>
      <c r="AE441" s="210"/>
      <c r="AF441" s="210"/>
      <c r="AG441" s="210"/>
      <c r="AH441" s="210"/>
      <c r="AI441" s="210"/>
      <c r="AJ441" s="210"/>
      <c r="AK441" s="210"/>
      <c r="AL441" s="210"/>
      <c r="AM441" s="214"/>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c r="BU441" s="210"/>
      <c r="BV441" s="210"/>
      <c r="BW441" s="210"/>
      <c r="BX441" s="210"/>
      <c r="BY441" s="210"/>
      <c r="BZ441" s="210"/>
      <c r="CA441" s="210"/>
      <c r="CB441" s="210"/>
      <c r="CC441" s="210"/>
      <c r="CD441" s="210"/>
      <c r="CE441" s="210"/>
      <c r="CF441" s="210"/>
      <c r="CG441" s="210"/>
      <c r="CH441" s="210"/>
      <c r="CI441" s="210"/>
      <c r="CJ441" s="210"/>
      <c r="CK441" s="210"/>
    </row>
    <row r="442">
      <c r="A442" s="222" t="s">
        <v>325</v>
      </c>
      <c r="B442" s="190" t="s">
        <v>326</v>
      </c>
      <c r="C442" s="223" t="s">
        <v>88</v>
      </c>
      <c r="D442" s="223" t="s">
        <v>881</v>
      </c>
      <c r="E442" s="190" t="s">
        <v>21</v>
      </c>
      <c r="F442" s="13" t="s">
        <v>927</v>
      </c>
      <c r="G442" s="13" t="s">
        <v>935</v>
      </c>
      <c r="H442" s="219">
        <f>IFERROR(
  MINIFS(ATTENDANCE_LOG!$F:$F,
         ATTENDANCE_LOG!$A:$A, C442,
         ATTENDANCE_LOG!$B:$B, E442),
"")</f>
        <v>45882.54167</v>
      </c>
      <c r="I442" s="219">
        <f t="shared" si="2"/>
        <v>45715.45833</v>
      </c>
      <c r="J442" s="190">
        <f>IFERROR(VLOOKUP(F442, LEVEL_HELPER!$A:$B, 2, 0), "")</f>
        <v>1</v>
      </c>
      <c r="K442" s="190">
        <f>IFERROR(VLOOKUP(G442, LEVEL_HELPER!$A:$B, 2, 0), "")</f>
        <v>3.5</v>
      </c>
      <c r="L442" s="220" t="s">
        <v>945</v>
      </c>
      <c r="M442" s="229" t="s">
        <v>922</v>
      </c>
      <c r="N442" s="190">
        <f t="array" ref="N442">IFERROR(
  INDEX($J$2:$J$543,
    MATCH(A442&amp;TEXT(I442,"yyyy-mm-dd"),
          $A$2:$A$543&amp;TEXT($H$2:$H$543,"yyyy-mm-dd"),
          0)),
"")</f>
        <v>1</v>
      </c>
      <c r="O442" s="210">
        <f t="shared" si="3"/>
        <v>3.5</v>
      </c>
      <c r="P442" s="210">
        <f t="shared" ref="P442:Q442" si="452">IF(N442="",0,IF(N442&lt;=2,1,IF(N442&lt;=4,2,IF(N442&lt;=5.5,3,4))))</f>
        <v>1</v>
      </c>
      <c r="Q442" s="210">
        <f t="shared" si="452"/>
        <v>2</v>
      </c>
      <c r="R442" s="210" t="str">
        <f t="shared" si="5"/>
        <v>Lv1 → Lv2</v>
      </c>
      <c r="S442" s="210">
        <f t="shared" si="6"/>
        <v>0</v>
      </c>
      <c r="T442" s="210"/>
      <c r="U442" s="210"/>
      <c r="V442" s="210"/>
      <c r="W442" s="210"/>
      <c r="X442" s="210"/>
      <c r="Y442" s="210"/>
      <c r="Z442" s="210"/>
      <c r="AA442" s="210"/>
      <c r="AB442" s="210"/>
      <c r="AC442" s="210"/>
      <c r="AD442" s="210"/>
      <c r="AE442" s="210"/>
      <c r="AF442" s="210"/>
      <c r="AG442" s="210"/>
      <c r="AH442" s="210"/>
      <c r="AI442" s="210"/>
      <c r="AJ442" s="210"/>
      <c r="AK442" s="210"/>
      <c r="AL442" s="210"/>
      <c r="AM442" s="214"/>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c r="BU442" s="210"/>
      <c r="BV442" s="210"/>
      <c r="BW442" s="210"/>
      <c r="BX442" s="210"/>
      <c r="BY442" s="210"/>
      <c r="BZ442" s="210"/>
      <c r="CA442" s="210"/>
      <c r="CB442" s="210"/>
      <c r="CC442" s="210"/>
      <c r="CD442" s="210"/>
      <c r="CE442" s="210"/>
      <c r="CF442" s="210"/>
      <c r="CG442" s="210"/>
      <c r="CH442" s="210"/>
      <c r="CI442" s="210"/>
      <c r="CJ442" s="210"/>
      <c r="CK442" s="210"/>
    </row>
    <row r="443">
      <c r="A443" s="222" t="s">
        <v>419</v>
      </c>
      <c r="B443" s="190" t="s">
        <v>420</v>
      </c>
      <c r="C443" s="223" t="s">
        <v>88</v>
      </c>
      <c r="D443" s="223" t="s">
        <v>881</v>
      </c>
      <c r="E443" s="190" t="s">
        <v>21</v>
      </c>
      <c r="F443" s="13" t="s">
        <v>927</v>
      </c>
      <c r="G443" s="190"/>
      <c r="H443" s="219">
        <f>IFERROR(
  MINIFS(ATTENDANCE_LOG!$F:$F,
         ATTENDANCE_LOG!$A:$A, C443,
         ATTENDANCE_LOG!$B:$B, E443),
"")</f>
        <v>45882.54167</v>
      </c>
      <c r="I443" s="219">
        <f t="shared" si="2"/>
        <v>45765.375</v>
      </c>
      <c r="J443" s="190">
        <f>IFERROR(VLOOKUP(F443, LEVEL_HELPER!$A:$B, 2, 0), "")</f>
        <v>1</v>
      </c>
      <c r="K443" s="190" t="str">
        <f>IFERROR(VLOOKUP(G443, LEVEL_HELPER!$A:$B, 2, 0), "")</f>
        <v/>
      </c>
      <c r="L443" s="220" t="s">
        <v>943</v>
      </c>
      <c r="M443" s="220" t="s">
        <v>923</v>
      </c>
      <c r="N443" s="190">
        <f t="array" ref="N443">IFERROR(
  INDEX($J$2:$J$543,
    MATCH(A443&amp;TEXT(I443,"yyyy-mm-dd"),
          $A$2:$A$543&amp;TEXT($H$2:$H$543,"yyyy-mm-dd"),
          0)),
"")</f>
        <v>1</v>
      </c>
      <c r="O443" s="210">
        <f t="shared" si="3"/>
        <v>3</v>
      </c>
      <c r="P443" s="210">
        <f t="shared" ref="P443:Q443" si="453">IF(N443="",0,IF(N443&lt;=2,1,IF(N443&lt;=4,2,IF(N443&lt;=5.5,3,4))))</f>
        <v>1</v>
      </c>
      <c r="Q443" s="210">
        <f t="shared" si="453"/>
        <v>2</v>
      </c>
      <c r="R443" s="210" t="str">
        <f t="shared" si="5"/>
        <v>Lv1 → Lv2</v>
      </c>
      <c r="S443" s="210">
        <f t="shared" si="6"/>
        <v>0</v>
      </c>
      <c r="T443" s="210"/>
      <c r="U443" s="210"/>
      <c r="V443" s="210"/>
      <c r="W443" s="210"/>
      <c r="X443" s="210"/>
      <c r="Y443" s="210"/>
      <c r="Z443" s="210"/>
      <c r="AA443" s="210"/>
      <c r="AB443" s="210"/>
      <c r="AC443" s="210"/>
      <c r="AD443" s="210"/>
      <c r="AE443" s="210"/>
      <c r="AF443" s="210"/>
      <c r="AG443" s="210"/>
      <c r="AH443" s="210"/>
      <c r="AI443" s="210"/>
      <c r="AJ443" s="210"/>
      <c r="AK443" s="210"/>
      <c r="AL443" s="210"/>
      <c r="AM443" s="214"/>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c r="BU443" s="210"/>
      <c r="BV443" s="210"/>
      <c r="BW443" s="210"/>
      <c r="BX443" s="210"/>
      <c r="BY443" s="210"/>
      <c r="BZ443" s="210"/>
      <c r="CA443" s="210"/>
      <c r="CB443" s="210"/>
      <c r="CC443" s="210"/>
      <c r="CD443" s="210"/>
      <c r="CE443" s="210"/>
      <c r="CF443" s="210"/>
      <c r="CG443" s="210"/>
      <c r="CH443" s="210"/>
      <c r="CI443" s="210"/>
      <c r="CJ443" s="210"/>
      <c r="CK443" s="210"/>
    </row>
    <row r="444">
      <c r="A444" s="222" t="s">
        <v>461</v>
      </c>
      <c r="B444" s="190" t="s">
        <v>462</v>
      </c>
      <c r="C444" s="223" t="s">
        <v>88</v>
      </c>
      <c r="D444" s="223" t="s">
        <v>881</v>
      </c>
      <c r="E444" s="190" t="s">
        <v>21</v>
      </c>
      <c r="F444" s="13" t="s">
        <v>927</v>
      </c>
      <c r="G444" s="13" t="s">
        <v>935</v>
      </c>
      <c r="H444" s="219">
        <f>IFERROR(
  MINIFS(ATTENDANCE_LOG!$F:$F,
         ATTENDANCE_LOG!$A:$A, C444,
         ATTENDANCE_LOG!$B:$B, E444),
"")</f>
        <v>45882.54167</v>
      </c>
      <c r="I444" s="219">
        <f t="shared" si="2"/>
        <v>45715.45833</v>
      </c>
      <c r="J444" s="190">
        <f>IFERROR(VLOOKUP(F444, LEVEL_HELPER!$A:$B, 2, 0), "")</f>
        <v>1</v>
      </c>
      <c r="K444" s="190">
        <f>IFERROR(VLOOKUP(G444, LEVEL_HELPER!$A:$B, 2, 0), "")</f>
        <v>3.5</v>
      </c>
      <c r="L444" s="220" t="s">
        <v>919</v>
      </c>
      <c r="M444" s="220" t="s">
        <v>923</v>
      </c>
      <c r="N444" s="190">
        <f t="array" ref="N444">IFERROR(
  INDEX($J$2:$J$543,
    MATCH(A444&amp;TEXT(I444,"yyyy-mm-dd"),
          $A$2:$A$543&amp;TEXT($H$2:$H$543,"yyyy-mm-dd"),
          0)),
"")</f>
        <v>1</v>
      </c>
      <c r="O444" s="210">
        <f t="shared" si="3"/>
        <v>3.5</v>
      </c>
      <c r="P444" s="210">
        <f t="shared" ref="P444:Q444" si="454">IF(N444="",0,IF(N444&lt;=2,1,IF(N444&lt;=4,2,IF(N444&lt;=5.5,3,4))))</f>
        <v>1</v>
      </c>
      <c r="Q444" s="210">
        <f t="shared" si="454"/>
        <v>2</v>
      </c>
      <c r="R444" s="210" t="str">
        <f t="shared" si="5"/>
        <v>Lv1 → Lv2</v>
      </c>
      <c r="S444" s="210">
        <f t="shared" si="6"/>
        <v>0</v>
      </c>
      <c r="T444" s="210"/>
      <c r="U444" s="210"/>
      <c r="V444" s="210"/>
      <c r="W444" s="210"/>
      <c r="X444" s="210"/>
      <c r="Y444" s="210"/>
      <c r="Z444" s="210"/>
      <c r="AA444" s="210"/>
      <c r="AB444" s="210"/>
      <c r="AC444" s="210"/>
      <c r="AD444" s="210"/>
      <c r="AE444" s="210"/>
      <c r="AF444" s="210"/>
      <c r="AG444" s="210"/>
      <c r="AH444" s="210"/>
      <c r="AI444" s="210"/>
      <c r="AJ444" s="210"/>
      <c r="AK444" s="210"/>
      <c r="AL444" s="210"/>
      <c r="AM444" s="214"/>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c r="BU444" s="210"/>
      <c r="BV444" s="210"/>
      <c r="BW444" s="210"/>
      <c r="BX444" s="210"/>
      <c r="BY444" s="210"/>
      <c r="BZ444" s="210"/>
      <c r="CA444" s="210"/>
      <c r="CB444" s="210"/>
      <c r="CC444" s="210"/>
      <c r="CD444" s="210"/>
      <c r="CE444" s="210"/>
      <c r="CF444" s="210"/>
      <c r="CG444" s="210"/>
      <c r="CH444" s="210"/>
      <c r="CI444" s="210"/>
      <c r="CJ444" s="210"/>
      <c r="CK444" s="210"/>
    </row>
    <row r="445">
      <c r="A445" s="222" t="s">
        <v>669</v>
      </c>
      <c r="B445" s="190" t="s">
        <v>670</v>
      </c>
      <c r="C445" s="223" t="s">
        <v>88</v>
      </c>
      <c r="D445" s="223" t="s">
        <v>881</v>
      </c>
      <c r="E445" s="190" t="s">
        <v>21</v>
      </c>
      <c r="F445" s="13" t="s">
        <v>917</v>
      </c>
      <c r="G445" s="190"/>
      <c r="H445" s="219">
        <f>IFERROR(
  MINIFS(ATTENDANCE_LOG!$F:$F,
         ATTENDANCE_LOG!$A:$A, C445,
         ATTENDANCE_LOG!$B:$B, E445),
"")</f>
        <v>45882.54167</v>
      </c>
      <c r="I445" s="219">
        <f t="shared" si="2"/>
        <v>45882.54167</v>
      </c>
      <c r="J445" s="190">
        <f>IFERROR(VLOOKUP(F445, LEVEL_HELPER!$A:$B, 2, 0), "")</f>
        <v>2.5</v>
      </c>
      <c r="K445" s="190" t="str">
        <f>IFERROR(VLOOKUP(G445, LEVEL_HELPER!$A:$B, 2, 0), "")</f>
        <v/>
      </c>
      <c r="L445" s="220" t="s">
        <v>955</v>
      </c>
      <c r="M445" s="220" t="s">
        <v>925</v>
      </c>
      <c r="N445" s="190">
        <f t="array" ref="N445">IFERROR(
  INDEX($J$2:$J$543,
    MATCH(A445&amp;TEXT(I445,"yyyy-mm-dd"),
          $A$2:$A$543&amp;TEXT($H$2:$H$543,"yyyy-mm-dd"),
          0)),
"")</f>
        <v>2.5</v>
      </c>
      <c r="O445" s="210">
        <f t="shared" si="3"/>
        <v>0</v>
      </c>
      <c r="P445" s="210">
        <f t="shared" ref="P445:Q445" si="455">IF(N445="",0,IF(N445&lt;=2,1,IF(N445&lt;=4,2,IF(N445&lt;=5.5,3,4))))</f>
        <v>2</v>
      </c>
      <c r="Q445" s="210">
        <f t="shared" si="455"/>
        <v>1</v>
      </c>
      <c r="R445" s="210" t="str">
        <f t="shared" si="5"/>
        <v>Regressed</v>
      </c>
      <c r="S445" s="210">
        <f t="shared" si="6"/>
        <v>1</v>
      </c>
      <c r="T445" s="210"/>
      <c r="U445" s="210"/>
      <c r="V445" s="210"/>
      <c r="W445" s="210"/>
      <c r="X445" s="210"/>
      <c r="Y445" s="210"/>
      <c r="Z445" s="210"/>
      <c r="AA445" s="210"/>
      <c r="AB445" s="210"/>
      <c r="AC445" s="210"/>
      <c r="AD445" s="210"/>
      <c r="AE445" s="210"/>
      <c r="AF445" s="210"/>
      <c r="AG445" s="210"/>
      <c r="AH445" s="210"/>
      <c r="AI445" s="210"/>
      <c r="AJ445" s="210"/>
      <c r="AK445" s="210"/>
      <c r="AL445" s="210"/>
      <c r="AM445" s="214"/>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c r="BU445" s="210"/>
      <c r="BV445" s="210"/>
      <c r="BW445" s="210"/>
      <c r="BX445" s="210"/>
      <c r="BY445" s="210"/>
      <c r="BZ445" s="210"/>
      <c r="CA445" s="210"/>
      <c r="CB445" s="210"/>
      <c r="CC445" s="210"/>
      <c r="CD445" s="210"/>
      <c r="CE445" s="210"/>
      <c r="CF445" s="210"/>
      <c r="CG445" s="210"/>
      <c r="CH445" s="210"/>
      <c r="CI445" s="210"/>
      <c r="CJ445" s="210"/>
      <c r="CK445" s="210"/>
    </row>
    <row r="446">
      <c r="A446" s="222" t="s">
        <v>681</v>
      </c>
      <c r="B446" s="190" t="s">
        <v>682</v>
      </c>
      <c r="C446" s="223" t="s">
        <v>88</v>
      </c>
      <c r="D446" s="223" t="s">
        <v>881</v>
      </c>
      <c r="E446" s="190" t="s">
        <v>21</v>
      </c>
      <c r="F446" s="13" t="s">
        <v>927</v>
      </c>
      <c r="G446" s="13" t="s">
        <v>918</v>
      </c>
      <c r="H446" s="219">
        <f>IFERROR(
  MINIFS(ATTENDANCE_LOG!$F:$F,
         ATTENDANCE_LOG!$A:$A, C446,
         ATTENDANCE_LOG!$B:$B, E446),
"")</f>
        <v>45882.54167</v>
      </c>
      <c r="I446" s="219">
        <f t="shared" si="2"/>
        <v>45764.45833</v>
      </c>
      <c r="J446" s="190">
        <f>IFERROR(VLOOKUP(F446, LEVEL_HELPER!$A:$B, 2, 0), "")</f>
        <v>1</v>
      </c>
      <c r="K446" s="190">
        <f>IFERROR(VLOOKUP(G446, LEVEL_HELPER!$A:$B, 2, 0), "")</f>
        <v>3</v>
      </c>
      <c r="L446" s="220" t="s">
        <v>943</v>
      </c>
      <c r="M446" s="220" t="s">
        <v>924</v>
      </c>
      <c r="N446" s="190">
        <f t="array" ref="N446">IFERROR(
  INDEX($J$2:$J$543,
    MATCH(A446&amp;TEXT(I446,"yyyy-mm-dd"),
          $A$2:$A$543&amp;TEXT($H$2:$H$543,"yyyy-mm-dd"),
          0)),
"")</f>
        <v>1</v>
      </c>
      <c r="O446" s="210">
        <f t="shared" si="3"/>
        <v>3</v>
      </c>
      <c r="P446" s="210">
        <f t="shared" ref="P446:Q446" si="456">IF(N446="",0,IF(N446&lt;=2,1,IF(N446&lt;=4,2,IF(N446&lt;=5.5,3,4))))</f>
        <v>1</v>
      </c>
      <c r="Q446" s="210">
        <f t="shared" si="456"/>
        <v>2</v>
      </c>
      <c r="R446" s="210" t="str">
        <f t="shared" si="5"/>
        <v>Lv1 → Lv2</v>
      </c>
      <c r="S446" s="210">
        <f t="shared" si="6"/>
        <v>0</v>
      </c>
      <c r="T446" s="210"/>
      <c r="U446" s="210"/>
      <c r="V446" s="210"/>
      <c r="W446" s="210"/>
      <c r="X446" s="210"/>
      <c r="Y446" s="210"/>
      <c r="Z446" s="210"/>
      <c r="AA446" s="210"/>
      <c r="AB446" s="210"/>
      <c r="AC446" s="210"/>
      <c r="AD446" s="210"/>
      <c r="AE446" s="210"/>
      <c r="AF446" s="210"/>
      <c r="AG446" s="210"/>
      <c r="AH446" s="210"/>
      <c r="AI446" s="210"/>
      <c r="AJ446" s="210"/>
      <c r="AK446" s="210"/>
      <c r="AL446" s="210"/>
      <c r="AM446" s="214"/>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c r="BU446" s="210"/>
      <c r="BV446" s="210"/>
      <c r="BW446" s="210"/>
      <c r="BX446" s="210"/>
      <c r="BY446" s="210"/>
      <c r="BZ446" s="210"/>
      <c r="CA446" s="210"/>
      <c r="CB446" s="210"/>
      <c r="CC446" s="210"/>
      <c r="CD446" s="210"/>
      <c r="CE446" s="210"/>
      <c r="CF446" s="210"/>
      <c r="CG446" s="210"/>
      <c r="CH446" s="210"/>
      <c r="CI446" s="210"/>
      <c r="CJ446" s="210"/>
      <c r="CK446" s="210"/>
    </row>
    <row r="447">
      <c r="A447" s="222" t="s">
        <v>685</v>
      </c>
      <c r="B447" s="190" t="s">
        <v>686</v>
      </c>
      <c r="C447" s="223" t="s">
        <v>88</v>
      </c>
      <c r="D447" s="223" t="s">
        <v>881</v>
      </c>
      <c r="E447" s="190" t="s">
        <v>21</v>
      </c>
      <c r="F447" s="13" t="s">
        <v>927</v>
      </c>
      <c r="G447" s="13" t="s">
        <v>929</v>
      </c>
      <c r="H447" s="219">
        <f>IFERROR(
  MINIFS(ATTENDANCE_LOG!$F:$F,
         ATTENDANCE_LOG!$A:$A, C447,
         ATTENDANCE_LOG!$B:$B, E447),
"")</f>
        <v>45882.54167</v>
      </c>
      <c r="I447" s="219">
        <f t="shared" si="2"/>
        <v>45763.54167</v>
      </c>
      <c r="J447" s="190">
        <f>IFERROR(VLOOKUP(F447, LEVEL_HELPER!$A:$B, 2, 0), "")</f>
        <v>1</v>
      </c>
      <c r="K447" s="190">
        <f>IFERROR(VLOOKUP(G447, LEVEL_HELPER!$A:$B, 2, 0), "")</f>
        <v>1.5</v>
      </c>
      <c r="L447" s="220" t="s">
        <v>943</v>
      </c>
      <c r="M447" s="220" t="s">
        <v>923</v>
      </c>
      <c r="N447" s="190">
        <f t="array" ref="N447">IFERROR(
  INDEX($J$2:$J$543,
    MATCH(A447&amp;TEXT(I447,"yyyy-mm-dd"),
          $A$2:$A$543&amp;TEXT($H$2:$H$543,"yyyy-mm-dd"),
          0)),
"")</f>
        <v>1</v>
      </c>
      <c r="O447" s="210">
        <f t="shared" si="3"/>
        <v>1.5</v>
      </c>
      <c r="P447" s="210">
        <f t="shared" ref="P447:Q447" si="457">IF(N447="",0,IF(N447&lt;=2,1,IF(N447&lt;=4,2,IF(N447&lt;=5.5,3,4))))</f>
        <v>1</v>
      </c>
      <c r="Q447" s="210">
        <f t="shared" si="457"/>
        <v>1</v>
      </c>
      <c r="R447" s="210" t="str">
        <f t="shared" si="5"/>
        <v>Progress within level</v>
      </c>
      <c r="S447" s="210">
        <f t="shared" si="6"/>
        <v>0</v>
      </c>
      <c r="T447" s="210"/>
      <c r="U447" s="210"/>
      <c r="V447" s="210"/>
      <c r="W447" s="210"/>
      <c r="X447" s="210"/>
      <c r="Y447" s="210"/>
      <c r="Z447" s="210"/>
      <c r="AA447" s="210"/>
      <c r="AB447" s="210"/>
      <c r="AC447" s="210"/>
      <c r="AD447" s="210"/>
      <c r="AE447" s="210"/>
      <c r="AF447" s="210"/>
      <c r="AG447" s="210"/>
      <c r="AH447" s="210"/>
      <c r="AI447" s="210"/>
      <c r="AJ447" s="210"/>
      <c r="AK447" s="210"/>
      <c r="AL447" s="210"/>
      <c r="AM447" s="214"/>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c r="BU447" s="210"/>
      <c r="BV447" s="210"/>
      <c r="BW447" s="210"/>
      <c r="BX447" s="210"/>
      <c r="BY447" s="210"/>
      <c r="BZ447" s="210"/>
      <c r="CA447" s="210"/>
      <c r="CB447" s="210"/>
      <c r="CC447" s="210"/>
      <c r="CD447" s="210"/>
      <c r="CE447" s="210"/>
      <c r="CF447" s="210"/>
      <c r="CG447" s="210"/>
      <c r="CH447" s="210"/>
      <c r="CI447" s="210"/>
      <c r="CJ447" s="210"/>
      <c r="CK447" s="210"/>
    </row>
    <row r="448">
      <c r="A448" s="222" t="s">
        <v>709</v>
      </c>
      <c r="B448" s="190" t="s">
        <v>710</v>
      </c>
      <c r="C448" s="223" t="s">
        <v>88</v>
      </c>
      <c r="D448" s="223" t="s">
        <v>881</v>
      </c>
      <c r="E448" s="190" t="s">
        <v>21</v>
      </c>
      <c r="F448" s="13" t="s">
        <v>918</v>
      </c>
      <c r="G448" s="13" t="s">
        <v>935</v>
      </c>
      <c r="H448" s="219">
        <f>IFERROR(
  MINIFS(ATTENDANCE_LOG!$F:$F,
         ATTENDANCE_LOG!$A:$A, C448,
         ATTENDANCE_LOG!$B:$B, E448),
"")</f>
        <v>45882.54167</v>
      </c>
      <c r="I448" s="219">
        <f t="shared" si="2"/>
        <v>45763.54167</v>
      </c>
      <c r="J448" s="190">
        <f>IFERROR(VLOOKUP(F448, LEVEL_HELPER!$A:$B, 2, 0), "")</f>
        <v>3</v>
      </c>
      <c r="K448" s="190">
        <f>IFERROR(VLOOKUP(G448, LEVEL_HELPER!$A:$B, 2, 0), "")</f>
        <v>3.5</v>
      </c>
      <c r="L448" s="220" t="s">
        <v>943</v>
      </c>
      <c r="M448" s="220" t="s">
        <v>923</v>
      </c>
      <c r="N448" s="190">
        <f t="array" ref="N448">IFERROR(
  INDEX($J$2:$J$543,
    MATCH(A448&amp;TEXT(I448,"yyyy-mm-dd"),
          $A$2:$A$543&amp;TEXT($H$2:$H$543,"yyyy-mm-dd"),
          0)),
"")</f>
        <v>1</v>
      </c>
      <c r="O448" s="210">
        <f t="shared" si="3"/>
        <v>3.5</v>
      </c>
      <c r="P448" s="210">
        <f t="shared" ref="P448:Q448" si="458">IF(N448="",0,IF(N448&lt;=2,1,IF(N448&lt;=4,2,IF(N448&lt;=5.5,3,4))))</f>
        <v>1</v>
      </c>
      <c r="Q448" s="210">
        <f t="shared" si="458"/>
        <v>2</v>
      </c>
      <c r="R448" s="210" t="str">
        <f t="shared" si="5"/>
        <v>Lv1 → Lv2</v>
      </c>
      <c r="S448" s="210">
        <f t="shared" si="6"/>
        <v>0</v>
      </c>
      <c r="T448" s="210"/>
      <c r="U448" s="210"/>
      <c r="V448" s="210"/>
      <c r="W448" s="210"/>
      <c r="X448" s="210"/>
      <c r="Y448" s="210"/>
      <c r="Z448" s="210"/>
      <c r="AA448" s="210"/>
      <c r="AB448" s="210"/>
      <c r="AC448" s="210"/>
      <c r="AD448" s="210"/>
      <c r="AE448" s="210"/>
      <c r="AF448" s="210"/>
      <c r="AG448" s="210"/>
      <c r="AH448" s="210"/>
      <c r="AI448" s="210"/>
      <c r="AJ448" s="210"/>
      <c r="AK448" s="210"/>
      <c r="AL448" s="210"/>
      <c r="AM448" s="214"/>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c r="BU448" s="210"/>
      <c r="BV448" s="210"/>
      <c r="BW448" s="210"/>
      <c r="BX448" s="210"/>
      <c r="BY448" s="210"/>
      <c r="BZ448" s="210"/>
      <c r="CA448" s="210"/>
      <c r="CB448" s="210"/>
      <c r="CC448" s="210"/>
      <c r="CD448" s="210"/>
      <c r="CE448" s="210"/>
      <c r="CF448" s="210"/>
      <c r="CG448" s="210"/>
      <c r="CH448" s="210"/>
      <c r="CI448" s="210"/>
      <c r="CJ448" s="210"/>
      <c r="CK448" s="210"/>
    </row>
    <row r="449">
      <c r="A449" s="216" t="s">
        <v>574</v>
      </c>
      <c r="B449" s="217" t="s">
        <v>575</v>
      </c>
      <c r="C449" s="218" t="s">
        <v>89</v>
      </c>
      <c r="D449" s="218" t="s">
        <v>882</v>
      </c>
      <c r="E449" s="217" t="s">
        <v>26</v>
      </c>
      <c r="F449" s="242" t="s">
        <v>25</v>
      </c>
      <c r="G449" s="217"/>
      <c r="H449" s="219">
        <f>IFERROR(
  MINIFS(ATTENDANCE_LOG!$F:$F,
         ATTENDANCE_LOG!$A:$A, C449,
         ATTENDANCE_LOG!$B:$B, E449),
"")</f>
        <v>46126.58333</v>
      </c>
      <c r="I449" s="219">
        <f t="shared" si="2"/>
        <v>45916.45833</v>
      </c>
      <c r="J449" s="217">
        <f>IFERROR(VLOOKUP(F449, LEVEL_HELPER!$A:$B, 2, 0), "")</f>
        <v>0.5</v>
      </c>
      <c r="K449" s="217" t="str">
        <f>IFERROR(VLOOKUP(G449, LEVEL_HELPER!$A:$B, 2, 0), "")</f>
        <v/>
      </c>
      <c r="L449" s="247" t="s">
        <v>931</v>
      </c>
      <c r="M449" s="247" t="s">
        <v>926</v>
      </c>
      <c r="N449" s="190">
        <f t="array" ref="N449">IFERROR(
  INDEX($J$2:$J$543,
    MATCH(A449&amp;TEXT(I449,"yyyy-mm-dd"),
          $A$2:$A$543&amp;TEXT($H$2:$H$543,"yyyy-mm-dd"),
          0)),
"")</f>
        <v>0.5</v>
      </c>
      <c r="O449" s="248">
        <f t="shared" si="3"/>
        <v>0.5</v>
      </c>
      <c r="P449" s="210">
        <f t="shared" ref="P449:Q449" si="459">IF(N449="",0,IF(N449&lt;=2,1,IF(N449&lt;=4,2,IF(N449&lt;=5.5,3,4))))</f>
        <v>1</v>
      </c>
      <c r="Q449" s="210">
        <f t="shared" si="459"/>
        <v>1</v>
      </c>
      <c r="R449" s="210" t="str">
        <f t="shared" si="5"/>
        <v>No Progress</v>
      </c>
      <c r="S449" s="210">
        <f t="shared" si="6"/>
        <v>1</v>
      </c>
      <c r="T449" s="210"/>
      <c r="U449" s="210"/>
      <c r="V449" s="210"/>
      <c r="W449" s="210"/>
      <c r="X449" s="210"/>
      <c r="Y449" s="210"/>
      <c r="Z449" s="210"/>
      <c r="AA449" s="210"/>
      <c r="AB449" s="210"/>
      <c r="AC449" s="210"/>
      <c r="AD449" s="210"/>
      <c r="AE449" s="210"/>
      <c r="AF449" s="210"/>
      <c r="AG449" s="210"/>
      <c r="AH449" s="210"/>
      <c r="AI449" s="210"/>
      <c r="AJ449" s="210"/>
      <c r="AK449" s="210"/>
      <c r="AL449" s="210"/>
      <c r="AM449" s="214"/>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c r="BU449" s="210"/>
      <c r="BV449" s="210"/>
      <c r="BW449" s="210"/>
      <c r="BX449" s="210"/>
      <c r="BY449" s="210"/>
      <c r="BZ449" s="210"/>
      <c r="CA449" s="210"/>
      <c r="CB449" s="210"/>
      <c r="CC449" s="210"/>
      <c r="CD449" s="210"/>
      <c r="CE449" s="210"/>
      <c r="CF449" s="210"/>
      <c r="CG449" s="210"/>
      <c r="CH449" s="210"/>
      <c r="CI449" s="210"/>
      <c r="CJ449" s="210"/>
      <c r="CK449" s="210"/>
    </row>
    <row r="450">
      <c r="A450" s="222" t="s">
        <v>545</v>
      </c>
      <c r="B450" s="190" t="s">
        <v>546</v>
      </c>
      <c r="C450" s="223" t="s">
        <v>89</v>
      </c>
      <c r="D450" s="223" t="s">
        <v>882</v>
      </c>
      <c r="E450" s="190" t="s">
        <v>26</v>
      </c>
      <c r="F450" s="13" t="s">
        <v>25</v>
      </c>
      <c r="G450" s="190"/>
      <c r="H450" s="219">
        <f>IFERROR(
  MINIFS(ATTENDANCE_LOG!$F:$F,
         ATTENDANCE_LOG!$A:$A, C450,
         ATTENDANCE_LOG!$B:$B, E450),
"")</f>
        <v>46126.58333</v>
      </c>
      <c r="I450" s="219">
        <f t="shared" si="2"/>
        <v>45916.45833</v>
      </c>
      <c r="J450" s="190">
        <f>IFERROR(VLOOKUP(F450, LEVEL_HELPER!$A:$B, 2, 0), "")</f>
        <v>0.5</v>
      </c>
      <c r="K450" s="190" t="str">
        <f>IFERROR(VLOOKUP(G450, LEVEL_HELPER!$A:$B, 2, 0), "")</f>
        <v/>
      </c>
      <c r="L450" s="220" t="s">
        <v>931</v>
      </c>
      <c r="M450" s="220" t="s">
        <v>920</v>
      </c>
      <c r="N450" s="190">
        <f t="array" ref="N450">IFERROR(
  INDEX($J$2:$J$543,
    MATCH(A450&amp;TEXT(I450,"yyyy-mm-dd"),
          $A$2:$A$543&amp;TEXT($H$2:$H$543,"yyyy-mm-dd"),
          0)),
"")</f>
        <v>0.5</v>
      </c>
      <c r="O450" s="210">
        <f t="shared" si="3"/>
        <v>0.5</v>
      </c>
      <c r="P450" s="210">
        <f t="shared" ref="P450:Q450" si="460">IF(N450="",0,IF(N450&lt;=2,1,IF(N450&lt;=4,2,IF(N450&lt;=5.5,3,4))))</f>
        <v>1</v>
      </c>
      <c r="Q450" s="210">
        <f t="shared" si="460"/>
        <v>1</v>
      </c>
      <c r="R450" s="210" t="str">
        <f t="shared" si="5"/>
        <v>No Progress</v>
      </c>
      <c r="S450" s="210">
        <f t="shared" si="6"/>
        <v>1</v>
      </c>
      <c r="T450" s="210"/>
      <c r="U450" s="210"/>
      <c r="V450" s="210"/>
      <c r="W450" s="210"/>
      <c r="X450" s="210"/>
      <c r="Y450" s="210"/>
      <c r="Z450" s="210"/>
      <c r="AA450" s="210"/>
      <c r="AB450" s="210"/>
      <c r="AC450" s="210"/>
      <c r="AD450" s="210"/>
      <c r="AE450" s="210"/>
      <c r="AF450" s="210"/>
      <c r="AG450" s="210"/>
      <c r="AH450" s="210"/>
      <c r="AI450" s="210"/>
      <c r="AJ450" s="210"/>
      <c r="AK450" s="210"/>
      <c r="AL450" s="210"/>
      <c r="AM450" s="214"/>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c r="BU450" s="210"/>
      <c r="BV450" s="210"/>
      <c r="BW450" s="210"/>
      <c r="BX450" s="210"/>
      <c r="BY450" s="210"/>
      <c r="BZ450" s="210"/>
      <c r="CA450" s="210"/>
      <c r="CB450" s="210"/>
      <c r="CC450" s="210"/>
      <c r="CD450" s="210"/>
      <c r="CE450" s="210"/>
      <c r="CF450" s="210"/>
      <c r="CG450" s="210"/>
      <c r="CH450" s="210"/>
      <c r="CI450" s="210"/>
      <c r="CJ450" s="210"/>
      <c r="CK450" s="210"/>
    </row>
    <row r="451">
      <c r="A451" s="222" t="s">
        <v>558</v>
      </c>
      <c r="B451" s="190" t="s">
        <v>559</v>
      </c>
      <c r="C451" s="223" t="s">
        <v>89</v>
      </c>
      <c r="D451" s="223" t="s">
        <v>882</v>
      </c>
      <c r="E451" s="190" t="s">
        <v>26</v>
      </c>
      <c r="F451" s="13" t="s">
        <v>25</v>
      </c>
      <c r="G451" s="190"/>
      <c r="H451" s="219">
        <f>IFERROR(
  MINIFS(ATTENDANCE_LOG!$F:$F,
         ATTENDANCE_LOG!$A:$A, C451,
         ATTENDANCE_LOG!$B:$B, E451),
"")</f>
        <v>46126.58333</v>
      </c>
      <c r="I451" s="219">
        <f t="shared" si="2"/>
        <v>45916.45833</v>
      </c>
      <c r="J451" s="190">
        <f>IFERROR(VLOOKUP(F451, LEVEL_HELPER!$A:$B, 2, 0), "")</f>
        <v>0.5</v>
      </c>
      <c r="K451" s="190" t="str">
        <f>IFERROR(VLOOKUP(G451, LEVEL_HELPER!$A:$B, 2, 0), "")</f>
        <v/>
      </c>
      <c r="L451" s="220" t="s">
        <v>931</v>
      </c>
      <c r="M451" s="220" t="s">
        <v>920</v>
      </c>
      <c r="N451" s="190">
        <f t="array" ref="N451">IFERROR(
  INDEX($J$2:$J$543,
    MATCH(A451&amp;TEXT(I451,"yyyy-mm-dd"),
          $A$2:$A$543&amp;TEXT($H$2:$H$543,"yyyy-mm-dd"),
          0)),
"")</f>
        <v>0.5</v>
      </c>
      <c r="O451" s="210">
        <f t="shared" si="3"/>
        <v>0.5</v>
      </c>
      <c r="P451" s="210">
        <f t="shared" ref="P451:Q451" si="461">IF(N451="",0,IF(N451&lt;=2,1,IF(N451&lt;=4,2,IF(N451&lt;=5.5,3,4))))</f>
        <v>1</v>
      </c>
      <c r="Q451" s="210">
        <f t="shared" si="461"/>
        <v>1</v>
      </c>
      <c r="R451" s="210" t="str">
        <f t="shared" si="5"/>
        <v>No Progress</v>
      </c>
      <c r="S451" s="210">
        <f t="shared" si="6"/>
        <v>1</v>
      </c>
      <c r="T451" s="210"/>
      <c r="U451" s="210"/>
      <c r="V451" s="210"/>
      <c r="W451" s="210"/>
      <c r="X451" s="210"/>
      <c r="Y451" s="210"/>
      <c r="Z451" s="210"/>
      <c r="AA451" s="210"/>
      <c r="AB451" s="210"/>
      <c r="AC451" s="210"/>
      <c r="AD451" s="210"/>
      <c r="AE451" s="210"/>
      <c r="AF451" s="210"/>
      <c r="AG451" s="210"/>
      <c r="AH451" s="210"/>
      <c r="AI451" s="210"/>
      <c r="AJ451" s="210"/>
      <c r="AK451" s="210"/>
      <c r="AL451" s="210"/>
      <c r="AM451" s="214"/>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c r="BU451" s="210"/>
      <c r="BV451" s="210"/>
      <c r="BW451" s="210"/>
      <c r="BX451" s="210"/>
      <c r="BY451" s="210"/>
      <c r="BZ451" s="210"/>
      <c r="CA451" s="210"/>
      <c r="CB451" s="210"/>
      <c r="CC451" s="210"/>
      <c r="CD451" s="210"/>
      <c r="CE451" s="210"/>
      <c r="CF451" s="210"/>
      <c r="CG451" s="210"/>
      <c r="CH451" s="210"/>
      <c r="CI451" s="210"/>
      <c r="CJ451" s="210"/>
      <c r="CK451" s="210"/>
    </row>
    <row r="452">
      <c r="A452" s="216" t="s">
        <v>574</v>
      </c>
      <c r="B452" s="217" t="s">
        <v>575</v>
      </c>
      <c r="C452" s="218" t="s">
        <v>89</v>
      </c>
      <c r="D452" s="218" t="s">
        <v>882</v>
      </c>
      <c r="E452" s="217" t="s">
        <v>25</v>
      </c>
      <c r="F452" s="242" t="s">
        <v>25</v>
      </c>
      <c r="G452" s="242" t="s">
        <v>25</v>
      </c>
      <c r="H452" s="219">
        <f>IFERROR(
  MINIFS(ATTENDANCE_LOG!$F:$F,
         ATTENDANCE_LOG!$A:$A, C452,
         ATTENDANCE_LOG!$B:$B, E452),
"")</f>
        <v>45916.45833</v>
      </c>
      <c r="I452" s="219">
        <f t="shared" si="2"/>
        <v>45916.45833</v>
      </c>
      <c r="J452" s="217">
        <f>IFERROR(VLOOKUP(F452, LEVEL_HELPER!$A:$B, 2, 0), "")</f>
        <v>0.5</v>
      </c>
      <c r="K452" s="217">
        <f>IFERROR(VLOOKUP(G452, LEVEL_HELPER!$A:$B, 2, 0), "")</f>
        <v>0.5</v>
      </c>
      <c r="L452" s="247" t="s">
        <v>931</v>
      </c>
      <c r="M452" s="247" t="s">
        <v>926</v>
      </c>
      <c r="N452" s="190">
        <f t="array" ref="N452">IFERROR(
  INDEX($J$2:$J$543,
    MATCH(A452&amp;TEXT(I452,"yyyy-mm-dd"),
          $A$2:$A$543&amp;TEXT($H$2:$H$543,"yyyy-mm-dd"),
          0)),
"")</f>
        <v>0.5</v>
      </c>
      <c r="O452" s="248">
        <f t="shared" si="3"/>
        <v>0.5</v>
      </c>
      <c r="P452" s="210">
        <f t="shared" ref="P452:Q452" si="462">IF(N452="",0,IF(N452&lt;=2,1,IF(N452&lt;=4,2,IF(N452&lt;=5.5,3,4))))</f>
        <v>1</v>
      </c>
      <c r="Q452" s="210">
        <f t="shared" si="462"/>
        <v>1</v>
      </c>
      <c r="R452" s="210" t="str">
        <f t="shared" si="5"/>
        <v>No Progress</v>
      </c>
      <c r="S452" s="210">
        <f t="shared" si="6"/>
        <v>0</v>
      </c>
      <c r="T452" s="210"/>
      <c r="U452" s="210"/>
      <c r="V452" s="210"/>
      <c r="W452" s="210"/>
      <c r="X452" s="210"/>
      <c r="Y452" s="210"/>
      <c r="Z452" s="210"/>
      <c r="AA452" s="210"/>
      <c r="AB452" s="210"/>
      <c r="AC452" s="210"/>
      <c r="AD452" s="210"/>
      <c r="AE452" s="210"/>
      <c r="AF452" s="210"/>
      <c r="AG452" s="210"/>
      <c r="AH452" s="210"/>
      <c r="AI452" s="210"/>
      <c r="AJ452" s="210"/>
      <c r="AK452" s="210"/>
      <c r="AL452" s="210"/>
      <c r="AM452" s="214"/>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c r="BU452" s="210"/>
      <c r="BV452" s="210"/>
      <c r="BW452" s="210"/>
      <c r="BX452" s="210"/>
      <c r="BY452" s="210"/>
      <c r="BZ452" s="210"/>
      <c r="CA452" s="210"/>
      <c r="CB452" s="210"/>
      <c r="CC452" s="210"/>
      <c r="CD452" s="210"/>
      <c r="CE452" s="210"/>
      <c r="CF452" s="210"/>
      <c r="CG452" s="210"/>
      <c r="CH452" s="210"/>
      <c r="CI452" s="210"/>
      <c r="CJ452" s="210"/>
      <c r="CK452" s="210"/>
    </row>
    <row r="453">
      <c r="A453" s="222" t="s">
        <v>161</v>
      </c>
      <c r="B453" s="190" t="s">
        <v>162</v>
      </c>
      <c r="C453" s="223" t="s">
        <v>89</v>
      </c>
      <c r="D453" s="223" t="s">
        <v>882</v>
      </c>
      <c r="E453" s="190" t="s">
        <v>25</v>
      </c>
      <c r="F453" s="13" t="s">
        <v>25</v>
      </c>
      <c r="G453" s="13" t="s">
        <v>25</v>
      </c>
      <c r="H453" s="219">
        <f>IFERROR(
  MINIFS(ATTENDANCE_LOG!$F:$F,
         ATTENDANCE_LOG!$A:$A, C453,
         ATTENDANCE_LOG!$B:$B, E453),
"")</f>
        <v>45916.45833</v>
      </c>
      <c r="I453" s="219">
        <f t="shared" si="2"/>
        <v>45916.45833</v>
      </c>
      <c r="J453" s="190">
        <f>IFERROR(VLOOKUP(F453, LEVEL_HELPER!$A:$B, 2, 0), "")</f>
        <v>0.5</v>
      </c>
      <c r="K453" s="190">
        <f>IFERROR(VLOOKUP(G453, LEVEL_HELPER!$A:$B, 2, 0), "")</f>
        <v>0.5</v>
      </c>
      <c r="L453" s="220" t="s">
        <v>943</v>
      </c>
      <c r="M453" s="220" t="s">
        <v>924</v>
      </c>
      <c r="N453" s="190">
        <f t="array" ref="N453">IFERROR(
  INDEX($J$2:$J$543,
    MATCH(A453&amp;TEXT(I453,"yyyy-mm-dd"),
          $A$2:$A$543&amp;TEXT($H$2:$H$543,"yyyy-mm-dd"),
          0)),
"")</f>
        <v>0.5</v>
      </c>
      <c r="O453" s="210">
        <f t="shared" si="3"/>
        <v>0.5</v>
      </c>
      <c r="P453" s="210">
        <f t="shared" ref="P453:Q453" si="463">IF(N453="",0,IF(N453&lt;=2,1,IF(N453&lt;=4,2,IF(N453&lt;=5.5,3,4))))</f>
        <v>1</v>
      </c>
      <c r="Q453" s="210">
        <f t="shared" si="463"/>
        <v>1</v>
      </c>
      <c r="R453" s="210" t="str">
        <f t="shared" si="5"/>
        <v>No Progress</v>
      </c>
      <c r="S453" s="210">
        <f t="shared" si="6"/>
        <v>1</v>
      </c>
      <c r="T453" s="210"/>
      <c r="U453" s="210"/>
      <c r="V453" s="210"/>
      <c r="W453" s="210"/>
      <c r="X453" s="210"/>
      <c r="Y453" s="210"/>
      <c r="Z453" s="210"/>
      <c r="AA453" s="210"/>
      <c r="AB453" s="210"/>
      <c r="AC453" s="210"/>
      <c r="AD453" s="210"/>
      <c r="AE453" s="210"/>
      <c r="AF453" s="210"/>
      <c r="AG453" s="210"/>
      <c r="AH453" s="210"/>
      <c r="AI453" s="210"/>
      <c r="AJ453" s="210"/>
      <c r="AK453" s="210"/>
      <c r="AL453" s="210"/>
      <c r="AM453" s="214"/>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c r="BU453" s="210"/>
      <c r="BV453" s="210"/>
      <c r="BW453" s="210"/>
      <c r="BX453" s="210"/>
      <c r="BY453" s="210"/>
      <c r="BZ453" s="210"/>
      <c r="CA453" s="210"/>
      <c r="CB453" s="210"/>
      <c r="CC453" s="210"/>
      <c r="CD453" s="210"/>
      <c r="CE453" s="210"/>
      <c r="CF453" s="210"/>
      <c r="CG453" s="210"/>
      <c r="CH453" s="210"/>
      <c r="CI453" s="210"/>
      <c r="CJ453" s="210"/>
      <c r="CK453" s="210"/>
    </row>
    <row r="454">
      <c r="A454" s="222" t="s">
        <v>290</v>
      </c>
      <c r="B454" s="190" t="s">
        <v>291</v>
      </c>
      <c r="C454" s="223" t="s">
        <v>89</v>
      </c>
      <c r="D454" s="223" t="s">
        <v>882</v>
      </c>
      <c r="E454" s="190" t="s">
        <v>25</v>
      </c>
      <c r="F454" s="13" t="s">
        <v>25</v>
      </c>
      <c r="G454" s="13" t="s">
        <v>25</v>
      </c>
      <c r="H454" s="219">
        <f>IFERROR(
  MINIFS(ATTENDANCE_LOG!$F:$F,
         ATTENDANCE_LOG!$A:$A, C454,
         ATTENDANCE_LOG!$B:$B, E454),
"")</f>
        <v>45916.45833</v>
      </c>
      <c r="I454" s="219">
        <f t="shared" si="2"/>
        <v>45916.45833</v>
      </c>
      <c r="J454" s="190">
        <f>IFERROR(VLOOKUP(F454, LEVEL_HELPER!$A:$B, 2, 0), "")</f>
        <v>0.5</v>
      </c>
      <c r="K454" s="190">
        <f>IFERROR(VLOOKUP(G454, LEVEL_HELPER!$A:$B, 2, 0), "")</f>
        <v>0.5</v>
      </c>
      <c r="L454" s="220" t="s">
        <v>931</v>
      </c>
      <c r="M454" s="220" t="s">
        <v>920</v>
      </c>
      <c r="N454" s="190">
        <f t="array" ref="N454">IFERROR(
  INDEX($J$2:$J$543,
    MATCH(A454&amp;TEXT(I454,"yyyy-mm-dd"),
          $A$2:$A$543&amp;TEXT($H$2:$H$543,"yyyy-mm-dd"),
          0)),
"")</f>
        <v>0.5</v>
      </c>
      <c r="O454" s="210">
        <f t="shared" si="3"/>
        <v>0.5</v>
      </c>
      <c r="P454" s="210">
        <f t="shared" ref="P454:Q454" si="464">IF(N454="",0,IF(N454&lt;=2,1,IF(N454&lt;=4,2,IF(N454&lt;=5.5,3,4))))</f>
        <v>1</v>
      </c>
      <c r="Q454" s="210">
        <f t="shared" si="464"/>
        <v>1</v>
      </c>
      <c r="R454" s="210" t="str">
        <f t="shared" si="5"/>
        <v>No Progress</v>
      </c>
      <c r="S454" s="210">
        <f t="shared" si="6"/>
        <v>1</v>
      </c>
      <c r="T454" s="210"/>
      <c r="U454" s="210"/>
      <c r="V454" s="210"/>
      <c r="W454" s="210"/>
      <c r="X454" s="210"/>
      <c r="Y454" s="210"/>
      <c r="Z454" s="210"/>
      <c r="AA454" s="210"/>
      <c r="AB454" s="210"/>
      <c r="AC454" s="210"/>
      <c r="AD454" s="210"/>
      <c r="AE454" s="210"/>
      <c r="AF454" s="210"/>
      <c r="AG454" s="210"/>
      <c r="AH454" s="210"/>
      <c r="AI454" s="210"/>
      <c r="AJ454" s="210"/>
      <c r="AK454" s="210"/>
      <c r="AL454" s="210"/>
      <c r="AM454" s="214"/>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c r="BU454" s="210"/>
      <c r="BV454" s="210"/>
      <c r="BW454" s="210"/>
      <c r="BX454" s="210"/>
      <c r="BY454" s="210"/>
      <c r="BZ454" s="210"/>
      <c r="CA454" s="210"/>
      <c r="CB454" s="210"/>
      <c r="CC454" s="210"/>
      <c r="CD454" s="210"/>
      <c r="CE454" s="210"/>
      <c r="CF454" s="210"/>
      <c r="CG454" s="210"/>
      <c r="CH454" s="210"/>
      <c r="CI454" s="210"/>
      <c r="CJ454" s="210"/>
      <c r="CK454" s="210"/>
    </row>
    <row r="455">
      <c r="A455" s="222" t="s">
        <v>391</v>
      </c>
      <c r="B455" s="190" t="s">
        <v>392</v>
      </c>
      <c r="C455" s="223" t="s">
        <v>89</v>
      </c>
      <c r="D455" s="223" t="s">
        <v>882</v>
      </c>
      <c r="E455" s="190" t="s">
        <v>25</v>
      </c>
      <c r="F455" s="13" t="s">
        <v>25</v>
      </c>
      <c r="G455" s="13" t="s">
        <v>25</v>
      </c>
      <c r="H455" s="219">
        <f>IFERROR(
  MINIFS(ATTENDANCE_LOG!$F:$F,
         ATTENDANCE_LOG!$A:$A, C455,
         ATTENDANCE_LOG!$B:$B, E455),
"")</f>
        <v>45916.45833</v>
      </c>
      <c r="I455" s="219">
        <f t="shared" si="2"/>
        <v>45916.45833</v>
      </c>
      <c r="J455" s="190">
        <f>IFERROR(VLOOKUP(F455, LEVEL_HELPER!$A:$B, 2, 0), "")</f>
        <v>0.5</v>
      </c>
      <c r="K455" s="190">
        <f>IFERROR(VLOOKUP(G455, LEVEL_HELPER!$A:$B, 2, 0), "")</f>
        <v>0.5</v>
      </c>
      <c r="L455" s="220" t="s">
        <v>931</v>
      </c>
      <c r="M455" s="229" t="s">
        <v>922</v>
      </c>
      <c r="N455" s="190">
        <f t="array" ref="N455">IFERROR(
  INDEX($J$2:$J$543,
    MATCH(A455&amp;TEXT(I455,"yyyy-mm-dd"),
          $A$2:$A$543&amp;TEXT($H$2:$H$543,"yyyy-mm-dd"),
          0)),
"")</f>
        <v>0.5</v>
      </c>
      <c r="O455" s="210">
        <f t="shared" si="3"/>
        <v>0.5</v>
      </c>
      <c r="P455" s="210">
        <f t="shared" ref="P455:Q455" si="465">IF(N455="",0,IF(N455&lt;=2,1,IF(N455&lt;=4,2,IF(N455&lt;=5.5,3,4))))</f>
        <v>1</v>
      </c>
      <c r="Q455" s="210">
        <f t="shared" si="465"/>
        <v>1</v>
      </c>
      <c r="R455" s="210" t="str">
        <f t="shared" si="5"/>
        <v>No Progress</v>
      </c>
      <c r="S455" s="210">
        <f t="shared" si="6"/>
        <v>1</v>
      </c>
      <c r="T455" s="210"/>
      <c r="U455" s="210"/>
      <c r="V455" s="210"/>
      <c r="W455" s="210"/>
      <c r="X455" s="210"/>
      <c r="Y455" s="210"/>
      <c r="Z455" s="210"/>
      <c r="AA455" s="210"/>
      <c r="AB455" s="210"/>
      <c r="AC455" s="210"/>
      <c r="AD455" s="210"/>
      <c r="AE455" s="210"/>
      <c r="AF455" s="210"/>
      <c r="AG455" s="210"/>
      <c r="AH455" s="210"/>
      <c r="AI455" s="210"/>
      <c r="AJ455" s="210"/>
      <c r="AK455" s="210"/>
      <c r="AL455" s="210"/>
      <c r="AM455" s="214"/>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c r="BU455" s="210"/>
      <c r="BV455" s="210"/>
      <c r="BW455" s="210"/>
      <c r="BX455" s="210"/>
      <c r="BY455" s="210"/>
      <c r="BZ455" s="210"/>
      <c r="CA455" s="210"/>
      <c r="CB455" s="210"/>
      <c r="CC455" s="210"/>
      <c r="CD455" s="210"/>
      <c r="CE455" s="210"/>
      <c r="CF455" s="210"/>
      <c r="CG455" s="210"/>
      <c r="CH455" s="210"/>
      <c r="CI455" s="210"/>
      <c r="CJ455" s="210"/>
      <c r="CK455" s="210"/>
    </row>
    <row r="456">
      <c r="A456" s="222" t="s">
        <v>468</v>
      </c>
      <c r="B456" s="190" t="s">
        <v>469</v>
      </c>
      <c r="C456" s="223" t="s">
        <v>89</v>
      </c>
      <c r="D456" s="223" t="s">
        <v>882</v>
      </c>
      <c r="E456" s="190" t="s">
        <v>25</v>
      </c>
      <c r="F456" s="13" t="s">
        <v>25</v>
      </c>
      <c r="G456" s="13" t="s">
        <v>25</v>
      </c>
      <c r="H456" s="219">
        <f>IFERROR(
  MINIFS(ATTENDANCE_LOG!$F:$F,
         ATTENDANCE_LOG!$A:$A, C456,
         ATTENDANCE_LOG!$B:$B, E456),
"")</f>
        <v>45916.45833</v>
      </c>
      <c r="I456" s="219">
        <f t="shared" si="2"/>
        <v>45916.45833</v>
      </c>
      <c r="J456" s="190">
        <f>IFERROR(VLOOKUP(F456, LEVEL_HELPER!$A:$B, 2, 0), "")</f>
        <v>0.5</v>
      </c>
      <c r="K456" s="190">
        <f>IFERROR(VLOOKUP(G456, LEVEL_HELPER!$A:$B, 2, 0), "")</f>
        <v>0.5</v>
      </c>
      <c r="L456" s="220" t="s">
        <v>931</v>
      </c>
      <c r="M456" s="220" t="s">
        <v>920</v>
      </c>
      <c r="N456" s="190">
        <f t="array" ref="N456">IFERROR(
  INDEX($J$2:$J$543,
    MATCH(A456&amp;TEXT(I456,"yyyy-mm-dd"),
          $A$2:$A$543&amp;TEXT($H$2:$H$543,"yyyy-mm-dd"),
          0)),
"")</f>
        <v>0.5</v>
      </c>
      <c r="O456" s="210">
        <f t="shared" si="3"/>
        <v>0.5</v>
      </c>
      <c r="P456" s="210">
        <f t="shared" ref="P456:Q456" si="466">IF(N456="",0,IF(N456&lt;=2,1,IF(N456&lt;=4,2,IF(N456&lt;=5.5,3,4))))</f>
        <v>1</v>
      </c>
      <c r="Q456" s="210">
        <f t="shared" si="466"/>
        <v>1</v>
      </c>
      <c r="R456" s="210" t="str">
        <f t="shared" si="5"/>
        <v>No Progress</v>
      </c>
      <c r="S456" s="210">
        <f t="shared" si="6"/>
        <v>1</v>
      </c>
      <c r="T456" s="210"/>
      <c r="U456" s="210"/>
      <c r="V456" s="210"/>
      <c r="W456" s="210"/>
      <c r="X456" s="210"/>
      <c r="Y456" s="210"/>
      <c r="Z456" s="210"/>
      <c r="AA456" s="210"/>
      <c r="AB456" s="210"/>
      <c r="AC456" s="210"/>
      <c r="AD456" s="210"/>
      <c r="AE456" s="210"/>
      <c r="AF456" s="210"/>
      <c r="AG456" s="210"/>
      <c r="AH456" s="210"/>
      <c r="AI456" s="210"/>
      <c r="AJ456" s="210"/>
      <c r="AK456" s="210"/>
      <c r="AL456" s="210"/>
      <c r="AM456" s="214"/>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c r="BU456" s="210"/>
      <c r="BV456" s="210"/>
      <c r="BW456" s="210"/>
      <c r="BX456" s="210"/>
      <c r="BY456" s="210"/>
      <c r="BZ456" s="210"/>
      <c r="CA456" s="210"/>
      <c r="CB456" s="210"/>
      <c r="CC456" s="210"/>
      <c r="CD456" s="210"/>
      <c r="CE456" s="210"/>
      <c r="CF456" s="210"/>
      <c r="CG456" s="210"/>
      <c r="CH456" s="210"/>
      <c r="CI456" s="210"/>
      <c r="CJ456" s="210"/>
      <c r="CK456" s="210"/>
    </row>
    <row r="457">
      <c r="A457" s="222" t="s">
        <v>516</v>
      </c>
      <c r="B457" s="190" t="s">
        <v>517</v>
      </c>
      <c r="C457" s="223" t="s">
        <v>89</v>
      </c>
      <c r="D457" s="223" t="s">
        <v>882</v>
      </c>
      <c r="E457" s="190" t="s">
        <v>25</v>
      </c>
      <c r="F457" s="13" t="s">
        <v>25</v>
      </c>
      <c r="G457" s="13" t="s">
        <v>25</v>
      </c>
      <c r="H457" s="219">
        <f>IFERROR(
  MINIFS(ATTENDANCE_LOG!$F:$F,
         ATTENDANCE_LOG!$A:$A, C457,
         ATTENDANCE_LOG!$B:$B, E457),
"")</f>
        <v>45916.45833</v>
      </c>
      <c r="I457" s="219">
        <f t="shared" si="2"/>
        <v>45916.45833</v>
      </c>
      <c r="J457" s="190">
        <f>IFERROR(VLOOKUP(F457, LEVEL_HELPER!$A:$B, 2, 0), "")</f>
        <v>0.5</v>
      </c>
      <c r="K457" s="190">
        <f>IFERROR(VLOOKUP(G457, LEVEL_HELPER!$A:$B, 2, 0), "")</f>
        <v>0.5</v>
      </c>
      <c r="L457" s="220" t="s">
        <v>931</v>
      </c>
      <c r="M457" s="220" t="s">
        <v>920</v>
      </c>
      <c r="N457" s="190">
        <f t="array" ref="N457">IFERROR(
  INDEX($J$2:$J$543,
    MATCH(A457&amp;TEXT(I457,"yyyy-mm-dd"),
          $A$2:$A$543&amp;TEXT($H$2:$H$543,"yyyy-mm-dd"),
          0)),
"")</f>
        <v>0.5</v>
      </c>
      <c r="O457" s="210">
        <f t="shared" si="3"/>
        <v>0.5</v>
      </c>
      <c r="P457" s="210">
        <f t="shared" ref="P457:Q457" si="467">IF(N457="",0,IF(N457&lt;=2,1,IF(N457&lt;=4,2,IF(N457&lt;=5.5,3,4))))</f>
        <v>1</v>
      </c>
      <c r="Q457" s="210">
        <f t="shared" si="467"/>
        <v>1</v>
      </c>
      <c r="R457" s="210" t="str">
        <f t="shared" si="5"/>
        <v>No Progress</v>
      </c>
      <c r="S457" s="210">
        <f t="shared" si="6"/>
        <v>1</v>
      </c>
      <c r="T457" s="210"/>
      <c r="U457" s="210"/>
      <c r="V457" s="210"/>
      <c r="W457" s="210"/>
      <c r="X457" s="210"/>
      <c r="Y457" s="210"/>
      <c r="Z457" s="210"/>
      <c r="AA457" s="210"/>
      <c r="AB457" s="210"/>
      <c r="AC457" s="210"/>
      <c r="AD457" s="210"/>
      <c r="AE457" s="210"/>
      <c r="AF457" s="210"/>
      <c r="AG457" s="210"/>
      <c r="AH457" s="210"/>
      <c r="AI457" s="210"/>
      <c r="AJ457" s="210"/>
      <c r="AK457" s="210"/>
      <c r="AL457" s="210"/>
      <c r="AM457" s="214"/>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c r="BU457" s="210"/>
      <c r="BV457" s="210"/>
      <c r="BW457" s="210"/>
      <c r="BX457" s="210"/>
      <c r="BY457" s="210"/>
      <c r="BZ457" s="210"/>
      <c r="CA457" s="210"/>
      <c r="CB457" s="210"/>
      <c r="CC457" s="210"/>
      <c r="CD457" s="210"/>
      <c r="CE457" s="210"/>
      <c r="CF457" s="210"/>
      <c r="CG457" s="210"/>
      <c r="CH457" s="210"/>
      <c r="CI457" s="210"/>
      <c r="CJ457" s="210"/>
      <c r="CK457" s="210"/>
    </row>
    <row r="458">
      <c r="A458" s="222" t="s">
        <v>545</v>
      </c>
      <c r="B458" s="190" t="s">
        <v>546</v>
      </c>
      <c r="C458" s="223" t="s">
        <v>89</v>
      </c>
      <c r="D458" s="223" t="s">
        <v>882</v>
      </c>
      <c r="E458" s="190" t="s">
        <v>25</v>
      </c>
      <c r="F458" s="13" t="s">
        <v>25</v>
      </c>
      <c r="G458" s="13" t="s">
        <v>25</v>
      </c>
      <c r="H458" s="219">
        <f>IFERROR(
  MINIFS(ATTENDANCE_LOG!$F:$F,
         ATTENDANCE_LOG!$A:$A, C458,
         ATTENDANCE_LOG!$B:$B, E458),
"")</f>
        <v>45916.45833</v>
      </c>
      <c r="I458" s="219">
        <f t="shared" si="2"/>
        <v>45916.45833</v>
      </c>
      <c r="J458" s="190">
        <f>IFERROR(VLOOKUP(F458, LEVEL_HELPER!$A:$B, 2, 0), "")</f>
        <v>0.5</v>
      </c>
      <c r="K458" s="190">
        <f>IFERROR(VLOOKUP(G458, LEVEL_HELPER!$A:$B, 2, 0), "")</f>
        <v>0.5</v>
      </c>
      <c r="L458" s="220" t="s">
        <v>931</v>
      </c>
      <c r="M458" s="220" t="s">
        <v>920</v>
      </c>
      <c r="N458" s="190">
        <f t="array" ref="N458">IFERROR(
  INDEX($J$2:$J$543,
    MATCH(A458&amp;TEXT(I458,"yyyy-mm-dd"),
          $A$2:$A$543&amp;TEXT($H$2:$H$543,"yyyy-mm-dd"),
          0)),
"")</f>
        <v>0.5</v>
      </c>
      <c r="O458" s="210">
        <f t="shared" si="3"/>
        <v>0.5</v>
      </c>
      <c r="P458" s="210">
        <f t="shared" ref="P458:Q458" si="468">IF(N458="",0,IF(N458&lt;=2,1,IF(N458&lt;=4,2,IF(N458&lt;=5.5,3,4))))</f>
        <v>1</v>
      </c>
      <c r="Q458" s="210">
        <f t="shared" si="468"/>
        <v>1</v>
      </c>
      <c r="R458" s="210" t="str">
        <f t="shared" si="5"/>
        <v>No Progress</v>
      </c>
      <c r="S458" s="210">
        <f t="shared" si="6"/>
        <v>0</v>
      </c>
      <c r="T458" s="210"/>
      <c r="U458" s="210"/>
      <c r="V458" s="210"/>
      <c r="W458" s="210"/>
      <c r="X458" s="210"/>
      <c r="Y458" s="210"/>
      <c r="Z458" s="210"/>
      <c r="AA458" s="210"/>
      <c r="AB458" s="210"/>
      <c r="AC458" s="210"/>
      <c r="AD458" s="210"/>
      <c r="AE458" s="210"/>
      <c r="AF458" s="210"/>
      <c r="AG458" s="210"/>
      <c r="AH458" s="210"/>
      <c r="AI458" s="210"/>
      <c r="AJ458" s="210"/>
      <c r="AK458" s="210"/>
      <c r="AL458" s="210"/>
      <c r="AM458" s="214"/>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c r="BU458" s="210"/>
      <c r="BV458" s="210"/>
      <c r="BW458" s="210"/>
      <c r="BX458" s="210"/>
      <c r="BY458" s="210"/>
      <c r="BZ458" s="210"/>
      <c r="CA458" s="210"/>
      <c r="CB458" s="210"/>
      <c r="CC458" s="210"/>
      <c r="CD458" s="210"/>
      <c r="CE458" s="210"/>
      <c r="CF458" s="210"/>
      <c r="CG458" s="210"/>
      <c r="CH458" s="210"/>
      <c r="CI458" s="210"/>
      <c r="CJ458" s="210"/>
      <c r="CK458" s="210"/>
    </row>
    <row r="459">
      <c r="A459" s="222" t="s">
        <v>558</v>
      </c>
      <c r="B459" s="190" t="s">
        <v>559</v>
      </c>
      <c r="C459" s="223" t="s">
        <v>89</v>
      </c>
      <c r="D459" s="223" t="s">
        <v>882</v>
      </c>
      <c r="E459" s="190" t="s">
        <v>25</v>
      </c>
      <c r="F459" s="13" t="s">
        <v>25</v>
      </c>
      <c r="G459" s="13" t="s">
        <v>25</v>
      </c>
      <c r="H459" s="219">
        <f>IFERROR(
  MINIFS(ATTENDANCE_LOG!$F:$F,
         ATTENDANCE_LOG!$A:$A, C459,
         ATTENDANCE_LOG!$B:$B, E459),
"")</f>
        <v>45916.45833</v>
      </c>
      <c r="I459" s="219">
        <f t="shared" si="2"/>
        <v>45916.45833</v>
      </c>
      <c r="J459" s="190">
        <f>IFERROR(VLOOKUP(F459, LEVEL_HELPER!$A:$B, 2, 0), "")</f>
        <v>0.5</v>
      </c>
      <c r="K459" s="190">
        <f>IFERROR(VLOOKUP(G459, LEVEL_HELPER!$A:$B, 2, 0), "")</f>
        <v>0.5</v>
      </c>
      <c r="L459" s="220" t="s">
        <v>931</v>
      </c>
      <c r="M459" s="220" t="s">
        <v>920</v>
      </c>
      <c r="N459" s="190">
        <f t="array" ref="N459">IFERROR(
  INDEX($J$2:$J$543,
    MATCH(A459&amp;TEXT(I459,"yyyy-mm-dd"),
          $A$2:$A$543&amp;TEXT($H$2:$H$543,"yyyy-mm-dd"),
          0)),
"")</f>
        <v>0.5</v>
      </c>
      <c r="O459" s="210">
        <f t="shared" si="3"/>
        <v>0.5</v>
      </c>
      <c r="P459" s="210">
        <f t="shared" ref="P459:Q459" si="469">IF(N459="",0,IF(N459&lt;=2,1,IF(N459&lt;=4,2,IF(N459&lt;=5.5,3,4))))</f>
        <v>1</v>
      </c>
      <c r="Q459" s="210">
        <f t="shared" si="469"/>
        <v>1</v>
      </c>
      <c r="R459" s="210" t="str">
        <f t="shared" si="5"/>
        <v>No Progress</v>
      </c>
      <c r="S459" s="210">
        <f t="shared" si="6"/>
        <v>0</v>
      </c>
      <c r="T459" s="210"/>
      <c r="U459" s="210"/>
      <c r="V459" s="210"/>
      <c r="W459" s="210"/>
      <c r="X459" s="210"/>
      <c r="Y459" s="210"/>
      <c r="Z459" s="210"/>
      <c r="AA459" s="210"/>
      <c r="AB459" s="210"/>
      <c r="AC459" s="210"/>
      <c r="AD459" s="210"/>
      <c r="AE459" s="210"/>
      <c r="AF459" s="210"/>
      <c r="AG459" s="210"/>
      <c r="AH459" s="210"/>
      <c r="AI459" s="210"/>
      <c r="AJ459" s="210"/>
      <c r="AK459" s="210"/>
      <c r="AL459" s="210"/>
      <c r="AM459" s="214"/>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c r="BU459" s="210"/>
      <c r="BV459" s="210"/>
      <c r="BW459" s="210"/>
      <c r="BX459" s="210"/>
      <c r="BY459" s="210"/>
      <c r="BZ459" s="210"/>
      <c r="CA459" s="210"/>
      <c r="CB459" s="210"/>
      <c r="CC459" s="210"/>
      <c r="CD459" s="210"/>
      <c r="CE459" s="210"/>
      <c r="CF459" s="210"/>
      <c r="CG459" s="210"/>
      <c r="CH459" s="210"/>
      <c r="CI459" s="210"/>
      <c r="CJ459" s="210"/>
      <c r="CK459" s="210"/>
    </row>
    <row r="460">
      <c r="A460" s="216" t="s">
        <v>363</v>
      </c>
      <c r="B460" s="217" t="s">
        <v>364</v>
      </c>
      <c r="C460" s="218" t="s">
        <v>90</v>
      </c>
      <c r="D460" s="218" t="s">
        <v>883</v>
      </c>
      <c r="E460" s="217" t="s">
        <v>21</v>
      </c>
      <c r="F460" s="242" t="s">
        <v>927</v>
      </c>
      <c r="G460" s="217"/>
      <c r="H460" s="219">
        <f>IFERROR(
  MINIFS(ATTENDANCE_LOG!$F:$F,
         ATTENDANCE_LOG!$A:$A, C460,
         ATTENDANCE_LOG!$B:$B, E460),
"")</f>
        <v>45917.58333</v>
      </c>
      <c r="I460" s="219">
        <f t="shared" si="2"/>
        <v>45917.58333</v>
      </c>
      <c r="J460" s="217">
        <f>IFERROR(VLOOKUP(F460, LEVEL_HELPER!$A:$B, 2, 0), "")</f>
        <v>1</v>
      </c>
      <c r="K460" s="217" t="str">
        <f>IFERROR(VLOOKUP(G460, LEVEL_HELPER!$A:$B, 2, 0), "")</f>
        <v/>
      </c>
      <c r="L460" s="247" t="s">
        <v>931</v>
      </c>
      <c r="M460" s="247" t="s">
        <v>920</v>
      </c>
      <c r="N460" s="190">
        <f t="array" ref="N460">IFERROR(
  INDEX($J$2:$J$543,
    MATCH(A460&amp;TEXT(I460,"yyyy-mm-dd"),
          $A$2:$A$543&amp;TEXT($H$2:$H$543,"yyyy-mm-dd"),
          0)),
"")</f>
        <v>1</v>
      </c>
      <c r="O460" s="248">
        <f t="shared" si="3"/>
        <v>0</v>
      </c>
      <c r="P460" s="210">
        <f t="shared" ref="P460:Q460" si="470">IF(N460="",0,IF(N460&lt;=2,1,IF(N460&lt;=4,2,IF(N460&lt;=5.5,3,4))))</f>
        <v>1</v>
      </c>
      <c r="Q460" s="210">
        <f t="shared" si="470"/>
        <v>1</v>
      </c>
      <c r="R460" s="210" t="str">
        <f t="shared" si="5"/>
        <v>No Progress</v>
      </c>
      <c r="S460" s="210">
        <f t="shared" si="6"/>
        <v>1</v>
      </c>
      <c r="T460" s="210"/>
      <c r="U460" s="210"/>
      <c r="V460" s="210"/>
      <c r="W460" s="210"/>
      <c r="X460" s="210"/>
      <c r="Y460" s="210"/>
      <c r="Z460" s="210"/>
      <c r="AA460" s="210"/>
      <c r="AB460" s="210"/>
      <c r="AC460" s="210"/>
      <c r="AD460" s="210"/>
      <c r="AE460" s="210"/>
      <c r="AF460" s="210"/>
      <c r="AG460" s="210"/>
      <c r="AH460" s="210"/>
      <c r="AI460" s="210"/>
      <c r="AJ460" s="210"/>
      <c r="AK460" s="210"/>
      <c r="AL460" s="210"/>
      <c r="AM460" s="214"/>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c r="BU460" s="210"/>
      <c r="BV460" s="210"/>
      <c r="BW460" s="210"/>
      <c r="BX460" s="210"/>
      <c r="BY460" s="210"/>
      <c r="BZ460" s="210"/>
      <c r="CA460" s="210"/>
      <c r="CB460" s="210"/>
      <c r="CC460" s="210"/>
      <c r="CD460" s="210"/>
      <c r="CE460" s="210"/>
      <c r="CF460" s="210"/>
      <c r="CG460" s="210"/>
      <c r="CH460" s="210"/>
      <c r="CI460" s="210"/>
      <c r="CJ460" s="210"/>
      <c r="CK460" s="210"/>
    </row>
    <row r="461">
      <c r="A461" s="222" t="s">
        <v>251</v>
      </c>
      <c r="B461" s="190" t="s">
        <v>252</v>
      </c>
      <c r="C461" s="223" t="s">
        <v>90</v>
      </c>
      <c r="D461" s="223" t="s">
        <v>883</v>
      </c>
      <c r="E461" s="190" t="s">
        <v>21</v>
      </c>
      <c r="F461" s="13" t="s">
        <v>927</v>
      </c>
      <c r="G461" s="190"/>
      <c r="H461" s="219">
        <f>IFERROR(
  MINIFS(ATTENDANCE_LOG!$F:$F,
         ATTENDANCE_LOG!$A:$A, C461,
         ATTENDANCE_LOG!$B:$B, E461),
"")</f>
        <v>45917.58333</v>
      </c>
      <c r="I461" s="219">
        <f t="shared" si="2"/>
        <v>45917.58333</v>
      </c>
      <c r="J461" s="190">
        <f>IFERROR(VLOOKUP(F461, LEVEL_HELPER!$A:$B, 2, 0), "")</f>
        <v>1</v>
      </c>
      <c r="K461" s="190" t="str">
        <f>IFERROR(VLOOKUP(G461, LEVEL_HELPER!$A:$B, 2, 0), "")</f>
        <v/>
      </c>
      <c r="L461" s="220" t="s">
        <v>931</v>
      </c>
      <c r="M461" s="220" t="s">
        <v>920</v>
      </c>
      <c r="N461" s="190">
        <f t="array" ref="N461">IFERROR(
  INDEX($J$2:$J$543,
    MATCH(A461&amp;TEXT(I461,"yyyy-mm-dd"),
          $A$2:$A$543&amp;TEXT($H$2:$H$543,"yyyy-mm-dd"),
          0)),
"")</f>
        <v>1</v>
      </c>
      <c r="O461" s="210">
        <f t="shared" si="3"/>
        <v>0</v>
      </c>
      <c r="P461" s="210">
        <f t="shared" ref="P461:Q461" si="471">IF(N461="",0,IF(N461&lt;=2,1,IF(N461&lt;=4,2,IF(N461&lt;=5.5,3,4))))</f>
        <v>1</v>
      </c>
      <c r="Q461" s="210">
        <f t="shared" si="471"/>
        <v>1</v>
      </c>
      <c r="R461" s="210" t="str">
        <f t="shared" si="5"/>
        <v>No Progress</v>
      </c>
      <c r="S461" s="210">
        <f t="shared" si="6"/>
        <v>1</v>
      </c>
      <c r="T461" s="210"/>
      <c r="U461" s="210"/>
      <c r="V461" s="210"/>
      <c r="W461" s="210"/>
      <c r="X461" s="210"/>
      <c r="Y461" s="210"/>
      <c r="Z461" s="210"/>
      <c r="AA461" s="210"/>
      <c r="AB461" s="210"/>
      <c r="AC461" s="210"/>
      <c r="AD461" s="210"/>
      <c r="AE461" s="210"/>
      <c r="AF461" s="210"/>
      <c r="AG461" s="210"/>
      <c r="AH461" s="210"/>
      <c r="AI461" s="210"/>
      <c r="AJ461" s="210"/>
      <c r="AK461" s="210"/>
      <c r="AL461" s="210"/>
      <c r="AM461" s="214"/>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c r="BU461" s="210"/>
      <c r="BV461" s="210"/>
      <c r="BW461" s="210"/>
      <c r="BX461" s="210"/>
      <c r="BY461" s="210"/>
      <c r="BZ461" s="210"/>
      <c r="CA461" s="210"/>
      <c r="CB461" s="210"/>
      <c r="CC461" s="210"/>
      <c r="CD461" s="210"/>
      <c r="CE461" s="210"/>
      <c r="CF461" s="210"/>
      <c r="CG461" s="210"/>
      <c r="CH461" s="210"/>
      <c r="CI461" s="210"/>
      <c r="CJ461" s="210"/>
      <c r="CK461" s="210"/>
    </row>
    <row r="462">
      <c r="A462" s="222" t="s">
        <v>338</v>
      </c>
      <c r="B462" s="190" t="s">
        <v>339</v>
      </c>
      <c r="C462" s="223" t="s">
        <v>90</v>
      </c>
      <c r="D462" s="223" t="s">
        <v>883</v>
      </c>
      <c r="E462" s="190" t="s">
        <v>21</v>
      </c>
      <c r="F462" s="13" t="s">
        <v>927</v>
      </c>
      <c r="G462" s="190"/>
      <c r="H462" s="219">
        <f>IFERROR(
  MINIFS(ATTENDANCE_LOG!$F:$F,
         ATTENDANCE_LOG!$A:$A, C462,
         ATTENDANCE_LOG!$B:$B, E462),
"")</f>
        <v>45917.58333</v>
      </c>
      <c r="I462" s="219">
        <f t="shared" si="2"/>
        <v>45917.58333</v>
      </c>
      <c r="J462" s="190">
        <f>IFERROR(VLOOKUP(F462, LEVEL_HELPER!$A:$B, 2, 0), "")</f>
        <v>1</v>
      </c>
      <c r="K462" s="190" t="str">
        <f>IFERROR(VLOOKUP(G462, LEVEL_HELPER!$A:$B, 2, 0), "")</f>
        <v/>
      </c>
      <c r="L462" s="220" t="s">
        <v>931</v>
      </c>
      <c r="M462" s="220" t="s">
        <v>926</v>
      </c>
      <c r="N462" s="190">
        <f t="array" ref="N462">IFERROR(
  INDEX($J$2:$J$543,
    MATCH(A462&amp;TEXT(I462,"yyyy-mm-dd"),
          $A$2:$A$543&amp;TEXT($H$2:$H$543,"yyyy-mm-dd"),
          0)),
"")</f>
        <v>1</v>
      </c>
      <c r="O462" s="210">
        <f t="shared" si="3"/>
        <v>0</v>
      </c>
      <c r="P462" s="210">
        <f t="shared" ref="P462:Q462" si="472">IF(N462="",0,IF(N462&lt;=2,1,IF(N462&lt;=4,2,IF(N462&lt;=5.5,3,4))))</f>
        <v>1</v>
      </c>
      <c r="Q462" s="210">
        <f t="shared" si="472"/>
        <v>1</v>
      </c>
      <c r="R462" s="210" t="str">
        <f t="shared" si="5"/>
        <v>No Progress</v>
      </c>
      <c r="S462" s="210">
        <f t="shared" si="6"/>
        <v>1</v>
      </c>
      <c r="T462" s="210"/>
      <c r="U462" s="210"/>
      <c r="V462" s="210"/>
      <c r="W462" s="210"/>
      <c r="X462" s="210"/>
      <c r="Y462" s="210"/>
      <c r="Z462" s="210"/>
      <c r="AA462" s="210"/>
      <c r="AB462" s="210"/>
      <c r="AC462" s="210"/>
      <c r="AD462" s="210"/>
      <c r="AE462" s="210"/>
      <c r="AF462" s="210"/>
      <c r="AG462" s="210"/>
      <c r="AH462" s="210"/>
      <c r="AI462" s="210"/>
      <c r="AJ462" s="210"/>
      <c r="AK462" s="210"/>
      <c r="AL462" s="210"/>
      <c r="AM462" s="214"/>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c r="BU462" s="210"/>
      <c r="BV462" s="210"/>
      <c r="BW462" s="210"/>
      <c r="BX462" s="210"/>
      <c r="BY462" s="210"/>
      <c r="BZ462" s="210"/>
      <c r="CA462" s="210"/>
      <c r="CB462" s="210"/>
      <c r="CC462" s="210"/>
      <c r="CD462" s="210"/>
      <c r="CE462" s="210"/>
      <c r="CF462" s="210"/>
      <c r="CG462" s="210"/>
      <c r="CH462" s="210"/>
      <c r="CI462" s="210"/>
      <c r="CJ462" s="210"/>
      <c r="CK462" s="210"/>
    </row>
    <row r="463">
      <c r="A463" s="222" t="s">
        <v>379</v>
      </c>
      <c r="B463" s="190" t="s">
        <v>380</v>
      </c>
      <c r="C463" s="223" t="s">
        <v>90</v>
      </c>
      <c r="D463" s="223" t="s">
        <v>883</v>
      </c>
      <c r="E463" s="190" t="s">
        <v>21</v>
      </c>
      <c r="F463" s="13" t="s">
        <v>927</v>
      </c>
      <c r="G463" s="190"/>
      <c r="H463" s="219">
        <f>IFERROR(
  MINIFS(ATTENDANCE_LOG!$F:$F,
         ATTENDANCE_LOG!$A:$A, C463,
         ATTENDANCE_LOG!$B:$B, E463),
"")</f>
        <v>45917.58333</v>
      </c>
      <c r="I463" s="219">
        <f t="shared" si="2"/>
        <v>45917.58333</v>
      </c>
      <c r="J463" s="190">
        <f>IFERROR(VLOOKUP(F463, LEVEL_HELPER!$A:$B, 2, 0), "")</f>
        <v>1</v>
      </c>
      <c r="K463" s="190" t="str">
        <f>IFERROR(VLOOKUP(G463, LEVEL_HELPER!$A:$B, 2, 0), "")</f>
        <v/>
      </c>
      <c r="L463" s="220" t="s">
        <v>931</v>
      </c>
      <c r="M463" s="220" t="s">
        <v>926</v>
      </c>
      <c r="N463" s="190">
        <f t="array" ref="N463">IFERROR(
  INDEX($J$2:$J$543,
    MATCH(A463&amp;TEXT(I463,"yyyy-mm-dd"),
          $A$2:$A$543&amp;TEXT($H$2:$H$543,"yyyy-mm-dd"),
          0)),
"")</f>
        <v>1</v>
      </c>
      <c r="O463" s="210">
        <f t="shared" si="3"/>
        <v>0</v>
      </c>
      <c r="P463" s="210">
        <f t="shared" ref="P463:Q463" si="473">IF(N463="",0,IF(N463&lt;=2,1,IF(N463&lt;=4,2,IF(N463&lt;=5.5,3,4))))</f>
        <v>1</v>
      </c>
      <c r="Q463" s="210">
        <f t="shared" si="473"/>
        <v>1</v>
      </c>
      <c r="R463" s="210" t="str">
        <f t="shared" si="5"/>
        <v>No Progress</v>
      </c>
      <c r="S463" s="210">
        <f t="shared" si="6"/>
        <v>1</v>
      </c>
      <c r="T463" s="210"/>
      <c r="U463" s="210"/>
      <c r="V463" s="210"/>
      <c r="W463" s="210"/>
      <c r="X463" s="210"/>
      <c r="Y463" s="210"/>
      <c r="Z463" s="210"/>
      <c r="AA463" s="210"/>
      <c r="AB463" s="210"/>
      <c r="AC463" s="210"/>
      <c r="AD463" s="210"/>
      <c r="AE463" s="210"/>
      <c r="AF463" s="210"/>
      <c r="AG463" s="210"/>
      <c r="AH463" s="210"/>
      <c r="AI463" s="210"/>
      <c r="AJ463" s="210"/>
      <c r="AK463" s="210"/>
      <c r="AL463" s="210"/>
      <c r="AM463" s="214"/>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c r="BU463" s="210"/>
      <c r="BV463" s="210"/>
      <c r="BW463" s="210"/>
      <c r="BX463" s="210"/>
      <c r="BY463" s="210"/>
      <c r="BZ463" s="210"/>
      <c r="CA463" s="210"/>
      <c r="CB463" s="210"/>
      <c r="CC463" s="210"/>
      <c r="CD463" s="210"/>
      <c r="CE463" s="210"/>
      <c r="CF463" s="210"/>
      <c r="CG463" s="210"/>
      <c r="CH463" s="210"/>
      <c r="CI463" s="210"/>
      <c r="CJ463" s="210"/>
      <c r="CK463" s="210"/>
    </row>
    <row r="464">
      <c r="A464" s="222" t="s">
        <v>449</v>
      </c>
      <c r="B464" s="190" t="s">
        <v>450</v>
      </c>
      <c r="C464" s="223" t="s">
        <v>90</v>
      </c>
      <c r="D464" s="223" t="s">
        <v>883</v>
      </c>
      <c r="E464" s="190" t="s">
        <v>21</v>
      </c>
      <c r="F464" s="13" t="s">
        <v>927</v>
      </c>
      <c r="G464" s="190"/>
      <c r="H464" s="219">
        <f>IFERROR(
  MINIFS(ATTENDANCE_LOG!$F:$F,
         ATTENDANCE_LOG!$A:$A, C464,
         ATTENDANCE_LOG!$B:$B, E464),
"")</f>
        <v>45917.58333</v>
      </c>
      <c r="I464" s="219">
        <f t="shared" si="2"/>
        <v>45917.58333</v>
      </c>
      <c r="J464" s="190">
        <f>IFERROR(VLOOKUP(F464, LEVEL_HELPER!$A:$B, 2, 0), "")</f>
        <v>1</v>
      </c>
      <c r="K464" s="190" t="str">
        <f>IFERROR(VLOOKUP(G464, LEVEL_HELPER!$A:$B, 2, 0), "")</f>
        <v/>
      </c>
      <c r="L464" s="220" t="s">
        <v>931</v>
      </c>
      <c r="M464" s="220" t="s">
        <v>920</v>
      </c>
      <c r="N464" s="190">
        <f t="array" ref="N464">IFERROR(
  INDEX($J$2:$J$543,
    MATCH(A464&amp;TEXT(I464,"yyyy-mm-dd"),
          $A$2:$A$543&amp;TEXT($H$2:$H$543,"yyyy-mm-dd"),
          0)),
"")</f>
        <v>1</v>
      </c>
      <c r="O464" s="210">
        <f t="shared" si="3"/>
        <v>0</v>
      </c>
      <c r="P464" s="210">
        <f t="shared" ref="P464:Q464" si="474">IF(N464="",0,IF(N464&lt;=2,1,IF(N464&lt;=4,2,IF(N464&lt;=5.5,3,4))))</f>
        <v>1</v>
      </c>
      <c r="Q464" s="210">
        <f t="shared" si="474"/>
        <v>1</v>
      </c>
      <c r="R464" s="210" t="str">
        <f t="shared" si="5"/>
        <v>No Progress</v>
      </c>
      <c r="S464" s="210">
        <f t="shared" si="6"/>
        <v>1</v>
      </c>
      <c r="T464" s="210"/>
      <c r="U464" s="210"/>
      <c r="V464" s="210"/>
      <c r="W464" s="210"/>
      <c r="X464" s="210"/>
      <c r="Y464" s="210"/>
      <c r="Z464" s="210"/>
      <c r="AA464" s="210"/>
      <c r="AB464" s="210"/>
      <c r="AC464" s="210"/>
      <c r="AD464" s="210"/>
      <c r="AE464" s="210"/>
      <c r="AF464" s="210"/>
      <c r="AG464" s="210"/>
      <c r="AH464" s="210"/>
      <c r="AI464" s="210"/>
      <c r="AJ464" s="210"/>
      <c r="AK464" s="210"/>
      <c r="AL464" s="210"/>
      <c r="AM464" s="214"/>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c r="BU464" s="210"/>
      <c r="BV464" s="210"/>
      <c r="BW464" s="210"/>
      <c r="BX464" s="210"/>
      <c r="BY464" s="210"/>
      <c r="BZ464" s="210"/>
      <c r="CA464" s="210"/>
      <c r="CB464" s="210"/>
      <c r="CC464" s="210"/>
      <c r="CD464" s="210"/>
      <c r="CE464" s="210"/>
      <c r="CF464" s="210"/>
      <c r="CG464" s="210"/>
      <c r="CH464" s="210"/>
      <c r="CI464" s="210"/>
      <c r="CJ464" s="210"/>
      <c r="CK464" s="210"/>
    </row>
    <row r="465">
      <c r="A465" s="222" t="s">
        <v>455</v>
      </c>
      <c r="B465" s="190" t="s">
        <v>456</v>
      </c>
      <c r="C465" s="223" t="s">
        <v>90</v>
      </c>
      <c r="D465" s="223" t="s">
        <v>883</v>
      </c>
      <c r="E465" s="190" t="s">
        <v>21</v>
      </c>
      <c r="F465" s="13" t="s">
        <v>927</v>
      </c>
      <c r="G465" s="190"/>
      <c r="H465" s="219">
        <f>IFERROR(
  MINIFS(ATTENDANCE_LOG!$F:$F,
         ATTENDANCE_LOG!$A:$A, C465,
         ATTENDANCE_LOG!$B:$B, E465),
"")</f>
        <v>45917.58333</v>
      </c>
      <c r="I465" s="219">
        <f t="shared" si="2"/>
        <v>45917.58333</v>
      </c>
      <c r="J465" s="190">
        <f>IFERROR(VLOOKUP(F465, LEVEL_HELPER!$A:$B, 2, 0), "")</f>
        <v>1</v>
      </c>
      <c r="K465" s="190" t="str">
        <f>IFERROR(VLOOKUP(G465, LEVEL_HELPER!$A:$B, 2, 0), "")</f>
        <v/>
      </c>
      <c r="L465" s="220" t="s">
        <v>931</v>
      </c>
      <c r="M465" s="220" t="s">
        <v>920</v>
      </c>
      <c r="N465" s="190">
        <f t="array" ref="N465">IFERROR(
  INDEX($J$2:$J$543,
    MATCH(A465&amp;TEXT(I465,"yyyy-mm-dd"),
          $A$2:$A$543&amp;TEXT($H$2:$H$543,"yyyy-mm-dd"),
          0)),
"")</f>
        <v>1</v>
      </c>
      <c r="O465" s="210">
        <f t="shared" si="3"/>
        <v>0</v>
      </c>
      <c r="P465" s="210">
        <f t="shared" ref="P465:Q465" si="475">IF(N465="",0,IF(N465&lt;=2,1,IF(N465&lt;=4,2,IF(N465&lt;=5.5,3,4))))</f>
        <v>1</v>
      </c>
      <c r="Q465" s="210">
        <f t="shared" si="475"/>
        <v>1</v>
      </c>
      <c r="R465" s="210" t="str">
        <f t="shared" si="5"/>
        <v>No Progress</v>
      </c>
      <c r="S465" s="210">
        <f t="shared" si="6"/>
        <v>1</v>
      </c>
      <c r="T465" s="210"/>
      <c r="U465" s="210"/>
      <c r="V465" s="210"/>
      <c r="W465" s="210"/>
      <c r="X465" s="210"/>
      <c r="Y465" s="210"/>
      <c r="Z465" s="210"/>
      <c r="AA465" s="210"/>
      <c r="AB465" s="210"/>
      <c r="AC465" s="210"/>
      <c r="AD465" s="210"/>
      <c r="AE465" s="210"/>
      <c r="AF465" s="210"/>
      <c r="AG465" s="210"/>
      <c r="AH465" s="210"/>
      <c r="AI465" s="210"/>
      <c r="AJ465" s="210"/>
      <c r="AK465" s="210"/>
      <c r="AL465" s="210"/>
      <c r="AM465" s="214"/>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c r="BU465" s="210"/>
      <c r="BV465" s="210"/>
      <c r="BW465" s="210"/>
      <c r="BX465" s="210"/>
      <c r="BY465" s="210"/>
      <c r="BZ465" s="210"/>
      <c r="CA465" s="210"/>
      <c r="CB465" s="210"/>
      <c r="CC465" s="210"/>
      <c r="CD465" s="210"/>
      <c r="CE465" s="210"/>
      <c r="CF465" s="210"/>
      <c r="CG465" s="210"/>
      <c r="CH465" s="210"/>
      <c r="CI465" s="210"/>
      <c r="CJ465" s="210"/>
      <c r="CK465" s="210"/>
    </row>
    <row r="466">
      <c r="A466" s="222" t="s">
        <v>490</v>
      </c>
      <c r="B466" s="190" t="s">
        <v>491</v>
      </c>
      <c r="C466" s="223" t="s">
        <v>90</v>
      </c>
      <c r="D466" s="223" t="s">
        <v>883</v>
      </c>
      <c r="E466" s="190" t="s">
        <v>21</v>
      </c>
      <c r="F466" s="13" t="s">
        <v>927</v>
      </c>
      <c r="G466" s="190"/>
      <c r="H466" s="219">
        <f>IFERROR(
  MINIFS(ATTENDANCE_LOG!$F:$F,
         ATTENDANCE_LOG!$A:$A, C466,
         ATTENDANCE_LOG!$B:$B, E466),
"")</f>
        <v>45917.58333</v>
      </c>
      <c r="I466" s="219">
        <f t="shared" si="2"/>
        <v>45917.58333</v>
      </c>
      <c r="J466" s="190">
        <f>IFERROR(VLOOKUP(F466, LEVEL_HELPER!$A:$B, 2, 0), "")</f>
        <v>1</v>
      </c>
      <c r="K466" s="190" t="str">
        <f>IFERROR(VLOOKUP(G466, LEVEL_HELPER!$A:$B, 2, 0), "")</f>
        <v/>
      </c>
      <c r="L466" s="220" t="s">
        <v>931</v>
      </c>
      <c r="M466" s="220" t="s">
        <v>926</v>
      </c>
      <c r="N466" s="190">
        <f t="array" ref="N466">IFERROR(
  INDEX($J$2:$J$543,
    MATCH(A466&amp;TEXT(I466,"yyyy-mm-dd"),
          $A$2:$A$543&amp;TEXT($H$2:$H$543,"yyyy-mm-dd"),
          0)),
"")</f>
        <v>1</v>
      </c>
      <c r="O466" s="210">
        <f t="shared" si="3"/>
        <v>0</v>
      </c>
      <c r="P466" s="210">
        <f t="shared" ref="P466:Q466" si="476">IF(N466="",0,IF(N466&lt;=2,1,IF(N466&lt;=4,2,IF(N466&lt;=5.5,3,4))))</f>
        <v>1</v>
      </c>
      <c r="Q466" s="210">
        <f t="shared" si="476"/>
        <v>1</v>
      </c>
      <c r="R466" s="210" t="str">
        <f t="shared" si="5"/>
        <v>No Progress</v>
      </c>
      <c r="S466" s="210">
        <f t="shared" si="6"/>
        <v>1</v>
      </c>
      <c r="T466" s="210"/>
      <c r="U466" s="210"/>
      <c r="V466" s="210"/>
      <c r="W466" s="210"/>
      <c r="X466" s="210"/>
      <c r="Y466" s="210"/>
      <c r="Z466" s="210"/>
      <c r="AA466" s="210"/>
      <c r="AB466" s="210"/>
      <c r="AC466" s="210"/>
      <c r="AD466" s="210"/>
      <c r="AE466" s="210"/>
      <c r="AF466" s="210"/>
      <c r="AG466" s="210"/>
      <c r="AH466" s="210"/>
      <c r="AI466" s="210"/>
      <c r="AJ466" s="210"/>
      <c r="AK466" s="210"/>
      <c r="AL466" s="210"/>
      <c r="AM466" s="214"/>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c r="BU466" s="210"/>
      <c r="BV466" s="210"/>
      <c r="BW466" s="210"/>
      <c r="BX466" s="210"/>
      <c r="BY466" s="210"/>
      <c r="BZ466" s="210"/>
      <c r="CA466" s="210"/>
      <c r="CB466" s="210"/>
      <c r="CC466" s="210"/>
      <c r="CD466" s="210"/>
      <c r="CE466" s="210"/>
      <c r="CF466" s="210"/>
      <c r="CG466" s="210"/>
      <c r="CH466" s="210"/>
      <c r="CI466" s="210"/>
      <c r="CJ466" s="210"/>
      <c r="CK466" s="210"/>
    </row>
    <row r="467">
      <c r="A467" s="222" t="s">
        <v>500</v>
      </c>
      <c r="B467" s="190" t="s">
        <v>501</v>
      </c>
      <c r="C467" s="223" t="s">
        <v>90</v>
      </c>
      <c r="D467" s="223" t="s">
        <v>883</v>
      </c>
      <c r="E467" s="190" t="s">
        <v>21</v>
      </c>
      <c r="F467" s="13" t="s">
        <v>927</v>
      </c>
      <c r="G467" s="190"/>
      <c r="H467" s="219">
        <f>IFERROR(
  MINIFS(ATTENDANCE_LOG!$F:$F,
         ATTENDANCE_LOG!$A:$A, C467,
         ATTENDANCE_LOG!$B:$B, E467),
"")</f>
        <v>45917.58333</v>
      </c>
      <c r="I467" s="219">
        <f t="shared" si="2"/>
        <v>45917.58333</v>
      </c>
      <c r="J467" s="190">
        <f>IFERROR(VLOOKUP(F467, LEVEL_HELPER!$A:$B, 2, 0), "")</f>
        <v>1</v>
      </c>
      <c r="K467" s="190" t="str">
        <f>IFERROR(VLOOKUP(G467, LEVEL_HELPER!$A:$B, 2, 0), "")</f>
        <v/>
      </c>
      <c r="L467" s="220" t="s">
        <v>947</v>
      </c>
      <c r="M467" s="220" t="s">
        <v>920</v>
      </c>
      <c r="N467" s="190">
        <f t="array" ref="N467">IFERROR(
  INDEX($J$2:$J$543,
    MATCH(A467&amp;TEXT(I467,"yyyy-mm-dd"),
          $A$2:$A$543&amp;TEXT($H$2:$H$543,"yyyy-mm-dd"),
          0)),
"")</f>
        <v>1</v>
      </c>
      <c r="O467" s="210">
        <f t="shared" si="3"/>
        <v>0</v>
      </c>
      <c r="P467" s="210">
        <f t="shared" ref="P467:Q467" si="477">IF(N467="",0,IF(N467&lt;=2,1,IF(N467&lt;=4,2,IF(N467&lt;=5.5,3,4))))</f>
        <v>1</v>
      </c>
      <c r="Q467" s="210">
        <f t="shared" si="477"/>
        <v>1</v>
      </c>
      <c r="R467" s="210" t="str">
        <f t="shared" si="5"/>
        <v>No Progress</v>
      </c>
      <c r="S467" s="210">
        <f t="shared" si="6"/>
        <v>1</v>
      </c>
      <c r="T467" s="210"/>
      <c r="U467" s="210"/>
      <c r="V467" s="210"/>
      <c r="W467" s="210"/>
      <c r="X467" s="210"/>
      <c r="Y467" s="210"/>
      <c r="Z467" s="210"/>
      <c r="AA467" s="210"/>
      <c r="AB467" s="210"/>
      <c r="AC467" s="210"/>
      <c r="AD467" s="210"/>
      <c r="AE467" s="210"/>
      <c r="AF467" s="210"/>
      <c r="AG467" s="210"/>
      <c r="AH467" s="210"/>
      <c r="AI467" s="210"/>
      <c r="AJ467" s="210"/>
      <c r="AK467" s="210"/>
      <c r="AL467" s="210"/>
      <c r="AM467" s="214"/>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c r="BU467" s="210"/>
      <c r="BV467" s="210"/>
      <c r="BW467" s="210"/>
      <c r="BX467" s="210"/>
      <c r="BY467" s="210"/>
      <c r="BZ467" s="210"/>
      <c r="CA467" s="210"/>
      <c r="CB467" s="210"/>
      <c r="CC467" s="210"/>
      <c r="CD467" s="210"/>
      <c r="CE467" s="210"/>
      <c r="CF467" s="210"/>
      <c r="CG467" s="210"/>
      <c r="CH467" s="210"/>
      <c r="CI467" s="210"/>
      <c r="CJ467" s="210"/>
      <c r="CK467" s="210"/>
    </row>
    <row r="468">
      <c r="A468" s="222" t="s">
        <v>551</v>
      </c>
      <c r="B468" s="190" t="s">
        <v>552</v>
      </c>
      <c r="C468" s="223" t="s">
        <v>90</v>
      </c>
      <c r="D468" s="223" t="s">
        <v>883</v>
      </c>
      <c r="E468" s="190" t="s">
        <v>21</v>
      </c>
      <c r="F468" s="13" t="s">
        <v>927</v>
      </c>
      <c r="G468" s="190"/>
      <c r="H468" s="219">
        <f>IFERROR(
  MINIFS(ATTENDANCE_LOG!$F:$F,
         ATTENDANCE_LOG!$A:$A, C468,
         ATTENDANCE_LOG!$B:$B, E468),
"")</f>
        <v>45917.58333</v>
      </c>
      <c r="I468" s="219">
        <f t="shared" si="2"/>
        <v>45917.58333</v>
      </c>
      <c r="J468" s="190">
        <f>IFERROR(VLOOKUP(F468, LEVEL_HELPER!$A:$B, 2, 0), "")</f>
        <v>1</v>
      </c>
      <c r="K468" s="190" t="str">
        <f>IFERROR(VLOOKUP(G468, LEVEL_HELPER!$A:$B, 2, 0), "")</f>
        <v/>
      </c>
      <c r="L468" s="220" t="s">
        <v>931</v>
      </c>
      <c r="M468" s="220" t="s">
        <v>926</v>
      </c>
      <c r="N468" s="190">
        <f t="array" ref="N468">IFERROR(
  INDEX($J$2:$J$543,
    MATCH(A468&amp;TEXT(I468,"yyyy-mm-dd"),
          $A$2:$A$543&amp;TEXT($H$2:$H$543,"yyyy-mm-dd"),
          0)),
"")</f>
        <v>1</v>
      </c>
      <c r="O468" s="210">
        <f t="shared" si="3"/>
        <v>0</v>
      </c>
      <c r="P468" s="210">
        <f t="shared" ref="P468:Q468" si="478">IF(N468="",0,IF(N468&lt;=2,1,IF(N468&lt;=4,2,IF(N468&lt;=5.5,3,4))))</f>
        <v>1</v>
      </c>
      <c r="Q468" s="210">
        <f t="shared" si="478"/>
        <v>1</v>
      </c>
      <c r="R468" s="210" t="str">
        <f t="shared" si="5"/>
        <v>No Progress</v>
      </c>
      <c r="S468" s="210">
        <f t="shared" si="6"/>
        <v>1</v>
      </c>
      <c r="T468" s="210"/>
      <c r="U468" s="210"/>
      <c r="V468" s="210"/>
      <c r="W468" s="210"/>
      <c r="X468" s="210"/>
      <c r="Y468" s="210"/>
      <c r="Z468" s="210"/>
      <c r="AA468" s="210"/>
      <c r="AB468" s="210"/>
      <c r="AC468" s="210"/>
      <c r="AD468" s="210"/>
      <c r="AE468" s="210"/>
      <c r="AF468" s="210"/>
      <c r="AG468" s="210"/>
      <c r="AH468" s="210"/>
      <c r="AI468" s="210"/>
      <c r="AJ468" s="210"/>
      <c r="AK468" s="210"/>
      <c r="AL468" s="210"/>
      <c r="AM468" s="214"/>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c r="BU468" s="210"/>
      <c r="BV468" s="210"/>
      <c r="BW468" s="210"/>
      <c r="BX468" s="210"/>
      <c r="BY468" s="210"/>
      <c r="BZ468" s="210"/>
      <c r="CA468" s="210"/>
      <c r="CB468" s="210"/>
      <c r="CC468" s="210"/>
      <c r="CD468" s="210"/>
      <c r="CE468" s="210"/>
      <c r="CF468" s="210"/>
      <c r="CG468" s="210"/>
      <c r="CH468" s="210"/>
      <c r="CI468" s="210"/>
      <c r="CJ468" s="210"/>
      <c r="CK468" s="210"/>
    </row>
    <row r="469">
      <c r="A469" s="216" t="s">
        <v>609</v>
      </c>
      <c r="B469" s="217" t="s">
        <v>610</v>
      </c>
      <c r="C469" s="218" t="s">
        <v>91</v>
      </c>
      <c r="D469" s="218" t="s">
        <v>884</v>
      </c>
      <c r="E469" s="217" t="s">
        <v>21</v>
      </c>
      <c r="F469" s="242" t="s">
        <v>927</v>
      </c>
      <c r="G469" s="242" t="s">
        <v>935</v>
      </c>
      <c r="H469" s="219">
        <f>IFERROR(
  MINIFS(ATTENDANCE_LOG!$F:$F,
         ATTENDANCE_LOG!$A:$A, C469,
         ATTENDANCE_LOG!$B:$B, E469),
"")</f>
        <v>45909.54167</v>
      </c>
      <c r="I469" s="219">
        <f t="shared" si="2"/>
        <v>45909.54167</v>
      </c>
      <c r="J469" s="217">
        <f>IFERROR(VLOOKUP(F469, LEVEL_HELPER!$A:$B, 2, 0), "")</f>
        <v>1</v>
      </c>
      <c r="K469" s="217">
        <f>IFERROR(VLOOKUP(G469, LEVEL_HELPER!$A:$B, 2, 0), "")</f>
        <v>3.5</v>
      </c>
      <c r="L469" s="247" t="s">
        <v>931</v>
      </c>
      <c r="M469" s="247" t="s">
        <v>920</v>
      </c>
      <c r="N469" s="190">
        <f t="array" ref="N469">IFERROR(
  INDEX($J$2:$J$543,
    MATCH(A469&amp;TEXT(I469,"yyyy-mm-dd"),
          $A$2:$A$543&amp;TEXT($H$2:$H$543,"yyyy-mm-dd"),
          0)),
"")</f>
        <v>1</v>
      </c>
      <c r="O469" s="248">
        <f t="shared" si="3"/>
        <v>3.5</v>
      </c>
      <c r="P469" s="210">
        <f t="shared" ref="P469:Q469" si="479">IF(N469="",0,IF(N469&lt;=2,1,IF(N469&lt;=4,2,IF(N469&lt;=5.5,3,4))))</f>
        <v>1</v>
      </c>
      <c r="Q469" s="210">
        <f t="shared" si="479"/>
        <v>2</v>
      </c>
      <c r="R469" s="210" t="str">
        <f t="shared" si="5"/>
        <v>Lv1 → Lv2</v>
      </c>
      <c r="S469" s="210">
        <f t="shared" si="6"/>
        <v>1</v>
      </c>
      <c r="T469" s="210"/>
      <c r="U469" s="210"/>
      <c r="V469" s="210"/>
      <c r="W469" s="210"/>
      <c r="X469" s="210"/>
      <c r="Y469" s="210"/>
      <c r="Z469" s="210"/>
      <c r="AA469" s="210"/>
      <c r="AB469" s="210"/>
      <c r="AC469" s="210"/>
      <c r="AD469" s="210"/>
      <c r="AE469" s="210"/>
      <c r="AF469" s="210"/>
      <c r="AG469" s="210"/>
      <c r="AH469" s="210"/>
      <c r="AI469" s="210"/>
      <c r="AJ469" s="210"/>
      <c r="AK469" s="210"/>
      <c r="AL469" s="210"/>
      <c r="AM469" s="214"/>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c r="BU469" s="210"/>
      <c r="BV469" s="210"/>
      <c r="BW469" s="210"/>
      <c r="BX469" s="210"/>
      <c r="BY469" s="210"/>
      <c r="BZ469" s="210"/>
      <c r="CA469" s="210"/>
      <c r="CB469" s="210"/>
      <c r="CC469" s="210"/>
      <c r="CD469" s="210"/>
      <c r="CE469" s="210"/>
      <c r="CF469" s="210"/>
      <c r="CG469" s="210"/>
      <c r="CH469" s="210"/>
      <c r="CI469" s="210"/>
      <c r="CJ469" s="210"/>
      <c r="CK469" s="210"/>
    </row>
    <row r="470">
      <c r="A470" s="222" t="s">
        <v>206</v>
      </c>
      <c r="B470" s="190" t="s">
        <v>207</v>
      </c>
      <c r="C470" s="223" t="s">
        <v>91</v>
      </c>
      <c r="D470" s="223" t="s">
        <v>884</v>
      </c>
      <c r="E470" s="190" t="s">
        <v>21</v>
      </c>
      <c r="F470" s="13" t="s">
        <v>927</v>
      </c>
      <c r="G470" s="13" t="s">
        <v>918</v>
      </c>
      <c r="H470" s="219">
        <f>IFERROR(
  MINIFS(ATTENDANCE_LOG!$F:$F,
         ATTENDANCE_LOG!$A:$A, C470,
         ATTENDANCE_LOG!$B:$B, E470),
"")</f>
        <v>45909.54167</v>
      </c>
      <c r="I470" s="219">
        <f t="shared" si="2"/>
        <v>45909.54167</v>
      </c>
      <c r="J470" s="190">
        <f>IFERROR(VLOOKUP(F470, LEVEL_HELPER!$A:$B, 2, 0), "")</f>
        <v>1</v>
      </c>
      <c r="K470" s="190">
        <f>IFERROR(VLOOKUP(G470, LEVEL_HELPER!$A:$B, 2, 0), "")</f>
        <v>3</v>
      </c>
      <c r="L470" s="220" t="s">
        <v>931</v>
      </c>
      <c r="M470" s="220" t="s">
        <v>920</v>
      </c>
      <c r="N470" s="190">
        <f t="array" ref="N470">IFERROR(
  INDEX($J$2:$J$543,
    MATCH(A470&amp;TEXT(I470,"yyyy-mm-dd"),
          $A$2:$A$543&amp;TEXT($H$2:$H$543,"yyyy-mm-dd"),
          0)),
"")</f>
        <v>1</v>
      </c>
      <c r="O470" s="210">
        <f t="shared" si="3"/>
        <v>3</v>
      </c>
      <c r="P470" s="210">
        <f t="shared" ref="P470:Q470" si="480">IF(N470="",0,IF(N470&lt;=2,1,IF(N470&lt;=4,2,IF(N470&lt;=5.5,3,4))))</f>
        <v>1</v>
      </c>
      <c r="Q470" s="210">
        <f t="shared" si="480"/>
        <v>2</v>
      </c>
      <c r="R470" s="210" t="str">
        <f t="shared" si="5"/>
        <v>Lv1 → Lv2</v>
      </c>
      <c r="S470" s="210">
        <f t="shared" si="6"/>
        <v>1</v>
      </c>
      <c r="T470" s="210"/>
      <c r="U470" s="210"/>
      <c r="V470" s="210"/>
      <c r="W470" s="210"/>
      <c r="X470" s="210"/>
      <c r="Y470" s="210"/>
      <c r="Z470" s="210"/>
      <c r="AA470" s="210"/>
      <c r="AB470" s="210"/>
      <c r="AC470" s="210"/>
      <c r="AD470" s="210"/>
      <c r="AE470" s="210"/>
      <c r="AF470" s="210"/>
      <c r="AG470" s="210"/>
      <c r="AH470" s="210"/>
      <c r="AI470" s="210"/>
      <c r="AJ470" s="210"/>
      <c r="AK470" s="210"/>
      <c r="AL470" s="210"/>
      <c r="AM470" s="214"/>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c r="BU470" s="210"/>
      <c r="BV470" s="210"/>
      <c r="BW470" s="210"/>
      <c r="BX470" s="210"/>
      <c r="BY470" s="210"/>
      <c r="BZ470" s="210"/>
      <c r="CA470" s="210"/>
      <c r="CB470" s="210"/>
      <c r="CC470" s="210"/>
      <c r="CD470" s="210"/>
      <c r="CE470" s="210"/>
      <c r="CF470" s="210"/>
      <c r="CG470" s="210"/>
      <c r="CH470" s="210"/>
      <c r="CI470" s="210"/>
      <c r="CJ470" s="210"/>
      <c r="CK470" s="210"/>
    </row>
    <row r="471">
      <c r="A471" s="222" t="s">
        <v>372</v>
      </c>
      <c r="B471" s="190" t="s">
        <v>373</v>
      </c>
      <c r="C471" s="223" t="s">
        <v>91</v>
      </c>
      <c r="D471" s="223" t="s">
        <v>884</v>
      </c>
      <c r="E471" s="190" t="s">
        <v>21</v>
      </c>
      <c r="F471" s="13" t="s">
        <v>927</v>
      </c>
      <c r="G471" s="13" t="s">
        <v>918</v>
      </c>
      <c r="H471" s="219">
        <f>IFERROR(
  MINIFS(ATTENDANCE_LOG!$F:$F,
         ATTENDANCE_LOG!$A:$A, C471,
         ATTENDANCE_LOG!$B:$B, E471),
"")</f>
        <v>45909.54167</v>
      </c>
      <c r="I471" s="219">
        <f t="shared" si="2"/>
        <v>45909.54167</v>
      </c>
      <c r="J471" s="190">
        <f>IFERROR(VLOOKUP(F471, LEVEL_HELPER!$A:$B, 2, 0), "")</f>
        <v>1</v>
      </c>
      <c r="K471" s="190">
        <f>IFERROR(VLOOKUP(G471, LEVEL_HELPER!$A:$B, 2, 0), "")</f>
        <v>3</v>
      </c>
      <c r="L471" s="220" t="s">
        <v>931</v>
      </c>
      <c r="M471" s="220" t="s">
        <v>920</v>
      </c>
      <c r="N471" s="190">
        <f t="array" ref="N471">IFERROR(
  INDEX($J$2:$J$543,
    MATCH(A471&amp;TEXT(I471,"yyyy-mm-dd"),
          $A$2:$A$543&amp;TEXT($H$2:$H$543,"yyyy-mm-dd"),
          0)),
"")</f>
        <v>1</v>
      </c>
      <c r="O471" s="210">
        <f t="shared" si="3"/>
        <v>3</v>
      </c>
      <c r="P471" s="210">
        <f t="shared" ref="P471:Q471" si="481">IF(N471="",0,IF(N471&lt;=2,1,IF(N471&lt;=4,2,IF(N471&lt;=5.5,3,4))))</f>
        <v>1</v>
      </c>
      <c r="Q471" s="210">
        <f t="shared" si="481"/>
        <v>2</v>
      </c>
      <c r="R471" s="210" t="str">
        <f t="shared" si="5"/>
        <v>Lv1 → Lv2</v>
      </c>
      <c r="S471" s="210">
        <f t="shared" si="6"/>
        <v>1</v>
      </c>
      <c r="T471" s="210"/>
      <c r="U471" s="210"/>
      <c r="V471" s="210"/>
      <c r="W471" s="210"/>
      <c r="X471" s="210"/>
      <c r="Y471" s="210"/>
      <c r="Z471" s="210"/>
      <c r="AA471" s="210"/>
      <c r="AB471" s="210"/>
      <c r="AC471" s="210"/>
      <c r="AD471" s="210"/>
      <c r="AE471" s="210"/>
      <c r="AF471" s="210"/>
      <c r="AG471" s="210"/>
      <c r="AH471" s="210"/>
      <c r="AI471" s="210"/>
      <c r="AJ471" s="210"/>
      <c r="AK471" s="210"/>
      <c r="AL471" s="210"/>
      <c r="AM471" s="214"/>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c r="BU471" s="210"/>
      <c r="BV471" s="210"/>
      <c r="BW471" s="210"/>
      <c r="BX471" s="210"/>
      <c r="BY471" s="210"/>
      <c r="BZ471" s="210"/>
      <c r="CA471" s="210"/>
      <c r="CB471" s="210"/>
      <c r="CC471" s="210"/>
      <c r="CD471" s="210"/>
      <c r="CE471" s="210"/>
      <c r="CF471" s="210"/>
      <c r="CG471" s="210"/>
      <c r="CH471" s="210"/>
      <c r="CI471" s="210"/>
      <c r="CJ471" s="210"/>
      <c r="CK471" s="210"/>
    </row>
    <row r="472">
      <c r="A472" s="222" t="s">
        <v>419</v>
      </c>
      <c r="B472" s="190" t="s">
        <v>420</v>
      </c>
      <c r="C472" s="223" t="s">
        <v>91</v>
      </c>
      <c r="D472" s="223" t="s">
        <v>884</v>
      </c>
      <c r="E472" s="190" t="s">
        <v>21</v>
      </c>
      <c r="F472" s="13" t="s">
        <v>927</v>
      </c>
      <c r="G472" s="13" t="s">
        <v>918</v>
      </c>
      <c r="H472" s="219">
        <f>IFERROR(
  MINIFS(ATTENDANCE_LOG!$F:$F,
         ATTENDANCE_LOG!$A:$A, C472,
         ATTENDANCE_LOG!$B:$B, E472),
"")</f>
        <v>45909.54167</v>
      </c>
      <c r="I472" s="219">
        <f t="shared" si="2"/>
        <v>45765.375</v>
      </c>
      <c r="J472" s="190">
        <f>IFERROR(VLOOKUP(F472, LEVEL_HELPER!$A:$B, 2, 0), "")</f>
        <v>1</v>
      </c>
      <c r="K472" s="190">
        <f>IFERROR(VLOOKUP(G472, LEVEL_HELPER!$A:$B, 2, 0), "")</f>
        <v>3</v>
      </c>
      <c r="L472" s="220" t="s">
        <v>943</v>
      </c>
      <c r="M472" s="220" t="s">
        <v>923</v>
      </c>
      <c r="N472" s="190">
        <f t="array" ref="N472">IFERROR(
  INDEX($J$2:$J$543,
    MATCH(A472&amp;TEXT(I472,"yyyy-mm-dd"),
          $A$2:$A$543&amp;TEXT($H$2:$H$543,"yyyy-mm-dd"),
          0)),
"")</f>
        <v>1</v>
      </c>
      <c r="O472" s="210">
        <f t="shared" si="3"/>
        <v>3</v>
      </c>
      <c r="P472" s="210">
        <f t="shared" ref="P472:Q472" si="482">IF(N472="",0,IF(N472&lt;=2,1,IF(N472&lt;=4,2,IF(N472&lt;=5.5,3,4))))</f>
        <v>1</v>
      </c>
      <c r="Q472" s="210">
        <f t="shared" si="482"/>
        <v>2</v>
      </c>
      <c r="R472" s="210" t="str">
        <f t="shared" si="5"/>
        <v>Lv1 → Lv2</v>
      </c>
      <c r="S472" s="210">
        <f t="shared" si="6"/>
        <v>0</v>
      </c>
      <c r="T472" s="210"/>
      <c r="U472" s="210"/>
      <c r="V472" s="210"/>
      <c r="W472" s="210"/>
      <c r="X472" s="210"/>
      <c r="Y472" s="210"/>
      <c r="Z472" s="210"/>
      <c r="AA472" s="210"/>
      <c r="AB472" s="210"/>
      <c r="AC472" s="210"/>
      <c r="AD472" s="210"/>
      <c r="AE472" s="210"/>
      <c r="AF472" s="210"/>
      <c r="AG472" s="210"/>
      <c r="AH472" s="210"/>
      <c r="AI472" s="210"/>
      <c r="AJ472" s="210"/>
      <c r="AK472" s="210"/>
      <c r="AL472" s="210"/>
      <c r="AM472" s="214"/>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c r="BU472" s="210"/>
      <c r="BV472" s="210"/>
      <c r="BW472" s="210"/>
      <c r="BX472" s="210"/>
      <c r="BY472" s="210"/>
      <c r="BZ472" s="210"/>
      <c r="CA472" s="210"/>
      <c r="CB472" s="210"/>
      <c r="CC472" s="210"/>
      <c r="CD472" s="210"/>
      <c r="CE472" s="210"/>
      <c r="CF472" s="210"/>
      <c r="CG472" s="210"/>
      <c r="CH472" s="210"/>
      <c r="CI472" s="210"/>
      <c r="CJ472" s="210"/>
      <c r="CK472" s="210"/>
    </row>
    <row r="473">
      <c r="A473" s="222" t="s">
        <v>459</v>
      </c>
      <c r="B473" s="190" t="s">
        <v>460</v>
      </c>
      <c r="C473" s="223" t="s">
        <v>91</v>
      </c>
      <c r="D473" s="223" t="s">
        <v>884</v>
      </c>
      <c r="E473" s="190" t="s">
        <v>21</v>
      </c>
      <c r="F473" s="13" t="s">
        <v>927</v>
      </c>
      <c r="G473" s="13" t="s">
        <v>935</v>
      </c>
      <c r="H473" s="219">
        <f>IFERROR(
  MINIFS(ATTENDANCE_LOG!$F:$F,
         ATTENDANCE_LOG!$A:$A, C473,
         ATTENDANCE_LOG!$B:$B, E473),
"")</f>
        <v>45909.54167</v>
      </c>
      <c r="I473" s="219">
        <f t="shared" si="2"/>
        <v>45909.54167</v>
      </c>
      <c r="J473" s="190">
        <f>IFERROR(VLOOKUP(F473, LEVEL_HELPER!$A:$B, 2, 0), "")</f>
        <v>1</v>
      </c>
      <c r="K473" s="190">
        <f>IFERROR(VLOOKUP(G473, LEVEL_HELPER!$A:$B, 2, 0), "")</f>
        <v>3.5</v>
      </c>
      <c r="L473" s="220" t="s">
        <v>931</v>
      </c>
      <c r="M473" s="220" t="s">
        <v>920</v>
      </c>
      <c r="N473" s="190">
        <f t="array" ref="N473">IFERROR(
  INDEX($J$2:$J$543,
    MATCH(A473&amp;TEXT(I473,"yyyy-mm-dd"),
          $A$2:$A$543&amp;TEXT($H$2:$H$543,"yyyy-mm-dd"),
          0)),
"")</f>
        <v>1</v>
      </c>
      <c r="O473" s="210">
        <f t="shared" si="3"/>
        <v>3.5</v>
      </c>
      <c r="P473" s="210">
        <f t="shared" ref="P473:Q473" si="483">IF(N473="",0,IF(N473&lt;=2,1,IF(N473&lt;=4,2,IF(N473&lt;=5.5,3,4))))</f>
        <v>1</v>
      </c>
      <c r="Q473" s="210">
        <f t="shared" si="483"/>
        <v>2</v>
      </c>
      <c r="R473" s="210" t="str">
        <f t="shared" si="5"/>
        <v>Lv1 → Lv2</v>
      </c>
      <c r="S473" s="210">
        <f t="shared" si="6"/>
        <v>1</v>
      </c>
      <c r="T473" s="210"/>
      <c r="U473" s="210"/>
      <c r="V473" s="210"/>
      <c r="W473" s="210"/>
      <c r="X473" s="210"/>
      <c r="Y473" s="210"/>
      <c r="Z473" s="210"/>
      <c r="AA473" s="210"/>
      <c r="AB473" s="210"/>
      <c r="AC473" s="210"/>
      <c r="AD473" s="210"/>
      <c r="AE473" s="210"/>
      <c r="AF473" s="210"/>
      <c r="AG473" s="210"/>
      <c r="AH473" s="210"/>
      <c r="AI473" s="210"/>
      <c r="AJ473" s="210"/>
      <c r="AK473" s="210"/>
      <c r="AL473" s="210"/>
      <c r="AM473" s="214"/>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c r="BU473" s="210"/>
      <c r="BV473" s="210"/>
      <c r="BW473" s="210"/>
      <c r="BX473" s="210"/>
      <c r="BY473" s="210"/>
      <c r="BZ473" s="210"/>
      <c r="CA473" s="210"/>
      <c r="CB473" s="210"/>
      <c r="CC473" s="210"/>
      <c r="CD473" s="210"/>
      <c r="CE473" s="210"/>
      <c r="CF473" s="210"/>
      <c r="CG473" s="210"/>
      <c r="CH473" s="210"/>
      <c r="CI473" s="210"/>
      <c r="CJ473" s="210"/>
      <c r="CK473" s="210"/>
    </row>
    <row r="474">
      <c r="A474" s="222" t="s">
        <v>536</v>
      </c>
      <c r="B474" s="190" t="s">
        <v>537</v>
      </c>
      <c r="C474" s="223" t="s">
        <v>91</v>
      </c>
      <c r="D474" s="223" t="s">
        <v>884</v>
      </c>
      <c r="E474" s="190" t="s">
        <v>21</v>
      </c>
      <c r="F474" s="13" t="s">
        <v>927</v>
      </c>
      <c r="G474" s="13" t="s">
        <v>935</v>
      </c>
      <c r="H474" s="219">
        <f>IFERROR(
  MINIFS(ATTENDANCE_LOG!$F:$F,
         ATTENDANCE_LOG!$A:$A, C474,
         ATTENDANCE_LOG!$B:$B, E474),
"")</f>
        <v>45909.54167</v>
      </c>
      <c r="I474" s="219">
        <f t="shared" si="2"/>
        <v>45909.54167</v>
      </c>
      <c r="J474" s="190">
        <f>IFERROR(VLOOKUP(F474, LEVEL_HELPER!$A:$B, 2, 0), "")</f>
        <v>1</v>
      </c>
      <c r="K474" s="190">
        <f>IFERROR(VLOOKUP(G474, LEVEL_HELPER!$A:$B, 2, 0), "")</f>
        <v>3.5</v>
      </c>
      <c r="L474" s="220" t="s">
        <v>931</v>
      </c>
      <c r="M474" s="220" t="s">
        <v>920</v>
      </c>
      <c r="N474" s="190">
        <f t="array" ref="N474">IFERROR(
  INDEX($J$2:$J$543,
    MATCH(A474&amp;TEXT(I474,"yyyy-mm-dd"),
          $A$2:$A$543&amp;TEXT($H$2:$H$543,"yyyy-mm-dd"),
          0)),
"")</f>
        <v>1</v>
      </c>
      <c r="O474" s="210">
        <f t="shared" si="3"/>
        <v>3.5</v>
      </c>
      <c r="P474" s="210">
        <f t="shared" ref="P474:Q474" si="484">IF(N474="",0,IF(N474&lt;=2,1,IF(N474&lt;=4,2,IF(N474&lt;=5.5,3,4))))</f>
        <v>1</v>
      </c>
      <c r="Q474" s="210">
        <f t="shared" si="484"/>
        <v>2</v>
      </c>
      <c r="R474" s="210" t="str">
        <f t="shared" si="5"/>
        <v>Lv1 → Lv2</v>
      </c>
      <c r="S474" s="210">
        <f t="shared" si="6"/>
        <v>1</v>
      </c>
      <c r="T474" s="210"/>
      <c r="U474" s="210"/>
      <c r="V474" s="210"/>
      <c r="W474" s="210"/>
      <c r="X474" s="210"/>
      <c r="Y474" s="210"/>
      <c r="Z474" s="210"/>
      <c r="AA474" s="210"/>
      <c r="AB474" s="210"/>
      <c r="AC474" s="210"/>
      <c r="AD474" s="210"/>
      <c r="AE474" s="210"/>
      <c r="AF474" s="210"/>
      <c r="AG474" s="210"/>
      <c r="AH474" s="210"/>
      <c r="AI474" s="210"/>
      <c r="AJ474" s="210"/>
      <c r="AK474" s="210"/>
      <c r="AL474" s="210"/>
      <c r="AM474" s="214"/>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c r="BU474" s="210"/>
      <c r="BV474" s="210"/>
      <c r="BW474" s="210"/>
      <c r="BX474" s="210"/>
      <c r="BY474" s="210"/>
      <c r="BZ474" s="210"/>
      <c r="CA474" s="210"/>
      <c r="CB474" s="210"/>
      <c r="CC474" s="210"/>
      <c r="CD474" s="210"/>
      <c r="CE474" s="210"/>
      <c r="CF474" s="210"/>
      <c r="CG474" s="210"/>
      <c r="CH474" s="210"/>
      <c r="CI474" s="210"/>
      <c r="CJ474" s="210"/>
      <c r="CK474" s="210"/>
    </row>
    <row r="475">
      <c r="A475" s="216" t="s">
        <v>609</v>
      </c>
      <c r="B475" s="217" t="s">
        <v>610</v>
      </c>
      <c r="C475" s="218" t="s">
        <v>91</v>
      </c>
      <c r="D475" s="218" t="s">
        <v>884</v>
      </c>
      <c r="E475" s="217" t="s">
        <v>22</v>
      </c>
      <c r="F475" s="242" t="s">
        <v>935</v>
      </c>
      <c r="G475" s="217"/>
      <c r="H475" s="219">
        <f>IFERROR(
  MINIFS(ATTENDANCE_LOG!$F:$F,
         ATTENDANCE_LOG!$A:$A, C475,
         ATTENDANCE_LOG!$B:$B, E475),
"")</f>
        <v>46093.54167</v>
      </c>
      <c r="I475" s="219">
        <f t="shared" si="2"/>
        <v>45909.54167</v>
      </c>
      <c r="J475" s="217">
        <f>IFERROR(VLOOKUP(F475, LEVEL_HELPER!$A:$B, 2, 0), "")</f>
        <v>3.5</v>
      </c>
      <c r="K475" s="217" t="str">
        <f>IFERROR(VLOOKUP(G475, LEVEL_HELPER!$A:$B, 2, 0), "")</f>
        <v/>
      </c>
      <c r="L475" s="247" t="s">
        <v>931</v>
      </c>
      <c r="M475" s="247" t="s">
        <v>920</v>
      </c>
      <c r="N475" s="190">
        <f t="array" ref="N475">IFERROR(
  INDEX($J$2:$J$543,
    MATCH(A475&amp;TEXT(I475,"yyyy-mm-dd"),
          $A$2:$A$543&amp;TEXT($H$2:$H$543,"yyyy-mm-dd"),
          0)),
"")</f>
        <v>1</v>
      </c>
      <c r="O475" s="248">
        <f t="shared" si="3"/>
        <v>3.5</v>
      </c>
      <c r="P475" s="210">
        <f t="shared" ref="P475:Q475" si="485">IF(N475="",0,IF(N475&lt;=2,1,IF(N475&lt;=4,2,IF(N475&lt;=5.5,3,4))))</f>
        <v>1</v>
      </c>
      <c r="Q475" s="210">
        <f t="shared" si="485"/>
        <v>2</v>
      </c>
      <c r="R475" s="210" t="str">
        <f t="shared" si="5"/>
        <v>Lv1 → Lv2</v>
      </c>
      <c r="S475" s="210">
        <f t="shared" si="6"/>
        <v>0</v>
      </c>
      <c r="T475" s="210"/>
      <c r="U475" s="210"/>
      <c r="V475" s="210"/>
      <c r="W475" s="210"/>
      <c r="X475" s="210"/>
      <c r="Y475" s="210"/>
      <c r="Z475" s="210"/>
      <c r="AA475" s="210"/>
      <c r="AB475" s="210"/>
      <c r="AC475" s="210"/>
      <c r="AD475" s="210"/>
      <c r="AE475" s="210"/>
      <c r="AF475" s="210"/>
      <c r="AG475" s="210"/>
      <c r="AH475" s="210"/>
      <c r="AI475" s="210"/>
      <c r="AJ475" s="210"/>
      <c r="AK475" s="210"/>
      <c r="AL475" s="210"/>
      <c r="AM475" s="214"/>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c r="BU475" s="210"/>
      <c r="BV475" s="210"/>
      <c r="BW475" s="210"/>
      <c r="BX475" s="210"/>
      <c r="BY475" s="210"/>
      <c r="BZ475" s="210"/>
      <c r="CA475" s="210"/>
      <c r="CB475" s="210"/>
      <c r="CC475" s="210"/>
      <c r="CD475" s="210"/>
      <c r="CE475" s="210"/>
      <c r="CF475" s="210"/>
      <c r="CG475" s="210"/>
      <c r="CH475" s="210"/>
      <c r="CI475" s="210"/>
      <c r="CJ475" s="210"/>
      <c r="CK475" s="210"/>
    </row>
    <row r="476">
      <c r="A476" s="222" t="s">
        <v>206</v>
      </c>
      <c r="B476" s="190" t="s">
        <v>207</v>
      </c>
      <c r="C476" s="223" t="s">
        <v>91</v>
      </c>
      <c r="D476" s="223" t="s">
        <v>884</v>
      </c>
      <c r="E476" s="190" t="s">
        <v>22</v>
      </c>
      <c r="F476" s="13" t="s">
        <v>918</v>
      </c>
      <c r="G476" s="190"/>
      <c r="H476" s="219">
        <f>IFERROR(
  MINIFS(ATTENDANCE_LOG!$F:$F,
         ATTENDANCE_LOG!$A:$A, C476,
         ATTENDANCE_LOG!$B:$B, E476),
"")</f>
        <v>46093.54167</v>
      </c>
      <c r="I476" s="219">
        <f t="shared" si="2"/>
        <v>45909.54167</v>
      </c>
      <c r="J476" s="190">
        <f>IFERROR(VLOOKUP(F476, LEVEL_HELPER!$A:$B, 2, 0), "")</f>
        <v>3</v>
      </c>
      <c r="K476" s="190" t="str">
        <f>IFERROR(VLOOKUP(G476, LEVEL_HELPER!$A:$B, 2, 0), "")</f>
        <v/>
      </c>
      <c r="L476" s="220" t="s">
        <v>931</v>
      </c>
      <c r="M476" s="220" t="s">
        <v>920</v>
      </c>
      <c r="N476" s="190">
        <f t="array" ref="N476">IFERROR(
  INDEX($J$2:$J$543,
    MATCH(A476&amp;TEXT(I476,"yyyy-mm-dd"),
          $A$2:$A$543&amp;TEXT($H$2:$H$543,"yyyy-mm-dd"),
          0)),
"")</f>
        <v>1</v>
      </c>
      <c r="O476" s="210">
        <f t="shared" si="3"/>
        <v>3</v>
      </c>
      <c r="P476" s="210">
        <f t="shared" ref="P476:Q476" si="486">IF(N476="",0,IF(N476&lt;=2,1,IF(N476&lt;=4,2,IF(N476&lt;=5.5,3,4))))</f>
        <v>1</v>
      </c>
      <c r="Q476" s="210">
        <f t="shared" si="486"/>
        <v>2</v>
      </c>
      <c r="R476" s="210" t="str">
        <f t="shared" si="5"/>
        <v>Lv1 → Lv2</v>
      </c>
      <c r="S476" s="210">
        <f t="shared" si="6"/>
        <v>0</v>
      </c>
      <c r="T476" s="210"/>
      <c r="U476" s="210"/>
      <c r="V476" s="210"/>
      <c r="W476" s="210"/>
      <c r="X476" s="210"/>
      <c r="Y476" s="210"/>
      <c r="Z476" s="210"/>
      <c r="AA476" s="210"/>
      <c r="AB476" s="210"/>
      <c r="AC476" s="210"/>
      <c r="AD476" s="210"/>
      <c r="AE476" s="210"/>
      <c r="AF476" s="210"/>
      <c r="AG476" s="210"/>
      <c r="AH476" s="210"/>
      <c r="AI476" s="210"/>
      <c r="AJ476" s="210"/>
      <c r="AK476" s="210"/>
      <c r="AL476" s="210"/>
      <c r="AM476" s="214"/>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c r="BU476" s="210"/>
      <c r="BV476" s="210"/>
      <c r="BW476" s="210"/>
      <c r="BX476" s="210"/>
      <c r="BY476" s="210"/>
      <c r="BZ476" s="210"/>
      <c r="CA476" s="210"/>
      <c r="CB476" s="210"/>
      <c r="CC476" s="210"/>
      <c r="CD476" s="210"/>
      <c r="CE476" s="210"/>
      <c r="CF476" s="210"/>
      <c r="CG476" s="210"/>
      <c r="CH476" s="210"/>
      <c r="CI476" s="210"/>
      <c r="CJ476" s="210"/>
      <c r="CK476" s="210"/>
    </row>
    <row r="477">
      <c r="A477" s="222" t="s">
        <v>372</v>
      </c>
      <c r="B477" s="190" t="s">
        <v>373</v>
      </c>
      <c r="C477" s="223" t="s">
        <v>91</v>
      </c>
      <c r="D477" s="223" t="s">
        <v>884</v>
      </c>
      <c r="E477" s="190" t="s">
        <v>22</v>
      </c>
      <c r="F477" s="13" t="s">
        <v>918</v>
      </c>
      <c r="G477" s="190"/>
      <c r="H477" s="219">
        <f>IFERROR(
  MINIFS(ATTENDANCE_LOG!$F:$F,
         ATTENDANCE_LOG!$A:$A, C477,
         ATTENDANCE_LOG!$B:$B, E477),
"")</f>
        <v>46093.54167</v>
      </c>
      <c r="I477" s="219">
        <f t="shared" si="2"/>
        <v>45909.54167</v>
      </c>
      <c r="J477" s="190">
        <f>IFERROR(VLOOKUP(F477, LEVEL_HELPER!$A:$B, 2, 0), "")</f>
        <v>3</v>
      </c>
      <c r="K477" s="190" t="str">
        <f>IFERROR(VLOOKUP(G477, LEVEL_HELPER!$A:$B, 2, 0), "")</f>
        <v/>
      </c>
      <c r="L477" s="220" t="s">
        <v>931</v>
      </c>
      <c r="M477" s="220" t="s">
        <v>920</v>
      </c>
      <c r="N477" s="190">
        <f t="array" ref="N477">IFERROR(
  INDEX($J$2:$J$543,
    MATCH(A477&amp;TEXT(I477,"yyyy-mm-dd"),
          $A$2:$A$543&amp;TEXT($H$2:$H$543,"yyyy-mm-dd"),
          0)),
"")</f>
        <v>1</v>
      </c>
      <c r="O477" s="210">
        <f t="shared" si="3"/>
        <v>3</v>
      </c>
      <c r="P477" s="210">
        <f t="shared" ref="P477:Q477" si="487">IF(N477="",0,IF(N477&lt;=2,1,IF(N477&lt;=4,2,IF(N477&lt;=5.5,3,4))))</f>
        <v>1</v>
      </c>
      <c r="Q477" s="210">
        <f t="shared" si="487"/>
        <v>2</v>
      </c>
      <c r="R477" s="210" t="str">
        <f t="shared" si="5"/>
        <v>Lv1 → Lv2</v>
      </c>
      <c r="S477" s="210">
        <f t="shared" si="6"/>
        <v>0</v>
      </c>
      <c r="T477" s="210"/>
      <c r="U477" s="210"/>
      <c r="V477" s="210"/>
      <c r="W477" s="210"/>
      <c r="X477" s="210"/>
      <c r="Y477" s="210"/>
      <c r="Z477" s="210"/>
      <c r="AA477" s="210"/>
      <c r="AB477" s="210"/>
      <c r="AC477" s="210"/>
      <c r="AD477" s="210"/>
      <c r="AE477" s="210"/>
      <c r="AF477" s="210"/>
      <c r="AG477" s="210"/>
      <c r="AH477" s="210"/>
      <c r="AI477" s="210"/>
      <c r="AJ477" s="210"/>
      <c r="AK477" s="210"/>
      <c r="AL477" s="210"/>
      <c r="AM477" s="214"/>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c r="BU477" s="210"/>
      <c r="BV477" s="210"/>
      <c r="BW477" s="210"/>
      <c r="BX477" s="210"/>
      <c r="BY477" s="210"/>
      <c r="BZ477" s="210"/>
      <c r="CA477" s="210"/>
      <c r="CB477" s="210"/>
      <c r="CC477" s="210"/>
      <c r="CD477" s="210"/>
      <c r="CE477" s="210"/>
      <c r="CF477" s="210"/>
      <c r="CG477" s="210"/>
      <c r="CH477" s="210"/>
      <c r="CI477" s="210"/>
      <c r="CJ477" s="210"/>
      <c r="CK477" s="210"/>
    </row>
    <row r="478">
      <c r="A478" s="222" t="s">
        <v>419</v>
      </c>
      <c r="B478" s="190" t="s">
        <v>420</v>
      </c>
      <c r="C478" s="223" t="s">
        <v>91</v>
      </c>
      <c r="D478" s="223" t="s">
        <v>884</v>
      </c>
      <c r="E478" s="190" t="s">
        <v>22</v>
      </c>
      <c r="F478" s="13" t="s">
        <v>918</v>
      </c>
      <c r="G478" s="190"/>
      <c r="H478" s="219">
        <f>IFERROR(
  MINIFS(ATTENDANCE_LOG!$F:$F,
         ATTENDANCE_LOG!$A:$A, C478,
         ATTENDANCE_LOG!$B:$B, E478),
"")</f>
        <v>46093.54167</v>
      </c>
      <c r="I478" s="219">
        <f t="shared" si="2"/>
        <v>45765.375</v>
      </c>
      <c r="J478" s="190">
        <f>IFERROR(VLOOKUP(F478, LEVEL_HELPER!$A:$B, 2, 0), "")</f>
        <v>3</v>
      </c>
      <c r="K478" s="190" t="str">
        <f>IFERROR(VLOOKUP(G478, LEVEL_HELPER!$A:$B, 2, 0), "")</f>
        <v/>
      </c>
      <c r="L478" s="220" t="s">
        <v>943</v>
      </c>
      <c r="M478" s="220" t="s">
        <v>923</v>
      </c>
      <c r="N478" s="190">
        <f t="array" ref="N478">IFERROR(
  INDEX($J$2:$J$543,
    MATCH(A478&amp;TEXT(I478,"yyyy-mm-dd"),
          $A$2:$A$543&amp;TEXT($H$2:$H$543,"yyyy-mm-dd"),
          0)),
"")</f>
        <v>1</v>
      </c>
      <c r="O478" s="210">
        <f t="shared" si="3"/>
        <v>3</v>
      </c>
      <c r="P478" s="210">
        <f t="shared" ref="P478:Q478" si="488">IF(N478="",0,IF(N478&lt;=2,1,IF(N478&lt;=4,2,IF(N478&lt;=5.5,3,4))))</f>
        <v>1</v>
      </c>
      <c r="Q478" s="210">
        <f t="shared" si="488"/>
        <v>2</v>
      </c>
      <c r="R478" s="210" t="str">
        <f t="shared" si="5"/>
        <v>Lv1 → Lv2</v>
      </c>
      <c r="S478" s="210">
        <f t="shared" si="6"/>
        <v>0</v>
      </c>
      <c r="T478" s="210"/>
      <c r="U478" s="210"/>
      <c r="V478" s="210"/>
      <c r="W478" s="210"/>
      <c r="X478" s="210"/>
      <c r="Y478" s="210"/>
      <c r="Z478" s="210"/>
      <c r="AA478" s="210"/>
      <c r="AB478" s="210"/>
      <c r="AC478" s="210"/>
      <c r="AD478" s="210"/>
      <c r="AE478" s="210"/>
      <c r="AF478" s="210"/>
      <c r="AG478" s="210"/>
      <c r="AH478" s="210"/>
      <c r="AI478" s="210"/>
      <c r="AJ478" s="210"/>
      <c r="AK478" s="210"/>
      <c r="AL478" s="210"/>
      <c r="AM478" s="214"/>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c r="BU478" s="210"/>
      <c r="BV478" s="210"/>
      <c r="BW478" s="210"/>
      <c r="BX478" s="210"/>
      <c r="BY478" s="210"/>
      <c r="BZ478" s="210"/>
      <c r="CA478" s="210"/>
      <c r="CB478" s="210"/>
      <c r="CC478" s="210"/>
      <c r="CD478" s="210"/>
      <c r="CE478" s="210"/>
      <c r="CF478" s="210"/>
      <c r="CG478" s="210"/>
      <c r="CH478" s="210"/>
      <c r="CI478" s="210"/>
      <c r="CJ478" s="210"/>
      <c r="CK478" s="210"/>
    </row>
    <row r="479">
      <c r="A479" s="222" t="s">
        <v>459</v>
      </c>
      <c r="B479" s="190" t="s">
        <v>460</v>
      </c>
      <c r="C479" s="223" t="s">
        <v>91</v>
      </c>
      <c r="D479" s="223" t="s">
        <v>884</v>
      </c>
      <c r="E479" s="190" t="s">
        <v>22</v>
      </c>
      <c r="F479" s="13" t="s">
        <v>935</v>
      </c>
      <c r="G479" s="190"/>
      <c r="H479" s="219">
        <f>IFERROR(
  MINIFS(ATTENDANCE_LOG!$F:$F,
         ATTENDANCE_LOG!$A:$A, C479,
         ATTENDANCE_LOG!$B:$B, E479),
"")</f>
        <v>46093.54167</v>
      </c>
      <c r="I479" s="219">
        <f t="shared" si="2"/>
        <v>45909.54167</v>
      </c>
      <c r="J479" s="190">
        <f>IFERROR(VLOOKUP(F479, LEVEL_HELPER!$A:$B, 2, 0), "")</f>
        <v>3.5</v>
      </c>
      <c r="K479" s="190" t="str">
        <f>IFERROR(VLOOKUP(G479, LEVEL_HELPER!$A:$B, 2, 0), "")</f>
        <v/>
      </c>
      <c r="L479" s="220" t="s">
        <v>931</v>
      </c>
      <c r="M479" s="220" t="s">
        <v>920</v>
      </c>
      <c r="N479" s="190">
        <f t="array" ref="N479">IFERROR(
  INDEX($J$2:$J$543,
    MATCH(A479&amp;TEXT(I479,"yyyy-mm-dd"),
          $A$2:$A$543&amp;TEXT($H$2:$H$543,"yyyy-mm-dd"),
          0)),
"")</f>
        <v>1</v>
      </c>
      <c r="O479" s="210">
        <f t="shared" si="3"/>
        <v>3.5</v>
      </c>
      <c r="P479" s="210">
        <f t="shared" ref="P479:Q479" si="489">IF(N479="",0,IF(N479&lt;=2,1,IF(N479&lt;=4,2,IF(N479&lt;=5.5,3,4))))</f>
        <v>1</v>
      </c>
      <c r="Q479" s="210">
        <f t="shared" si="489"/>
        <v>2</v>
      </c>
      <c r="R479" s="210" t="str">
        <f t="shared" si="5"/>
        <v>Lv1 → Lv2</v>
      </c>
      <c r="S479" s="210">
        <f t="shared" si="6"/>
        <v>0</v>
      </c>
      <c r="T479" s="210"/>
      <c r="U479" s="210"/>
      <c r="V479" s="210"/>
      <c r="W479" s="210"/>
      <c r="X479" s="210"/>
      <c r="Y479" s="210"/>
      <c r="Z479" s="210"/>
      <c r="AA479" s="210"/>
      <c r="AB479" s="210"/>
      <c r="AC479" s="210"/>
      <c r="AD479" s="210"/>
      <c r="AE479" s="210"/>
      <c r="AF479" s="210"/>
      <c r="AG479" s="210"/>
      <c r="AH479" s="210"/>
      <c r="AI479" s="210"/>
      <c r="AJ479" s="210"/>
      <c r="AK479" s="210"/>
      <c r="AL479" s="210"/>
      <c r="AM479" s="214"/>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c r="BU479" s="210"/>
      <c r="BV479" s="210"/>
      <c r="BW479" s="210"/>
      <c r="BX479" s="210"/>
      <c r="BY479" s="210"/>
      <c r="BZ479" s="210"/>
      <c r="CA479" s="210"/>
      <c r="CB479" s="210"/>
      <c r="CC479" s="210"/>
      <c r="CD479" s="210"/>
      <c r="CE479" s="210"/>
      <c r="CF479" s="210"/>
      <c r="CG479" s="210"/>
      <c r="CH479" s="210"/>
      <c r="CI479" s="210"/>
      <c r="CJ479" s="210"/>
      <c r="CK479" s="210"/>
    </row>
    <row r="480">
      <c r="A480" s="222" t="s">
        <v>536</v>
      </c>
      <c r="B480" s="190" t="s">
        <v>537</v>
      </c>
      <c r="C480" s="223" t="s">
        <v>91</v>
      </c>
      <c r="D480" s="223" t="s">
        <v>884</v>
      </c>
      <c r="E480" s="190" t="s">
        <v>22</v>
      </c>
      <c r="F480" s="13" t="s">
        <v>935</v>
      </c>
      <c r="G480" s="190"/>
      <c r="H480" s="219">
        <f>IFERROR(
  MINIFS(ATTENDANCE_LOG!$F:$F,
         ATTENDANCE_LOG!$A:$A, C480,
         ATTENDANCE_LOG!$B:$B, E480),
"")</f>
        <v>46093.54167</v>
      </c>
      <c r="I480" s="219">
        <f t="shared" si="2"/>
        <v>45909.54167</v>
      </c>
      <c r="J480" s="190">
        <f>IFERROR(VLOOKUP(F480, LEVEL_HELPER!$A:$B, 2, 0), "")</f>
        <v>3.5</v>
      </c>
      <c r="K480" s="190" t="str">
        <f>IFERROR(VLOOKUP(G480, LEVEL_HELPER!$A:$B, 2, 0), "")</f>
        <v/>
      </c>
      <c r="L480" s="220" t="s">
        <v>931</v>
      </c>
      <c r="M480" s="220" t="s">
        <v>920</v>
      </c>
      <c r="N480" s="190">
        <f t="array" ref="N480">IFERROR(
  INDEX($J$2:$J$543,
    MATCH(A480&amp;TEXT(I480,"yyyy-mm-dd"),
          $A$2:$A$543&amp;TEXT($H$2:$H$543,"yyyy-mm-dd"),
          0)),
"")</f>
        <v>1</v>
      </c>
      <c r="O480" s="210">
        <f t="shared" si="3"/>
        <v>3.5</v>
      </c>
      <c r="P480" s="210">
        <f t="shared" ref="P480:Q480" si="490">IF(N480="",0,IF(N480&lt;=2,1,IF(N480&lt;=4,2,IF(N480&lt;=5.5,3,4))))</f>
        <v>1</v>
      </c>
      <c r="Q480" s="210">
        <f t="shared" si="490"/>
        <v>2</v>
      </c>
      <c r="R480" s="210" t="str">
        <f t="shared" si="5"/>
        <v>Lv1 → Lv2</v>
      </c>
      <c r="S480" s="210">
        <f t="shared" si="6"/>
        <v>0</v>
      </c>
      <c r="T480" s="210"/>
      <c r="U480" s="210"/>
      <c r="V480" s="210"/>
      <c r="W480" s="210"/>
      <c r="X480" s="210"/>
      <c r="Y480" s="210"/>
      <c r="Z480" s="210"/>
      <c r="AA480" s="210"/>
      <c r="AB480" s="210"/>
      <c r="AC480" s="210"/>
      <c r="AD480" s="210"/>
      <c r="AE480" s="210"/>
      <c r="AF480" s="210"/>
      <c r="AG480" s="210"/>
      <c r="AH480" s="210"/>
      <c r="AI480" s="210"/>
      <c r="AJ480" s="210"/>
      <c r="AK480" s="210"/>
      <c r="AL480" s="210"/>
      <c r="AM480" s="214"/>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c r="BU480" s="210"/>
      <c r="BV480" s="210"/>
      <c r="BW480" s="210"/>
      <c r="BX480" s="210"/>
      <c r="BY480" s="210"/>
      <c r="BZ480" s="210"/>
      <c r="CA480" s="210"/>
      <c r="CB480" s="210"/>
      <c r="CC480" s="210"/>
      <c r="CD480" s="210"/>
      <c r="CE480" s="210"/>
      <c r="CF480" s="210"/>
      <c r="CG480" s="210"/>
      <c r="CH480" s="210"/>
      <c r="CI480" s="210"/>
      <c r="CJ480" s="210"/>
      <c r="CK480" s="210"/>
    </row>
    <row r="481">
      <c r="A481" s="216" t="s">
        <v>405</v>
      </c>
      <c r="B481" s="217" t="s">
        <v>406</v>
      </c>
      <c r="C481" s="218" t="s">
        <v>92</v>
      </c>
      <c r="D481" s="218" t="s">
        <v>885</v>
      </c>
      <c r="E481" s="217" t="s">
        <v>25</v>
      </c>
      <c r="F481" s="242" t="s">
        <v>25</v>
      </c>
      <c r="G481" s="242" t="s">
        <v>25</v>
      </c>
      <c r="H481" s="219">
        <f>IFERROR(
  MINIFS(ATTENDANCE_LOG!$F:$F,
         ATTENDANCE_LOG!$A:$A, C481,
         ATTENDANCE_LOG!$B:$B, E481),
"")</f>
        <v>45917.58333</v>
      </c>
      <c r="I481" s="219">
        <f t="shared" si="2"/>
        <v>45917.58333</v>
      </c>
      <c r="J481" s="217">
        <f>IFERROR(VLOOKUP(F481, LEVEL_HELPER!$A:$B, 2, 0), "")</f>
        <v>0.5</v>
      </c>
      <c r="K481" s="217">
        <f>IFERROR(VLOOKUP(G481, LEVEL_HELPER!$A:$B, 2, 0), "")</f>
        <v>0.5</v>
      </c>
      <c r="L481" s="247" t="s">
        <v>931</v>
      </c>
      <c r="M481" s="247" t="s">
        <v>926</v>
      </c>
      <c r="N481" s="190">
        <f t="array" ref="N481">IFERROR(
  INDEX($J$2:$J$543,
    MATCH(A481&amp;TEXT(I481,"yyyy-mm-dd"),
          $A$2:$A$543&amp;TEXT($H$2:$H$543,"yyyy-mm-dd"),
          0)),
"")</f>
        <v>0.5</v>
      </c>
      <c r="O481" s="248">
        <f t="shared" si="3"/>
        <v>0.5</v>
      </c>
      <c r="P481" s="210">
        <f t="shared" ref="P481:Q481" si="491">IF(N481="",0,IF(N481&lt;=2,1,IF(N481&lt;=4,2,IF(N481&lt;=5.5,3,4))))</f>
        <v>1</v>
      </c>
      <c r="Q481" s="210">
        <f t="shared" si="491"/>
        <v>1</v>
      </c>
      <c r="R481" s="210" t="str">
        <f t="shared" si="5"/>
        <v>No Progress</v>
      </c>
      <c r="S481" s="210">
        <f t="shared" si="6"/>
        <v>1</v>
      </c>
      <c r="T481" s="210"/>
      <c r="U481" s="210"/>
      <c r="V481" s="210"/>
      <c r="W481" s="210"/>
      <c r="X481" s="210"/>
      <c r="Y481" s="210"/>
      <c r="Z481" s="210"/>
      <c r="AA481" s="210"/>
      <c r="AB481" s="210"/>
      <c r="AC481" s="210"/>
      <c r="AD481" s="210"/>
      <c r="AE481" s="210"/>
      <c r="AF481" s="210"/>
      <c r="AG481" s="210"/>
      <c r="AH481" s="210"/>
      <c r="AI481" s="210"/>
      <c r="AJ481" s="210"/>
      <c r="AK481" s="210"/>
      <c r="AL481" s="210"/>
      <c r="AM481" s="214"/>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c r="BU481" s="210"/>
      <c r="BV481" s="210"/>
      <c r="BW481" s="210"/>
      <c r="BX481" s="210"/>
      <c r="BY481" s="210"/>
      <c r="BZ481" s="210"/>
      <c r="CA481" s="210"/>
      <c r="CB481" s="210"/>
      <c r="CC481" s="210"/>
      <c r="CD481" s="210"/>
      <c r="CE481" s="210"/>
      <c r="CF481" s="210"/>
      <c r="CG481" s="210"/>
      <c r="CH481" s="210"/>
      <c r="CI481" s="210"/>
      <c r="CJ481" s="210"/>
      <c r="CK481" s="210"/>
    </row>
    <row r="482">
      <c r="A482" s="222" t="s">
        <v>153</v>
      </c>
      <c r="B482" s="190" t="s">
        <v>154</v>
      </c>
      <c r="C482" s="223" t="s">
        <v>92</v>
      </c>
      <c r="D482" s="223" t="s">
        <v>885</v>
      </c>
      <c r="E482" s="190" t="s">
        <v>25</v>
      </c>
      <c r="F482" s="13" t="s">
        <v>25</v>
      </c>
      <c r="G482" s="13" t="s">
        <v>25</v>
      </c>
      <c r="H482" s="219">
        <f>IFERROR(
  MINIFS(ATTENDANCE_LOG!$F:$F,
         ATTENDANCE_LOG!$A:$A, C482,
         ATTENDANCE_LOG!$B:$B, E482),
"")</f>
        <v>45917.58333</v>
      </c>
      <c r="I482" s="219">
        <f t="shared" si="2"/>
        <v>45805.375</v>
      </c>
      <c r="J482" s="190">
        <f>IFERROR(VLOOKUP(F482, LEVEL_HELPER!$A:$B, 2, 0), "")</f>
        <v>0.5</v>
      </c>
      <c r="K482" s="190">
        <f>IFERROR(VLOOKUP(G482, LEVEL_HELPER!$A:$B, 2, 0), "")</f>
        <v>0.5</v>
      </c>
      <c r="L482" s="220" t="s">
        <v>943</v>
      </c>
      <c r="M482" s="220" t="s">
        <v>924</v>
      </c>
      <c r="N482" s="190">
        <f t="array" ref="N482">IFERROR(
  INDEX($J$2:$J$543,
    MATCH(A482&amp;TEXT(I482,"yyyy-mm-dd"),
          $A$2:$A$543&amp;TEXT($H$2:$H$543,"yyyy-mm-dd"),
          0)),
"")</f>
        <v>0.5</v>
      </c>
      <c r="O482" s="210">
        <f t="shared" si="3"/>
        <v>0.5</v>
      </c>
      <c r="P482" s="210">
        <f t="shared" ref="P482:Q482" si="492">IF(N482="",0,IF(N482&lt;=2,1,IF(N482&lt;=4,2,IF(N482&lt;=5.5,3,4))))</f>
        <v>1</v>
      </c>
      <c r="Q482" s="210">
        <f t="shared" si="492"/>
        <v>1</v>
      </c>
      <c r="R482" s="210" t="str">
        <f t="shared" si="5"/>
        <v>No Progress</v>
      </c>
      <c r="S482" s="210">
        <f t="shared" si="6"/>
        <v>0</v>
      </c>
      <c r="T482" s="210"/>
      <c r="U482" s="210"/>
      <c r="V482" s="210"/>
      <c r="W482" s="210"/>
      <c r="X482" s="210"/>
      <c r="Y482" s="210"/>
      <c r="Z482" s="210"/>
      <c r="AA482" s="210"/>
      <c r="AB482" s="210"/>
      <c r="AC482" s="210"/>
      <c r="AD482" s="210"/>
      <c r="AE482" s="210"/>
      <c r="AF482" s="210"/>
      <c r="AG482" s="210"/>
      <c r="AH482" s="210"/>
      <c r="AI482" s="210"/>
      <c r="AJ482" s="210"/>
      <c r="AK482" s="210"/>
      <c r="AL482" s="210"/>
      <c r="AM482" s="214"/>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c r="BU482" s="210"/>
      <c r="BV482" s="210"/>
      <c r="BW482" s="210"/>
      <c r="BX482" s="210"/>
      <c r="BY482" s="210"/>
      <c r="BZ482" s="210"/>
      <c r="CA482" s="210"/>
      <c r="CB482" s="210"/>
      <c r="CC482" s="210"/>
      <c r="CD482" s="210"/>
      <c r="CE482" s="210"/>
      <c r="CF482" s="210"/>
      <c r="CG482" s="210"/>
      <c r="CH482" s="210"/>
      <c r="CI482" s="210"/>
      <c r="CJ482" s="210"/>
      <c r="CK482" s="210"/>
    </row>
    <row r="483">
      <c r="A483" s="232" t="s">
        <v>269</v>
      </c>
      <c r="B483" s="233" t="s">
        <v>270</v>
      </c>
      <c r="C483" s="234" t="s">
        <v>92</v>
      </c>
      <c r="D483" s="234" t="s">
        <v>885</v>
      </c>
      <c r="E483" s="233" t="s">
        <v>25</v>
      </c>
      <c r="F483" s="235" t="s">
        <v>25</v>
      </c>
      <c r="G483" s="235" t="s">
        <v>927</v>
      </c>
      <c r="H483" s="219">
        <f>IFERROR(
  MINIFS(ATTENDANCE_LOG!$F:$F,
         ATTENDANCE_LOG!$A:$A, C483,
         ATTENDANCE_LOG!$B:$B, E483),
"")</f>
        <v>45917.58333</v>
      </c>
      <c r="I483" s="219">
        <f t="shared" si="2"/>
        <v>45917.58333</v>
      </c>
      <c r="J483" s="233">
        <f>IFERROR(VLOOKUP(F483, LEVEL_HELPER!$A:$B, 2, 0), "")</f>
        <v>0.5</v>
      </c>
      <c r="K483" s="233">
        <f>IFERROR(VLOOKUP(G483, LEVEL_HELPER!$A:$B, 2, 0), "")</f>
        <v>1</v>
      </c>
      <c r="L483" s="237" t="s">
        <v>943</v>
      </c>
      <c r="M483" s="237" t="s">
        <v>924</v>
      </c>
      <c r="N483" s="190">
        <f t="array" ref="N483">IFERROR(
  INDEX($J$2:$J$543,
    MATCH(A483&amp;TEXT(I483,"yyyy-mm-dd"),
          $A$2:$A$543&amp;TEXT($H$2:$H$543,"yyyy-mm-dd"),
          0)),
"")</f>
        <v>0.5</v>
      </c>
      <c r="O483" s="238">
        <f t="shared" si="3"/>
        <v>1</v>
      </c>
      <c r="P483" s="210">
        <f t="shared" ref="P483:Q483" si="493">IF(N483="",0,IF(N483&lt;=2,1,IF(N483&lt;=4,2,IF(N483&lt;=5.5,3,4))))</f>
        <v>1</v>
      </c>
      <c r="Q483" s="210">
        <f t="shared" si="493"/>
        <v>1</v>
      </c>
      <c r="R483" s="210" t="str">
        <f t="shared" si="5"/>
        <v>Progress within level</v>
      </c>
      <c r="S483" s="210">
        <f t="shared" si="6"/>
        <v>1</v>
      </c>
      <c r="T483" s="210"/>
      <c r="U483" s="210"/>
      <c r="V483" s="210"/>
      <c r="W483" s="210"/>
      <c r="X483" s="210"/>
      <c r="Y483" s="210"/>
      <c r="Z483" s="210"/>
      <c r="AA483" s="210"/>
      <c r="AB483" s="210"/>
      <c r="AC483" s="210"/>
      <c r="AD483" s="210"/>
      <c r="AE483" s="210"/>
      <c r="AF483" s="210"/>
      <c r="AG483" s="210"/>
      <c r="AH483" s="210"/>
      <c r="AI483" s="210"/>
      <c r="AJ483" s="210"/>
      <c r="AK483" s="210"/>
      <c r="AL483" s="210"/>
      <c r="AM483" s="214"/>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c r="BU483" s="210"/>
      <c r="BV483" s="210"/>
      <c r="BW483" s="210"/>
      <c r="BX483" s="210"/>
      <c r="BY483" s="210"/>
      <c r="BZ483" s="210"/>
      <c r="CA483" s="210"/>
      <c r="CB483" s="210"/>
      <c r="CC483" s="210"/>
      <c r="CD483" s="210"/>
      <c r="CE483" s="210"/>
      <c r="CF483" s="210"/>
      <c r="CG483" s="210"/>
      <c r="CH483" s="210"/>
      <c r="CI483" s="210"/>
      <c r="CJ483" s="210"/>
      <c r="CK483" s="210"/>
    </row>
    <row r="484">
      <c r="A484" s="232" t="s">
        <v>273</v>
      </c>
      <c r="B484" s="233" t="s">
        <v>274</v>
      </c>
      <c r="C484" s="234" t="s">
        <v>92</v>
      </c>
      <c r="D484" s="234" t="s">
        <v>885</v>
      </c>
      <c r="E484" s="233" t="s">
        <v>25</v>
      </c>
      <c r="F484" s="235" t="s">
        <v>25</v>
      </c>
      <c r="G484" s="235" t="s">
        <v>927</v>
      </c>
      <c r="H484" s="219">
        <f>IFERROR(
  MINIFS(ATTENDANCE_LOG!$F:$F,
         ATTENDANCE_LOG!$A:$A, C484,
         ATTENDANCE_LOG!$B:$B, E484),
"")</f>
        <v>45917.58333</v>
      </c>
      <c r="I484" s="219">
        <f t="shared" si="2"/>
        <v>45715.58333</v>
      </c>
      <c r="J484" s="233">
        <f>IFERROR(VLOOKUP(F484, LEVEL_HELPER!$A:$B, 2, 0), "")</f>
        <v>0.5</v>
      </c>
      <c r="K484" s="233">
        <f>IFERROR(VLOOKUP(G484, LEVEL_HELPER!$A:$B, 2, 0), "")</f>
        <v>1</v>
      </c>
      <c r="L484" s="237" t="s">
        <v>931</v>
      </c>
      <c r="M484" s="237" t="s">
        <v>923</v>
      </c>
      <c r="N484" s="190" t="str">
        <f t="array" ref="N484">IFERROR(
  INDEX($J$2:$J$543,
    MATCH(A484&amp;TEXT(I484,"yyyy-mm-dd"),
          $A$2:$A$543&amp;TEXT($H$2:$H$543,"yyyy-mm-dd"),
          0)),
"")</f>
        <v/>
      </c>
      <c r="O484" s="238">
        <f t="shared" si="3"/>
        <v>1</v>
      </c>
      <c r="P484" s="210">
        <f t="shared" ref="P484:Q484" si="494">IF(N484="",0,IF(N484&lt;=2,1,IF(N484&lt;=4,2,IF(N484&lt;=5.5,3,4))))</f>
        <v>0</v>
      </c>
      <c r="Q484" s="210">
        <f t="shared" si="494"/>
        <v>1</v>
      </c>
      <c r="R484" s="210" t="str">
        <f t="shared" si="5"/>
        <v>No Data</v>
      </c>
      <c r="S484" s="210">
        <f t="shared" si="6"/>
        <v>0</v>
      </c>
      <c r="T484" s="210"/>
      <c r="U484" s="210"/>
      <c r="V484" s="210"/>
      <c r="W484" s="210"/>
      <c r="X484" s="210"/>
      <c r="Y484" s="210"/>
      <c r="Z484" s="210"/>
      <c r="AA484" s="210"/>
      <c r="AB484" s="210"/>
      <c r="AC484" s="210"/>
      <c r="AD484" s="210"/>
      <c r="AE484" s="210"/>
      <c r="AF484" s="210"/>
      <c r="AG484" s="210"/>
      <c r="AH484" s="210"/>
      <c r="AI484" s="210"/>
      <c r="AJ484" s="210"/>
      <c r="AK484" s="210"/>
      <c r="AL484" s="210"/>
      <c r="AM484" s="214"/>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c r="BU484" s="210"/>
      <c r="BV484" s="210"/>
      <c r="BW484" s="210"/>
      <c r="BX484" s="210"/>
      <c r="BY484" s="210"/>
      <c r="BZ484" s="210"/>
      <c r="CA484" s="210"/>
      <c r="CB484" s="210"/>
      <c r="CC484" s="210"/>
      <c r="CD484" s="210"/>
      <c r="CE484" s="210"/>
      <c r="CF484" s="210"/>
      <c r="CG484" s="210"/>
      <c r="CH484" s="210"/>
      <c r="CI484" s="210"/>
      <c r="CJ484" s="210"/>
      <c r="CK484" s="210"/>
    </row>
    <row r="485">
      <c r="A485" s="232" t="s">
        <v>302</v>
      </c>
      <c r="B485" s="233" t="s">
        <v>303</v>
      </c>
      <c r="C485" s="234" t="s">
        <v>92</v>
      </c>
      <c r="D485" s="234" t="s">
        <v>885</v>
      </c>
      <c r="E485" s="233" t="s">
        <v>25</v>
      </c>
      <c r="F485" s="235" t="s">
        <v>25</v>
      </c>
      <c r="G485" s="235" t="s">
        <v>25</v>
      </c>
      <c r="H485" s="219">
        <f>IFERROR(
  MINIFS(ATTENDANCE_LOG!$F:$F,
         ATTENDANCE_LOG!$A:$A, C485,
         ATTENDANCE_LOG!$B:$B, E485),
"")</f>
        <v>45917.58333</v>
      </c>
      <c r="I485" s="219">
        <f t="shared" si="2"/>
        <v>45715.58333</v>
      </c>
      <c r="J485" s="233">
        <f>IFERROR(VLOOKUP(F485, LEVEL_HELPER!$A:$B, 2, 0), "")</f>
        <v>0.5</v>
      </c>
      <c r="K485" s="233">
        <f>IFERROR(VLOOKUP(G485, LEVEL_HELPER!$A:$B, 2, 0), "")</f>
        <v>0.5</v>
      </c>
      <c r="L485" s="237" t="s">
        <v>947</v>
      </c>
      <c r="M485" s="237" t="s">
        <v>923</v>
      </c>
      <c r="N485" s="190" t="str">
        <f t="array" ref="N485">IFERROR(
  INDEX($J$2:$J$543,
    MATCH(A485&amp;TEXT(I485,"yyyy-mm-dd"),
          $A$2:$A$543&amp;TEXT($H$2:$H$543,"yyyy-mm-dd"),
          0)),
"")</f>
        <v/>
      </c>
      <c r="O485" s="238">
        <f t="shared" si="3"/>
        <v>0.5</v>
      </c>
      <c r="P485" s="210">
        <f t="shared" ref="P485:Q485" si="495">IF(N485="",0,IF(N485&lt;=2,1,IF(N485&lt;=4,2,IF(N485&lt;=5.5,3,4))))</f>
        <v>0</v>
      </c>
      <c r="Q485" s="210">
        <f t="shared" si="495"/>
        <v>1</v>
      </c>
      <c r="R485" s="210" t="str">
        <f t="shared" si="5"/>
        <v>No Data</v>
      </c>
      <c r="S485" s="210">
        <f t="shared" si="6"/>
        <v>0</v>
      </c>
      <c r="T485" s="210"/>
      <c r="U485" s="210"/>
      <c r="V485" s="210"/>
      <c r="W485" s="210"/>
      <c r="X485" s="210"/>
      <c r="Y485" s="210"/>
      <c r="Z485" s="210"/>
      <c r="AA485" s="210"/>
      <c r="AB485" s="210"/>
      <c r="AC485" s="210"/>
      <c r="AD485" s="210"/>
      <c r="AE485" s="210"/>
      <c r="AF485" s="210"/>
      <c r="AG485" s="210"/>
      <c r="AH485" s="210"/>
      <c r="AI485" s="210"/>
      <c r="AJ485" s="210"/>
      <c r="AK485" s="210"/>
      <c r="AL485" s="210"/>
      <c r="AM485" s="214"/>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c r="BU485" s="210"/>
      <c r="BV485" s="210"/>
      <c r="BW485" s="210"/>
      <c r="BX485" s="210"/>
      <c r="BY485" s="210"/>
      <c r="BZ485" s="210"/>
      <c r="CA485" s="210"/>
      <c r="CB485" s="210"/>
      <c r="CC485" s="210"/>
      <c r="CD485" s="210"/>
      <c r="CE485" s="210"/>
      <c r="CF485" s="210"/>
      <c r="CG485" s="210"/>
      <c r="CH485" s="210"/>
      <c r="CI485" s="210"/>
      <c r="CJ485" s="210"/>
      <c r="CK485" s="210"/>
    </row>
    <row r="486">
      <c r="A486" s="232" t="s">
        <v>361</v>
      </c>
      <c r="B486" s="233" t="s">
        <v>362</v>
      </c>
      <c r="C486" s="234" t="s">
        <v>92</v>
      </c>
      <c r="D486" s="234" t="s">
        <v>885</v>
      </c>
      <c r="E486" s="233" t="s">
        <v>25</v>
      </c>
      <c r="F486" s="235" t="s">
        <v>25</v>
      </c>
      <c r="G486" s="235" t="s">
        <v>25</v>
      </c>
      <c r="H486" s="219">
        <f>IFERROR(
  MINIFS(ATTENDANCE_LOG!$F:$F,
         ATTENDANCE_LOG!$A:$A, C486,
         ATTENDANCE_LOG!$B:$B, E486),
"")</f>
        <v>45917.58333</v>
      </c>
      <c r="I486" s="219">
        <f t="shared" si="2"/>
        <v>45917.58333</v>
      </c>
      <c r="J486" s="233">
        <f>IFERROR(VLOOKUP(F486, LEVEL_HELPER!$A:$B, 2, 0), "")</f>
        <v>0.5</v>
      </c>
      <c r="K486" s="233">
        <f>IFERROR(VLOOKUP(G486, LEVEL_HELPER!$A:$B, 2, 0), "")</f>
        <v>0.5</v>
      </c>
      <c r="L486" s="237" t="s">
        <v>931</v>
      </c>
      <c r="M486" s="237" t="s">
        <v>920</v>
      </c>
      <c r="N486" s="190">
        <f t="array" ref="N486">IFERROR(
  INDEX($J$2:$J$543,
    MATCH(A486&amp;TEXT(I486,"yyyy-mm-dd"),
          $A$2:$A$543&amp;TEXT($H$2:$H$543,"yyyy-mm-dd"),
          0)),
"")</f>
        <v>0.5</v>
      </c>
      <c r="O486" s="238">
        <f t="shared" si="3"/>
        <v>0.5</v>
      </c>
      <c r="P486" s="210">
        <f t="shared" ref="P486:Q486" si="496">IF(N486="",0,IF(N486&lt;=2,1,IF(N486&lt;=4,2,IF(N486&lt;=5.5,3,4))))</f>
        <v>1</v>
      </c>
      <c r="Q486" s="210">
        <f t="shared" si="496"/>
        <v>1</v>
      </c>
      <c r="R486" s="210" t="str">
        <f t="shared" si="5"/>
        <v>No Progress</v>
      </c>
      <c r="S486" s="210">
        <f t="shared" si="6"/>
        <v>1</v>
      </c>
      <c r="T486" s="210"/>
      <c r="U486" s="210"/>
      <c r="V486" s="210"/>
      <c r="W486" s="210"/>
      <c r="X486" s="210"/>
      <c r="Y486" s="210"/>
      <c r="Z486" s="210"/>
      <c r="AA486" s="210"/>
      <c r="AB486" s="210"/>
      <c r="AC486" s="210"/>
      <c r="AD486" s="210"/>
      <c r="AE486" s="210"/>
      <c r="AF486" s="210"/>
      <c r="AG486" s="210"/>
      <c r="AH486" s="210"/>
      <c r="AI486" s="210"/>
      <c r="AJ486" s="210"/>
      <c r="AK486" s="210"/>
      <c r="AL486" s="210"/>
      <c r="AM486" s="214"/>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c r="BU486" s="210"/>
      <c r="BV486" s="210"/>
      <c r="BW486" s="210"/>
      <c r="BX486" s="210"/>
      <c r="BY486" s="210"/>
      <c r="BZ486" s="210"/>
      <c r="CA486" s="210"/>
      <c r="CB486" s="210"/>
      <c r="CC486" s="210"/>
      <c r="CD486" s="210"/>
      <c r="CE486" s="210"/>
      <c r="CF486" s="210"/>
      <c r="CG486" s="210"/>
      <c r="CH486" s="210"/>
      <c r="CI486" s="210"/>
      <c r="CJ486" s="210"/>
      <c r="CK486" s="210"/>
    </row>
    <row r="487">
      <c r="A487" s="232" t="s">
        <v>385</v>
      </c>
      <c r="B487" s="233" t="s">
        <v>386</v>
      </c>
      <c r="C487" s="234" t="s">
        <v>92</v>
      </c>
      <c r="D487" s="234" t="s">
        <v>885</v>
      </c>
      <c r="E487" s="233" t="s">
        <v>25</v>
      </c>
      <c r="F487" s="235" t="s">
        <v>25</v>
      </c>
      <c r="G487" s="235" t="s">
        <v>25</v>
      </c>
      <c r="H487" s="219">
        <f>IFERROR(
  MINIFS(ATTENDANCE_LOG!$F:$F,
         ATTENDANCE_LOG!$A:$A, C487,
         ATTENDANCE_LOG!$B:$B, E487),
"")</f>
        <v>45917.58333</v>
      </c>
      <c r="I487" s="219">
        <f t="shared" si="2"/>
        <v>45917.58333</v>
      </c>
      <c r="J487" s="233">
        <f>IFERROR(VLOOKUP(F487, LEVEL_HELPER!$A:$B, 2, 0), "")</f>
        <v>0.5</v>
      </c>
      <c r="K487" s="233">
        <f>IFERROR(VLOOKUP(G487, LEVEL_HELPER!$A:$B, 2, 0), "")</f>
        <v>0.5</v>
      </c>
      <c r="L487" s="237" t="s">
        <v>931</v>
      </c>
      <c r="M487" s="237" t="s">
        <v>923</v>
      </c>
      <c r="N487" s="190">
        <f t="array" ref="N487">IFERROR(
  INDEX($J$2:$J$543,
    MATCH(A487&amp;TEXT(I487,"yyyy-mm-dd"),
          $A$2:$A$543&amp;TEXT($H$2:$H$543,"yyyy-mm-dd"),
          0)),
"")</f>
        <v>0.5</v>
      </c>
      <c r="O487" s="238">
        <f t="shared" si="3"/>
        <v>0.5</v>
      </c>
      <c r="P487" s="210">
        <f t="shared" ref="P487:Q487" si="497">IF(N487="",0,IF(N487&lt;=2,1,IF(N487&lt;=4,2,IF(N487&lt;=5.5,3,4))))</f>
        <v>1</v>
      </c>
      <c r="Q487" s="210">
        <f t="shared" si="497"/>
        <v>1</v>
      </c>
      <c r="R487" s="210" t="str">
        <f t="shared" si="5"/>
        <v>No Progress</v>
      </c>
      <c r="S487" s="210">
        <f t="shared" si="6"/>
        <v>1</v>
      </c>
      <c r="T487" s="210"/>
      <c r="U487" s="210"/>
      <c r="V487" s="210"/>
      <c r="W487" s="210"/>
      <c r="X487" s="210"/>
      <c r="Y487" s="210"/>
      <c r="Z487" s="210"/>
      <c r="AA487" s="210"/>
      <c r="AB487" s="210"/>
      <c r="AC487" s="210"/>
      <c r="AD487" s="210"/>
      <c r="AE487" s="210"/>
      <c r="AF487" s="210"/>
      <c r="AG487" s="210"/>
      <c r="AH487" s="210"/>
      <c r="AI487" s="210"/>
      <c r="AJ487" s="210"/>
      <c r="AK487" s="210"/>
      <c r="AL487" s="210"/>
      <c r="AM487" s="214"/>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c r="BU487" s="210"/>
      <c r="BV487" s="210"/>
      <c r="BW487" s="210"/>
      <c r="BX487" s="210"/>
      <c r="BY487" s="210"/>
      <c r="BZ487" s="210"/>
      <c r="CA487" s="210"/>
      <c r="CB487" s="210"/>
      <c r="CC487" s="210"/>
      <c r="CD487" s="210"/>
      <c r="CE487" s="210"/>
      <c r="CF487" s="210"/>
      <c r="CG487" s="210"/>
      <c r="CH487" s="210"/>
      <c r="CI487" s="210"/>
      <c r="CJ487" s="210"/>
      <c r="CK487" s="210"/>
    </row>
    <row r="488">
      <c r="A488" s="232" t="s">
        <v>470</v>
      </c>
      <c r="B488" s="233" t="s">
        <v>471</v>
      </c>
      <c r="C488" s="234" t="s">
        <v>92</v>
      </c>
      <c r="D488" s="234" t="s">
        <v>885</v>
      </c>
      <c r="E488" s="233" t="s">
        <v>25</v>
      </c>
      <c r="F488" s="235" t="s">
        <v>25</v>
      </c>
      <c r="G488" s="235" t="s">
        <v>927</v>
      </c>
      <c r="H488" s="219">
        <f>IFERROR(
  MINIFS(ATTENDANCE_LOG!$F:$F,
         ATTENDANCE_LOG!$A:$A, C488,
         ATTENDANCE_LOG!$B:$B, E488),
"")</f>
        <v>45917.58333</v>
      </c>
      <c r="I488" s="219">
        <f t="shared" si="2"/>
        <v>45917.58333</v>
      </c>
      <c r="J488" s="233">
        <f>IFERROR(VLOOKUP(F488, LEVEL_HELPER!$A:$B, 2, 0), "")</f>
        <v>0.5</v>
      </c>
      <c r="K488" s="233">
        <f>IFERROR(VLOOKUP(G488, LEVEL_HELPER!$A:$B, 2, 0), "")</f>
        <v>1</v>
      </c>
      <c r="L488" s="237" t="s">
        <v>931</v>
      </c>
      <c r="M488" s="237" t="s">
        <v>926</v>
      </c>
      <c r="N488" s="190">
        <f t="array" ref="N488">IFERROR(
  INDEX($J$2:$J$543,
    MATCH(A488&amp;TEXT(I488,"yyyy-mm-dd"),
          $A$2:$A$543&amp;TEXT($H$2:$H$543,"yyyy-mm-dd"),
          0)),
"")</f>
        <v>0.5</v>
      </c>
      <c r="O488" s="238">
        <f t="shared" si="3"/>
        <v>1</v>
      </c>
      <c r="P488" s="210">
        <f t="shared" ref="P488:Q488" si="498">IF(N488="",0,IF(N488&lt;=2,1,IF(N488&lt;=4,2,IF(N488&lt;=5.5,3,4))))</f>
        <v>1</v>
      </c>
      <c r="Q488" s="210">
        <f t="shared" si="498"/>
        <v>1</v>
      </c>
      <c r="R488" s="210" t="str">
        <f t="shared" si="5"/>
        <v>Progress within level</v>
      </c>
      <c r="S488" s="210">
        <f t="shared" si="6"/>
        <v>1</v>
      </c>
      <c r="T488" s="210"/>
      <c r="U488" s="210"/>
      <c r="V488" s="210"/>
      <c r="W488" s="210"/>
      <c r="X488" s="210"/>
      <c r="Y488" s="210"/>
      <c r="Z488" s="210"/>
      <c r="AA488" s="210"/>
      <c r="AB488" s="210"/>
      <c r="AC488" s="210"/>
      <c r="AD488" s="210"/>
      <c r="AE488" s="210"/>
      <c r="AF488" s="210"/>
      <c r="AG488" s="210"/>
      <c r="AH488" s="210"/>
      <c r="AI488" s="210"/>
      <c r="AJ488" s="210"/>
      <c r="AK488" s="210"/>
      <c r="AL488" s="210"/>
      <c r="AM488" s="214"/>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c r="BU488" s="210"/>
      <c r="BV488" s="210"/>
      <c r="BW488" s="210"/>
      <c r="BX488" s="210"/>
      <c r="BY488" s="210"/>
      <c r="BZ488" s="210"/>
      <c r="CA488" s="210"/>
      <c r="CB488" s="210"/>
      <c r="CC488" s="210"/>
      <c r="CD488" s="210"/>
      <c r="CE488" s="210"/>
      <c r="CF488" s="210"/>
      <c r="CG488" s="210"/>
      <c r="CH488" s="210"/>
      <c r="CI488" s="210"/>
      <c r="CJ488" s="210"/>
      <c r="CK488" s="210"/>
    </row>
    <row r="489">
      <c r="A489" s="232" t="s">
        <v>532</v>
      </c>
      <c r="B489" s="233" t="s">
        <v>533</v>
      </c>
      <c r="C489" s="234" t="s">
        <v>92</v>
      </c>
      <c r="D489" s="234" t="s">
        <v>885</v>
      </c>
      <c r="E489" s="233" t="s">
        <v>25</v>
      </c>
      <c r="F489" s="235" t="s">
        <v>25</v>
      </c>
      <c r="G489" s="235" t="s">
        <v>25</v>
      </c>
      <c r="H489" s="219">
        <f>IFERROR(
  MINIFS(ATTENDANCE_LOG!$F:$F,
         ATTENDANCE_LOG!$A:$A, C489,
         ATTENDANCE_LOG!$B:$B, E489),
"")</f>
        <v>45917.58333</v>
      </c>
      <c r="I489" s="219">
        <f t="shared" si="2"/>
        <v>45917.58333</v>
      </c>
      <c r="J489" s="233">
        <f>IFERROR(VLOOKUP(F489, LEVEL_HELPER!$A:$B, 2, 0), "")</f>
        <v>0.5</v>
      </c>
      <c r="K489" s="233">
        <f>IFERROR(VLOOKUP(G489, LEVEL_HELPER!$A:$B, 2, 0), "")</f>
        <v>0.5</v>
      </c>
      <c r="L489" s="237" t="s">
        <v>931</v>
      </c>
      <c r="M489" s="237" t="s">
        <v>926</v>
      </c>
      <c r="N489" s="190">
        <f t="array" ref="N489">IFERROR(
  INDEX($J$2:$J$543,
    MATCH(A489&amp;TEXT(I489,"yyyy-mm-dd"),
          $A$2:$A$543&amp;TEXT($H$2:$H$543,"yyyy-mm-dd"),
          0)),
"")</f>
        <v>0.5</v>
      </c>
      <c r="O489" s="238">
        <f t="shared" si="3"/>
        <v>0.5</v>
      </c>
      <c r="P489" s="210">
        <f t="shared" ref="P489:Q489" si="499">IF(N489="",0,IF(N489&lt;=2,1,IF(N489&lt;=4,2,IF(N489&lt;=5.5,3,4))))</f>
        <v>1</v>
      </c>
      <c r="Q489" s="210">
        <f t="shared" si="499"/>
        <v>1</v>
      </c>
      <c r="R489" s="210" t="str">
        <f t="shared" si="5"/>
        <v>No Progress</v>
      </c>
      <c r="S489" s="210">
        <f t="shared" si="6"/>
        <v>1</v>
      </c>
      <c r="T489" s="210"/>
      <c r="U489" s="210"/>
      <c r="V489" s="210"/>
      <c r="W489" s="210"/>
      <c r="X489" s="210"/>
      <c r="Y489" s="210"/>
      <c r="Z489" s="210"/>
      <c r="AA489" s="210"/>
      <c r="AB489" s="210"/>
      <c r="AC489" s="210"/>
      <c r="AD489" s="210"/>
      <c r="AE489" s="210"/>
      <c r="AF489" s="210"/>
      <c r="AG489" s="210"/>
      <c r="AH489" s="210"/>
      <c r="AI489" s="210"/>
      <c r="AJ489" s="210"/>
      <c r="AK489" s="210"/>
      <c r="AL489" s="210"/>
      <c r="AM489" s="214"/>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c r="BU489" s="210"/>
      <c r="BV489" s="210"/>
      <c r="BW489" s="210"/>
      <c r="BX489" s="210"/>
      <c r="BY489" s="210"/>
      <c r="BZ489" s="210"/>
      <c r="CA489" s="210"/>
      <c r="CB489" s="210"/>
      <c r="CC489" s="210"/>
      <c r="CD489" s="210"/>
      <c r="CE489" s="210"/>
      <c r="CF489" s="210"/>
      <c r="CG489" s="210"/>
      <c r="CH489" s="210"/>
      <c r="CI489" s="210"/>
      <c r="CJ489" s="210"/>
      <c r="CK489" s="210"/>
    </row>
    <row r="490">
      <c r="A490" s="249" t="s">
        <v>502</v>
      </c>
      <c r="B490" s="250" t="s">
        <v>503</v>
      </c>
      <c r="C490" s="251" t="s">
        <v>93</v>
      </c>
      <c r="D490" s="251" t="s">
        <v>886</v>
      </c>
      <c r="E490" s="250" t="s">
        <v>21</v>
      </c>
      <c r="F490" s="252" t="s">
        <v>918</v>
      </c>
      <c r="G490" s="250"/>
      <c r="H490" s="219">
        <f>IFERROR(
  MINIFS(ATTENDANCE_LOG!$F:$F,
         ATTENDANCE_LOG!$A:$A, C490,
         ATTENDANCE_LOG!$B:$B, E490),
"")</f>
        <v>45929.58333</v>
      </c>
      <c r="I490" s="219">
        <f t="shared" si="2"/>
        <v>45929.58333</v>
      </c>
      <c r="J490" s="250">
        <f>IFERROR(VLOOKUP(F490, LEVEL_HELPER!$A:$B, 2, 0), "")</f>
        <v>3</v>
      </c>
      <c r="K490" s="233" t="str">
        <f>IFERROR(VLOOKUP(G490, LEVEL_HELPER!$A:$B, 2, 0), "")</f>
        <v/>
      </c>
      <c r="L490" s="253" t="s">
        <v>931</v>
      </c>
      <c r="M490" s="253" t="s">
        <v>923</v>
      </c>
      <c r="N490" s="190">
        <f t="array" ref="N490">IFERROR(
  INDEX($J$2:$J$543,
    MATCH(A490&amp;TEXT(I490,"yyyy-mm-dd"),
          $A$2:$A$543&amp;TEXT($H$2:$H$543,"yyyy-mm-dd"),
          0)),
"")</f>
        <v>3</v>
      </c>
      <c r="O490" s="254">
        <f t="shared" si="3"/>
        <v>0</v>
      </c>
      <c r="P490" s="210">
        <f t="shared" ref="P490:Q490" si="500">IF(N490="",0,IF(N490&lt;=2,1,IF(N490&lt;=4,2,IF(N490&lt;=5.5,3,4))))</f>
        <v>2</v>
      </c>
      <c r="Q490" s="210">
        <f t="shared" si="500"/>
        <v>1</v>
      </c>
      <c r="R490" s="210" t="str">
        <f t="shared" si="5"/>
        <v>Regressed</v>
      </c>
      <c r="S490" s="210">
        <f t="shared" si="6"/>
        <v>1</v>
      </c>
      <c r="T490" s="210"/>
      <c r="U490" s="210"/>
      <c r="V490" s="210"/>
      <c r="W490" s="210"/>
      <c r="X490" s="210"/>
      <c r="Y490" s="210"/>
      <c r="Z490" s="210"/>
      <c r="AA490" s="210"/>
      <c r="AB490" s="210"/>
      <c r="AC490" s="210"/>
      <c r="AD490" s="210"/>
      <c r="AE490" s="210"/>
      <c r="AF490" s="210"/>
      <c r="AG490" s="210"/>
      <c r="AH490" s="210"/>
      <c r="AI490" s="210"/>
      <c r="AJ490" s="210"/>
      <c r="AK490" s="210"/>
      <c r="AL490" s="210"/>
      <c r="AM490" s="214"/>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c r="BU490" s="210"/>
      <c r="BV490" s="210"/>
      <c r="BW490" s="210"/>
      <c r="BX490" s="210"/>
      <c r="BY490" s="210"/>
      <c r="BZ490" s="210"/>
      <c r="CA490" s="210"/>
      <c r="CB490" s="210"/>
      <c r="CC490" s="210"/>
      <c r="CD490" s="210"/>
      <c r="CE490" s="210"/>
      <c r="CF490" s="210"/>
      <c r="CG490" s="210"/>
      <c r="CH490" s="210"/>
      <c r="CI490" s="210"/>
      <c r="CJ490" s="210"/>
      <c r="CK490" s="210"/>
    </row>
    <row r="491">
      <c r="A491" s="232" t="s">
        <v>385</v>
      </c>
      <c r="B491" s="233" t="s">
        <v>386</v>
      </c>
      <c r="C491" s="234" t="s">
        <v>93</v>
      </c>
      <c r="D491" s="234" t="s">
        <v>886</v>
      </c>
      <c r="E491" s="233" t="s">
        <v>21</v>
      </c>
      <c r="F491" s="235" t="s">
        <v>927</v>
      </c>
      <c r="G491" s="233"/>
      <c r="H491" s="219">
        <f>IFERROR(
  MINIFS(ATTENDANCE_LOG!$F:$F,
         ATTENDANCE_LOG!$A:$A, C491,
         ATTENDANCE_LOG!$B:$B, E491),
"")</f>
        <v>45929.58333</v>
      </c>
      <c r="I491" s="219">
        <f t="shared" si="2"/>
        <v>45917.58333</v>
      </c>
      <c r="J491" s="233">
        <f>IFERROR(VLOOKUP(F491, LEVEL_HELPER!$A:$B, 2, 0), "")</f>
        <v>1</v>
      </c>
      <c r="K491" s="233" t="str">
        <f>IFERROR(VLOOKUP(G491, LEVEL_HELPER!$A:$B, 2, 0), "")</f>
        <v/>
      </c>
      <c r="L491" s="237" t="s">
        <v>931</v>
      </c>
      <c r="M491" s="237" t="s">
        <v>923</v>
      </c>
      <c r="N491" s="190">
        <f t="array" ref="N491">IFERROR(
  INDEX($J$2:$J$543,
    MATCH(A491&amp;TEXT(I491,"yyyy-mm-dd"),
          $A$2:$A$543&amp;TEXT($H$2:$H$543,"yyyy-mm-dd"),
          0)),
"")</f>
        <v>0.5</v>
      </c>
      <c r="O491" s="238">
        <f t="shared" si="3"/>
        <v>0.5</v>
      </c>
      <c r="P491" s="210">
        <f t="shared" ref="P491:Q491" si="501">IF(N491="",0,IF(N491&lt;=2,1,IF(N491&lt;=4,2,IF(N491&lt;=5.5,3,4))))</f>
        <v>1</v>
      </c>
      <c r="Q491" s="210">
        <f t="shared" si="501"/>
        <v>1</v>
      </c>
      <c r="R491" s="210" t="str">
        <f t="shared" si="5"/>
        <v>No Progress</v>
      </c>
      <c r="S491" s="210">
        <f t="shared" si="6"/>
        <v>0</v>
      </c>
      <c r="T491" s="210"/>
      <c r="U491" s="210"/>
      <c r="V491" s="210"/>
      <c r="W491" s="210"/>
      <c r="X491" s="210"/>
      <c r="Y491" s="210"/>
      <c r="Z491" s="210"/>
      <c r="AA491" s="210"/>
      <c r="AB491" s="210"/>
      <c r="AC491" s="210"/>
      <c r="AD491" s="210"/>
      <c r="AE491" s="210"/>
      <c r="AF491" s="210"/>
      <c r="AG491" s="210"/>
      <c r="AH491" s="210"/>
      <c r="AI491" s="210"/>
      <c r="AJ491" s="210"/>
      <c r="AK491" s="210"/>
      <c r="AL491" s="210"/>
      <c r="AM491" s="214"/>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c r="BU491" s="210"/>
      <c r="BV491" s="210"/>
      <c r="BW491" s="210"/>
      <c r="BX491" s="210"/>
      <c r="BY491" s="210"/>
      <c r="BZ491" s="210"/>
      <c r="CA491" s="210"/>
      <c r="CB491" s="210"/>
      <c r="CC491" s="210"/>
      <c r="CD491" s="210"/>
      <c r="CE491" s="210"/>
      <c r="CF491" s="210"/>
      <c r="CG491" s="210"/>
      <c r="CH491" s="210"/>
      <c r="CI491" s="210"/>
      <c r="CJ491" s="210"/>
      <c r="CK491" s="210"/>
    </row>
    <row r="492">
      <c r="A492" s="232" t="s">
        <v>427</v>
      </c>
      <c r="B492" s="233" t="s">
        <v>428</v>
      </c>
      <c r="C492" s="234" t="s">
        <v>93</v>
      </c>
      <c r="D492" s="234" t="s">
        <v>886</v>
      </c>
      <c r="E492" s="233" t="s">
        <v>21</v>
      </c>
      <c r="F492" s="235" t="s">
        <v>927</v>
      </c>
      <c r="G492" s="233"/>
      <c r="H492" s="219">
        <f>IFERROR(
  MINIFS(ATTENDANCE_LOG!$F:$F,
         ATTENDANCE_LOG!$A:$A, C492,
         ATTENDANCE_LOG!$B:$B, E492),
"")</f>
        <v>45929.58333</v>
      </c>
      <c r="I492" s="219">
        <f t="shared" si="2"/>
        <v>45929.58333</v>
      </c>
      <c r="J492" s="233">
        <f>IFERROR(VLOOKUP(F492, LEVEL_HELPER!$A:$B, 2, 0), "")</f>
        <v>1</v>
      </c>
      <c r="K492" s="233" t="str">
        <f>IFERROR(VLOOKUP(G492, LEVEL_HELPER!$A:$B, 2, 0), "")</f>
        <v/>
      </c>
      <c r="L492" s="237" t="s">
        <v>931</v>
      </c>
      <c r="M492" s="237" t="s">
        <v>923</v>
      </c>
      <c r="N492" s="190">
        <f t="array" ref="N492">IFERROR(
  INDEX($J$2:$J$543,
    MATCH(A492&amp;TEXT(I492,"yyyy-mm-dd"),
          $A$2:$A$543&amp;TEXT($H$2:$H$543,"yyyy-mm-dd"),
          0)),
"")</f>
        <v>1</v>
      </c>
      <c r="O492" s="238">
        <f t="shared" si="3"/>
        <v>0</v>
      </c>
      <c r="P492" s="210">
        <f t="shared" ref="P492:Q492" si="502">IF(N492="",0,IF(N492&lt;=2,1,IF(N492&lt;=4,2,IF(N492&lt;=5.5,3,4))))</f>
        <v>1</v>
      </c>
      <c r="Q492" s="210">
        <f t="shared" si="502"/>
        <v>1</v>
      </c>
      <c r="R492" s="210" t="str">
        <f t="shared" si="5"/>
        <v>No Progress</v>
      </c>
      <c r="S492" s="210">
        <f t="shared" si="6"/>
        <v>1</v>
      </c>
      <c r="T492" s="210"/>
      <c r="U492" s="210"/>
      <c r="V492" s="210"/>
      <c r="W492" s="210"/>
      <c r="X492" s="210"/>
      <c r="Y492" s="210"/>
      <c r="Z492" s="210"/>
      <c r="AA492" s="210"/>
      <c r="AB492" s="210"/>
      <c r="AC492" s="210"/>
      <c r="AD492" s="210"/>
      <c r="AE492" s="210"/>
      <c r="AF492" s="210"/>
      <c r="AG492" s="210"/>
      <c r="AH492" s="210"/>
      <c r="AI492" s="210"/>
      <c r="AJ492" s="210"/>
      <c r="AK492" s="210"/>
      <c r="AL492" s="210"/>
      <c r="AM492" s="214"/>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c r="BU492" s="210"/>
      <c r="BV492" s="210"/>
      <c r="BW492" s="210"/>
      <c r="BX492" s="210"/>
      <c r="BY492" s="210"/>
      <c r="BZ492" s="210"/>
      <c r="CA492" s="210"/>
      <c r="CB492" s="210"/>
      <c r="CC492" s="210"/>
      <c r="CD492" s="210"/>
      <c r="CE492" s="210"/>
      <c r="CF492" s="210"/>
      <c r="CG492" s="210"/>
      <c r="CH492" s="210"/>
      <c r="CI492" s="210"/>
      <c r="CJ492" s="210"/>
      <c r="CK492" s="210"/>
    </row>
    <row r="493">
      <c r="A493" s="232" t="s">
        <v>655</v>
      </c>
      <c r="B493" s="233" t="s">
        <v>656</v>
      </c>
      <c r="C493" s="234" t="s">
        <v>93</v>
      </c>
      <c r="D493" s="234" t="s">
        <v>886</v>
      </c>
      <c r="E493" s="233" t="s">
        <v>21</v>
      </c>
      <c r="F493" s="235" t="s">
        <v>927</v>
      </c>
      <c r="G493" s="233"/>
      <c r="H493" s="219">
        <f>IFERROR(
  MINIFS(ATTENDANCE_LOG!$F:$F,
         ATTENDANCE_LOG!$A:$A, C493,
         ATTENDANCE_LOG!$B:$B, E493),
"")</f>
        <v>45929.58333</v>
      </c>
      <c r="I493" s="219">
        <f t="shared" si="2"/>
        <v>45929.58333</v>
      </c>
      <c r="J493" s="233">
        <f>IFERROR(VLOOKUP(F493, LEVEL_HELPER!$A:$B, 2, 0), "")</f>
        <v>1</v>
      </c>
      <c r="K493" s="233" t="str">
        <f>IFERROR(VLOOKUP(G493, LEVEL_HELPER!$A:$B, 2, 0), "")</f>
        <v/>
      </c>
      <c r="L493" s="237" t="s">
        <v>931</v>
      </c>
      <c r="M493" s="237" t="s">
        <v>923</v>
      </c>
      <c r="N493" s="190">
        <f t="array" ref="N493">IFERROR(
  INDEX($J$2:$J$543,
    MATCH(A493&amp;TEXT(I493,"yyyy-mm-dd"),
          $A$2:$A$543&amp;TEXT($H$2:$H$543,"yyyy-mm-dd"),
          0)),
"")</f>
        <v>1</v>
      </c>
      <c r="O493" s="238">
        <f t="shared" si="3"/>
        <v>0</v>
      </c>
      <c r="P493" s="210">
        <f t="shared" ref="P493:Q493" si="503">IF(N493="",0,IF(N493&lt;=2,1,IF(N493&lt;=4,2,IF(N493&lt;=5.5,3,4))))</f>
        <v>1</v>
      </c>
      <c r="Q493" s="210">
        <f t="shared" si="503"/>
        <v>1</v>
      </c>
      <c r="R493" s="210" t="str">
        <f t="shared" si="5"/>
        <v>No Progress</v>
      </c>
      <c r="S493" s="210">
        <f t="shared" si="6"/>
        <v>1</v>
      </c>
      <c r="T493" s="210"/>
      <c r="U493" s="210"/>
      <c r="V493" s="210"/>
      <c r="W493" s="210"/>
      <c r="X493" s="210"/>
      <c r="Y493" s="210"/>
      <c r="Z493" s="210"/>
      <c r="AA493" s="210"/>
      <c r="AB493" s="210"/>
      <c r="AC493" s="210"/>
      <c r="AD493" s="210"/>
      <c r="AE493" s="210"/>
      <c r="AF493" s="210"/>
      <c r="AG493" s="210"/>
      <c r="AH493" s="210"/>
      <c r="AI493" s="210"/>
      <c r="AJ493" s="210"/>
      <c r="AK493" s="210"/>
      <c r="AL493" s="210"/>
      <c r="AM493" s="214"/>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c r="BU493" s="210"/>
      <c r="BV493" s="210"/>
      <c r="BW493" s="210"/>
      <c r="BX493" s="210"/>
      <c r="BY493" s="210"/>
      <c r="BZ493" s="210"/>
      <c r="CA493" s="210"/>
      <c r="CB493" s="210"/>
      <c r="CC493" s="210"/>
      <c r="CD493" s="210"/>
      <c r="CE493" s="210"/>
      <c r="CF493" s="210"/>
      <c r="CG493" s="210"/>
      <c r="CH493" s="210"/>
      <c r="CI493" s="210"/>
      <c r="CJ493" s="210"/>
      <c r="CK493" s="210"/>
    </row>
    <row r="494">
      <c r="A494" s="232" t="s">
        <v>705</v>
      </c>
      <c r="B494" s="233" t="s">
        <v>706</v>
      </c>
      <c r="C494" s="234" t="s">
        <v>93</v>
      </c>
      <c r="D494" s="234" t="s">
        <v>886</v>
      </c>
      <c r="E494" s="233" t="s">
        <v>21</v>
      </c>
      <c r="F494" s="235" t="s">
        <v>927</v>
      </c>
      <c r="G494" s="233"/>
      <c r="H494" s="219">
        <f>IFERROR(
  MINIFS(ATTENDANCE_LOG!$F:$F,
         ATTENDANCE_LOG!$A:$A, C494,
         ATTENDANCE_LOG!$B:$B, E494),
"")</f>
        <v>45929.58333</v>
      </c>
      <c r="I494" s="219">
        <f t="shared" si="2"/>
        <v>45929.58333</v>
      </c>
      <c r="J494" s="233">
        <f>IFERROR(VLOOKUP(F494, LEVEL_HELPER!$A:$B, 2, 0), "")</f>
        <v>1</v>
      </c>
      <c r="K494" s="233" t="str">
        <f>IFERROR(VLOOKUP(G494, LEVEL_HELPER!$A:$B, 2, 0), "")</f>
        <v/>
      </c>
      <c r="L494" s="237" t="s">
        <v>957</v>
      </c>
      <c r="M494" s="237" t="s">
        <v>923</v>
      </c>
      <c r="N494" s="190">
        <f t="array" ref="N494">IFERROR(
  INDEX($J$2:$J$543,
    MATCH(A494&amp;TEXT(I494,"yyyy-mm-dd"),
          $A$2:$A$543&amp;TEXT($H$2:$H$543,"yyyy-mm-dd"),
          0)),
"")</f>
        <v>1</v>
      </c>
      <c r="O494" s="238">
        <f t="shared" si="3"/>
        <v>0</v>
      </c>
      <c r="P494" s="210">
        <f t="shared" ref="P494:Q494" si="504">IF(N494="",0,IF(N494&lt;=2,1,IF(N494&lt;=4,2,IF(N494&lt;=5.5,3,4))))</f>
        <v>1</v>
      </c>
      <c r="Q494" s="210">
        <f t="shared" si="504"/>
        <v>1</v>
      </c>
      <c r="R494" s="210" t="str">
        <f t="shared" si="5"/>
        <v>No Progress</v>
      </c>
      <c r="S494" s="210">
        <f t="shared" si="6"/>
        <v>1</v>
      </c>
      <c r="T494" s="210"/>
      <c r="U494" s="210"/>
      <c r="V494" s="210"/>
      <c r="W494" s="210"/>
      <c r="X494" s="210"/>
      <c r="Y494" s="210"/>
      <c r="Z494" s="210"/>
      <c r="AA494" s="210"/>
      <c r="AB494" s="210"/>
      <c r="AC494" s="210"/>
      <c r="AD494" s="210"/>
      <c r="AE494" s="210"/>
      <c r="AF494" s="210"/>
      <c r="AG494" s="210"/>
      <c r="AH494" s="210"/>
      <c r="AI494" s="210"/>
      <c r="AJ494" s="210"/>
      <c r="AK494" s="210"/>
      <c r="AL494" s="210"/>
      <c r="AM494" s="214"/>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c r="BU494" s="210"/>
      <c r="BV494" s="210"/>
      <c r="BW494" s="210"/>
      <c r="BX494" s="210"/>
      <c r="BY494" s="210"/>
      <c r="BZ494" s="210"/>
      <c r="CA494" s="210"/>
      <c r="CB494" s="210"/>
      <c r="CC494" s="210"/>
      <c r="CD494" s="210"/>
      <c r="CE494" s="210"/>
      <c r="CF494" s="210"/>
      <c r="CG494" s="210"/>
      <c r="CH494" s="210"/>
      <c r="CI494" s="210"/>
      <c r="CJ494" s="210"/>
      <c r="CK494" s="210"/>
    </row>
    <row r="495">
      <c r="A495" s="249" t="s">
        <v>581</v>
      </c>
      <c r="B495" s="250" t="s">
        <v>582</v>
      </c>
      <c r="C495" s="251" t="s">
        <v>94</v>
      </c>
      <c r="D495" s="251" t="s">
        <v>887</v>
      </c>
      <c r="E495" s="250" t="s">
        <v>21</v>
      </c>
      <c r="F495" s="252" t="s">
        <v>927</v>
      </c>
      <c r="G495" s="250"/>
      <c r="H495" s="219">
        <f>IFERROR(
  MINIFS(ATTENDANCE_LOG!$F:$F,
         ATTENDANCE_LOG!$A:$A, C495,
         ATTENDANCE_LOG!$B:$B, E495),
"")</f>
        <v>46083.625</v>
      </c>
      <c r="I495" s="219">
        <f t="shared" si="2"/>
        <v>46083.625</v>
      </c>
      <c r="J495" s="250">
        <f>IFERROR(VLOOKUP(F495, LEVEL_HELPER!$A:$B, 2, 0), "")</f>
        <v>1</v>
      </c>
      <c r="K495" s="233" t="str">
        <f>IFERROR(VLOOKUP(G495, LEVEL_HELPER!$A:$B, 2, 0), "")</f>
        <v/>
      </c>
      <c r="L495" s="253" t="s">
        <v>943</v>
      </c>
      <c r="M495" s="253" t="s">
        <v>925</v>
      </c>
      <c r="N495" s="190">
        <f t="array" ref="N495">IFERROR(
  INDEX($J$2:$J$543,
    MATCH(A495&amp;TEXT(I495,"yyyy-mm-dd"),
          $A$2:$A$543&amp;TEXT($H$2:$H$543,"yyyy-mm-dd"),
          0)),
"")</f>
        <v>1</v>
      </c>
      <c r="O495" s="254">
        <f t="shared" si="3"/>
        <v>0</v>
      </c>
      <c r="P495" s="210">
        <f t="shared" ref="P495:Q495" si="505">IF(N495="",0,IF(N495&lt;=2,1,IF(N495&lt;=4,2,IF(N495&lt;=5.5,3,4))))</f>
        <v>1</v>
      </c>
      <c r="Q495" s="210">
        <f t="shared" si="505"/>
        <v>1</v>
      </c>
      <c r="R495" s="210" t="str">
        <f t="shared" si="5"/>
        <v>No Progress</v>
      </c>
      <c r="S495" s="210">
        <f t="shared" si="6"/>
        <v>1</v>
      </c>
      <c r="T495" s="210"/>
      <c r="U495" s="210"/>
      <c r="V495" s="210"/>
      <c r="W495" s="210"/>
      <c r="X495" s="210"/>
      <c r="Y495" s="210"/>
      <c r="Z495" s="210"/>
      <c r="AA495" s="210"/>
      <c r="AB495" s="210"/>
      <c r="AC495" s="210"/>
      <c r="AD495" s="210"/>
      <c r="AE495" s="210"/>
      <c r="AF495" s="210"/>
      <c r="AG495" s="210"/>
      <c r="AH495" s="210"/>
      <c r="AI495" s="210"/>
      <c r="AJ495" s="210"/>
      <c r="AK495" s="210"/>
      <c r="AL495" s="210"/>
      <c r="AM495" s="214"/>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c r="BU495" s="210"/>
      <c r="BV495" s="210"/>
      <c r="BW495" s="210"/>
      <c r="BX495" s="210"/>
      <c r="BY495" s="210"/>
      <c r="BZ495" s="210"/>
      <c r="CA495" s="210"/>
      <c r="CB495" s="210"/>
      <c r="CC495" s="210"/>
      <c r="CD495" s="210"/>
      <c r="CE495" s="210"/>
      <c r="CF495" s="210"/>
      <c r="CG495" s="210"/>
      <c r="CH495" s="210"/>
      <c r="CI495" s="210"/>
      <c r="CJ495" s="210"/>
      <c r="CK495" s="210"/>
    </row>
    <row r="496">
      <c r="A496" s="232" t="s">
        <v>149</v>
      </c>
      <c r="B496" s="233" t="s">
        <v>150</v>
      </c>
      <c r="C496" s="234" t="s">
        <v>94</v>
      </c>
      <c r="D496" s="234" t="s">
        <v>887</v>
      </c>
      <c r="E496" s="233" t="s">
        <v>21</v>
      </c>
      <c r="F496" s="235" t="s">
        <v>927</v>
      </c>
      <c r="G496" s="235"/>
      <c r="H496" s="219">
        <f>IFERROR(
  MINIFS(ATTENDANCE_LOG!$F:$F,
         ATTENDANCE_LOG!$A:$A, C496,
         ATTENDANCE_LOG!$B:$B, E496),
"")</f>
        <v>46083.625</v>
      </c>
      <c r="I496" s="219">
        <f t="shared" si="2"/>
        <v>45637.375</v>
      </c>
      <c r="J496" s="233">
        <f>IFERROR(VLOOKUP(F496, LEVEL_HELPER!$A:$B, 2, 0), "")</f>
        <v>1</v>
      </c>
      <c r="K496" s="233" t="str">
        <f>IFERROR(VLOOKUP(G496, LEVEL_HELPER!$A:$B, 2, 0), "")</f>
        <v/>
      </c>
      <c r="L496" s="237" t="s">
        <v>919</v>
      </c>
      <c r="M496" s="237" t="s">
        <v>925</v>
      </c>
      <c r="N496" s="190">
        <f t="array" ref="N496">IFERROR(
  INDEX($J$2:$J$543,
    MATCH(A496&amp;TEXT(I496,"yyyy-mm-dd"),
          $A$2:$A$543&amp;TEXT($H$2:$H$543,"yyyy-mm-dd"),
          0)),
"")</f>
        <v>1</v>
      </c>
      <c r="O496" s="238">
        <f t="shared" si="3"/>
        <v>2.5</v>
      </c>
      <c r="P496" s="210">
        <f t="shared" ref="P496:Q496" si="506">IF(N496="",0,IF(N496&lt;=2,1,IF(N496&lt;=4,2,IF(N496&lt;=5.5,3,4))))</f>
        <v>1</v>
      </c>
      <c r="Q496" s="210">
        <f t="shared" si="506"/>
        <v>2</v>
      </c>
      <c r="R496" s="210" t="str">
        <f t="shared" si="5"/>
        <v>Lv1 → Lv2</v>
      </c>
      <c r="S496" s="210">
        <f t="shared" si="6"/>
        <v>0</v>
      </c>
      <c r="T496" s="210"/>
      <c r="U496" s="210"/>
      <c r="V496" s="210"/>
      <c r="W496" s="210"/>
      <c r="X496" s="210"/>
      <c r="Y496" s="210"/>
      <c r="Z496" s="210"/>
      <c r="AA496" s="210"/>
      <c r="AB496" s="210"/>
      <c r="AC496" s="210"/>
      <c r="AD496" s="210"/>
      <c r="AE496" s="210"/>
      <c r="AF496" s="210"/>
      <c r="AG496" s="210"/>
      <c r="AH496" s="210"/>
      <c r="AI496" s="210"/>
      <c r="AJ496" s="210"/>
      <c r="AK496" s="210"/>
      <c r="AL496" s="210"/>
      <c r="AM496" s="214"/>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c r="BU496" s="210"/>
      <c r="BV496" s="210"/>
      <c r="BW496" s="210"/>
      <c r="BX496" s="210"/>
      <c r="BY496" s="210"/>
      <c r="BZ496" s="210"/>
      <c r="CA496" s="210"/>
      <c r="CB496" s="210"/>
      <c r="CC496" s="210"/>
      <c r="CD496" s="210"/>
      <c r="CE496" s="210"/>
      <c r="CF496" s="210"/>
      <c r="CG496" s="210"/>
      <c r="CH496" s="210"/>
      <c r="CI496" s="210"/>
      <c r="CJ496" s="210"/>
      <c r="CK496" s="210"/>
    </row>
    <row r="497">
      <c r="A497" s="232" t="s">
        <v>344</v>
      </c>
      <c r="B497" s="233" t="s">
        <v>345</v>
      </c>
      <c r="C497" s="234" t="s">
        <v>94</v>
      </c>
      <c r="D497" s="234" t="s">
        <v>887</v>
      </c>
      <c r="E497" s="233" t="s">
        <v>21</v>
      </c>
      <c r="F497" s="235" t="s">
        <v>927</v>
      </c>
      <c r="G497" s="233"/>
      <c r="H497" s="219">
        <f>IFERROR(
  MINIFS(ATTENDANCE_LOG!$F:$F,
         ATTENDANCE_LOG!$A:$A, C497,
         ATTENDANCE_LOG!$B:$B, E497),
"")</f>
        <v>46083.625</v>
      </c>
      <c r="I497" s="219">
        <f t="shared" si="2"/>
        <v>46083.625</v>
      </c>
      <c r="J497" s="233">
        <f>IFERROR(VLOOKUP(F497, LEVEL_HELPER!$A:$B, 2, 0), "")</f>
        <v>1</v>
      </c>
      <c r="K497" s="233" t="str">
        <f>IFERROR(VLOOKUP(G497, LEVEL_HELPER!$A:$B, 2, 0), "")</f>
        <v/>
      </c>
      <c r="L497" s="237" t="s">
        <v>943</v>
      </c>
      <c r="M497" s="237" t="s">
        <v>925</v>
      </c>
      <c r="N497" s="190">
        <f t="array" ref="N497">IFERROR(
  INDEX($J$2:$J$543,
    MATCH(A497&amp;TEXT(I497,"yyyy-mm-dd"),
          $A$2:$A$543&amp;TEXT($H$2:$H$543,"yyyy-mm-dd"),
          0)),
"")</f>
        <v>1</v>
      </c>
      <c r="O497" s="238">
        <f t="shared" si="3"/>
        <v>0</v>
      </c>
      <c r="P497" s="210">
        <f t="shared" ref="P497:Q497" si="507">IF(N497="",0,IF(N497&lt;=2,1,IF(N497&lt;=4,2,IF(N497&lt;=5.5,3,4))))</f>
        <v>1</v>
      </c>
      <c r="Q497" s="210">
        <f t="shared" si="507"/>
        <v>1</v>
      </c>
      <c r="R497" s="210" t="str">
        <f t="shared" si="5"/>
        <v>No Progress</v>
      </c>
      <c r="S497" s="210">
        <f t="shared" si="6"/>
        <v>1</v>
      </c>
      <c r="T497" s="210"/>
      <c r="U497" s="210"/>
      <c r="V497" s="210"/>
      <c r="W497" s="210"/>
      <c r="X497" s="210"/>
      <c r="Y497" s="210"/>
      <c r="Z497" s="210"/>
      <c r="AA497" s="210"/>
      <c r="AB497" s="210"/>
      <c r="AC497" s="210"/>
      <c r="AD497" s="210"/>
      <c r="AE497" s="210"/>
      <c r="AF497" s="210"/>
      <c r="AG497" s="210"/>
      <c r="AH497" s="210"/>
      <c r="AI497" s="210"/>
      <c r="AJ497" s="210"/>
      <c r="AK497" s="210"/>
      <c r="AL497" s="210"/>
      <c r="AM497" s="214"/>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c r="BU497" s="210"/>
      <c r="BV497" s="210"/>
      <c r="BW497" s="210"/>
      <c r="BX497" s="210"/>
      <c r="BY497" s="210"/>
      <c r="BZ497" s="210"/>
      <c r="CA497" s="210"/>
      <c r="CB497" s="210"/>
      <c r="CC497" s="210"/>
      <c r="CD497" s="210"/>
      <c r="CE497" s="210"/>
      <c r="CF497" s="210"/>
      <c r="CG497" s="210"/>
      <c r="CH497" s="210"/>
      <c r="CI497" s="210"/>
      <c r="CJ497" s="210"/>
      <c r="CK497" s="210"/>
    </row>
    <row r="498">
      <c r="A498" s="232" t="s">
        <v>368</v>
      </c>
      <c r="B498" s="233" t="s">
        <v>369</v>
      </c>
      <c r="C498" s="234" t="s">
        <v>94</v>
      </c>
      <c r="D498" s="234" t="s">
        <v>887</v>
      </c>
      <c r="E498" s="233" t="s">
        <v>21</v>
      </c>
      <c r="F498" s="235" t="s">
        <v>918</v>
      </c>
      <c r="G498" s="233"/>
      <c r="H498" s="219">
        <f>IFERROR(
  MINIFS(ATTENDANCE_LOG!$F:$F,
         ATTENDANCE_LOG!$A:$A, C498,
         ATTENDANCE_LOG!$B:$B, E498),
"")</f>
        <v>46083.625</v>
      </c>
      <c r="I498" s="219">
        <f t="shared" si="2"/>
        <v>46083.625</v>
      </c>
      <c r="J498" s="233">
        <f>IFERROR(VLOOKUP(F498, LEVEL_HELPER!$A:$B, 2, 0), "")</f>
        <v>3</v>
      </c>
      <c r="K498" s="233" t="str">
        <f>IFERROR(VLOOKUP(G498, LEVEL_HELPER!$A:$B, 2, 0), "")</f>
        <v/>
      </c>
      <c r="L498" s="237" t="s">
        <v>943</v>
      </c>
      <c r="M498" s="237" t="s">
        <v>925</v>
      </c>
      <c r="N498" s="190">
        <f t="array" ref="N498">IFERROR(
  INDEX($J$2:$J$543,
    MATCH(A498&amp;TEXT(I498,"yyyy-mm-dd"),
          $A$2:$A$543&amp;TEXT($H$2:$H$543,"yyyy-mm-dd"),
          0)),
"")</f>
        <v>3</v>
      </c>
      <c r="O498" s="238">
        <f t="shared" si="3"/>
        <v>0</v>
      </c>
      <c r="P498" s="210">
        <f t="shared" ref="P498:Q498" si="508">IF(N498="",0,IF(N498&lt;=2,1,IF(N498&lt;=4,2,IF(N498&lt;=5.5,3,4))))</f>
        <v>2</v>
      </c>
      <c r="Q498" s="210">
        <f t="shared" si="508"/>
        <v>1</v>
      </c>
      <c r="R498" s="210" t="str">
        <f t="shared" si="5"/>
        <v>Regressed</v>
      </c>
      <c r="S498" s="210">
        <f t="shared" si="6"/>
        <v>1</v>
      </c>
      <c r="T498" s="210"/>
      <c r="U498" s="210"/>
      <c r="V498" s="210"/>
      <c r="W498" s="210"/>
      <c r="X498" s="210"/>
      <c r="Y498" s="210"/>
      <c r="Z498" s="210"/>
      <c r="AA498" s="210"/>
      <c r="AB498" s="210"/>
      <c r="AC498" s="210"/>
      <c r="AD498" s="210"/>
      <c r="AE498" s="210"/>
      <c r="AF498" s="210"/>
      <c r="AG498" s="210"/>
      <c r="AH498" s="210"/>
      <c r="AI498" s="210"/>
      <c r="AJ498" s="210"/>
      <c r="AK498" s="210"/>
      <c r="AL498" s="210"/>
      <c r="AM498" s="214"/>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c r="BU498" s="210"/>
      <c r="BV498" s="210"/>
      <c r="BW498" s="210"/>
      <c r="BX498" s="210"/>
      <c r="BY498" s="210"/>
      <c r="BZ498" s="210"/>
      <c r="CA498" s="210"/>
      <c r="CB498" s="210"/>
      <c r="CC498" s="210"/>
      <c r="CD498" s="210"/>
      <c r="CE498" s="210"/>
      <c r="CF498" s="210"/>
      <c r="CG498" s="210"/>
      <c r="CH498" s="210"/>
      <c r="CI498" s="210"/>
      <c r="CJ498" s="210"/>
      <c r="CK498" s="210"/>
    </row>
    <row r="499">
      <c r="A499" s="232" t="s">
        <v>543</v>
      </c>
      <c r="B499" s="233" t="s">
        <v>544</v>
      </c>
      <c r="C499" s="234" t="s">
        <v>94</v>
      </c>
      <c r="D499" s="234" t="s">
        <v>887</v>
      </c>
      <c r="E499" s="233" t="s">
        <v>21</v>
      </c>
      <c r="F499" s="235" t="s">
        <v>918</v>
      </c>
      <c r="G499" s="233"/>
      <c r="H499" s="219">
        <f>IFERROR(
  MINIFS(ATTENDANCE_LOG!$F:$F,
         ATTENDANCE_LOG!$A:$A, C499,
         ATTENDANCE_LOG!$B:$B, E499),
"")</f>
        <v>46083.625</v>
      </c>
      <c r="I499" s="219">
        <f t="shared" si="2"/>
        <v>46083.625</v>
      </c>
      <c r="J499" s="233">
        <f>IFERROR(VLOOKUP(F499, LEVEL_HELPER!$A:$B, 2, 0), "")</f>
        <v>3</v>
      </c>
      <c r="K499" s="233" t="str">
        <f>IFERROR(VLOOKUP(G499, LEVEL_HELPER!$A:$B, 2, 0), "")</f>
        <v/>
      </c>
      <c r="L499" s="237" t="s">
        <v>943</v>
      </c>
      <c r="M499" s="255" t="s">
        <v>925</v>
      </c>
      <c r="N499" s="190">
        <f t="array" ref="N499">IFERROR(
  INDEX($J$2:$J$543,
    MATCH(A499&amp;TEXT(I499,"yyyy-mm-dd"),
          $A$2:$A$543&amp;TEXT($H$2:$H$543,"yyyy-mm-dd"),
          0)),
"")</f>
        <v>3</v>
      </c>
      <c r="O499" s="238">
        <f t="shared" si="3"/>
        <v>0</v>
      </c>
      <c r="P499" s="210">
        <f t="shared" ref="P499:Q499" si="509">IF(N499="",0,IF(N499&lt;=2,1,IF(N499&lt;=4,2,IF(N499&lt;=5.5,3,4))))</f>
        <v>2</v>
      </c>
      <c r="Q499" s="210">
        <f t="shared" si="509"/>
        <v>1</v>
      </c>
      <c r="R499" s="210" t="str">
        <f t="shared" si="5"/>
        <v>Regressed</v>
      </c>
      <c r="S499" s="210">
        <f t="shared" si="6"/>
        <v>1</v>
      </c>
      <c r="T499" s="210"/>
      <c r="U499" s="210"/>
      <c r="V499" s="210"/>
      <c r="W499" s="210"/>
      <c r="X499" s="210"/>
      <c r="Y499" s="210"/>
      <c r="Z499" s="210"/>
      <c r="AA499" s="210"/>
      <c r="AB499" s="210"/>
      <c r="AC499" s="210"/>
      <c r="AD499" s="210"/>
      <c r="AE499" s="210"/>
      <c r="AF499" s="210"/>
      <c r="AG499" s="210"/>
      <c r="AH499" s="210"/>
      <c r="AI499" s="210"/>
      <c r="AJ499" s="210"/>
      <c r="AK499" s="210"/>
      <c r="AL499" s="210"/>
      <c r="AM499" s="214"/>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c r="BU499" s="210"/>
      <c r="BV499" s="210"/>
      <c r="BW499" s="210"/>
      <c r="BX499" s="210"/>
      <c r="BY499" s="210"/>
      <c r="BZ499" s="210"/>
      <c r="CA499" s="210"/>
      <c r="CB499" s="210"/>
      <c r="CC499" s="210"/>
      <c r="CD499" s="210"/>
      <c r="CE499" s="210"/>
      <c r="CF499" s="210"/>
      <c r="CG499" s="210"/>
      <c r="CH499" s="210"/>
      <c r="CI499" s="210"/>
      <c r="CJ499" s="210"/>
      <c r="CK499" s="210"/>
    </row>
    <row r="500">
      <c r="A500" s="232" t="s">
        <v>579</v>
      </c>
      <c r="B500" s="233" t="s">
        <v>580</v>
      </c>
      <c r="C500" s="234" t="s">
        <v>94</v>
      </c>
      <c r="D500" s="234" t="s">
        <v>887</v>
      </c>
      <c r="E500" s="233" t="s">
        <v>21</v>
      </c>
      <c r="F500" s="235" t="s">
        <v>927</v>
      </c>
      <c r="G500" s="233"/>
      <c r="H500" s="219">
        <f>IFERROR(
  MINIFS(ATTENDANCE_LOG!$F:$F,
         ATTENDANCE_LOG!$A:$A, C500,
         ATTENDANCE_LOG!$B:$B, E500),
"")</f>
        <v>46083.625</v>
      </c>
      <c r="I500" s="219">
        <f t="shared" si="2"/>
        <v>46083.625</v>
      </c>
      <c r="J500" s="233">
        <f>IFERROR(VLOOKUP(F500, LEVEL_HELPER!$A:$B, 2, 0), "")</f>
        <v>1</v>
      </c>
      <c r="K500" s="233" t="str">
        <f>IFERROR(VLOOKUP(G500, LEVEL_HELPER!$A:$B, 2, 0), "")</f>
        <v/>
      </c>
      <c r="L500" s="237" t="s">
        <v>943</v>
      </c>
      <c r="M500" s="237" t="s">
        <v>925</v>
      </c>
      <c r="N500" s="190">
        <f t="array" ref="N500">IFERROR(
  INDEX($J$2:$J$543,
    MATCH(A500&amp;TEXT(I500,"yyyy-mm-dd"),
          $A$2:$A$543&amp;TEXT($H$2:$H$543,"yyyy-mm-dd"),
          0)),
"")</f>
        <v>1</v>
      </c>
      <c r="O500" s="238">
        <f t="shared" si="3"/>
        <v>0</v>
      </c>
      <c r="P500" s="210">
        <f t="shared" ref="P500:Q500" si="510">IF(N500="",0,IF(N500&lt;=2,1,IF(N500&lt;=4,2,IF(N500&lt;=5.5,3,4))))</f>
        <v>1</v>
      </c>
      <c r="Q500" s="210">
        <f t="shared" si="510"/>
        <v>1</v>
      </c>
      <c r="R500" s="210" t="str">
        <f t="shared" si="5"/>
        <v>No Progress</v>
      </c>
      <c r="S500" s="210">
        <f t="shared" si="6"/>
        <v>1</v>
      </c>
      <c r="T500" s="210"/>
      <c r="U500" s="210"/>
      <c r="V500" s="210"/>
      <c r="W500" s="210"/>
      <c r="X500" s="210"/>
      <c r="Y500" s="210"/>
      <c r="Z500" s="210"/>
      <c r="AA500" s="210"/>
      <c r="AB500" s="210"/>
      <c r="AC500" s="210"/>
      <c r="AD500" s="210"/>
      <c r="AE500" s="210"/>
      <c r="AF500" s="210"/>
      <c r="AG500" s="210"/>
      <c r="AH500" s="210"/>
      <c r="AI500" s="210"/>
      <c r="AJ500" s="210"/>
      <c r="AK500" s="210"/>
      <c r="AL500" s="210"/>
      <c r="AM500" s="214"/>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c r="BU500" s="210"/>
      <c r="BV500" s="210"/>
      <c r="BW500" s="210"/>
      <c r="BX500" s="210"/>
      <c r="BY500" s="210"/>
      <c r="BZ500" s="210"/>
      <c r="CA500" s="210"/>
      <c r="CB500" s="210"/>
      <c r="CC500" s="210"/>
      <c r="CD500" s="210"/>
      <c r="CE500" s="210"/>
      <c r="CF500" s="210"/>
      <c r="CG500" s="210"/>
      <c r="CH500" s="210"/>
      <c r="CI500" s="210"/>
      <c r="CJ500" s="210"/>
      <c r="CK500" s="210"/>
    </row>
    <row r="501">
      <c r="A501" s="232" t="s">
        <v>613</v>
      </c>
      <c r="B501" s="233" t="s">
        <v>614</v>
      </c>
      <c r="C501" s="234" t="s">
        <v>94</v>
      </c>
      <c r="D501" s="234" t="s">
        <v>887</v>
      </c>
      <c r="E501" s="233" t="s">
        <v>21</v>
      </c>
      <c r="F501" s="235" t="s">
        <v>927</v>
      </c>
      <c r="G501" s="233"/>
      <c r="H501" s="219">
        <f>IFERROR(
  MINIFS(ATTENDANCE_LOG!$F:$F,
         ATTENDANCE_LOG!$A:$A, C501,
         ATTENDANCE_LOG!$B:$B, E501),
"")</f>
        <v>46083.625</v>
      </c>
      <c r="I501" s="219">
        <f t="shared" si="2"/>
        <v>46083.625</v>
      </c>
      <c r="J501" s="233">
        <f>IFERROR(VLOOKUP(F501, LEVEL_HELPER!$A:$B, 2, 0), "")</f>
        <v>1</v>
      </c>
      <c r="K501" s="233" t="str">
        <f>IFERROR(VLOOKUP(G501, LEVEL_HELPER!$A:$B, 2, 0), "")</f>
        <v/>
      </c>
      <c r="L501" s="237" t="s">
        <v>943</v>
      </c>
      <c r="M501" s="237" t="s">
        <v>925</v>
      </c>
      <c r="N501" s="190">
        <f t="array" ref="N501">IFERROR(
  INDEX($J$2:$J$543,
    MATCH(A501&amp;TEXT(I501,"yyyy-mm-dd"),
          $A$2:$A$543&amp;TEXT($H$2:$H$543,"yyyy-mm-dd"),
          0)),
"")</f>
        <v>1</v>
      </c>
      <c r="O501" s="238">
        <f t="shared" si="3"/>
        <v>0</v>
      </c>
      <c r="P501" s="210">
        <f t="shared" ref="P501:Q501" si="511">IF(N501="",0,IF(N501&lt;=2,1,IF(N501&lt;=4,2,IF(N501&lt;=5.5,3,4))))</f>
        <v>1</v>
      </c>
      <c r="Q501" s="210">
        <f t="shared" si="511"/>
        <v>1</v>
      </c>
      <c r="R501" s="210" t="str">
        <f t="shared" si="5"/>
        <v>No Progress</v>
      </c>
      <c r="S501" s="210">
        <f t="shared" si="6"/>
        <v>1</v>
      </c>
      <c r="T501" s="210"/>
      <c r="U501" s="210"/>
      <c r="V501" s="210"/>
      <c r="W501" s="210"/>
      <c r="X501" s="210"/>
      <c r="Y501" s="210"/>
      <c r="Z501" s="210"/>
      <c r="AA501" s="210"/>
      <c r="AB501" s="210"/>
      <c r="AC501" s="210"/>
      <c r="AD501" s="210"/>
      <c r="AE501" s="210"/>
      <c r="AF501" s="210"/>
      <c r="AG501" s="210"/>
      <c r="AH501" s="210"/>
      <c r="AI501" s="210"/>
      <c r="AJ501" s="210"/>
      <c r="AK501" s="210"/>
      <c r="AL501" s="210"/>
      <c r="AM501" s="214"/>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c r="BU501" s="210"/>
      <c r="BV501" s="210"/>
      <c r="BW501" s="210"/>
      <c r="BX501" s="210"/>
      <c r="BY501" s="210"/>
      <c r="BZ501" s="210"/>
      <c r="CA501" s="210"/>
      <c r="CB501" s="210"/>
      <c r="CC501" s="210"/>
      <c r="CD501" s="210"/>
      <c r="CE501" s="210"/>
      <c r="CF501" s="210"/>
      <c r="CG501" s="210"/>
      <c r="CH501" s="210"/>
      <c r="CI501" s="210"/>
      <c r="CJ501" s="210"/>
      <c r="CK501" s="210"/>
    </row>
    <row r="502">
      <c r="A502" s="256" t="s">
        <v>954</v>
      </c>
      <c r="B502" s="252" t="s">
        <v>724</v>
      </c>
      <c r="C502" s="251" t="s">
        <v>783</v>
      </c>
      <c r="D502" s="251" t="s">
        <v>891</v>
      </c>
      <c r="E502" s="250" t="s">
        <v>21</v>
      </c>
      <c r="F502" s="252" t="s">
        <v>927</v>
      </c>
      <c r="G502" s="250"/>
      <c r="H502" s="219">
        <f>IFERROR(
  MINIFS(ATTENDANCE_LOG!$F:$F,
         ATTENDANCE_LOG!$A:$A, C502,
         ATTENDANCE_LOG!$B:$B, E502),
"")</f>
        <v>46085.58333</v>
      </c>
      <c r="I502" s="219">
        <f t="shared" si="2"/>
        <v>46085.58333</v>
      </c>
      <c r="J502" s="233">
        <f>IFERROR(VLOOKUP(F502, LEVEL_HELPER!$A:$B, 2, 0), "")</f>
        <v>1</v>
      </c>
      <c r="K502" s="233" t="str">
        <f>IFERROR(VLOOKUP(G502, LEVEL_HELPER!$A:$B, 2, 0), "")</f>
        <v/>
      </c>
      <c r="L502" s="257" t="s">
        <v>943</v>
      </c>
      <c r="M502" s="257" t="s">
        <v>925</v>
      </c>
      <c r="N502" s="190">
        <f t="array" ref="N502">IFERROR(
  INDEX($J$2:$J$543,
    MATCH(A502&amp;TEXT(I502,"yyyy-mm-dd"),
          $A$2:$A$543&amp;TEXT($H$2:$H$543,"yyyy-mm-dd"),
          0)),
"")</f>
        <v>1</v>
      </c>
      <c r="O502" s="238">
        <f t="shared" si="3"/>
        <v>0</v>
      </c>
      <c r="P502" s="210">
        <f t="shared" ref="P502:Q502" si="512">IF(N502="",0,IF(N502&lt;=2,1,IF(N502&lt;=4,2,IF(N502&lt;=5.5,3,4))))</f>
        <v>1</v>
      </c>
      <c r="Q502" s="210">
        <f t="shared" si="512"/>
        <v>1</v>
      </c>
      <c r="R502" s="210" t="str">
        <f t="shared" si="5"/>
        <v>No Progress</v>
      </c>
      <c r="S502" s="210">
        <f t="shared" si="6"/>
        <v>1</v>
      </c>
      <c r="T502" s="210"/>
      <c r="U502" s="210"/>
      <c r="V502" s="210"/>
      <c r="W502" s="210"/>
      <c r="X502" s="210"/>
      <c r="Y502" s="210"/>
      <c r="Z502" s="210"/>
      <c r="AA502" s="210"/>
      <c r="AB502" s="210"/>
      <c r="AC502" s="210"/>
      <c r="AD502" s="210"/>
      <c r="AE502" s="210"/>
      <c r="AF502" s="210"/>
      <c r="AG502" s="210"/>
      <c r="AH502" s="210"/>
      <c r="AI502" s="210"/>
      <c r="AJ502" s="210"/>
      <c r="AK502" s="210"/>
      <c r="AL502" s="210"/>
      <c r="AM502" s="214"/>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c r="BU502" s="210"/>
      <c r="BV502" s="210"/>
      <c r="BW502" s="210"/>
      <c r="BX502" s="210"/>
      <c r="BY502" s="210"/>
      <c r="BZ502" s="210"/>
      <c r="CA502" s="210"/>
      <c r="CB502" s="210"/>
      <c r="CC502" s="210"/>
      <c r="CD502" s="210"/>
      <c r="CE502" s="210"/>
      <c r="CF502" s="210"/>
      <c r="CG502" s="210"/>
      <c r="CH502" s="210"/>
      <c r="CI502" s="210"/>
      <c r="CJ502" s="210"/>
      <c r="CK502" s="210"/>
    </row>
    <row r="503">
      <c r="A503" s="258" t="s">
        <v>725</v>
      </c>
      <c r="B503" s="233" t="s">
        <v>726</v>
      </c>
      <c r="C503" s="234" t="s">
        <v>783</v>
      </c>
      <c r="D503" s="234" t="s">
        <v>891</v>
      </c>
      <c r="E503" s="233" t="s">
        <v>21</v>
      </c>
      <c r="F503" s="235" t="s">
        <v>927</v>
      </c>
      <c r="G503" s="233"/>
      <c r="H503" s="219">
        <f>IFERROR(
  MINIFS(ATTENDANCE_LOG!$F:$F,
         ATTENDANCE_LOG!$A:$A, C503,
         ATTENDANCE_LOG!$B:$B, E503),
"")</f>
        <v>46085.58333</v>
      </c>
      <c r="I503" s="219">
        <f t="shared" si="2"/>
        <v>46085.58333</v>
      </c>
      <c r="J503" s="233">
        <f>IFERROR(VLOOKUP(F503, LEVEL_HELPER!$A:$B, 2, 0), "")</f>
        <v>1</v>
      </c>
      <c r="K503" s="233" t="str">
        <f>IFERROR(VLOOKUP(G503, LEVEL_HELPER!$A:$B, 2, 0), "")</f>
        <v/>
      </c>
      <c r="L503" s="259" t="s">
        <v>943</v>
      </c>
      <c r="M503" s="259" t="s">
        <v>925</v>
      </c>
      <c r="N503" s="190">
        <f t="array" ref="N503">IFERROR(
  INDEX($J$2:$J$543,
    MATCH(A503&amp;TEXT(I503,"yyyy-mm-dd"),
          $A$2:$A$543&amp;TEXT($H$2:$H$543,"yyyy-mm-dd"),
          0)),
"")</f>
        <v>1</v>
      </c>
      <c r="O503" s="238">
        <f t="shared" si="3"/>
        <v>0</v>
      </c>
      <c r="P503" s="210">
        <f t="shared" ref="P503:Q503" si="513">IF(N503="",0,IF(N503&lt;=2,1,IF(N503&lt;=4,2,IF(N503&lt;=5.5,3,4))))</f>
        <v>1</v>
      </c>
      <c r="Q503" s="210">
        <f t="shared" si="513"/>
        <v>1</v>
      </c>
      <c r="R503" s="210" t="str">
        <f t="shared" si="5"/>
        <v>No Progress</v>
      </c>
      <c r="S503" s="210">
        <f t="shared" si="6"/>
        <v>1</v>
      </c>
      <c r="T503" s="210"/>
      <c r="U503" s="210"/>
      <c r="V503" s="210"/>
      <c r="W503" s="210"/>
      <c r="X503" s="210"/>
      <c r="Y503" s="210"/>
      <c r="Z503" s="210"/>
      <c r="AA503" s="210"/>
      <c r="AB503" s="210"/>
      <c r="AC503" s="210"/>
      <c r="AD503" s="210"/>
      <c r="AE503" s="210"/>
      <c r="AF503" s="210"/>
      <c r="AG503" s="210"/>
      <c r="AH503" s="210"/>
      <c r="AI503" s="210"/>
      <c r="AJ503" s="210"/>
      <c r="AK503" s="210"/>
      <c r="AL503" s="210"/>
      <c r="AM503" s="214"/>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c r="BU503" s="210"/>
      <c r="BV503" s="210"/>
      <c r="BW503" s="210"/>
      <c r="BX503" s="210"/>
      <c r="BY503" s="210"/>
      <c r="BZ503" s="210"/>
      <c r="CA503" s="210"/>
      <c r="CB503" s="210"/>
      <c r="CC503" s="210"/>
      <c r="CD503" s="210"/>
      <c r="CE503" s="210"/>
      <c r="CF503" s="210"/>
      <c r="CG503" s="210"/>
      <c r="CH503" s="210"/>
      <c r="CI503" s="210"/>
      <c r="CJ503" s="210"/>
      <c r="CK503" s="210"/>
    </row>
    <row r="504">
      <c r="A504" s="258" t="s">
        <v>727</v>
      </c>
      <c r="B504" s="233" t="s">
        <v>728</v>
      </c>
      <c r="C504" s="234" t="s">
        <v>783</v>
      </c>
      <c r="D504" s="234" t="s">
        <v>891</v>
      </c>
      <c r="E504" s="233" t="s">
        <v>21</v>
      </c>
      <c r="F504" s="235" t="s">
        <v>927</v>
      </c>
      <c r="G504" s="233"/>
      <c r="H504" s="219">
        <f>IFERROR(
  MINIFS(ATTENDANCE_LOG!$F:$F,
         ATTENDANCE_LOG!$A:$A, C504,
         ATTENDANCE_LOG!$B:$B, E504),
"")</f>
        <v>46085.58333</v>
      </c>
      <c r="I504" s="219">
        <f t="shared" si="2"/>
        <v>46085.58333</v>
      </c>
      <c r="J504" s="233">
        <f>IFERROR(VLOOKUP(F504, LEVEL_HELPER!$A:$B, 2, 0), "")</f>
        <v>1</v>
      </c>
      <c r="K504" s="233" t="str">
        <f>IFERROR(VLOOKUP(G504, LEVEL_HELPER!$A:$B, 2, 0), "")</f>
        <v/>
      </c>
      <c r="L504" s="259" t="s">
        <v>943</v>
      </c>
      <c r="M504" s="259" t="s">
        <v>925</v>
      </c>
      <c r="N504" s="190">
        <f t="array" ref="N504">IFERROR(
  INDEX($J$2:$J$543,
    MATCH(A504&amp;TEXT(I504,"yyyy-mm-dd"),
          $A$2:$A$543&amp;TEXT($H$2:$H$543,"yyyy-mm-dd"),
          0)),
"")</f>
        <v>1</v>
      </c>
      <c r="O504" s="238">
        <f t="shared" si="3"/>
        <v>0</v>
      </c>
      <c r="P504" s="210">
        <f t="shared" ref="P504:Q504" si="514">IF(N504="",0,IF(N504&lt;=2,1,IF(N504&lt;=4,2,IF(N504&lt;=5.5,3,4))))</f>
        <v>1</v>
      </c>
      <c r="Q504" s="210">
        <f t="shared" si="514"/>
        <v>1</v>
      </c>
      <c r="R504" s="210" t="str">
        <f t="shared" si="5"/>
        <v>No Progress</v>
      </c>
      <c r="S504" s="210">
        <f t="shared" si="6"/>
        <v>1</v>
      </c>
      <c r="T504" s="210"/>
      <c r="U504" s="210"/>
      <c r="V504" s="210"/>
      <c r="W504" s="210"/>
      <c r="X504" s="210"/>
      <c r="Y504" s="210"/>
      <c r="Z504" s="210"/>
      <c r="AA504" s="210"/>
      <c r="AB504" s="210"/>
      <c r="AC504" s="210"/>
      <c r="AD504" s="210"/>
      <c r="AE504" s="210"/>
      <c r="AF504" s="210"/>
      <c r="AG504" s="210"/>
      <c r="AH504" s="210"/>
      <c r="AI504" s="210"/>
      <c r="AJ504" s="210"/>
      <c r="AK504" s="210"/>
      <c r="AL504" s="210"/>
      <c r="AM504" s="214"/>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c r="BU504" s="210"/>
      <c r="BV504" s="210"/>
      <c r="BW504" s="210"/>
      <c r="BX504" s="210"/>
      <c r="BY504" s="210"/>
      <c r="BZ504" s="210"/>
      <c r="CA504" s="210"/>
      <c r="CB504" s="210"/>
      <c r="CC504" s="210"/>
      <c r="CD504" s="210"/>
      <c r="CE504" s="210"/>
      <c r="CF504" s="210"/>
      <c r="CG504" s="210"/>
      <c r="CH504" s="210"/>
      <c r="CI504" s="210"/>
      <c r="CJ504" s="210"/>
      <c r="CK504" s="210"/>
    </row>
    <row r="505">
      <c r="A505" s="258" t="s">
        <v>729</v>
      </c>
      <c r="B505" s="233" t="s">
        <v>730</v>
      </c>
      <c r="C505" s="234" t="s">
        <v>783</v>
      </c>
      <c r="D505" s="234" t="s">
        <v>891</v>
      </c>
      <c r="E505" s="233" t="s">
        <v>21</v>
      </c>
      <c r="F505" s="235" t="s">
        <v>927</v>
      </c>
      <c r="G505" s="233"/>
      <c r="H505" s="219">
        <f>IFERROR(
  MINIFS(ATTENDANCE_LOG!$F:$F,
         ATTENDANCE_LOG!$A:$A, C505,
         ATTENDANCE_LOG!$B:$B, E505),
"")</f>
        <v>46085.58333</v>
      </c>
      <c r="I505" s="219">
        <f t="shared" si="2"/>
        <v>46085.58333</v>
      </c>
      <c r="J505" s="233">
        <f>IFERROR(VLOOKUP(F505, LEVEL_HELPER!$A:$B, 2, 0), "")</f>
        <v>1</v>
      </c>
      <c r="K505" s="233" t="str">
        <f>IFERROR(VLOOKUP(G505, LEVEL_HELPER!$A:$B, 2, 0), "")</f>
        <v/>
      </c>
      <c r="L505" s="259" t="s">
        <v>943</v>
      </c>
      <c r="M505" s="259" t="s">
        <v>925</v>
      </c>
      <c r="N505" s="190">
        <f t="array" ref="N505">IFERROR(
  INDEX($J$2:$J$543,
    MATCH(A505&amp;TEXT(I505,"yyyy-mm-dd"),
          $A$2:$A$543&amp;TEXT($H$2:$H$543,"yyyy-mm-dd"),
          0)),
"")</f>
        <v>1</v>
      </c>
      <c r="O505" s="238">
        <f t="shared" si="3"/>
        <v>0</v>
      </c>
      <c r="P505" s="210">
        <f t="shared" ref="P505:Q505" si="515">IF(N505="",0,IF(N505&lt;=2,1,IF(N505&lt;=4,2,IF(N505&lt;=5.5,3,4))))</f>
        <v>1</v>
      </c>
      <c r="Q505" s="210">
        <f t="shared" si="515"/>
        <v>1</v>
      </c>
      <c r="R505" s="210" t="str">
        <f t="shared" si="5"/>
        <v>No Progress</v>
      </c>
      <c r="S505" s="210">
        <f t="shared" si="6"/>
        <v>1</v>
      </c>
      <c r="T505" s="210"/>
      <c r="U505" s="210"/>
      <c r="V505" s="210"/>
      <c r="W505" s="210"/>
      <c r="X505" s="210"/>
      <c r="Y505" s="210"/>
      <c r="Z505" s="210"/>
      <c r="AA505" s="210"/>
      <c r="AB505" s="210"/>
      <c r="AC505" s="210"/>
      <c r="AD505" s="210"/>
      <c r="AE505" s="210"/>
      <c r="AF505" s="210"/>
      <c r="AG505" s="210"/>
      <c r="AH505" s="210"/>
      <c r="AI505" s="210"/>
      <c r="AJ505" s="210"/>
      <c r="AK505" s="210"/>
      <c r="AL505" s="210"/>
      <c r="AM505" s="214"/>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c r="BU505" s="210"/>
      <c r="BV505" s="210"/>
      <c r="BW505" s="210"/>
      <c r="BX505" s="210"/>
      <c r="BY505" s="210"/>
      <c r="BZ505" s="210"/>
      <c r="CA505" s="210"/>
      <c r="CB505" s="210"/>
      <c r="CC505" s="210"/>
      <c r="CD505" s="210"/>
      <c r="CE505" s="210"/>
      <c r="CF505" s="210"/>
      <c r="CG505" s="210"/>
      <c r="CH505" s="210"/>
      <c r="CI505" s="210"/>
      <c r="CJ505" s="210"/>
      <c r="CK505" s="210"/>
    </row>
    <row r="506">
      <c r="A506" s="258" t="s">
        <v>731</v>
      </c>
      <c r="B506" s="233" t="s">
        <v>732</v>
      </c>
      <c r="C506" s="234" t="s">
        <v>783</v>
      </c>
      <c r="D506" s="234" t="s">
        <v>891</v>
      </c>
      <c r="E506" s="233" t="s">
        <v>21</v>
      </c>
      <c r="F506" s="235" t="s">
        <v>927</v>
      </c>
      <c r="G506" s="233"/>
      <c r="H506" s="219">
        <f>IFERROR(
  MINIFS(ATTENDANCE_LOG!$F:$F,
         ATTENDANCE_LOG!$A:$A, C506,
         ATTENDANCE_LOG!$B:$B, E506),
"")</f>
        <v>46085.58333</v>
      </c>
      <c r="I506" s="219">
        <f t="shared" si="2"/>
        <v>46085.58333</v>
      </c>
      <c r="J506" s="233">
        <f>IFERROR(VLOOKUP(F506, LEVEL_HELPER!$A:$B, 2, 0), "")</f>
        <v>1</v>
      </c>
      <c r="K506" s="233" t="str">
        <f>IFERROR(VLOOKUP(G506, LEVEL_HELPER!$A:$B, 2, 0), "")</f>
        <v/>
      </c>
      <c r="L506" s="259" t="s">
        <v>943</v>
      </c>
      <c r="M506" s="259" t="s">
        <v>925</v>
      </c>
      <c r="N506" s="190">
        <f t="array" ref="N506">IFERROR(
  INDEX($J$2:$J$543,
    MATCH(A506&amp;TEXT(I506,"yyyy-mm-dd"),
          $A$2:$A$543&amp;TEXT($H$2:$H$543,"yyyy-mm-dd"),
          0)),
"")</f>
        <v>1</v>
      </c>
      <c r="O506" s="238">
        <f t="shared" si="3"/>
        <v>0</v>
      </c>
      <c r="P506" s="210">
        <f t="shared" ref="P506:Q506" si="516">IF(N506="",0,IF(N506&lt;=2,1,IF(N506&lt;=4,2,IF(N506&lt;=5.5,3,4))))</f>
        <v>1</v>
      </c>
      <c r="Q506" s="210">
        <f t="shared" si="516"/>
        <v>1</v>
      </c>
      <c r="R506" s="210" t="str">
        <f t="shared" si="5"/>
        <v>No Progress</v>
      </c>
      <c r="S506" s="210">
        <f t="shared" si="6"/>
        <v>1</v>
      </c>
      <c r="T506" s="210"/>
      <c r="U506" s="210"/>
      <c r="V506" s="210"/>
      <c r="W506" s="210"/>
      <c r="X506" s="210"/>
      <c r="Y506" s="210"/>
      <c r="Z506" s="210"/>
      <c r="AA506" s="210"/>
      <c r="AB506" s="210"/>
      <c r="AC506" s="210"/>
      <c r="AD506" s="210"/>
      <c r="AE506" s="210"/>
      <c r="AF506" s="210"/>
      <c r="AG506" s="210"/>
      <c r="AH506" s="210"/>
      <c r="AI506" s="210"/>
      <c r="AJ506" s="210"/>
      <c r="AK506" s="210"/>
      <c r="AL506" s="210"/>
      <c r="AM506" s="214"/>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c r="BU506" s="210"/>
      <c r="BV506" s="210"/>
      <c r="BW506" s="210"/>
      <c r="BX506" s="210"/>
      <c r="BY506" s="210"/>
      <c r="BZ506" s="210"/>
      <c r="CA506" s="210"/>
      <c r="CB506" s="210"/>
      <c r="CC506" s="210"/>
      <c r="CD506" s="210"/>
      <c r="CE506" s="210"/>
      <c r="CF506" s="210"/>
      <c r="CG506" s="210"/>
      <c r="CH506" s="210"/>
      <c r="CI506" s="210"/>
      <c r="CJ506" s="210"/>
      <c r="CK506" s="210"/>
    </row>
    <row r="507">
      <c r="A507" s="258" t="s">
        <v>733</v>
      </c>
      <c r="B507" s="233" t="s">
        <v>734</v>
      </c>
      <c r="C507" s="234" t="s">
        <v>783</v>
      </c>
      <c r="D507" s="234" t="s">
        <v>891</v>
      </c>
      <c r="E507" s="233" t="s">
        <v>21</v>
      </c>
      <c r="F507" s="235" t="s">
        <v>927</v>
      </c>
      <c r="G507" s="233"/>
      <c r="H507" s="219">
        <f>IFERROR(
  MINIFS(ATTENDANCE_LOG!$F:$F,
         ATTENDANCE_LOG!$A:$A, C507,
         ATTENDANCE_LOG!$B:$B, E507),
"")</f>
        <v>46085.58333</v>
      </c>
      <c r="I507" s="219">
        <f t="shared" si="2"/>
        <v>46085.58333</v>
      </c>
      <c r="J507" s="233">
        <f>IFERROR(VLOOKUP(F507, LEVEL_HELPER!$A:$B, 2, 0), "")</f>
        <v>1</v>
      </c>
      <c r="K507" s="233" t="str">
        <f>IFERROR(VLOOKUP(G507, LEVEL_HELPER!$A:$B, 2, 0), "")</f>
        <v/>
      </c>
      <c r="L507" s="259" t="s">
        <v>943</v>
      </c>
      <c r="M507" s="259" t="s">
        <v>925</v>
      </c>
      <c r="N507" s="190">
        <f t="array" ref="N507">IFERROR(
  INDEX($J$2:$J$543,
    MATCH(A507&amp;TEXT(I507,"yyyy-mm-dd"),
          $A$2:$A$543&amp;TEXT($H$2:$H$543,"yyyy-mm-dd"),
          0)),
"")</f>
        <v>1</v>
      </c>
      <c r="O507" s="238">
        <f t="shared" si="3"/>
        <v>0</v>
      </c>
      <c r="P507" s="210">
        <f t="shared" ref="P507:Q507" si="517">IF(N507="",0,IF(N507&lt;=2,1,IF(N507&lt;=4,2,IF(N507&lt;=5.5,3,4))))</f>
        <v>1</v>
      </c>
      <c r="Q507" s="210">
        <f t="shared" si="517"/>
        <v>1</v>
      </c>
      <c r="R507" s="210" t="str">
        <f t="shared" si="5"/>
        <v>No Progress</v>
      </c>
      <c r="S507" s="210">
        <f t="shared" si="6"/>
        <v>1</v>
      </c>
      <c r="T507" s="210"/>
      <c r="U507" s="210"/>
      <c r="V507" s="210"/>
      <c r="W507" s="210"/>
      <c r="X507" s="210"/>
      <c r="Y507" s="210"/>
      <c r="Z507" s="210"/>
      <c r="AA507" s="210"/>
      <c r="AB507" s="210"/>
      <c r="AC507" s="210"/>
      <c r="AD507" s="210"/>
      <c r="AE507" s="210"/>
      <c r="AF507" s="210"/>
      <c r="AG507" s="210"/>
      <c r="AH507" s="210"/>
      <c r="AI507" s="210"/>
      <c r="AJ507" s="210"/>
      <c r="AK507" s="210"/>
      <c r="AL507" s="210"/>
      <c r="AM507" s="214"/>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c r="BU507" s="210"/>
      <c r="BV507" s="210"/>
      <c r="BW507" s="210"/>
      <c r="BX507" s="210"/>
      <c r="BY507" s="210"/>
      <c r="BZ507" s="210"/>
      <c r="CA507" s="210"/>
      <c r="CB507" s="210"/>
      <c r="CC507" s="210"/>
      <c r="CD507" s="210"/>
      <c r="CE507" s="210"/>
      <c r="CF507" s="210"/>
      <c r="CG507" s="210"/>
      <c r="CH507" s="210"/>
      <c r="CI507" s="210"/>
      <c r="CJ507" s="210"/>
      <c r="CK507" s="210"/>
    </row>
    <row r="508">
      <c r="A508" s="256" t="s">
        <v>735</v>
      </c>
      <c r="B508" s="252" t="s">
        <v>736</v>
      </c>
      <c r="C508" s="260" t="s">
        <v>794</v>
      </c>
      <c r="D508" s="260" t="s">
        <v>892</v>
      </c>
      <c r="E508" s="250" t="s">
        <v>21</v>
      </c>
      <c r="F508" s="252" t="s">
        <v>927</v>
      </c>
      <c r="G508" s="250"/>
      <c r="H508" s="219">
        <f>IFERROR(
  MINIFS(ATTENDANCE_LOG!$F:$F,
         ATTENDANCE_LOG!$A:$A, C508,
         ATTENDANCE_LOG!$B:$B, E508),
"")</f>
        <v>46085.625</v>
      </c>
      <c r="I508" s="219">
        <f t="shared" si="2"/>
        <v>46085.625</v>
      </c>
      <c r="J508" s="233">
        <f>IFERROR(VLOOKUP(F508, LEVEL_HELPER!$A:$B, 2, 0), "")</f>
        <v>1</v>
      </c>
      <c r="K508" s="233" t="str">
        <f>IFERROR(VLOOKUP(G508, LEVEL_HELPER!$A:$B, 2, 0), "")</f>
        <v/>
      </c>
      <c r="L508" s="257" t="s">
        <v>943</v>
      </c>
      <c r="M508" s="257" t="s">
        <v>925</v>
      </c>
      <c r="N508" s="190">
        <f t="array" ref="N508">IFERROR(
  INDEX($J$2:$J$543,
    MATCH(A508&amp;TEXT(I508,"yyyy-mm-dd"),
          $A$2:$A$543&amp;TEXT($H$2:$H$543,"yyyy-mm-dd"),
          0)),
"")</f>
        <v>1</v>
      </c>
      <c r="O508" s="238">
        <f t="shared" si="3"/>
        <v>0</v>
      </c>
      <c r="P508" s="210">
        <f t="shared" ref="P508:Q508" si="518">IF(N508="",0,IF(N508&lt;=2,1,IF(N508&lt;=4,2,IF(N508&lt;=5.5,3,4))))</f>
        <v>1</v>
      </c>
      <c r="Q508" s="210">
        <f t="shared" si="518"/>
        <v>1</v>
      </c>
      <c r="R508" s="210" t="str">
        <f t="shared" si="5"/>
        <v>No Progress</v>
      </c>
      <c r="S508" s="210">
        <f t="shared" si="6"/>
        <v>1</v>
      </c>
      <c r="T508" s="210"/>
      <c r="U508" s="210"/>
      <c r="V508" s="210"/>
      <c r="W508" s="210"/>
      <c r="X508" s="210"/>
      <c r="Y508" s="210"/>
      <c r="Z508" s="210"/>
      <c r="AA508" s="210"/>
      <c r="AB508" s="210"/>
      <c r="AC508" s="210"/>
      <c r="AD508" s="210"/>
      <c r="AE508" s="210"/>
      <c r="AF508" s="210"/>
      <c r="AG508" s="210"/>
      <c r="AH508" s="210"/>
      <c r="AI508" s="210"/>
      <c r="AJ508" s="210"/>
      <c r="AK508" s="210"/>
      <c r="AL508" s="210"/>
      <c r="AM508" s="214"/>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c r="BU508" s="210"/>
      <c r="BV508" s="210"/>
      <c r="BW508" s="210"/>
      <c r="BX508" s="210"/>
      <c r="BY508" s="210"/>
      <c r="BZ508" s="210"/>
      <c r="CA508" s="210"/>
      <c r="CB508" s="210"/>
      <c r="CC508" s="210"/>
      <c r="CD508" s="210"/>
      <c r="CE508" s="210"/>
      <c r="CF508" s="210"/>
      <c r="CG508" s="210"/>
      <c r="CH508" s="210"/>
      <c r="CI508" s="210"/>
      <c r="CJ508" s="210"/>
      <c r="CK508" s="210"/>
    </row>
    <row r="509">
      <c r="A509" s="258" t="s">
        <v>737</v>
      </c>
      <c r="B509" s="233" t="s">
        <v>738</v>
      </c>
      <c r="C509" s="261" t="s">
        <v>794</v>
      </c>
      <c r="D509" s="261" t="s">
        <v>892</v>
      </c>
      <c r="E509" s="233" t="s">
        <v>21</v>
      </c>
      <c r="F509" s="235" t="s">
        <v>927</v>
      </c>
      <c r="G509" s="233"/>
      <c r="H509" s="219">
        <f>IFERROR(
  MINIFS(ATTENDANCE_LOG!$F:$F,
         ATTENDANCE_LOG!$A:$A, C509,
         ATTENDANCE_LOG!$B:$B, E509),
"")</f>
        <v>46085.625</v>
      </c>
      <c r="I509" s="219">
        <f t="shared" si="2"/>
        <v>46085.625</v>
      </c>
      <c r="J509" s="233">
        <f>IFERROR(VLOOKUP(F509, LEVEL_HELPER!$A:$B, 2, 0), "")</f>
        <v>1</v>
      </c>
      <c r="K509" s="233" t="str">
        <f>IFERROR(VLOOKUP(G509, LEVEL_HELPER!$A:$B, 2, 0), "")</f>
        <v/>
      </c>
      <c r="L509" s="259" t="s">
        <v>943</v>
      </c>
      <c r="M509" s="259" t="s">
        <v>925</v>
      </c>
      <c r="N509" s="190">
        <f t="array" ref="N509">IFERROR(
  INDEX($J$2:$J$543,
    MATCH(A509&amp;TEXT(I509,"yyyy-mm-dd"),
          $A$2:$A$543&amp;TEXT($H$2:$H$543,"yyyy-mm-dd"),
          0)),
"")</f>
        <v>1</v>
      </c>
      <c r="O509" s="238">
        <f t="shared" si="3"/>
        <v>0</v>
      </c>
      <c r="P509" s="210">
        <f t="shared" ref="P509:Q509" si="519">IF(N509="",0,IF(N509&lt;=2,1,IF(N509&lt;=4,2,IF(N509&lt;=5.5,3,4))))</f>
        <v>1</v>
      </c>
      <c r="Q509" s="210">
        <f t="shared" si="519"/>
        <v>1</v>
      </c>
      <c r="R509" s="210" t="str">
        <f t="shared" si="5"/>
        <v>No Progress</v>
      </c>
      <c r="S509" s="210">
        <f t="shared" si="6"/>
        <v>1</v>
      </c>
      <c r="T509" s="210"/>
      <c r="U509" s="210"/>
      <c r="V509" s="210"/>
      <c r="W509" s="210"/>
      <c r="X509" s="210"/>
      <c r="Y509" s="210"/>
      <c r="Z509" s="210"/>
      <c r="AA509" s="210"/>
      <c r="AB509" s="210"/>
      <c r="AC509" s="210"/>
      <c r="AD509" s="210"/>
      <c r="AE509" s="210"/>
      <c r="AF509" s="210"/>
      <c r="AG509" s="210"/>
      <c r="AH509" s="210"/>
      <c r="AI509" s="210"/>
      <c r="AJ509" s="210"/>
      <c r="AK509" s="210"/>
      <c r="AL509" s="210"/>
      <c r="AM509" s="214"/>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c r="BU509" s="210"/>
      <c r="BV509" s="210"/>
      <c r="BW509" s="210"/>
      <c r="BX509" s="210"/>
      <c r="BY509" s="210"/>
      <c r="BZ509" s="210"/>
      <c r="CA509" s="210"/>
      <c r="CB509" s="210"/>
      <c r="CC509" s="210"/>
      <c r="CD509" s="210"/>
      <c r="CE509" s="210"/>
      <c r="CF509" s="210"/>
      <c r="CG509" s="210"/>
      <c r="CH509" s="210"/>
      <c r="CI509" s="210"/>
      <c r="CJ509" s="210"/>
      <c r="CK509" s="210"/>
    </row>
    <row r="510">
      <c r="A510" s="258" t="s">
        <v>739</v>
      </c>
      <c r="B510" s="233" t="s">
        <v>740</v>
      </c>
      <c r="C510" s="261" t="s">
        <v>794</v>
      </c>
      <c r="D510" s="261" t="s">
        <v>892</v>
      </c>
      <c r="E510" s="233" t="s">
        <v>21</v>
      </c>
      <c r="F510" s="235" t="s">
        <v>927</v>
      </c>
      <c r="G510" s="233"/>
      <c r="H510" s="219">
        <f>IFERROR(
  MINIFS(ATTENDANCE_LOG!$F:$F,
         ATTENDANCE_LOG!$A:$A, C510,
         ATTENDANCE_LOG!$B:$B, E510),
"")</f>
        <v>46085.625</v>
      </c>
      <c r="I510" s="219">
        <f t="shared" si="2"/>
        <v>46085.625</v>
      </c>
      <c r="J510" s="233">
        <f>IFERROR(VLOOKUP(F510, LEVEL_HELPER!$A:$B, 2, 0), "")</f>
        <v>1</v>
      </c>
      <c r="K510" s="233" t="str">
        <f>IFERROR(VLOOKUP(G510, LEVEL_HELPER!$A:$B, 2, 0), "")</f>
        <v/>
      </c>
      <c r="L510" s="259" t="s">
        <v>943</v>
      </c>
      <c r="M510" s="259" t="s">
        <v>925</v>
      </c>
      <c r="N510" s="190">
        <f t="array" ref="N510">IFERROR(
  INDEX($J$2:$J$543,
    MATCH(A510&amp;TEXT(I510,"yyyy-mm-dd"),
          $A$2:$A$543&amp;TEXT($H$2:$H$543,"yyyy-mm-dd"),
          0)),
"")</f>
        <v>1</v>
      </c>
      <c r="O510" s="238">
        <f t="shared" si="3"/>
        <v>0</v>
      </c>
      <c r="P510" s="210">
        <f t="shared" ref="P510:Q510" si="520">IF(N510="",0,IF(N510&lt;=2,1,IF(N510&lt;=4,2,IF(N510&lt;=5.5,3,4))))</f>
        <v>1</v>
      </c>
      <c r="Q510" s="210">
        <f t="shared" si="520"/>
        <v>1</v>
      </c>
      <c r="R510" s="210" t="str">
        <f t="shared" si="5"/>
        <v>No Progress</v>
      </c>
      <c r="S510" s="210">
        <f t="shared" si="6"/>
        <v>1</v>
      </c>
      <c r="T510" s="210"/>
      <c r="U510" s="210"/>
      <c r="V510" s="210"/>
      <c r="W510" s="210"/>
      <c r="X510" s="210"/>
      <c r="Y510" s="210"/>
      <c r="Z510" s="210"/>
      <c r="AA510" s="210"/>
      <c r="AB510" s="210"/>
      <c r="AC510" s="210"/>
      <c r="AD510" s="210"/>
      <c r="AE510" s="210"/>
      <c r="AF510" s="210"/>
      <c r="AG510" s="210"/>
      <c r="AH510" s="210"/>
      <c r="AI510" s="210"/>
      <c r="AJ510" s="210"/>
      <c r="AK510" s="210"/>
      <c r="AL510" s="210"/>
      <c r="AM510" s="214"/>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c r="BU510" s="210"/>
      <c r="BV510" s="210"/>
      <c r="BW510" s="210"/>
      <c r="BX510" s="210"/>
      <c r="BY510" s="210"/>
      <c r="BZ510" s="210"/>
      <c r="CA510" s="210"/>
      <c r="CB510" s="210"/>
      <c r="CC510" s="210"/>
      <c r="CD510" s="210"/>
      <c r="CE510" s="210"/>
      <c r="CF510" s="210"/>
      <c r="CG510" s="210"/>
      <c r="CH510" s="210"/>
      <c r="CI510" s="210"/>
      <c r="CJ510" s="210"/>
      <c r="CK510" s="210"/>
    </row>
    <row r="511">
      <c r="A511" s="258" t="s">
        <v>741</v>
      </c>
      <c r="B511" s="233" t="s">
        <v>742</v>
      </c>
      <c r="C511" s="261" t="s">
        <v>794</v>
      </c>
      <c r="D511" s="261" t="s">
        <v>892</v>
      </c>
      <c r="E511" s="233" t="s">
        <v>21</v>
      </c>
      <c r="F511" s="235" t="s">
        <v>927</v>
      </c>
      <c r="G511" s="233"/>
      <c r="H511" s="219">
        <f>IFERROR(
  MINIFS(ATTENDANCE_LOG!$F:$F,
         ATTENDANCE_LOG!$A:$A, C511,
         ATTENDANCE_LOG!$B:$B, E511),
"")</f>
        <v>46085.625</v>
      </c>
      <c r="I511" s="219">
        <f t="shared" si="2"/>
        <v>46085.625</v>
      </c>
      <c r="J511" s="233">
        <f>IFERROR(VLOOKUP(F511, LEVEL_HELPER!$A:$B, 2, 0), "")</f>
        <v>1</v>
      </c>
      <c r="K511" s="233" t="str">
        <f>IFERROR(VLOOKUP(G511, LEVEL_HELPER!$A:$B, 2, 0), "")</f>
        <v/>
      </c>
      <c r="L511" s="259" t="s">
        <v>943</v>
      </c>
      <c r="M511" s="259" t="s">
        <v>925</v>
      </c>
      <c r="N511" s="190">
        <f t="array" ref="N511">IFERROR(
  INDEX($J$2:$J$543,
    MATCH(A511&amp;TEXT(I511,"yyyy-mm-dd"),
          $A$2:$A$543&amp;TEXT($H$2:$H$543,"yyyy-mm-dd"),
          0)),
"")</f>
        <v>1</v>
      </c>
      <c r="O511" s="238">
        <f t="shared" si="3"/>
        <v>0</v>
      </c>
      <c r="P511" s="210">
        <f t="shared" ref="P511:Q511" si="521">IF(N511="",0,IF(N511&lt;=2,1,IF(N511&lt;=4,2,IF(N511&lt;=5.5,3,4))))</f>
        <v>1</v>
      </c>
      <c r="Q511" s="210">
        <f t="shared" si="521"/>
        <v>1</v>
      </c>
      <c r="R511" s="210" t="str">
        <f t="shared" si="5"/>
        <v>No Progress</v>
      </c>
      <c r="S511" s="210">
        <f t="shared" si="6"/>
        <v>1</v>
      </c>
      <c r="T511" s="210"/>
      <c r="U511" s="210"/>
      <c r="V511" s="210"/>
      <c r="W511" s="210"/>
      <c r="X511" s="210"/>
      <c r="Y511" s="210"/>
      <c r="Z511" s="210"/>
      <c r="AA511" s="210"/>
      <c r="AB511" s="210"/>
      <c r="AC511" s="210"/>
      <c r="AD511" s="210"/>
      <c r="AE511" s="210"/>
      <c r="AF511" s="210"/>
      <c r="AG511" s="210"/>
      <c r="AH511" s="210"/>
      <c r="AI511" s="210"/>
      <c r="AJ511" s="210"/>
      <c r="AK511" s="210"/>
      <c r="AL511" s="210"/>
      <c r="AM511" s="214"/>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c r="BU511" s="210"/>
      <c r="BV511" s="210"/>
      <c r="BW511" s="210"/>
      <c r="BX511" s="210"/>
      <c r="BY511" s="210"/>
      <c r="BZ511" s="210"/>
      <c r="CA511" s="210"/>
      <c r="CB511" s="210"/>
      <c r="CC511" s="210"/>
      <c r="CD511" s="210"/>
      <c r="CE511" s="210"/>
      <c r="CF511" s="210"/>
      <c r="CG511" s="210"/>
      <c r="CH511" s="210"/>
      <c r="CI511" s="210"/>
      <c r="CJ511" s="210"/>
      <c r="CK511" s="210"/>
    </row>
    <row r="512">
      <c r="A512" s="258" t="s">
        <v>743</v>
      </c>
      <c r="B512" s="233" t="s">
        <v>744</v>
      </c>
      <c r="C512" s="261" t="s">
        <v>794</v>
      </c>
      <c r="D512" s="261" t="s">
        <v>892</v>
      </c>
      <c r="E512" s="233" t="s">
        <v>21</v>
      </c>
      <c r="F512" s="235" t="s">
        <v>927</v>
      </c>
      <c r="G512" s="233"/>
      <c r="H512" s="219">
        <f>IFERROR(
  MINIFS(ATTENDANCE_LOG!$F:$F,
         ATTENDANCE_LOG!$A:$A, C512,
         ATTENDANCE_LOG!$B:$B, E512),
"")</f>
        <v>46085.625</v>
      </c>
      <c r="I512" s="219">
        <f t="shared" si="2"/>
        <v>46085.625</v>
      </c>
      <c r="J512" s="233">
        <f>IFERROR(VLOOKUP(F512, LEVEL_HELPER!$A:$B, 2, 0), "")</f>
        <v>1</v>
      </c>
      <c r="K512" s="233" t="str">
        <f>IFERROR(VLOOKUP(G512, LEVEL_HELPER!$A:$B, 2, 0), "")</f>
        <v/>
      </c>
      <c r="L512" s="259" t="s">
        <v>943</v>
      </c>
      <c r="M512" s="259" t="s">
        <v>925</v>
      </c>
      <c r="N512" s="190">
        <f t="array" ref="N512">IFERROR(
  INDEX($J$2:$J$543,
    MATCH(A512&amp;TEXT(I512,"yyyy-mm-dd"),
          $A$2:$A$543&amp;TEXT($H$2:$H$543,"yyyy-mm-dd"),
          0)),
"")</f>
        <v>1</v>
      </c>
      <c r="O512" s="238">
        <f t="shared" si="3"/>
        <v>0</v>
      </c>
      <c r="P512" s="210">
        <f t="shared" ref="P512:Q512" si="522">IF(N512="",0,IF(N512&lt;=2,1,IF(N512&lt;=4,2,IF(N512&lt;=5.5,3,4))))</f>
        <v>1</v>
      </c>
      <c r="Q512" s="210">
        <f t="shared" si="522"/>
        <v>1</v>
      </c>
      <c r="R512" s="210" t="str">
        <f t="shared" si="5"/>
        <v>No Progress</v>
      </c>
      <c r="S512" s="210">
        <f t="shared" si="6"/>
        <v>1</v>
      </c>
      <c r="T512" s="210"/>
      <c r="U512" s="210"/>
      <c r="V512" s="210"/>
      <c r="W512" s="210"/>
      <c r="X512" s="210"/>
      <c r="Y512" s="210"/>
      <c r="Z512" s="210"/>
      <c r="AA512" s="210"/>
      <c r="AB512" s="210"/>
      <c r="AC512" s="210"/>
      <c r="AD512" s="210"/>
      <c r="AE512" s="210"/>
      <c r="AF512" s="210"/>
      <c r="AG512" s="210"/>
      <c r="AH512" s="210"/>
      <c r="AI512" s="210"/>
      <c r="AJ512" s="210"/>
      <c r="AK512" s="210"/>
      <c r="AL512" s="210"/>
      <c r="AM512" s="214"/>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c r="BU512" s="210"/>
      <c r="BV512" s="210"/>
      <c r="BW512" s="210"/>
      <c r="BX512" s="210"/>
      <c r="BY512" s="210"/>
      <c r="BZ512" s="210"/>
      <c r="CA512" s="210"/>
      <c r="CB512" s="210"/>
      <c r="CC512" s="210"/>
      <c r="CD512" s="210"/>
      <c r="CE512" s="210"/>
      <c r="CF512" s="210"/>
      <c r="CG512" s="210"/>
      <c r="CH512" s="210"/>
      <c r="CI512" s="210"/>
      <c r="CJ512" s="210"/>
      <c r="CK512" s="210"/>
    </row>
    <row r="513">
      <c r="A513" s="258" t="s">
        <v>490</v>
      </c>
      <c r="B513" s="233" t="s">
        <v>819</v>
      </c>
      <c r="C513" s="261" t="s">
        <v>794</v>
      </c>
      <c r="D513" s="261" t="s">
        <v>892</v>
      </c>
      <c r="E513" s="233" t="s">
        <v>21</v>
      </c>
      <c r="F513" s="235" t="s">
        <v>927</v>
      </c>
      <c r="G513" s="235"/>
      <c r="H513" s="219">
        <f>IFERROR(
  MINIFS(ATTENDANCE_LOG!$F:$F,
         ATTENDANCE_LOG!$A:$A, C513,
         ATTENDANCE_LOG!$B:$B, E513),
"")</f>
        <v>46085.625</v>
      </c>
      <c r="I513" s="219">
        <f t="shared" si="2"/>
        <v>45917.58333</v>
      </c>
      <c r="J513" s="233">
        <f>IFERROR(VLOOKUP(F513, LEVEL_HELPER!$A:$B, 2, 0), "")</f>
        <v>1</v>
      </c>
      <c r="K513" s="233" t="str">
        <f>IFERROR(VLOOKUP(G513, LEVEL_HELPER!$A:$B, 2, 0), "")</f>
        <v/>
      </c>
      <c r="L513" s="259" t="s">
        <v>943</v>
      </c>
      <c r="M513" s="259" t="s">
        <v>925</v>
      </c>
      <c r="N513" s="190">
        <f t="array" ref="N513">IFERROR(
  INDEX($J$2:$J$543,
    MATCH(A513&amp;TEXT(I513,"yyyy-mm-dd"),
          $A$2:$A$543&amp;TEXT($H$2:$H$543,"yyyy-mm-dd"),
          0)),
"")</f>
        <v>1</v>
      </c>
      <c r="O513" s="238">
        <f t="shared" si="3"/>
        <v>0</v>
      </c>
      <c r="P513" s="210">
        <f t="shared" ref="P513:Q513" si="523">IF(N513="",0,IF(N513&lt;=2,1,IF(N513&lt;=4,2,IF(N513&lt;=5.5,3,4))))</f>
        <v>1</v>
      </c>
      <c r="Q513" s="210">
        <f t="shared" si="523"/>
        <v>1</v>
      </c>
      <c r="R513" s="210" t="str">
        <f t="shared" si="5"/>
        <v>No Progress</v>
      </c>
      <c r="S513" s="210">
        <f t="shared" si="6"/>
        <v>0</v>
      </c>
      <c r="T513" s="210"/>
      <c r="U513" s="210"/>
      <c r="V513" s="210"/>
      <c r="W513" s="210"/>
      <c r="X513" s="210"/>
      <c r="Y513" s="210"/>
      <c r="Z513" s="210"/>
      <c r="AA513" s="210"/>
      <c r="AB513" s="210"/>
      <c r="AC513" s="210"/>
      <c r="AD513" s="210"/>
      <c r="AE513" s="210"/>
      <c r="AF513" s="210"/>
      <c r="AG513" s="210"/>
      <c r="AH513" s="210"/>
      <c r="AI513" s="210"/>
      <c r="AJ513" s="210"/>
      <c r="AK513" s="210"/>
      <c r="AL513" s="210"/>
      <c r="AM513" s="214"/>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c r="BU513" s="210"/>
      <c r="BV513" s="210"/>
      <c r="BW513" s="210"/>
      <c r="BX513" s="210"/>
      <c r="BY513" s="210"/>
      <c r="BZ513" s="210"/>
      <c r="CA513" s="210"/>
      <c r="CB513" s="210"/>
      <c r="CC513" s="210"/>
      <c r="CD513" s="210"/>
      <c r="CE513" s="210"/>
      <c r="CF513" s="210"/>
      <c r="CG513" s="210"/>
      <c r="CH513" s="210"/>
      <c r="CI513" s="210"/>
      <c r="CJ513" s="210"/>
      <c r="CK513" s="210"/>
    </row>
    <row r="514">
      <c r="A514" s="256" t="s">
        <v>745</v>
      </c>
      <c r="B514" s="252" t="s">
        <v>746</v>
      </c>
      <c r="C514" s="260" t="s">
        <v>800</v>
      </c>
      <c r="D514" s="260" t="s">
        <v>890</v>
      </c>
      <c r="E514" s="250" t="s">
        <v>21</v>
      </c>
      <c r="F514" s="252" t="s">
        <v>935</v>
      </c>
      <c r="G514" s="250"/>
      <c r="H514" s="219">
        <f>IFERROR(
  MINIFS(ATTENDANCE_LOG!$F:$F,
         ATTENDANCE_LOG!$A:$A, C514,
         ATTENDANCE_LOG!$B:$B, E514),
"")</f>
        <v>46113.58333</v>
      </c>
      <c r="I514" s="219">
        <f t="shared" si="2"/>
        <v>46113.58333</v>
      </c>
      <c r="J514" s="233">
        <f>IFERROR(VLOOKUP(F514, LEVEL_HELPER!$A:$B, 2, 0), "")</f>
        <v>3.5</v>
      </c>
      <c r="K514" s="233" t="str">
        <f>IFERROR(VLOOKUP(G514, LEVEL_HELPER!$A:$B, 2, 0), "")</f>
        <v/>
      </c>
      <c r="L514" s="257" t="s">
        <v>959</v>
      </c>
      <c r="M514" s="257" t="s">
        <v>922</v>
      </c>
      <c r="N514" s="190">
        <f t="array" ref="N514">IFERROR(
  INDEX($J$2:$J$543,
    MATCH(A514&amp;TEXT(I514,"yyyy-mm-dd"),
          $A$2:$A$543&amp;TEXT($H$2:$H$543,"yyyy-mm-dd"),
          0)),
"")</f>
        <v>3.5</v>
      </c>
      <c r="O514" s="238">
        <f t="shared" si="3"/>
        <v>0</v>
      </c>
      <c r="P514" s="210">
        <f t="shared" ref="P514:Q514" si="524">IF(N514="",0,IF(N514&lt;=2,1,IF(N514&lt;=4,2,IF(N514&lt;=5.5,3,4))))</f>
        <v>2</v>
      </c>
      <c r="Q514" s="210">
        <f t="shared" si="524"/>
        <v>1</v>
      </c>
      <c r="R514" s="210" t="str">
        <f t="shared" si="5"/>
        <v>Regressed</v>
      </c>
      <c r="S514" s="210">
        <f t="shared" si="6"/>
        <v>1</v>
      </c>
      <c r="T514" s="210"/>
      <c r="U514" s="210"/>
      <c r="V514" s="210"/>
      <c r="W514" s="210"/>
      <c r="X514" s="210"/>
      <c r="Y514" s="210"/>
      <c r="Z514" s="210"/>
      <c r="AA514" s="210"/>
      <c r="AB514" s="210"/>
      <c r="AC514" s="210"/>
      <c r="AD514" s="210"/>
      <c r="AE514" s="210"/>
      <c r="AF514" s="210"/>
      <c r="AG514" s="210"/>
      <c r="AH514" s="210"/>
      <c r="AI514" s="210"/>
      <c r="AJ514" s="210"/>
      <c r="AK514" s="210"/>
      <c r="AL514" s="210"/>
      <c r="AM514" s="214"/>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c r="BU514" s="210"/>
      <c r="BV514" s="210"/>
      <c r="BW514" s="210"/>
      <c r="BX514" s="210"/>
      <c r="BY514" s="210"/>
      <c r="BZ514" s="210"/>
      <c r="CA514" s="210"/>
      <c r="CB514" s="210"/>
      <c r="CC514" s="210"/>
      <c r="CD514" s="210"/>
      <c r="CE514" s="210"/>
      <c r="CF514" s="210"/>
      <c r="CG514" s="210"/>
      <c r="CH514" s="210"/>
      <c r="CI514" s="210"/>
      <c r="CJ514" s="210"/>
      <c r="CK514" s="210"/>
    </row>
    <row r="515">
      <c r="A515" s="258" t="s">
        <v>747</v>
      </c>
      <c r="B515" s="233" t="s">
        <v>748</v>
      </c>
      <c r="C515" s="261" t="s">
        <v>800</v>
      </c>
      <c r="D515" s="261" t="s">
        <v>890</v>
      </c>
      <c r="E515" s="233" t="s">
        <v>21</v>
      </c>
      <c r="F515" s="235" t="s">
        <v>927</v>
      </c>
      <c r="G515" s="233"/>
      <c r="H515" s="219">
        <f>IFERROR(
  MINIFS(ATTENDANCE_LOG!$F:$F,
         ATTENDANCE_LOG!$A:$A, C515,
         ATTENDANCE_LOG!$B:$B, E515),
"")</f>
        <v>46113.58333</v>
      </c>
      <c r="I515" s="219">
        <f t="shared" si="2"/>
        <v>46113.58333</v>
      </c>
      <c r="J515" s="233">
        <f>IFERROR(VLOOKUP(F515, LEVEL_HELPER!$A:$B, 2, 0), "")</f>
        <v>1</v>
      </c>
      <c r="K515" s="233" t="str">
        <f>IFERROR(VLOOKUP(G515, LEVEL_HELPER!$A:$B, 2, 0), "")</f>
        <v/>
      </c>
      <c r="L515" s="259" t="s">
        <v>943</v>
      </c>
      <c r="M515" s="259" t="s">
        <v>923</v>
      </c>
      <c r="N515" s="190">
        <f t="array" ref="N515">IFERROR(
  INDEX($J$2:$J$543,
    MATCH(A515&amp;TEXT(I515,"yyyy-mm-dd"),
          $A$2:$A$543&amp;TEXT($H$2:$H$543,"yyyy-mm-dd"),
          0)),
"")</f>
        <v>1</v>
      </c>
      <c r="O515" s="238">
        <f t="shared" si="3"/>
        <v>0</v>
      </c>
      <c r="P515" s="210">
        <f t="shared" ref="P515:Q515" si="525">IF(N515="",0,IF(N515&lt;=2,1,IF(N515&lt;=4,2,IF(N515&lt;=5.5,3,4))))</f>
        <v>1</v>
      </c>
      <c r="Q515" s="210">
        <f t="shared" si="525"/>
        <v>1</v>
      </c>
      <c r="R515" s="210" t="str">
        <f t="shared" si="5"/>
        <v>No Progress</v>
      </c>
      <c r="S515" s="210">
        <f t="shared" si="6"/>
        <v>1</v>
      </c>
      <c r="T515" s="210"/>
      <c r="U515" s="210"/>
      <c r="V515" s="210"/>
      <c r="W515" s="210"/>
      <c r="X515" s="210"/>
      <c r="Y515" s="210"/>
      <c r="Z515" s="210"/>
      <c r="AA515" s="210"/>
      <c r="AB515" s="210"/>
      <c r="AC515" s="210"/>
      <c r="AD515" s="210"/>
      <c r="AE515" s="210"/>
      <c r="AF515" s="210"/>
      <c r="AG515" s="210"/>
      <c r="AH515" s="210"/>
      <c r="AI515" s="210"/>
      <c r="AJ515" s="210"/>
      <c r="AK515" s="210"/>
      <c r="AL515" s="210"/>
      <c r="AM515" s="214"/>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c r="BU515" s="210"/>
      <c r="BV515" s="210"/>
      <c r="BW515" s="210"/>
      <c r="BX515" s="210"/>
      <c r="BY515" s="210"/>
      <c r="BZ515" s="210"/>
      <c r="CA515" s="210"/>
      <c r="CB515" s="210"/>
      <c r="CC515" s="210"/>
      <c r="CD515" s="210"/>
      <c r="CE515" s="210"/>
      <c r="CF515" s="210"/>
      <c r="CG515" s="210"/>
      <c r="CH515" s="210"/>
      <c r="CI515" s="210"/>
      <c r="CJ515" s="210"/>
      <c r="CK515" s="210"/>
    </row>
    <row r="516">
      <c r="A516" s="258" t="s">
        <v>749</v>
      </c>
      <c r="B516" s="233" t="s">
        <v>750</v>
      </c>
      <c r="C516" s="261" t="s">
        <v>800</v>
      </c>
      <c r="D516" s="261" t="s">
        <v>890</v>
      </c>
      <c r="E516" s="233" t="s">
        <v>21</v>
      </c>
      <c r="F516" s="235" t="s">
        <v>935</v>
      </c>
      <c r="G516" s="233"/>
      <c r="H516" s="219">
        <f>IFERROR(
  MINIFS(ATTENDANCE_LOG!$F:$F,
         ATTENDANCE_LOG!$A:$A, C516,
         ATTENDANCE_LOG!$B:$B, E516),
"")</f>
        <v>46113.58333</v>
      </c>
      <c r="I516" s="219">
        <f t="shared" si="2"/>
        <v>46113.58333</v>
      </c>
      <c r="J516" s="233">
        <f>IFERROR(VLOOKUP(F516, LEVEL_HELPER!$A:$B, 2, 0), "")</f>
        <v>3.5</v>
      </c>
      <c r="K516" s="233" t="str">
        <f>IFERROR(VLOOKUP(G516, LEVEL_HELPER!$A:$B, 2, 0), "")</f>
        <v/>
      </c>
      <c r="L516" s="259" t="s">
        <v>947</v>
      </c>
      <c r="M516" s="259" t="s">
        <v>923</v>
      </c>
      <c r="N516" s="190">
        <f t="array" ref="N516">IFERROR(
  INDEX($J$2:$J$543,
    MATCH(A516&amp;TEXT(I516,"yyyy-mm-dd"),
          $A$2:$A$543&amp;TEXT($H$2:$H$543,"yyyy-mm-dd"),
          0)),
"")</f>
        <v>3.5</v>
      </c>
      <c r="O516" s="238">
        <f t="shared" si="3"/>
        <v>0</v>
      </c>
      <c r="P516" s="210">
        <f t="shared" ref="P516:Q516" si="526">IF(N516="",0,IF(N516&lt;=2,1,IF(N516&lt;=4,2,IF(N516&lt;=5.5,3,4))))</f>
        <v>2</v>
      </c>
      <c r="Q516" s="210">
        <f t="shared" si="526"/>
        <v>1</v>
      </c>
      <c r="R516" s="210" t="str">
        <f t="shared" si="5"/>
        <v>Regressed</v>
      </c>
      <c r="S516" s="210">
        <f t="shared" si="6"/>
        <v>1</v>
      </c>
      <c r="T516" s="210"/>
      <c r="U516" s="210"/>
      <c r="V516" s="210"/>
      <c r="W516" s="210"/>
      <c r="X516" s="210"/>
      <c r="Y516" s="210"/>
      <c r="Z516" s="210"/>
      <c r="AA516" s="210"/>
      <c r="AB516" s="210"/>
      <c r="AC516" s="210"/>
      <c r="AD516" s="210"/>
      <c r="AE516" s="210"/>
      <c r="AF516" s="210"/>
      <c r="AG516" s="210"/>
      <c r="AH516" s="210"/>
      <c r="AI516" s="210"/>
      <c r="AJ516" s="210"/>
      <c r="AK516" s="210"/>
      <c r="AL516" s="210"/>
      <c r="AM516" s="214"/>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c r="BU516" s="210"/>
      <c r="BV516" s="210"/>
      <c r="BW516" s="210"/>
      <c r="BX516" s="210"/>
      <c r="BY516" s="210"/>
      <c r="BZ516" s="210"/>
      <c r="CA516" s="210"/>
      <c r="CB516" s="210"/>
      <c r="CC516" s="210"/>
      <c r="CD516" s="210"/>
      <c r="CE516" s="210"/>
      <c r="CF516" s="210"/>
      <c r="CG516" s="210"/>
      <c r="CH516" s="210"/>
      <c r="CI516" s="210"/>
      <c r="CJ516" s="210"/>
      <c r="CK516" s="210"/>
    </row>
    <row r="517">
      <c r="A517" s="258" t="s">
        <v>751</v>
      </c>
      <c r="B517" s="233" t="s">
        <v>752</v>
      </c>
      <c r="C517" s="261" t="s">
        <v>800</v>
      </c>
      <c r="D517" s="261" t="s">
        <v>890</v>
      </c>
      <c r="E517" s="233" t="s">
        <v>21</v>
      </c>
      <c r="F517" s="235" t="s">
        <v>929</v>
      </c>
      <c r="G517" s="233"/>
      <c r="H517" s="219">
        <f>IFERROR(
  MINIFS(ATTENDANCE_LOG!$F:$F,
         ATTENDANCE_LOG!$A:$A, C517,
         ATTENDANCE_LOG!$B:$B, E517),
"")</f>
        <v>46113.58333</v>
      </c>
      <c r="I517" s="219">
        <f t="shared" si="2"/>
        <v>46113.58333</v>
      </c>
      <c r="J517" s="233">
        <f>IFERROR(VLOOKUP(F517, LEVEL_HELPER!$A:$B, 2, 0), "")</f>
        <v>1.5</v>
      </c>
      <c r="K517" s="233" t="str">
        <f>IFERROR(VLOOKUP(G517, LEVEL_HELPER!$A:$B, 2, 0), "")</f>
        <v/>
      </c>
      <c r="L517" s="259" t="s">
        <v>931</v>
      </c>
      <c r="M517" s="259" t="s">
        <v>920</v>
      </c>
      <c r="N517" s="190">
        <f t="array" ref="N517">IFERROR(
  INDEX($J$2:$J$543,
    MATCH(A517&amp;TEXT(I517,"yyyy-mm-dd"),
          $A$2:$A$543&amp;TEXT($H$2:$H$543,"yyyy-mm-dd"),
          0)),
"")</f>
        <v>1.5</v>
      </c>
      <c r="O517" s="238">
        <f t="shared" si="3"/>
        <v>0</v>
      </c>
      <c r="P517" s="210">
        <f t="shared" ref="P517:Q517" si="527">IF(N517="",0,IF(N517&lt;=2,1,IF(N517&lt;=4,2,IF(N517&lt;=5.5,3,4))))</f>
        <v>1</v>
      </c>
      <c r="Q517" s="210">
        <f t="shared" si="527"/>
        <v>1</v>
      </c>
      <c r="R517" s="210" t="str">
        <f t="shared" si="5"/>
        <v>No Progress</v>
      </c>
      <c r="S517" s="210">
        <f t="shared" si="6"/>
        <v>1</v>
      </c>
      <c r="T517" s="210"/>
      <c r="U517" s="210"/>
      <c r="V517" s="210"/>
      <c r="W517" s="210"/>
      <c r="X517" s="210"/>
      <c r="Y517" s="210"/>
      <c r="Z517" s="210"/>
      <c r="AA517" s="210"/>
      <c r="AB517" s="210"/>
      <c r="AC517" s="210"/>
      <c r="AD517" s="210"/>
      <c r="AE517" s="210"/>
      <c r="AF517" s="210"/>
      <c r="AG517" s="210"/>
      <c r="AH517" s="210"/>
      <c r="AI517" s="210"/>
      <c r="AJ517" s="210"/>
      <c r="AK517" s="210"/>
      <c r="AL517" s="210"/>
      <c r="AM517" s="214"/>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c r="BU517" s="210"/>
      <c r="BV517" s="210"/>
      <c r="BW517" s="210"/>
      <c r="BX517" s="210"/>
      <c r="BY517" s="210"/>
      <c r="BZ517" s="210"/>
      <c r="CA517" s="210"/>
      <c r="CB517" s="210"/>
      <c r="CC517" s="210"/>
      <c r="CD517" s="210"/>
      <c r="CE517" s="210"/>
      <c r="CF517" s="210"/>
      <c r="CG517" s="210"/>
      <c r="CH517" s="210"/>
      <c r="CI517" s="210"/>
      <c r="CJ517" s="210"/>
      <c r="CK517" s="210"/>
    </row>
    <row r="518">
      <c r="A518" s="258" t="s">
        <v>753</v>
      </c>
      <c r="B518" s="233" t="s">
        <v>754</v>
      </c>
      <c r="C518" s="261" t="s">
        <v>800</v>
      </c>
      <c r="D518" s="261" t="s">
        <v>890</v>
      </c>
      <c r="E518" s="233" t="s">
        <v>21</v>
      </c>
      <c r="F518" s="235" t="s">
        <v>927</v>
      </c>
      <c r="G518" s="233"/>
      <c r="H518" s="219">
        <f>IFERROR(
  MINIFS(ATTENDANCE_LOG!$F:$F,
         ATTENDANCE_LOG!$A:$A, C518,
         ATTENDANCE_LOG!$B:$B, E518),
"")</f>
        <v>46113.58333</v>
      </c>
      <c r="I518" s="219">
        <f t="shared" si="2"/>
        <v>46113.58333</v>
      </c>
      <c r="J518" s="233">
        <f>IFERROR(VLOOKUP(F518, LEVEL_HELPER!$A:$B, 2, 0), "")</f>
        <v>1</v>
      </c>
      <c r="K518" s="233" t="str">
        <f>IFERROR(VLOOKUP(G518, LEVEL_HELPER!$A:$B, 2, 0), "")</f>
        <v/>
      </c>
      <c r="L518" s="259" t="s">
        <v>951</v>
      </c>
      <c r="M518" s="259" t="s">
        <v>923</v>
      </c>
      <c r="N518" s="190">
        <f t="array" ref="N518">IFERROR(
  INDEX($J$2:$J$543,
    MATCH(A518&amp;TEXT(I518,"yyyy-mm-dd"),
          $A$2:$A$543&amp;TEXT($H$2:$H$543,"yyyy-mm-dd"),
          0)),
"")</f>
        <v>1</v>
      </c>
      <c r="O518" s="238">
        <f t="shared" si="3"/>
        <v>0</v>
      </c>
      <c r="P518" s="210">
        <f t="shared" ref="P518:Q518" si="528">IF(N518="",0,IF(N518&lt;=2,1,IF(N518&lt;=4,2,IF(N518&lt;=5.5,3,4))))</f>
        <v>1</v>
      </c>
      <c r="Q518" s="210">
        <f t="shared" si="528"/>
        <v>1</v>
      </c>
      <c r="R518" s="210" t="str">
        <f t="shared" si="5"/>
        <v>No Progress</v>
      </c>
      <c r="S518" s="210">
        <f t="shared" si="6"/>
        <v>1</v>
      </c>
      <c r="T518" s="210"/>
      <c r="U518" s="210"/>
      <c r="V518" s="210"/>
      <c r="W518" s="210"/>
      <c r="X518" s="210"/>
      <c r="Y518" s="210"/>
      <c r="Z518" s="210"/>
      <c r="AA518" s="210"/>
      <c r="AB518" s="210"/>
      <c r="AC518" s="210"/>
      <c r="AD518" s="210"/>
      <c r="AE518" s="210"/>
      <c r="AF518" s="210"/>
      <c r="AG518" s="210"/>
      <c r="AH518" s="210"/>
      <c r="AI518" s="210"/>
      <c r="AJ518" s="210"/>
      <c r="AK518" s="210"/>
      <c r="AL518" s="210"/>
      <c r="AM518" s="214"/>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c r="BU518" s="210"/>
      <c r="BV518" s="210"/>
      <c r="BW518" s="210"/>
      <c r="BX518" s="210"/>
      <c r="BY518" s="210"/>
      <c r="BZ518" s="210"/>
      <c r="CA518" s="210"/>
      <c r="CB518" s="210"/>
      <c r="CC518" s="210"/>
      <c r="CD518" s="210"/>
      <c r="CE518" s="210"/>
      <c r="CF518" s="210"/>
      <c r="CG518" s="210"/>
      <c r="CH518" s="210"/>
      <c r="CI518" s="210"/>
      <c r="CJ518" s="210"/>
      <c r="CK518" s="210"/>
    </row>
    <row r="519">
      <c r="A519" s="258" t="s">
        <v>755</v>
      </c>
      <c r="B519" s="233" t="s">
        <v>756</v>
      </c>
      <c r="C519" s="261" t="s">
        <v>800</v>
      </c>
      <c r="D519" s="261" t="s">
        <v>890</v>
      </c>
      <c r="E519" s="233" t="s">
        <v>21</v>
      </c>
      <c r="F519" s="235" t="s">
        <v>927</v>
      </c>
      <c r="G519" s="233"/>
      <c r="H519" s="219">
        <f>IFERROR(
  MINIFS(ATTENDANCE_LOG!$F:$F,
         ATTENDANCE_LOG!$A:$A, C519,
         ATTENDANCE_LOG!$B:$B, E519),
"")</f>
        <v>46113.58333</v>
      </c>
      <c r="I519" s="219">
        <f t="shared" si="2"/>
        <v>46113.58333</v>
      </c>
      <c r="J519" s="233">
        <f>IFERROR(VLOOKUP(F519, LEVEL_HELPER!$A:$B, 2, 0), "")</f>
        <v>1</v>
      </c>
      <c r="K519" s="233" t="str">
        <f>IFERROR(VLOOKUP(G519, LEVEL_HELPER!$A:$B, 2, 0), "")</f>
        <v/>
      </c>
      <c r="L519" s="259" t="s">
        <v>951</v>
      </c>
      <c r="M519" s="259" t="s">
        <v>923</v>
      </c>
      <c r="N519" s="190">
        <f t="array" ref="N519">IFERROR(
  INDEX($J$2:$J$543,
    MATCH(A519&amp;TEXT(I519,"yyyy-mm-dd"),
          $A$2:$A$543&amp;TEXT($H$2:$H$543,"yyyy-mm-dd"),
          0)),
"")</f>
        <v>1</v>
      </c>
      <c r="O519" s="238">
        <f t="shared" si="3"/>
        <v>0</v>
      </c>
      <c r="P519" s="210">
        <f t="shared" ref="P519:Q519" si="529">IF(N519="",0,IF(N519&lt;=2,1,IF(N519&lt;=4,2,IF(N519&lt;=5.5,3,4))))</f>
        <v>1</v>
      </c>
      <c r="Q519" s="210">
        <f t="shared" si="529"/>
        <v>1</v>
      </c>
      <c r="R519" s="210" t="str">
        <f t="shared" si="5"/>
        <v>No Progress</v>
      </c>
      <c r="S519" s="210">
        <f t="shared" si="6"/>
        <v>1</v>
      </c>
      <c r="T519" s="210"/>
      <c r="U519" s="210"/>
      <c r="V519" s="210"/>
      <c r="W519" s="210"/>
      <c r="X519" s="210"/>
      <c r="Y519" s="210"/>
      <c r="Z519" s="210"/>
      <c r="AA519" s="210"/>
      <c r="AB519" s="210"/>
      <c r="AC519" s="210"/>
      <c r="AD519" s="210"/>
      <c r="AE519" s="210"/>
      <c r="AF519" s="210"/>
      <c r="AG519" s="210"/>
      <c r="AH519" s="210"/>
      <c r="AI519" s="210"/>
      <c r="AJ519" s="210"/>
      <c r="AK519" s="210"/>
      <c r="AL519" s="210"/>
      <c r="AM519" s="214"/>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c r="BU519" s="210"/>
      <c r="BV519" s="210"/>
      <c r="BW519" s="210"/>
      <c r="BX519" s="210"/>
      <c r="BY519" s="210"/>
      <c r="BZ519" s="210"/>
      <c r="CA519" s="210"/>
      <c r="CB519" s="210"/>
      <c r="CC519" s="210"/>
      <c r="CD519" s="210"/>
      <c r="CE519" s="210"/>
      <c r="CF519" s="210"/>
      <c r="CG519" s="210"/>
      <c r="CH519" s="210"/>
      <c r="CI519" s="210"/>
      <c r="CJ519" s="210"/>
      <c r="CK519" s="210"/>
    </row>
    <row r="520">
      <c r="A520" s="258" t="s">
        <v>478</v>
      </c>
      <c r="B520" s="233" t="s">
        <v>816</v>
      </c>
      <c r="C520" s="261" t="s">
        <v>800</v>
      </c>
      <c r="D520" s="261" t="s">
        <v>890</v>
      </c>
      <c r="E520" s="233" t="s">
        <v>21</v>
      </c>
      <c r="F520" s="235" t="s">
        <v>927</v>
      </c>
      <c r="G520" s="233"/>
      <c r="H520" s="219">
        <f>IFERROR(
  MINIFS(ATTENDANCE_LOG!$F:$F,
         ATTENDANCE_LOG!$A:$A, C520,
         ATTENDANCE_LOG!$B:$B, E520),
"")</f>
        <v>46113.58333</v>
      </c>
      <c r="I520" s="219">
        <f t="shared" si="2"/>
        <v>46086.58333</v>
      </c>
      <c r="J520" s="233">
        <f>IFERROR(VLOOKUP(F520, LEVEL_HELPER!$A:$B, 2, 0), "")</f>
        <v>1</v>
      </c>
      <c r="K520" s="233" t="str">
        <f>IFERROR(VLOOKUP(G520, LEVEL_HELPER!$A:$B, 2, 0), "")</f>
        <v/>
      </c>
      <c r="L520" s="259" t="s">
        <v>945</v>
      </c>
      <c r="M520" s="259" t="s">
        <v>922</v>
      </c>
      <c r="N520" s="190">
        <f t="array" ref="N520">IFERROR(
  INDEX($J$2:$J$543,
    MATCH(A520&amp;TEXT(I520,"yyyy-mm-dd"),
          $A$2:$A$543&amp;TEXT($H$2:$H$543,"yyyy-mm-dd"),
          0)),
"")</f>
        <v>0.5</v>
      </c>
      <c r="O520" s="238">
        <f t="shared" si="3"/>
        <v>0</v>
      </c>
      <c r="P520" s="210">
        <f t="shared" ref="P520:Q520" si="530">IF(N520="",0,IF(N520&lt;=2,1,IF(N520&lt;=4,2,IF(N520&lt;=5.5,3,4))))</f>
        <v>1</v>
      </c>
      <c r="Q520" s="210">
        <f t="shared" si="530"/>
        <v>1</v>
      </c>
      <c r="R520" s="210" t="str">
        <f t="shared" si="5"/>
        <v>No Progress</v>
      </c>
      <c r="S520" s="210">
        <f t="shared" si="6"/>
        <v>1</v>
      </c>
      <c r="T520" s="210"/>
      <c r="U520" s="210"/>
      <c r="V520" s="210"/>
      <c r="W520" s="210"/>
      <c r="X520" s="210"/>
      <c r="Y520" s="210"/>
      <c r="Z520" s="210"/>
      <c r="AA520" s="210"/>
      <c r="AB520" s="210"/>
      <c r="AC520" s="210"/>
      <c r="AD520" s="210"/>
      <c r="AE520" s="210"/>
      <c r="AF520" s="210"/>
      <c r="AG520" s="210"/>
      <c r="AH520" s="210"/>
      <c r="AI520" s="210"/>
      <c r="AJ520" s="210"/>
      <c r="AK520" s="210"/>
      <c r="AL520" s="210"/>
      <c r="AM520" s="214"/>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c r="BU520" s="210"/>
      <c r="BV520" s="210"/>
      <c r="BW520" s="210"/>
      <c r="BX520" s="210"/>
      <c r="BY520" s="210"/>
      <c r="BZ520" s="210"/>
      <c r="CA520" s="210"/>
      <c r="CB520" s="210"/>
      <c r="CC520" s="210"/>
      <c r="CD520" s="210"/>
      <c r="CE520" s="210"/>
      <c r="CF520" s="210"/>
      <c r="CG520" s="210"/>
      <c r="CH520" s="210"/>
      <c r="CI520" s="210"/>
      <c r="CJ520" s="210"/>
      <c r="CK520" s="210"/>
    </row>
    <row r="521">
      <c r="A521" s="249" t="s">
        <v>151</v>
      </c>
      <c r="B521" s="250" t="s">
        <v>152</v>
      </c>
      <c r="C521" s="251" t="s">
        <v>95</v>
      </c>
      <c r="D521" s="251" t="s">
        <v>888</v>
      </c>
      <c r="E521" s="250" t="s">
        <v>25</v>
      </c>
      <c r="F521" s="252" t="s">
        <v>25</v>
      </c>
      <c r="G521" s="250"/>
      <c r="H521" s="219">
        <f>IFERROR(
  MINIFS(ATTENDANCE_LOG!$F:$F,
         ATTENDANCE_LOG!$A:$A, C521,
         ATTENDANCE_LOG!$B:$B, E521),
"")</f>
        <v>46086.58333</v>
      </c>
      <c r="I521" s="219">
        <f t="shared" si="2"/>
        <v>46086.58333</v>
      </c>
      <c r="J521" s="250">
        <f>IFERROR(VLOOKUP(F521, LEVEL_HELPER!$A:$B, 2, 0), "")</f>
        <v>0.5</v>
      </c>
      <c r="K521" s="233" t="str">
        <f>IFERROR(VLOOKUP(G521, LEVEL_HELPER!$A:$B, 2, 0), "")</f>
        <v/>
      </c>
      <c r="L521" s="253" t="s">
        <v>943</v>
      </c>
      <c r="M521" s="253" t="s">
        <v>924</v>
      </c>
      <c r="N521" s="190">
        <f t="array" ref="N521">IFERROR(
  INDEX($J$2:$J$543,
    MATCH(A521&amp;TEXT(I521,"yyyy-mm-dd"),
          $A$2:$A$543&amp;TEXT($H$2:$H$543,"yyyy-mm-dd"),
          0)),
"")</f>
        <v>0.5</v>
      </c>
      <c r="O521" s="254">
        <f t="shared" si="3"/>
        <v>0</v>
      </c>
      <c r="P521" s="210">
        <f t="shared" ref="P521:Q521" si="531">IF(N521="",0,IF(N521&lt;=2,1,IF(N521&lt;=4,2,IF(N521&lt;=5.5,3,4))))</f>
        <v>1</v>
      </c>
      <c r="Q521" s="210">
        <f t="shared" si="531"/>
        <v>1</v>
      </c>
      <c r="R521" s="210" t="str">
        <f t="shared" si="5"/>
        <v>No Progress</v>
      </c>
      <c r="S521" s="210">
        <f t="shared" si="6"/>
        <v>1</v>
      </c>
      <c r="T521" s="210"/>
      <c r="U521" s="210"/>
      <c r="V521" s="210"/>
      <c r="W521" s="210"/>
      <c r="X521" s="210"/>
      <c r="Y521" s="210"/>
      <c r="Z521" s="210"/>
      <c r="AA521" s="210"/>
      <c r="AB521" s="210"/>
      <c r="AC521" s="210"/>
      <c r="AD521" s="210"/>
      <c r="AE521" s="210"/>
      <c r="AF521" s="210"/>
      <c r="AG521" s="210"/>
      <c r="AH521" s="210"/>
      <c r="AI521" s="210"/>
      <c r="AJ521" s="210"/>
      <c r="AK521" s="210"/>
      <c r="AL521" s="210"/>
      <c r="AM521" s="214"/>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c r="BU521" s="210"/>
      <c r="BV521" s="210"/>
      <c r="BW521" s="210"/>
      <c r="BX521" s="210"/>
      <c r="BY521" s="210"/>
      <c r="BZ521" s="210"/>
      <c r="CA521" s="210"/>
      <c r="CB521" s="210"/>
      <c r="CC521" s="210"/>
      <c r="CD521" s="210"/>
      <c r="CE521" s="210"/>
      <c r="CF521" s="210"/>
      <c r="CG521" s="210"/>
      <c r="CH521" s="210"/>
      <c r="CI521" s="210"/>
      <c r="CJ521" s="210"/>
      <c r="CK521" s="210"/>
    </row>
    <row r="522">
      <c r="A522" s="232" t="s">
        <v>163</v>
      </c>
      <c r="B522" s="233" t="s">
        <v>164</v>
      </c>
      <c r="C522" s="234" t="s">
        <v>95</v>
      </c>
      <c r="D522" s="234" t="s">
        <v>888</v>
      </c>
      <c r="E522" s="233" t="s">
        <v>25</v>
      </c>
      <c r="F522" s="235" t="s">
        <v>25</v>
      </c>
      <c r="G522" s="233"/>
      <c r="H522" s="219">
        <f>IFERROR(
  MINIFS(ATTENDANCE_LOG!$F:$F,
         ATTENDANCE_LOG!$A:$A, C522,
         ATTENDANCE_LOG!$B:$B, E522),
"")</f>
        <v>46086.58333</v>
      </c>
      <c r="I522" s="219">
        <f t="shared" si="2"/>
        <v>46086.58333</v>
      </c>
      <c r="J522" s="233">
        <f>IFERROR(VLOOKUP(F522, LEVEL_HELPER!$A:$B, 2, 0), "")</f>
        <v>0.5</v>
      </c>
      <c r="K522" s="233" t="str">
        <f>IFERROR(VLOOKUP(G522, LEVEL_HELPER!$A:$B, 2, 0), "")</f>
        <v/>
      </c>
      <c r="L522" s="237" t="s">
        <v>951</v>
      </c>
      <c r="M522" s="237" t="s">
        <v>923</v>
      </c>
      <c r="N522" s="190">
        <f t="array" ref="N522">IFERROR(
  INDEX($J$2:$J$543,
    MATCH(A522&amp;TEXT(I522,"yyyy-mm-dd"),
          $A$2:$A$543&amp;TEXT($H$2:$H$543,"yyyy-mm-dd"),
          0)),
"")</f>
        <v>0.5</v>
      </c>
      <c r="O522" s="238">
        <f t="shared" si="3"/>
        <v>0</v>
      </c>
      <c r="P522" s="210">
        <f t="shared" ref="P522:Q522" si="532">IF(N522="",0,IF(N522&lt;=2,1,IF(N522&lt;=4,2,IF(N522&lt;=5.5,3,4))))</f>
        <v>1</v>
      </c>
      <c r="Q522" s="210">
        <f t="shared" si="532"/>
        <v>1</v>
      </c>
      <c r="R522" s="210" t="str">
        <f t="shared" si="5"/>
        <v>No Progress</v>
      </c>
      <c r="S522" s="210">
        <f t="shared" si="6"/>
        <v>1</v>
      </c>
      <c r="T522" s="210"/>
      <c r="U522" s="210"/>
      <c r="V522" s="210"/>
      <c r="W522" s="210"/>
      <c r="X522" s="210"/>
      <c r="Y522" s="210"/>
      <c r="Z522" s="210"/>
      <c r="AA522" s="210"/>
      <c r="AB522" s="210"/>
      <c r="AC522" s="210"/>
      <c r="AD522" s="210"/>
      <c r="AE522" s="210"/>
      <c r="AF522" s="210"/>
      <c r="AG522" s="210"/>
      <c r="AH522" s="210"/>
      <c r="AI522" s="210"/>
      <c r="AJ522" s="210"/>
      <c r="AK522" s="210"/>
      <c r="AL522" s="210"/>
      <c r="AM522" s="214"/>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c r="BU522" s="210"/>
      <c r="BV522" s="210"/>
      <c r="BW522" s="210"/>
      <c r="BX522" s="210"/>
      <c r="BY522" s="210"/>
      <c r="BZ522" s="210"/>
      <c r="CA522" s="210"/>
      <c r="CB522" s="210"/>
      <c r="CC522" s="210"/>
      <c r="CD522" s="210"/>
      <c r="CE522" s="210"/>
      <c r="CF522" s="210"/>
      <c r="CG522" s="210"/>
      <c r="CH522" s="210"/>
      <c r="CI522" s="210"/>
      <c r="CJ522" s="210"/>
      <c r="CK522" s="210"/>
    </row>
    <row r="523">
      <c r="A523" s="232" t="s">
        <v>180</v>
      </c>
      <c r="B523" s="233" t="s">
        <v>181</v>
      </c>
      <c r="C523" s="234" t="s">
        <v>95</v>
      </c>
      <c r="D523" s="234" t="s">
        <v>888</v>
      </c>
      <c r="E523" s="233" t="s">
        <v>25</v>
      </c>
      <c r="F523" s="235" t="s">
        <v>25</v>
      </c>
      <c r="G523" s="235"/>
      <c r="H523" s="219">
        <f>IFERROR(
  MINIFS(ATTENDANCE_LOG!$F:$F,
         ATTENDANCE_LOG!$A:$A, C523,
         ATTENDANCE_LOG!$B:$B, E523),
"")</f>
        <v>46086.58333</v>
      </c>
      <c r="I523" s="219">
        <f t="shared" si="2"/>
        <v>46086.58333</v>
      </c>
      <c r="J523" s="233">
        <f>IFERROR(VLOOKUP(F523, LEVEL_HELPER!$A:$B, 2, 0), "")</f>
        <v>0.5</v>
      </c>
      <c r="K523" s="233" t="str">
        <f>IFERROR(VLOOKUP(G523, LEVEL_HELPER!$A:$B, 2, 0), "")</f>
        <v/>
      </c>
      <c r="L523" s="237" t="s">
        <v>943</v>
      </c>
      <c r="M523" s="259" t="s">
        <v>922</v>
      </c>
      <c r="N523" s="190">
        <f t="array" ref="N523">IFERROR(
  INDEX($J$2:$J$543,
    MATCH(A523&amp;TEXT(I523,"yyyy-mm-dd"),
          $A$2:$A$543&amp;TEXT($H$2:$H$543,"yyyy-mm-dd"),
          0)),
"")</f>
        <v>0.5</v>
      </c>
      <c r="O523" s="238">
        <f t="shared" si="3"/>
        <v>0</v>
      </c>
      <c r="P523" s="210">
        <f t="shared" ref="P523:Q523" si="533">IF(N523="",0,IF(N523&lt;=2,1,IF(N523&lt;=4,2,IF(N523&lt;=5.5,3,4))))</f>
        <v>1</v>
      </c>
      <c r="Q523" s="210">
        <f t="shared" si="533"/>
        <v>1</v>
      </c>
      <c r="R523" s="210" t="str">
        <f t="shared" si="5"/>
        <v>No Progress</v>
      </c>
      <c r="S523" s="210">
        <f t="shared" si="6"/>
        <v>1</v>
      </c>
      <c r="T523" s="210"/>
      <c r="U523" s="210"/>
      <c r="V523" s="210"/>
      <c r="W523" s="210"/>
      <c r="X523" s="210"/>
      <c r="Y523" s="210"/>
      <c r="Z523" s="210"/>
      <c r="AA523" s="210"/>
      <c r="AB523" s="210"/>
      <c r="AC523" s="210"/>
      <c r="AD523" s="210"/>
      <c r="AE523" s="210"/>
      <c r="AF523" s="210"/>
      <c r="AG523" s="210"/>
      <c r="AH523" s="210"/>
      <c r="AI523" s="210"/>
      <c r="AJ523" s="210"/>
      <c r="AK523" s="210"/>
      <c r="AL523" s="210"/>
      <c r="AM523" s="214"/>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c r="BU523" s="210"/>
      <c r="BV523" s="210"/>
      <c r="BW523" s="210"/>
      <c r="BX523" s="210"/>
      <c r="BY523" s="210"/>
      <c r="BZ523" s="210"/>
      <c r="CA523" s="210"/>
      <c r="CB523" s="210"/>
      <c r="CC523" s="210"/>
      <c r="CD523" s="210"/>
      <c r="CE523" s="210"/>
      <c r="CF523" s="210"/>
      <c r="CG523" s="210"/>
      <c r="CH523" s="210"/>
      <c r="CI523" s="210"/>
      <c r="CJ523" s="210"/>
      <c r="CK523" s="210"/>
    </row>
    <row r="524">
      <c r="A524" s="232" t="s">
        <v>284</v>
      </c>
      <c r="B524" s="233" t="s">
        <v>285</v>
      </c>
      <c r="C524" s="234" t="s">
        <v>95</v>
      </c>
      <c r="D524" s="234" t="s">
        <v>888</v>
      </c>
      <c r="E524" s="233" t="s">
        <v>25</v>
      </c>
      <c r="F524" s="235" t="s">
        <v>25</v>
      </c>
      <c r="G524" s="233"/>
      <c r="H524" s="219">
        <f>IFERROR(
  MINIFS(ATTENDANCE_LOG!$F:$F,
         ATTENDANCE_LOG!$A:$A, C524,
         ATTENDANCE_LOG!$B:$B, E524),
"")</f>
        <v>46086.58333</v>
      </c>
      <c r="I524" s="219">
        <f t="shared" si="2"/>
        <v>46086.58333</v>
      </c>
      <c r="J524" s="233">
        <f>IFERROR(VLOOKUP(F524, LEVEL_HELPER!$A:$B, 2, 0), "")</f>
        <v>0.5</v>
      </c>
      <c r="K524" s="233" t="str">
        <f>IFERROR(VLOOKUP(G524, LEVEL_HELPER!$A:$B, 2, 0), "")</f>
        <v/>
      </c>
      <c r="L524" s="237" t="s">
        <v>943</v>
      </c>
      <c r="M524" s="259" t="s">
        <v>922</v>
      </c>
      <c r="N524" s="190">
        <f t="array" ref="N524">IFERROR(
  INDEX($J$2:$J$543,
    MATCH(A524&amp;TEXT(I524,"yyyy-mm-dd"),
          $A$2:$A$543&amp;TEXT($H$2:$H$543,"yyyy-mm-dd"),
          0)),
"")</f>
        <v>0.5</v>
      </c>
      <c r="O524" s="238">
        <f t="shared" si="3"/>
        <v>0</v>
      </c>
      <c r="P524" s="210">
        <f t="shared" ref="P524:Q524" si="534">IF(N524="",0,IF(N524&lt;=2,1,IF(N524&lt;=4,2,IF(N524&lt;=5.5,3,4))))</f>
        <v>1</v>
      </c>
      <c r="Q524" s="210">
        <f t="shared" si="534"/>
        <v>1</v>
      </c>
      <c r="R524" s="210" t="str">
        <f t="shared" si="5"/>
        <v>No Progress</v>
      </c>
      <c r="S524" s="210">
        <f t="shared" si="6"/>
        <v>1</v>
      </c>
      <c r="T524" s="210"/>
      <c r="U524" s="210"/>
      <c r="V524" s="210"/>
      <c r="W524" s="210"/>
      <c r="X524" s="210"/>
      <c r="Y524" s="210"/>
      <c r="Z524" s="210"/>
      <c r="AA524" s="210"/>
      <c r="AB524" s="210"/>
      <c r="AC524" s="210"/>
      <c r="AD524" s="210"/>
      <c r="AE524" s="210"/>
      <c r="AF524" s="210"/>
      <c r="AG524" s="210"/>
      <c r="AH524" s="210"/>
      <c r="AI524" s="210"/>
      <c r="AJ524" s="210"/>
      <c r="AK524" s="210"/>
      <c r="AL524" s="210"/>
      <c r="AM524" s="214"/>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c r="BU524" s="210"/>
      <c r="BV524" s="210"/>
      <c r="BW524" s="210"/>
      <c r="BX524" s="210"/>
      <c r="BY524" s="210"/>
      <c r="BZ524" s="210"/>
      <c r="CA524" s="210"/>
      <c r="CB524" s="210"/>
      <c r="CC524" s="210"/>
      <c r="CD524" s="210"/>
      <c r="CE524" s="210"/>
      <c r="CF524" s="210"/>
      <c r="CG524" s="210"/>
      <c r="CH524" s="210"/>
      <c r="CI524" s="210"/>
      <c r="CJ524" s="210"/>
      <c r="CK524" s="210"/>
    </row>
    <row r="525">
      <c r="A525" s="232" t="s">
        <v>359</v>
      </c>
      <c r="B525" s="233" t="s">
        <v>360</v>
      </c>
      <c r="C525" s="234" t="s">
        <v>95</v>
      </c>
      <c r="D525" s="234" t="s">
        <v>888</v>
      </c>
      <c r="E525" s="233" t="s">
        <v>25</v>
      </c>
      <c r="F525" s="235" t="s">
        <v>25</v>
      </c>
      <c r="G525" s="233"/>
      <c r="H525" s="219">
        <f>IFERROR(
  MINIFS(ATTENDANCE_LOG!$F:$F,
         ATTENDANCE_LOG!$A:$A, C525,
         ATTENDANCE_LOG!$B:$B, E525),
"")</f>
        <v>46086.58333</v>
      </c>
      <c r="I525" s="219">
        <f t="shared" si="2"/>
        <v>46086.58333</v>
      </c>
      <c r="J525" s="233">
        <f>IFERROR(VLOOKUP(F525, LEVEL_HELPER!$A:$B, 2, 0), "")</f>
        <v>0.5</v>
      </c>
      <c r="K525" s="233" t="str">
        <f>IFERROR(VLOOKUP(G525, LEVEL_HELPER!$A:$B, 2, 0), "")</f>
        <v/>
      </c>
      <c r="L525" s="237" t="s">
        <v>943</v>
      </c>
      <c r="M525" s="259" t="s">
        <v>922</v>
      </c>
      <c r="N525" s="190">
        <f t="array" ref="N525">IFERROR(
  INDEX($J$2:$J$543,
    MATCH(A525&amp;TEXT(I525,"yyyy-mm-dd"),
          $A$2:$A$543&amp;TEXT($H$2:$H$543,"yyyy-mm-dd"),
          0)),
"")</f>
        <v>0.5</v>
      </c>
      <c r="O525" s="238">
        <f t="shared" si="3"/>
        <v>0</v>
      </c>
      <c r="P525" s="210">
        <f t="shared" ref="P525:Q525" si="535">IF(N525="",0,IF(N525&lt;=2,1,IF(N525&lt;=4,2,IF(N525&lt;=5.5,3,4))))</f>
        <v>1</v>
      </c>
      <c r="Q525" s="210">
        <f t="shared" si="535"/>
        <v>1</v>
      </c>
      <c r="R525" s="210" t="str">
        <f t="shared" si="5"/>
        <v>No Progress</v>
      </c>
      <c r="S525" s="210">
        <f t="shared" si="6"/>
        <v>1</v>
      </c>
      <c r="T525" s="210"/>
      <c r="U525" s="210"/>
      <c r="V525" s="210"/>
      <c r="W525" s="210"/>
      <c r="X525" s="210"/>
      <c r="Y525" s="210"/>
      <c r="Z525" s="210"/>
      <c r="AA525" s="210"/>
      <c r="AB525" s="210"/>
      <c r="AC525" s="210"/>
      <c r="AD525" s="210"/>
      <c r="AE525" s="210"/>
      <c r="AF525" s="210"/>
      <c r="AG525" s="210"/>
      <c r="AH525" s="210"/>
      <c r="AI525" s="210"/>
      <c r="AJ525" s="210"/>
      <c r="AK525" s="210"/>
      <c r="AL525" s="210"/>
      <c r="AM525" s="214"/>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c r="BU525" s="210"/>
      <c r="BV525" s="210"/>
      <c r="BW525" s="210"/>
      <c r="BX525" s="210"/>
      <c r="BY525" s="210"/>
      <c r="BZ525" s="210"/>
      <c r="CA525" s="210"/>
      <c r="CB525" s="210"/>
      <c r="CC525" s="210"/>
      <c r="CD525" s="210"/>
      <c r="CE525" s="210"/>
      <c r="CF525" s="210"/>
      <c r="CG525" s="210"/>
      <c r="CH525" s="210"/>
      <c r="CI525" s="210"/>
      <c r="CJ525" s="210"/>
      <c r="CK525" s="210"/>
    </row>
    <row r="526">
      <c r="A526" s="232" t="s">
        <v>365</v>
      </c>
      <c r="B526" s="233" t="s">
        <v>366</v>
      </c>
      <c r="C526" s="234" t="s">
        <v>95</v>
      </c>
      <c r="D526" s="234" t="s">
        <v>888</v>
      </c>
      <c r="E526" s="233" t="s">
        <v>25</v>
      </c>
      <c r="F526" s="235" t="s">
        <v>25</v>
      </c>
      <c r="G526" s="233"/>
      <c r="H526" s="219">
        <f>IFERROR(
  MINIFS(ATTENDANCE_LOG!$F:$F,
         ATTENDANCE_LOG!$A:$A, C526,
         ATTENDANCE_LOG!$B:$B, E526),
"")</f>
        <v>46086.58333</v>
      </c>
      <c r="I526" s="219">
        <f t="shared" si="2"/>
        <v>46086.58333</v>
      </c>
      <c r="J526" s="233">
        <f>IFERROR(VLOOKUP(F526, LEVEL_HELPER!$A:$B, 2, 0), "")</f>
        <v>0.5</v>
      </c>
      <c r="K526" s="233" t="str">
        <f>IFERROR(VLOOKUP(G526, LEVEL_HELPER!$A:$B, 2, 0), "")</f>
        <v/>
      </c>
      <c r="L526" s="237" t="s">
        <v>943</v>
      </c>
      <c r="M526" s="259" t="s">
        <v>922</v>
      </c>
      <c r="N526" s="190">
        <f t="array" ref="N526">IFERROR(
  INDEX($J$2:$J$543,
    MATCH(A526&amp;TEXT(I526,"yyyy-mm-dd"),
          $A$2:$A$543&amp;TEXT($H$2:$H$543,"yyyy-mm-dd"),
          0)),
"")</f>
        <v>0.5</v>
      </c>
      <c r="O526" s="238">
        <f t="shared" si="3"/>
        <v>0</v>
      </c>
      <c r="P526" s="210">
        <f t="shared" ref="P526:Q526" si="536">IF(N526="",0,IF(N526&lt;=2,1,IF(N526&lt;=4,2,IF(N526&lt;=5.5,3,4))))</f>
        <v>1</v>
      </c>
      <c r="Q526" s="210">
        <f t="shared" si="536"/>
        <v>1</v>
      </c>
      <c r="R526" s="210" t="str">
        <f t="shared" si="5"/>
        <v>No Progress</v>
      </c>
      <c r="S526" s="210">
        <f t="shared" si="6"/>
        <v>1</v>
      </c>
      <c r="T526" s="210"/>
      <c r="U526" s="210"/>
      <c r="V526" s="210"/>
      <c r="W526" s="210"/>
      <c r="X526" s="210"/>
      <c r="Y526" s="210"/>
      <c r="Z526" s="210"/>
      <c r="AA526" s="210"/>
      <c r="AB526" s="210"/>
      <c r="AC526" s="210"/>
      <c r="AD526" s="210"/>
      <c r="AE526" s="210"/>
      <c r="AF526" s="210"/>
      <c r="AG526" s="210"/>
      <c r="AH526" s="210"/>
      <c r="AI526" s="210"/>
      <c r="AJ526" s="210"/>
      <c r="AK526" s="210"/>
      <c r="AL526" s="210"/>
      <c r="AM526" s="214"/>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c r="BU526" s="210"/>
      <c r="BV526" s="210"/>
      <c r="BW526" s="210"/>
      <c r="BX526" s="210"/>
      <c r="BY526" s="210"/>
      <c r="BZ526" s="210"/>
      <c r="CA526" s="210"/>
      <c r="CB526" s="210"/>
      <c r="CC526" s="210"/>
      <c r="CD526" s="210"/>
      <c r="CE526" s="210"/>
      <c r="CF526" s="210"/>
      <c r="CG526" s="210"/>
      <c r="CH526" s="210"/>
      <c r="CI526" s="210"/>
      <c r="CJ526" s="210"/>
      <c r="CK526" s="210"/>
    </row>
    <row r="527">
      <c r="A527" s="232" t="s">
        <v>393</v>
      </c>
      <c r="B527" s="233" t="s">
        <v>394</v>
      </c>
      <c r="C527" s="234" t="s">
        <v>95</v>
      </c>
      <c r="D527" s="234" t="s">
        <v>888</v>
      </c>
      <c r="E527" s="233" t="s">
        <v>25</v>
      </c>
      <c r="F527" s="235" t="s">
        <v>25</v>
      </c>
      <c r="G527" s="233"/>
      <c r="H527" s="219">
        <f>IFERROR(
  MINIFS(ATTENDANCE_LOG!$F:$F,
         ATTENDANCE_LOG!$A:$A, C527,
         ATTENDANCE_LOG!$B:$B, E527),
"")</f>
        <v>46086.58333</v>
      </c>
      <c r="I527" s="219">
        <f t="shared" si="2"/>
        <v>46086.58333</v>
      </c>
      <c r="J527" s="233">
        <f>IFERROR(VLOOKUP(F527, LEVEL_HELPER!$A:$B, 2, 0), "")</f>
        <v>0.5</v>
      </c>
      <c r="K527" s="233" t="str">
        <f>IFERROR(VLOOKUP(G527, LEVEL_HELPER!$A:$B, 2, 0), "")</f>
        <v/>
      </c>
      <c r="L527" s="237" t="s">
        <v>943</v>
      </c>
      <c r="M527" s="259" t="s">
        <v>922</v>
      </c>
      <c r="N527" s="190">
        <f t="array" ref="N527">IFERROR(
  INDEX($J$2:$J$543,
    MATCH(A527&amp;TEXT(I527,"yyyy-mm-dd"),
          $A$2:$A$543&amp;TEXT($H$2:$H$543,"yyyy-mm-dd"),
          0)),
"")</f>
        <v>0.5</v>
      </c>
      <c r="O527" s="238">
        <f t="shared" si="3"/>
        <v>0</v>
      </c>
      <c r="P527" s="210">
        <f t="shared" ref="P527:Q527" si="537">IF(N527="",0,IF(N527&lt;=2,1,IF(N527&lt;=4,2,IF(N527&lt;=5.5,3,4))))</f>
        <v>1</v>
      </c>
      <c r="Q527" s="210">
        <f t="shared" si="537"/>
        <v>1</v>
      </c>
      <c r="R527" s="210" t="str">
        <f t="shared" si="5"/>
        <v>No Progress</v>
      </c>
      <c r="S527" s="210">
        <f t="shared" si="6"/>
        <v>1</v>
      </c>
      <c r="T527" s="210"/>
      <c r="U527" s="210"/>
      <c r="V527" s="210"/>
      <c r="W527" s="210"/>
      <c r="X527" s="210"/>
      <c r="Y527" s="210"/>
      <c r="Z527" s="210"/>
      <c r="AA527" s="210"/>
      <c r="AB527" s="210"/>
      <c r="AC527" s="210"/>
      <c r="AD527" s="210"/>
      <c r="AE527" s="210"/>
      <c r="AF527" s="210"/>
      <c r="AG527" s="210"/>
      <c r="AH527" s="210"/>
      <c r="AI527" s="210"/>
      <c r="AJ527" s="210"/>
      <c r="AK527" s="210"/>
      <c r="AL527" s="210"/>
      <c r="AM527" s="214"/>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c r="BU527" s="210"/>
      <c r="BV527" s="210"/>
      <c r="BW527" s="210"/>
      <c r="BX527" s="210"/>
      <c r="BY527" s="210"/>
      <c r="BZ527" s="210"/>
      <c r="CA527" s="210"/>
      <c r="CB527" s="210"/>
      <c r="CC527" s="210"/>
      <c r="CD527" s="210"/>
      <c r="CE527" s="210"/>
      <c r="CF527" s="210"/>
      <c r="CG527" s="210"/>
      <c r="CH527" s="210"/>
      <c r="CI527" s="210"/>
      <c r="CJ527" s="210"/>
      <c r="CK527" s="210"/>
    </row>
    <row r="528">
      <c r="A528" s="232" t="s">
        <v>409</v>
      </c>
      <c r="B528" s="233" t="s">
        <v>410</v>
      </c>
      <c r="C528" s="234" t="s">
        <v>95</v>
      </c>
      <c r="D528" s="234" t="s">
        <v>888</v>
      </c>
      <c r="E528" s="233" t="s">
        <v>25</v>
      </c>
      <c r="F528" s="235" t="s">
        <v>25</v>
      </c>
      <c r="G528" s="233"/>
      <c r="H528" s="219">
        <f>IFERROR(
  MINIFS(ATTENDANCE_LOG!$F:$F,
         ATTENDANCE_LOG!$A:$A, C528,
         ATTENDANCE_LOG!$B:$B, E528),
"")</f>
        <v>46086.58333</v>
      </c>
      <c r="I528" s="219">
        <f t="shared" si="2"/>
        <v>46086.58333</v>
      </c>
      <c r="J528" s="233">
        <f>IFERROR(VLOOKUP(F528, LEVEL_HELPER!$A:$B, 2, 0), "")</f>
        <v>0.5</v>
      </c>
      <c r="K528" s="233" t="str">
        <f>IFERROR(VLOOKUP(G528, LEVEL_HELPER!$A:$B, 2, 0), "")</f>
        <v/>
      </c>
      <c r="L528" s="237" t="s">
        <v>919</v>
      </c>
      <c r="M528" s="259" t="s">
        <v>922</v>
      </c>
      <c r="N528" s="190">
        <f t="array" ref="N528">IFERROR(
  INDEX($J$2:$J$543,
    MATCH(A528&amp;TEXT(I528,"yyyy-mm-dd"),
          $A$2:$A$543&amp;TEXT($H$2:$H$543,"yyyy-mm-dd"),
          0)),
"")</f>
        <v>0.5</v>
      </c>
      <c r="O528" s="238">
        <f t="shared" si="3"/>
        <v>0</v>
      </c>
      <c r="P528" s="210">
        <f t="shared" ref="P528:Q528" si="538">IF(N528="",0,IF(N528&lt;=2,1,IF(N528&lt;=4,2,IF(N528&lt;=5.5,3,4))))</f>
        <v>1</v>
      </c>
      <c r="Q528" s="210">
        <f t="shared" si="538"/>
        <v>1</v>
      </c>
      <c r="R528" s="210" t="str">
        <f t="shared" si="5"/>
        <v>No Progress</v>
      </c>
      <c r="S528" s="210">
        <f t="shared" si="6"/>
        <v>1</v>
      </c>
      <c r="T528" s="210"/>
      <c r="U528" s="210"/>
      <c r="V528" s="210"/>
      <c r="W528" s="210"/>
      <c r="X528" s="210"/>
      <c r="Y528" s="210"/>
      <c r="Z528" s="210"/>
      <c r="AA528" s="210"/>
      <c r="AB528" s="210"/>
      <c r="AC528" s="210"/>
      <c r="AD528" s="210"/>
      <c r="AE528" s="210"/>
      <c r="AF528" s="210"/>
      <c r="AG528" s="210"/>
      <c r="AH528" s="210"/>
      <c r="AI528" s="210"/>
      <c r="AJ528" s="210"/>
      <c r="AK528" s="210"/>
      <c r="AL528" s="210"/>
      <c r="AM528" s="214"/>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c r="BU528" s="210"/>
      <c r="BV528" s="210"/>
      <c r="BW528" s="210"/>
      <c r="BX528" s="210"/>
      <c r="BY528" s="210"/>
      <c r="BZ528" s="210"/>
      <c r="CA528" s="210"/>
      <c r="CB528" s="210"/>
      <c r="CC528" s="210"/>
      <c r="CD528" s="210"/>
      <c r="CE528" s="210"/>
      <c r="CF528" s="210"/>
      <c r="CG528" s="210"/>
      <c r="CH528" s="210"/>
      <c r="CI528" s="210"/>
      <c r="CJ528" s="210"/>
      <c r="CK528" s="210"/>
    </row>
    <row r="529">
      <c r="A529" s="232" t="s">
        <v>478</v>
      </c>
      <c r="B529" s="233" t="s">
        <v>479</v>
      </c>
      <c r="C529" s="234" t="s">
        <v>95</v>
      </c>
      <c r="D529" s="234" t="s">
        <v>888</v>
      </c>
      <c r="E529" s="233" t="s">
        <v>25</v>
      </c>
      <c r="F529" s="235" t="s">
        <v>25</v>
      </c>
      <c r="G529" s="235"/>
      <c r="H529" s="219">
        <f>IFERROR(
  MINIFS(ATTENDANCE_LOG!$F:$F,
         ATTENDANCE_LOG!$A:$A, C529,
         ATTENDANCE_LOG!$B:$B, E529),
"")</f>
        <v>46086.58333</v>
      </c>
      <c r="I529" s="219">
        <f t="shared" si="2"/>
        <v>46086.58333</v>
      </c>
      <c r="J529" s="233">
        <f>IFERROR(VLOOKUP(F529, LEVEL_HELPER!$A:$B, 2, 0), "")</f>
        <v>0.5</v>
      </c>
      <c r="K529" s="233" t="str">
        <f>IFERROR(VLOOKUP(G529, LEVEL_HELPER!$A:$B, 2, 0), "")</f>
        <v/>
      </c>
      <c r="L529" s="237" t="s">
        <v>945</v>
      </c>
      <c r="M529" s="259" t="s">
        <v>922</v>
      </c>
      <c r="N529" s="190">
        <f t="array" ref="N529">IFERROR(
  INDEX($J$2:$J$543,
    MATCH(A529&amp;TEXT(I529,"yyyy-mm-dd"),
          $A$2:$A$543&amp;TEXT($H$2:$H$543,"yyyy-mm-dd"),
          0)),
"")</f>
        <v>0.5</v>
      </c>
      <c r="O529" s="238">
        <f t="shared" si="3"/>
        <v>0</v>
      </c>
      <c r="P529" s="210">
        <f t="shared" ref="P529:Q529" si="539">IF(N529="",0,IF(N529&lt;=2,1,IF(N529&lt;=4,2,IF(N529&lt;=5.5,3,4))))</f>
        <v>1</v>
      </c>
      <c r="Q529" s="210">
        <f t="shared" si="539"/>
        <v>1</v>
      </c>
      <c r="R529" s="210" t="str">
        <f t="shared" si="5"/>
        <v>No Progress</v>
      </c>
      <c r="S529" s="210">
        <f t="shared" si="6"/>
        <v>0</v>
      </c>
      <c r="T529" s="210"/>
      <c r="U529" s="210"/>
      <c r="V529" s="210"/>
      <c r="W529" s="210"/>
      <c r="X529" s="210"/>
      <c r="Y529" s="210"/>
      <c r="Z529" s="210"/>
      <c r="AA529" s="210"/>
      <c r="AB529" s="210"/>
      <c r="AC529" s="210"/>
      <c r="AD529" s="210"/>
      <c r="AE529" s="210"/>
      <c r="AF529" s="210"/>
      <c r="AG529" s="210"/>
      <c r="AH529" s="210"/>
      <c r="AI529" s="210"/>
      <c r="AJ529" s="210"/>
      <c r="AK529" s="210"/>
      <c r="AL529" s="210"/>
      <c r="AM529" s="214"/>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c r="BU529" s="210"/>
      <c r="BV529" s="210"/>
      <c r="BW529" s="210"/>
      <c r="BX529" s="210"/>
      <c r="BY529" s="210"/>
      <c r="BZ529" s="210"/>
      <c r="CA529" s="210"/>
      <c r="CB529" s="210"/>
      <c r="CC529" s="210"/>
      <c r="CD529" s="210"/>
      <c r="CE529" s="210"/>
      <c r="CF529" s="210"/>
      <c r="CG529" s="210"/>
      <c r="CH529" s="210"/>
      <c r="CI529" s="210"/>
      <c r="CJ529" s="210"/>
      <c r="CK529" s="210"/>
    </row>
    <row r="530">
      <c r="A530" s="232" t="s">
        <v>585</v>
      </c>
      <c r="B530" s="233" t="s">
        <v>586</v>
      </c>
      <c r="C530" s="234" t="s">
        <v>95</v>
      </c>
      <c r="D530" s="234" t="s">
        <v>888</v>
      </c>
      <c r="E530" s="233" t="s">
        <v>25</v>
      </c>
      <c r="F530" s="235" t="s">
        <v>25</v>
      </c>
      <c r="G530" s="233"/>
      <c r="H530" s="219">
        <f>IFERROR(
  MINIFS(ATTENDANCE_LOG!$F:$F,
         ATTENDANCE_LOG!$A:$A, C530,
         ATTENDANCE_LOG!$B:$B, E530),
"")</f>
        <v>46086.58333</v>
      </c>
      <c r="I530" s="219">
        <f t="shared" si="2"/>
        <v>46086.58333</v>
      </c>
      <c r="J530" s="233">
        <f>IFERROR(VLOOKUP(F530, LEVEL_HELPER!$A:$B, 2, 0), "")</f>
        <v>0.5</v>
      </c>
      <c r="K530" s="233" t="str">
        <f>IFERROR(VLOOKUP(G530, LEVEL_HELPER!$A:$B, 2, 0), "")</f>
        <v/>
      </c>
      <c r="L530" s="237" t="s">
        <v>943</v>
      </c>
      <c r="M530" s="259" t="s">
        <v>922</v>
      </c>
      <c r="N530" s="190">
        <f t="array" ref="N530">IFERROR(
  INDEX($J$2:$J$543,
    MATCH(A530&amp;TEXT(I530,"yyyy-mm-dd"),
          $A$2:$A$543&amp;TEXT($H$2:$H$543,"yyyy-mm-dd"),
          0)),
"")</f>
        <v>0.5</v>
      </c>
      <c r="O530" s="238">
        <f t="shared" si="3"/>
        <v>0</v>
      </c>
      <c r="P530" s="210">
        <f t="shared" ref="P530:Q530" si="540">IF(N530="",0,IF(N530&lt;=2,1,IF(N530&lt;=4,2,IF(N530&lt;=5.5,3,4))))</f>
        <v>1</v>
      </c>
      <c r="Q530" s="210">
        <f t="shared" si="540"/>
        <v>1</v>
      </c>
      <c r="R530" s="210" t="str">
        <f t="shared" si="5"/>
        <v>No Progress</v>
      </c>
      <c r="S530" s="210">
        <f t="shared" si="6"/>
        <v>1</v>
      </c>
      <c r="T530" s="210"/>
      <c r="U530" s="210"/>
      <c r="V530" s="210"/>
      <c r="W530" s="210"/>
      <c r="X530" s="210"/>
      <c r="Y530" s="210"/>
      <c r="Z530" s="210"/>
      <c r="AA530" s="210"/>
      <c r="AB530" s="210"/>
      <c r="AC530" s="210"/>
      <c r="AD530" s="210"/>
      <c r="AE530" s="210"/>
      <c r="AF530" s="210"/>
      <c r="AG530" s="210"/>
      <c r="AH530" s="210"/>
      <c r="AI530" s="210"/>
      <c r="AJ530" s="210"/>
      <c r="AK530" s="210"/>
      <c r="AL530" s="210"/>
      <c r="AM530" s="214"/>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c r="BU530" s="210"/>
      <c r="BV530" s="210"/>
      <c r="BW530" s="210"/>
      <c r="BX530" s="210"/>
      <c r="BY530" s="210"/>
      <c r="BZ530" s="210"/>
      <c r="CA530" s="210"/>
      <c r="CB530" s="210"/>
      <c r="CC530" s="210"/>
      <c r="CD530" s="210"/>
      <c r="CE530" s="210"/>
      <c r="CF530" s="210"/>
      <c r="CG530" s="210"/>
      <c r="CH530" s="210"/>
      <c r="CI530" s="210"/>
      <c r="CJ530" s="210"/>
      <c r="CK530" s="210"/>
    </row>
    <row r="531">
      <c r="A531" s="249" t="s">
        <v>370</v>
      </c>
      <c r="B531" s="250" t="s">
        <v>371</v>
      </c>
      <c r="C531" s="251" t="s">
        <v>96</v>
      </c>
      <c r="D531" s="251" t="s">
        <v>889</v>
      </c>
      <c r="E531" s="250" t="s">
        <v>21</v>
      </c>
      <c r="F531" s="252" t="s">
        <v>25</v>
      </c>
      <c r="G531" s="250"/>
      <c r="H531" s="219">
        <f>IFERROR(
  MINIFS(ATTENDANCE_LOG!$F:$F,
         ATTENDANCE_LOG!$A:$A, C531,
         ATTENDANCE_LOG!$B:$B, E531),
"")</f>
        <v>46120.45833</v>
      </c>
      <c r="I531" s="219">
        <f t="shared" si="2"/>
        <v>45635.4375</v>
      </c>
      <c r="J531" s="250">
        <f>IFERROR(VLOOKUP(F531, LEVEL_HELPER!$A:$B, 2, 0), "")</f>
        <v>0.5</v>
      </c>
      <c r="K531" s="233" t="str">
        <f>IFERROR(VLOOKUP(G531, LEVEL_HELPER!$A:$B, 2, 0), "")</f>
        <v/>
      </c>
      <c r="L531" s="253" t="s">
        <v>919</v>
      </c>
      <c r="M531" s="253" t="s">
        <v>925</v>
      </c>
      <c r="N531" s="190">
        <f t="array" ref="N531">IFERROR(
  INDEX($J$2:$J$543,
    MATCH(A531&amp;TEXT(I531,"yyyy-mm-dd"),
          $A$2:$A$543&amp;TEXT($H$2:$H$543,"yyyy-mm-dd"),
          0)),
"")</f>
        <v>1</v>
      </c>
      <c r="O531" s="254">
        <f t="shared" si="3"/>
        <v>1</v>
      </c>
      <c r="P531" s="210">
        <f t="shared" ref="P531:Q531" si="541">IF(N531="",0,IF(N531&lt;=2,1,IF(N531&lt;=4,2,IF(N531&lt;=5.5,3,4))))</f>
        <v>1</v>
      </c>
      <c r="Q531" s="210">
        <f t="shared" si="541"/>
        <v>1</v>
      </c>
      <c r="R531" s="210" t="str">
        <f t="shared" si="5"/>
        <v>No Progress</v>
      </c>
      <c r="S531" s="210">
        <f t="shared" si="6"/>
        <v>0</v>
      </c>
      <c r="T531" s="210"/>
      <c r="U531" s="210"/>
      <c r="V531" s="210"/>
      <c r="W531" s="210"/>
      <c r="X531" s="210"/>
      <c r="Y531" s="210"/>
      <c r="Z531" s="210"/>
      <c r="AA531" s="210"/>
      <c r="AB531" s="210"/>
      <c r="AC531" s="210"/>
      <c r="AD531" s="210"/>
      <c r="AE531" s="210"/>
      <c r="AF531" s="210"/>
      <c r="AG531" s="210"/>
      <c r="AH531" s="210"/>
      <c r="AI531" s="210"/>
      <c r="AJ531" s="210"/>
      <c r="AK531" s="210"/>
      <c r="AL531" s="210"/>
      <c r="AM531" s="214"/>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c r="BU531" s="210"/>
      <c r="BV531" s="210"/>
      <c r="BW531" s="210"/>
      <c r="BX531" s="210"/>
      <c r="BY531" s="210"/>
      <c r="BZ531" s="210"/>
      <c r="CA531" s="210"/>
      <c r="CB531" s="210"/>
      <c r="CC531" s="210"/>
      <c r="CD531" s="210"/>
      <c r="CE531" s="210"/>
      <c r="CF531" s="210"/>
      <c r="CG531" s="210"/>
      <c r="CH531" s="210"/>
      <c r="CI531" s="210"/>
      <c r="CJ531" s="210"/>
      <c r="CK531" s="210"/>
    </row>
    <row r="532">
      <c r="A532" s="232" t="s">
        <v>138</v>
      </c>
      <c r="B532" s="233" t="s">
        <v>139</v>
      </c>
      <c r="C532" s="234" t="s">
        <v>96</v>
      </c>
      <c r="D532" s="234" t="s">
        <v>889</v>
      </c>
      <c r="E532" s="233" t="s">
        <v>21</v>
      </c>
      <c r="F532" s="235" t="s">
        <v>929</v>
      </c>
      <c r="G532" s="233"/>
      <c r="H532" s="219">
        <f>IFERROR(
  MINIFS(ATTENDANCE_LOG!$F:$F,
         ATTENDANCE_LOG!$A:$A, C532,
         ATTENDANCE_LOG!$B:$B, E532),
"")</f>
        <v>46120.45833</v>
      </c>
      <c r="I532" s="219">
        <f t="shared" si="2"/>
        <v>46120.45833</v>
      </c>
      <c r="J532" s="233">
        <f>IFERROR(VLOOKUP(F532, LEVEL_HELPER!$A:$B, 2, 0), "")</f>
        <v>1.5</v>
      </c>
      <c r="K532" s="233" t="str">
        <f>IFERROR(VLOOKUP(G532, LEVEL_HELPER!$A:$B, 2, 0), "")</f>
        <v/>
      </c>
      <c r="L532" s="237" t="s">
        <v>919</v>
      </c>
      <c r="M532" s="237" t="s">
        <v>925</v>
      </c>
      <c r="N532" s="190">
        <f t="array" ref="N532">IFERROR(
  INDEX($J$2:$J$543,
    MATCH(A532&amp;TEXT(I532,"yyyy-mm-dd"),
          $A$2:$A$543&amp;TEXT($H$2:$H$543,"yyyy-mm-dd"),
          0)),
"")</f>
        <v>1.5</v>
      </c>
      <c r="O532" s="238">
        <f t="shared" si="3"/>
        <v>0</v>
      </c>
      <c r="P532" s="210">
        <f t="shared" ref="P532:Q532" si="542">IF(N532="",0,IF(N532&lt;=2,1,IF(N532&lt;=4,2,IF(N532&lt;=5.5,3,4))))</f>
        <v>1</v>
      </c>
      <c r="Q532" s="210">
        <f t="shared" si="542"/>
        <v>1</v>
      </c>
      <c r="R532" s="210" t="str">
        <f t="shared" si="5"/>
        <v>No Progress</v>
      </c>
      <c r="S532" s="210">
        <f t="shared" si="6"/>
        <v>1</v>
      </c>
      <c r="T532" s="210"/>
      <c r="U532" s="210"/>
      <c r="V532" s="210"/>
      <c r="W532" s="210"/>
      <c r="X532" s="210"/>
      <c r="Y532" s="210"/>
      <c r="Z532" s="210"/>
      <c r="AA532" s="210"/>
      <c r="AB532" s="210"/>
      <c r="AC532" s="210"/>
      <c r="AD532" s="210"/>
      <c r="AE532" s="210"/>
      <c r="AF532" s="210"/>
      <c r="AG532" s="210"/>
      <c r="AH532" s="210"/>
      <c r="AI532" s="210"/>
      <c r="AJ532" s="210"/>
      <c r="AK532" s="210"/>
      <c r="AL532" s="210"/>
      <c r="AM532" s="214"/>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c r="BU532" s="210"/>
      <c r="BV532" s="210"/>
      <c r="BW532" s="210"/>
      <c r="BX532" s="210"/>
      <c r="BY532" s="210"/>
      <c r="BZ532" s="210"/>
      <c r="CA532" s="210"/>
      <c r="CB532" s="210"/>
      <c r="CC532" s="210"/>
      <c r="CD532" s="210"/>
      <c r="CE532" s="210"/>
      <c r="CF532" s="210"/>
      <c r="CG532" s="210"/>
      <c r="CH532" s="210"/>
      <c r="CI532" s="210"/>
      <c r="CJ532" s="210"/>
      <c r="CK532" s="210"/>
    </row>
    <row r="533">
      <c r="A533" s="232" t="s">
        <v>267</v>
      </c>
      <c r="B533" s="233" t="s">
        <v>268</v>
      </c>
      <c r="C533" s="234" t="s">
        <v>96</v>
      </c>
      <c r="D533" s="234" t="s">
        <v>889</v>
      </c>
      <c r="E533" s="233" t="s">
        <v>21</v>
      </c>
      <c r="F533" s="235" t="s">
        <v>25</v>
      </c>
      <c r="G533" s="233"/>
      <c r="H533" s="219">
        <f>IFERROR(
  MINIFS(ATTENDANCE_LOG!$F:$F,
         ATTENDANCE_LOG!$A:$A, C533,
         ATTENDANCE_LOG!$B:$B, E533),
"")</f>
        <v>46120.45833</v>
      </c>
      <c r="I533" s="219">
        <f t="shared" si="2"/>
        <v>45637.375</v>
      </c>
      <c r="J533" s="233">
        <f>IFERROR(VLOOKUP(F533, LEVEL_HELPER!$A:$B, 2, 0), "")</f>
        <v>0.5</v>
      </c>
      <c r="K533" s="233" t="str">
        <f>IFERROR(VLOOKUP(G533, LEVEL_HELPER!$A:$B, 2, 0), "")</f>
        <v/>
      </c>
      <c r="L533" s="237" t="s">
        <v>919</v>
      </c>
      <c r="M533" s="237" t="s">
        <v>925</v>
      </c>
      <c r="N533" s="190">
        <f t="array" ref="N533">IFERROR(
  INDEX($J$2:$J$543,
    MATCH(A533&amp;TEXT(I533,"yyyy-mm-dd"),
          $A$2:$A$543&amp;TEXT($H$2:$H$543,"yyyy-mm-dd"),
          0)),
"")</f>
        <v>1</v>
      </c>
      <c r="O533" s="238">
        <f t="shared" si="3"/>
        <v>2.5</v>
      </c>
      <c r="P533" s="210">
        <f t="shared" ref="P533:Q533" si="543">IF(N533="",0,IF(N533&lt;=2,1,IF(N533&lt;=4,2,IF(N533&lt;=5.5,3,4))))</f>
        <v>1</v>
      </c>
      <c r="Q533" s="210">
        <f t="shared" si="543"/>
        <v>2</v>
      </c>
      <c r="R533" s="210" t="str">
        <f t="shared" si="5"/>
        <v>Lv1 → Lv2</v>
      </c>
      <c r="S533" s="210">
        <f t="shared" si="6"/>
        <v>0</v>
      </c>
      <c r="T533" s="210"/>
      <c r="U533" s="210"/>
      <c r="V533" s="210"/>
      <c r="W533" s="210"/>
      <c r="X533" s="210"/>
      <c r="Y533" s="210"/>
      <c r="Z533" s="210"/>
      <c r="AA533" s="210"/>
      <c r="AB533" s="210"/>
      <c r="AC533" s="210"/>
      <c r="AD533" s="210"/>
      <c r="AE533" s="210"/>
      <c r="AF533" s="210"/>
      <c r="AG533" s="210"/>
      <c r="AH533" s="210"/>
      <c r="AI533" s="210"/>
      <c r="AJ533" s="210"/>
      <c r="AK533" s="210"/>
      <c r="AL533" s="210"/>
      <c r="AM533" s="214"/>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c r="BU533" s="210"/>
      <c r="BV533" s="210"/>
      <c r="BW533" s="210"/>
      <c r="BX533" s="210"/>
      <c r="BY533" s="210"/>
      <c r="BZ533" s="210"/>
      <c r="CA533" s="210"/>
      <c r="CB533" s="210"/>
      <c r="CC533" s="210"/>
      <c r="CD533" s="210"/>
      <c r="CE533" s="210"/>
      <c r="CF533" s="210"/>
      <c r="CG533" s="210"/>
      <c r="CH533" s="210"/>
      <c r="CI533" s="210"/>
      <c r="CJ533" s="210"/>
      <c r="CK533" s="210"/>
    </row>
    <row r="534">
      <c r="A534" s="232" t="s">
        <v>286</v>
      </c>
      <c r="B534" s="233" t="s">
        <v>287</v>
      </c>
      <c r="C534" s="234" t="s">
        <v>96</v>
      </c>
      <c r="D534" s="234" t="s">
        <v>889</v>
      </c>
      <c r="E534" s="233" t="s">
        <v>21</v>
      </c>
      <c r="F534" s="235" t="s">
        <v>25</v>
      </c>
      <c r="G534" s="233"/>
      <c r="H534" s="219">
        <f>IFERROR(
  MINIFS(ATTENDANCE_LOG!$F:$F,
         ATTENDANCE_LOG!$A:$A, C534,
         ATTENDANCE_LOG!$B:$B, E534),
"")</f>
        <v>46120.45833</v>
      </c>
      <c r="I534" s="219">
        <f t="shared" si="2"/>
        <v>46120.45833</v>
      </c>
      <c r="J534" s="233">
        <f>IFERROR(VLOOKUP(F534, LEVEL_HELPER!$A:$B, 2, 0), "")</f>
        <v>0.5</v>
      </c>
      <c r="K534" s="233" t="str">
        <f>IFERROR(VLOOKUP(G534, LEVEL_HELPER!$A:$B, 2, 0), "")</f>
        <v/>
      </c>
      <c r="L534" s="237" t="s">
        <v>919</v>
      </c>
      <c r="M534" s="237" t="s">
        <v>925</v>
      </c>
      <c r="N534" s="190">
        <f t="array" ref="N534">IFERROR(
  INDEX($J$2:$J$543,
    MATCH(A534&amp;TEXT(I534,"yyyy-mm-dd"),
          $A$2:$A$543&amp;TEXT($H$2:$H$543,"yyyy-mm-dd"),
          0)),
"")</f>
        <v>0.5</v>
      </c>
      <c r="O534" s="238">
        <f t="shared" si="3"/>
        <v>0</v>
      </c>
      <c r="P534" s="210">
        <f t="shared" ref="P534:Q534" si="544">IF(N534="",0,IF(N534&lt;=2,1,IF(N534&lt;=4,2,IF(N534&lt;=5.5,3,4))))</f>
        <v>1</v>
      </c>
      <c r="Q534" s="210">
        <f t="shared" si="544"/>
        <v>1</v>
      </c>
      <c r="R534" s="210" t="str">
        <f t="shared" si="5"/>
        <v>No Progress</v>
      </c>
      <c r="S534" s="210">
        <f t="shared" si="6"/>
        <v>1</v>
      </c>
      <c r="T534" s="210"/>
      <c r="U534" s="210"/>
      <c r="V534" s="210"/>
      <c r="W534" s="210"/>
      <c r="X534" s="210"/>
      <c r="Y534" s="210"/>
      <c r="Z534" s="210"/>
      <c r="AA534" s="210"/>
      <c r="AB534" s="210"/>
      <c r="AC534" s="210"/>
      <c r="AD534" s="210"/>
      <c r="AE534" s="210"/>
      <c r="AF534" s="210"/>
      <c r="AG534" s="210"/>
      <c r="AH534" s="210"/>
      <c r="AI534" s="210"/>
      <c r="AJ534" s="210"/>
      <c r="AK534" s="210"/>
      <c r="AL534" s="210"/>
      <c r="AM534" s="214"/>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c r="BU534" s="210"/>
      <c r="BV534" s="210"/>
      <c r="BW534" s="210"/>
      <c r="BX534" s="210"/>
      <c r="BY534" s="210"/>
      <c r="BZ534" s="210"/>
      <c r="CA534" s="210"/>
      <c r="CB534" s="210"/>
      <c r="CC534" s="210"/>
      <c r="CD534" s="210"/>
      <c r="CE534" s="210"/>
      <c r="CF534" s="210"/>
      <c r="CG534" s="210"/>
      <c r="CH534" s="210"/>
      <c r="CI534" s="210"/>
      <c r="CJ534" s="210"/>
      <c r="CK534" s="210"/>
    </row>
    <row r="535">
      <c r="A535" s="232" t="s">
        <v>413</v>
      </c>
      <c r="B535" s="233" t="s">
        <v>414</v>
      </c>
      <c r="C535" s="234" t="s">
        <v>96</v>
      </c>
      <c r="D535" s="234" t="s">
        <v>889</v>
      </c>
      <c r="E535" s="233" t="s">
        <v>21</v>
      </c>
      <c r="F535" s="235" t="s">
        <v>25</v>
      </c>
      <c r="G535" s="233"/>
      <c r="H535" s="219">
        <f>IFERROR(
  MINIFS(ATTENDANCE_LOG!$F:$F,
         ATTENDANCE_LOG!$A:$A, C535,
         ATTENDANCE_LOG!$B:$B, E535),
"")</f>
        <v>46120.45833</v>
      </c>
      <c r="I535" s="219">
        <f t="shared" si="2"/>
        <v>45637.375</v>
      </c>
      <c r="J535" s="233">
        <f>IFERROR(VLOOKUP(F535, LEVEL_HELPER!$A:$B, 2, 0), "")</f>
        <v>0.5</v>
      </c>
      <c r="K535" s="233" t="str">
        <f>IFERROR(VLOOKUP(G535, LEVEL_HELPER!$A:$B, 2, 0), "")</f>
        <v/>
      </c>
      <c r="L535" s="237" t="s">
        <v>919</v>
      </c>
      <c r="M535" s="237" t="s">
        <v>925</v>
      </c>
      <c r="N535" s="190">
        <f t="array" ref="N535">IFERROR(
  INDEX($J$2:$J$543,
    MATCH(A535&amp;TEXT(I535,"yyyy-mm-dd"),
          $A$2:$A$543&amp;TEXT($H$2:$H$543,"yyyy-mm-dd"),
          0)),
"")</f>
        <v>1</v>
      </c>
      <c r="O535" s="238">
        <f t="shared" si="3"/>
        <v>2.5</v>
      </c>
      <c r="P535" s="210">
        <f t="shared" ref="P535:Q535" si="545">IF(N535="",0,IF(N535&lt;=2,1,IF(N535&lt;=4,2,IF(N535&lt;=5.5,3,4))))</f>
        <v>1</v>
      </c>
      <c r="Q535" s="210">
        <f t="shared" si="545"/>
        <v>2</v>
      </c>
      <c r="R535" s="210" t="str">
        <f t="shared" si="5"/>
        <v>Lv1 → Lv2</v>
      </c>
      <c r="S535" s="210">
        <f t="shared" si="6"/>
        <v>0</v>
      </c>
      <c r="T535" s="210"/>
      <c r="U535" s="210"/>
      <c r="V535" s="210"/>
      <c r="W535" s="210"/>
      <c r="X535" s="210"/>
      <c r="Y535" s="210"/>
      <c r="Z535" s="210"/>
      <c r="AA535" s="210"/>
      <c r="AB535" s="210"/>
      <c r="AC535" s="210"/>
      <c r="AD535" s="210"/>
      <c r="AE535" s="210"/>
      <c r="AF535" s="210"/>
      <c r="AG535" s="210"/>
      <c r="AH535" s="210"/>
      <c r="AI535" s="210"/>
      <c r="AJ535" s="210"/>
      <c r="AK535" s="210"/>
      <c r="AL535" s="210"/>
      <c r="AM535" s="214"/>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c r="BU535" s="210"/>
      <c r="BV535" s="210"/>
      <c r="BW535" s="210"/>
      <c r="BX535" s="210"/>
      <c r="BY535" s="210"/>
      <c r="BZ535" s="210"/>
      <c r="CA535" s="210"/>
      <c r="CB535" s="210"/>
      <c r="CC535" s="210"/>
      <c r="CD535" s="210"/>
      <c r="CE535" s="210"/>
      <c r="CF535" s="210"/>
      <c r="CG535" s="210"/>
      <c r="CH535" s="210"/>
      <c r="CI535" s="210"/>
      <c r="CJ535" s="210"/>
      <c r="CK535" s="210"/>
    </row>
    <row r="536">
      <c r="A536" s="232" t="s">
        <v>653</v>
      </c>
      <c r="B536" s="233" t="s">
        <v>654</v>
      </c>
      <c r="C536" s="234" t="s">
        <v>96</v>
      </c>
      <c r="D536" s="234" t="s">
        <v>889</v>
      </c>
      <c r="E536" s="233" t="s">
        <v>21</v>
      </c>
      <c r="F536" s="235" t="s">
        <v>25</v>
      </c>
      <c r="G536" s="233"/>
      <c r="H536" s="219">
        <f>IFERROR(
  MINIFS(ATTENDANCE_LOG!$F:$F,
         ATTENDANCE_LOG!$A:$A, C536,
         ATTENDANCE_LOG!$B:$B, E536),
"")</f>
        <v>46120.45833</v>
      </c>
      <c r="I536" s="219">
        <f t="shared" si="2"/>
        <v>46120.45833</v>
      </c>
      <c r="J536" s="233">
        <f>IFERROR(VLOOKUP(F536, LEVEL_HELPER!$A:$B, 2, 0), "")</f>
        <v>0.5</v>
      </c>
      <c r="K536" s="233" t="str">
        <f>IFERROR(VLOOKUP(G536, LEVEL_HELPER!$A:$B, 2, 0), "")</f>
        <v/>
      </c>
      <c r="L536" s="237" t="s">
        <v>919</v>
      </c>
      <c r="M536" s="237" t="s">
        <v>925</v>
      </c>
      <c r="N536" s="190">
        <f t="array" ref="N536">IFERROR(
  INDEX($J$2:$J$543,
    MATCH(A536&amp;TEXT(I536,"yyyy-mm-dd"),
          $A$2:$A$543&amp;TEXT($H$2:$H$543,"yyyy-mm-dd"),
          0)),
"")</f>
        <v>0.5</v>
      </c>
      <c r="O536" s="238">
        <f t="shared" si="3"/>
        <v>0</v>
      </c>
      <c r="P536" s="210">
        <f t="shared" ref="P536:Q536" si="546">IF(N536="",0,IF(N536&lt;=2,1,IF(N536&lt;=4,2,IF(N536&lt;=5.5,3,4))))</f>
        <v>1</v>
      </c>
      <c r="Q536" s="210">
        <f t="shared" si="546"/>
        <v>1</v>
      </c>
      <c r="R536" s="210" t="str">
        <f t="shared" si="5"/>
        <v>No Progress</v>
      </c>
      <c r="S536" s="210">
        <f t="shared" si="6"/>
        <v>1</v>
      </c>
      <c r="T536" s="210"/>
      <c r="U536" s="210"/>
      <c r="V536" s="210"/>
      <c r="W536" s="210"/>
      <c r="X536" s="210"/>
      <c r="Y536" s="210"/>
      <c r="Z536" s="210"/>
      <c r="AA536" s="210"/>
      <c r="AB536" s="210"/>
      <c r="AC536" s="210"/>
      <c r="AD536" s="210"/>
      <c r="AE536" s="210"/>
      <c r="AF536" s="210"/>
      <c r="AG536" s="210"/>
      <c r="AH536" s="210"/>
      <c r="AI536" s="210"/>
      <c r="AJ536" s="210"/>
      <c r="AK536" s="210"/>
      <c r="AL536" s="210"/>
      <c r="AM536" s="214"/>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c r="BU536" s="210"/>
      <c r="BV536" s="210"/>
      <c r="BW536" s="210"/>
      <c r="BX536" s="210"/>
      <c r="BY536" s="210"/>
      <c r="BZ536" s="210"/>
      <c r="CA536" s="210"/>
      <c r="CB536" s="210"/>
      <c r="CC536" s="210"/>
      <c r="CD536" s="210"/>
      <c r="CE536" s="210"/>
      <c r="CF536" s="210"/>
      <c r="CG536" s="210"/>
      <c r="CH536" s="210"/>
      <c r="CI536" s="210"/>
      <c r="CJ536" s="210"/>
      <c r="CK536" s="210"/>
    </row>
    <row r="537">
      <c r="A537" s="232" t="s">
        <v>673</v>
      </c>
      <c r="B537" s="233" t="s">
        <v>674</v>
      </c>
      <c r="C537" s="234" t="s">
        <v>96</v>
      </c>
      <c r="D537" s="234" t="s">
        <v>889</v>
      </c>
      <c r="E537" s="233" t="s">
        <v>21</v>
      </c>
      <c r="F537" s="235" t="s">
        <v>25</v>
      </c>
      <c r="G537" s="233"/>
      <c r="H537" s="219">
        <f>IFERROR(
  MINIFS(ATTENDANCE_LOG!$F:$F,
         ATTENDANCE_LOG!$A:$A, C537,
         ATTENDANCE_LOG!$B:$B, E537),
"")</f>
        <v>46120.45833</v>
      </c>
      <c r="I537" s="219">
        <f t="shared" si="2"/>
        <v>46120.45833</v>
      </c>
      <c r="J537" s="233">
        <f>IFERROR(VLOOKUP(F537, LEVEL_HELPER!$A:$B, 2, 0), "")</f>
        <v>0.5</v>
      </c>
      <c r="K537" s="233" t="str">
        <f>IFERROR(VLOOKUP(G537, LEVEL_HELPER!$A:$B, 2, 0), "")</f>
        <v/>
      </c>
      <c r="L537" s="237" t="s">
        <v>943</v>
      </c>
      <c r="M537" s="237" t="s">
        <v>925</v>
      </c>
      <c r="N537" s="190">
        <f t="array" ref="N537">IFERROR(
  INDEX($J$2:$J$543,
    MATCH(A537&amp;TEXT(I537,"yyyy-mm-dd"),
          $A$2:$A$543&amp;TEXT($H$2:$H$543,"yyyy-mm-dd"),
          0)),
"")</f>
        <v>0.5</v>
      </c>
      <c r="O537" s="238">
        <f t="shared" si="3"/>
        <v>0</v>
      </c>
      <c r="P537" s="210">
        <f t="shared" ref="P537:Q537" si="547">IF(N537="",0,IF(N537&lt;=2,1,IF(N537&lt;=4,2,IF(N537&lt;=5.5,3,4))))</f>
        <v>1</v>
      </c>
      <c r="Q537" s="210">
        <f t="shared" si="547"/>
        <v>1</v>
      </c>
      <c r="R537" s="210" t="str">
        <f t="shared" si="5"/>
        <v>No Progress</v>
      </c>
      <c r="S537" s="210">
        <f t="shared" si="6"/>
        <v>1</v>
      </c>
      <c r="T537" s="210"/>
      <c r="U537" s="210"/>
      <c r="V537" s="210"/>
      <c r="W537" s="210"/>
      <c r="X537" s="210"/>
      <c r="Y537" s="210"/>
      <c r="Z537" s="210"/>
      <c r="AA537" s="210"/>
      <c r="AB537" s="210"/>
      <c r="AC537" s="210"/>
      <c r="AD537" s="210"/>
      <c r="AE537" s="210"/>
      <c r="AF537" s="210"/>
      <c r="AG537" s="210"/>
      <c r="AH537" s="210"/>
      <c r="AI537" s="210"/>
      <c r="AJ537" s="210"/>
      <c r="AK537" s="210"/>
      <c r="AL537" s="210"/>
      <c r="AM537" s="214"/>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c r="BU537" s="210"/>
      <c r="BV537" s="210"/>
      <c r="BW537" s="210"/>
      <c r="BX537" s="210"/>
      <c r="BY537" s="210"/>
      <c r="BZ537" s="210"/>
      <c r="CA537" s="210"/>
      <c r="CB537" s="210"/>
      <c r="CC537" s="210"/>
      <c r="CD537" s="210"/>
      <c r="CE537" s="210"/>
      <c r="CF537" s="210"/>
      <c r="CG537" s="210"/>
      <c r="CH537" s="210"/>
      <c r="CI537" s="210"/>
      <c r="CJ537" s="210"/>
      <c r="CK537" s="210"/>
    </row>
    <row r="538">
      <c r="A538" s="249" t="s">
        <v>470</v>
      </c>
      <c r="B538" s="250" t="s">
        <v>471</v>
      </c>
      <c r="C538" s="251" t="s">
        <v>97</v>
      </c>
      <c r="D538" s="251" t="s">
        <v>890</v>
      </c>
      <c r="E538" s="250" t="s">
        <v>21</v>
      </c>
      <c r="F538" s="252" t="s">
        <v>927</v>
      </c>
      <c r="G538" s="252"/>
      <c r="H538" s="219">
        <f>IFERROR(
  MINIFS(ATTENDANCE_LOG!$F:$F,
         ATTENDANCE_LOG!$A:$A, C538,
         ATTENDANCE_LOG!$B:$B, E538),
"")</f>
        <v>46126.625</v>
      </c>
      <c r="I538" s="219">
        <f t="shared" si="2"/>
        <v>45917.58333</v>
      </c>
      <c r="J538" s="250">
        <f>IFERROR(VLOOKUP(F538, LEVEL_HELPER!$A:$B, 2, 0), "")</f>
        <v>1</v>
      </c>
      <c r="K538" s="233" t="str">
        <f>IFERROR(VLOOKUP(G538, LEVEL_HELPER!$A:$B, 2, 0), "")</f>
        <v/>
      </c>
      <c r="L538" s="253" t="s">
        <v>931</v>
      </c>
      <c r="M538" s="253" t="s">
        <v>926</v>
      </c>
      <c r="N538" s="190">
        <f t="array" ref="N538">IFERROR(
  INDEX($J$2:$J$543,
    MATCH(A538&amp;TEXT(I538,"yyyy-mm-dd"),
          $A$2:$A$543&amp;TEXT($H$2:$H$543,"yyyy-mm-dd"),
          0)),
"")</f>
        <v>0.5</v>
      </c>
      <c r="O538" s="254">
        <f t="shared" si="3"/>
        <v>1</v>
      </c>
      <c r="P538" s="210">
        <f t="shared" ref="P538:Q538" si="548">IF(N538="",0,IF(N538&lt;=2,1,IF(N538&lt;=4,2,IF(N538&lt;=5.5,3,4))))</f>
        <v>1</v>
      </c>
      <c r="Q538" s="210">
        <f t="shared" si="548"/>
        <v>1</v>
      </c>
      <c r="R538" s="210" t="str">
        <f t="shared" si="5"/>
        <v>Progress within level</v>
      </c>
      <c r="S538" s="210">
        <f t="shared" si="6"/>
        <v>0</v>
      </c>
      <c r="T538" s="210"/>
      <c r="U538" s="210"/>
      <c r="V538" s="210"/>
      <c r="W538" s="210"/>
      <c r="X538" s="210"/>
      <c r="Y538" s="210"/>
      <c r="Z538" s="210"/>
      <c r="AA538" s="210"/>
      <c r="AB538" s="210"/>
      <c r="AC538" s="210"/>
      <c r="AD538" s="210"/>
      <c r="AE538" s="210"/>
      <c r="AF538" s="210"/>
      <c r="AG538" s="210"/>
      <c r="AH538" s="210"/>
      <c r="AI538" s="210"/>
      <c r="AJ538" s="210"/>
      <c r="AK538" s="210"/>
      <c r="AL538" s="210"/>
      <c r="AM538" s="214"/>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c r="BU538" s="210"/>
      <c r="BV538" s="210"/>
      <c r="BW538" s="210"/>
      <c r="BX538" s="210"/>
      <c r="BY538" s="210"/>
      <c r="BZ538" s="210"/>
      <c r="CA538" s="210"/>
      <c r="CB538" s="210"/>
      <c r="CC538" s="210"/>
      <c r="CD538" s="210"/>
      <c r="CE538" s="210"/>
      <c r="CF538" s="210"/>
      <c r="CG538" s="210"/>
      <c r="CH538" s="210"/>
      <c r="CI538" s="210"/>
      <c r="CJ538" s="210"/>
      <c r="CK538" s="210"/>
    </row>
    <row r="539">
      <c r="A539" s="232" t="s">
        <v>161</v>
      </c>
      <c r="B539" s="233" t="s">
        <v>162</v>
      </c>
      <c r="C539" s="234" t="s">
        <v>97</v>
      </c>
      <c r="D539" s="234" t="s">
        <v>890</v>
      </c>
      <c r="E539" s="233" t="s">
        <v>21</v>
      </c>
      <c r="F539" s="235" t="s">
        <v>25</v>
      </c>
      <c r="G539" s="233"/>
      <c r="H539" s="219">
        <f>IFERROR(
  MINIFS(ATTENDANCE_LOG!$F:$F,
         ATTENDANCE_LOG!$A:$A, C539,
         ATTENDANCE_LOG!$B:$B, E539),
"")</f>
        <v>46126.625</v>
      </c>
      <c r="I539" s="219">
        <f t="shared" si="2"/>
        <v>45916.45833</v>
      </c>
      <c r="J539" s="233">
        <f>IFERROR(VLOOKUP(F539, LEVEL_HELPER!$A:$B, 2, 0), "")</f>
        <v>0.5</v>
      </c>
      <c r="K539" s="233" t="str">
        <f>IFERROR(VLOOKUP(G539, LEVEL_HELPER!$A:$B, 2, 0), "")</f>
        <v/>
      </c>
      <c r="L539" s="237" t="s">
        <v>943</v>
      </c>
      <c r="M539" s="237" t="s">
        <v>924</v>
      </c>
      <c r="N539" s="190">
        <f t="array" ref="N539">IFERROR(
  INDEX($J$2:$J$543,
    MATCH(A539&amp;TEXT(I539,"yyyy-mm-dd"),
          $A$2:$A$543&amp;TEXT($H$2:$H$543,"yyyy-mm-dd"),
          0)),
"")</f>
        <v>0.5</v>
      </c>
      <c r="O539" s="238">
        <f t="shared" si="3"/>
        <v>0.5</v>
      </c>
      <c r="P539" s="210">
        <f t="shared" ref="P539:Q539" si="549">IF(N539="",0,IF(N539&lt;=2,1,IF(N539&lt;=4,2,IF(N539&lt;=5.5,3,4))))</f>
        <v>1</v>
      </c>
      <c r="Q539" s="210">
        <f t="shared" si="549"/>
        <v>1</v>
      </c>
      <c r="R539" s="210" t="str">
        <f t="shared" si="5"/>
        <v>No Progress</v>
      </c>
      <c r="S539" s="210">
        <f t="shared" si="6"/>
        <v>0</v>
      </c>
      <c r="T539" s="210"/>
      <c r="U539" s="210"/>
      <c r="V539" s="210"/>
      <c r="W539" s="210"/>
      <c r="X539" s="210"/>
      <c r="Y539" s="210"/>
      <c r="Z539" s="210"/>
      <c r="AA539" s="210"/>
      <c r="AB539" s="210"/>
      <c r="AC539" s="210"/>
      <c r="AD539" s="210"/>
      <c r="AE539" s="210"/>
      <c r="AF539" s="210"/>
      <c r="AG539" s="210"/>
      <c r="AH539" s="210"/>
      <c r="AI539" s="210"/>
      <c r="AJ539" s="210"/>
      <c r="AK539" s="210"/>
      <c r="AL539" s="210"/>
      <c r="AM539" s="214"/>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c r="BU539" s="210"/>
      <c r="BV539" s="210"/>
      <c r="BW539" s="210"/>
      <c r="BX539" s="210"/>
      <c r="BY539" s="210"/>
      <c r="BZ539" s="210"/>
      <c r="CA539" s="210"/>
      <c r="CB539" s="210"/>
      <c r="CC539" s="210"/>
      <c r="CD539" s="210"/>
      <c r="CE539" s="210"/>
      <c r="CF539" s="210"/>
      <c r="CG539" s="210"/>
      <c r="CH539" s="210"/>
      <c r="CI539" s="210"/>
      <c r="CJ539" s="210"/>
      <c r="CK539" s="210"/>
    </row>
    <row r="540">
      <c r="A540" s="232" t="s">
        <v>269</v>
      </c>
      <c r="B540" s="233" t="s">
        <v>270</v>
      </c>
      <c r="C540" s="234" t="s">
        <v>97</v>
      </c>
      <c r="D540" s="234" t="s">
        <v>890</v>
      </c>
      <c r="E540" s="233" t="s">
        <v>21</v>
      </c>
      <c r="F540" s="235" t="s">
        <v>25</v>
      </c>
      <c r="G540" s="233"/>
      <c r="H540" s="219">
        <f>IFERROR(
  MINIFS(ATTENDANCE_LOG!$F:$F,
         ATTENDANCE_LOG!$A:$A, C540,
         ATTENDANCE_LOG!$B:$B, E540),
"")</f>
        <v>46126.625</v>
      </c>
      <c r="I540" s="219">
        <f t="shared" si="2"/>
        <v>45917.58333</v>
      </c>
      <c r="J540" s="233">
        <f>IFERROR(VLOOKUP(F540, LEVEL_HELPER!$A:$B, 2, 0), "")</f>
        <v>0.5</v>
      </c>
      <c r="K540" s="233" t="str">
        <f>IFERROR(VLOOKUP(G540, LEVEL_HELPER!$A:$B, 2, 0), "")</f>
        <v/>
      </c>
      <c r="L540" s="237" t="s">
        <v>943</v>
      </c>
      <c r="M540" s="237" t="s">
        <v>924</v>
      </c>
      <c r="N540" s="190">
        <f t="array" ref="N540">IFERROR(
  INDEX($J$2:$J$543,
    MATCH(A540&amp;TEXT(I540,"yyyy-mm-dd"),
          $A$2:$A$543&amp;TEXT($H$2:$H$543,"yyyy-mm-dd"),
          0)),
"")</f>
        <v>0.5</v>
      </c>
      <c r="O540" s="238">
        <f t="shared" si="3"/>
        <v>1</v>
      </c>
      <c r="P540" s="210">
        <f t="shared" ref="P540:Q540" si="550">IF(N540="",0,IF(N540&lt;=2,1,IF(N540&lt;=4,2,IF(N540&lt;=5.5,3,4))))</f>
        <v>1</v>
      </c>
      <c r="Q540" s="210">
        <f t="shared" si="550"/>
        <v>1</v>
      </c>
      <c r="R540" s="210" t="str">
        <f t="shared" si="5"/>
        <v>Progress within level</v>
      </c>
      <c r="S540" s="210">
        <f t="shared" si="6"/>
        <v>0</v>
      </c>
      <c r="T540" s="210"/>
      <c r="U540" s="210"/>
      <c r="V540" s="210"/>
      <c r="W540" s="210"/>
      <c r="X540" s="210"/>
      <c r="Y540" s="210"/>
      <c r="Z540" s="210"/>
      <c r="AA540" s="210"/>
      <c r="AB540" s="210"/>
      <c r="AC540" s="210"/>
      <c r="AD540" s="210"/>
      <c r="AE540" s="210"/>
      <c r="AF540" s="210"/>
      <c r="AG540" s="210"/>
      <c r="AH540" s="210"/>
      <c r="AI540" s="210"/>
      <c r="AJ540" s="210"/>
      <c r="AK540" s="210"/>
      <c r="AL540" s="210"/>
      <c r="AM540" s="214"/>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c r="BU540" s="210"/>
      <c r="BV540" s="210"/>
      <c r="BW540" s="210"/>
      <c r="BX540" s="210"/>
      <c r="BY540" s="210"/>
      <c r="BZ540" s="210"/>
      <c r="CA540" s="210"/>
      <c r="CB540" s="210"/>
      <c r="CC540" s="210"/>
      <c r="CD540" s="210"/>
      <c r="CE540" s="210"/>
      <c r="CF540" s="210"/>
      <c r="CG540" s="210"/>
      <c r="CH540" s="210"/>
      <c r="CI540" s="210"/>
      <c r="CJ540" s="210"/>
      <c r="CK540" s="210"/>
    </row>
    <row r="541">
      <c r="A541" s="232" t="s">
        <v>290</v>
      </c>
      <c r="B541" s="233" t="s">
        <v>291</v>
      </c>
      <c r="C541" s="234" t="s">
        <v>97</v>
      </c>
      <c r="D541" s="234" t="s">
        <v>890</v>
      </c>
      <c r="E541" s="233" t="s">
        <v>21</v>
      </c>
      <c r="F541" s="235" t="s">
        <v>25</v>
      </c>
      <c r="G541" s="233"/>
      <c r="H541" s="219">
        <f>IFERROR(
  MINIFS(ATTENDANCE_LOG!$F:$F,
         ATTENDANCE_LOG!$A:$A, C541,
         ATTENDANCE_LOG!$B:$B, E541),
"")</f>
        <v>46126.625</v>
      </c>
      <c r="I541" s="219">
        <f t="shared" si="2"/>
        <v>45916.45833</v>
      </c>
      <c r="J541" s="233">
        <f>IFERROR(VLOOKUP(F541, LEVEL_HELPER!$A:$B, 2, 0), "")</f>
        <v>0.5</v>
      </c>
      <c r="K541" s="233" t="str">
        <f>IFERROR(VLOOKUP(G541, LEVEL_HELPER!$A:$B, 2, 0), "")</f>
        <v/>
      </c>
      <c r="L541" s="237" t="s">
        <v>931</v>
      </c>
      <c r="M541" s="237" t="s">
        <v>920</v>
      </c>
      <c r="N541" s="190">
        <f t="array" ref="N541">IFERROR(
  INDEX($J$2:$J$543,
    MATCH(A541&amp;TEXT(I541,"yyyy-mm-dd"),
          $A$2:$A$543&amp;TEXT($H$2:$H$543,"yyyy-mm-dd"),
          0)),
"")</f>
        <v>0.5</v>
      </c>
      <c r="O541" s="238">
        <f t="shared" si="3"/>
        <v>0.5</v>
      </c>
      <c r="P541" s="210">
        <f t="shared" ref="P541:Q541" si="551">IF(N541="",0,IF(N541&lt;=2,1,IF(N541&lt;=4,2,IF(N541&lt;=5.5,3,4))))</f>
        <v>1</v>
      </c>
      <c r="Q541" s="210">
        <f t="shared" si="551"/>
        <v>1</v>
      </c>
      <c r="R541" s="210" t="str">
        <f t="shared" si="5"/>
        <v>No Progress</v>
      </c>
      <c r="S541" s="210">
        <f t="shared" si="6"/>
        <v>0</v>
      </c>
      <c r="T541" s="210"/>
      <c r="U541" s="210"/>
      <c r="V541" s="210"/>
      <c r="W541" s="210"/>
      <c r="X541" s="210"/>
      <c r="Y541" s="210"/>
      <c r="Z541" s="210"/>
      <c r="AA541" s="210"/>
      <c r="AB541" s="210"/>
      <c r="AC541" s="210"/>
      <c r="AD541" s="210"/>
      <c r="AE541" s="210"/>
      <c r="AF541" s="210"/>
      <c r="AG541" s="210"/>
      <c r="AH541" s="210"/>
      <c r="AI541" s="210"/>
      <c r="AJ541" s="210"/>
      <c r="AK541" s="210"/>
      <c r="AL541" s="210"/>
      <c r="AM541" s="214"/>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c r="BU541" s="210"/>
      <c r="BV541" s="210"/>
      <c r="BW541" s="210"/>
      <c r="BX541" s="210"/>
      <c r="BY541" s="210"/>
      <c r="BZ541" s="210"/>
      <c r="CA541" s="210"/>
      <c r="CB541" s="210"/>
      <c r="CC541" s="210"/>
      <c r="CD541" s="210"/>
      <c r="CE541" s="210"/>
      <c r="CF541" s="210"/>
      <c r="CG541" s="210"/>
      <c r="CH541" s="210"/>
      <c r="CI541" s="210"/>
      <c r="CJ541" s="210"/>
      <c r="CK541" s="210"/>
    </row>
    <row r="542">
      <c r="A542" s="222" t="s">
        <v>468</v>
      </c>
      <c r="B542" s="190" t="s">
        <v>469</v>
      </c>
      <c r="C542" s="223" t="s">
        <v>97</v>
      </c>
      <c r="D542" s="223" t="s">
        <v>890</v>
      </c>
      <c r="E542" s="190" t="s">
        <v>21</v>
      </c>
      <c r="F542" s="13" t="s">
        <v>25</v>
      </c>
      <c r="G542" s="190"/>
      <c r="H542" s="219">
        <f>IFERROR(
  MINIFS(ATTENDANCE_LOG!$F:$F,
         ATTENDANCE_LOG!$A:$A, C542,
         ATTENDANCE_LOG!$B:$B, E542),
"")</f>
        <v>46126.625</v>
      </c>
      <c r="I542" s="219">
        <f t="shared" si="2"/>
        <v>45916.45833</v>
      </c>
      <c r="J542" s="190">
        <f>IFERROR(VLOOKUP(F542, LEVEL_HELPER!$A:$B, 2, 0), "")</f>
        <v>0.5</v>
      </c>
      <c r="K542" s="233" t="str">
        <f>IFERROR(VLOOKUP(G542, LEVEL_HELPER!$A:$B, 2, 0), "")</f>
        <v/>
      </c>
      <c r="L542" s="220" t="s">
        <v>931</v>
      </c>
      <c r="M542" s="220" t="s">
        <v>920</v>
      </c>
      <c r="N542" s="190">
        <f t="array" ref="N542">IFERROR(
  INDEX($J$2:$J$543,
    MATCH(A542&amp;TEXT(I542,"yyyy-mm-dd"),
          $A$2:$A$543&amp;TEXT($H$2:$H$543,"yyyy-mm-dd"),
          0)),
"")</f>
        <v>0.5</v>
      </c>
      <c r="O542" s="210">
        <f t="shared" si="3"/>
        <v>0.5</v>
      </c>
      <c r="P542" s="210">
        <f t="shared" ref="P542:Q542" si="552">IF(N542="",0,IF(N542&lt;=2,1,IF(N542&lt;=4,2,IF(N542&lt;=5.5,3,4))))</f>
        <v>1</v>
      </c>
      <c r="Q542" s="210">
        <f t="shared" si="552"/>
        <v>1</v>
      </c>
      <c r="R542" s="210" t="str">
        <f t="shared" si="5"/>
        <v>No Progress</v>
      </c>
      <c r="S542" s="210">
        <f t="shared" si="6"/>
        <v>0</v>
      </c>
      <c r="T542" s="210"/>
      <c r="U542" s="210"/>
      <c r="V542" s="210"/>
      <c r="W542" s="210"/>
      <c r="X542" s="210"/>
      <c r="Y542" s="210"/>
      <c r="Z542" s="210"/>
      <c r="AA542" s="210"/>
      <c r="AB542" s="210"/>
      <c r="AC542" s="210"/>
      <c r="AD542" s="210"/>
      <c r="AE542" s="210"/>
      <c r="AF542" s="210"/>
      <c r="AG542" s="210"/>
      <c r="AH542" s="210"/>
      <c r="AI542" s="210"/>
      <c r="AJ542" s="210"/>
      <c r="AK542" s="210"/>
      <c r="AL542" s="210"/>
      <c r="AM542" s="214"/>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c r="BU542" s="210"/>
      <c r="BV542" s="210"/>
      <c r="BW542" s="210"/>
      <c r="BX542" s="210"/>
      <c r="BY542" s="210"/>
      <c r="BZ542" s="210"/>
      <c r="CA542" s="210"/>
      <c r="CB542" s="210"/>
      <c r="CC542" s="210"/>
      <c r="CD542" s="210"/>
      <c r="CE542" s="210"/>
      <c r="CF542" s="210"/>
      <c r="CG542" s="210"/>
      <c r="CH542" s="210"/>
      <c r="CI542" s="210"/>
      <c r="CJ542" s="210"/>
      <c r="CK542" s="210"/>
    </row>
    <row r="543">
      <c r="A543" s="222" t="s">
        <v>516</v>
      </c>
      <c r="B543" s="190" t="s">
        <v>517</v>
      </c>
      <c r="C543" s="223" t="s">
        <v>97</v>
      </c>
      <c r="D543" s="223" t="s">
        <v>890</v>
      </c>
      <c r="E543" s="190" t="s">
        <v>21</v>
      </c>
      <c r="F543" s="13" t="s">
        <v>25</v>
      </c>
      <c r="G543" s="190"/>
      <c r="H543" s="219">
        <f>IFERROR(
  MINIFS(ATTENDANCE_LOG!$F:$F,
         ATTENDANCE_LOG!$A:$A, C543,
         ATTENDANCE_LOG!$B:$B, E543),
"")</f>
        <v>46126.625</v>
      </c>
      <c r="I543" s="219">
        <f t="shared" si="2"/>
        <v>45916.45833</v>
      </c>
      <c r="J543" s="190">
        <f>IFERROR(VLOOKUP(F543, LEVEL_HELPER!$A:$B, 2, 0), "")</f>
        <v>0.5</v>
      </c>
      <c r="K543" s="233" t="str">
        <f>IFERROR(VLOOKUP(G543, LEVEL_HELPER!$A:$B, 2, 0), "")</f>
        <v/>
      </c>
      <c r="L543" s="220" t="s">
        <v>931</v>
      </c>
      <c r="M543" s="220" t="s">
        <v>920</v>
      </c>
      <c r="N543" s="190">
        <f t="array" ref="N543">IFERROR(
  INDEX($J$2:$J$543,
    MATCH(A543&amp;TEXT(I543,"yyyy-mm-dd"),
          $A$2:$A$543&amp;TEXT($H$2:$H$543,"yyyy-mm-dd"),
          0)),
"")</f>
        <v>0.5</v>
      </c>
      <c r="O543" s="210">
        <f t="shared" si="3"/>
        <v>0.5</v>
      </c>
      <c r="P543" s="210">
        <f t="shared" ref="P543:Q543" si="553">IF(N543="",0,IF(N543&lt;=2,1,IF(N543&lt;=4,2,IF(N543&lt;=5.5,3,4))))</f>
        <v>1</v>
      </c>
      <c r="Q543" s="210">
        <f t="shared" si="553"/>
        <v>1</v>
      </c>
      <c r="R543" s="210" t="str">
        <f t="shared" si="5"/>
        <v>No Progress</v>
      </c>
      <c r="S543" s="210">
        <f t="shared" si="6"/>
        <v>0</v>
      </c>
      <c r="T543" s="210"/>
      <c r="U543" s="210"/>
      <c r="V543" s="210"/>
      <c r="W543" s="210"/>
      <c r="X543" s="210"/>
      <c r="Y543" s="210"/>
      <c r="Z543" s="210"/>
      <c r="AA543" s="210"/>
      <c r="AB543" s="210"/>
      <c r="AC543" s="210"/>
      <c r="AD543" s="210"/>
      <c r="AE543" s="210"/>
      <c r="AF543" s="210"/>
      <c r="AG543" s="210"/>
      <c r="AH543" s="210"/>
      <c r="AI543" s="210"/>
      <c r="AJ543" s="210"/>
      <c r="AK543" s="210"/>
      <c r="AL543" s="210"/>
      <c r="AM543" s="214"/>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c r="BU543" s="210"/>
      <c r="BV543" s="210"/>
      <c r="BW543" s="210"/>
      <c r="BX543" s="210"/>
      <c r="BY543" s="210"/>
      <c r="BZ543" s="210"/>
      <c r="CA543" s="210"/>
      <c r="CB543" s="210"/>
      <c r="CC543" s="210"/>
      <c r="CD543" s="210"/>
      <c r="CE543" s="210"/>
      <c r="CF543" s="210"/>
      <c r="CG543" s="210"/>
      <c r="CH543" s="210"/>
      <c r="CI543" s="210"/>
      <c r="CJ543" s="210"/>
      <c r="CK543" s="210"/>
    </row>
    <row r="544">
      <c r="A544" s="222"/>
      <c r="F544" s="190"/>
      <c r="G544" s="190"/>
      <c r="L544" s="220"/>
      <c r="M544" s="22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4"/>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c r="BU544" s="210"/>
      <c r="BV544" s="210"/>
      <c r="BW544" s="210"/>
      <c r="BX544" s="210"/>
      <c r="BY544" s="210"/>
      <c r="BZ544" s="210"/>
      <c r="CA544" s="210"/>
      <c r="CB544" s="210"/>
      <c r="CC544" s="210"/>
      <c r="CD544" s="210"/>
      <c r="CE544" s="210"/>
      <c r="CF544" s="210"/>
      <c r="CG544" s="210"/>
      <c r="CH544" s="210"/>
      <c r="CI544" s="210"/>
      <c r="CJ544" s="210"/>
      <c r="CK544" s="210"/>
    </row>
    <row r="545">
      <c r="A545" s="222"/>
      <c r="F545" s="190"/>
      <c r="G545" s="190"/>
      <c r="L545" s="220"/>
      <c r="M545" s="22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4"/>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c r="BU545" s="210"/>
      <c r="BV545" s="210"/>
      <c r="BW545" s="210"/>
      <c r="BX545" s="210"/>
      <c r="BY545" s="210"/>
      <c r="BZ545" s="210"/>
      <c r="CA545" s="210"/>
      <c r="CB545" s="210"/>
      <c r="CC545" s="210"/>
      <c r="CD545" s="210"/>
      <c r="CE545" s="210"/>
      <c r="CF545" s="210"/>
      <c r="CG545" s="210"/>
      <c r="CH545" s="210"/>
      <c r="CI545" s="210"/>
      <c r="CJ545" s="210"/>
      <c r="CK545" s="210"/>
    </row>
    <row r="546">
      <c r="A546" s="222"/>
      <c r="F546" s="190"/>
      <c r="G546" s="190"/>
      <c r="L546" s="220"/>
      <c r="M546" s="22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4"/>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c r="BU546" s="210"/>
      <c r="BV546" s="210"/>
      <c r="BW546" s="210"/>
      <c r="BX546" s="210"/>
      <c r="BY546" s="210"/>
      <c r="BZ546" s="210"/>
      <c r="CA546" s="210"/>
      <c r="CB546" s="210"/>
      <c r="CC546" s="210"/>
      <c r="CD546" s="210"/>
      <c r="CE546" s="210"/>
      <c r="CF546" s="210"/>
      <c r="CG546" s="210"/>
      <c r="CH546" s="210"/>
      <c r="CI546" s="210"/>
      <c r="CJ546" s="210"/>
      <c r="CK546" s="210"/>
    </row>
    <row r="547">
      <c r="A547" s="222"/>
      <c r="F547" s="190"/>
      <c r="G547" s="190"/>
      <c r="L547" s="220"/>
      <c r="M547" s="22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4"/>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c r="BU547" s="210"/>
      <c r="BV547" s="210"/>
      <c r="BW547" s="210"/>
      <c r="BX547" s="210"/>
      <c r="BY547" s="210"/>
      <c r="BZ547" s="210"/>
      <c r="CA547" s="210"/>
      <c r="CB547" s="210"/>
      <c r="CC547" s="210"/>
      <c r="CD547" s="210"/>
      <c r="CE547" s="210"/>
      <c r="CF547" s="210"/>
      <c r="CG547" s="210"/>
      <c r="CH547" s="210"/>
      <c r="CI547" s="210"/>
      <c r="CJ547" s="210"/>
      <c r="CK547" s="210"/>
    </row>
    <row r="548">
      <c r="A548" s="222"/>
      <c r="F548" s="190"/>
      <c r="G548" s="190"/>
      <c r="L548" s="220"/>
      <c r="M548" s="22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4"/>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c r="BU548" s="210"/>
      <c r="BV548" s="210"/>
      <c r="BW548" s="210"/>
      <c r="BX548" s="210"/>
      <c r="BY548" s="210"/>
      <c r="BZ548" s="210"/>
      <c r="CA548" s="210"/>
      <c r="CB548" s="210"/>
      <c r="CC548" s="210"/>
      <c r="CD548" s="210"/>
      <c r="CE548" s="210"/>
      <c r="CF548" s="210"/>
      <c r="CG548" s="210"/>
      <c r="CH548" s="210"/>
      <c r="CI548" s="210"/>
      <c r="CJ548" s="210"/>
      <c r="CK548" s="210"/>
    </row>
    <row r="549">
      <c r="A549" s="222"/>
      <c r="F549" s="190"/>
      <c r="G549" s="190"/>
      <c r="L549" s="220"/>
      <c r="M549" s="22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4"/>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c r="BU549" s="210"/>
      <c r="BV549" s="210"/>
      <c r="BW549" s="210"/>
      <c r="BX549" s="210"/>
      <c r="BY549" s="210"/>
      <c r="BZ549" s="210"/>
      <c r="CA549" s="210"/>
      <c r="CB549" s="210"/>
      <c r="CC549" s="210"/>
      <c r="CD549" s="210"/>
      <c r="CE549" s="210"/>
      <c r="CF549" s="210"/>
      <c r="CG549" s="210"/>
      <c r="CH549" s="210"/>
      <c r="CI549" s="210"/>
      <c r="CJ549" s="210"/>
      <c r="CK549" s="210"/>
    </row>
    <row r="550">
      <c r="A550" s="222"/>
      <c r="F550" s="190"/>
      <c r="G550" s="190"/>
      <c r="L550" s="220"/>
      <c r="M550" s="22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4"/>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c r="BU550" s="210"/>
      <c r="BV550" s="210"/>
      <c r="BW550" s="210"/>
      <c r="BX550" s="210"/>
      <c r="BY550" s="210"/>
      <c r="BZ550" s="210"/>
      <c r="CA550" s="210"/>
      <c r="CB550" s="210"/>
      <c r="CC550" s="210"/>
      <c r="CD550" s="210"/>
      <c r="CE550" s="210"/>
      <c r="CF550" s="210"/>
      <c r="CG550" s="210"/>
      <c r="CH550" s="210"/>
      <c r="CI550" s="210"/>
      <c r="CJ550" s="210"/>
      <c r="CK550" s="210"/>
    </row>
    <row r="551">
      <c r="A551" s="220"/>
      <c r="F551" s="190"/>
      <c r="G551" s="190"/>
      <c r="L551" s="220"/>
      <c r="M551" s="22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4"/>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c r="BU551" s="210"/>
      <c r="BV551" s="210"/>
      <c r="BW551" s="210"/>
      <c r="BX551" s="210"/>
      <c r="BY551" s="210"/>
      <c r="BZ551" s="210"/>
      <c r="CA551" s="210"/>
      <c r="CB551" s="210"/>
      <c r="CC551" s="210"/>
      <c r="CD551" s="210"/>
      <c r="CE551" s="210"/>
      <c r="CF551" s="210"/>
      <c r="CG551" s="210"/>
      <c r="CH551" s="210"/>
      <c r="CI551" s="210"/>
      <c r="CJ551" s="210"/>
      <c r="CK551" s="210"/>
    </row>
    <row r="552">
      <c r="A552" s="220"/>
      <c r="F552" s="190"/>
      <c r="G552" s="190"/>
      <c r="L552" s="220"/>
      <c r="M552" s="22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4"/>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c r="BU552" s="210"/>
      <c r="BV552" s="210"/>
      <c r="BW552" s="210"/>
      <c r="BX552" s="210"/>
      <c r="BY552" s="210"/>
      <c r="BZ552" s="210"/>
      <c r="CA552" s="210"/>
      <c r="CB552" s="210"/>
      <c r="CC552" s="210"/>
      <c r="CD552" s="210"/>
      <c r="CE552" s="210"/>
      <c r="CF552" s="210"/>
      <c r="CG552" s="210"/>
      <c r="CH552" s="210"/>
      <c r="CI552" s="210"/>
      <c r="CJ552" s="210"/>
      <c r="CK552" s="210"/>
    </row>
    <row r="553">
      <c r="A553" s="220"/>
      <c r="F553" s="190"/>
      <c r="G553" s="190"/>
      <c r="L553" s="220"/>
      <c r="M553" s="22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4"/>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c r="BU553" s="210"/>
      <c r="BV553" s="210"/>
      <c r="BW553" s="210"/>
      <c r="BX553" s="210"/>
      <c r="BY553" s="210"/>
      <c r="BZ553" s="210"/>
      <c r="CA553" s="210"/>
      <c r="CB553" s="210"/>
      <c r="CC553" s="210"/>
      <c r="CD553" s="210"/>
      <c r="CE553" s="210"/>
      <c r="CF553" s="210"/>
      <c r="CG553" s="210"/>
      <c r="CH553" s="210"/>
      <c r="CI553" s="210"/>
      <c r="CJ553" s="210"/>
      <c r="CK553" s="210"/>
    </row>
    <row r="554">
      <c r="A554" s="220"/>
      <c r="F554" s="190"/>
      <c r="G554" s="190"/>
      <c r="L554" s="220"/>
      <c r="M554" s="22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4"/>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c r="BU554" s="210"/>
      <c r="BV554" s="210"/>
      <c r="BW554" s="210"/>
      <c r="BX554" s="210"/>
      <c r="BY554" s="210"/>
      <c r="BZ554" s="210"/>
      <c r="CA554" s="210"/>
      <c r="CB554" s="210"/>
      <c r="CC554" s="210"/>
      <c r="CD554" s="210"/>
      <c r="CE554" s="210"/>
      <c r="CF554" s="210"/>
      <c r="CG554" s="210"/>
      <c r="CH554" s="210"/>
      <c r="CI554" s="210"/>
      <c r="CJ554" s="210"/>
      <c r="CK554" s="210"/>
    </row>
    <row r="555">
      <c r="A555" s="220"/>
      <c r="F555" s="190"/>
      <c r="G555" s="190"/>
      <c r="L555" s="220"/>
      <c r="M555" s="22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4"/>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c r="BU555" s="210"/>
      <c r="BV555" s="210"/>
      <c r="BW555" s="210"/>
      <c r="BX555" s="210"/>
      <c r="BY555" s="210"/>
      <c r="BZ555" s="210"/>
      <c r="CA555" s="210"/>
      <c r="CB555" s="210"/>
      <c r="CC555" s="210"/>
      <c r="CD555" s="210"/>
      <c r="CE555" s="210"/>
      <c r="CF555" s="210"/>
      <c r="CG555" s="210"/>
      <c r="CH555" s="210"/>
      <c r="CI555" s="210"/>
      <c r="CJ555" s="210"/>
      <c r="CK555" s="210"/>
    </row>
    <row r="556">
      <c r="A556" s="220"/>
      <c r="F556" s="190"/>
      <c r="G556" s="190"/>
      <c r="L556" s="220"/>
      <c r="M556" s="22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4"/>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c r="BU556" s="210"/>
      <c r="BV556" s="210"/>
      <c r="BW556" s="210"/>
      <c r="BX556" s="210"/>
      <c r="BY556" s="210"/>
      <c r="BZ556" s="210"/>
      <c r="CA556" s="210"/>
      <c r="CB556" s="210"/>
      <c r="CC556" s="210"/>
      <c r="CD556" s="210"/>
      <c r="CE556" s="210"/>
      <c r="CF556" s="210"/>
      <c r="CG556" s="210"/>
      <c r="CH556" s="210"/>
      <c r="CI556" s="210"/>
      <c r="CJ556" s="210"/>
      <c r="CK556" s="210"/>
    </row>
    <row r="557">
      <c r="A557" s="220"/>
      <c r="F557" s="190"/>
      <c r="G557" s="190"/>
      <c r="L557" s="220"/>
      <c r="M557" s="22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4"/>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c r="BU557" s="210"/>
      <c r="BV557" s="210"/>
      <c r="BW557" s="210"/>
      <c r="BX557" s="210"/>
      <c r="BY557" s="210"/>
      <c r="BZ557" s="210"/>
      <c r="CA557" s="210"/>
      <c r="CB557" s="210"/>
      <c r="CC557" s="210"/>
      <c r="CD557" s="210"/>
      <c r="CE557" s="210"/>
      <c r="CF557" s="210"/>
      <c r="CG557" s="210"/>
      <c r="CH557" s="210"/>
      <c r="CI557" s="210"/>
      <c r="CJ557" s="210"/>
      <c r="CK557" s="210"/>
    </row>
    <row r="558">
      <c r="A558" s="220"/>
      <c r="F558" s="190"/>
      <c r="G558" s="190"/>
      <c r="L558" s="220"/>
      <c r="M558" s="22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4"/>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c r="BU558" s="210"/>
      <c r="BV558" s="210"/>
      <c r="BW558" s="210"/>
      <c r="BX558" s="210"/>
      <c r="BY558" s="210"/>
      <c r="BZ558" s="210"/>
      <c r="CA558" s="210"/>
      <c r="CB558" s="210"/>
      <c r="CC558" s="210"/>
      <c r="CD558" s="210"/>
      <c r="CE558" s="210"/>
      <c r="CF558" s="210"/>
      <c r="CG558" s="210"/>
      <c r="CH558" s="210"/>
      <c r="CI558" s="210"/>
      <c r="CJ558" s="210"/>
      <c r="CK558" s="210"/>
    </row>
    <row r="559">
      <c r="A559" s="220"/>
      <c r="F559" s="190"/>
      <c r="G559" s="190"/>
      <c r="L559" s="220"/>
      <c r="M559" s="22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4"/>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c r="BU559" s="210"/>
      <c r="BV559" s="210"/>
      <c r="BW559" s="210"/>
      <c r="BX559" s="210"/>
      <c r="BY559" s="210"/>
      <c r="BZ559" s="210"/>
      <c r="CA559" s="210"/>
      <c r="CB559" s="210"/>
      <c r="CC559" s="210"/>
      <c r="CD559" s="210"/>
      <c r="CE559" s="210"/>
      <c r="CF559" s="210"/>
      <c r="CG559" s="210"/>
      <c r="CH559" s="210"/>
      <c r="CI559" s="210"/>
      <c r="CJ559" s="210"/>
      <c r="CK559" s="210"/>
    </row>
    <row r="560">
      <c r="A560" s="220"/>
      <c r="F560" s="190"/>
      <c r="G560" s="190"/>
      <c r="L560" s="220"/>
      <c r="M560" s="22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4"/>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c r="BU560" s="210"/>
      <c r="BV560" s="210"/>
      <c r="BW560" s="210"/>
      <c r="BX560" s="210"/>
      <c r="BY560" s="210"/>
      <c r="BZ560" s="210"/>
      <c r="CA560" s="210"/>
      <c r="CB560" s="210"/>
      <c r="CC560" s="210"/>
      <c r="CD560" s="210"/>
      <c r="CE560" s="210"/>
      <c r="CF560" s="210"/>
      <c r="CG560" s="210"/>
      <c r="CH560" s="210"/>
      <c r="CI560" s="210"/>
      <c r="CJ560" s="210"/>
      <c r="CK560" s="210"/>
    </row>
    <row r="561">
      <c r="A561" s="220"/>
      <c r="F561" s="190"/>
      <c r="G561" s="190"/>
      <c r="L561" s="220"/>
      <c r="M561" s="22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4"/>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c r="BU561" s="210"/>
      <c r="BV561" s="210"/>
      <c r="BW561" s="210"/>
      <c r="BX561" s="210"/>
      <c r="BY561" s="210"/>
      <c r="BZ561" s="210"/>
      <c r="CA561" s="210"/>
      <c r="CB561" s="210"/>
      <c r="CC561" s="210"/>
      <c r="CD561" s="210"/>
      <c r="CE561" s="210"/>
      <c r="CF561" s="210"/>
      <c r="CG561" s="210"/>
      <c r="CH561" s="210"/>
      <c r="CI561" s="210"/>
      <c r="CJ561" s="210"/>
      <c r="CK561" s="210"/>
    </row>
    <row r="562">
      <c r="A562" s="220"/>
      <c r="F562" s="190"/>
      <c r="G562" s="190"/>
      <c r="L562" s="220"/>
      <c r="M562" s="22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4"/>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c r="BU562" s="210"/>
      <c r="BV562" s="210"/>
      <c r="BW562" s="210"/>
      <c r="BX562" s="210"/>
      <c r="BY562" s="210"/>
      <c r="BZ562" s="210"/>
      <c r="CA562" s="210"/>
      <c r="CB562" s="210"/>
      <c r="CC562" s="210"/>
      <c r="CD562" s="210"/>
      <c r="CE562" s="210"/>
      <c r="CF562" s="210"/>
      <c r="CG562" s="210"/>
      <c r="CH562" s="210"/>
      <c r="CI562" s="210"/>
      <c r="CJ562" s="210"/>
      <c r="CK562" s="210"/>
    </row>
    <row r="563">
      <c r="A563" s="220"/>
      <c r="F563" s="190"/>
      <c r="G563" s="190"/>
      <c r="L563" s="220"/>
      <c r="M563" s="22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4"/>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c r="BU563" s="210"/>
      <c r="BV563" s="210"/>
      <c r="BW563" s="210"/>
      <c r="BX563" s="210"/>
      <c r="BY563" s="210"/>
      <c r="BZ563" s="210"/>
      <c r="CA563" s="210"/>
      <c r="CB563" s="210"/>
      <c r="CC563" s="210"/>
      <c r="CD563" s="210"/>
      <c r="CE563" s="210"/>
      <c r="CF563" s="210"/>
      <c r="CG563" s="210"/>
      <c r="CH563" s="210"/>
      <c r="CI563" s="210"/>
      <c r="CJ563" s="210"/>
      <c r="CK563" s="210"/>
    </row>
    <row r="564">
      <c r="A564" s="220"/>
      <c r="F564" s="190"/>
      <c r="G564" s="190"/>
      <c r="L564" s="220"/>
      <c r="M564" s="22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4"/>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c r="BU564" s="210"/>
      <c r="BV564" s="210"/>
      <c r="BW564" s="210"/>
      <c r="BX564" s="210"/>
      <c r="BY564" s="210"/>
      <c r="BZ564" s="210"/>
      <c r="CA564" s="210"/>
      <c r="CB564" s="210"/>
      <c r="CC564" s="210"/>
      <c r="CD564" s="210"/>
      <c r="CE564" s="210"/>
      <c r="CF564" s="210"/>
      <c r="CG564" s="210"/>
      <c r="CH564" s="210"/>
      <c r="CI564" s="210"/>
      <c r="CJ564" s="210"/>
      <c r="CK564" s="210"/>
    </row>
    <row r="565">
      <c r="A565" s="220"/>
      <c r="F565" s="190"/>
      <c r="G565" s="190"/>
      <c r="L565" s="220"/>
      <c r="M565" s="22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4"/>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c r="BU565" s="210"/>
      <c r="BV565" s="210"/>
      <c r="BW565" s="210"/>
      <c r="BX565" s="210"/>
      <c r="BY565" s="210"/>
      <c r="BZ565" s="210"/>
      <c r="CA565" s="210"/>
      <c r="CB565" s="210"/>
      <c r="CC565" s="210"/>
      <c r="CD565" s="210"/>
      <c r="CE565" s="210"/>
      <c r="CF565" s="210"/>
      <c r="CG565" s="210"/>
      <c r="CH565" s="210"/>
      <c r="CI565" s="210"/>
      <c r="CJ565" s="210"/>
      <c r="CK565" s="210"/>
    </row>
    <row r="566">
      <c r="A566" s="220"/>
      <c r="F566" s="190"/>
      <c r="G566" s="190"/>
      <c r="L566" s="220"/>
      <c r="M566" s="22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4"/>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c r="BU566" s="210"/>
      <c r="BV566" s="210"/>
      <c r="BW566" s="210"/>
      <c r="BX566" s="210"/>
      <c r="BY566" s="210"/>
      <c r="BZ566" s="210"/>
      <c r="CA566" s="210"/>
      <c r="CB566" s="210"/>
      <c r="CC566" s="210"/>
      <c r="CD566" s="210"/>
      <c r="CE566" s="210"/>
      <c r="CF566" s="210"/>
      <c r="CG566" s="210"/>
      <c r="CH566" s="210"/>
      <c r="CI566" s="210"/>
      <c r="CJ566" s="210"/>
      <c r="CK566" s="210"/>
    </row>
    <row r="567">
      <c r="A567" s="220"/>
      <c r="F567" s="190"/>
      <c r="G567" s="190"/>
      <c r="L567" s="220"/>
      <c r="M567" s="22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4"/>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c r="BU567" s="210"/>
      <c r="BV567" s="210"/>
      <c r="BW567" s="210"/>
      <c r="BX567" s="210"/>
      <c r="BY567" s="210"/>
      <c r="BZ567" s="210"/>
      <c r="CA567" s="210"/>
      <c r="CB567" s="210"/>
      <c r="CC567" s="210"/>
      <c r="CD567" s="210"/>
      <c r="CE567" s="210"/>
      <c r="CF567" s="210"/>
      <c r="CG567" s="210"/>
      <c r="CH567" s="210"/>
      <c r="CI567" s="210"/>
      <c r="CJ567" s="210"/>
      <c r="CK567" s="210"/>
    </row>
    <row r="568">
      <c r="A568" s="220"/>
      <c r="F568" s="190"/>
      <c r="G568" s="190"/>
      <c r="L568" s="220"/>
      <c r="M568" s="22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4"/>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c r="BU568" s="210"/>
      <c r="BV568" s="210"/>
      <c r="BW568" s="210"/>
      <c r="BX568" s="210"/>
      <c r="BY568" s="210"/>
      <c r="BZ568" s="210"/>
      <c r="CA568" s="210"/>
      <c r="CB568" s="210"/>
      <c r="CC568" s="210"/>
      <c r="CD568" s="210"/>
      <c r="CE568" s="210"/>
      <c r="CF568" s="210"/>
      <c r="CG568" s="210"/>
      <c r="CH568" s="210"/>
      <c r="CI568" s="210"/>
      <c r="CJ568" s="210"/>
      <c r="CK568" s="210"/>
    </row>
    <row r="569">
      <c r="A569" s="220"/>
      <c r="F569" s="190"/>
      <c r="G569" s="190"/>
      <c r="L569" s="220"/>
      <c r="M569" s="22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4"/>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c r="BU569" s="210"/>
      <c r="BV569" s="210"/>
      <c r="BW569" s="210"/>
      <c r="BX569" s="210"/>
      <c r="BY569" s="210"/>
      <c r="BZ569" s="210"/>
      <c r="CA569" s="210"/>
      <c r="CB569" s="210"/>
      <c r="CC569" s="210"/>
      <c r="CD569" s="210"/>
      <c r="CE569" s="210"/>
      <c r="CF569" s="210"/>
      <c r="CG569" s="210"/>
      <c r="CH569" s="210"/>
      <c r="CI569" s="210"/>
      <c r="CJ569" s="210"/>
      <c r="CK569" s="210"/>
    </row>
    <row r="570">
      <c r="A570" s="220"/>
      <c r="F570" s="190"/>
      <c r="G570" s="190"/>
      <c r="L570" s="220"/>
      <c r="M570" s="22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4"/>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c r="BU570" s="210"/>
      <c r="BV570" s="210"/>
      <c r="BW570" s="210"/>
      <c r="BX570" s="210"/>
      <c r="BY570" s="210"/>
      <c r="BZ570" s="210"/>
      <c r="CA570" s="210"/>
      <c r="CB570" s="210"/>
      <c r="CC570" s="210"/>
      <c r="CD570" s="210"/>
      <c r="CE570" s="210"/>
      <c r="CF570" s="210"/>
      <c r="CG570" s="210"/>
      <c r="CH570" s="210"/>
      <c r="CI570" s="210"/>
      <c r="CJ570" s="210"/>
      <c r="CK570" s="210"/>
    </row>
    <row r="571">
      <c r="A571" s="220"/>
      <c r="F571" s="190"/>
      <c r="G571" s="190"/>
      <c r="L571" s="220"/>
      <c r="M571" s="22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4"/>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c r="BU571" s="210"/>
      <c r="BV571" s="210"/>
      <c r="BW571" s="210"/>
      <c r="BX571" s="210"/>
      <c r="BY571" s="210"/>
      <c r="BZ571" s="210"/>
      <c r="CA571" s="210"/>
      <c r="CB571" s="210"/>
      <c r="CC571" s="210"/>
      <c r="CD571" s="210"/>
      <c r="CE571" s="210"/>
      <c r="CF571" s="210"/>
      <c r="CG571" s="210"/>
      <c r="CH571" s="210"/>
      <c r="CI571" s="210"/>
      <c r="CJ571" s="210"/>
      <c r="CK571" s="210"/>
    </row>
    <row r="572">
      <c r="A572" s="220"/>
      <c r="F572" s="190"/>
      <c r="G572" s="190"/>
      <c r="L572" s="220"/>
      <c r="M572" s="22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4"/>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c r="BU572" s="210"/>
      <c r="BV572" s="210"/>
      <c r="BW572" s="210"/>
      <c r="BX572" s="210"/>
      <c r="BY572" s="210"/>
      <c r="BZ572" s="210"/>
      <c r="CA572" s="210"/>
      <c r="CB572" s="210"/>
      <c r="CC572" s="210"/>
      <c r="CD572" s="210"/>
      <c r="CE572" s="210"/>
      <c r="CF572" s="210"/>
      <c r="CG572" s="210"/>
      <c r="CH572" s="210"/>
      <c r="CI572" s="210"/>
      <c r="CJ572" s="210"/>
      <c r="CK572" s="210"/>
    </row>
    <row r="573">
      <c r="A573" s="220"/>
      <c r="F573" s="190"/>
      <c r="G573" s="190"/>
      <c r="L573" s="220"/>
      <c r="M573" s="22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4"/>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c r="BU573" s="210"/>
      <c r="BV573" s="210"/>
      <c r="BW573" s="210"/>
      <c r="BX573" s="210"/>
      <c r="BY573" s="210"/>
      <c r="BZ573" s="210"/>
      <c r="CA573" s="210"/>
      <c r="CB573" s="210"/>
      <c r="CC573" s="210"/>
      <c r="CD573" s="210"/>
      <c r="CE573" s="210"/>
      <c r="CF573" s="210"/>
      <c r="CG573" s="210"/>
      <c r="CH573" s="210"/>
      <c r="CI573" s="210"/>
      <c r="CJ573" s="210"/>
      <c r="CK573" s="210"/>
    </row>
    <row r="574">
      <c r="A574" s="220"/>
      <c r="F574" s="190"/>
      <c r="G574" s="190"/>
      <c r="L574" s="220"/>
      <c r="M574" s="22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4"/>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c r="BU574" s="210"/>
      <c r="BV574" s="210"/>
      <c r="BW574" s="210"/>
      <c r="BX574" s="210"/>
      <c r="BY574" s="210"/>
      <c r="BZ574" s="210"/>
      <c r="CA574" s="210"/>
      <c r="CB574" s="210"/>
      <c r="CC574" s="210"/>
      <c r="CD574" s="210"/>
      <c r="CE574" s="210"/>
      <c r="CF574" s="210"/>
      <c r="CG574" s="210"/>
      <c r="CH574" s="210"/>
      <c r="CI574" s="210"/>
      <c r="CJ574" s="210"/>
      <c r="CK574" s="210"/>
    </row>
    <row r="575">
      <c r="A575" s="220"/>
      <c r="F575" s="190"/>
      <c r="G575" s="190"/>
      <c r="L575" s="220"/>
      <c r="M575" s="22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4"/>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c r="BU575" s="210"/>
      <c r="BV575" s="210"/>
      <c r="BW575" s="210"/>
      <c r="BX575" s="210"/>
      <c r="BY575" s="210"/>
      <c r="BZ575" s="210"/>
      <c r="CA575" s="210"/>
      <c r="CB575" s="210"/>
      <c r="CC575" s="210"/>
      <c r="CD575" s="210"/>
      <c r="CE575" s="210"/>
      <c r="CF575" s="210"/>
      <c r="CG575" s="210"/>
      <c r="CH575" s="210"/>
      <c r="CI575" s="210"/>
      <c r="CJ575" s="210"/>
      <c r="CK575" s="210"/>
    </row>
    <row r="576">
      <c r="A576" s="220"/>
      <c r="F576" s="190"/>
      <c r="G576" s="190"/>
      <c r="L576" s="220"/>
      <c r="M576" s="22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4"/>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c r="BU576" s="210"/>
      <c r="BV576" s="210"/>
      <c r="BW576" s="210"/>
      <c r="BX576" s="210"/>
      <c r="BY576" s="210"/>
      <c r="BZ576" s="210"/>
      <c r="CA576" s="210"/>
      <c r="CB576" s="210"/>
      <c r="CC576" s="210"/>
      <c r="CD576" s="210"/>
      <c r="CE576" s="210"/>
      <c r="CF576" s="210"/>
      <c r="CG576" s="210"/>
      <c r="CH576" s="210"/>
      <c r="CI576" s="210"/>
      <c r="CJ576" s="210"/>
      <c r="CK576" s="210"/>
    </row>
    <row r="577">
      <c r="A577" s="220"/>
      <c r="F577" s="190"/>
      <c r="G577" s="190"/>
      <c r="L577" s="220"/>
      <c r="M577" s="22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4"/>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c r="BU577" s="210"/>
      <c r="BV577" s="210"/>
      <c r="BW577" s="210"/>
      <c r="BX577" s="210"/>
      <c r="BY577" s="210"/>
      <c r="BZ577" s="210"/>
      <c r="CA577" s="210"/>
      <c r="CB577" s="210"/>
      <c r="CC577" s="210"/>
      <c r="CD577" s="210"/>
      <c r="CE577" s="210"/>
      <c r="CF577" s="210"/>
      <c r="CG577" s="210"/>
      <c r="CH577" s="210"/>
      <c r="CI577" s="210"/>
      <c r="CJ577" s="210"/>
      <c r="CK577" s="210"/>
    </row>
    <row r="578">
      <c r="A578" s="220"/>
      <c r="F578" s="190"/>
      <c r="G578" s="190"/>
      <c r="L578" s="220"/>
      <c r="M578" s="22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4"/>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c r="BU578" s="210"/>
      <c r="BV578" s="210"/>
      <c r="BW578" s="210"/>
      <c r="BX578" s="210"/>
      <c r="BY578" s="210"/>
      <c r="BZ578" s="210"/>
      <c r="CA578" s="210"/>
      <c r="CB578" s="210"/>
      <c r="CC578" s="210"/>
      <c r="CD578" s="210"/>
      <c r="CE578" s="210"/>
      <c r="CF578" s="210"/>
      <c r="CG578" s="210"/>
      <c r="CH578" s="210"/>
      <c r="CI578" s="210"/>
      <c r="CJ578" s="210"/>
      <c r="CK578" s="210"/>
    </row>
    <row r="579">
      <c r="A579" s="220"/>
      <c r="F579" s="190"/>
      <c r="G579" s="190"/>
      <c r="L579" s="220"/>
      <c r="M579" s="22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4"/>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c r="BU579" s="210"/>
      <c r="BV579" s="210"/>
      <c r="BW579" s="210"/>
      <c r="BX579" s="210"/>
      <c r="BY579" s="210"/>
      <c r="BZ579" s="210"/>
      <c r="CA579" s="210"/>
      <c r="CB579" s="210"/>
      <c r="CC579" s="210"/>
      <c r="CD579" s="210"/>
      <c r="CE579" s="210"/>
      <c r="CF579" s="210"/>
      <c r="CG579" s="210"/>
      <c r="CH579" s="210"/>
      <c r="CI579" s="210"/>
      <c r="CJ579" s="210"/>
      <c r="CK579" s="210"/>
    </row>
    <row r="580">
      <c r="A580" s="220"/>
      <c r="F580" s="190"/>
      <c r="G580" s="190"/>
      <c r="L580" s="220"/>
      <c r="M580" s="22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4"/>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c r="BU580" s="210"/>
      <c r="BV580" s="210"/>
      <c r="BW580" s="210"/>
      <c r="BX580" s="210"/>
      <c r="BY580" s="210"/>
      <c r="BZ580" s="210"/>
      <c r="CA580" s="210"/>
      <c r="CB580" s="210"/>
      <c r="CC580" s="210"/>
      <c r="CD580" s="210"/>
      <c r="CE580" s="210"/>
      <c r="CF580" s="210"/>
      <c r="CG580" s="210"/>
      <c r="CH580" s="210"/>
      <c r="CI580" s="210"/>
      <c r="CJ580" s="210"/>
      <c r="CK580" s="210"/>
    </row>
    <row r="581">
      <c r="A581" s="220"/>
      <c r="F581" s="190"/>
      <c r="G581" s="190"/>
      <c r="L581" s="220"/>
      <c r="M581" s="22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4"/>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c r="BU581" s="210"/>
      <c r="BV581" s="210"/>
      <c r="BW581" s="210"/>
      <c r="BX581" s="210"/>
      <c r="BY581" s="210"/>
      <c r="BZ581" s="210"/>
      <c r="CA581" s="210"/>
      <c r="CB581" s="210"/>
      <c r="CC581" s="210"/>
      <c r="CD581" s="210"/>
      <c r="CE581" s="210"/>
      <c r="CF581" s="210"/>
      <c r="CG581" s="210"/>
      <c r="CH581" s="210"/>
      <c r="CI581" s="210"/>
      <c r="CJ581" s="210"/>
      <c r="CK581" s="210"/>
    </row>
    <row r="582">
      <c r="A582" s="220"/>
      <c r="F582" s="190"/>
      <c r="G582" s="190"/>
      <c r="L582" s="220"/>
      <c r="M582" s="22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4"/>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c r="BU582" s="210"/>
      <c r="BV582" s="210"/>
      <c r="BW582" s="210"/>
      <c r="BX582" s="210"/>
      <c r="BY582" s="210"/>
      <c r="BZ582" s="210"/>
      <c r="CA582" s="210"/>
      <c r="CB582" s="210"/>
      <c r="CC582" s="210"/>
      <c r="CD582" s="210"/>
      <c r="CE582" s="210"/>
      <c r="CF582" s="210"/>
      <c r="CG582" s="210"/>
      <c r="CH582" s="210"/>
      <c r="CI582" s="210"/>
      <c r="CJ582" s="210"/>
      <c r="CK582" s="210"/>
    </row>
    <row r="583">
      <c r="A583" s="220"/>
      <c r="F583" s="190"/>
      <c r="G583" s="190"/>
      <c r="L583" s="220"/>
      <c r="M583" s="22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4"/>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c r="BU583" s="210"/>
      <c r="BV583" s="210"/>
      <c r="BW583" s="210"/>
      <c r="BX583" s="210"/>
      <c r="BY583" s="210"/>
      <c r="BZ583" s="210"/>
      <c r="CA583" s="210"/>
      <c r="CB583" s="210"/>
      <c r="CC583" s="210"/>
      <c r="CD583" s="210"/>
      <c r="CE583" s="210"/>
      <c r="CF583" s="210"/>
      <c r="CG583" s="210"/>
      <c r="CH583" s="210"/>
      <c r="CI583" s="210"/>
      <c r="CJ583" s="210"/>
      <c r="CK583" s="210"/>
    </row>
    <row r="584">
      <c r="A584" s="220"/>
      <c r="F584" s="190"/>
      <c r="G584" s="190"/>
      <c r="L584" s="220"/>
      <c r="M584" s="22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4"/>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c r="BU584" s="210"/>
      <c r="BV584" s="210"/>
      <c r="BW584" s="210"/>
      <c r="BX584" s="210"/>
      <c r="BY584" s="210"/>
      <c r="BZ584" s="210"/>
      <c r="CA584" s="210"/>
      <c r="CB584" s="210"/>
      <c r="CC584" s="210"/>
      <c r="CD584" s="210"/>
      <c r="CE584" s="210"/>
      <c r="CF584" s="210"/>
      <c r="CG584" s="210"/>
      <c r="CH584" s="210"/>
      <c r="CI584" s="210"/>
      <c r="CJ584" s="210"/>
      <c r="CK584" s="210"/>
    </row>
    <row r="585">
      <c r="A585" s="220"/>
      <c r="F585" s="190"/>
      <c r="G585" s="190"/>
      <c r="L585" s="220"/>
      <c r="M585" s="22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4"/>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c r="BU585" s="210"/>
      <c r="BV585" s="210"/>
      <c r="BW585" s="210"/>
      <c r="BX585" s="210"/>
      <c r="BY585" s="210"/>
      <c r="BZ585" s="210"/>
      <c r="CA585" s="210"/>
      <c r="CB585" s="210"/>
      <c r="CC585" s="210"/>
      <c r="CD585" s="210"/>
      <c r="CE585" s="210"/>
      <c r="CF585" s="210"/>
      <c r="CG585" s="210"/>
      <c r="CH585" s="210"/>
      <c r="CI585" s="210"/>
      <c r="CJ585" s="210"/>
      <c r="CK585" s="210"/>
    </row>
    <row r="586">
      <c r="A586" s="220"/>
      <c r="F586" s="190"/>
      <c r="G586" s="190"/>
      <c r="L586" s="220"/>
      <c r="M586" s="22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4"/>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c r="BU586" s="210"/>
      <c r="BV586" s="210"/>
      <c r="BW586" s="210"/>
      <c r="BX586" s="210"/>
      <c r="BY586" s="210"/>
      <c r="BZ586" s="210"/>
      <c r="CA586" s="210"/>
      <c r="CB586" s="210"/>
      <c r="CC586" s="210"/>
      <c r="CD586" s="210"/>
      <c r="CE586" s="210"/>
      <c r="CF586" s="210"/>
      <c r="CG586" s="210"/>
      <c r="CH586" s="210"/>
      <c r="CI586" s="210"/>
      <c r="CJ586" s="210"/>
      <c r="CK586" s="210"/>
    </row>
    <row r="587">
      <c r="A587" s="220"/>
      <c r="F587" s="190"/>
      <c r="G587" s="190"/>
      <c r="L587" s="220"/>
      <c r="M587" s="22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4"/>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c r="BU587" s="210"/>
      <c r="BV587" s="210"/>
      <c r="BW587" s="210"/>
      <c r="BX587" s="210"/>
      <c r="BY587" s="210"/>
      <c r="BZ587" s="210"/>
      <c r="CA587" s="210"/>
      <c r="CB587" s="210"/>
      <c r="CC587" s="210"/>
      <c r="CD587" s="210"/>
      <c r="CE587" s="210"/>
      <c r="CF587" s="210"/>
      <c r="CG587" s="210"/>
      <c r="CH587" s="210"/>
      <c r="CI587" s="210"/>
      <c r="CJ587" s="210"/>
      <c r="CK587" s="210"/>
    </row>
    <row r="588">
      <c r="A588" s="220"/>
      <c r="F588" s="190"/>
      <c r="G588" s="190"/>
      <c r="L588" s="220"/>
      <c r="M588" s="22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4"/>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c r="BU588" s="210"/>
      <c r="BV588" s="210"/>
      <c r="BW588" s="210"/>
      <c r="BX588" s="210"/>
      <c r="BY588" s="210"/>
      <c r="BZ588" s="210"/>
      <c r="CA588" s="210"/>
      <c r="CB588" s="210"/>
      <c r="CC588" s="210"/>
      <c r="CD588" s="210"/>
      <c r="CE588" s="210"/>
      <c r="CF588" s="210"/>
      <c r="CG588" s="210"/>
      <c r="CH588" s="210"/>
      <c r="CI588" s="210"/>
      <c r="CJ588" s="210"/>
      <c r="CK588" s="210"/>
    </row>
    <row r="589">
      <c r="A589" s="220"/>
      <c r="F589" s="190"/>
      <c r="G589" s="190"/>
      <c r="L589" s="220"/>
      <c r="M589" s="22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4"/>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c r="BU589" s="210"/>
      <c r="BV589" s="210"/>
      <c r="BW589" s="210"/>
      <c r="BX589" s="210"/>
      <c r="BY589" s="210"/>
      <c r="BZ589" s="210"/>
      <c r="CA589" s="210"/>
      <c r="CB589" s="210"/>
      <c r="CC589" s="210"/>
      <c r="CD589" s="210"/>
      <c r="CE589" s="210"/>
      <c r="CF589" s="210"/>
      <c r="CG589" s="210"/>
      <c r="CH589" s="210"/>
      <c r="CI589" s="210"/>
      <c r="CJ589" s="210"/>
      <c r="CK589" s="210"/>
    </row>
    <row r="590">
      <c r="A590" s="220"/>
      <c r="F590" s="190"/>
      <c r="G590" s="190"/>
      <c r="L590" s="220"/>
      <c r="M590" s="22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4"/>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c r="BU590" s="210"/>
      <c r="BV590" s="210"/>
      <c r="BW590" s="210"/>
      <c r="BX590" s="210"/>
      <c r="BY590" s="210"/>
      <c r="BZ590" s="210"/>
      <c r="CA590" s="210"/>
      <c r="CB590" s="210"/>
      <c r="CC590" s="210"/>
      <c r="CD590" s="210"/>
      <c r="CE590" s="210"/>
      <c r="CF590" s="210"/>
      <c r="CG590" s="210"/>
      <c r="CH590" s="210"/>
      <c r="CI590" s="210"/>
      <c r="CJ590" s="210"/>
      <c r="CK590" s="210"/>
    </row>
    <row r="591">
      <c r="A591" s="220"/>
      <c r="F591" s="190"/>
      <c r="G591" s="190"/>
      <c r="L591" s="220"/>
      <c r="M591" s="22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4"/>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c r="BU591" s="210"/>
      <c r="BV591" s="210"/>
      <c r="BW591" s="210"/>
      <c r="BX591" s="210"/>
      <c r="BY591" s="210"/>
      <c r="BZ591" s="210"/>
      <c r="CA591" s="210"/>
      <c r="CB591" s="210"/>
      <c r="CC591" s="210"/>
      <c r="CD591" s="210"/>
      <c r="CE591" s="210"/>
      <c r="CF591" s="210"/>
      <c r="CG591" s="210"/>
      <c r="CH591" s="210"/>
      <c r="CI591" s="210"/>
      <c r="CJ591" s="210"/>
      <c r="CK591" s="210"/>
    </row>
    <row r="592">
      <c r="A592" s="220"/>
      <c r="F592" s="190"/>
      <c r="G592" s="190"/>
      <c r="L592" s="220"/>
      <c r="M592" s="22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4"/>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c r="BU592" s="210"/>
      <c r="BV592" s="210"/>
      <c r="BW592" s="210"/>
      <c r="BX592" s="210"/>
      <c r="BY592" s="210"/>
      <c r="BZ592" s="210"/>
      <c r="CA592" s="210"/>
      <c r="CB592" s="210"/>
      <c r="CC592" s="210"/>
      <c r="CD592" s="210"/>
      <c r="CE592" s="210"/>
      <c r="CF592" s="210"/>
      <c r="CG592" s="210"/>
      <c r="CH592" s="210"/>
      <c r="CI592" s="210"/>
      <c r="CJ592" s="210"/>
      <c r="CK592" s="210"/>
    </row>
    <row r="593">
      <c r="A593" s="220"/>
      <c r="F593" s="190"/>
      <c r="G593" s="190"/>
      <c r="L593" s="220"/>
      <c r="M593" s="22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4"/>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c r="BU593" s="210"/>
      <c r="BV593" s="210"/>
      <c r="BW593" s="210"/>
      <c r="BX593" s="210"/>
      <c r="BY593" s="210"/>
      <c r="BZ593" s="210"/>
      <c r="CA593" s="210"/>
      <c r="CB593" s="210"/>
      <c r="CC593" s="210"/>
      <c r="CD593" s="210"/>
      <c r="CE593" s="210"/>
      <c r="CF593" s="210"/>
      <c r="CG593" s="210"/>
      <c r="CH593" s="210"/>
      <c r="CI593" s="210"/>
      <c r="CJ593" s="210"/>
      <c r="CK593" s="210"/>
    </row>
    <row r="594">
      <c r="A594" s="220"/>
      <c r="F594" s="190"/>
      <c r="G594" s="190"/>
      <c r="L594" s="220"/>
      <c r="M594" s="22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4"/>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c r="BU594" s="210"/>
      <c r="BV594" s="210"/>
      <c r="BW594" s="210"/>
      <c r="BX594" s="210"/>
      <c r="BY594" s="210"/>
      <c r="BZ594" s="210"/>
      <c r="CA594" s="210"/>
      <c r="CB594" s="210"/>
      <c r="CC594" s="210"/>
      <c r="CD594" s="210"/>
      <c r="CE594" s="210"/>
      <c r="CF594" s="210"/>
      <c r="CG594" s="210"/>
      <c r="CH594" s="210"/>
      <c r="CI594" s="210"/>
      <c r="CJ594" s="210"/>
      <c r="CK594" s="210"/>
    </row>
    <row r="595">
      <c r="A595" s="220"/>
      <c r="F595" s="190"/>
      <c r="G595" s="190"/>
      <c r="L595" s="220"/>
      <c r="M595" s="22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4"/>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c r="BU595" s="210"/>
      <c r="BV595" s="210"/>
      <c r="BW595" s="210"/>
      <c r="BX595" s="210"/>
      <c r="BY595" s="210"/>
      <c r="BZ595" s="210"/>
      <c r="CA595" s="210"/>
      <c r="CB595" s="210"/>
      <c r="CC595" s="210"/>
      <c r="CD595" s="210"/>
      <c r="CE595" s="210"/>
      <c r="CF595" s="210"/>
      <c r="CG595" s="210"/>
      <c r="CH595" s="210"/>
      <c r="CI595" s="210"/>
      <c r="CJ595" s="210"/>
      <c r="CK595" s="210"/>
    </row>
    <row r="596">
      <c r="A596" s="220"/>
      <c r="F596" s="190"/>
      <c r="G596" s="190"/>
      <c r="L596" s="220"/>
      <c r="M596" s="22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4"/>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c r="BU596" s="210"/>
      <c r="BV596" s="210"/>
      <c r="BW596" s="210"/>
      <c r="BX596" s="210"/>
      <c r="BY596" s="210"/>
      <c r="BZ596" s="210"/>
      <c r="CA596" s="210"/>
      <c r="CB596" s="210"/>
      <c r="CC596" s="210"/>
      <c r="CD596" s="210"/>
      <c r="CE596" s="210"/>
      <c r="CF596" s="210"/>
      <c r="CG596" s="210"/>
      <c r="CH596" s="210"/>
      <c r="CI596" s="210"/>
      <c r="CJ596" s="210"/>
      <c r="CK596" s="210"/>
    </row>
    <row r="597">
      <c r="A597" s="220"/>
      <c r="F597" s="190"/>
      <c r="G597" s="190"/>
      <c r="L597" s="220"/>
      <c r="M597" s="22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4"/>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c r="BU597" s="210"/>
      <c r="BV597" s="210"/>
      <c r="BW597" s="210"/>
      <c r="BX597" s="210"/>
      <c r="BY597" s="210"/>
      <c r="BZ597" s="210"/>
      <c r="CA597" s="210"/>
      <c r="CB597" s="210"/>
      <c r="CC597" s="210"/>
      <c r="CD597" s="210"/>
      <c r="CE597" s="210"/>
      <c r="CF597" s="210"/>
      <c r="CG597" s="210"/>
      <c r="CH597" s="210"/>
      <c r="CI597" s="210"/>
      <c r="CJ597" s="210"/>
      <c r="CK597" s="210"/>
    </row>
    <row r="598">
      <c r="A598" s="220"/>
      <c r="F598" s="190"/>
      <c r="G598" s="190"/>
      <c r="L598" s="220"/>
      <c r="M598" s="22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4"/>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c r="BU598" s="210"/>
      <c r="BV598" s="210"/>
      <c r="BW598" s="210"/>
      <c r="BX598" s="210"/>
      <c r="BY598" s="210"/>
      <c r="BZ598" s="210"/>
      <c r="CA598" s="210"/>
      <c r="CB598" s="210"/>
      <c r="CC598" s="210"/>
      <c r="CD598" s="210"/>
      <c r="CE598" s="210"/>
      <c r="CF598" s="210"/>
      <c r="CG598" s="210"/>
      <c r="CH598" s="210"/>
      <c r="CI598" s="210"/>
      <c r="CJ598" s="210"/>
      <c r="CK598" s="210"/>
    </row>
    <row r="599">
      <c r="A599" s="220"/>
      <c r="F599" s="190"/>
      <c r="G599" s="190"/>
      <c r="L599" s="220"/>
      <c r="M599" s="22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4"/>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c r="BU599" s="210"/>
      <c r="BV599" s="210"/>
      <c r="BW599" s="210"/>
      <c r="BX599" s="210"/>
      <c r="BY599" s="210"/>
      <c r="BZ599" s="210"/>
      <c r="CA599" s="210"/>
      <c r="CB599" s="210"/>
      <c r="CC599" s="210"/>
      <c r="CD599" s="210"/>
      <c r="CE599" s="210"/>
      <c r="CF599" s="210"/>
      <c r="CG599" s="210"/>
      <c r="CH599" s="210"/>
      <c r="CI599" s="210"/>
      <c r="CJ599" s="210"/>
      <c r="CK599" s="210"/>
    </row>
    <row r="600">
      <c r="A600" s="220"/>
      <c r="F600" s="190"/>
      <c r="G600" s="190"/>
      <c r="L600" s="220"/>
      <c r="M600" s="22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4"/>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c r="BU600" s="210"/>
      <c r="BV600" s="210"/>
      <c r="BW600" s="210"/>
      <c r="BX600" s="210"/>
      <c r="BY600" s="210"/>
      <c r="BZ600" s="210"/>
      <c r="CA600" s="210"/>
      <c r="CB600" s="210"/>
      <c r="CC600" s="210"/>
      <c r="CD600" s="210"/>
      <c r="CE600" s="210"/>
      <c r="CF600" s="210"/>
      <c r="CG600" s="210"/>
      <c r="CH600" s="210"/>
      <c r="CI600" s="210"/>
      <c r="CJ600" s="210"/>
      <c r="CK600" s="210"/>
    </row>
    <row r="601">
      <c r="A601" s="220"/>
      <c r="F601" s="190"/>
      <c r="G601" s="190"/>
      <c r="L601" s="220"/>
      <c r="M601" s="22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4"/>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c r="BU601" s="210"/>
      <c r="BV601" s="210"/>
      <c r="BW601" s="210"/>
      <c r="BX601" s="210"/>
      <c r="BY601" s="210"/>
      <c r="BZ601" s="210"/>
      <c r="CA601" s="210"/>
      <c r="CB601" s="210"/>
      <c r="CC601" s="210"/>
      <c r="CD601" s="210"/>
      <c r="CE601" s="210"/>
      <c r="CF601" s="210"/>
      <c r="CG601" s="210"/>
      <c r="CH601" s="210"/>
      <c r="CI601" s="210"/>
      <c r="CJ601" s="210"/>
      <c r="CK601" s="210"/>
    </row>
    <row r="602">
      <c r="A602" s="220"/>
      <c r="F602" s="190"/>
      <c r="G602" s="190"/>
      <c r="L602" s="220"/>
      <c r="M602" s="22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4"/>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c r="BU602" s="210"/>
      <c r="BV602" s="210"/>
      <c r="BW602" s="210"/>
      <c r="BX602" s="210"/>
      <c r="BY602" s="210"/>
      <c r="BZ602" s="210"/>
      <c r="CA602" s="210"/>
      <c r="CB602" s="210"/>
      <c r="CC602" s="210"/>
      <c r="CD602" s="210"/>
      <c r="CE602" s="210"/>
      <c r="CF602" s="210"/>
      <c r="CG602" s="210"/>
      <c r="CH602" s="210"/>
      <c r="CI602" s="210"/>
      <c r="CJ602" s="210"/>
      <c r="CK602" s="210"/>
    </row>
    <row r="603">
      <c r="A603" s="220"/>
      <c r="F603" s="190"/>
      <c r="G603" s="190"/>
      <c r="L603" s="220"/>
      <c r="M603" s="22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4"/>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c r="BU603" s="210"/>
      <c r="BV603" s="210"/>
      <c r="BW603" s="210"/>
      <c r="BX603" s="210"/>
      <c r="BY603" s="210"/>
      <c r="BZ603" s="210"/>
      <c r="CA603" s="210"/>
      <c r="CB603" s="210"/>
      <c r="CC603" s="210"/>
      <c r="CD603" s="210"/>
      <c r="CE603" s="210"/>
      <c r="CF603" s="210"/>
      <c r="CG603" s="210"/>
      <c r="CH603" s="210"/>
      <c r="CI603" s="210"/>
      <c r="CJ603" s="210"/>
      <c r="CK603" s="210"/>
    </row>
    <row r="604">
      <c r="A604" s="220"/>
      <c r="F604" s="190"/>
      <c r="G604" s="190"/>
      <c r="L604" s="220"/>
      <c r="M604" s="22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4"/>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c r="BU604" s="210"/>
      <c r="BV604" s="210"/>
      <c r="BW604" s="210"/>
      <c r="BX604" s="210"/>
      <c r="BY604" s="210"/>
      <c r="BZ604" s="210"/>
      <c r="CA604" s="210"/>
      <c r="CB604" s="210"/>
      <c r="CC604" s="210"/>
      <c r="CD604" s="210"/>
      <c r="CE604" s="210"/>
      <c r="CF604" s="210"/>
      <c r="CG604" s="210"/>
      <c r="CH604" s="210"/>
      <c r="CI604" s="210"/>
      <c r="CJ604" s="210"/>
      <c r="CK604" s="210"/>
    </row>
    <row r="605">
      <c r="A605" s="220"/>
      <c r="F605" s="190"/>
      <c r="G605" s="190"/>
      <c r="L605" s="220"/>
      <c r="M605" s="22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4"/>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c r="BU605" s="210"/>
      <c r="BV605" s="210"/>
      <c r="BW605" s="210"/>
      <c r="BX605" s="210"/>
      <c r="BY605" s="210"/>
      <c r="BZ605" s="210"/>
      <c r="CA605" s="210"/>
      <c r="CB605" s="210"/>
      <c r="CC605" s="210"/>
      <c r="CD605" s="210"/>
      <c r="CE605" s="210"/>
      <c r="CF605" s="210"/>
      <c r="CG605" s="210"/>
      <c r="CH605" s="210"/>
      <c r="CI605" s="210"/>
      <c r="CJ605" s="210"/>
      <c r="CK605" s="210"/>
    </row>
    <row r="606">
      <c r="A606" s="220"/>
      <c r="F606" s="190"/>
      <c r="G606" s="190"/>
      <c r="L606" s="220"/>
      <c r="M606" s="22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4"/>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c r="BU606" s="210"/>
      <c r="BV606" s="210"/>
      <c r="BW606" s="210"/>
      <c r="BX606" s="210"/>
      <c r="BY606" s="210"/>
      <c r="BZ606" s="210"/>
      <c r="CA606" s="210"/>
      <c r="CB606" s="210"/>
      <c r="CC606" s="210"/>
      <c r="CD606" s="210"/>
      <c r="CE606" s="210"/>
      <c r="CF606" s="210"/>
      <c r="CG606" s="210"/>
      <c r="CH606" s="210"/>
      <c r="CI606" s="210"/>
      <c r="CJ606" s="210"/>
      <c r="CK606" s="210"/>
    </row>
    <row r="607">
      <c r="A607" s="220"/>
      <c r="F607" s="190"/>
      <c r="G607" s="190"/>
      <c r="L607" s="220"/>
      <c r="M607" s="22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4"/>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c r="BU607" s="210"/>
      <c r="BV607" s="210"/>
      <c r="BW607" s="210"/>
      <c r="BX607" s="210"/>
      <c r="BY607" s="210"/>
      <c r="BZ607" s="210"/>
      <c r="CA607" s="210"/>
      <c r="CB607" s="210"/>
      <c r="CC607" s="210"/>
      <c r="CD607" s="210"/>
      <c r="CE607" s="210"/>
      <c r="CF607" s="210"/>
      <c r="CG607" s="210"/>
      <c r="CH607" s="210"/>
      <c r="CI607" s="210"/>
      <c r="CJ607" s="210"/>
      <c r="CK607" s="210"/>
    </row>
    <row r="608">
      <c r="A608" s="220"/>
      <c r="F608" s="190"/>
      <c r="G608" s="190"/>
      <c r="L608" s="220"/>
      <c r="M608" s="22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4"/>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c r="BU608" s="210"/>
      <c r="BV608" s="210"/>
      <c r="BW608" s="210"/>
      <c r="BX608" s="210"/>
      <c r="BY608" s="210"/>
      <c r="BZ608" s="210"/>
      <c r="CA608" s="210"/>
      <c r="CB608" s="210"/>
      <c r="CC608" s="210"/>
      <c r="CD608" s="210"/>
      <c r="CE608" s="210"/>
      <c r="CF608" s="210"/>
      <c r="CG608" s="210"/>
      <c r="CH608" s="210"/>
      <c r="CI608" s="210"/>
      <c r="CJ608" s="210"/>
      <c r="CK608" s="210"/>
    </row>
    <row r="609">
      <c r="A609" s="220"/>
      <c r="F609" s="190"/>
      <c r="G609" s="190"/>
      <c r="L609" s="220"/>
      <c r="M609" s="22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4"/>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c r="BU609" s="210"/>
      <c r="BV609" s="210"/>
      <c r="BW609" s="210"/>
      <c r="BX609" s="210"/>
      <c r="BY609" s="210"/>
      <c r="BZ609" s="210"/>
      <c r="CA609" s="210"/>
      <c r="CB609" s="210"/>
      <c r="CC609" s="210"/>
      <c r="CD609" s="210"/>
      <c r="CE609" s="210"/>
      <c r="CF609" s="210"/>
      <c r="CG609" s="210"/>
      <c r="CH609" s="210"/>
      <c r="CI609" s="210"/>
      <c r="CJ609" s="210"/>
      <c r="CK609" s="210"/>
    </row>
    <row r="610">
      <c r="A610" s="220"/>
      <c r="F610" s="190"/>
      <c r="G610" s="190"/>
      <c r="L610" s="220"/>
      <c r="M610" s="22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4"/>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c r="BU610" s="210"/>
      <c r="BV610" s="210"/>
      <c r="BW610" s="210"/>
      <c r="BX610" s="210"/>
      <c r="BY610" s="210"/>
      <c r="BZ610" s="210"/>
      <c r="CA610" s="210"/>
      <c r="CB610" s="210"/>
      <c r="CC610" s="210"/>
      <c r="CD610" s="210"/>
      <c r="CE610" s="210"/>
      <c r="CF610" s="210"/>
      <c r="CG610" s="210"/>
      <c r="CH610" s="210"/>
      <c r="CI610" s="210"/>
      <c r="CJ610" s="210"/>
      <c r="CK610" s="210"/>
    </row>
    <row r="611">
      <c r="A611" s="220"/>
      <c r="F611" s="190"/>
      <c r="G611" s="190"/>
      <c r="L611" s="220"/>
      <c r="M611" s="22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4"/>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c r="BU611" s="210"/>
      <c r="BV611" s="210"/>
      <c r="BW611" s="210"/>
      <c r="BX611" s="210"/>
      <c r="BY611" s="210"/>
      <c r="BZ611" s="210"/>
      <c r="CA611" s="210"/>
      <c r="CB611" s="210"/>
      <c r="CC611" s="210"/>
      <c r="CD611" s="210"/>
      <c r="CE611" s="210"/>
      <c r="CF611" s="210"/>
      <c r="CG611" s="210"/>
      <c r="CH611" s="210"/>
      <c r="CI611" s="210"/>
      <c r="CJ611" s="210"/>
      <c r="CK611" s="210"/>
    </row>
    <row r="612">
      <c r="A612" s="220"/>
      <c r="F612" s="190"/>
      <c r="G612" s="190"/>
      <c r="L612" s="220"/>
      <c r="M612" s="22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4"/>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c r="BU612" s="210"/>
      <c r="BV612" s="210"/>
      <c r="BW612" s="210"/>
      <c r="BX612" s="210"/>
      <c r="BY612" s="210"/>
      <c r="BZ612" s="210"/>
      <c r="CA612" s="210"/>
      <c r="CB612" s="210"/>
      <c r="CC612" s="210"/>
      <c r="CD612" s="210"/>
      <c r="CE612" s="210"/>
      <c r="CF612" s="210"/>
      <c r="CG612" s="210"/>
      <c r="CH612" s="210"/>
      <c r="CI612" s="210"/>
      <c r="CJ612" s="210"/>
      <c r="CK612" s="210"/>
    </row>
    <row r="613">
      <c r="A613" s="220"/>
      <c r="F613" s="190"/>
      <c r="G613" s="190"/>
      <c r="L613" s="220"/>
      <c r="M613" s="22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4"/>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c r="BU613" s="210"/>
      <c r="BV613" s="210"/>
      <c r="BW613" s="210"/>
      <c r="BX613" s="210"/>
      <c r="BY613" s="210"/>
      <c r="BZ613" s="210"/>
      <c r="CA613" s="210"/>
      <c r="CB613" s="210"/>
      <c r="CC613" s="210"/>
      <c r="CD613" s="210"/>
      <c r="CE613" s="210"/>
      <c r="CF613" s="210"/>
      <c r="CG613" s="210"/>
      <c r="CH613" s="210"/>
      <c r="CI613" s="210"/>
      <c r="CJ613" s="210"/>
      <c r="CK613" s="210"/>
    </row>
    <row r="614">
      <c r="A614" s="220"/>
      <c r="F614" s="190"/>
      <c r="G614" s="190"/>
      <c r="L614" s="220"/>
      <c r="M614" s="22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4"/>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c r="BU614" s="210"/>
      <c r="BV614" s="210"/>
      <c r="BW614" s="210"/>
      <c r="BX614" s="210"/>
      <c r="BY614" s="210"/>
      <c r="BZ614" s="210"/>
      <c r="CA614" s="210"/>
      <c r="CB614" s="210"/>
      <c r="CC614" s="210"/>
      <c r="CD614" s="210"/>
      <c r="CE614" s="210"/>
      <c r="CF614" s="210"/>
      <c r="CG614" s="210"/>
      <c r="CH614" s="210"/>
      <c r="CI614" s="210"/>
      <c r="CJ614" s="210"/>
      <c r="CK614" s="210"/>
    </row>
    <row r="615">
      <c r="A615" s="220"/>
      <c r="F615" s="190"/>
      <c r="G615" s="190"/>
      <c r="L615" s="220"/>
      <c r="M615" s="22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4"/>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c r="BU615" s="210"/>
      <c r="BV615" s="210"/>
      <c r="BW615" s="210"/>
      <c r="BX615" s="210"/>
      <c r="BY615" s="210"/>
      <c r="BZ615" s="210"/>
      <c r="CA615" s="210"/>
      <c r="CB615" s="210"/>
      <c r="CC615" s="210"/>
      <c r="CD615" s="210"/>
      <c r="CE615" s="210"/>
      <c r="CF615" s="210"/>
      <c r="CG615" s="210"/>
      <c r="CH615" s="210"/>
      <c r="CI615" s="210"/>
      <c r="CJ615" s="210"/>
      <c r="CK615" s="210"/>
    </row>
    <row r="616">
      <c r="A616" s="220"/>
      <c r="F616" s="190"/>
      <c r="G616" s="190"/>
      <c r="L616" s="220"/>
      <c r="M616" s="22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4"/>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c r="BU616" s="210"/>
      <c r="BV616" s="210"/>
      <c r="BW616" s="210"/>
      <c r="BX616" s="210"/>
      <c r="BY616" s="210"/>
      <c r="BZ616" s="210"/>
      <c r="CA616" s="210"/>
      <c r="CB616" s="210"/>
      <c r="CC616" s="210"/>
      <c r="CD616" s="210"/>
      <c r="CE616" s="210"/>
      <c r="CF616" s="210"/>
      <c r="CG616" s="210"/>
      <c r="CH616" s="210"/>
      <c r="CI616" s="210"/>
      <c r="CJ616" s="210"/>
      <c r="CK616" s="210"/>
    </row>
    <row r="617">
      <c r="A617" s="220"/>
      <c r="F617" s="190"/>
      <c r="G617" s="190"/>
      <c r="L617" s="220"/>
      <c r="M617" s="22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4"/>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c r="BU617" s="210"/>
      <c r="BV617" s="210"/>
      <c r="BW617" s="210"/>
      <c r="BX617" s="210"/>
      <c r="BY617" s="210"/>
      <c r="BZ617" s="210"/>
      <c r="CA617" s="210"/>
      <c r="CB617" s="210"/>
      <c r="CC617" s="210"/>
      <c r="CD617" s="210"/>
      <c r="CE617" s="210"/>
      <c r="CF617" s="210"/>
      <c r="CG617" s="210"/>
      <c r="CH617" s="210"/>
      <c r="CI617" s="210"/>
      <c r="CJ617" s="210"/>
      <c r="CK617" s="210"/>
    </row>
    <row r="618">
      <c r="A618" s="220"/>
      <c r="F618" s="190"/>
      <c r="G618" s="190"/>
      <c r="L618" s="220"/>
      <c r="M618" s="22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4"/>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c r="BU618" s="210"/>
      <c r="BV618" s="210"/>
      <c r="BW618" s="210"/>
      <c r="BX618" s="210"/>
      <c r="BY618" s="210"/>
      <c r="BZ618" s="210"/>
      <c r="CA618" s="210"/>
      <c r="CB618" s="210"/>
      <c r="CC618" s="210"/>
      <c r="CD618" s="210"/>
      <c r="CE618" s="210"/>
      <c r="CF618" s="210"/>
      <c r="CG618" s="210"/>
      <c r="CH618" s="210"/>
      <c r="CI618" s="210"/>
      <c r="CJ618" s="210"/>
      <c r="CK618" s="210"/>
    </row>
    <row r="619">
      <c r="A619" s="220"/>
      <c r="F619" s="190"/>
      <c r="G619" s="190"/>
      <c r="L619" s="220"/>
      <c r="M619" s="22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4"/>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c r="BU619" s="210"/>
      <c r="BV619" s="210"/>
      <c r="BW619" s="210"/>
      <c r="BX619" s="210"/>
      <c r="BY619" s="210"/>
      <c r="BZ619" s="210"/>
      <c r="CA619" s="210"/>
      <c r="CB619" s="210"/>
      <c r="CC619" s="210"/>
      <c r="CD619" s="210"/>
      <c r="CE619" s="210"/>
      <c r="CF619" s="210"/>
      <c r="CG619" s="210"/>
      <c r="CH619" s="210"/>
      <c r="CI619" s="210"/>
      <c r="CJ619" s="210"/>
      <c r="CK619" s="210"/>
    </row>
    <row r="620">
      <c r="A620" s="220"/>
      <c r="F620" s="190"/>
      <c r="G620" s="190"/>
      <c r="L620" s="220"/>
      <c r="M620" s="22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4"/>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c r="BU620" s="210"/>
      <c r="BV620" s="210"/>
      <c r="BW620" s="210"/>
      <c r="BX620" s="210"/>
      <c r="BY620" s="210"/>
      <c r="BZ620" s="210"/>
      <c r="CA620" s="210"/>
      <c r="CB620" s="210"/>
      <c r="CC620" s="210"/>
      <c r="CD620" s="210"/>
      <c r="CE620" s="210"/>
      <c r="CF620" s="210"/>
      <c r="CG620" s="210"/>
      <c r="CH620" s="210"/>
      <c r="CI620" s="210"/>
      <c r="CJ620" s="210"/>
      <c r="CK620" s="210"/>
    </row>
    <row r="621">
      <c r="A621" s="220"/>
      <c r="F621" s="190"/>
      <c r="G621" s="190"/>
      <c r="L621" s="220"/>
      <c r="M621" s="22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4"/>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c r="BU621" s="210"/>
      <c r="BV621" s="210"/>
      <c r="BW621" s="210"/>
      <c r="BX621" s="210"/>
      <c r="BY621" s="210"/>
      <c r="BZ621" s="210"/>
      <c r="CA621" s="210"/>
      <c r="CB621" s="210"/>
      <c r="CC621" s="210"/>
      <c r="CD621" s="210"/>
      <c r="CE621" s="210"/>
      <c r="CF621" s="210"/>
      <c r="CG621" s="210"/>
      <c r="CH621" s="210"/>
      <c r="CI621" s="210"/>
      <c r="CJ621" s="210"/>
      <c r="CK621" s="210"/>
    </row>
    <row r="622">
      <c r="A622" s="220"/>
      <c r="F622" s="190"/>
      <c r="G622" s="190"/>
      <c r="L622" s="220"/>
      <c r="M622" s="22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4"/>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c r="BU622" s="210"/>
      <c r="BV622" s="210"/>
      <c r="BW622" s="210"/>
      <c r="BX622" s="210"/>
      <c r="BY622" s="210"/>
      <c r="BZ622" s="210"/>
      <c r="CA622" s="210"/>
      <c r="CB622" s="210"/>
      <c r="CC622" s="210"/>
      <c r="CD622" s="210"/>
      <c r="CE622" s="210"/>
      <c r="CF622" s="210"/>
      <c r="CG622" s="210"/>
      <c r="CH622" s="210"/>
      <c r="CI622" s="210"/>
      <c r="CJ622" s="210"/>
      <c r="CK622" s="210"/>
    </row>
    <row r="623">
      <c r="A623" s="220"/>
      <c r="F623" s="190"/>
      <c r="G623" s="190"/>
      <c r="L623" s="220"/>
      <c r="M623" s="22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4"/>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c r="BU623" s="210"/>
      <c r="BV623" s="210"/>
      <c r="BW623" s="210"/>
      <c r="BX623" s="210"/>
      <c r="BY623" s="210"/>
      <c r="BZ623" s="210"/>
      <c r="CA623" s="210"/>
      <c r="CB623" s="210"/>
      <c r="CC623" s="210"/>
      <c r="CD623" s="210"/>
      <c r="CE623" s="210"/>
      <c r="CF623" s="210"/>
      <c r="CG623" s="210"/>
      <c r="CH623" s="210"/>
      <c r="CI623" s="210"/>
      <c r="CJ623" s="210"/>
      <c r="CK623" s="210"/>
    </row>
    <row r="624">
      <c r="A624" s="220"/>
      <c r="F624" s="190"/>
      <c r="G624" s="190"/>
      <c r="L624" s="220"/>
      <c r="M624" s="22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4"/>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c r="BU624" s="210"/>
      <c r="BV624" s="210"/>
      <c r="BW624" s="210"/>
      <c r="BX624" s="210"/>
      <c r="BY624" s="210"/>
      <c r="BZ624" s="210"/>
      <c r="CA624" s="210"/>
      <c r="CB624" s="210"/>
      <c r="CC624" s="210"/>
      <c r="CD624" s="210"/>
      <c r="CE624" s="210"/>
      <c r="CF624" s="210"/>
      <c r="CG624" s="210"/>
      <c r="CH624" s="210"/>
      <c r="CI624" s="210"/>
      <c r="CJ624" s="210"/>
      <c r="CK624" s="210"/>
    </row>
    <row r="625">
      <c r="A625" s="220"/>
      <c r="F625" s="190"/>
      <c r="G625" s="190"/>
      <c r="L625" s="220"/>
      <c r="M625" s="22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4"/>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c r="BU625" s="210"/>
      <c r="BV625" s="210"/>
      <c r="BW625" s="210"/>
      <c r="BX625" s="210"/>
      <c r="BY625" s="210"/>
      <c r="BZ625" s="210"/>
      <c r="CA625" s="210"/>
      <c r="CB625" s="210"/>
      <c r="CC625" s="210"/>
      <c r="CD625" s="210"/>
      <c r="CE625" s="210"/>
      <c r="CF625" s="210"/>
      <c r="CG625" s="210"/>
      <c r="CH625" s="210"/>
      <c r="CI625" s="210"/>
      <c r="CJ625" s="210"/>
      <c r="CK625" s="210"/>
    </row>
    <row r="626">
      <c r="A626" s="220"/>
      <c r="F626" s="190"/>
      <c r="G626" s="190"/>
      <c r="L626" s="220"/>
      <c r="M626" s="22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4"/>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c r="BU626" s="210"/>
      <c r="BV626" s="210"/>
      <c r="BW626" s="210"/>
      <c r="BX626" s="210"/>
      <c r="BY626" s="210"/>
      <c r="BZ626" s="210"/>
      <c r="CA626" s="210"/>
      <c r="CB626" s="210"/>
      <c r="CC626" s="210"/>
      <c r="CD626" s="210"/>
      <c r="CE626" s="210"/>
      <c r="CF626" s="210"/>
      <c r="CG626" s="210"/>
      <c r="CH626" s="210"/>
      <c r="CI626" s="210"/>
      <c r="CJ626" s="210"/>
      <c r="CK626" s="210"/>
    </row>
    <row r="627">
      <c r="A627" s="220"/>
      <c r="F627" s="190"/>
      <c r="G627" s="190"/>
      <c r="L627" s="220"/>
      <c r="M627" s="22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4"/>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c r="BU627" s="210"/>
      <c r="BV627" s="210"/>
      <c r="BW627" s="210"/>
      <c r="BX627" s="210"/>
      <c r="BY627" s="210"/>
      <c r="BZ627" s="210"/>
      <c r="CA627" s="210"/>
      <c r="CB627" s="210"/>
      <c r="CC627" s="210"/>
      <c r="CD627" s="210"/>
      <c r="CE627" s="210"/>
      <c r="CF627" s="210"/>
      <c r="CG627" s="210"/>
      <c r="CH627" s="210"/>
      <c r="CI627" s="210"/>
      <c r="CJ627" s="210"/>
      <c r="CK627" s="210"/>
    </row>
    <row r="628">
      <c r="A628" s="220"/>
      <c r="F628" s="190"/>
      <c r="G628" s="190"/>
      <c r="L628" s="220"/>
      <c r="M628" s="22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4"/>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c r="BU628" s="210"/>
      <c r="BV628" s="210"/>
      <c r="BW628" s="210"/>
      <c r="BX628" s="210"/>
      <c r="BY628" s="210"/>
      <c r="BZ628" s="210"/>
      <c r="CA628" s="210"/>
      <c r="CB628" s="210"/>
      <c r="CC628" s="210"/>
      <c r="CD628" s="210"/>
      <c r="CE628" s="210"/>
      <c r="CF628" s="210"/>
      <c r="CG628" s="210"/>
      <c r="CH628" s="210"/>
      <c r="CI628" s="210"/>
      <c r="CJ628" s="210"/>
      <c r="CK628" s="210"/>
    </row>
    <row r="629">
      <c r="A629" s="220"/>
      <c r="F629" s="190"/>
      <c r="G629" s="190"/>
      <c r="L629" s="220"/>
      <c r="M629" s="22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4"/>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c r="BU629" s="210"/>
      <c r="BV629" s="210"/>
      <c r="BW629" s="210"/>
      <c r="BX629" s="210"/>
      <c r="BY629" s="210"/>
      <c r="BZ629" s="210"/>
      <c r="CA629" s="210"/>
      <c r="CB629" s="210"/>
      <c r="CC629" s="210"/>
      <c r="CD629" s="210"/>
      <c r="CE629" s="210"/>
      <c r="CF629" s="210"/>
      <c r="CG629" s="210"/>
      <c r="CH629" s="210"/>
      <c r="CI629" s="210"/>
      <c r="CJ629" s="210"/>
      <c r="CK629" s="210"/>
    </row>
    <row r="630">
      <c r="A630" s="220"/>
      <c r="F630" s="190"/>
      <c r="G630" s="190"/>
      <c r="L630" s="220"/>
      <c r="M630" s="22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4"/>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c r="BU630" s="210"/>
      <c r="BV630" s="210"/>
      <c r="BW630" s="210"/>
      <c r="BX630" s="210"/>
      <c r="BY630" s="210"/>
      <c r="BZ630" s="210"/>
      <c r="CA630" s="210"/>
      <c r="CB630" s="210"/>
      <c r="CC630" s="210"/>
      <c r="CD630" s="210"/>
      <c r="CE630" s="210"/>
      <c r="CF630" s="210"/>
      <c r="CG630" s="210"/>
      <c r="CH630" s="210"/>
      <c r="CI630" s="210"/>
      <c r="CJ630" s="210"/>
      <c r="CK630" s="210"/>
    </row>
    <row r="631">
      <c r="A631" s="220"/>
      <c r="F631" s="190"/>
      <c r="G631" s="190"/>
      <c r="L631" s="220"/>
      <c r="M631" s="22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4"/>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c r="BU631" s="210"/>
      <c r="BV631" s="210"/>
      <c r="BW631" s="210"/>
      <c r="BX631" s="210"/>
      <c r="BY631" s="210"/>
      <c r="BZ631" s="210"/>
      <c r="CA631" s="210"/>
      <c r="CB631" s="210"/>
      <c r="CC631" s="210"/>
      <c r="CD631" s="210"/>
      <c r="CE631" s="210"/>
      <c r="CF631" s="210"/>
      <c r="CG631" s="210"/>
      <c r="CH631" s="210"/>
      <c r="CI631" s="210"/>
      <c r="CJ631" s="210"/>
      <c r="CK631" s="210"/>
    </row>
    <row r="632">
      <c r="A632" s="220"/>
      <c r="F632" s="190"/>
      <c r="G632" s="190"/>
      <c r="L632" s="220"/>
      <c r="M632" s="22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4"/>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c r="BU632" s="210"/>
      <c r="BV632" s="210"/>
      <c r="BW632" s="210"/>
      <c r="BX632" s="210"/>
      <c r="BY632" s="210"/>
      <c r="BZ632" s="210"/>
      <c r="CA632" s="210"/>
      <c r="CB632" s="210"/>
      <c r="CC632" s="210"/>
      <c r="CD632" s="210"/>
      <c r="CE632" s="210"/>
      <c r="CF632" s="210"/>
      <c r="CG632" s="210"/>
      <c r="CH632" s="210"/>
      <c r="CI632" s="210"/>
      <c r="CJ632" s="210"/>
      <c r="CK632" s="210"/>
    </row>
    <row r="633">
      <c r="A633" s="220"/>
      <c r="F633" s="190"/>
      <c r="G633" s="190"/>
      <c r="L633" s="220"/>
      <c r="M633" s="22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4"/>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c r="BU633" s="210"/>
      <c r="BV633" s="210"/>
      <c r="BW633" s="210"/>
      <c r="BX633" s="210"/>
      <c r="BY633" s="210"/>
      <c r="BZ633" s="210"/>
      <c r="CA633" s="210"/>
      <c r="CB633" s="210"/>
      <c r="CC633" s="210"/>
      <c r="CD633" s="210"/>
      <c r="CE633" s="210"/>
      <c r="CF633" s="210"/>
      <c r="CG633" s="210"/>
      <c r="CH633" s="210"/>
      <c r="CI633" s="210"/>
      <c r="CJ633" s="210"/>
      <c r="CK633" s="210"/>
    </row>
    <row r="634">
      <c r="A634" s="220"/>
      <c r="F634" s="190"/>
      <c r="G634" s="190"/>
      <c r="L634" s="220"/>
      <c r="M634" s="22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4"/>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c r="BU634" s="210"/>
      <c r="BV634" s="210"/>
      <c r="BW634" s="210"/>
      <c r="BX634" s="210"/>
      <c r="BY634" s="210"/>
      <c r="BZ634" s="210"/>
      <c r="CA634" s="210"/>
      <c r="CB634" s="210"/>
      <c r="CC634" s="210"/>
      <c r="CD634" s="210"/>
      <c r="CE634" s="210"/>
      <c r="CF634" s="210"/>
      <c r="CG634" s="210"/>
      <c r="CH634" s="210"/>
      <c r="CI634" s="210"/>
      <c r="CJ634" s="210"/>
      <c r="CK634" s="210"/>
    </row>
    <row r="635">
      <c r="A635" s="220"/>
      <c r="F635" s="190"/>
      <c r="G635" s="190"/>
      <c r="L635" s="220"/>
      <c r="M635" s="22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4"/>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c r="BU635" s="210"/>
      <c r="BV635" s="210"/>
      <c r="BW635" s="210"/>
      <c r="BX635" s="210"/>
      <c r="BY635" s="210"/>
      <c r="BZ635" s="210"/>
      <c r="CA635" s="210"/>
      <c r="CB635" s="210"/>
      <c r="CC635" s="210"/>
      <c r="CD635" s="210"/>
      <c r="CE635" s="210"/>
      <c r="CF635" s="210"/>
      <c r="CG635" s="210"/>
      <c r="CH635" s="210"/>
      <c r="CI635" s="210"/>
      <c r="CJ635" s="210"/>
      <c r="CK635" s="210"/>
    </row>
    <row r="636">
      <c r="A636" s="220"/>
      <c r="F636" s="190"/>
      <c r="G636" s="190"/>
      <c r="L636" s="220"/>
      <c r="M636" s="22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4"/>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c r="BU636" s="210"/>
      <c r="BV636" s="210"/>
      <c r="BW636" s="210"/>
      <c r="BX636" s="210"/>
      <c r="BY636" s="210"/>
      <c r="BZ636" s="210"/>
      <c r="CA636" s="210"/>
      <c r="CB636" s="210"/>
      <c r="CC636" s="210"/>
      <c r="CD636" s="210"/>
      <c r="CE636" s="210"/>
      <c r="CF636" s="210"/>
      <c r="CG636" s="210"/>
      <c r="CH636" s="210"/>
      <c r="CI636" s="210"/>
      <c r="CJ636" s="210"/>
      <c r="CK636" s="210"/>
    </row>
    <row r="637">
      <c r="A637" s="220"/>
      <c r="F637" s="190"/>
      <c r="G637" s="190"/>
      <c r="L637" s="220"/>
      <c r="M637" s="22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4"/>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c r="BU637" s="210"/>
      <c r="BV637" s="210"/>
      <c r="BW637" s="210"/>
      <c r="BX637" s="210"/>
      <c r="BY637" s="210"/>
      <c r="BZ637" s="210"/>
      <c r="CA637" s="210"/>
      <c r="CB637" s="210"/>
      <c r="CC637" s="210"/>
      <c r="CD637" s="210"/>
      <c r="CE637" s="210"/>
      <c r="CF637" s="210"/>
      <c r="CG637" s="210"/>
      <c r="CH637" s="210"/>
      <c r="CI637" s="210"/>
      <c r="CJ637" s="210"/>
      <c r="CK637" s="210"/>
    </row>
    <row r="638">
      <c r="A638" s="220"/>
      <c r="F638" s="190"/>
      <c r="G638" s="190"/>
      <c r="L638" s="220"/>
      <c r="M638" s="22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4"/>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c r="BU638" s="210"/>
      <c r="BV638" s="210"/>
      <c r="BW638" s="210"/>
      <c r="BX638" s="210"/>
      <c r="BY638" s="210"/>
      <c r="BZ638" s="210"/>
      <c r="CA638" s="210"/>
      <c r="CB638" s="210"/>
      <c r="CC638" s="210"/>
      <c r="CD638" s="210"/>
      <c r="CE638" s="210"/>
      <c r="CF638" s="210"/>
      <c r="CG638" s="210"/>
      <c r="CH638" s="210"/>
      <c r="CI638" s="210"/>
      <c r="CJ638" s="210"/>
      <c r="CK638" s="210"/>
    </row>
    <row r="639">
      <c r="A639" s="220"/>
      <c r="F639" s="190"/>
      <c r="G639" s="190"/>
      <c r="L639" s="220"/>
      <c r="M639" s="22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4"/>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c r="BU639" s="210"/>
      <c r="BV639" s="210"/>
      <c r="BW639" s="210"/>
      <c r="BX639" s="210"/>
      <c r="BY639" s="210"/>
      <c r="BZ639" s="210"/>
      <c r="CA639" s="210"/>
      <c r="CB639" s="210"/>
      <c r="CC639" s="210"/>
      <c r="CD639" s="210"/>
      <c r="CE639" s="210"/>
      <c r="CF639" s="210"/>
      <c r="CG639" s="210"/>
      <c r="CH639" s="210"/>
      <c r="CI639" s="210"/>
      <c r="CJ639" s="210"/>
      <c r="CK639" s="210"/>
    </row>
    <row r="640">
      <c r="A640" s="220"/>
      <c r="F640" s="190"/>
      <c r="G640" s="190"/>
      <c r="L640" s="220"/>
      <c r="M640" s="22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4"/>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c r="BU640" s="210"/>
      <c r="BV640" s="210"/>
      <c r="BW640" s="210"/>
      <c r="BX640" s="210"/>
      <c r="BY640" s="210"/>
      <c r="BZ640" s="210"/>
      <c r="CA640" s="210"/>
      <c r="CB640" s="210"/>
      <c r="CC640" s="210"/>
      <c r="CD640" s="210"/>
      <c r="CE640" s="210"/>
      <c r="CF640" s="210"/>
      <c r="CG640" s="210"/>
      <c r="CH640" s="210"/>
      <c r="CI640" s="210"/>
      <c r="CJ640" s="210"/>
      <c r="CK640" s="210"/>
    </row>
    <row r="641">
      <c r="A641" s="220"/>
      <c r="F641" s="190"/>
      <c r="G641" s="190"/>
      <c r="L641" s="220"/>
      <c r="M641" s="22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4"/>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c r="BU641" s="210"/>
      <c r="BV641" s="210"/>
      <c r="BW641" s="210"/>
      <c r="BX641" s="210"/>
      <c r="BY641" s="210"/>
      <c r="BZ641" s="210"/>
      <c r="CA641" s="210"/>
      <c r="CB641" s="210"/>
      <c r="CC641" s="210"/>
      <c r="CD641" s="210"/>
      <c r="CE641" s="210"/>
      <c r="CF641" s="210"/>
      <c r="CG641" s="210"/>
      <c r="CH641" s="210"/>
      <c r="CI641" s="210"/>
      <c r="CJ641" s="210"/>
      <c r="CK641" s="210"/>
    </row>
    <row r="642">
      <c r="A642" s="220"/>
      <c r="F642" s="190"/>
      <c r="G642" s="190"/>
      <c r="L642" s="220"/>
      <c r="M642" s="22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4"/>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c r="BU642" s="210"/>
      <c r="BV642" s="210"/>
      <c r="BW642" s="210"/>
      <c r="BX642" s="210"/>
      <c r="BY642" s="210"/>
      <c r="BZ642" s="210"/>
      <c r="CA642" s="210"/>
      <c r="CB642" s="210"/>
      <c r="CC642" s="210"/>
      <c r="CD642" s="210"/>
      <c r="CE642" s="210"/>
      <c r="CF642" s="210"/>
      <c r="CG642" s="210"/>
      <c r="CH642" s="210"/>
      <c r="CI642" s="210"/>
      <c r="CJ642" s="210"/>
      <c r="CK642" s="210"/>
    </row>
    <row r="643">
      <c r="A643" s="220"/>
      <c r="F643" s="190"/>
      <c r="G643" s="190"/>
      <c r="L643" s="220"/>
      <c r="M643" s="22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4"/>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c r="BU643" s="210"/>
      <c r="BV643" s="210"/>
      <c r="BW643" s="210"/>
      <c r="BX643" s="210"/>
      <c r="BY643" s="210"/>
      <c r="BZ643" s="210"/>
      <c r="CA643" s="210"/>
      <c r="CB643" s="210"/>
      <c r="CC643" s="210"/>
      <c r="CD643" s="210"/>
      <c r="CE643" s="210"/>
      <c r="CF643" s="210"/>
      <c r="CG643" s="210"/>
      <c r="CH643" s="210"/>
      <c r="CI643" s="210"/>
      <c r="CJ643" s="210"/>
      <c r="CK643" s="210"/>
    </row>
    <row r="644">
      <c r="A644" s="220"/>
      <c r="F644" s="190"/>
      <c r="G644" s="190"/>
      <c r="L644" s="220"/>
      <c r="M644" s="22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4"/>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c r="BU644" s="210"/>
      <c r="BV644" s="210"/>
      <c r="BW644" s="210"/>
      <c r="BX644" s="210"/>
      <c r="BY644" s="210"/>
      <c r="BZ644" s="210"/>
      <c r="CA644" s="210"/>
      <c r="CB644" s="210"/>
      <c r="CC644" s="210"/>
      <c r="CD644" s="210"/>
      <c r="CE644" s="210"/>
      <c r="CF644" s="210"/>
      <c r="CG644" s="210"/>
      <c r="CH644" s="210"/>
      <c r="CI644" s="210"/>
      <c r="CJ644" s="210"/>
      <c r="CK644" s="210"/>
    </row>
    <row r="645">
      <c r="A645" s="220"/>
      <c r="F645" s="190"/>
      <c r="G645" s="190"/>
      <c r="L645" s="220"/>
      <c r="M645" s="22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4"/>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c r="BU645" s="210"/>
      <c r="BV645" s="210"/>
      <c r="BW645" s="210"/>
      <c r="BX645" s="210"/>
      <c r="BY645" s="210"/>
      <c r="BZ645" s="210"/>
      <c r="CA645" s="210"/>
      <c r="CB645" s="210"/>
      <c r="CC645" s="210"/>
      <c r="CD645" s="210"/>
      <c r="CE645" s="210"/>
      <c r="CF645" s="210"/>
      <c r="CG645" s="210"/>
      <c r="CH645" s="210"/>
      <c r="CI645" s="210"/>
      <c r="CJ645" s="210"/>
      <c r="CK645" s="210"/>
    </row>
    <row r="646">
      <c r="A646" s="220"/>
      <c r="F646" s="190"/>
      <c r="G646" s="190"/>
      <c r="L646" s="220"/>
      <c r="M646" s="22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4"/>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c r="BU646" s="210"/>
      <c r="BV646" s="210"/>
      <c r="BW646" s="210"/>
      <c r="BX646" s="210"/>
      <c r="BY646" s="210"/>
      <c r="BZ646" s="210"/>
      <c r="CA646" s="210"/>
      <c r="CB646" s="210"/>
      <c r="CC646" s="210"/>
      <c r="CD646" s="210"/>
      <c r="CE646" s="210"/>
      <c r="CF646" s="210"/>
      <c r="CG646" s="210"/>
      <c r="CH646" s="210"/>
      <c r="CI646" s="210"/>
      <c r="CJ646" s="210"/>
      <c r="CK646" s="210"/>
    </row>
    <row r="647">
      <c r="A647" s="220"/>
      <c r="F647" s="190"/>
      <c r="G647" s="190"/>
      <c r="L647" s="220"/>
      <c r="M647" s="22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4"/>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c r="BU647" s="210"/>
      <c r="BV647" s="210"/>
      <c r="BW647" s="210"/>
      <c r="BX647" s="210"/>
      <c r="BY647" s="210"/>
      <c r="BZ647" s="210"/>
      <c r="CA647" s="210"/>
      <c r="CB647" s="210"/>
      <c r="CC647" s="210"/>
      <c r="CD647" s="210"/>
      <c r="CE647" s="210"/>
      <c r="CF647" s="210"/>
      <c r="CG647" s="210"/>
      <c r="CH647" s="210"/>
      <c r="CI647" s="210"/>
      <c r="CJ647" s="210"/>
      <c r="CK647" s="210"/>
    </row>
    <row r="648">
      <c r="A648" s="220"/>
      <c r="F648" s="190"/>
      <c r="G648" s="190"/>
      <c r="L648" s="220"/>
      <c r="M648" s="22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4"/>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c r="BU648" s="210"/>
      <c r="BV648" s="210"/>
      <c r="BW648" s="210"/>
      <c r="BX648" s="210"/>
      <c r="BY648" s="210"/>
      <c r="BZ648" s="210"/>
      <c r="CA648" s="210"/>
      <c r="CB648" s="210"/>
      <c r="CC648" s="210"/>
      <c r="CD648" s="210"/>
      <c r="CE648" s="210"/>
      <c r="CF648" s="210"/>
      <c r="CG648" s="210"/>
      <c r="CH648" s="210"/>
      <c r="CI648" s="210"/>
      <c r="CJ648" s="210"/>
      <c r="CK648" s="210"/>
    </row>
    <row r="649">
      <c r="A649" s="220"/>
      <c r="F649" s="190"/>
      <c r="G649" s="190"/>
      <c r="L649" s="220"/>
      <c r="M649" s="22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4"/>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c r="BU649" s="210"/>
      <c r="BV649" s="210"/>
      <c r="BW649" s="210"/>
      <c r="BX649" s="210"/>
      <c r="BY649" s="210"/>
      <c r="BZ649" s="210"/>
      <c r="CA649" s="210"/>
      <c r="CB649" s="210"/>
      <c r="CC649" s="210"/>
      <c r="CD649" s="210"/>
      <c r="CE649" s="210"/>
      <c r="CF649" s="210"/>
      <c r="CG649" s="210"/>
      <c r="CH649" s="210"/>
      <c r="CI649" s="210"/>
      <c r="CJ649" s="210"/>
      <c r="CK649" s="210"/>
    </row>
    <row r="650">
      <c r="A650" s="220"/>
      <c r="F650" s="190"/>
      <c r="G650" s="190"/>
      <c r="L650" s="220"/>
      <c r="M650" s="22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4"/>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c r="BU650" s="210"/>
      <c r="BV650" s="210"/>
      <c r="BW650" s="210"/>
      <c r="BX650" s="210"/>
      <c r="BY650" s="210"/>
      <c r="BZ650" s="210"/>
      <c r="CA650" s="210"/>
      <c r="CB650" s="210"/>
      <c r="CC650" s="210"/>
      <c r="CD650" s="210"/>
      <c r="CE650" s="210"/>
      <c r="CF650" s="210"/>
      <c r="CG650" s="210"/>
      <c r="CH650" s="210"/>
      <c r="CI650" s="210"/>
      <c r="CJ650" s="210"/>
      <c r="CK650" s="210"/>
    </row>
    <row r="651">
      <c r="A651" s="220"/>
      <c r="F651" s="190"/>
      <c r="G651" s="190"/>
      <c r="L651" s="220"/>
      <c r="M651" s="22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4"/>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c r="BU651" s="210"/>
      <c r="BV651" s="210"/>
      <c r="BW651" s="210"/>
      <c r="BX651" s="210"/>
      <c r="BY651" s="210"/>
      <c r="BZ651" s="210"/>
      <c r="CA651" s="210"/>
      <c r="CB651" s="210"/>
      <c r="CC651" s="210"/>
      <c r="CD651" s="210"/>
      <c r="CE651" s="210"/>
      <c r="CF651" s="210"/>
      <c r="CG651" s="210"/>
      <c r="CH651" s="210"/>
      <c r="CI651" s="210"/>
      <c r="CJ651" s="210"/>
      <c r="CK651" s="210"/>
    </row>
    <row r="652">
      <c r="A652" s="220"/>
      <c r="F652" s="190"/>
      <c r="G652" s="190"/>
      <c r="L652" s="220"/>
      <c r="M652" s="22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4"/>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c r="BU652" s="210"/>
      <c r="BV652" s="210"/>
      <c r="BW652" s="210"/>
      <c r="BX652" s="210"/>
      <c r="BY652" s="210"/>
      <c r="BZ652" s="210"/>
      <c r="CA652" s="210"/>
      <c r="CB652" s="210"/>
      <c r="CC652" s="210"/>
      <c r="CD652" s="210"/>
      <c r="CE652" s="210"/>
      <c r="CF652" s="210"/>
      <c r="CG652" s="210"/>
      <c r="CH652" s="210"/>
      <c r="CI652" s="210"/>
      <c r="CJ652" s="210"/>
      <c r="CK652" s="210"/>
    </row>
    <row r="653">
      <c r="A653" s="220"/>
      <c r="F653" s="190"/>
      <c r="G653" s="190"/>
      <c r="L653" s="220"/>
      <c r="M653" s="22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4"/>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c r="BU653" s="210"/>
      <c r="BV653" s="210"/>
      <c r="BW653" s="210"/>
      <c r="BX653" s="210"/>
      <c r="BY653" s="210"/>
      <c r="BZ653" s="210"/>
      <c r="CA653" s="210"/>
      <c r="CB653" s="210"/>
      <c r="CC653" s="210"/>
      <c r="CD653" s="210"/>
      <c r="CE653" s="210"/>
      <c r="CF653" s="210"/>
      <c r="CG653" s="210"/>
      <c r="CH653" s="210"/>
      <c r="CI653" s="210"/>
      <c r="CJ653" s="210"/>
      <c r="CK653" s="210"/>
    </row>
    <row r="654">
      <c r="A654" s="220"/>
      <c r="F654" s="190"/>
      <c r="G654" s="190"/>
      <c r="L654" s="220"/>
      <c r="M654" s="22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4"/>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c r="BU654" s="210"/>
      <c r="BV654" s="210"/>
      <c r="BW654" s="210"/>
      <c r="BX654" s="210"/>
      <c r="BY654" s="210"/>
      <c r="BZ654" s="210"/>
      <c r="CA654" s="210"/>
      <c r="CB654" s="210"/>
      <c r="CC654" s="210"/>
      <c r="CD654" s="210"/>
      <c r="CE654" s="210"/>
      <c r="CF654" s="210"/>
      <c r="CG654" s="210"/>
      <c r="CH654" s="210"/>
      <c r="CI654" s="210"/>
      <c r="CJ654" s="210"/>
      <c r="CK654" s="210"/>
    </row>
    <row r="655">
      <c r="A655" s="220"/>
      <c r="F655" s="190"/>
      <c r="G655" s="190"/>
      <c r="L655" s="220"/>
      <c r="M655" s="22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4"/>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c r="BU655" s="210"/>
      <c r="BV655" s="210"/>
      <c r="BW655" s="210"/>
      <c r="BX655" s="210"/>
      <c r="BY655" s="210"/>
      <c r="BZ655" s="210"/>
      <c r="CA655" s="210"/>
      <c r="CB655" s="210"/>
      <c r="CC655" s="210"/>
      <c r="CD655" s="210"/>
      <c r="CE655" s="210"/>
      <c r="CF655" s="210"/>
      <c r="CG655" s="210"/>
      <c r="CH655" s="210"/>
      <c r="CI655" s="210"/>
      <c r="CJ655" s="210"/>
      <c r="CK655" s="210"/>
    </row>
    <row r="656">
      <c r="A656" s="220"/>
      <c r="F656" s="190"/>
      <c r="G656" s="190"/>
      <c r="L656" s="220"/>
      <c r="M656" s="22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4"/>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c r="BU656" s="210"/>
      <c r="BV656" s="210"/>
      <c r="BW656" s="210"/>
      <c r="BX656" s="210"/>
      <c r="BY656" s="210"/>
      <c r="BZ656" s="210"/>
      <c r="CA656" s="210"/>
      <c r="CB656" s="210"/>
      <c r="CC656" s="210"/>
      <c r="CD656" s="210"/>
      <c r="CE656" s="210"/>
      <c r="CF656" s="210"/>
      <c r="CG656" s="210"/>
      <c r="CH656" s="210"/>
      <c r="CI656" s="210"/>
      <c r="CJ656" s="210"/>
      <c r="CK656" s="210"/>
    </row>
    <row r="657">
      <c r="A657" s="220"/>
      <c r="F657" s="190"/>
      <c r="G657" s="190"/>
      <c r="L657" s="220"/>
      <c r="M657" s="22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4"/>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c r="BU657" s="210"/>
      <c r="BV657" s="210"/>
      <c r="BW657" s="210"/>
      <c r="BX657" s="210"/>
      <c r="BY657" s="210"/>
      <c r="BZ657" s="210"/>
      <c r="CA657" s="210"/>
      <c r="CB657" s="210"/>
      <c r="CC657" s="210"/>
      <c r="CD657" s="210"/>
      <c r="CE657" s="210"/>
      <c r="CF657" s="210"/>
      <c r="CG657" s="210"/>
      <c r="CH657" s="210"/>
      <c r="CI657" s="210"/>
      <c r="CJ657" s="210"/>
      <c r="CK657" s="210"/>
    </row>
    <row r="658">
      <c r="A658" s="220"/>
      <c r="F658" s="190"/>
      <c r="G658" s="190"/>
      <c r="L658" s="220"/>
      <c r="M658" s="22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4"/>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c r="BU658" s="210"/>
      <c r="BV658" s="210"/>
      <c r="BW658" s="210"/>
      <c r="BX658" s="210"/>
      <c r="BY658" s="210"/>
      <c r="BZ658" s="210"/>
      <c r="CA658" s="210"/>
      <c r="CB658" s="210"/>
      <c r="CC658" s="210"/>
      <c r="CD658" s="210"/>
      <c r="CE658" s="210"/>
      <c r="CF658" s="210"/>
      <c r="CG658" s="210"/>
      <c r="CH658" s="210"/>
      <c r="CI658" s="210"/>
      <c r="CJ658" s="210"/>
      <c r="CK658" s="210"/>
    </row>
    <row r="659">
      <c r="A659" s="220"/>
      <c r="F659" s="190"/>
      <c r="G659" s="190"/>
      <c r="L659" s="220"/>
      <c r="M659" s="22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4"/>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c r="BU659" s="210"/>
      <c r="BV659" s="210"/>
      <c r="BW659" s="210"/>
      <c r="BX659" s="210"/>
      <c r="BY659" s="210"/>
      <c r="BZ659" s="210"/>
      <c r="CA659" s="210"/>
      <c r="CB659" s="210"/>
      <c r="CC659" s="210"/>
      <c r="CD659" s="210"/>
      <c r="CE659" s="210"/>
      <c r="CF659" s="210"/>
      <c r="CG659" s="210"/>
      <c r="CH659" s="210"/>
      <c r="CI659" s="210"/>
      <c r="CJ659" s="210"/>
      <c r="CK659" s="210"/>
    </row>
    <row r="660">
      <c r="A660" s="220"/>
      <c r="F660" s="190"/>
      <c r="G660" s="190"/>
      <c r="L660" s="220"/>
      <c r="M660" s="22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4"/>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c r="BU660" s="210"/>
      <c r="BV660" s="210"/>
      <c r="BW660" s="210"/>
      <c r="BX660" s="210"/>
      <c r="BY660" s="210"/>
      <c r="BZ660" s="210"/>
      <c r="CA660" s="210"/>
      <c r="CB660" s="210"/>
      <c r="CC660" s="210"/>
      <c r="CD660" s="210"/>
      <c r="CE660" s="210"/>
      <c r="CF660" s="210"/>
      <c r="CG660" s="210"/>
      <c r="CH660" s="210"/>
      <c r="CI660" s="210"/>
      <c r="CJ660" s="210"/>
      <c r="CK660" s="210"/>
    </row>
    <row r="661">
      <c r="A661" s="220"/>
      <c r="F661" s="190"/>
      <c r="G661" s="190"/>
      <c r="L661" s="220"/>
      <c r="M661" s="22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4"/>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c r="BU661" s="210"/>
      <c r="BV661" s="210"/>
      <c r="BW661" s="210"/>
      <c r="BX661" s="210"/>
      <c r="BY661" s="210"/>
      <c r="BZ661" s="210"/>
      <c r="CA661" s="210"/>
      <c r="CB661" s="210"/>
      <c r="CC661" s="210"/>
      <c r="CD661" s="210"/>
      <c r="CE661" s="210"/>
      <c r="CF661" s="210"/>
      <c r="CG661" s="210"/>
      <c r="CH661" s="210"/>
      <c r="CI661" s="210"/>
      <c r="CJ661" s="210"/>
      <c r="CK661" s="210"/>
    </row>
    <row r="662">
      <c r="A662" s="220"/>
      <c r="F662" s="190"/>
      <c r="G662" s="190"/>
      <c r="L662" s="220"/>
      <c r="M662" s="22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4"/>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c r="BU662" s="210"/>
      <c r="BV662" s="210"/>
      <c r="BW662" s="210"/>
      <c r="BX662" s="210"/>
      <c r="BY662" s="210"/>
      <c r="BZ662" s="210"/>
      <c r="CA662" s="210"/>
      <c r="CB662" s="210"/>
      <c r="CC662" s="210"/>
      <c r="CD662" s="210"/>
      <c r="CE662" s="210"/>
      <c r="CF662" s="210"/>
      <c r="CG662" s="210"/>
      <c r="CH662" s="210"/>
      <c r="CI662" s="210"/>
      <c r="CJ662" s="210"/>
      <c r="CK662" s="210"/>
    </row>
    <row r="663">
      <c r="A663" s="220"/>
      <c r="F663" s="190"/>
      <c r="G663" s="190"/>
      <c r="L663" s="220"/>
      <c r="M663" s="22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4"/>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c r="BU663" s="210"/>
      <c r="BV663" s="210"/>
      <c r="BW663" s="210"/>
      <c r="BX663" s="210"/>
      <c r="BY663" s="210"/>
      <c r="BZ663" s="210"/>
      <c r="CA663" s="210"/>
      <c r="CB663" s="210"/>
      <c r="CC663" s="210"/>
      <c r="CD663" s="210"/>
      <c r="CE663" s="210"/>
      <c r="CF663" s="210"/>
      <c r="CG663" s="210"/>
      <c r="CH663" s="210"/>
      <c r="CI663" s="210"/>
      <c r="CJ663" s="210"/>
      <c r="CK663" s="210"/>
    </row>
    <row r="664">
      <c r="A664" s="220"/>
      <c r="F664" s="190"/>
      <c r="G664" s="190"/>
      <c r="L664" s="220"/>
      <c r="M664" s="22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4"/>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c r="BU664" s="210"/>
      <c r="BV664" s="210"/>
      <c r="BW664" s="210"/>
      <c r="BX664" s="210"/>
      <c r="BY664" s="210"/>
      <c r="BZ664" s="210"/>
      <c r="CA664" s="210"/>
      <c r="CB664" s="210"/>
      <c r="CC664" s="210"/>
      <c r="CD664" s="210"/>
      <c r="CE664" s="210"/>
      <c r="CF664" s="210"/>
      <c r="CG664" s="210"/>
      <c r="CH664" s="210"/>
      <c r="CI664" s="210"/>
      <c r="CJ664" s="210"/>
      <c r="CK664" s="210"/>
    </row>
    <row r="665">
      <c r="A665" s="220"/>
      <c r="F665" s="190"/>
      <c r="G665" s="190"/>
      <c r="L665" s="220"/>
      <c r="M665" s="22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4"/>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c r="BU665" s="210"/>
      <c r="BV665" s="210"/>
      <c r="BW665" s="210"/>
      <c r="BX665" s="210"/>
      <c r="BY665" s="210"/>
      <c r="BZ665" s="210"/>
      <c r="CA665" s="210"/>
      <c r="CB665" s="210"/>
      <c r="CC665" s="210"/>
      <c r="CD665" s="210"/>
      <c r="CE665" s="210"/>
      <c r="CF665" s="210"/>
      <c r="CG665" s="210"/>
      <c r="CH665" s="210"/>
      <c r="CI665" s="210"/>
      <c r="CJ665" s="210"/>
      <c r="CK665" s="210"/>
    </row>
    <row r="666">
      <c r="A666" s="220"/>
      <c r="F666" s="190"/>
      <c r="G666" s="190"/>
      <c r="L666" s="220"/>
      <c r="M666" s="22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4"/>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c r="BU666" s="210"/>
      <c r="BV666" s="210"/>
      <c r="BW666" s="210"/>
      <c r="BX666" s="210"/>
      <c r="BY666" s="210"/>
      <c r="BZ666" s="210"/>
      <c r="CA666" s="210"/>
      <c r="CB666" s="210"/>
      <c r="CC666" s="210"/>
      <c r="CD666" s="210"/>
      <c r="CE666" s="210"/>
      <c r="CF666" s="210"/>
      <c r="CG666" s="210"/>
      <c r="CH666" s="210"/>
      <c r="CI666" s="210"/>
      <c r="CJ666" s="210"/>
      <c r="CK666" s="210"/>
    </row>
    <row r="667">
      <c r="A667" s="220"/>
      <c r="F667" s="190"/>
      <c r="G667" s="190"/>
      <c r="L667" s="220"/>
      <c r="M667" s="22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4"/>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c r="BU667" s="210"/>
      <c r="BV667" s="210"/>
      <c r="BW667" s="210"/>
      <c r="BX667" s="210"/>
      <c r="BY667" s="210"/>
      <c r="BZ667" s="210"/>
      <c r="CA667" s="210"/>
      <c r="CB667" s="210"/>
      <c r="CC667" s="210"/>
      <c r="CD667" s="210"/>
      <c r="CE667" s="210"/>
      <c r="CF667" s="210"/>
      <c r="CG667" s="210"/>
      <c r="CH667" s="210"/>
      <c r="CI667" s="210"/>
      <c r="CJ667" s="210"/>
      <c r="CK667" s="210"/>
    </row>
    <row r="668">
      <c r="A668" s="220"/>
      <c r="F668" s="190"/>
      <c r="G668" s="190"/>
      <c r="L668" s="220"/>
      <c r="M668" s="22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4"/>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c r="BU668" s="210"/>
      <c r="BV668" s="210"/>
      <c r="BW668" s="210"/>
      <c r="BX668" s="210"/>
      <c r="BY668" s="210"/>
      <c r="BZ668" s="210"/>
      <c r="CA668" s="210"/>
      <c r="CB668" s="210"/>
      <c r="CC668" s="210"/>
      <c r="CD668" s="210"/>
      <c r="CE668" s="210"/>
      <c r="CF668" s="210"/>
      <c r="CG668" s="210"/>
      <c r="CH668" s="210"/>
      <c r="CI668" s="210"/>
      <c r="CJ668" s="210"/>
      <c r="CK668" s="210"/>
    </row>
    <row r="669">
      <c r="A669" s="220"/>
      <c r="F669" s="190"/>
      <c r="G669" s="190"/>
      <c r="L669" s="220"/>
      <c r="M669" s="22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4"/>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c r="BU669" s="210"/>
      <c r="BV669" s="210"/>
      <c r="BW669" s="210"/>
      <c r="BX669" s="210"/>
      <c r="BY669" s="210"/>
      <c r="BZ669" s="210"/>
      <c r="CA669" s="210"/>
      <c r="CB669" s="210"/>
      <c r="CC669" s="210"/>
      <c r="CD669" s="210"/>
      <c r="CE669" s="210"/>
      <c r="CF669" s="210"/>
      <c r="CG669" s="210"/>
      <c r="CH669" s="210"/>
      <c r="CI669" s="210"/>
      <c r="CJ669" s="210"/>
      <c r="CK669" s="210"/>
    </row>
    <row r="670">
      <c r="A670" s="220"/>
      <c r="F670" s="190"/>
      <c r="G670" s="190"/>
      <c r="L670" s="220"/>
      <c r="M670" s="22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4"/>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c r="BU670" s="210"/>
      <c r="BV670" s="210"/>
      <c r="BW670" s="210"/>
      <c r="BX670" s="210"/>
      <c r="BY670" s="210"/>
      <c r="BZ670" s="210"/>
      <c r="CA670" s="210"/>
      <c r="CB670" s="210"/>
      <c r="CC670" s="210"/>
      <c r="CD670" s="210"/>
      <c r="CE670" s="210"/>
      <c r="CF670" s="210"/>
      <c r="CG670" s="210"/>
      <c r="CH670" s="210"/>
      <c r="CI670" s="210"/>
      <c r="CJ670" s="210"/>
      <c r="CK670" s="210"/>
    </row>
    <row r="671">
      <c r="A671" s="220"/>
      <c r="F671" s="190"/>
      <c r="G671" s="190"/>
      <c r="L671" s="220"/>
      <c r="M671" s="22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4"/>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c r="BU671" s="210"/>
      <c r="BV671" s="210"/>
      <c r="BW671" s="210"/>
      <c r="BX671" s="210"/>
      <c r="BY671" s="210"/>
      <c r="BZ671" s="210"/>
      <c r="CA671" s="210"/>
      <c r="CB671" s="210"/>
      <c r="CC671" s="210"/>
      <c r="CD671" s="210"/>
      <c r="CE671" s="210"/>
      <c r="CF671" s="210"/>
      <c r="CG671" s="210"/>
      <c r="CH671" s="210"/>
      <c r="CI671" s="210"/>
      <c r="CJ671" s="210"/>
      <c r="CK671" s="210"/>
    </row>
    <row r="672">
      <c r="A672" s="220"/>
      <c r="F672" s="190"/>
      <c r="G672" s="190"/>
      <c r="L672" s="220"/>
      <c r="M672" s="22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4"/>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c r="BU672" s="210"/>
      <c r="BV672" s="210"/>
      <c r="BW672" s="210"/>
      <c r="BX672" s="210"/>
      <c r="BY672" s="210"/>
      <c r="BZ672" s="210"/>
      <c r="CA672" s="210"/>
      <c r="CB672" s="210"/>
      <c r="CC672" s="210"/>
      <c r="CD672" s="210"/>
      <c r="CE672" s="210"/>
      <c r="CF672" s="210"/>
      <c r="CG672" s="210"/>
      <c r="CH672" s="210"/>
      <c r="CI672" s="210"/>
      <c r="CJ672" s="210"/>
      <c r="CK672" s="210"/>
    </row>
    <row r="673">
      <c r="A673" s="220"/>
      <c r="F673" s="190"/>
      <c r="G673" s="190"/>
      <c r="L673" s="220"/>
      <c r="M673" s="22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4"/>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c r="BU673" s="210"/>
      <c r="BV673" s="210"/>
      <c r="BW673" s="210"/>
      <c r="BX673" s="210"/>
      <c r="BY673" s="210"/>
      <c r="BZ673" s="210"/>
      <c r="CA673" s="210"/>
      <c r="CB673" s="210"/>
      <c r="CC673" s="210"/>
      <c r="CD673" s="210"/>
      <c r="CE673" s="210"/>
      <c r="CF673" s="210"/>
      <c r="CG673" s="210"/>
      <c r="CH673" s="210"/>
      <c r="CI673" s="210"/>
      <c r="CJ673" s="210"/>
      <c r="CK673" s="210"/>
    </row>
    <row r="674">
      <c r="A674" s="220"/>
      <c r="F674" s="190"/>
      <c r="G674" s="190"/>
      <c r="L674" s="220"/>
      <c r="M674" s="22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4"/>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c r="BU674" s="210"/>
      <c r="BV674" s="210"/>
      <c r="BW674" s="210"/>
      <c r="BX674" s="210"/>
      <c r="BY674" s="210"/>
      <c r="BZ674" s="210"/>
      <c r="CA674" s="210"/>
      <c r="CB674" s="210"/>
      <c r="CC674" s="210"/>
      <c r="CD674" s="210"/>
      <c r="CE674" s="210"/>
      <c r="CF674" s="210"/>
      <c r="CG674" s="210"/>
      <c r="CH674" s="210"/>
      <c r="CI674" s="210"/>
      <c r="CJ674" s="210"/>
      <c r="CK674" s="210"/>
    </row>
    <row r="675">
      <c r="A675" s="220"/>
      <c r="F675" s="190"/>
      <c r="G675" s="190"/>
      <c r="L675" s="220"/>
      <c r="M675" s="22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4"/>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c r="BU675" s="210"/>
      <c r="BV675" s="210"/>
      <c r="BW675" s="210"/>
      <c r="BX675" s="210"/>
      <c r="BY675" s="210"/>
      <c r="BZ675" s="210"/>
      <c r="CA675" s="210"/>
      <c r="CB675" s="210"/>
      <c r="CC675" s="210"/>
      <c r="CD675" s="210"/>
      <c r="CE675" s="210"/>
      <c r="CF675" s="210"/>
      <c r="CG675" s="210"/>
      <c r="CH675" s="210"/>
      <c r="CI675" s="210"/>
      <c r="CJ675" s="210"/>
      <c r="CK675" s="210"/>
    </row>
    <row r="676">
      <c r="A676" s="220"/>
      <c r="F676" s="190"/>
      <c r="G676" s="190"/>
      <c r="L676" s="220"/>
      <c r="M676" s="22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4"/>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c r="BU676" s="210"/>
      <c r="BV676" s="210"/>
      <c r="BW676" s="210"/>
      <c r="BX676" s="210"/>
      <c r="BY676" s="210"/>
      <c r="BZ676" s="210"/>
      <c r="CA676" s="210"/>
      <c r="CB676" s="210"/>
      <c r="CC676" s="210"/>
      <c r="CD676" s="210"/>
      <c r="CE676" s="210"/>
      <c r="CF676" s="210"/>
      <c r="CG676" s="210"/>
      <c r="CH676" s="210"/>
      <c r="CI676" s="210"/>
      <c r="CJ676" s="210"/>
      <c r="CK676" s="210"/>
    </row>
    <row r="677">
      <c r="A677" s="220"/>
      <c r="F677" s="190"/>
      <c r="G677" s="190"/>
      <c r="L677" s="220"/>
      <c r="M677" s="22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4"/>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c r="BU677" s="210"/>
      <c r="BV677" s="210"/>
      <c r="BW677" s="210"/>
      <c r="BX677" s="210"/>
      <c r="BY677" s="210"/>
      <c r="BZ677" s="210"/>
      <c r="CA677" s="210"/>
      <c r="CB677" s="210"/>
      <c r="CC677" s="210"/>
      <c r="CD677" s="210"/>
      <c r="CE677" s="210"/>
      <c r="CF677" s="210"/>
      <c r="CG677" s="210"/>
      <c r="CH677" s="210"/>
      <c r="CI677" s="210"/>
      <c r="CJ677" s="210"/>
      <c r="CK677" s="210"/>
    </row>
    <row r="678">
      <c r="A678" s="220"/>
      <c r="F678" s="190"/>
      <c r="G678" s="190"/>
      <c r="L678" s="220"/>
      <c r="M678" s="22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4"/>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c r="BU678" s="210"/>
      <c r="BV678" s="210"/>
      <c r="BW678" s="210"/>
      <c r="BX678" s="210"/>
      <c r="BY678" s="210"/>
      <c r="BZ678" s="210"/>
      <c r="CA678" s="210"/>
      <c r="CB678" s="210"/>
      <c r="CC678" s="210"/>
      <c r="CD678" s="210"/>
      <c r="CE678" s="210"/>
      <c r="CF678" s="210"/>
      <c r="CG678" s="210"/>
      <c r="CH678" s="210"/>
      <c r="CI678" s="210"/>
      <c r="CJ678" s="210"/>
      <c r="CK678" s="210"/>
    </row>
    <row r="679">
      <c r="A679" s="220"/>
      <c r="F679" s="190"/>
      <c r="G679" s="190"/>
      <c r="L679" s="220"/>
      <c r="M679" s="22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4"/>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c r="BU679" s="210"/>
      <c r="BV679" s="210"/>
      <c r="BW679" s="210"/>
      <c r="BX679" s="210"/>
      <c r="BY679" s="210"/>
      <c r="BZ679" s="210"/>
      <c r="CA679" s="210"/>
      <c r="CB679" s="210"/>
      <c r="CC679" s="210"/>
      <c r="CD679" s="210"/>
      <c r="CE679" s="210"/>
      <c r="CF679" s="210"/>
      <c r="CG679" s="210"/>
      <c r="CH679" s="210"/>
      <c r="CI679" s="210"/>
      <c r="CJ679" s="210"/>
      <c r="CK679" s="210"/>
    </row>
    <row r="680">
      <c r="A680" s="220"/>
      <c r="F680" s="190"/>
      <c r="G680" s="190"/>
      <c r="L680" s="220"/>
      <c r="M680" s="22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4"/>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c r="BU680" s="210"/>
      <c r="BV680" s="210"/>
      <c r="BW680" s="210"/>
      <c r="BX680" s="210"/>
      <c r="BY680" s="210"/>
      <c r="BZ680" s="210"/>
      <c r="CA680" s="210"/>
      <c r="CB680" s="210"/>
      <c r="CC680" s="210"/>
      <c r="CD680" s="210"/>
      <c r="CE680" s="210"/>
      <c r="CF680" s="210"/>
      <c r="CG680" s="210"/>
      <c r="CH680" s="210"/>
      <c r="CI680" s="210"/>
      <c r="CJ680" s="210"/>
      <c r="CK680" s="210"/>
    </row>
    <row r="681">
      <c r="A681" s="220"/>
      <c r="F681" s="190"/>
      <c r="G681" s="190"/>
      <c r="L681" s="220"/>
      <c r="M681" s="22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4"/>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c r="BU681" s="210"/>
      <c r="BV681" s="210"/>
      <c r="BW681" s="210"/>
      <c r="BX681" s="210"/>
      <c r="BY681" s="210"/>
      <c r="BZ681" s="210"/>
      <c r="CA681" s="210"/>
      <c r="CB681" s="210"/>
      <c r="CC681" s="210"/>
      <c r="CD681" s="210"/>
      <c r="CE681" s="210"/>
      <c r="CF681" s="210"/>
      <c r="CG681" s="210"/>
      <c r="CH681" s="210"/>
      <c r="CI681" s="210"/>
      <c r="CJ681" s="210"/>
      <c r="CK681" s="210"/>
    </row>
    <row r="682">
      <c r="A682" s="220"/>
      <c r="F682" s="190"/>
      <c r="G682" s="190"/>
      <c r="L682" s="220"/>
      <c r="M682" s="22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4"/>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c r="BU682" s="210"/>
      <c r="BV682" s="210"/>
      <c r="BW682" s="210"/>
      <c r="BX682" s="210"/>
      <c r="BY682" s="210"/>
      <c r="BZ682" s="210"/>
      <c r="CA682" s="210"/>
      <c r="CB682" s="210"/>
      <c r="CC682" s="210"/>
      <c r="CD682" s="210"/>
      <c r="CE682" s="210"/>
      <c r="CF682" s="210"/>
      <c r="CG682" s="210"/>
      <c r="CH682" s="210"/>
      <c r="CI682" s="210"/>
      <c r="CJ682" s="210"/>
      <c r="CK682" s="210"/>
    </row>
    <row r="683">
      <c r="A683" s="220"/>
      <c r="F683" s="190"/>
      <c r="G683" s="190"/>
      <c r="L683" s="220"/>
      <c r="M683" s="22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4"/>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c r="BU683" s="210"/>
      <c r="BV683" s="210"/>
      <c r="BW683" s="210"/>
      <c r="BX683" s="210"/>
      <c r="BY683" s="210"/>
      <c r="BZ683" s="210"/>
      <c r="CA683" s="210"/>
      <c r="CB683" s="210"/>
      <c r="CC683" s="210"/>
      <c r="CD683" s="210"/>
      <c r="CE683" s="210"/>
      <c r="CF683" s="210"/>
      <c r="CG683" s="210"/>
      <c r="CH683" s="210"/>
      <c r="CI683" s="210"/>
      <c r="CJ683" s="210"/>
      <c r="CK683" s="210"/>
    </row>
    <row r="684">
      <c r="A684" s="220"/>
      <c r="F684" s="190"/>
      <c r="G684" s="190"/>
      <c r="L684" s="220"/>
      <c r="M684" s="22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4"/>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c r="BU684" s="210"/>
      <c r="BV684" s="210"/>
      <c r="BW684" s="210"/>
      <c r="BX684" s="210"/>
      <c r="BY684" s="210"/>
      <c r="BZ684" s="210"/>
      <c r="CA684" s="210"/>
      <c r="CB684" s="210"/>
      <c r="CC684" s="210"/>
      <c r="CD684" s="210"/>
      <c r="CE684" s="210"/>
      <c r="CF684" s="210"/>
      <c r="CG684" s="210"/>
      <c r="CH684" s="210"/>
      <c r="CI684" s="210"/>
      <c r="CJ684" s="210"/>
      <c r="CK684" s="210"/>
    </row>
    <row r="685">
      <c r="A685" s="220"/>
      <c r="F685" s="190"/>
      <c r="G685" s="190"/>
      <c r="L685" s="220"/>
      <c r="M685" s="22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4"/>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c r="BU685" s="210"/>
      <c r="BV685" s="210"/>
      <c r="BW685" s="210"/>
      <c r="BX685" s="210"/>
      <c r="BY685" s="210"/>
      <c r="BZ685" s="210"/>
      <c r="CA685" s="210"/>
      <c r="CB685" s="210"/>
      <c r="CC685" s="210"/>
      <c r="CD685" s="210"/>
      <c r="CE685" s="210"/>
      <c r="CF685" s="210"/>
      <c r="CG685" s="210"/>
      <c r="CH685" s="210"/>
      <c r="CI685" s="210"/>
      <c r="CJ685" s="210"/>
      <c r="CK685" s="210"/>
    </row>
    <row r="686">
      <c r="A686" s="220"/>
      <c r="F686" s="190"/>
      <c r="G686" s="190"/>
      <c r="L686" s="220"/>
      <c r="M686" s="22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4"/>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c r="BU686" s="210"/>
      <c r="BV686" s="210"/>
      <c r="BW686" s="210"/>
      <c r="BX686" s="210"/>
      <c r="BY686" s="210"/>
      <c r="BZ686" s="210"/>
      <c r="CA686" s="210"/>
      <c r="CB686" s="210"/>
      <c r="CC686" s="210"/>
      <c r="CD686" s="210"/>
      <c r="CE686" s="210"/>
      <c r="CF686" s="210"/>
      <c r="CG686" s="210"/>
      <c r="CH686" s="210"/>
      <c r="CI686" s="210"/>
      <c r="CJ686" s="210"/>
      <c r="CK686" s="210"/>
    </row>
    <row r="687">
      <c r="A687" s="220"/>
      <c r="F687" s="190"/>
      <c r="G687" s="190"/>
      <c r="L687" s="220"/>
      <c r="M687" s="22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4"/>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c r="BU687" s="210"/>
      <c r="BV687" s="210"/>
      <c r="BW687" s="210"/>
      <c r="BX687" s="210"/>
      <c r="BY687" s="210"/>
      <c r="BZ687" s="210"/>
      <c r="CA687" s="210"/>
      <c r="CB687" s="210"/>
      <c r="CC687" s="210"/>
      <c r="CD687" s="210"/>
      <c r="CE687" s="210"/>
      <c r="CF687" s="210"/>
      <c r="CG687" s="210"/>
      <c r="CH687" s="210"/>
      <c r="CI687" s="210"/>
      <c r="CJ687" s="210"/>
      <c r="CK687" s="210"/>
    </row>
    <row r="688">
      <c r="A688" s="220"/>
      <c r="F688" s="190"/>
      <c r="G688" s="190"/>
      <c r="L688" s="220"/>
      <c r="M688" s="22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4"/>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c r="BU688" s="210"/>
      <c r="BV688" s="210"/>
      <c r="BW688" s="210"/>
      <c r="BX688" s="210"/>
      <c r="BY688" s="210"/>
      <c r="BZ688" s="210"/>
      <c r="CA688" s="210"/>
      <c r="CB688" s="210"/>
      <c r="CC688" s="210"/>
      <c r="CD688" s="210"/>
      <c r="CE688" s="210"/>
      <c r="CF688" s="210"/>
      <c r="CG688" s="210"/>
      <c r="CH688" s="210"/>
      <c r="CI688" s="210"/>
      <c r="CJ688" s="210"/>
      <c r="CK688" s="210"/>
    </row>
    <row r="689">
      <c r="A689" s="220"/>
      <c r="F689" s="190"/>
      <c r="G689" s="190"/>
      <c r="L689" s="220"/>
      <c r="M689" s="22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4"/>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c r="BU689" s="210"/>
      <c r="BV689" s="210"/>
      <c r="BW689" s="210"/>
      <c r="BX689" s="210"/>
      <c r="BY689" s="210"/>
      <c r="BZ689" s="210"/>
      <c r="CA689" s="210"/>
      <c r="CB689" s="210"/>
      <c r="CC689" s="210"/>
      <c r="CD689" s="210"/>
      <c r="CE689" s="210"/>
      <c r="CF689" s="210"/>
      <c r="CG689" s="210"/>
      <c r="CH689" s="210"/>
      <c r="CI689" s="210"/>
      <c r="CJ689" s="210"/>
      <c r="CK689" s="210"/>
    </row>
    <row r="690">
      <c r="A690" s="220"/>
      <c r="F690" s="190"/>
      <c r="G690" s="190"/>
      <c r="L690" s="220"/>
      <c r="M690" s="22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4"/>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c r="BU690" s="210"/>
      <c r="BV690" s="210"/>
      <c r="BW690" s="210"/>
      <c r="BX690" s="210"/>
      <c r="BY690" s="210"/>
      <c r="BZ690" s="210"/>
      <c r="CA690" s="210"/>
      <c r="CB690" s="210"/>
      <c r="CC690" s="210"/>
      <c r="CD690" s="210"/>
      <c r="CE690" s="210"/>
      <c r="CF690" s="210"/>
      <c r="CG690" s="210"/>
      <c r="CH690" s="210"/>
      <c r="CI690" s="210"/>
      <c r="CJ690" s="210"/>
      <c r="CK690" s="210"/>
    </row>
    <row r="691">
      <c r="A691" s="220"/>
      <c r="F691" s="190"/>
      <c r="G691" s="190"/>
      <c r="L691" s="220"/>
      <c r="M691" s="22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4"/>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c r="BU691" s="210"/>
      <c r="BV691" s="210"/>
      <c r="BW691" s="210"/>
      <c r="BX691" s="210"/>
      <c r="BY691" s="210"/>
      <c r="BZ691" s="210"/>
      <c r="CA691" s="210"/>
      <c r="CB691" s="210"/>
      <c r="CC691" s="210"/>
      <c r="CD691" s="210"/>
      <c r="CE691" s="210"/>
      <c r="CF691" s="210"/>
      <c r="CG691" s="210"/>
      <c r="CH691" s="210"/>
      <c r="CI691" s="210"/>
      <c r="CJ691" s="210"/>
      <c r="CK691" s="210"/>
    </row>
    <row r="692">
      <c r="A692" s="220"/>
      <c r="F692" s="190"/>
      <c r="G692" s="190"/>
      <c r="L692" s="220"/>
      <c r="M692" s="22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4"/>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c r="BU692" s="210"/>
      <c r="BV692" s="210"/>
      <c r="BW692" s="210"/>
      <c r="BX692" s="210"/>
      <c r="BY692" s="210"/>
      <c r="BZ692" s="210"/>
      <c r="CA692" s="210"/>
      <c r="CB692" s="210"/>
      <c r="CC692" s="210"/>
      <c r="CD692" s="210"/>
      <c r="CE692" s="210"/>
      <c r="CF692" s="210"/>
      <c r="CG692" s="210"/>
      <c r="CH692" s="210"/>
      <c r="CI692" s="210"/>
      <c r="CJ692" s="210"/>
      <c r="CK692" s="210"/>
    </row>
    <row r="693">
      <c r="A693" s="220"/>
      <c r="F693" s="190"/>
      <c r="G693" s="190"/>
      <c r="L693" s="220"/>
      <c r="M693" s="22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4"/>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c r="BU693" s="210"/>
      <c r="BV693" s="210"/>
      <c r="BW693" s="210"/>
      <c r="BX693" s="210"/>
      <c r="BY693" s="210"/>
      <c r="BZ693" s="210"/>
      <c r="CA693" s="210"/>
      <c r="CB693" s="210"/>
      <c r="CC693" s="210"/>
      <c r="CD693" s="210"/>
      <c r="CE693" s="210"/>
      <c r="CF693" s="210"/>
      <c r="CG693" s="210"/>
      <c r="CH693" s="210"/>
      <c r="CI693" s="210"/>
      <c r="CJ693" s="210"/>
      <c r="CK693" s="210"/>
    </row>
    <row r="694">
      <c r="A694" s="220"/>
      <c r="F694" s="190"/>
      <c r="G694" s="190"/>
      <c r="L694" s="220"/>
      <c r="M694" s="22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4"/>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c r="BU694" s="210"/>
      <c r="BV694" s="210"/>
      <c r="BW694" s="210"/>
      <c r="BX694" s="210"/>
      <c r="BY694" s="210"/>
      <c r="BZ694" s="210"/>
      <c r="CA694" s="210"/>
      <c r="CB694" s="210"/>
      <c r="CC694" s="210"/>
      <c r="CD694" s="210"/>
      <c r="CE694" s="210"/>
      <c r="CF694" s="210"/>
      <c r="CG694" s="210"/>
      <c r="CH694" s="210"/>
      <c r="CI694" s="210"/>
      <c r="CJ694" s="210"/>
      <c r="CK694" s="210"/>
    </row>
    <row r="695">
      <c r="A695" s="220"/>
      <c r="F695" s="190"/>
      <c r="G695" s="190"/>
      <c r="L695" s="220"/>
      <c r="M695" s="22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4"/>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c r="BU695" s="210"/>
      <c r="BV695" s="210"/>
      <c r="BW695" s="210"/>
      <c r="BX695" s="210"/>
      <c r="BY695" s="210"/>
      <c r="BZ695" s="210"/>
      <c r="CA695" s="210"/>
      <c r="CB695" s="210"/>
      <c r="CC695" s="210"/>
      <c r="CD695" s="210"/>
      <c r="CE695" s="210"/>
      <c r="CF695" s="210"/>
      <c r="CG695" s="210"/>
      <c r="CH695" s="210"/>
      <c r="CI695" s="210"/>
      <c r="CJ695" s="210"/>
      <c r="CK695" s="210"/>
    </row>
    <row r="696">
      <c r="A696" s="220"/>
      <c r="F696" s="190"/>
      <c r="G696" s="190"/>
      <c r="L696" s="220"/>
      <c r="M696" s="22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4"/>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c r="BU696" s="210"/>
      <c r="BV696" s="210"/>
      <c r="BW696" s="210"/>
      <c r="BX696" s="210"/>
      <c r="BY696" s="210"/>
      <c r="BZ696" s="210"/>
      <c r="CA696" s="210"/>
      <c r="CB696" s="210"/>
      <c r="CC696" s="210"/>
      <c r="CD696" s="210"/>
      <c r="CE696" s="210"/>
      <c r="CF696" s="210"/>
      <c r="CG696" s="210"/>
      <c r="CH696" s="210"/>
      <c r="CI696" s="210"/>
      <c r="CJ696" s="210"/>
      <c r="CK696" s="210"/>
    </row>
    <row r="697">
      <c r="A697" s="220"/>
      <c r="F697" s="190"/>
      <c r="G697" s="190"/>
      <c r="L697" s="220"/>
      <c r="M697" s="22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4"/>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c r="BU697" s="210"/>
      <c r="BV697" s="210"/>
      <c r="BW697" s="210"/>
      <c r="BX697" s="210"/>
      <c r="BY697" s="210"/>
      <c r="BZ697" s="210"/>
      <c r="CA697" s="210"/>
      <c r="CB697" s="210"/>
      <c r="CC697" s="210"/>
      <c r="CD697" s="210"/>
      <c r="CE697" s="210"/>
      <c r="CF697" s="210"/>
      <c r="CG697" s="210"/>
      <c r="CH697" s="210"/>
      <c r="CI697" s="210"/>
      <c r="CJ697" s="210"/>
      <c r="CK697" s="210"/>
    </row>
    <row r="698">
      <c r="A698" s="220"/>
      <c r="F698" s="190"/>
      <c r="G698" s="190"/>
      <c r="L698" s="220"/>
      <c r="M698" s="22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4"/>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c r="BU698" s="210"/>
      <c r="BV698" s="210"/>
      <c r="BW698" s="210"/>
      <c r="BX698" s="210"/>
      <c r="BY698" s="210"/>
      <c r="BZ698" s="210"/>
      <c r="CA698" s="210"/>
      <c r="CB698" s="210"/>
      <c r="CC698" s="210"/>
      <c r="CD698" s="210"/>
      <c r="CE698" s="210"/>
      <c r="CF698" s="210"/>
      <c r="CG698" s="210"/>
      <c r="CH698" s="210"/>
      <c r="CI698" s="210"/>
      <c r="CJ698" s="210"/>
      <c r="CK698" s="210"/>
    </row>
    <row r="699">
      <c r="A699" s="220"/>
      <c r="F699" s="190"/>
      <c r="G699" s="190"/>
      <c r="L699" s="220"/>
      <c r="M699" s="22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4"/>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c r="BU699" s="210"/>
      <c r="BV699" s="210"/>
      <c r="BW699" s="210"/>
      <c r="BX699" s="210"/>
      <c r="BY699" s="210"/>
      <c r="BZ699" s="210"/>
      <c r="CA699" s="210"/>
      <c r="CB699" s="210"/>
      <c r="CC699" s="210"/>
      <c r="CD699" s="210"/>
      <c r="CE699" s="210"/>
      <c r="CF699" s="210"/>
      <c r="CG699" s="210"/>
      <c r="CH699" s="210"/>
      <c r="CI699" s="210"/>
      <c r="CJ699" s="210"/>
      <c r="CK699" s="210"/>
    </row>
    <row r="700">
      <c r="A700" s="220"/>
      <c r="F700" s="190"/>
      <c r="G700" s="190"/>
      <c r="L700" s="220"/>
      <c r="M700" s="22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4"/>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c r="BU700" s="210"/>
      <c r="BV700" s="210"/>
      <c r="BW700" s="210"/>
      <c r="BX700" s="210"/>
      <c r="BY700" s="210"/>
      <c r="BZ700" s="210"/>
      <c r="CA700" s="210"/>
      <c r="CB700" s="210"/>
      <c r="CC700" s="210"/>
      <c r="CD700" s="210"/>
      <c r="CE700" s="210"/>
      <c r="CF700" s="210"/>
      <c r="CG700" s="210"/>
      <c r="CH700" s="210"/>
      <c r="CI700" s="210"/>
      <c r="CJ700" s="210"/>
      <c r="CK700" s="210"/>
    </row>
    <row r="701">
      <c r="A701" s="220"/>
      <c r="F701" s="190"/>
      <c r="G701" s="190"/>
      <c r="L701" s="220"/>
      <c r="M701" s="22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4"/>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c r="BU701" s="210"/>
      <c r="BV701" s="210"/>
      <c r="BW701" s="210"/>
      <c r="BX701" s="210"/>
      <c r="BY701" s="210"/>
      <c r="BZ701" s="210"/>
      <c r="CA701" s="210"/>
      <c r="CB701" s="210"/>
      <c r="CC701" s="210"/>
      <c r="CD701" s="210"/>
      <c r="CE701" s="210"/>
      <c r="CF701" s="210"/>
      <c r="CG701" s="210"/>
      <c r="CH701" s="210"/>
      <c r="CI701" s="210"/>
      <c r="CJ701" s="210"/>
      <c r="CK701" s="210"/>
    </row>
    <row r="702">
      <c r="A702" s="220"/>
      <c r="F702" s="190"/>
      <c r="G702" s="190"/>
      <c r="L702" s="220"/>
      <c r="M702" s="22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4"/>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c r="BU702" s="210"/>
      <c r="BV702" s="210"/>
      <c r="BW702" s="210"/>
      <c r="BX702" s="210"/>
      <c r="BY702" s="210"/>
      <c r="BZ702" s="210"/>
      <c r="CA702" s="210"/>
      <c r="CB702" s="210"/>
      <c r="CC702" s="210"/>
      <c r="CD702" s="210"/>
      <c r="CE702" s="210"/>
      <c r="CF702" s="210"/>
      <c r="CG702" s="210"/>
      <c r="CH702" s="210"/>
      <c r="CI702" s="210"/>
      <c r="CJ702" s="210"/>
      <c r="CK702" s="210"/>
    </row>
    <row r="703">
      <c r="A703" s="220"/>
      <c r="F703" s="190"/>
      <c r="G703" s="190"/>
      <c r="L703" s="220"/>
      <c r="M703" s="22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4"/>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c r="BU703" s="210"/>
      <c r="BV703" s="210"/>
      <c r="BW703" s="210"/>
      <c r="BX703" s="210"/>
      <c r="BY703" s="210"/>
      <c r="BZ703" s="210"/>
      <c r="CA703" s="210"/>
      <c r="CB703" s="210"/>
      <c r="CC703" s="210"/>
      <c r="CD703" s="210"/>
      <c r="CE703" s="210"/>
      <c r="CF703" s="210"/>
      <c r="CG703" s="210"/>
      <c r="CH703" s="210"/>
      <c r="CI703" s="210"/>
      <c r="CJ703" s="210"/>
      <c r="CK703" s="210"/>
    </row>
    <row r="704">
      <c r="A704" s="220"/>
      <c r="F704" s="190"/>
      <c r="G704" s="190"/>
      <c r="L704" s="220"/>
      <c r="M704" s="22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4"/>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c r="BU704" s="210"/>
      <c r="BV704" s="210"/>
      <c r="BW704" s="210"/>
      <c r="BX704" s="210"/>
      <c r="BY704" s="210"/>
      <c r="BZ704" s="210"/>
      <c r="CA704" s="210"/>
      <c r="CB704" s="210"/>
      <c r="CC704" s="210"/>
      <c r="CD704" s="210"/>
      <c r="CE704" s="210"/>
      <c r="CF704" s="210"/>
      <c r="CG704" s="210"/>
      <c r="CH704" s="210"/>
      <c r="CI704" s="210"/>
      <c r="CJ704" s="210"/>
      <c r="CK704" s="210"/>
    </row>
    <row r="705">
      <c r="A705" s="220"/>
      <c r="F705" s="190"/>
      <c r="G705" s="190"/>
      <c r="L705" s="220"/>
      <c r="M705" s="22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4"/>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c r="BU705" s="210"/>
      <c r="BV705" s="210"/>
      <c r="BW705" s="210"/>
      <c r="BX705" s="210"/>
      <c r="BY705" s="210"/>
      <c r="BZ705" s="210"/>
      <c r="CA705" s="210"/>
      <c r="CB705" s="210"/>
      <c r="CC705" s="210"/>
      <c r="CD705" s="210"/>
      <c r="CE705" s="210"/>
      <c r="CF705" s="210"/>
      <c r="CG705" s="210"/>
      <c r="CH705" s="210"/>
      <c r="CI705" s="210"/>
      <c r="CJ705" s="210"/>
      <c r="CK705" s="210"/>
    </row>
    <row r="706">
      <c r="A706" s="220"/>
      <c r="F706" s="190"/>
      <c r="G706" s="190"/>
      <c r="L706" s="220"/>
      <c r="M706" s="22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4"/>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c r="BU706" s="210"/>
      <c r="BV706" s="210"/>
      <c r="BW706" s="210"/>
      <c r="BX706" s="210"/>
      <c r="BY706" s="210"/>
      <c r="BZ706" s="210"/>
      <c r="CA706" s="210"/>
      <c r="CB706" s="210"/>
      <c r="CC706" s="210"/>
      <c r="CD706" s="210"/>
      <c r="CE706" s="210"/>
      <c r="CF706" s="210"/>
      <c r="CG706" s="210"/>
      <c r="CH706" s="210"/>
      <c r="CI706" s="210"/>
      <c r="CJ706" s="210"/>
      <c r="CK706" s="210"/>
    </row>
    <row r="707">
      <c r="A707" s="220"/>
      <c r="F707" s="190"/>
      <c r="G707" s="190"/>
      <c r="L707" s="220"/>
      <c r="M707" s="22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4"/>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c r="BU707" s="210"/>
      <c r="BV707" s="210"/>
      <c r="BW707" s="210"/>
      <c r="BX707" s="210"/>
      <c r="BY707" s="210"/>
      <c r="BZ707" s="210"/>
      <c r="CA707" s="210"/>
      <c r="CB707" s="210"/>
      <c r="CC707" s="210"/>
      <c r="CD707" s="210"/>
      <c r="CE707" s="210"/>
      <c r="CF707" s="210"/>
      <c r="CG707" s="210"/>
      <c r="CH707" s="210"/>
      <c r="CI707" s="210"/>
      <c r="CJ707" s="210"/>
      <c r="CK707" s="210"/>
    </row>
    <row r="708">
      <c r="A708" s="220"/>
      <c r="F708" s="190"/>
      <c r="G708" s="190"/>
      <c r="L708" s="220"/>
      <c r="M708" s="22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4"/>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c r="BU708" s="210"/>
      <c r="BV708" s="210"/>
      <c r="BW708" s="210"/>
      <c r="BX708" s="210"/>
      <c r="BY708" s="210"/>
      <c r="BZ708" s="210"/>
      <c r="CA708" s="210"/>
      <c r="CB708" s="210"/>
      <c r="CC708" s="210"/>
      <c r="CD708" s="210"/>
      <c r="CE708" s="210"/>
      <c r="CF708" s="210"/>
      <c r="CG708" s="210"/>
      <c r="CH708" s="210"/>
      <c r="CI708" s="210"/>
      <c r="CJ708" s="210"/>
      <c r="CK708" s="210"/>
    </row>
    <row r="709">
      <c r="A709" s="220"/>
      <c r="F709" s="190"/>
      <c r="G709" s="190"/>
      <c r="L709" s="220"/>
      <c r="M709" s="22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4"/>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c r="BU709" s="210"/>
      <c r="BV709" s="210"/>
      <c r="BW709" s="210"/>
      <c r="BX709" s="210"/>
      <c r="BY709" s="210"/>
      <c r="BZ709" s="210"/>
      <c r="CA709" s="210"/>
      <c r="CB709" s="210"/>
      <c r="CC709" s="210"/>
      <c r="CD709" s="210"/>
      <c r="CE709" s="210"/>
      <c r="CF709" s="210"/>
      <c r="CG709" s="210"/>
      <c r="CH709" s="210"/>
      <c r="CI709" s="210"/>
      <c r="CJ709" s="210"/>
      <c r="CK709" s="210"/>
    </row>
    <row r="710">
      <c r="A710" s="220"/>
      <c r="F710" s="190"/>
      <c r="G710" s="190"/>
      <c r="L710" s="220"/>
      <c r="M710" s="22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4"/>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c r="BU710" s="210"/>
      <c r="BV710" s="210"/>
      <c r="BW710" s="210"/>
      <c r="BX710" s="210"/>
      <c r="BY710" s="210"/>
      <c r="BZ710" s="210"/>
      <c r="CA710" s="210"/>
      <c r="CB710" s="210"/>
      <c r="CC710" s="210"/>
      <c r="CD710" s="210"/>
      <c r="CE710" s="210"/>
      <c r="CF710" s="210"/>
      <c r="CG710" s="210"/>
      <c r="CH710" s="210"/>
      <c r="CI710" s="210"/>
      <c r="CJ710" s="210"/>
      <c r="CK710" s="210"/>
    </row>
    <row r="711">
      <c r="A711" s="220"/>
      <c r="F711" s="190"/>
      <c r="G711" s="190"/>
      <c r="L711" s="220"/>
      <c r="M711" s="22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4"/>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c r="BU711" s="210"/>
      <c r="BV711" s="210"/>
      <c r="BW711" s="210"/>
      <c r="BX711" s="210"/>
      <c r="BY711" s="210"/>
      <c r="BZ711" s="210"/>
      <c r="CA711" s="210"/>
      <c r="CB711" s="210"/>
      <c r="CC711" s="210"/>
      <c r="CD711" s="210"/>
      <c r="CE711" s="210"/>
      <c r="CF711" s="210"/>
      <c r="CG711" s="210"/>
      <c r="CH711" s="210"/>
      <c r="CI711" s="210"/>
      <c r="CJ711" s="210"/>
      <c r="CK711" s="210"/>
    </row>
    <row r="712">
      <c r="A712" s="220"/>
      <c r="F712" s="190"/>
      <c r="G712" s="190"/>
      <c r="L712" s="220"/>
      <c r="M712" s="22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4"/>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c r="BU712" s="210"/>
      <c r="BV712" s="210"/>
      <c r="BW712" s="210"/>
      <c r="BX712" s="210"/>
      <c r="BY712" s="210"/>
      <c r="BZ712" s="210"/>
      <c r="CA712" s="210"/>
      <c r="CB712" s="210"/>
      <c r="CC712" s="210"/>
      <c r="CD712" s="210"/>
      <c r="CE712" s="210"/>
      <c r="CF712" s="210"/>
      <c r="CG712" s="210"/>
      <c r="CH712" s="210"/>
      <c r="CI712" s="210"/>
      <c r="CJ712" s="210"/>
      <c r="CK712" s="210"/>
    </row>
    <row r="713">
      <c r="A713" s="220"/>
      <c r="F713" s="190"/>
      <c r="G713" s="190"/>
      <c r="L713" s="220"/>
      <c r="M713" s="22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4"/>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c r="BU713" s="210"/>
      <c r="BV713" s="210"/>
      <c r="BW713" s="210"/>
      <c r="BX713" s="210"/>
      <c r="BY713" s="210"/>
      <c r="BZ713" s="210"/>
      <c r="CA713" s="210"/>
      <c r="CB713" s="210"/>
      <c r="CC713" s="210"/>
      <c r="CD713" s="210"/>
      <c r="CE713" s="210"/>
      <c r="CF713" s="210"/>
      <c r="CG713" s="210"/>
      <c r="CH713" s="210"/>
      <c r="CI713" s="210"/>
      <c r="CJ713" s="210"/>
      <c r="CK713" s="210"/>
    </row>
    <row r="714">
      <c r="A714" s="220"/>
      <c r="F714" s="190"/>
      <c r="G714" s="190"/>
      <c r="L714" s="220"/>
      <c r="M714" s="22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4"/>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c r="BU714" s="210"/>
      <c r="BV714" s="210"/>
      <c r="BW714" s="210"/>
      <c r="BX714" s="210"/>
      <c r="BY714" s="210"/>
      <c r="BZ714" s="210"/>
      <c r="CA714" s="210"/>
      <c r="CB714" s="210"/>
      <c r="CC714" s="210"/>
      <c r="CD714" s="210"/>
      <c r="CE714" s="210"/>
      <c r="CF714" s="210"/>
      <c r="CG714" s="210"/>
      <c r="CH714" s="210"/>
      <c r="CI714" s="210"/>
      <c r="CJ714" s="210"/>
      <c r="CK714" s="210"/>
    </row>
    <row r="715">
      <c r="A715" s="220"/>
      <c r="F715" s="190"/>
      <c r="G715" s="190"/>
      <c r="L715" s="220"/>
      <c r="M715" s="22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4"/>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c r="BU715" s="210"/>
      <c r="BV715" s="210"/>
      <c r="BW715" s="210"/>
      <c r="BX715" s="210"/>
      <c r="BY715" s="210"/>
      <c r="BZ715" s="210"/>
      <c r="CA715" s="210"/>
      <c r="CB715" s="210"/>
      <c r="CC715" s="210"/>
      <c r="CD715" s="210"/>
      <c r="CE715" s="210"/>
      <c r="CF715" s="210"/>
      <c r="CG715" s="210"/>
      <c r="CH715" s="210"/>
      <c r="CI715" s="210"/>
      <c r="CJ715" s="210"/>
      <c r="CK715" s="210"/>
    </row>
    <row r="716">
      <c r="A716" s="220"/>
      <c r="F716" s="190"/>
      <c r="G716" s="190"/>
      <c r="L716" s="220"/>
      <c r="M716" s="22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4"/>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c r="BU716" s="210"/>
      <c r="BV716" s="210"/>
      <c r="BW716" s="210"/>
      <c r="BX716" s="210"/>
      <c r="BY716" s="210"/>
      <c r="BZ716" s="210"/>
      <c r="CA716" s="210"/>
      <c r="CB716" s="210"/>
      <c r="CC716" s="210"/>
      <c r="CD716" s="210"/>
      <c r="CE716" s="210"/>
      <c r="CF716" s="210"/>
      <c r="CG716" s="210"/>
      <c r="CH716" s="210"/>
      <c r="CI716" s="210"/>
      <c r="CJ716" s="210"/>
      <c r="CK716" s="210"/>
    </row>
    <row r="717">
      <c r="A717" s="220"/>
      <c r="F717" s="190"/>
      <c r="G717" s="190"/>
      <c r="L717" s="220"/>
      <c r="M717" s="22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4"/>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c r="BU717" s="210"/>
      <c r="BV717" s="210"/>
      <c r="BW717" s="210"/>
      <c r="BX717" s="210"/>
      <c r="BY717" s="210"/>
      <c r="BZ717" s="210"/>
      <c r="CA717" s="210"/>
      <c r="CB717" s="210"/>
      <c r="CC717" s="210"/>
      <c r="CD717" s="210"/>
      <c r="CE717" s="210"/>
      <c r="CF717" s="210"/>
      <c r="CG717" s="210"/>
      <c r="CH717" s="210"/>
      <c r="CI717" s="210"/>
      <c r="CJ717" s="210"/>
      <c r="CK717" s="210"/>
    </row>
    <row r="718">
      <c r="A718" s="220"/>
      <c r="F718" s="190"/>
      <c r="G718" s="190"/>
      <c r="L718" s="220"/>
      <c r="M718" s="22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4"/>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c r="BU718" s="210"/>
      <c r="BV718" s="210"/>
      <c r="BW718" s="210"/>
      <c r="BX718" s="210"/>
      <c r="BY718" s="210"/>
      <c r="BZ718" s="210"/>
      <c r="CA718" s="210"/>
      <c r="CB718" s="210"/>
      <c r="CC718" s="210"/>
      <c r="CD718" s="210"/>
      <c r="CE718" s="210"/>
      <c r="CF718" s="210"/>
      <c r="CG718" s="210"/>
      <c r="CH718" s="210"/>
      <c r="CI718" s="210"/>
      <c r="CJ718" s="210"/>
      <c r="CK718" s="210"/>
    </row>
    <row r="719">
      <c r="A719" s="220"/>
      <c r="F719" s="190"/>
      <c r="G719" s="190"/>
      <c r="L719" s="220"/>
      <c r="M719" s="22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4"/>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c r="BU719" s="210"/>
      <c r="BV719" s="210"/>
      <c r="BW719" s="210"/>
      <c r="BX719" s="210"/>
      <c r="BY719" s="210"/>
      <c r="BZ719" s="210"/>
      <c r="CA719" s="210"/>
      <c r="CB719" s="210"/>
      <c r="CC719" s="210"/>
      <c r="CD719" s="210"/>
      <c r="CE719" s="210"/>
      <c r="CF719" s="210"/>
      <c r="CG719" s="210"/>
      <c r="CH719" s="210"/>
      <c r="CI719" s="210"/>
      <c r="CJ719" s="210"/>
      <c r="CK719" s="210"/>
    </row>
    <row r="720">
      <c r="A720" s="220"/>
      <c r="F720" s="190"/>
      <c r="G720" s="190"/>
      <c r="L720" s="220"/>
      <c r="M720" s="22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4"/>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c r="BU720" s="210"/>
      <c r="BV720" s="210"/>
      <c r="BW720" s="210"/>
      <c r="BX720" s="210"/>
      <c r="BY720" s="210"/>
      <c r="BZ720" s="210"/>
      <c r="CA720" s="210"/>
      <c r="CB720" s="210"/>
      <c r="CC720" s="210"/>
      <c r="CD720" s="210"/>
      <c r="CE720" s="210"/>
      <c r="CF720" s="210"/>
      <c r="CG720" s="210"/>
      <c r="CH720" s="210"/>
      <c r="CI720" s="210"/>
      <c r="CJ720" s="210"/>
      <c r="CK720" s="210"/>
    </row>
    <row r="721">
      <c r="A721" s="220"/>
      <c r="F721" s="190"/>
      <c r="G721" s="190"/>
      <c r="L721" s="220"/>
      <c r="M721" s="22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4"/>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c r="BU721" s="210"/>
      <c r="BV721" s="210"/>
      <c r="BW721" s="210"/>
      <c r="BX721" s="210"/>
      <c r="BY721" s="210"/>
      <c r="BZ721" s="210"/>
      <c r="CA721" s="210"/>
      <c r="CB721" s="210"/>
      <c r="CC721" s="210"/>
      <c r="CD721" s="210"/>
      <c r="CE721" s="210"/>
      <c r="CF721" s="210"/>
      <c r="CG721" s="210"/>
      <c r="CH721" s="210"/>
      <c r="CI721" s="210"/>
      <c r="CJ721" s="210"/>
      <c r="CK721" s="210"/>
    </row>
    <row r="722">
      <c r="A722" s="220"/>
      <c r="F722" s="190"/>
      <c r="G722" s="190"/>
      <c r="L722" s="220"/>
      <c r="M722" s="22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4"/>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c r="BU722" s="210"/>
      <c r="BV722" s="210"/>
      <c r="BW722" s="210"/>
      <c r="BX722" s="210"/>
      <c r="BY722" s="210"/>
      <c r="BZ722" s="210"/>
      <c r="CA722" s="210"/>
      <c r="CB722" s="210"/>
      <c r="CC722" s="210"/>
      <c r="CD722" s="210"/>
      <c r="CE722" s="210"/>
      <c r="CF722" s="210"/>
      <c r="CG722" s="210"/>
      <c r="CH722" s="210"/>
      <c r="CI722" s="210"/>
      <c r="CJ722" s="210"/>
      <c r="CK722" s="210"/>
    </row>
    <row r="723">
      <c r="A723" s="220"/>
      <c r="F723" s="190"/>
      <c r="G723" s="190"/>
      <c r="L723" s="220"/>
      <c r="M723" s="22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4"/>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c r="BU723" s="210"/>
      <c r="BV723" s="210"/>
      <c r="BW723" s="210"/>
      <c r="BX723" s="210"/>
      <c r="BY723" s="210"/>
      <c r="BZ723" s="210"/>
      <c r="CA723" s="210"/>
      <c r="CB723" s="210"/>
      <c r="CC723" s="210"/>
      <c r="CD723" s="210"/>
      <c r="CE723" s="210"/>
      <c r="CF723" s="210"/>
      <c r="CG723" s="210"/>
      <c r="CH723" s="210"/>
      <c r="CI723" s="210"/>
      <c r="CJ723" s="210"/>
      <c r="CK723" s="210"/>
    </row>
    <row r="724">
      <c r="A724" s="220"/>
      <c r="F724" s="190"/>
      <c r="G724" s="190"/>
      <c r="L724" s="220"/>
      <c r="M724" s="22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4"/>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c r="BU724" s="210"/>
      <c r="BV724" s="210"/>
      <c r="BW724" s="210"/>
      <c r="BX724" s="210"/>
      <c r="BY724" s="210"/>
      <c r="BZ724" s="210"/>
      <c r="CA724" s="210"/>
      <c r="CB724" s="210"/>
      <c r="CC724" s="210"/>
      <c r="CD724" s="210"/>
      <c r="CE724" s="210"/>
      <c r="CF724" s="210"/>
      <c r="CG724" s="210"/>
      <c r="CH724" s="210"/>
      <c r="CI724" s="210"/>
      <c r="CJ724" s="210"/>
      <c r="CK724" s="210"/>
    </row>
    <row r="725">
      <c r="A725" s="220"/>
      <c r="F725" s="190"/>
      <c r="G725" s="190"/>
      <c r="L725" s="220"/>
      <c r="M725" s="22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4"/>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c r="BU725" s="210"/>
      <c r="BV725" s="210"/>
      <c r="BW725" s="210"/>
      <c r="BX725" s="210"/>
      <c r="BY725" s="210"/>
      <c r="BZ725" s="210"/>
      <c r="CA725" s="210"/>
      <c r="CB725" s="210"/>
      <c r="CC725" s="210"/>
      <c r="CD725" s="210"/>
      <c r="CE725" s="210"/>
      <c r="CF725" s="210"/>
      <c r="CG725" s="210"/>
      <c r="CH725" s="210"/>
      <c r="CI725" s="210"/>
      <c r="CJ725" s="210"/>
      <c r="CK725" s="210"/>
    </row>
    <row r="726">
      <c r="A726" s="220"/>
      <c r="F726" s="190"/>
      <c r="G726" s="190"/>
      <c r="L726" s="220"/>
      <c r="M726" s="22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4"/>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c r="BU726" s="210"/>
      <c r="BV726" s="210"/>
      <c r="BW726" s="210"/>
      <c r="BX726" s="210"/>
      <c r="BY726" s="210"/>
      <c r="BZ726" s="210"/>
      <c r="CA726" s="210"/>
      <c r="CB726" s="210"/>
      <c r="CC726" s="210"/>
      <c r="CD726" s="210"/>
      <c r="CE726" s="210"/>
      <c r="CF726" s="210"/>
      <c r="CG726" s="210"/>
      <c r="CH726" s="210"/>
      <c r="CI726" s="210"/>
      <c r="CJ726" s="210"/>
      <c r="CK726" s="210"/>
    </row>
    <row r="727">
      <c r="A727" s="220"/>
      <c r="F727" s="190"/>
      <c r="G727" s="190"/>
      <c r="L727" s="220"/>
      <c r="M727" s="22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4"/>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c r="BU727" s="210"/>
      <c r="BV727" s="210"/>
      <c r="BW727" s="210"/>
      <c r="BX727" s="210"/>
      <c r="BY727" s="210"/>
      <c r="BZ727" s="210"/>
      <c r="CA727" s="210"/>
      <c r="CB727" s="210"/>
      <c r="CC727" s="210"/>
      <c r="CD727" s="210"/>
      <c r="CE727" s="210"/>
      <c r="CF727" s="210"/>
      <c r="CG727" s="210"/>
      <c r="CH727" s="210"/>
      <c r="CI727" s="210"/>
      <c r="CJ727" s="210"/>
      <c r="CK727" s="210"/>
    </row>
    <row r="728">
      <c r="A728" s="220"/>
      <c r="F728" s="190"/>
      <c r="G728" s="190"/>
      <c r="L728" s="220"/>
      <c r="M728" s="22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4"/>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c r="BU728" s="210"/>
      <c r="BV728" s="210"/>
      <c r="BW728" s="210"/>
      <c r="BX728" s="210"/>
      <c r="BY728" s="210"/>
      <c r="BZ728" s="210"/>
      <c r="CA728" s="210"/>
      <c r="CB728" s="210"/>
      <c r="CC728" s="210"/>
      <c r="CD728" s="210"/>
      <c r="CE728" s="210"/>
      <c r="CF728" s="210"/>
      <c r="CG728" s="210"/>
      <c r="CH728" s="210"/>
      <c r="CI728" s="210"/>
      <c r="CJ728" s="210"/>
      <c r="CK728" s="210"/>
    </row>
    <row r="729">
      <c r="A729" s="220"/>
      <c r="F729" s="190"/>
      <c r="G729" s="190"/>
      <c r="L729" s="220"/>
      <c r="M729" s="22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4"/>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c r="BU729" s="210"/>
      <c r="BV729" s="210"/>
      <c r="BW729" s="210"/>
      <c r="BX729" s="210"/>
      <c r="BY729" s="210"/>
      <c r="BZ729" s="210"/>
      <c r="CA729" s="210"/>
      <c r="CB729" s="210"/>
      <c r="CC729" s="210"/>
      <c r="CD729" s="210"/>
      <c r="CE729" s="210"/>
      <c r="CF729" s="210"/>
      <c r="CG729" s="210"/>
      <c r="CH729" s="210"/>
      <c r="CI729" s="210"/>
      <c r="CJ729" s="210"/>
      <c r="CK729" s="210"/>
    </row>
    <row r="730">
      <c r="A730" s="220"/>
      <c r="F730" s="190"/>
      <c r="G730" s="190"/>
      <c r="L730" s="220"/>
      <c r="M730" s="22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4"/>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c r="BU730" s="210"/>
      <c r="BV730" s="210"/>
      <c r="BW730" s="210"/>
      <c r="BX730" s="210"/>
      <c r="BY730" s="210"/>
      <c r="BZ730" s="210"/>
      <c r="CA730" s="210"/>
      <c r="CB730" s="210"/>
      <c r="CC730" s="210"/>
      <c r="CD730" s="210"/>
      <c r="CE730" s="210"/>
      <c r="CF730" s="210"/>
      <c r="CG730" s="210"/>
      <c r="CH730" s="210"/>
      <c r="CI730" s="210"/>
      <c r="CJ730" s="210"/>
      <c r="CK730" s="210"/>
    </row>
    <row r="731">
      <c r="A731" s="220"/>
      <c r="F731" s="190"/>
      <c r="G731" s="190"/>
      <c r="L731" s="220"/>
      <c r="M731" s="22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4"/>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c r="BU731" s="210"/>
      <c r="BV731" s="210"/>
      <c r="BW731" s="210"/>
      <c r="BX731" s="210"/>
      <c r="BY731" s="210"/>
      <c r="BZ731" s="210"/>
      <c r="CA731" s="210"/>
      <c r="CB731" s="210"/>
      <c r="CC731" s="210"/>
      <c r="CD731" s="210"/>
      <c r="CE731" s="210"/>
      <c r="CF731" s="210"/>
      <c r="CG731" s="210"/>
      <c r="CH731" s="210"/>
      <c r="CI731" s="210"/>
      <c r="CJ731" s="210"/>
      <c r="CK731" s="210"/>
    </row>
    <row r="732">
      <c r="A732" s="220"/>
      <c r="F732" s="190"/>
      <c r="G732" s="190"/>
      <c r="L732" s="220"/>
      <c r="M732" s="22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4"/>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c r="BU732" s="210"/>
      <c r="BV732" s="210"/>
      <c r="BW732" s="210"/>
      <c r="BX732" s="210"/>
      <c r="BY732" s="210"/>
      <c r="BZ732" s="210"/>
      <c r="CA732" s="210"/>
      <c r="CB732" s="210"/>
      <c r="CC732" s="210"/>
      <c r="CD732" s="210"/>
      <c r="CE732" s="210"/>
      <c r="CF732" s="210"/>
      <c r="CG732" s="210"/>
      <c r="CH732" s="210"/>
      <c r="CI732" s="210"/>
      <c r="CJ732" s="210"/>
      <c r="CK732" s="210"/>
    </row>
    <row r="733">
      <c r="A733" s="220"/>
      <c r="F733" s="190"/>
      <c r="G733" s="190"/>
      <c r="L733" s="220"/>
      <c r="M733" s="22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4"/>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c r="BU733" s="210"/>
      <c r="BV733" s="210"/>
      <c r="BW733" s="210"/>
      <c r="BX733" s="210"/>
      <c r="BY733" s="210"/>
      <c r="BZ733" s="210"/>
      <c r="CA733" s="210"/>
      <c r="CB733" s="210"/>
      <c r="CC733" s="210"/>
      <c r="CD733" s="210"/>
      <c r="CE733" s="210"/>
      <c r="CF733" s="210"/>
      <c r="CG733" s="210"/>
      <c r="CH733" s="210"/>
      <c r="CI733" s="210"/>
      <c r="CJ733" s="210"/>
      <c r="CK733" s="210"/>
    </row>
    <row r="734">
      <c r="A734" s="220"/>
      <c r="F734" s="190"/>
      <c r="G734" s="190"/>
      <c r="L734" s="220"/>
      <c r="M734" s="22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4"/>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c r="BU734" s="210"/>
      <c r="BV734" s="210"/>
      <c r="BW734" s="210"/>
      <c r="BX734" s="210"/>
      <c r="BY734" s="210"/>
      <c r="BZ734" s="210"/>
      <c r="CA734" s="210"/>
      <c r="CB734" s="210"/>
      <c r="CC734" s="210"/>
      <c r="CD734" s="210"/>
      <c r="CE734" s="210"/>
      <c r="CF734" s="210"/>
      <c r="CG734" s="210"/>
      <c r="CH734" s="210"/>
      <c r="CI734" s="210"/>
      <c r="CJ734" s="210"/>
      <c r="CK734" s="210"/>
    </row>
    <row r="735">
      <c r="A735" s="220"/>
      <c r="F735" s="190"/>
      <c r="G735" s="190"/>
      <c r="L735" s="220"/>
      <c r="M735" s="22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4"/>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c r="BU735" s="210"/>
      <c r="BV735" s="210"/>
      <c r="BW735" s="210"/>
      <c r="BX735" s="210"/>
      <c r="BY735" s="210"/>
      <c r="BZ735" s="210"/>
      <c r="CA735" s="210"/>
      <c r="CB735" s="210"/>
      <c r="CC735" s="210"/>
      <c r="CD735" s="210"/>
      <c r="CE735" s="210"/>
      <c r="CF735" s="210"/>
      <c r="CG735" s="210"/>
      <c r="CH735" s="210"/>
      <c r="CI735" s="210"/>
      <c r="CJ735" s="210"/>
      <c r="CK735" s="210"/>
    </row>
    <row r="736">
      <c r="A736" s="220"/>
      <c r="F736" s="190"/>
      <c r="G736" s="190"/>
      <c r="L736" s="220"/>
      <c r="M736" s="22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4"/>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c r="BU736" s="210"/>
      <c r="BV736" s="210"/>
      <c r="BW736" s="210"/>
      <c r="BX736" s="210"/>
      <c r="BY736" s="210"/>
      <c r="BZ736" s="210"/>
      <c r="CA736" s="210"/>
      <c r="CB736" s="210"/>
      <c r="CC736" s="210"/>
      <c r="CD736" s="210"/>
      <c r="CE736" s="210"/>
      <c r="CF736" s="210"/>
      <c r="CG736" s="210"/>
      <c r="CH736" s="210"/>
      <c r="CI736" s="210"/>
      <c r="CJ736" s="210"/>
      <c r="CK736" s="210"/>
    </row>
    <row r="737">
      <c r="A737" s="220"/>
      <c r="F737" s="190"/>
      <c r="G737" s="190"/>
      <c r="L737" s="220"/>
      <c r="M737" s="22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4"/>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c r="BU737" s="210"/>
      <c r="BV737" s="210"/>
      <c r="BW737" s="210"/>
      <c r="BX737" s="210"/>
      <c r="BY737" s="210"/>
      <c r="BZ737" s="210"/>
      <c r="CA737" s="210"/>
      <c r="CB737" s="210"/>
      <c r="CC737" s="210"/>
      <c r="CD737" s="210"/>
      <c r="CE737" s="210"/>
      <c r="CF737" s="210"/>
      <c r="CG737" s="210"/>
      <c r="CH737" s="210"/>
      <c r="CI737" s="210"/>
      <c r="CJ737" s="210"/>
      <c r="CK737" s="210"/>
    </row>
    <row r="738">
      <c r="A738" s="220"/>
      <c r="F738" s="190"/>
      <c r="G738" s="190"/>
      <c r="L738" s="220"/>
      <c r="M738" s="22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4"/>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c r="BU738" s="210"/>
      <c r="BV738" s="210"/>
      <c r="BW738" s="210"/>
      <c r="BX738" s="210"/>
      <c r="BY738" s="210"/>
      <c r="BZ738" s="210"/>
      <c r="CA738" s="210"/>
      <c r="CB738" s="210"/>
      <c r="CC738" s="210"/>
      <c r="CD738" s="210"/>
      <c r="CE738" s="210"/>
      <c r="CF738" s="210"/>
      <c r="CG738" s="210"/>
      <c r="CH738" s="210"/>
      <c r="CI738" s="210"/>
      <c r="CJ738" s="210"/>
      <c r="CK738" s="210"/>
    </row>
    <row r="739">
      <c r="A739" s="220"/>
      <c r="F739" s="190"/>
      <c r="G739" s="190"/>
      <c r="L739" s="220"/>
      <c r="M739" s="22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4"/>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c r="BU739" s="210"/>
      <c r="BV739" s="210"/>
      <c r="BW739" s="210"/>
      <c r="BX739" s="210"/>
      <c r="BY739" s="210"/>
      <c r="BZ739" s="210"/>
      <c r="CA739" s="210"/>
      <c r="CB739" s="210"/>
      <c r="CC739" s="210"/>
      <c r="CD739" s="210"/>
      <c r="CE739" s="210"/>
      <c r="CF739" s="210"/>
      <c r="CG739" s="210"/>
      <c r="CH739" s="210"/>
      <c r="CI739" s="210"/>
      <c r="CJ739" s="210"/>
      <c r="CK739" s="210"/>
    </row>
    <row r="740">
      <c r="A740" s="220"/>
      <c r="F740" s="190"/>
      <c r="G740" s="190"/>
      <c r="L740" s="220"/>
      <c r="M740" s="22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4"/>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c r="BU740" s="210"/>
      <c r="BV740" s="210"/>
      <c r="BW740" s="210"/>
      <c r="BX740" s="210"/>
      <c r="BY740" s="210"/>
      <c r="BZ740" s="210"/>
      <c r="CA740" s="210"/>
      <c r="CB740" s="210"/>
      <c r="CC740" s="210"/>
      <c r="CD740" s="210"/>
      <c r="CE740" s="210"/>
      <c r="CF740" s="210"/>
      <c r="CG740" s="210"/>
      <c r="CH740" s="210"/>
      <c r="CI740" s="210"/>
      <c r="CJ740" s="210"/>
      <c r="CK740" s="210"/>
    </row>
    <row r="741">
      <c r="A741" s="220"/>
      <c r="F741" s="190"/>
      <c r="G741" s="190"/>
      <c r="L741" s="220"/>
      <c r="M741" s="22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4"/>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c r="BU741" s="210"/>
      <c r="BV741" s="210"/>
      <c r="BW741" s="210"/>
      <c r="BX741" s="210"/>
      <c r="BY741" s="210"/>
      <c r="BZ741" s="210"/>
      <c r="CA741" s="210"/>
      <c r="CB741" s="210"/>
      <c r="CC741" s="210"/>
      <c r="CD741" s="210"/>
      <c r="CE741" s="210"/>
      <c r="CF741" s="210"/>
      <c r="CG741" s="210"/>
      <c r="CH741" s="210"/>
      <c r="CI741" s="210"/>
      <c r="CJ741" s="210"/>
      <c r="CK741" s="210"/>
    </row>
    <row r="742">
      <c r="A742" s="220"/>
      <c r="F742" s="190"/>
      <c r="G742" s="190"/>
      <c r="L742" s="220"/>
      <c r="M742" s="22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4"/>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c r="BU742" s="210"/>
      <c r="BV742" s="210"/>
      <c r="BW742" s="210"/>
      <c r="BX742" s="210"/>
      <c r="BY742" s="210"/>
      <c r="BZ742" s="210"/>
      <c r="CA742" s="210"/>
      <c r="CB742" s="210"/>
      <c r="CC742" s="210"/>
      <c r="CD742" s="210"/>
      <c r="CE742" s="210"/>
      <c r="CF742" s="210"/>
      <c r="CG742" s="210"/>
      <c r="CH742" s="210"/>
      <c r="CI742" s="210"/>
      <c r="CJ742" s="210"/>
      <c r="CK742" s="210"/>
    </row>
    <row r="743">
      <c r="A743" s="220"/>
      <c r="F743" s="190"/>
      <c r="G743" s="190"/>
      <c r="L743" s="220"/>
      <c r="M743" s="22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4"/>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c r="BU743" s="210"/>
      <c r="BV743" s="210"/>
      <c r="BW743" s="210"/>
      <c r="BX743" s="210"/>
      <c r="BY743" s="210"/>
      <c r="BZ743" s="210"/>
      <c r="CA743" s="210"/>
      <c r="CB743" s="210"/>
      <c r="CC743" s="210"/>
      <c r="CD743" s="210"/>
      <c r="CE743" s="210"/>
      <c r="CF743" s="210"/>
      <c r="CG743" s="210"/>
      <c r="CH743" s="210"/>
      <c r="CI743" s="210"/>
      <c r="CJ743" s="210"/>
      <c r="CK743" s="210"/>
    </row>
    <row r="744">
      <c r="A744" s="220"/>
      <c r="F744" s="190"/>
      <c r="G744" s="190"/>
      <c r="L744" s="220"/>
      <c r="M744" s="22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4"/>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c r="BU744" s="210"/>
      <c r="BV744" s="210"/>
      <c r="BW744" s="210"/>
      <c r="BX744" s="210"/>
      <c r="BY744" s="210"/>
      <c r="BZ744" s="210"/>
      <c r="CA744" s="210"/>
      <c r="CB744" s="210"/>
      <c r="CC744" s="210"/>
      <c r="CD744" s="210"/>
      <c r="CE744" s="210"/>
      <c r="CF744" s="210"/>
      <c r="CG744" s="210"/>
      <c r="CH744" s="210"/>
      <c r="CI744" s="210"/>
      <c r="CJ744" s="210"/>
      <c r="CK744" s="210"/>
    </row>
    <row r="745">
      <c r="A745" s="220"/>
      <c r="F745" s="190"/>
      <c r="G745" s="190"/>
      <c r="L745" s="220"/>
      <c r="M745" s="22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4"/>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c r="BU745" s="210"/>
      <c r="BV745" s="210"/>
      <c r="BW745" s="210"/>
      <c r="BX745" s="210"/>
      <c r="BY745" s="210"/>
      <c r="BZ745" s="210"/>
      <c r="CA745" s="210"/>
      <c r="CB745" s="210"/>
      <c r="CC745" s="210"/>
      <c r="CD745" s="210"/>
      <c r="CE745" s="210"/>
      <c r="CF745" s="210"/>
      <c r="CG745" s="210"/>
      <c r="CH745" s="210"/>
      <c r="CI745" s="210"/>
      <c r="CJ745" s="210"/>
      <c r="CK745" s="210"/>
    </row>
    <row r="746">
      <c r="A746" s="220"/>
      <c r="F746" s="190"/>
      <c r="G746" s="190"/>
      <c r="L746" s="220"/>
      <c r="M746" s="22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4"/>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c r="BU746" s="210"/>
      <c r="BV746" s="210"/>
      <c r="BW746" s="210"/>
      <c r="BX746" s="210"/>
      <c r="BY746" s="210"/>
      <c r="BZ746" s="210"/>
      <c r="CA746" s="210"/>
      <c r="CB746" s="210"/>
      <c r="CC746" s="210"/>
      <c r="CD746" s="210"/>
      <c r="CE746" s="210"/>
      <c r="CF746" s="210"/>
      <c r="CG746" s="210"/>
      <c r="CH746" s="210"/>
      <c r="CI746" s="210"/>
      <c r="CJ746" s="210"/>
      <c r="CK746" s="210"/>
    </row>
    <row r="747">
      <c r="A747" s="220"/>
      <c r="F747" s="190"/>
      <c r="G747" s="190"/>
      <c r="L747" s="220"/>
      <c r="M747" s="22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4"/>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c r="BU747" s="210"/>
      <c r="BV747" s="210"/>
      <c r="BW747" s="210"/>
      <c r="BX747" s="210"/>
      <c r="BY747" s="210"/>
      <c r="BZ747" s="210"/>
      <c r="CA747" s="210"/>
      <c r="CB747" s="210"/>
      <c r="CC747" s="210"/>
      <c r="CD747" s="210"/>
      <c r="CE747" s="210"/>
      <c r="CF747" s="210"/>
      <c r="CG747" s="210"/>
      <c r="CH747" s="210"/>
      <c r="CI747" s="210"/>
      <c r="CJ747" s="210"/>
      <c r="CK747" s="210"/>
    </row>
    <row r="748">
      <c r="A748" s="220"/>
      <c r="F748" s="190"/>
      <c r="G748" s="190"/>
      <c r="L748" s="220"/>
      <c r="M748" s="22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4"/>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c r="BU748" s="210"/>
      <c r="BV748" s="210"/>
      <c r="BW748" s="210"/>
      <c r="BX748" s="210"/>
      <c r="BY748" s="210"/>
      <c r="BZ748" s="210"/>
      <c r="CA748" s="210"/>
      <c r="CB748" s="210"/>
      <c r="CC748" s="210"/>
      <c r="CD748" s="210"/>
      <c r="CE748" s="210"/>
      <c r="CF748" s="210"/>
      <c r="CG748" s="210"/>
      <c r="CH748" s="210"/>
      <c r="CI748" s="210"/>
      <c r="CJ748" s="210"/>
      <c r="CK748" s="210"/>
    </row>
    <row r="749">
      <c r="A749" s="220"/>
      <c r="F749" s="190"/>
      <c r="G749" s="190"/>
      <c r="L749" s="220"/>
      <c r="M749" s="22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4"/>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c r="BU749" s="210"/>
      <c r="BV749" s="210"/>
      <c r="BW749" s="210"/>
      <c r="BX749" s="210"/>
      <c r="BY749" s="210"/>
      <c r="BZ749" s="210"/>
      <c r="CA749" s="210"/>
      <c r="CB749" s="210"/>
      <c r="CC749" s="210"/>
      <c r="CD749" s="210"/>
      <c r="CE749" s="210"/>
      <c r="CF749" s="210"/>
      <c r="CG749" s="210"/>
      <c r="CH749" s="210"/>
      <c r="CI749" s="210"/>
      <c r="CJ749" s="210"/>
      <c r="CK749" s="210"/>
    </row>
    <row r="750">
      <c r="A750" s="220"/>
      <c r="F750" s="190"/>
      <c r="G750" s="190"/>
      <c r="L750" s="220"/>
      <c r="M750" s="22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4"/>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c r="BU750" s="210"/>
      <c r="BV750" s="210"/>
      <c r="BW750" s="210"/>
      <c r="BX750" s="210"/>
      <c r="BY750" s="210"/>
      <c r="BZ750" s="210"/>
      <c r="CA750" s="210"/>
      <c r="CB750" s="210"/>
      <c r="CC750" s="210"/>
      <c r="CD750" s="210"/>
      <c r="CE750" s="210"/>
      <c r="CF750" s="210"/>
      <c r="CG750" s="210"/>
      <c r="CH750" s="210"/>
      <c r="CI750" s="210"/>
      <c r="CJ750" s="210"/>
      <c r="CK750" s="210"/>
    </row>
    <row r="751">
      <c r="A751" s="220"/>
      <c r="F751" s="190"/>
      <c r="G751" s="190"/>
      <c r="L751" s="220"/>
      <c r="M751" s="22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4"/>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c r="BU751" s="210"/>
      <c r="BV751" s="210"/>
      <c r="BW751" s="210"/>
      <c r="BX751" s="210"/>
      <c r="BY751" s="210"/>
      <c r="BZ751" s="210"/>
      <c r="CA751" s="210"/>
      <c r="CB751" s="210"/>
      <c r="CC751" s="210"/>
      <c r="CD751" s="210"/>
      <c r="CE751" s="210"/>
      <c r="CF751" s="210"/>
      <c r="CG751" s="210"/>
      <c r="CH751" s="210"/>
      <c r="CI751" s="210"/>
      <c r="CJ751" s="210"/>
      <c r="CK751" s="210"/>
    </row>
    <row r="752">
      <c r="A752" s="220"/>
      <c r="F752" s="190"/>
      <c r="G752" s="190"/>
      <c r="L752" s="220"/>
      <c r="M752" s="22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4"/>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c r="BU752" s="210"/>
      <c r="BV752" s="210"/>
      <c r="BW752" s="210"/>
      <c r="BX752" s="210"/>
      <c r="BY752" s="210"/>
      <c r="BZ752" s="210"/>
      <c r="CA752" s="210"/>
      <c r="CB752" s="210"/>
      <c r="CC752" s="210"/>
      <c r="CD752" s="210"/>
      <c r="CE752" s="210"/>
      <c r="CF752" s="210"/>
      <c r="CG752" s="210"/>
      <c r="CH752" s="210"/>
      <c r="CI752" s="210"/>
      <c r="CJ752" s="210"/>
      <c r="CK752" s="210"/>
    </row>
    <row r="753">
      <c r="A753" s="220"/>
      <c r="F753" s="190"/>
      <c r="G753" s="190"/>
      <c r="L753" s="220"/>
      <c r="M753" s="22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4"/>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c r="BU753" s="210"/>
      <c r="BV753" s="210"/>
      <c r="BW753" s="210"/>
      <c r="BX753" s="210"/>
      <c r="BY753" s="210"/>
      <c r="BZ753" s="210"/>
      <c r="CA753" s="210"/>
      <c r="CB753" s="210"/>
      <c r="CC753" s="210"/>
      <c r="CD753" s="210"/>
      <c r="CE753" s="210"/>
      <c r="CF753" s="210"/>
      <c r="CG753" s="210"/>
      <c r="CH753" s="210"/>
      <c r="CI753" s="210"/>
      <c r="CJ753" s="210"/>
      <c r="CK753" s="210"/>
    </row>
    <row r="754">
      <c r="A754" s="220"/>
      <c r="F754" s="190"/>
      <c r="G754" s="190"/>
      <c r="L754" s="220"/>
      <c r="M754" s="22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4"/>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c r="BU754" s="210"/>
      <c r="BV754" s="210"/>
      <c r="BW754" s="210"/>
      <c r="BX754" s="210"/>
      <c r="BY754" s="210"/>
      <c r="BZ754" s="210"/>
      <c r="CA754" s="210"/>
      <c r="CB754" s="210"/>
      <c r="CC754" s="210"/>
      <c r="CD754" s="210"/>
      <c r="CE754" s="210"/>
      <c r="CF754" s="210"/>
      <c r="CG754" s="210"/>
      <c r="CH754" s="210"/>
      <c r="CI754" s="210"/>
      <c r="CJ754" s="210"/>
      <c r="CK754" s="210"/>
    </row>
    <row r="755">
      <c r="A755" s="220"/>
      <c r="F755" s="190"/>
      <c r="G755" s="190"/>
      <c r="L755" s="220"/>
      <c r="M755" s="22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4"/>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c r="BU755" s="210"/>
      <c r="BV755" s="210"/>
      <c r="BW755" s="210"/>
      <c r="BX755" s="210"/>
      <c r="BY755" s="210"/>
      <c r="BZ755" s="210"/>
      <c r="CA755" s="210"/>
      <c r="CB755" s="210"/>
      <c r="CC755" s="210"/>
      <c r="CD755" s="210"/>
      <c r="CE755" s="210"/>
      <c r="CF755" s="210"/>
      <c r="CG755" s="210"/>
      <c r="CH755" s="210"/>
      <c r="CI755" s="210"/>
      <c r="CJ755" s="210"/>
      <c r="CK755" s="210"/>
    </row>
    <row r="756">
      <c r="A756" s="220"/>
      <c r="F756" s="190"/>
      <c r="G756" s="190"/>
      <c r="L756" s="220"/>
      <c r="M756" s="22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4"/>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c r="BU756" s="210"/>
      <c r="BV756" s="210"/>
      <c r="BW756" s="210"/>
      <c r="BX756" s="210"/>
      <c r="BY756" s="210"/>
      <c r="BZ756" s="210"/>
      <c r="CA756" s="210"/>
      <c r="CB756" s="210"/>
      <c r="CC756" s="210"/>
      <c r="CD756" s="210"/>
      <c r="CE756" s="210"/>
      <c r="CF756" s="210"/>
      <c r="CG756" s="210"/>
      <c r="CH756" s="210"/>
      <c r="CI756" s="210"/>
      <c r="CJ756" s="210"/>
      <c r="CK756" s="210"/>
    </row>
    <row r="757">
      <c r="A757" s="220"/>
      <c r="F757" s="190"/>
      <c r="G757" s="190"/>
      <c r="L757" s="220"/>
      <c r="M757" s="22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4"/>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c r="BU757" s="210"/>
      <c r="BV757" s="210"/>
      <c r="BW757" s="210"/>
      <c r="BX757" s="210"/>
      <c r="BY757" s="210"/>
      <c r="BZ757" s="210"/>
      <c r="CA757" s="210"/>
      <c r="CB757" s="210"/>
      <c r="CC757" s="210"/>
      <c r="CD757" s="210"/>
      <c r="CE757" s="210"/>
      <c r="CF757" s="210"/>
      <c r="CG757" s="210"/>
      <c r="CH757" s="210"/>
      <c r="CI757" s="210"/>
      <c r="CJ757" s="210"/>
      <c r="CK757" s="210"/>
    </row>
    <row r="758">
      <c r="A758" s="220"/>
      <c r="F758" s="190"/>
      <c r="G758" s="190"/>
      <c r="L758" s="220"/>
      <c r="M758" s="22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4"/>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c r="BU758" s="210"/>
      <c r="BV758" s="210"/>
      <c r="BW758" s="210"/>
      <c r="BX758" s="210"/>
      <c r="BY758" s="210"/>
      <c r="BZ758" s="210"/>
      <c r="CA758" s="210"/>
      <c r="CB758" s="210"/>
      <c r="CC758" s="210"/>
      <c r="CD758" s="210"/>
      <c r="CE758" s="210"/>
      <c r="CF758" s="210"/>
      <c r="CG758" s="210"/>
      <c r="CH758" s="210"/>
      <c r="CI758" s="210"/>
      <c r="CJ758" s="210"/>
      <c r="CK758" s="210"/>
    </row>
    <row r="759">
      <c r="A759" s="220"/>
      <c r="F759" s="190"/>
      <c r="G759" s="190"/>
      <c r="L759" s="220"/>
      <c r="M759" s="22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4"/>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c r="BU759" s="210"/>
      <c r="BV759" s="210"/>
      <c r="BW759" s="210"/>
      <c r="BX759" s="210"/>
      <c r="BY759" s="210"/>
      <c r="BZ759" s="210"/>
      <c r="CA759" s="210"/>
      <c r="CB759" s="210"/>
      <c r="CC759" s="210"/>
      <c r="CD759" s="210"/>
      <c r="CE759" s="210"/>
      <c r="CF759" s="210"/>
      <c r="CG759" s="210"/>
      <c r="CH759" s="210"/>
      <c r="CI759" s="210"/>
      <c r="CJ759" s="210"/>
      <c r="CK759" s="210"/>
    </row>
    <row r="760">
      <c r="A760" s="220"/>
      <c r="F760" s="190"/>
      <c r="G760" s="190"/>
      <c r="L760" s="220"/>
      <c r="M760" s="22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4"/>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c r="BU760" s="210"/>
      <c r="BV760" s="210"/>
      <c r="BW760" s="210"/>
      <c r="BX760" s="210"/>
      <c r="BY760" s="210"/>
      <c r="BZ760" s="210"/>
      <c r="CA760" s="210"/>
      <c r="CB760" s="210"/>
      <c r="CC760" s="210"/>
      <c r="CD760" s="210"/>
      <c r="CE760" s="210"/>
      <c r="CF760" s="210"/>
      <c r="CG760" s="210"/>
      <c r="CH760" s="210"/>
      <c r="CI760" s="210"/>
      <c r="CJ760" s="210"/>
      <c r="CK760" s="210"/>
    </row>
    <row r="761">
      <c r="A761" s="220"/>
      <c r="F761" s="190"/>
      <c r="G761" s="190"/>
      <c r="L761" s="220"/>
      <c r="M761" s="22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4"/>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c r="BU761" s="210"/>
      <c r="BV761" s="210"/>
      <c r="BW761" s="210"/>
      <c r="BX761" s="210"/>
      <c r="BY761" s="210"/>
      <c r="BZ761" s="210"/>
      <c r="CA761" s="210"/>
      <c r="CB761" s="210"/>
      <c r="CC761" s="210"/>
      <c r="CD761" s="210"/>
      <c r="CE761" s="210"/>
      <c r="CF761" s="210"/>
      <c r="CG761" s="210"/>
      <c r="CH761" s="210"/>
      <c r="CI761" s="210"/>
      <c r="CJ761" s="210"/>
      <c r="CK761" s="210"/>
    </row>
    <row r="762">
      <c r="A762" s="220"/>
      <c r="F762" s="190"/>
      <c r="G762" s="190"/>
      <c r="L762" s="220"/>
      <c r="M762" s="22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4"/>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c r="BU762" s="210"/>
      <c r="BV762" s="210"/>
      <c r="BW762" s="210"/>
      <c r="BX762" s="210"/>
      <c r="BY762" s="210"/>
      <c r="BZ762" s="210"/>
      <c r="CA762" s="210"/>
      <c r="CB762" s="210"/>
      <c r="CC762" s="210"/>
      <c r="CD762" s="210"/>
      <c r="CE762" s="210"/>
      <c r="CF762" s="210"/>
      <c r="CG762" s="210"/>
      <c r="CH762" s="210"/>
      <c r="CI762" s="210"/>
      <c r="CJ762" s="210"/>
      <c r="CK762" s="210"/>
    </row>
    <row r="763">
      <c r="A763" s="220"/>
      <c r="F763" s="190"/>
      <c r="G763" s="190"/>
      <c r="L763" s="220"/>
      <c r="M763" s="22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4"/>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c r="BU763" s="210"/>
      <c r="BV763" s="210"/>
      <c r="BW763" s="210"/>
      <c r="BX763" s="210"/>
      <c r="BY763" s="210"/>
      <c r="BZ763" s="210"/>
      <c r="CA763" s="210"/>
      <c r="CB763" s="210"/>
      <c r="CC763" s="210"/>
      <c r="CD763" s="210"/>
      <c r="CE763" s="210"/>
      <c r="CF763" s="210"/>
      <c r="CG763" s="210"/>
      <c r="CH763" s="210"/>
      <c r="CI763" s="210"/>
      <c r="CJ763" s="210"/>
      <c r="CK763" s="210"/>
    </row>
    <row r="764">
      <c r="A764" s="220"/>
      <c r="F764" s="190"/>
      <c r="G764" s="190"/>
      <c r="L764" s="220"/>
      <c r="M764" s="22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4"/>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c r="BU764" s="210"/>
      <c r="BV764" s="210"/>
      <c r="BW764" s="210"/>
      <c r="BX764" s="210"/>
      <c r="BY764" s="210"/>
      <c r="BZ764" s="210"/>
      <c r="CA764" s="210"/>
      <c r="CB764" s="210"/>
      <c r="CC764" s="210"/>
      <c r="CD764" s="210"/>
      <c r="CE764" s="210"/>
      <c r="CF764" s="210"/>
      <c r="CG764" s="210"/>
      <c r="CH764" s="210"/>
      <c r="CI764" s="210"/>
      <c r="CJ764" s="210"/>
      <c r="CK764" s="210"/>
    </row>
    <row r="765">
      <c r="A765" s="220"/>
      <c r="F765" s="190"/>
      <c r="G765" s="190"/>
      <c r="L765" s="220"/>
      <c r="M765" s="22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4"/>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c r="BU765" s="210"/>
      <c r="BV765" s="210"/>
      <c r="BW765" s="210"/>
      <c r="BX765" s="210"/>
      <c r="BY765" s="210"/>
      <c r="BZ765" s="210"/>
      <c r="CA765" s="210"/>
      <c r="CB765" s="210"/>
      <c r="CC765" s="210"/>
      <c r="CD765" s="210"/>
      <c r="CE765" s="210"/>
      <c r="CF765" s="210"/>
      <c r="CG765" s="210"/>
      <c r="CH765" s="210"/>
      <c r="CI765" s="210"/>
      <c r="CJ765" s="210"/>
      <c r="CK765" s="210"/>
    </row>
    <row r="766">
      <c r="A766" s="220"/>
      <c r="F766" s="190"/>
      <c r="G766" s="190"/>
      <c r="L766" s="220"/>
      <c r="M766" s="22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4"/>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c r="BU766" s="210"/>
      <c r="BV766" s="210"/>
      <c r="BW766" s="210"/>
      <c r="BX766" s="210"/>
      <c r="BY766" s="210"/>
      <c r="BZ766" s="210"/>
      <c r="CA766" s="210"/>
      <c r="CB766" s="210"/>
      <c r="CC766" s="210"/>
      <c r="CD766" s="210"/>
      <c r="CE766" s="210"/>
      <c r="CF766" s="210"/>
      <c r="CG766" s="210"/>
      <c r="CH766" s="210"/>
      <c r="CI766" s="210"/>
      <c r="CJ766" s="210"/>
      <c r="CK766" s="210"/>
    </row>
    <row r="767">
      <c r="A767" s="220"/>
      <c r="F767" s="190"/>
      <c r="G767" s="190"/>
      <c r="L767" s="220"/>
      <c r="M767" s="22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4"/>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c r="BU767" s="210"/>
      <c r="BV767" s="210"/>
      <c r="BW767" s="210"/>
      <c r="BX767" s="210"/>
      <c r="BY767" s="210"/>
      <c r="BZ767" s="210"/>
      <c r="CA767" s="210"/>
      <c r="CB767" s="210"/>
      <c r="CC767" s="210"/>
      <c r="CD767" s="210"/>
      <c r="CE767" s="210"/>
      <c r="CF767" s="210"/>
      <c r="CG767" s="210"/>
      <c r="CH767" s="210"/>
      <c r="CI767" s="210"/>
      <c r="CJ767" s="210"/>
      <c r="CK767" s="210"/>
    </row>
    <row r="768">
      <c r="A768" s="220"/>
      <c r="F768" s="190"/>
      <c r="G768" s="190"/>
      <c r="L768" s="220"/>
      <c r="M768" s="22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4"/>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c r="BU768" s="210"/>
      <c r="BV768" s="210"/>
      <c r="BW768" s="210"/>
      <c r="BX768" s="210"/>
      <c r="BY768" s="210"/>
      <c r="BZ768" s="210"/>
      <c r="CA768" s="210"/>
      <c r="CB768" s="210"/>
      <c r="CC768" s="210"/>
      <c r="CD768" s="210"/>
      <c r="CE768" s="210"/>
      <c r="CF768" s="210"/>
      <c r="CG768" s="210"/>
      <c r="CH768" s="210"/>
      <c r="CI768" s="210"/>
      <c r="CJ768" s="210"/>
      <c r="CK768" s="210"/>
    </row>
    <row r="769">
      <c r="A769" s="220"/>
      <c r="F769" s="190"/>
      <c r="G769" s="190"/>
      <c r="L769" s="220"/>
      <c r="M769" s="22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4"/>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c r="BU769" s="210"/>
      <c r="BV769" s="210"/>
      <c r="BW769" s="210"/>
      <c r="BX769" s="210"/>
      <c r="BY769" s="210"/>
      <c r="BZ769" s="210"/>
      <c r="CA769" s="210"/>
      <c r="CB769" s="210"/>
      <c r="CC769" s="210"/>
      <c r="CD769" s="210"/>
      <c r="CE769" s="210"/>
      <c r="CF769" s="210"/>
      <c r="CG769" s="210"/>
      <c r="CH769" s="210"/>
      <c r="CI769" s="210"/>
      <c r="CJ769" s="210"/>
      <c r="CK769" s="210"/>
    </row>
    <row r="770">
      <c r="A770" s="220"/>
      <c r="F770" s="190"/>
      <c r="G770" s="190"/>
      <c r="L770" s="220"/>
      <c r="M770" s="22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4"/>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c r="BU770" s="210"/>
      <c r="BV770" s="210"/>
      <c r="BW770" s="210"/>
      <c r="BX770" s="210"/>
      <c r="BY770" s="210"/>
      <c r="BZ770" s="210"/>
      <c r="CA770" s="210"/>
      <c r="CB770" s="210"/>
      <c r="CC770" s="210"/>
      <c r="CD770" s="210"/>
      <c r="CE770" s="210"/>
      <c r="CF770" s="210"/>
      <c r="CG770" s="210"/>
      <c r="CH770" s="210"/>
      <c r="CI770" s="210"/>
      <c r="CJ770" s="210"/>
      <c r="CK770" s="210"/>
    </row>
    <row r="771">
      <c r="A771" s="220"/>
      <c r="F771" s="190"/>
      <c r="G771" s="190"/>
      <c r="L771" s="220"/>
      <c r="M771" s="22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4"/>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c r="BU771" s="210"/>
      <c r="BV771" s="210"/>
      <c r="BW771" s="210"/>
      <c r="BX771" s="210"/>
      <c r="BY771" s="210"/>
      <c r="BZ771" s="210"/>
      <c r="CA771" s="210"/>
      <c r="CB771" s="210"/>
      <c r="CC771" s="210"/>
      <c r="CD771" s="210"/>
      <c r="CE771" s="210"/>
      <c r="CF771" s="210"/>
      <c r="CG771" s="210"/>
      <c r="CH771" s="210"/>
      <c r="CI771" s="210"/>
      <c r="CJ771" s="210"/>
      <c r="CK771" s="210"/>
    </row>
    <row r="772">
      <c r="A772" s="220"/>
      <c r="F772" s="190"/>
      <c r="G772" s="190"/>
      <c r="L772" s="220"/>
      <c r="M772" s="22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4"/>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c r="BU772" s="210"/>
      <c r="BV772" s="210"/>
      <c r="BW772" s="210"/>
      <c r="BX772" s="210"/>
      <c r="BY772" s="210"/>
      <c r="BZ772" s="210"/>
      <c r="CA772" s="210"/>
      <c r="CB772" s="210"/>
      <c r="CC772" s="210"/>
      <c r="CD772" s="210"/>
      <c r="CE772" s="210"/>
      <c r="CF772" s="210"/>
      <c r="CG772" s="210"/>
      <c r="CH772" s="210"/>
      <c r="CI772" s="210"/>
      <c r="CJ772" s="210"/>
      <c r="CK772" s="210"/>
    </row>
    <row r="773">
      <c r="A773" s="220"/>
      <c r="F773" s="190"/>
      <c r="G773" s="190"/>
      <c r="L773" s="220"/>
      <c r="M773" s="22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4"/>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c r="BU773" s="210"/>
      <c r="BV773" s="210"/>
      <c r="BW773" s="210"/>
      <c r="BX773" s="210"/>
      <c r="BY773" s="210"/>
      <c r="BZ773" s="210"/>
      <c r="CA773" s="210"/>
      <c r="CB773" s="210"/>
      <c r="CC773" s="210"/>
      <c r="CD773" s="210"/>
      <c r="CE773" s="210"/>
      <c r="CF773" s="210"/>
      <c r="CG773" s="210"/>
      <c r="CH773" s="210"/>
      <c r="CI773" s="210"/>
      <c r="CJ773" s="210"/>
      <c r="CK773" s="210"/>
    </row>
    <row r="774">
      <c r="A774" s="220"/>
      <c r="F774" s="190"/>
      <c r="G774" s="190"/>
      <c r="L774" s="220"/>
      <c r="M774" s="22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4"/>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c r="BU774" s="210"/>
      <c r="BV774" s="210"/>
      <c r="BW774" s="210"/>
      <c r="BX774" s="210"/>
      <c r="BY774" s="210"/>
      <c r="BZ774" s="210"/>
      <c r="CA774" s="210"/>
      <c r="CB774" s="210"/>
      <c r="CC774" s="210"/>
      <c r="CD774" s="210"/>
      <c r="CE774" s="210"/>
      <c r="CF774" s="210"/>
      <c r="CG774" s="210"/>
      <c r="CH774" s="210"/>
      <c r="CI774" s="210"/>
      <c r="CJ774" s="210"/>
      <c r="CK774" s="210"/>
    </row>
    <row r="775">
      <c r="A775" s="220"/>
      <c r="F775" s="190"/>
      <c r="G775" s="190"/>
      <c r="L775" s="220"/>
      <c r="M775" s="22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4"/>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c r="BU775" s="210"/>
      <c r="BV775" s="210"/>
      <c r="BW775" s="210"/>
      <c r="BX775" s="210"/>
      <c r="BY775" s="210"/>
      <c r="BZ775" s="210"/>
      <c r="CA775" s="210"/>
      <c r="CB775" s="210"/>
      <c r="CC775" s="210"/>
      <c r="CD775" s="210"/>
      <c r="CE775" s="210"/>
      <c r="CF775" s="210"/>
      <c r="CG775" s="210"/>
      <c r="CH775" s="210"/>
      <c r="CI775" s="210"/>
      <c r="CJ775" s="210"/>
      <c r="CK775" s="210"/>
    </row>
    <row r="776">
      <c r="A776" s="220"/>
      <c r="F776" s="190"/>
      <c r="G776" s="190"/>
      <c r="L776" s="220"/>
      <c r="M776" s="22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4"/>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c r="BU776" s="210"/>
      <c r="BV776" s="210"/>
      <c r="BW776" s="210"/>
      <c r="BX776" s="210"/>
      <c r="BY776" s="210"/>
      <c r="BZ776" s="210"/>
      <c r="CA776" s="210"/>
      <c r="CB776" s="210"/>
      <c r="CC776" s="210"/>
      <c r="CD776" s="210"/>
      <c r="CE776" s="210"/>
      <c r="CF776" s="210"/>
      <c r="CG776" s="210"/>
      <c r="CH776" s="210"/>
      <c r="CI776" s="210"/>
      <c r="CJ776" s="210"/>
      <c r="CK776" s="210"/>
    </row>
    <row r="777">
      <c r="A777" s="220"/>
      <c r="F777" s="190"/>
      <c r="G777" s="190"/>
      <c r="L777" s="220"/>
      <c r="M777" s="22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4"/>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c r="BU777" s="210"/>
      <c r="BV777" s="210"/>
      <c r="BW777" s="210"/>
      <c r="BX777" s="210"/>
      <c r="BY777" s="210"/>
      <c r="BZ777" s="210"/>
      <c r="CA777" s="210"/>
      <c r="CB777" s="210"/>
      <c r="CC777" s="210"/>
      <c r="CD777" s="210"/>
      <c r="CE777" s="210"/>
      <c r="CF777" s="210"/>
      <c r="CG777" s="210"/>
      <c r="CH777" s="210"/>
      <c r="CI777" s="210"/>
      <c r="CJ777" s="210"/>
      <c r="CK777" s="210"/>
    </row>
    <row r="778">
      <c r="A778" s="220"/>
      <c r="F778" s="190"/>
      <c r="G778" s="190"/>
      <c r="L778" s="220"/>
      <c r="M778" s="22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4"/>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c r="BU778" s="210"/>
      <c r="BV778" s="210"/>
      <c r="BW778" s="210"/>
      <c r="BX778" s="210"/>
      <c r="BY778" s="210"/>
      <c r="BZ778" s="210"/>
      <c r="CA778" s="210"/>
      <c r="CB778" s="210"/>
      <c r="CC778" s="210"/>
      <c r="CD778" s="210"/>
      <c r="CE778" s="210"/>
      <c r="CF778" s="210"/>
      <c r="CG778" s="210"/>
      <c r="CH778" s="210"/>
      <c r="CI778" s="210"/>
      <c r="CJ778" s="210"/>
      <c r="CK778" s="210"/>
    </row>
    <row r="779">
      <c r="A779" s="220"/>
      <c r="F779" s="190"/>
      <c r="G779" s="190"/>
      <c r="L779" s="220"/>
      <c r="M779" s="22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4"/>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c r="BU779" s="210"/>
      <c r="BV779" s="210"/>
      <c r="BW779" s="210"/>
      <c r="BX779" s="210"/>
      <c r="BY779" s="210"/>
      <c r="BZ779" s="210"/>
      <c r="CA779" s="210"/>
      <c r="CB779" s="210"/>
      <c r="CC779" s="210"/>
      <c r="CD779" s="210"/>
      <c r="CE779" s="210"/>
      <c r="CF779" s="210"/>
      <c r="CG779" s="210"/>
      <c r="CH779" s="210"/>
      <c r="CI779" s="210"/>
      <c r="CJ779" s="210"/>
      <c r="CK779" s="210"/>
    </row>
    <row r="780">
      <c r="A780" s="220"/>
      <c r="F780" s="190"/>
      <c r="G780" s="190"/>
      <c r="L780" s="220"/>
      <c r="M780" s="22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4"/>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c r="BU780" s="210"/>
      <c r="BV780" s="210"/>
      <c r="BW780" s="210"/>
      <c r="BX780" s="210"/>
      <c r="BY780" s="210"/>
      <c r="BZ780" s="210"/>
      <c r="CA780" s="210"/>
      <c r="CB780" s="210"/>
      <c r="CC780" s="210"/>
      <c r="CD780" s="210"/>
      <c r="CE780" s="210"/>
      <c r="CF780" s="210"/>
      <c r="CG780" s="210"/>
      <c r="CH780" s="210"/>
      <c r="CI780" s="210"/>
      <c r="CJ780" s="210"/>
      <c r="CK780" s="210"/>
    </row>
    <row r="781">
      <c r="A781" s="220"/>
      <c r="F781" s="190"/>
      <c r="G781" s="190"/>
      <c r="L781" s="220"/>
      <c r="M781" s="22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4"/>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c r="BU781" s="210"/>
      <c r="BV781" s="210"/>
      <c r="BW781" s="210"/>
      <c r="BX781" s="210"/>
      <c r="BY781" s="210"/>
      <c r="BZ781" s="210"/>
      <c r="CA781" s="210"/>
      <c r="CB781" s="210"/>
      <c r="CC781" s="210"/>
      <c r="CD781" s="210"/>
      <c r="CE781" s="210"/>
      <c r="CF781" s="210"/>
      <c r="CG781" s="210"/>
      <c r="CH781" s="210"/>
      <c r="CI781" s="210"/>
      <c r="CJ781" s="210"/>
      <c r="CK781" s="210"/>
    </row>
    <row r="782">
      <c r="A782" s="220"/>
      <c r="F782" s="190"/>
      <c r="G782" s="190"/>
      <c r="L782" s="220"/>
      <c r="M782" s="22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4"/>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c r="BU782" s="210"/>
      <c r="BV782" s="210"/>
      <c r="BW782" s="210"/>
      <c r="BX782" s="210"/>
      <c r="BY782" s="210"/>
      <c r="BZ782" s="210"/>
      <c r="CA782" s="210"/>
      <c r="CB782" s="210"/>
      <c r="CC782" s="210"/>
      <c r="CD782" s="210"/>
      <c r="CE782" s="210"/>
      <c r="CF782" s="210"/>
      <c r="CG782" s="210"/>
      <c r="CH782" s="210"/>
      <c r="CI782" s="210"/>
      <c r="CJ782" s="210"/>
      <c r="CK782" s="210"/>
    </row>
    <row r="783">
      <c r="A783" s="220"/>
      <c r="F783" s="190"/>
      <c r="G783" s="190"/>
      <c r="L783" s="220"/>
      <c r="M783" s="22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4"/>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c r="BU783" s="210"/>
      <c r="BV783" s="210"/>
      <c r="BW783" s="210"/>
      <c r="BX783" s="210"/>
      <c r="BY783" s="210"/>
      <c r="BZ783" s="210"/>
      <c r="CA783" s="210"/>
      <c r="CB783" s="210"/>
      <c r="CC783" s="210"/>
      <c r="CD783" s="210"/>
      <c r="CE783" s="210"/>
      <c r="CF783" s="210"/>
      <c r="CG783" s="210"/>
      <c r="CH783" s="210"/>
      <c r="CI783" s="210"/>
      <c r="CJ783" s="210"/>
      <c r="CK783" s="210"/>
    </row>
    <row r="784">
      <c r="A784" s="220"/>
      <c r="F784" s="190"/>
      <c r="G784" s="190"/>
      <c r="L784" s="220"/>
      <c r="M784" s="22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4"/>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c r="BU784" s="210"/>
      <c r="BV784" s="210"/>
      <c r="BW784" s="210"/>
      <c r="BX784" s="210"/>
      <c r="BY784" s="210"/>
      <c r="BZ784" s="210"/>
      <c r="CA784" s="210"/>
      <c r="CB784" s="210"/>
      <c r="CC784" s="210"/>
      <c r="CD784" s="210"/>
      <c r="CE784" s="210"/>
      <c r="CF784" s="210"/>
      <c r="CG784" s="210"/>
      <c r="CH784" s="210"/>
      <c r="CI784" s="210"/>
      <c r="CJ784" s="210"/>
      <c r="CK784" s="210"/>
    </row>
    <row r="785">
      <c r="A785" s="220"/>
      <c r="F785" s="190"/>
      <c r="G785" s="190"/>
      <c r="L785" s="220"/>
      <c r="M785" s="22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4"/>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c r="BU785" s="210"/>
      <c r="BV785" s="210"/>
      <c r="BW785" s="210"/>
      <c r="BX785" s="210"/>
      <c r="BY785" s="210"/>
      <c r="BZ785" s="210"/>
      <c r="CA785" s="210"/>
      <c r="CB785" s="210"/>
      <c r="CC785" s="210"/>
      <c r="CD785" s="210"/>
      <c r="CE785" s="210"/>
      <c r="CF785" s="210"/>
      <c r="CG785" s="210"/>
      <c r="CH785" s="210"/>
      <c r="CI785" s="210"/>
      <c r="CJ785" s="210"/>
      <c r="CK785" s="210"/>
    </row>
    <row r="786">
      <c r="A786" s="220"/>
      <c r="F786" s="190"/>
      <c r="G786" s="190"/>
      <c r="L786" s="220"/>
      <c r="M786" s="22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4"/>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c r="BU786" s="210"/>
      <c r="BV786" s="210"/>
      <c r="BW786" s="210"/>
      <c r="BX786" s="210"/>
      <c r="BY786" s="210"/>
      <c r="BZ786" s="210"/>
      <c r="CA786" s="210"/>
      <c r="CB786" s="210"/>
      <c r="CC786" s="210"/>
      <c r="CD786" s="210"/>
      <c r="CE786" s="210"/>
      <c r="CF786" s="210"/>
      <c r="CG786" s="210"/>
      <c r="CH786" s="210"/>
      <c r="CI786" s="210"/>
      <c r="CJ786" s="210"/>
      <c r="CK786" s="210"/>
    </row>
    <row r="787">
      <c r="A787" s="220"/>
      <c r="F787" s="190"/>
      <c r="G787" s="190"/>
      <c r="L787" s="220"/>
      <c r="M787" s="22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4"/>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c r="BU787" s="210"/>
      <c r="BV787" s="210"/>
      <c r="BW787" s="210"/>
      <c r="BX787" s="210"/>
      <c r="BY787" s="210"/>
      <c r="BZ787" s="210"/>
      <c r="CA787" s="210"/>
      <c r="CB787" s="210"/>
      <c r="CC787" s="210"/>
      <c r="CD787" s="210"/>
      <c r="CE787" s="210"/>
      <c r="CF787" s="210"/>
      <c r="CG787" s="210"/>
      <c r="CH787" s="210"/>
      <c r="CI787" s="210"/>
      <c r="CJ787" s="210"/>
      <c r="CK787" s="210"/>
    </row>
    <row r="788">
      <c r="A788" s="220"/>
      <c r="F788" s="190"/>
      <c r="G788" s="190"/>
      <c r="L788" s="220"/>
      <c r="M788" s="22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4"/>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c r="BU788" s="210"/>
      <c r="BV788" s="210"/>
      <c r="BW788" s="210"/>
      <c r="BX788" s="210"/>
      <c r="BY788" s="210"/>
      <c r="BZ788" s="210"/>
      <c r="CA788" s="210"/>
      <c r="CB788" s="210"/>
      <c r="CC788" s="210"/>
      <c r="CD788" s="210"/>
      <c r="CE788" s="210"/>
      <c r="CF788" s="210"/>
      <c r="CG788" s="210"/>
      <c r="CH788" s="210"/>
      <c r="CI788" s="210"/>
      <c r="CJ788" s="210"/>
      <c r="CK788" s="210"/>
    </row>
    <row r="789">
      <c r="A789" s="220"/>
      <c r="F789" s="190"/>
      <c r="G789" s="190"/>
      <c r="L789" s="220"/>
      <c r="M789" s="22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4"/>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c r="BU789" s="210"/>
      <c r="BV789" s="210"/>
      <c r="BW789" s="210"/>
      <c r="BX789" s="210"/>
      <c r="BY789" s="210"/>
      <c r="BZ789" s="210"/>
      <c r="CA789" s="210"/>
      <c r="CB789" s="210"/>
      <c r="CC789" s="210"/>
      <c r="CD789" s="210"/>
      <c r="CE789" s="210"/>
      <c r="CF789" s="210"/>
      <c r="CG789" s="210"/>
      <c r="CH789" s="210"/>
      <c r="CI789" s="210"/>
      <c r="CJ789" s="210"/>
      <c r="CK789" s="210"/>
    </row>
    <row r="790">
      <c r="A790" s="220"/>
      <c r="F790" s="190"/>
      <c r="G790" s="190"/>
      <c r="L790" s="220"/>
      <c r="M790" s="22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4"/>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c r="BU790" s="210"/>
      <c r="BV790" s="210"/>
      <c r="BW790" s="210"/>
      <c r="BX790" s="210"/>
      <c r="BY790" s="210"/>
      <c r="BZ790" s="210"/>
      <c r="CA790" s="210"/>
      <c r="CB790" s="210"/>
      <c r="CC790" s="210"/>
      <c r="CD790" s="210"/>
      <c r="CE790" s="210"/>
      <c r="CF790" s="210"/>
      <c r="CG790" s="210"/>
      <c r="CH790" s="210"/>
      <c r="CI790" s="210"/>
      <c r="CJ790" s="210"/>
      <c r="CK790" s="210"/>
    </row>
    <row r="791">
      <c r="A791" s="220"/>
      <c r="F791" s="190"/>
      <c r="G791" s="190"/>
      <c r="L791" s="220"/>
      <c r="M791" s="22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4"/>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c r="BU791" s="210"/>
      <c r="BV791" s="210"/>
      <c r="BW791" s="210"/>
      <c r="BX791" s="210"/>
      <c r="BY791" s="210"/>
      <c r="BZ791" s="210"/>
      <c r="CA791" s="210"/>
      <c r="CB791" s="210"/>
      <c r="CC791" s="210"/>
      <c r="CD791" s="210"/>
      <c r="CE791" s="210"/>
      <c r="CF791" s="210"/>
      <c r="CG791" s="210"/>
      <c r="CH791" s="210"/>
      <c r="CI791" s="210"/>
      <c r="CJ791" s="210"/>
      <c r="CK791" s="210"/>
    </row>
    <row r="792">
      <c r="A792" s="220"/>
      <c r="F792" s="190"/>
      <c r="G792" s="190"/>
      <c r="L792" s="220"/>
      <c r="M792" s="22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4"/>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c r="BU792" s="210"/>
      <c r="BV792" s="210"/>
      <c r="BW792" s="210"/>
      <c r="BX792" s="210"/>
      <c r="BY792" s="210"/>
      <c r="BZ792" s="210"/>
      <c r="CA792" s="210"/>
      <c r="CB792" s="210"/>
      <c r="CC792" s="210"/>
      <c r="CD792" s="210"/>
      <c r="CE792" s="210"/>
      <c r="CF792" s="210"/>
      <c r="CG792" s="210"/>
      <c r="CH792" s="210"/>
      <c r="CI792" s="210"/>
      <c r="CJ792" s="210"/>
      <c r="CK792" s="210"/>
    </row>
    <row r="793">
      <c r="A793" s="220"/>
      <c r="F793" s="190"/>
      <c r="G793" s="190"/>
      <c r="L793" s="220"/>
      <c r="M793" s="22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4"/>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c r="BU793" s="210"/>
      <c r="BV793" s="210"/>
      <c r="BW793" s="210"/>
      <c r="BX793" s="210"/>
      <c r="BY793" s="210"/>
      <c r="BZ793" s="210"/>
      <c r="CA793" s="210"/>
      <c r="CB793" s="210"/>
      <c r="CC793" s="210"/>
      <c r="CD793" s="210"/>
      <c r="CE793" s="210"/>
      <c r="CF793" s="210"/>
      <c r="CG793" s="210"/>
      <c r="CH793" s="210"/>
      <c r="CI793" s="210"/>
      <c r="CJ793" s="210"/>
      <c r="CK793" s="210"/>
    </row>
    <row r="794">
      <c r="A794" s="220"/>
      <c r="F794" s="190"/>
      <c r="G794" s="190"/>
      <c r="L794" s="220"/>
      <c r="M794" s="22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4"/>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c r="BU794" s="210"/>
      <c r="BV794" s="210"/>
      <c r="BW794" s="210"/>
      <c r="BX794" s="210"/>
      <c r="BY794" s="210"/>
      <c r="BZ794" s="210"/>
      <c r="CA794" s="210"/>
      <c r="CB794" s="210"/>
      <c r="CC794" s="210"/>
      <c r="CD794" s="210"/>
      <c r="CE794" s="210"/>
      <c r="CF794" s="210"/>
      <c r="CG794" s="210"/>
      <c r="CH794" s="210"/>
      <c r="CI794" s="210"/>
      <c r="CJ794" s="210"/>
      <c r="CK794" s="210"/>
    </row>
    <row r="795">
      <c r="A795" s="220"/>
      <c r="F795" s="190"/>
      <c r="G795" s="190"/>
      <c r="L795" s="220"/>
      <c r="M795" s="22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4"/>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c r="BU795" s="210"/>
      <c r="BV795" s="210"/>
      <c r="BW795" s="210"/>
      <c r="BX795" s="210"/>
      <c r="BY795" s="210"/>
      <c r="BZ795" s="210"/>
      <c r="CA795" s="210"/>
      <c r="CB795" s="210"/>
      <c r="CC795" s="210"/>
      <c r="CD795" s="210"/>
      <c r="CE795" s="210"/>
      <c r="CF795" s="210"/>
      <c r="CG795" s="210"/>
      <c r="CH795" s="210"/>
      <c r="CI795" s="210"/>
      <c r="CJ795" s="210"/>
      <c r="CK795" s="210"/>
    </row>
    <row r="796">
      <c r="A796" s="220"/>
      <c r="F796" s="190"/>
      <c r="G796" s="190"/>
      <c r="L796" s="220"/>
      <c r="M796" s="22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4"/>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c r="BU796" s="210"/>
      <c r="BV796" s="210"/>
      <c r="BW796" s="210"/>
      <c r="BX796" s="210"/>
      <c r="BY796" s="210"/>
      <c r="BZ796" s="210"/>
      <c r="CA796" s="210"/>
      <c r="CB796" s="210"/>
      <c r="CC796" s="210"/>
      <c r="CD796" s="210"/>
      <c r="CE796" s="210"/>
      <c r="CF796" s="210"/>
      <c r="CG796" s="210"/>
      <c r="CH796" s="210"/>
      <c r="CI796" s="210"/>
      <c r="CJ796" s="210"/>
      <c r="CK796" s="210"/>
    </row>
    <row r="797">
      <c r="A797" s="220"/>
      <c r="F797" s="190"/>
      <c r="G797" s="190"/>
      <c r="L797" s="220"/>
      <c r="M797" s="22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4"/>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c r="BU797" s="210"/>
      <c r="BV797" s="210"/>
      <c r="BW797" s="210"/>
      <c r="BX797" s="210"/>
      <c r="BY797" s="210"/>
      <c r="BZ797" s="210"/>
      <c r="CA797" s="210"/>
      <c r="CB797" s="210"/>
      <c r="CC797" s="210"/>
      <c r="CD797" s="210"/>
      <c r="CE797" s="210"/>
      <c r="CF797" s="210"/>
      <c r="CG797" s="210"/>
      <c r="CH797" s="210"/>
      <c r="CI797" s="210"/>
      <c r="CJ797" s="210"/>
      <c r="CK797" s="210"/>
    </row>
    <row r="798">
      <c r="A798" s="220"/>
      <c r="F798" s="190"/>
      <c r="G798" s="190"/>
      <c r="L798" s="220"/>
      <c r="M798" s="22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4"/>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c r="BU798" s="210"/>
      <c r="BV798" s="210"/>
      <c r="BW798" s="210"/>
      <c r="BX798" s="210"/>
      <c r="BY798" s="210"/>
      <c r="BZ798" s="210"/>
      <c r="CA798" s="210"/>
      <c r="CB798" s="210"/>
      <c r="CC798" s="210"/>
      <c r="CD798" s="210"/>
      <c r="CE798" s="210"/>
      <c r="CF798" s="210"/>
      <c r="CG798" s="210"/>
      <c r="CH798" s="210"/>
      <c r="CI798" s="210"/>
      <c r="CJ798" s="210"/>
      <c r="CK798" s="210"/>
    </row>
    <row r="799">
      <c r="A799" s="220"/>
      <c r="F799" s="190"/>
      <c r="G799" s="190"/>
      <c r="L799" s="220"/>
      <c r="M799" s="22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4"/>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c r="BU799" s="210"/>
      <c r="BV799" s="210"/>
      <c r="BW799" s="210"/>
      <c r="BX799" s="210"/>
      <c r="BY799" s="210"/>
      <c r="BZ799" s="210"/>
      <c r="CA799" s="210"/>
      <c r="CB799" s="210"/>
      <c r="CC799" s="210"/>
      <c r="CD799" s="210"/>
      <c r="CE799" s="210"/>
      <c r="CF799" s="210"/>
      <c r="CG799" s="210"/>
      <c r="CH799" s="210"/>
      <c r="CI799" s="210"/>
      <c r="CJ799" s="210"/>
      <c r="CK799" s="210"/>
    </row>
    <row r="800">
      <c r="A800" s="220"/>
      <c r="F800" s="190"/>
      <c r="G800" s="190"/>
      <c r="L800" s="220"/>
      <c r="M800" s="22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4"/>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c r="BU800" s="210"/>
      <c r="BV800" s="210"/>
      <c r="BW800" s="210"/>
      <c r="BX800" s="210"/>
      <c r="BY800" s="210"/>
      <c r="BZ800" s="210"/>
      <c r="CA800" s="210"/>
      <c r="CB800" s="210"/>
      <c r="CC800" s="210"/>
      <c r="CD800" s="210"/>
      <c r="CE800" s="210"/>
      <c r="CF800" s="210"/>
      <c r="CG800" s="210"/>
      <c r="CH800" s="210"/>
      <c r="CI800" s="210"/>
      <c r="CJ800" s="210"/>
      <c r="CK800" s="210"/>
    </row>
    <row r="801">
      <c r="A801" s="220"/>
      <c r="F801" s="190"/>
      <c r="G801" s="190"/>
      <c r="L801" s="220"/>
      <c r="M801" s="22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4"/>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c r="BU801" s="210"/>
      <c r="BV801" s="210"/>
      <c r="BW801" s="210"/>
      <c r="BX801" s="210"/>
      <c r="BY801" s="210"/>
      <c r="BZ801" s="210"/>
      <c r="CA801" s="210"/>
      <c r="CB801" s="210"/>
      <c r="CC801" s="210"/>
      <c r="CD801" s="210"/>
      <c r="CE801" s="210"/>
      <c r="CF801" s="210"/>
      <c r="CG801" s="210"/>
      <c r="CH801" s="210"/>
      <c r="CI801" s="210"/>
      <c r="CJ801" s="210"/>
      <c r="CK801" s="210"/>
    </row>
    <row r="802">
      <c r="A802" s="220"/>
      <c r="F802" s="190"/>
      <c r="G802" s="190"/>
      <c r="L802" s="220"/>
      <c r="M802" s="22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4"/>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c r="BU802" s="210"/>
      <c r="BV802" s="210"/>
      <c r="BW802" s="210"/>
      <c r="BX802" s="210"/>
      <c r="BY802" s="210"/>
      <c r="BZ802" s="210"/>
      <c r="CA802" s="210"/>
      <c r="CB802" s="210"/>
      <c r="CC802" s="210"/>
      <c r="CD802" s="210"/>
      <c r="CE802" s="210"/>
      <c r="CF802" s="210"/>
      <c r="CG802" s="210"/>
      <c r="CH802" s="210"/>
      <c r="CI802" s="210"/>
      <c r="CJ802" s="210"/>
      <c r="CK802" s="210"/>
    </row>
    <row r="803">
      <c r="A803" s="220"/>
      <c r="F803" s="190"/>
      <c r="G803" s="190"/>
      <c r="L803" s="220"/>
      <c r="M803" s="22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4"/>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c r="BU803" s="210"/>
      <c r="BV803" s="210"/>
      <c r="BW803" s="210"/>
      <c r="BX803" s="210"/>
      <c r="BY803" s="210"/>
      <c r="BZ803" s="210"/>
      <c r="CA803" s="210"/>
      <c r="CB803" s="210"/>
      <c r="CC803" s="210"/>
      <c r="CD803" s="210"/>
      <c r="CE803" s="210"/>
      <c r="CF803" s="210"/>
      <c r="CG803" s="210"/>
      <c r="CH803" s="210"/>
      <c r="CI803" s="210"/>
      <c r="CJ803" s="210"/>
      <c r="CK803" s="210"/>
    </row>
    <row r="804">
      <c r="A804" s="220"/>
      <c r="F804" s="190"/>
      <c r="G804" s="190"/>
      <c r="L804" s="220"/>
      <c r="M804" s="22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4"/>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c r="BU804" s="210"/>
      <c r="BV804" s="210"/>
      <c r="BW804" s="210"/>
      <c r="BX804" s="210"/>
      <c r="BY804" s="210"/>
      <c r="BZ804" s="210"/>
      <c r="CA804" s="210"/>
      <c r="CB804" s="210"/>
      <c r="CC804" s="210"/>
      <c r="CD804" s="210"/>
      <c r="CE804" s="210"/>
      <c r="CF804" s="210"/>
      <c r="CG804" s="210"/>
      <c r="CH804" s="210"/>
      <c r="CI804" s="210"/>
      <c r="CJ804" s="210"/>
      <c r="CK804" s="210"/>
    </row>
    <row r="805">
      <c r="A805" s="220"/>
      <c r="F805" s="190"/>
      <c r="G805" s="190"/>
      <c r="L805" s="220"/>
      <c r="M805" s="22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4"/>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c r="BU805" s="210"/>
      <c r="BV805" s="210"/>
      <c r="BW805" s="210"/>
      <c r="BX805" s="210"/>
      <c r="BY805" s="210"/>
      <c r="BZ805" s="210"/>
      <c r="CA805" s="210"/>
      <c r="CB805" s="210"/>
      <c r="CC805" s="210"/>
      <c r="CD805" s="210"/>
      <c r="CE805" s="210"/>
      <c r="CF805" s="210"/>
      <c r="CG805" s="210"/>
      <c r="CH805" s="210"/>
      <c r="CI805" s="210"/>
      <c r="CJ805" s="210"/>
      <c r="CK805" s="210"/>
    </row>
    <row r="806">
      <c r="A806" s="220"/>
      <c r="F806" s="190"/>
      <c r="G806" s="190"/>
      <c r="L806" s="220"/>
      <c r="M806" s="22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4"/>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c r="BU806" s="210"/>
      <c r="BV806" s="210"/>
      <c r="BW806" s="210"/>
      <c r="BX806" s="210"/>
      <c r="BY806" s="210"/>
      <c r="BZ806" s="210"/>
      <c r="CA806" s="210"/>
      <c r="CB806" s="210"/>
      <c r="CC806" s="210"/>
      <c r="CD806" s="210"/>
      <c r="CE806" s="210"/>
      <c r="CF806" s="210"/>
      <c r="CG806" s="210"/>
      <c r="CH806" s="210"/>
      <c r="CI806" s="210"/>
      <c r="CJ806" s="210"/>
      <c r="CK806" s="210"/>
    </row>
    <row r="807">
      <c r="A807" s="220"/>
      <c r="F807" s="190"/>
      <c r="G807" s="190"/>
      <c r="L807" s="220"/>
      <c r="M807" s="22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4"/>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c r="BU807" s="210"/>
      <c r="BV807" s="210"/>
      <c r="BW807" s="210"/>
      <c r="BX807" s="210"/>
      <c r="BY807" s="210"/>
      <c r="BZ807" s="210"/>
      <c r="CA807" s="210"/>
      <c r="CB807" s="210"/>
      <c r="CC807" s="210"/>
      <c r="CD807" s="210"/>
      <c r="CE807" s="210"/>
      <c r="CF807" s="210"/>
      <c r="CG807" s="210"/>
      <c r="CH807" s="210"/>
      <c r="CI807" s="210"/>
      <c r="CJ807" s="210"/>
      <c r="CK807" s="210"/>
    </row>
    <row r="808">
      <c r="A808" s="220"/>
      <c r="F808" s="190"/>
      <c r="G808" s="190"/>
      <c r="L808" s="220"/>
      <c r="M808" s="22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4"/>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c r="BU808" s="210"/>
      <c r="BV808" s="210"/>
      <c r="BW808" s="210"/>
      <c r="BX808" s="210"/>
      <c r="BY808" s="210"/>
      <c r="BZ808" s="210"/>
      <c r="CA808" s="210"/>
      <c r="CB808" s="210"/>
      <c r="CC808" s="210"/>
      <c r="CD808" s="210"/>
      <c r="CE808" s="210"/>
      <c r="CF808" s="210"/>
      <c r="CG808" s="210"/>
      <c r="CH808" s="210"/>
      <c r="CI808" s="210"/>
      <c r="CJ808" s="210"/>
      <c r="CK808" s="210"/>
    </row>
    <row r="809">
      <c r="A809" s="220"/>
      <c r="F809" s="190"/>
      <c r="G809" s="190"/>
      <c r="L809" s="220"/>
      <c r="M809" s="22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4"/>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c r="BU809" s="210"/>
      <c r="BV809" s="210"/>
      <c r="BW809" s="210"/>
      <c r="BX809" s="210"/>
      <c r="BY809" s="210"/>
      <c r="BZ809" s="210"/>
      <c r="CA809" s="210"/>
      <c r="CB809" s="210"/>
      <c r="CC809" s="210"/>
      <c r="CD809" s="210"/>
      <c r="CE809" s="210"/>
      <c r="CF809" s="210"/>
      <c r="CG809" s="210"/>
      <c r="CH809" s="210"/>
      <c r="CI809" s="210"/>
      <c r="CJ809" s="210"/>
      <c r="CK809" s="210"/>
    </row>
    <row r="810">
      <c r="A810" s="220"/>
      <c r="F810" s="190"/>
      <c r="G810" s="190"/>
      <c r="L810" s="220"/>
      <c r="M810" s="22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4"/>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c r="BU810" s="210"/>
      <c r="BV810" s="210"/>
      <c r="BW810" s="210"/>
      <c r="BX810" s="210"/>
      <c r="BY810" s="210"/>
      <c r="BZ810" s="210"/>
      <c r="CA810" s="210"/>
      <c r="CB810" s="210"/>
      <c r="CC810" s="210"/>
      <c r="CD810" s="210"/>
      <c r="CE810" s="210"/>
      <c r="CF810" s="210"/>
      <c r="CG810" s="210"/>
      <c r="CH810" s="210"/>
      <c r="CI810" s="210"/>
      <c r="CJ810" s="210"/>
      <c r="CK810" s="210"/>
    </row>
    <row r="811">
      <c r="A811" s="220"/>
      <c r="F811" s="190"/>
      <c r="G811" s="190"/>
      <c r="L811" s="220"/>
      <c r="M811" s="22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4"/>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c r="BU811" s="210"/>
      <c r="BV811" s="210"/>
      <c r="BW811" s="210"/>
      <c r="BX811" s="210"/>
      <c r="BY811" s="210"/>
      <c r="BZ811" s="210"/>
      <c r="CA811" s="210"/>
      <c r="CB811" s="210"/>
      <c r="CC811" s="210"/>
      <c r="CD811" s="210"/>
      <c r="CE811" s="210"/>
      <c r="CF811" s="210"/>
      <c r="CG811" s="210"/>
      <c r="CH811" s="210"/>
      <c r="CI811" s="210"/>
      <c r="CJ811" s="210"/>
      <c r="CK811" s="210"/>
    </row>
    <row r="812">
      <c r="A812" s="220"/>
      <c r="F812" s="190"/>
      <c r="G812" s="190"/>
      <c r="L812" s="220"/>
      <c r="M812" s="22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4"/>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c r="BU812" s="210"/>
      <c r="BV812" s="210"/>
      <c r="BW812" s="210"/>
      <c r="BX812" s="210"/>
      <c r="BY812" s="210"/>
      <c r="BZ812" s="210"/>
      <c r="CA812" s="210"/>
      <c r="CB812" s="210"/>
      <c r="CC812" s="210"/>
      <c r="CD812" s="210"/>
      <c r="CE812" s="210"/>
      <c r="CF812" s="210"/>
      <c r="CG812" s="210"/>
      <c r="CH812" s="210"/>
      <c r="CI812" s="210"/>
      <c r="CJ812" s="210"/>
      <c r="CK812" s="210"/>
    </row>
    <row r="813">
      <c r="A813" s="220"/>
      <c r="F813" s="190"/>
      <c r="G813" s="190"/>
      <c r="L813" s="220"/>
      <c r="M813" s="22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4"/>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c r="BU813" s="210"/>
      <c r="BV813" s="210"/>
      <c r="BW813" s="210"/>
      <c r="BX813" s="210"/>
      <c r="BY813" s="210"/>
      <c r="BZ813" s="210"/>
      <c r="CA813" s="210"/>
      <c r="CB813" s="210"/>
      <c r="CC813" s="210"/>
      <c r="CD813" s="210"/>
      <c r="CE813" s="210"/>
      <c r="CF813" s="210"/>
      <c r="CG813" s="210"/>
      <c r="CH813" s="210"/>
      <c r="CI813" s="210"/>
      <c r="CJ813" s="210"/>
      <c r="CK813" s="210"/>
    </row>
    <row r="814">
      <c r="A814" s="220"/>
      <c r="F814" s="190"/>
      <c r="G814" s="190"/>
      <c r="L814" s="220"/>
      <c r="M814" s="22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4"/>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c r="BU814" s="210"/>
      <c r="BV814" s="210"/>
      <c r="BW814" s="210"/>
      <c r="BX814" s="210"/>
      <c r="BY814" s="210"/>
      <c r="BZ814" s="210"/>
      <c r="CA814" s="210"/>
      <c r="CB814" s="210"/>
      <c r="CC814" s="210"/>
      <c r="CD814" s="210"/>
      <c r="CE814" s="210"/>
      <c r="CF814" s="210"/>
      <c r="CG814" s="210"/>
      <c r="CH814" s="210"/>
      <c r="CI814" s="210"/>
      <c r="CJ814" s="210"/>
      <c r="CK814" s="210"/>
    </row>
    <row r="815">
      <c r="A815" s="220"/>
      <c r="F815" s="190"/>
      <c r="G815" s="190"/>
      <c r="L815" s="220"/>
      <c r="M815" s="22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4"/>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c r="BU815" s="210"/>
      <c r="BV815" s="210"/>
      <c r="BW815" s="210"/>
      <c r="BX815" s="210"/>
      <c r="BY815" s="210"/>
      <c r="BZ815" s="210"/>
      <c r="CA815" s="210"/>
      <c r="CB815" s="210"/>
      <c r="CC815" s="210"/>
      <c r="CD815" s="210"/>
      <c r="CE815" s="210"/>
      <c r="CF815" s="210"/>
      <c r="CG815" s="210"/>
      <c r="CH815" s="210"/>
      <c r="CI815" s="210"/>
      <c r="CJ815" s="210"/>
      <c r="CK815" s="210"/>
    </row>
    <row r="816">
      <c r="A816" s="220"/>
      <c r="F816" s="190"/>
      <c r="G816" s="190"/>
      <c r="L816" s="220"/>
      <c r="M816" s="22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4"/>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c r="BU816" s="210"/>
      <c r="BV816" s="210"/>
      <c r="BW816" s="210"/>
      <c r="BX816" s="210"/>
      <c r="BY816" s="210"/>
      <c r="BZ816" s="210"/>
      <c r="CA816" s="210"/>
      <c r="CB816" s="210"/>
      <c r="CC816" s="210"/>
      <c r="CD816" s="210"/>
      <c r="CE816" s="210"/>
      <c r="CF816" s="210"/>
      <c r="CG816" s="210"/>
      <c r="CH816" s="210"/>
      <c r="CI816" s="210"/>
      <c r="CJ816" s="210"/>
      <c r="CK816" s="210"/>
    </row>
    <row r="817">
      <c r="A817" s="220"/>
      <c r="F817" s="190"/>
      <c r="G817" s="190"/>
      <c r="L817" s="220"/>
      <c r="M817" s="22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4"/>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c r="BU817" s="210"/>
      <c r="BV817" s="210"/>
      <c r="BW817" s="210"/>
      <c r="BX817" s="210"/>
      <c r="BY817" s="210"/>
      <c r="BZ817" s="210"/>
      <c r="CA817" s="210"/>
      <c r="CB817" s="210"/>
      <c r="CC817" s="210"/>
      <c r="CD817" s="210"/>
      <c r="CE817" s="210"/>
      <c r="CF817" s="210"/>
      <c r="CG817" s="210"/>
      <c r="CH817" s="210"/>
      <c r="CI817" s="210"/>
      <c r="CJ817" s="210"/>
      <c r="CK817" s="210"/>
    </row>
    <row r="818">
      <c r="A818" s="220"/>
      <c r="F818" s="190"/>
      <c r="G818" s="190"/>
      <c r="L818" s="220"/>
      <c r="M818" s="22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4"/>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c r="BU818" s="210"/>
      <c r="BV818" s="210"/>
      <c r="BW818" s="210"/>
      <c r="BX818" s="210"/>
      <c r="BY818" s="210"/>
      <c r="BZ818" s="210"/>
      <c r="CA818" s="210"/>
      <c r="CB818" s="210"/>
      <c r="CC818" s="210"/>
      <c r="CD818" s="210"/>
      <c r="CE818" s="210"/>
      <c r="CF818" s="210"/>
      <c r="CG818" s="210"/>
      <c r="CH818" s="210"/>
      <c r="CI818" s="210"/>
      <c r="CJ818" s="210"/>
      <c r="CK818" s="210"/>
    </row>
    <row r="819">
      <c r="A819" s="220"/>
      <c r="F819" s="190"/>
      <c r="G819" s="190"/>
      <c r="L819" s="220"/>
      <c r="M819" s="22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4"/>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c r="BU819" s="210"/>
      <c r="BV819" s="210"/>
      <c r="BW819" s="210"/>
      <c r="BX819" s="210"/>
      <c r="BY819" s="210"/>
      <c r="BZ819" s="210"/>
      <c r="CA819" s="210"/>
      <c r="CB819" s="210"/>
      <c r="CC819" s="210"/>
      <c r="CD819" s="210"/>
      <c r="CE819" s="210"/>
      <c r="CF819" s="210"/>
      <c r="CG819" s="210"/>
      <c r="CH819" s="210"/>
      <c r="CI819" s="210"/>
      <c r="CJ819" s="210"/>
      <c r="CK819" s="210"/>
    </row>
    <row r="820">
      <c r="A820" s="220"/>
      <c r="F820" s="190"/>
      <c r="G820" s="190"/>
      <c r="L820" s="220"/>
      <c r="M820" s="22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4"/>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c r="BU820" s="210"/>
      <c r="BV820" s="210"/>
      <c r="BW820" s="210"/>
      <c r="BX820" s="210"/>
      <c r="BY820" s="210"/>
      <c r="BZ820" s="210"/>
      <c r="CA820" s="210"/>
      <c r="CB820" s="210"/>
      <c r="CC820" s="210"/>
      <c r="CD820" s="210"/>
      <c r="CE820" s="210"/>
      <c r="CF820" s="210"/>
      <c r="CG820" s="210"/>
      <c r="CH820" s="210"/>
      <c r="CI820" s="210"/>
      <c r="CJ820" s="210"/>
      <c r="CK820" s="210"/>
    </row>
    <row r="821">
      <c r="A821" s="220"/>
      <c r="F821" s="190"/>
      <c r="G821" s="190"/>
      <c r="L821" s="220"/>
      <c r="M821" s="22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4"/>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c r="BU821" s="210"/>
      <c r="BV821" s="210"/>
      <c r="BW821" s="210"/>
      <c r="BX821" s="210"/>
      <c r="BY821" s="210"/>
      <c r="BZ821" s="210"/>
      <c r="CA821" s="210"/>
      <c r="CB821" s="210"/>
      <c r="CC821" s="210"/>
      <c r="CD821" s="210"/>
      <c r="CE821" s="210"/>
      <c r="CF821" s="210"/>
      <c r="CG821" s="210"/>
      <c r="CH821" s="210"/>
      <c r="CI821" s="210"/>
      <c r="CJ821" s="210"/>
      <c r="CK821" s="210"/>
    </row>
    <row r="822">
      <c r="A822" s="220"/>
      <c r="F822" s="190"/>
      <c r="G822" s="190"/>
      <c r="L822" s="220"/>
      <c r="M822" s="22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4"/>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c r="BU822" s="210"/>
      <c r="BV822" s="210"/>
      <c r="BW822" s="210"/>
      <c r="BX822" s="210"/>
      <c r="BY822" s="210"/>
      <c r="BZ822" s="210"/>
      <c r="CA822" s="210"/>
      <c r="CB822" s="210"/>
      <c r="CC822" s="210"/>
      <c r="CD822" s="210"/>
      <c r="CE822" s="210"/>
      <c r="CF822" s="210"/>
      <c r="CG822" s="210"/>
      <c r="CH822" s="210"/>
      <c r="CI822" s="210"/>
      <c r="CJ822" s="210"/>
      <c r="CK822" s="210"/>
    </row>
    <row r="823">
      <c r="A823" s="220"/>
      <c r="F823" s="190"/>
      <c r="G823" s="190"/>
      <c r="L823" s="220"/>
      <c r="M823" s="22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4"/>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c r="BU823" s="210"/>
      <c r="BV823" s="210"/>
      <c r="BW823" s="210"/>
      <c r="BX823" s="210"/>
      <c r="BY823" s="210"/>
      <c r="BZ823" s="210"/>
      <c r="CA823" s="210"/>
      <c r="CB823" s="210"/>
      <c r="CC823" s="210"/>
      <c r="CD823" s="210"/>
      <c r="CE823" s="210"/>
      <c r="CF823" s="210"/>
      <c r="CG823" s="210"/>
      <c r="CH823" s="210"/>
      <c r="CI823" s="210"/>
      <c r="CJ823" s="210"/>
      <c r="CK823" s="210"/>
    </row>
    <row r="824">
      <c r="A824" s="220"/>
      <c r="F824" s="190"/>
      <c r="G824" s="190"/>
      <c r="L824" s="220"/>
      <c r="M824" s="22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4"/>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c r="BU824" s="210"/>
      <c r="BV824" s="210"/>
      <c r="BW824" s="210"/>
      <c r="BX824" s="210"/>
      <c r="BY824" s="210"/>
      <c r="BZ824" s="210"/>
      <c r="CA824" s="210"/>
      <c r="CB824" s="210"/>
      <c r="CC824" s="210"/>
      <c r="CD824" s="210"/>
      <c r="CE824" s="210"/>
      <c r="CF824" s="210"/>
      <c r="CG824" s="210"/>
      <c r="CH824" s="210"/>
      <c r="CI824" s="210"/>
      <c r="CJ824" s="210"/>
      <c r="CK824" s="210"/>
    </row>
    <row r="825">
      <c r="A825" s="220"/>
      <c r="F825" s="190"/>
      <c r="G825" s="190"/>
      <c r="L825" s="220"/>
      <c r="M825" s="22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4"/>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c r="BU825" s="210"/>
      <c r="BV825" s="210"/>
      <c r="BW825" s="210"/>
      <c r="BX825" s="210"/>
      <c r="BY825" s="210"/>
      <c r="BZ825" s="210"/>
      <c r="CA825" s="210"/>
      <c r="CB825" s="210"/>
      <c r="CC825" s="210"/>
      <c r="CD825" s="210"/>
      <c r="CE825" s="210"/>
      <c r="CF825" s="210"/>
      <c r="CG825" s="210"/>
      <c r="CH825" s="210"/>
      <c r="CI825" s="210"/>
      <c r="CJ825" s="210"/>
      <c r="CK825" s="210"/>
    </row>
    <row r="826">
      <c r="A826" s="220"/>
      <c r="F826" s="190"/>
      <c r="G826" s="190"/>
      <c r="L826" s="220"/>
      <c r="M826" s="22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4"/>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c r="BU826" s="210"/>
      <c r="BV826" s="210"/>
      <c r="BW826" s="210"/>
      <c r="BX826" s="210"/>
      <c r="BY826" s="210"/>
      <c r="BZ826" s="210"/>
      <c r="CA826" s="210"/>
      <c r="CB826" s="210"/>
      <c r="CC826" s="210"/>
      <c r="CD826" s="210"/>
      <c r="CE826" s="210"/>
      <c r="CF826" s="210"/>
      <c r="CG826" s="210"/>
      <c r="CH826" s="210"/>
      <c r="CI826" s="210"/>
      <c r="CJ826" s="210"/>
      <c r="CK826" s="210"/>
    </row>
    <row r="827">
      <c r="A827" s="220"/>
      <c r="F827" s="190"/>
      <c r="G827" s="190"/>
      <c r="L827" s="220"/>
      <c r="M827" s="22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4"/>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c r="BU827" s="210"/>
      <c r="BV827" s="210"/>
      <c r="BW827" s="210"/>
      <c r="BX827" s="210"/>
      <c r="BY827" s="210"/>
      <c r="BZ827" s="210"/>
      <c r="CA827" s="210"/>
      <c r="CB827" s="210"/>
      <c r="CC827" s="210"/>
      <c r="CD827" s="210"/>
      <c r="CE827" s="210"/>
      <c r="CF827" s="210"/>
      <c r="CG827" s="210"/>
      <c r="CH827" s="210"/>
      <c r="CI827" s="210"/>
      <c r="CJ827" s="210"/>
      <c r="CK827" s="210"/>
    </row>
    <row r="828">
      <c r="A828" s="220"/>
      <c r="F828" s="190"/>
      <c r="G828" s="190"/>
      <c r="L828" s="220"/>
      <c r="M828" s="22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4"/>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c r="BU828" s="210"/>
      <c r="BV828" s="210"/>
      <c r="BW828" s="210"/>
      <c r="BX828" s="210"/>
      <c r="BY828" s="210"/>
      <c r="BZ828" s="210"/>
      <c r="CA828" s="210"/>
      <c r="CB828" s="210"/>
      <c r="CC828" s="210"/>
      <c r="CD828" s="210"/>
      <c r="CE828" s="210"/>
      <c r="CF828" s="210"/>
      <c r="CG828" s="210"/>
      <c r="CH828" s="210"/>
      <c r="CI828" s="210"/>
      <c r="CJ828" s="210"/>
      <c r="CK828" s="210"/>
    </row>
    <row r="829">
      <c r="A829" s="220"/>
      <c r="F829" s="190"/>
      <c r="G829" s="190"/>
      <c r="L829" s="220"/>
      <c r="M829" s="22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4"/>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c r="BU829" s="210"/>
      <c r="BV829" s="210"/>
      <c r="BW829" s="210"/>
      <c r="BX829" s="210"/>
      <c r="BY829" s="210"/>
      <c r="BZ829" s="210"/>
      <c r="CA829" s="210"/>
      <c r="CB829" s="210"/>
      <c r="CC829" s="210"/>
      <c r="CD829" s="210"/>
      <c r="CE829" s="210"/>
      <c r="CF829" s="210"/>
      <c r="CG829" s="210"/>
      <c r="CH829" s="210"/>
      <c r="CI829" s="210"/>
      <c r="CJ829" s="210"/>
      <c r="CK829" s="210"/>
    </row>
    <row r="830">
      <c r="A830" s="220"/>
      <c r="F830" s="190"/>
      <c r="G830" s="190"/>
      <c r="L830" s="220"/>
      <c r="M830" s="22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4"/>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c r="BU830" s="210"/>
      <c r="BV830" s="210"/>
      <c r="BW830" s="210"/>
      <c r="BX830" s="210"/>
      <c r="BY830" s="210"/>
      <c r="BZ830" s="210"/>
      <c r="CA830" s="210"/>
      <c r="CB830" s="210"/>
      <c r="CC830" s="210"/>
      <c r="CD830" s="210"/>
      <c r="CE830" s="210"/>
      <c r="CF830" s="210"/>
      <c r="CG830" s="210"/>
      <c r="CH830" s="210"/>
      <c r="CI830" s="210"/>
      <c r="CJ830" s="210"/>
      <c r="CK830" s="210"/>
    </row>
    <row r="831">
      <c r="A831" s="220"/>
      <c r="F831" s="190"/>
      <c r="G831" s="190"/>
      <c r="L831" s="220"/>
      <c r="M831" s="22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4"/>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c r="BU831" s="210"/>
      <c r="BV831" s="210"/>
      <c r="BW831" s="210"/>
      <c r="BX831" s="210"/>
      <c r="BY831" s="210"/>
      <c r="BZ831" s="210"/>
      <c r="CA831" s="210"/>
      <c r="CB831" s="210"/>
      <c r="CC831" s="210"/>
      <c r="CD831" s="210"/>
      <c r="CE831" s="210"/>
      <c r="CF831" s="210"/>
      <c r="CG831" s="210"/>
      <c r="CH831" s="210"/>
      <c r="CI831" s="210"/>
      <c r="CJ831" s="210"/>
      <c r="CK831" s="210"/>
    </row>
    <row r="832">
      <c r="A832" s="220"/>
      <c r="F832" s="190"/>
      <c r="G832" s="190"/>
      <c r="L832" s="220"/>
      <c r="M832" s="22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4"/>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c r="BU832" s="210"/>
      <c r="BV832" s="210"/>
      <c r="BW832" s="210"/>
      <c r="BX832" s="210"/>
      <c r="BY832" s="210"/>
      <c r="BZ832" s="210"/>
      <c r="CA832" s="210"/>
      <c r="CB832" s="210"/>
      <c r="CC832" s="210"/>
      <c r="CD832" s="210"/>
      <c r="CE832" s="210"/>
      <c r="CF832" s="210"/>
      <c r="CG832" s="210"/>
      <c r="CH832" s="210"/>
      <c r="CI832" s="210"/>
      <c r="CJ832" s="210"/>
      <c r="CK832" s="210"/>
    </row>
    <row r="833">
      <c r="A833" s="220"/>
      <c r="F833" s="190"/>
      <c r="G833" s="190"/>
      <c r="L833" s="220"/>
      <c r="M833" s="22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4"/>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c r="BU833" s="210"/>
      <c r="BV833" s="210"/>
      <c r="BW833" s="210"/>
      <c r="BX833" s="210"/>
      <c r="BY833" s="210"/>
      <c r="BZ833" s="210"/>
      <c r="CA833" s="210"/>
      <c r="CB833" s="210"/>
      <c r="CC833" s="210"/>
      <c r="CD833" s="210"/>
      <c r="CE833" s="210"/>
      <c r="CF833" s="210"/>
      <c r="CG833" s="210"/>
      <c r="CH833" s="210"/>
      <c r="CI833" s="210"/>
      <c r="CJ833" s="210"/>
      <c r="CK833" s="210"/>
    </row>
    <row r="834">
      <c r="A834" s="220"/>
      <c r="F834" s="190"/>
      <c r="G834" s="190"/>
      <c r="L834" s="220"/>
      <c r="M834" s="22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4"/>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c r="BU834" s="210"/>
      <c r="BV834" s="210"/>
      <c r="BW834" s="210"/>
      <c r="BX834" s="210"/>
      <c r="BY834" s="210"/>
      <c r="BZ834" s="210"/>
      <c r="CA834" s="210"/>
      <c r="CB834" s="210"/>
      <c r="CC834" s="210"/>
      <c r="CD834" s="210"/>
      <c r="CE834" s="210"/>
      <c r="CF834" s="210"/>
      <c r="CG834" s="210"/>
      <c r="CH834" s="210"/>
      <c r="CI834" s="210"/>
      <c r="CJ834" s="210"/>
      <c r="CK834" s="210"/>
    </row>
    <row r="835">
      <c r="A835" s="220"/>
      <c r="F835" s="190"/>
      <c r="G835" s="190"/>
      <c r="L835" s="220"/>
      <c r="M835" s="22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4"/>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c r="BU835" s="210"/>
      <c r="BV835" s="210"/>
      <c r="BW835" s="210"/>
      <c r="BX835" s="210"/>
      <c r="BY835" s="210"/>
      <c r="BZ835" s="210"/>
      <c r="CA835" s="210"/>
      <c r="CB835" s="210"/>
      <c r="CC835" s="210"/>
      <c r="CD835" s="210"/>
      <c r="CE835" s="210"/>
      <c r="CF835" s="210"/>
      <c r="CG835" s="210"/>
      <c r="CH835" s="210"/>
      <c r="CI835" s="210"/>
      <c r="CJ835" s="210"/>
      <c r="CK835" s="210"/>
    </row>
    <row r="836">
      <c r="A836" s="220"/>
      <c r="F836" s="190"/>
      <c r="G836" s="190"/>
      <c r="L836" s="220"/>
      <c r="M836" s="22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4"/>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c r="BU836" s="210"/>
      <c r="BV836" s="210"/>
      <c r="BW836" s="210"/>
      <c r="BX836" s="210"/>
      <c r="BY836" s="210"/>
      <c r="BZ836" s="210"/>
      <c r="CA836" s="210"/>
      <c r="CB836" s="210"/>
      <c r="CC836" s="210"/>
      <c r="CD836" s="210"/>
      <c r="CE836" s="210"/>
      <c r="CF836" s="210"/>
      <c r="CG836" s="210"/>
      <c r="CH836" s="210"/>
      <c r="CI836" s="210"/>
      <c r="CJ836" s="210"/>
      <c r="CK836" s="210"/>
    </row>
    <row r="837">
      <c r="A837" s="220"/>
      <c r="F837" s="190"/>
      <c r="G837" s="190"/>
      <c r="L837" s="220"/>
      <c r="M837" s="22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4"/>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c r="BU837" s="210"/>
      <c r="BV837" s="210"/>
      <c r="BW837" s="210"/>
      <c r="BX837" s="210"/>
      <c r="BY837" s="210"/>
      <c r="BZ837" s="210"/>
      <c r="CA837" s="210"/>
      <c r="CB837" s="210"/>
      <c r="CC837" s="210"/>
      <c r="CD837" s="210"/>
      <c r="CE837" s="210"/>
      <c r="CF837" s="210"/>
      <c r="CG837" s="210"/>
      <c r="CH837" s="210"/>
      <c r="CI837" s="210"/>
      <c r="CJ837" s="210"/>
      <c r="CK837" s="210"/>
    </row>
    <row r="838">
      <c r="A838" s="220"/>
      <c r="F838" s="190"/>
      <c r="G838" s="190"/>
      <c r="L838" s="220"/>
      <c r="M838" s="22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4"/>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c r="BU838" s="210"/>
      <c r="BV838" s="210"/>
      <c r="BW838" s="210"/>
      <c r="BX838" s="210"/>
      <c r="BY838" s="210"/>
      <c r="BZ838" s="210"/>
      <c r="CA838" s="210"/>
      <c r="CB838" s="210"/>
      <c r="CC838" s="210"/>
      <c r="CD838" s="210"/>
      <c r="CE838" s="210"/>
      <c r="CF838" s="210"/>
      <c r="CG838" s="210"/>
      <c r="CH838" s="210"/>
      <c r="CI838" s="210"/>
      <c r="CJ838" s="210"/>
      <c r="CK838" s="210"/>
    </row>
    <row r="839">
      <c r="A839" s="220"/>
      <c r="F839" s="190"/>
      <c r="G839" s="190"/>
      <c r="L839" s="220"/>
      <c r="M839" s="22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4"/>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c r="BU839" s="210"/>
      <c r="BV839" s="210"/>
      <c r="BW839" s="210"/>
      <c r="BX839" s="210"/>
      <c r="BY839" s="210"/>
      <c r="BZ839" s="210"/>
      <c r="CA839" s="210"/>
      <c r="CB839" s="210"/>
      <c r="CC839" s="210"/>
      <c r="CD839" s="210"/>
      <c r="CE839" s="210"/>
      <c r="CF839" s="210"/>
      <c r="CG839" s="210"/>
      <c r="CH839" s="210"/>
      <c r="CI839" s="210"/>
      <c r="CJ839" s="210"/>
      <c r="CK839" s="210"/>
    </row>
    <row r="840">
      <c r="A840" s="220"/>
      <c r="F840" s="190"/>
      <c r="G840" s="190"/>
      <c r="L840" s="220"/>
      <c r="M840" s="22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4"/>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c r="BU840" s="210"/>
      <c r="BV840" s="210"/>
      <c r="BW840" s="210"/>
      <c r="BX840" s="210"/>
      <c r="BY840" s="210"/>
      <c r="BZ840" s="210"/>
      <c r="CA840" s="210"/>
      <c r="CB840" s="210"/>
      <c r="CC840" s="210"/>
      <c r="CD840" s="210"/>
      <c r="CE840" s="210"/>
      <c r="CF840" s="210"/>
      <c r="CG840" s="210"/>
      <c r="CH840" s="210"/>
      <c r="CI840" s="210"/>
      <c r="CJ840" s="210"/>
      <c r="CK840" s="210"/>
    </row>
    <row r="841">
      <c r="A841" s="220"/>
      <c r="F841" s="190"/>
      <c r="G841" s="190"/>
      <c r="L841" s="220"/>
      <c r="M841" s="22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4"/>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c r="BU841" s="210"/>
      <c r="BV841" s="210"/>
      <c r="BW841" s="210"/>
      <c r="BX841" s="210"/>
      <c r="BY841" s="210"/>
      <c r="BZ841" s="210"/>
      <c r="CA841" s="210"/>
      <c r="CB841" s="210"/>
      <c r="CC841" s="210"/>
      <c r="CD841" s="210"/>
      <c r="CE841" s="210"/>
      <c r="CF841" s="210"/>
      <c r="CG841" s="210"/>
      <c r="CH841" s="210"/>
      <c r="CI841" s="210"/>
      <c r="CJ841" s="210"/>
      <c r="CK841" s="210"/>
    </row>
    <row r="842">
      <c r="A842" s="220"/>
      <c r="F842" s="190"/>
      <c r="G842" s="190"/>
      <c r="L842" s="220"/>
      <c r="M842" s="22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4"/>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c r="BU842" s="210"/>
      <c r="BV842" s="210"/>
      <c r="BW842" s="210"/>
      <c r="BX842" s="210"/>
      <c r="BY842" s="210"/>
      <c r="BZ842" s="210"/>
      <c r="CA842" s="210"/>
      <c r="CB842" s="210"/>
      <c r="CC842" s="210"/>
      <c r="CD842" s="210"/>
      <c r="CE842" s="210"/>
      <c r="CF842" s="210"/>
      <c r="CG842" s="210"/>
      <c r="CH842" s="210"/>
      <c r="CI842" s="210"/>
      <c r="CJ842" s="210"/>
      <c r="CK842" s="210"/>
    </row>
    <row r="843">
      <c r="A843" s="220"/>
      <c r="F843" s="190"/>
      <c r="G843" s="190"/>
      <c r="L843" s="220"/>
      <c r="M843" s="22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4"/>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c r="BU843" s="210"/>
      <c r="BV843" s="210"/>
      <c r="BW843" s="210"/>
      <c r="BX843" s="210"/>
      <c r="BY843" s="210"/>
      <c r="BZ843" s="210"/>
      <c r="CA843" s="210"/>
      <c r="CB843" s="210"/>
      <c r="CC843" s="210"/>
      <c r="CD843" s="210"/>
      <c r="CE843" s="210"/>
      <c r="CF843" s="210"/>
      <c r="CG843" s="210"/>
      <c r="CH843" s="210"/>
      <c r="CI843" s="210"/>
      <c r="CJ843" s="210"/>
      <c r="CK843" s="210"/>
    </row>
    <row r="844">
      <c r="A844" s="220"/>
      <c r="F844" s="190"/>
      <c r="G844" s="190"/>
      <c r="L844" s="220"/>
      <c r="M844" s="22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4"/>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c r="BU844" s="210"/>
      <c r="BV844" s="210"/>
      <c r="BW844" s="210"/>
      <c r="BX844" s="210"/>
      <c r="BY844" s="210"/>
      <c r="BZ844" s="210"/>
      <c r="CA844" s="210"/>
      <c r="CB844" s="210"/>
      <c r="CC844" s="210"/>
      <c r="CD844" s="210"/>
      <c r="CE844" s="210"/>
      <c r="CF844" s="210"/>
      <c r="CG844" s="210"/>
      <c r="CH844" s="210"/>
      <c r="CI844" s="210"/>
      <c r="CJ844" s="210"/>
      <c r="CK844" s="210"/>
    </row>
    <row r="845">
      <c r="A845" s="220"/>
      <c r="F845" s="190"/>
      <c r="G845" s="190"/>
      <c r="L845" s="220"/>
      <c r="M845" s="22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4"/>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c r="BU845" s="210"/>
      <c r="BV845" s="210"/>
      <c r="BW845" s="210"/>
      <c r="BX845" s="210"/>
      <c r="BY845" s="210"/>
      <c r="BZ845" s="210"/>
      <c r="CA845" s="210"/>
      <c r="CB845" s="210"/>
      <c r="CC845" s="210"/>
      <c r="CD845" s="210"/>
      <c r="CE845" s="210"/>
      <c r="CF845" s="210"/>
      <c r="CG845" s="210"/>
      <c r="CH845" s="210"/>
      <c r="CI845" s="210"/>
      <c r="CJ845" s="210"/>
      <c r="CK845" s="210"/>
    </row>
    <row r="846">
      <c r="A846" s="220"/>
      <c r="F846" s="190"/>
      <c r="G846" s="190"/>
      <c r="L846" s="220"/>
      <c r="M846" s="22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4"/>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c r="BU846" s="210"/>
      <c r="BV846" s="210"/>
      <c r="BW846" s="210"/>
      <c r="BX846" s="210"/>
      <c r="BY846" s="210"/>
      <c r="BZ846" s="210"/>
      <c r="CA846" s="210"/>
      <c r="CB846" s="210"/>
      <c r="CC846" s="210"/>
      <c r="CD846" s="210"/>
      <c r="CE846" s="210"/>
      <c r="CF846" s="210"/>
      <c r="CG846" s="210"/>
      <c r="CH846" s="210"/>
      <c r="CI846" s="210"/>
      <c r="CJ846" s="210"/>
      <c r="CK846" s="210"/>
    </row>
    <row r="847">
      <c r="A847" s="220"/>
      <c r="F847" s="190"/>
      <c r="G847" s="190"/>
      <c r="L847" s="220"/>
      <c r="M847" s="22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4"/>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c r="BU847" s="210"/>
      <c r="BV847" s="210"/>
      <c r="BW847" s="210"/>
      <c r="BX847" s="210"/>
      <c r="BY847" s="210"/>
      <c r="BZ847" s="210"/>
      <c r="CA847" s="210"/>
      <c r="CB847" s="210"/>
      <c r="CC847" s="210"/>
      <c r="CD847" s="210"/>
      <c r="CE847" s="210"/>
      <c r="CF847" s="210"/>
      <c r="CG847" s="210"/>
      <c r="CH847" s="210"/>
      <c r="CI847" s="210"/>
      <c r="CJ847" s="210"/>
      <c r="CK847" s="210"/>
    </row>
    <row r="848">
      <c r="A848" s="220"/>
      <c r="F848" s="190"/>
      <c r="G848" s="190"/>
      <c r="L848" s="220"/>
      <c r="M848" s="22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4"/>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c r="BU848" s="210"/>
      <c r="BV848" s="210"/>
      <c r="BW848" s="210"/>
      <c r="BX848" s="210"/>
      <c r="BY848" s="210"/>
      <c r="BZ848" s="210"/>
      <c r="CA848" s="210"/>
      <c r="CB848" s="210"/>
      <c r="CC848" s="210"/>
      <c r="CD848" s="210"/>
      <c r="CE848" s="210"/>
      <c r="CF848" s="210"/>
      <c r="CG848" s="210"/>
      <c r="CH848" s="210"/>
      <c r="CI848" s="210"/>
      <c r="CJ848" s="210"/>
      <c r="CK848" s="210"/>
    </row>
    <row r="849">
      <c r="A849" s="220"/>
      <c r="F849" s="190"/>
      <c r="G849" s="190"/>
      <c r="L849" s="220"/>
      <c r="M849" s="22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4"/>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c r="BU849" s="210"/>
      <c r="BV849" s="210"/>
      <c r="BW849" s="210"/>
      <c r="BX849" s="210"/>
      <c r="BY849" s="210"/>
      <c r="BZ849" s="210"/>
      <c r="CA849" s="210"/>
      <c r="CB849" s="210"/>
      <c r="CC849" s="210"/>
      <c r="CD849" s="210"/>
      <c r="CE849" s="210"/>
      <c r="CF849" s="210"/>
      <c r="CG849" s="210"/>
      <c r="CH849" s="210"/>
      <c r="CI849" s="210"/>
      <c r="CJ849" s="210"/>
      <c r="CK849" s="210"/>
    </row>
    <row r="850">
      <c r="A850" s="220"/>
      <c r="F850" s="190"/>
      <c r="G850" s="190"/>
      <c r="L850" s="220"/>
      <c r="M850" s="22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4"/>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c r="BU850" s="210"/>
      <c r="BV850" s="210"/>
      <c r="BW850" s="210"/>
      <c r="BX850" s="210"/>
      <c r="BY850" s="210"/>
      <c r="BZ850" s="210"/>
      <c r="CA850" s="210"/>
      <c r="CB850" s="210"/>
      <c r="CC850" s="210"/>
      <c r="CD850" s="210"/>
      <c r="CE850" s="210"/>
      <c r="CF850" s="210"/>
      <c r="CG850" s="210"/>
      <c r="CH850" s="210"/>
      <c r="CI850" s="210"/>
      <c r="CJ850" s="210"/>
      <c r="CK850" s="210"/>
    </row>
    <row r="851">
      <c r="A851" s="220"/>
      <c r="F851" s="190"/>
      <c r="G851" s="190"/>
      <c r="L851" s="220"/>
      <c r="M851" s="22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4"/>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c r="BU851" s="210"/>
      <c r="BV851" s="210"/>
      <c r="BW851" s="210"/>
      <c r="BX851" s="210"/>
      <c r="BY851" s="210"/>
      <c r="BZ851" s="210"/>
      <c r="CA851" s="210"/>
      <c r="CB851" s="210"/>
      <c r="CC851" s="210"/>
      <c r="CD851" s="210"/>
      <c r="CE851" s="210"/>
      <c r="CF851" s="210"/>
      <c r="CG851" s="210"/>
      <c r="CH851" s="210"/>
      <c r="CI851" s="210"/>
      <c r="CJ851" s="210"/>
      <c r="CK851" s="210"/>
    </row>
    <row r="852">
      <c r="A852" s="220"/>
      <c r="F852" s="190"/>
      <c r="G852" s="190"/>
      <c r="L852" s="220"/>
      <c r="M852" s="22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4"/>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c r="BU852" s="210"/>
      <c r="BV852" s="210"/>
      <c r="BW852" s="210"/>
      <c r="BX852" s="210"/>
      <c r="BY852" s="210"/>
      <c r="BZ852" s="210"/>
      <c r="CA852" s="210"/>
      <c r="CB852" s="210"/>
      <c r="CC852" s="210"/>
      <c r="CD852" s="210"/>
      <c r="CE852" s="210"/>
      <c r="CF852" s="210"/>
      <c r="CG852" s="210"/>
      <c r="CH852" s="210"/>
      <c r="CI852" s="210"/>
      <c r="CJ852" s="210"/>
      <c r="CK852" s="210"/>
    </row>
    <row r="853">
      <c r="A853" s="220"/>
      <c r="F853" s="190"/>
      <c r="G853" s="190"/>
      <c r="L853" s="220"/>
      <c r="M853" s="22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4"/>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c r="BU853" s="210"/>
      <c r="BV853" s="210"/>
      <c r="BW853" s="210"/>
      <c r="BX853" s="210"/>
      <c r="BY853" s="210"/>
      <c r="BZ853" s="210"/>
      <c r="CA853" s="210"/>
      <c r="CB853" s="210"/>
      <c r="CC853" s="210"/>
      <c r="CD853" s="210"/>
      <c r="CE853" s="210"/>
      <c r="CF853" s="210"/>
      <c r="CG853" s="210"/>
      <c r="CH853" s="210"/>
      <c r="CI853" s="210"/>
      <c r="CJ853" s="210"/>
      <c r="CK853" s="210"/>
    </row>
    <row r="854">
      <c r="A854" s="220"/>
      <c r="F854" s="190"/>
      <c r="G854" s="190"/>
      <c r="L854" s="220"/>
      <c r="M854" s="22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4"/>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c r="BU854" s="210"/>
      <c r="BV854" s="210"/>
      <c r="BW854" s="210"/>
      <c r="BX854" s="210"/>
      <c r="BY854" s="210"/>
      <c r="BZ854" s="210"/>
      <c r="CA854" s="210"/>
      <c r="CB854" s="210"/>
      <c r="CC854" s="210"/>
      <c r="CD854" s="210"/>
      <c r="CE854" s="210"/>
      <c r="CF854" s="210"/>
      <c r="CG854" s="210"/>
      <c r="CH854" s="210"/>
      <c r="CI854" s="210"/>
      <c r="CJ854" s="210"/>
      <c r="CK854" s="210"/>
    </row>
    <row r="855">
      <c r="A855" s="220"/>
      <c r="F855" s="190"/>
      <c r="G855" s="190"/>
      <c r="L855" s="220"/>
      <c r="M855" s="22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4"/>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c r="BU855" s="210"/>
      <c r="BV855" s="210"/>
      <c r="BW855" s="210"/>
      <c r="BX855" s="210"/>
      <c r="BY855" s="210"/>
      <c r="BZ855" s="210"/>
      <c r="CA855" s="210"/>
      <c r="CB855" s="210"/>
      <c r="CC855" s="210"/>
      <c r="CD855" s="210"/>
      <c r="CE855" s="210"/>
      <c r="CF855" s="210"/>
      <c r="CG855" s="210"/>
      <c r="CH855" s="210"/>
      <c r="CI855" s="210"/>
      <c r="CJ855" s="210"/>
      <c r="CK855" s="210"/>
    </row>
    <row r="856">
      <c r="A856" s="220"/>
      <c r="F856" s="190"/>
      <c r="G856" s="190"/>
      <c r="L856" s="220"/>
      <c r="M856" s="22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4"/>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c r="BU856" s="210"/>
      <c r="BV856" s="210"/>
      <c r="BW856" s="210"/>
      <c r="BX856" s="210"/>
      <c r="BY856" s="210"/>
      <c r="BZ856" s="210"/>
      <c r="CA856" s="210"/>
      <c r="CB856" s="210"/>
      <c r="CC856" s="210"/>
      <c r="CD856" s="210"/>
      <c r="CE856" s="210"/>
      <c r="CF856" s="210"/>
      <c r="CG856" s="210"/>
      <c r="CH856" s="210"/>
      <c r="CI856" s="210"/>
      <c r="CJ856" s="210"/>
      <c r="CK856" s="210"/>
    </row>
    <row r="857">
      <c r="A857" s="220"/>
      <c r="F857" s="190"/>
      <c r="G857" s="190"/>
      <c r="L857" s="220"/>
      <c r="M857" s="22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4"/>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c r="BU857" s="210"/>
      <c r="BV857" s="210"/>
      <c r="BW857" s="210"/>
      <c r="BX857" s="210"/>
      <c r="BY857" s="210"/>
      <c r="BZ857" s="210"/>
      <c r="CA857" s="210"/>
      <c r="CB857" s="210"/>
      <c r="CC857" s="210"/>
      <c r="CD857" s="210"/>
      <c r="CE857" s="210"/>
      <c r="CF857" s="210"/>
      <c r="CG857" s="210"/>
      <c r="CH857" s="210"/>
      <c r="CI857" s="210"/>
      <c r="CJ857" s="210"/>
      <c r="CK857" s="210"/>
    </row>
    <row r="858">
      <c r="A858" s="220"/>
      <c r="F858" s="190"/>
      <c r="G858" s="190"/>
      <c r="L858" s="220"/>
      <c r="M858" s="22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4"/>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c r="BU858" s="210"/>
      <c r="BV858" s="210"/>
      <c r="BW858" s="210"/>
      <c r="BX858" s="210"/>
      <c r="BY858" s="210"/>
      <c r="BZ858" s="210"/>
      <c r="CA858" s="210"/>
      <c r="CB858" s="210"/>
      <c r="CC858" s="210"/>
      <c r="CD858" s="210"/>
      <c r="CE858" s="210"/>
      <c r="CF858" s="210"/>
      <c r="CG858" s="210"/>
      <c r="CH858" s="210"/>
      <c r="CI858" s="210"/>
      <c r="CJ858" s="210"/>
      <c r="CK858" s="210"/>
    </row>
    <row r="859">
      <c r="A859" s="220"/>
      <c r="F859" s="190"/>
      <c r="G859" s="190"/>
      <c r="L859" s="220"/>
      <c r="M859" s="22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4"/>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c r="BU859" s="210"/>
      <c r="BV859" s="210"/>
      <c r="BW859" s="210"/>
      <c r="BX859" s="210"/>
      <c r="BY859" s="210"/>
      <c r="BZ859" s="210"/>
      <c r="CA859" s="210"/>
      <c r="CB859" s="210"/>
      <c r="CC859" s="210"/>
      <c r="CD859" s="210"/>
      <c r="CE859" s="210"/>
      <c r="CF859" s="210"/>
      <c r="CG859" s="210"/>
      <c r="CH859" s="210"/>
      <c r="CI859" s="210"/>
      <c r="CJ859" s="210"/>
      <c r="CK859" s="210"/>
    </row>
    <row r="860">
      <c r="A860" s="220"/>
      <c r="F860" s="190"/>
      <c r="G860" s="190"/>
      <c r="L860" s="220"/>
      <c r="M860" s="22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4"/>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c r="BU860" s="210"/>
      <c r="BV860" s="210"/>
      <c r="BW860" s="210"/>
      <c r="BX860" s="210"/>
      <c r="BY860" s="210"/>
      <c r="BZ860" s="210"/>
      <c r="CA860" s="210"/>
      <c r="CB860" s="210"/>
      <c r="CC860" s="210"/>
      <c r="CD860" s="210"/>
      <c r="CE860" s="210"/>
      <c r="CF860" s="210"/>
      <c r="CG860" s="210"/>
      <c r="CH860" s="210"/>
      <c r="CI860" s="210"/>
      <c r="CJ860" s="210"/>
      <c r="CK860" s="210"/>
    </row>
    <row r="861">
      <c r="A861" s="220"/>
      <c r="F861" s="190"/>
      <c r="G861" s="190"/>
      <c r="L861" s="220"/>
      <c r="M861" s="22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4"/>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c r="BU861" s="210"/>
      <c r="BV861" s="210"/>
      <c r="BW861" s="210"/>
      <c r="BX861" s="210"/>
      <c r="BY861" s="210"/>
      <c r="BZ861" s="210"/>
      <c r="CA861" s="210"/>
      <c r="CB861" s="210"/>
      <c r="CC861" s="210"/>
      <c r="CD861" s="210"/>
      <c r="CE861" s="210"/>
      <c r="CF861" s="210"/>
      <c r="CG861" s="210"/>
      <c r="CH861" s="210"/>
      <c r="CI861" s="210"/>
      <c r="CJ861" s="210"/>
      <c r="CK861" s="210"/>
    </row>
    <row r="862">
      <c r="A862" s="220"/>
      <c r="F862" s="190"/>
      <c r="G862" s="190"/>
      <c r="L862" s="220"/>
      <c r="M862" s="22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4"/>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c r="BU862" s="210"/>
      <c r="BV862" s="210"/>
      <c r="BW862" s="210"/>
      <c r="BX862" s="210"/>
      <c r="BY862" s="210"/>
      <c r="BZ862" s="210"/>
      <c r="CA862" s="210"/>
      <c r="CB862" s="210"/>
      <c r="CC862" s="210"/>
      <c r="CD862" s="210"/>
      <c r="CE862" s="210"/>
      <c r="CF862" s="210"/>
      <c r="CG862" s="210"/>
      <c r="CH862" s="210"/>
      <c r="CI862" s="210"/>
      <c r="CJ862" s="210"/>
      <c r="CK862" s="210"/>
    </row>
    <row r="863">
      <c r="A863" s="220"/>
      <c r="F863" s="190"/>
      <c r="G863" s="190"/>
      <c r="L863" s="220"/>
      <c r="M863" s="22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4"/>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c r="BU863" s="210"/>
      <c r="BV863" s="210"/>
      <c r="BW863" s="210"/>
      <c r="BX863" s="210"/>
      <c r="BY863" s="210"/>
      <c r="BZ863" s="210"/>
      <c r="CA863" s="210"/>
      <c r="CB863" s="210"/>
      <c r="CC863" s="210"/>
      <c r="CD863" s="210"/>
      <c r="CE863" s="210"/>
      <c r="CF863" s="210"/>
      <c r="CG863" s="210"/>
      <c r="CH863" s="210"/>
      <c r="CI863" s="210"/>
      <c r="CJ863" s="210"/>
      <c r="CK863" s="210"/>
    </row>
    <row r="864">
      <c r="A864" s="220"/>
      <c r="F864" s="190"/>
      <c r="G864" s="190"/>
      <c r="L864" s="220"/>
      <c r="M864" s="22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4"/>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c r="BU864" s="210"/>
      <c r="BV864" s="210"/>
      <c r="BW864" s="210"/>
      <c r="BX864" s="210"/>
      <c r="BY864" s="210"/>
      <c r="BZ864" s="210"/>
      <c r="CA864" s="210"/>
      <c r="CB864" s="210"/>
      <c r="CC864" s="210"/>
      <c r="CD864" s="210"/>
      <c r="CE864" s="210"/>
      <c r="CF864" s="210"/>
      <c r="CG864" s="210"/>
      <c r="CH864" s="210"/>
      <c r="CI864" s="210"/>
      <c r="CJ864" s="210"/>
      <c r="CK864" s="210"/>
    </row>
    <row r="865">
      <c r="A865" s="220"/>
      <c r="F865" s="190"/>
      <c r="G865" s="190"/>
      <c r="L865" s="220"/>
      <c r="M865" s="22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4"/>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c r="BU865" s="210"/>
      <c r="BV865" s="210"/>
      <c r="BW865" s="210"/>
      <c r="BX865" s="210"/>
      <c r="BY865" s="210"/>
      <c r="BZ865" s="210"/>
      <c r="CA865" s="210"/>
      <c r="CB865" s="210"/>
      <c r="CC865" s="210"/>
      <c r="CD865" s="210"/>
      <c r="CE865" s="210"/>
      <c r="CF865" s="210"/>
      <c r="CG865" s="210"/>
      <c r="CH865" s="210"/>
      <c r="CI865" s="210"/>
      <c r="CJ865" s="210"/>
      <c r="CK865" s="210"/>
    </row>
    <row r="866">
      <c r="A866" s="220"/>
      <c r="F866" s="190"/>
      <c r="G866" s="190"/>
      <c r="L866" s="220"/>
      <c r="M866" s="22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4"/>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c r="BU866" s="210"/>
      <c r="BV866" s="210"/>
      <c r="BW866" s="210"/>
      <c r="BX866" s="210"/>
      <c r="BY866" s="210"/>
      <c r="BZ866" s="210"/>
      <c r="CA866" s="210"/>
      <c r="CB866" s="210"/>
      <c r="CC866" s="210"/>
      <c r="CD866" s="210"/>
      <c r="CE866" s="210"/>
      <c r="CF866" s="210"/>
      <c r="CG866" s="210"/>
      <c r="CH866" s="210"/>
      <c r="CI866" s="210"/>
      <c r="CJ866" s="210"/>
      <c r="CK866" s="210"/>
    </row>
    <row r="867">
      <c r="A867" s="220"/>
      <c r="F867" s="190"/>
      <c r="G867" s="190"/>
      <c r="L867" s="220"/>
      <c r="M867" s="22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4"/>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c r="BU867" s="210"/>
      <c r="BV867" s="210"/>
      <c r="BW867" s="210"/>
      <c r="BX867" s="210"/>
      <c r="BY867" s="210"/>
      <c r="BZ867" s="210"/>
      <c r="CA867" s="210"/>
      <c r="CB867" s="210"/>
      <c r="CC867" s="210"/>
      <c r="CD867" s="210"/>
      <c r="CE867" s="210"/>
      <c r="CF867" s="210"/>
      <c r="CG867" s="210"/>
      <c r="CH867" s="210"/>
      <c r="CI867" s="210"/>
      <c r="CJ867" s="210"/>
      <c r="CK867" s="210"/>
    </row>
    <row r="868">
      <c r="A868" s="220"/>
      <c r="F868" s="190"/>
      <c r="G868" s="190"/>
      <c r="L868" s="220"/>
      <c r="M868" s="22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4"/>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c r="BU868" s="210"/>
      <c r="BV868" s="210"/>
      <c r="BW868" s="210"/>
      <c r="BX868" s="210"/>
      <c r="BY868" s="210"/>
      <c r="BZ868" s="210"/>
      <c r="CA868" s="210"/>
      <c r="CB868" s="210"/>
      <c r="CC868" s="210"/>
      <c r="CD868" s="210"/>
      <c r="CE868" s="210"/>
      <c r="CF868" s="210"/>
      <c r="CG868" s="210"/>
      <c r="CH868" s="210"/>
      <c r="CI868" s="210"/>
      <c r="CJ868" s="210"/>
      <c r="CK868" s="210"/>
    </row>
    <row r="869">
      <c r="A869" s="220"/>
      <c r="F869" s="190"/>
      <c r="G869" s="190"/>
      <c r="L869" s="220"/>
      <c r="M869" s="22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4"/>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c r="BU869" s="210"/>
      <c r="BV869" s="210"/>
      <c r="BW869" s="210"/>
      <c r="BX869" s="210"/>
      <c r="BY869" s="210"/>
      <c r="BZ869" s="210"/>
      <c r="CA869" s="210"/>
      <c r="CB869" s="210"/>
      <c r="CC869" s="210"/>
      <c r="CD869" s="210"/>
      <c r="CE869" s="210"/>
      <c r="CF869" s="210"/>
      <c r="CG869" s="210"/>
      <c r="CH869" s="210"/>
      <c r="CI869" s="210"/>
      <c r="CJ869" s="210"/>
      <c r="CK869" s="210"/>
    </row>
    <row r="870">
      <c r="A870" s="220"/>
      <c r="F870" s="190"/>
      <c r="G870" s="190"/>
      <c r="L870" s="220"/>
      <c r="M870" s="22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4"/>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c r="BU870" s="210"/>
      <c r="BV870" s="210"/>
      <c r="BW870" s="210"/>
      <c r="BX870" s="210"/>
      <c r="BY870" s="210"/>
      <c r="BZ870" s="210"/>
      <c r="CA870" s="210"/>
      <c r="CB870" s="210"/>
      <c r="CC870" s="210"/>
      <c r="CD870" s="210"/>
      <c r="CE870" s="210"/>
      <c r="CF870" s="210"/>
      <c r="CG870" s="210"/>
      <c r="CH870" s="210"/>
      <c r="CI870" s="210"/>
      <c r="CJ870" s="210"/>
      <c r="CK870" s="210"/>
    </row>
    <row r="871">
      <c r="A871" s="220"/>
      <c r="F871" s="190"/>
      <c r="G871" s="190"/>
      <c r="L871" s="220"/>
      <c r="M871" s="22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4"/>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c r="BU871" s="210"/>
      <c r="BV871" s="210"/>
      <c r="BW871" s="210"/>
      <c r="BX871" s="210"/>
      <c r="BY871" s="210"/>
      <c r="BZ871" s="210"/>
      <c r="CA871" s="210"/>
      <c r="CB871" s="210"/>
      <c r="CC871" s="210"/>
      <c r="CD871" s="210"/>
      <c r="CE871" s="210"/>
      <c r="CF871" s="210"/>
      <c r="CG871" s="210"/>
      <c r="CH871" s="210"/>
      <c r="CI871" s="210"/>
      <c r="CJ871" s="210"/>
      <c r="CK871" s="210"/>
    </row>
    <row r="872">
      <c r="A872" s="220"/>
      <c r="F872" s="190"/>
      <c r="G872" s="190"/>
      <c r="L872" s="220"/>
      <c r="M872" s="22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4"/>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c r="BU872" s="210"/>
      <c r="BV872" s="210"/>
      <c r="BW872" s="210"/>
      <c r="BX872" s="210"/>
      <c r="BY872" s="210"/>
      <c r="BZ872" s="210"/>
      <c r="CA872" s="210"/>
      <c r="CB872" s="210"/>
      <c r="CC872" s="210"/>
      <c r="CD872" s="210"/>
      <c r="CE872" s="210"/>
      <c r="CF872" s="210"/>
      <c r="CG872" s="210"/>
      <c r="CH872" s="210"/>
      <c r="CI872" s="210"/>
      <c r="CJ872" s="210"/>
      <c r="CK872" s="210"/>
    </row>
    <row r="873">
      <c r="A873" s="220"/>
      <c r="F873" s="190"/>
      <c r="G873" s="190"/>
      <c r="L873" s="220"/>
      <c r="M873" s="22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4"/>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c r="BU873" s="210"/>
      <c r="BV873" s="210"/>
      <c r="BW873" s="210"/>
      <c r="BX873" s="210"/>
      <c r="BY873" s="210"/>
      <c r="BZ873" s="210"/>
      <c r="CA873" s="210"/>
      <c r="CB873" s="210"/>
      <c r="CC873" s="210"/>
      <c r="CD873" s="210"/>
      <c r="CE873" s="210"/>
      <c r="CF873" s="210"/>
      <c r="CG873" s="210"/>
      <c r="CH873" s="210"/>
      <c r="CI873" s="210"/>
      <c r="CJ873" s="210"/>
      <c r="CK873" s="210"/>
    </row>
    <row r="874">
      <c r="A874" s="220"/>
      <c r="F874" s="190"/>
      <c r="G874" s="190"/>
      <c r="L874" s="220"/>
      <c r="M874" s="22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4"/>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c r="BU874" s="210"/>
      <c r="BV874" s="210"/>
      <c r="BW874" s="210"/>
      <c r="BX874" s="210"/>
      <c r="BY874" s="210"/>
      <c r="BZ874" s="210"/>
      <c r="CA874" s="210"/>
      <c r="CB874" s="210"/>
      <c r="CC874" s="210"/>
      <c r="CD874" s="210"/>
      <c r="CE874" s="210"/>
      <c r="CF874" s="210"/>
      <c r="CG874" s="210"/>
      <c r="CH874" s="210"/>
      <c r="CI874" s="210"/>
      <c r="CJ874" s="210"/>
      <c r="CK874" s="210"/>
    </row>
    <row r="875">
      <c r="A875" s="220"/>
      <c r="F875" s="190"/>
      <c r="G875" s="190"/>
      <c r="L875" s="220"/>
      <c r="M875" s="22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4"/>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c r="BU875" s="210"/>
      <c r="BV875" s="210"/>
      <c r="BW875" s="210"/>
      <c r="BX875" s="210"/>
      <c r="BY875" s="210"/>
      <c r="BZ875" s="210"/>
      <c r="CA875" s="210"/>
      <c r="CB875" s="210"/>
      <c r="CC875" s="210"/>
      <c r="CD875" s="210"/>
      <c r="CE875" s="210"/>
      <c r="CF875" s="210"/>
      <c r="CG875" s="210"/>
      <c r="CH875" s="210"/>
      <c r="CI875" s="210"/>
      <c r="CJ875" s="210"/>
      <c r="CK875" s="210"/>
    </row>
    <row r="876">
      <c r="A876" s="220"/>
      <c r="F876" s="190"/>
      <c r="G876" s="190"/>
      <c r="L876" s="220"/>
      <c r="M876" s="22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4"/>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c r="BU876" s="210"/>
      <c r="BV876" s="210"/>
      <c r="BW876" s="210"/>
      <c r="BX876" s="210"/>
      <c r="BY876" s="210"/>
      <c r="BZ876" s="210"/>
      <c r="CA876" s="210"/>
      <c r="CB876" s="210"/>
      <c r="CC876" s="210"/>
      <c r="CD876" s="210"/>
      <c r="CE876" s="210"/>
      <c r="CF876" s="210"/>
      <c r="CG876" s="210"/>
      <c r="CH876" s="210"/>
      <c r="CI876" s="210"/>
      <c r="CJ876" s="210"/>
      <c r="CK876" s="210"/>
    </row>
    <row r="877">
      <c r="A877" s="220"/>
      <c r="F877" s="190"/>
      <c r="G877" s="190"/>
      <c r="L877" s="220"/>
      <c r="M877" s="22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4"/>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c r="BU877" s="210"/>
      <c r="BV877" s="210"/>
      <c r="BW877" s="210"/>
      <c r="BX877" s="210"/>
      <c r="BY877" s="210"/>
      <c r="BZ877" s="210"/>
      <c r="CA877" s="210"/>
      <c r="CB877" s="210"/>
      <c r="CC877" s="210"/>
      <c r="CD877" s="210"/>
      <c r="CE877" s="210"/>
      <c r="CF877" s="210"/>
      <c r="CG877" s="210"/>
      <c r="CH877" s="210"/>
      <c r="CI877" s="210"/>
      <c r="CJ877" s="210"/>
      <c r="CK877" s="210"/>
    </row>
    <row r="878">
      <c r="A878" s="220"/>
      <c r="F878" s="190"/>
      <c r="G878" s="190"/>
      <c r="L878" s="220"/>
      <c r="M878" s="22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4"/>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c r="BU878" s="210"/>
      <c r="BV878" s="210"/>
      <c r="BW878" s="210"/>
      <c r="BX878" s="210"/>
      <c r="BY878" s="210"/>
      <c r="BZ878" s="210"/>
      <c r="CA878" s="210"/>
      <c r="CB878" s="210"/>
      <c r="CC878" s="210"/>
      <c r="CD878" s="210"/>
      <c r="CE878" s="210"/>
      <c r="CF878" s="210"/>
      <c r="CG878" s="210"/>
      <c r="CH878" s="210"/>
      <c r="CI878" s="210"/>
      <c r="CJ878" s="210"/>
      <c r="CK878" s="210"/>
    </row>
    <row r="879">
      <c r="A879" s="220"/>
      <c r="F879" s="190"/>
      <c r="G879" s="190"/>
      <c r="L879" s="220"/>
      <c r="M879" s="22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4"/>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c r="BU879" s="210"/>
      <c r="BV879" s="210"/>
      <c r="BW879" s="210"/>
      <c r="BX879" s="210"/>
      <c r="BY879" s="210"/>
      <c r="BZ879" s="210"/>
      <c r="CA879" s="210"/>
      <c r="CB879" s="210"/>
      <c r="CC879" s="210"/>
      <c r="CD879" s="210"/>
      <c r="CE879" s="210"/>
      <c r="CF879" s="210"/>
      <c r="CG879" s="210"/>
      <c r="CH879" s="210"/>
      <c r="CI879" s="210"/>
      <c r="CJ879" s="210"/>
      <c r="CK879" s="210"/>
    </row>
    <row r="880">
      <c r="A880" s="220"/>
      <c r="F880" s="190"/>
      <c r="G880" s="190"/>
      <c r="L880" s="220"/>
      <c r="M880" s="22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4"/>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c r="BU880" s="210"/>
      <c r="BV880" s="210"/>
      <c r="BW880" s="210"/>
      <c r="BX880" s="210"/>
      <c r="BY880" s="210"/>
      <c r="BZ880" s="210"/>
      <c r="CA880" s="210"/>
      <c r="CB880" s="210"/>
      <c r="CC880" s="210"/>
      <c r="CD880" s="210"/>
      <c r="CE880" s="210"/>
      <c r="CF880" s="210"/>
      <c r="CG880" s="210"/>
      <c r="CH880" s="210"/>
      <c r="CI880" s="210"/>
      <c r="CJ880" s="210"/>
      <c r="CK880" s="210"/>
    </row>
    <row r="881">
      <c r="A881" s="220"/>
      <c r="F881" s="190"/>
      <c r="G881" s="190"/>
      <c r="L881" s="220"/>
      <c r="M881" s="22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4"/>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c r="BU881" s="210"/>
      <c r="BV881" s="210"/>
      <c r="BW881" s="210"/>
      <c r="BX881" s="210"/>
      <c r="BY881" s="210"/>
      <c r="BZ881" s="210"/>
      <c r="CA881" s="210"/>
      <c r="CB881" s="210"/>
      <c r="CC881" s="210"/>
      <c r="CD881" s="210"/>
      <c r="CE881" s="210"/>
      <c r="CF881" s="210"/>
      <c r="CG881" s="210"/>
      <c r="CH881" s="210"/>
      <c r="CI881" s="210"/>
      <c r="CJ881" s="210"/>
      <c r="CK881" s="210"/>
    </row>
    <row r="882">
      <c r="A882" s="220"/>
      <c r="F882" s="190"/>
      <c r="G882" s="190"/>
      <c r="L882" s="220"/>
      <c r="M882" s="22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4"/>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c r="BU882" s="210"/>
      <c r="BV882" s="210"/>
      <c r="BW882" s="210"/>
      <c r="BX882" s="210"/>
      <c r="BY882" s="210"/>
      <c r="BZ882" s="210"/>
      <c r="CA882" s="210"/>
      <c r="CB882" s="210"/>
      <c r="CC882" s="210"/>
      <c r="CD882" s="210"/>
      <c r="CE882" s="210"/>
      <c r="CF882" s="210"/>
      <c r="CG882" s="210"/>
      <c r="CH882" s="210"/>
      <c r="CI882" s="210"/>
      <c r="CJ882" s="210"/>
      <c r="CK882" s="210"/>
    </row>
    <row r="883">
      <c r="A883" s="220"/>
      <c r="F883" s="190"/>
      <c r="G883" s="190"/>
      <c r="L883" s="220"/>
      <c r="M883" s="22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4"/>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c r="BU883" s="210"/>
      <c r="BV883" s="210"/>
      <c r="BW883" s="210"/>
      <c r="BX883" s="210"/>
      <c r="BY883" s="210"/>
      <c r="BZ883" s="210"/>
      <c r="CA883" s="210"/>
      <c r="CB883" s="210"/>
      <c r="CC883" s="210"/>
      <c r="CD883" s="210"/>
      <c r="CE883" s="210"/>
      <c r="CF883" s="210"/>
      <c r="CG883" s="210"/>
      <c r="CH883" s="210"/>
      <c r="CI883" s="210"/>
      <c r="CJ883" s="210"/>
      <c r="CK883" s="210"/>
    </row>
    <row r="884">
      <c r="A884" s="220"/>
      <c r="F884" s="190"/>
      <c r="G884" s="190"/>
      <c r="L884" s="220"/>
      <c r="M884" s="22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4"/>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c r="BU884" s="210"/>
      <c r="BV884" s="210"/>
      <c r="BW884" s="210"/>
      <c r="BX884" s="210"/>
      <c r="BY884" s="210"/>
      <c r="BZ884" s="210"/>
      <c r="CA884" s="210"/>
      <c r="CB884" s="210"/>
      <c r="CC884" s="210"/>
      <c r="CD884" s="210"/>
      <c r="CE884" s="210"/>
      <c r="CF884" s="210"/>
      <c r="CG884" s="210"/>
      <c r="CH884" s="210"/>
      <c r="CI884" s="210"/>
      <c r="CJ884" s="210"/>
      <c r="CK884" s="210"/>
    </row>
    <row r="885">
      <c r="A885" s="220"/>
      <c r="F885" s="190"/>
      <c r="G885" s="190"/>
      <c r="L885" s="220"/>
      <c r="M885" s="22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4"/>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c r="BU885" s="210"/>
      <c r="BV885" s="210"/>
      <c r="BW885" s="210"/>
      <c r="BX885" s="210"/>
      <c r="BY885" s="210"/>
      <c r="BZ885" s="210"/>
      <c r="CA885" s="210"/>
      <c r="CB885" s="210"/>
      <c r="CC885" s="210"/>
      <c r="CD885" s="210"/>
      <c r="CE885" s="210"/>
      <c r="CF885" s="210"/>
      <c r="CG885" s="210"/>
      <c r="CH885" s="210"/>
      <c r="CI885" s="210"/>
      <c r="CJ885" s="210"/>
      <c r="CK885" s="210"/>
    </row>
    <row r="886">
      <c r="A886" s="220"/>
      <c r="F886" s="190"/>
      <c r="G886" s="190"/>
      <c r="L886" s="220"/>
      <c r="M886" s="22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4"/>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c r="BU886" s="210"/>
      <c r="BV886" s="210"/>
      <c r="BW886" s="210"/>
      <c r="BX886" s="210"/>
      <c r="BY886" s="210"/>
      <c r="BZ886" s="210"/>
      <c r="CA886" s="210"/>
      <c r="CB886" s="210"/>
      <c r="CC886" s="210"/>
      <c r="CD886" s="210"/>
      <c r="CE886" s="210"/>
      <c r="CF886" s="210"/>
      <c r="CG886" s="210"/>
      <c r="CH886" s="210"/>
      <c r="CI886" s="210"/>
      <c r="CJ886" s="210"/>
      <c r="CK886" s="210"/>
    </row>
    <row r="887">
      <c r="A887" s="220"/>
      <c r="F887" s="190"/>
      <c r="G887" s="190"/>
      <c r="L887" s="220"/>
      <c r="M887" s="22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4"/>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c r="BU887" s="210"/>
      <c r="BV887" s="210"/>
      <c r="BW887" s="210"/>
      <c r="BX887" s="210"/>
      <c r="BY887" s="210"/>
      <c r="BZ887" s="210"/>
      <c r="CA887" s="210"/>
      <c r="CB887" s="210"/>
      <c r="CC887" s="210"/>
      <c r="CD887" s="210"/>
      <c r="CE887" s="210"/>
      <c r="CF887" s="210"/>
      <c r="CG887" s="210"/>
      <c r="CH887" s="210"/>
      <c r="CI887" s="210"/>
      <c r="CJ887" s="210"/>
      <c r="CK887" s="210"/>
    </row>
    <row r="888">
      <c r="A888" s="220"/>
      <c r="F888" s="190"/>
      <c r="G888" s="190"/>
      <c r="L888" s="220"/>
      <c r="M888" s="22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4"/>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c r="BU888" s="210"/>
      <c r="BV888" s="210"/>
      <c r="BW888" s="210"/>
      <c r="BX888" s="210"/>
      <c r="BY888" s="210"/>
      <c r="BZ888" s="210"/>
      <c r="CA888" s="210"/>
      <c r="CB888" s="210"/>
      <c r="CC888" s="210"/>
      <c r="CD888" s="210"/>
      <c r="CE888" s="210"/>
      <c r="CF888" s="210"/>
      <c r="CG888" s="210"/>
      <c r="CH888" s="210"/>
      <c r="CI888" s="210"/>
      <c r="CJ888" s="210"/>
      <c r="CK888" s="210"/>
    </row>
    <row r="889">
      <c r="A889" s="220"/>
      <c r="F889" s="190"/>
      <c r="G889" s="190"/>
      <c r="L889" s="220"/>
      <c r="M889" s="22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4"/>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c r="BU889" s="210"/>
      <c r="BV889" s="210"/>
      <c r="BW889" s="210"/>
      <c r="BX889" s="210"/>
      <c r="BY889" s="210"/>
      <c r="BZ889" s="210"/>
      <c r="CA889" s="210"/>
      <c r="CB889" s="210"/>
      <c r="CC889" s="210"/>
      <c r="CD889" s="210"/>
      <c r="CE889" s="210"/>
      <c r="CF889" s="210"/>
      <c r="CG889" s="210"/>
      <c r="CH889" s="210"/>
      <c r="CI889" s="210"/>
      <c r="CJ889" s="210"/>
      <c r="CK889" s="210"/>
    </row>
    <row r="890">
      <c r="A890" s="220"/>
      <c r="F890" s="190"/>
      <c r="G890" s="190"/>
      <c r="L890" s="220"/>
      <c r="M890" s="22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4"/>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c r="BU890" s="210"/>
      <c r="BV890" s="210"/>
      <c r="BW890" s="210"/>
      <c r="BX890" s="210"/>
      <c r="BY890" s="210"/>
      <c r="BZ890" s="210"/>
      <c r="CA890" s="210"/>
      <c r="CB890" s="210"/>
      <c r="CC890" s="210"/>
      <c r="CD890" s="210"/>
      <c r="CE890" s="210"/>
      <c r="CF890" s="210"/>
      <c r="CG890" s="210"/>
      <c r="CH890" s="210"/>
      <c r="CI890" s="210"/>
      <c r="CJ890" s="210"/>
      <c r="CK890" s="210"/>
    </row>
    <row r="891">
      <c r="A891" s="220"/>
      <c r="F891" s="190"/>
      <c r="G891" s="190"/>
      <c r="L891" s="220"/>
      <c r="M891" s="22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4"/>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c r="BU891" s="210"/>
      <c r="BV891" s="210"/>
      <c r="BW891" s="210"/>
      <c r="BX891" s="210"/>
      <c r="BY891" s="210"/>
      <c r="BZ891" s="210"/>
      <c r="CA891" s="210"/>
      <c r="CB891" s="210"/>
      <c r="CC891" s="210"/>
      <c r="CD891" s="210"/>
      <c r="CE891" s="210"/>
      <c r="CF891" s="210"/>
      <c r="CG891" s="210"/>
      <c r="CH891" s="210"/>
      <c r="CI891" s="210"/>
      <c r="CJ891" s="210"/>
      <c r="CK891" s="210"/>
    </row>
    <row r="892">
      <c r="A892" s="220"/>
      <c r="F892" s="190"/>
      <c r="G892" s="190"/>
      <c r="L892" s="220"/>
      <c r="M892" s="22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4"/>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c r="BU892" s="210"/>
      <c r="BV892" s="210"/>
      <c r="BW892" s="210"/>
      <c r="BX892" s="210"/>
      <c r="BY892" s="210"/>
      <c r="BZ892" s="210"/>
      <c r="CA892" s="210"/>
      <c r="CB892" s="210"/>
      <c r="CC892" s="210"/>
      <c r="CD892" s="210"/>
      <c r="CE892" s="210"/>
      <c r="CF892" s="210"/>
      <c r="CG892" s="210"/>
      <c r="CH892" s="210"/>
      <c r="CI892" s="210"/>
      <c r="CJ892" s="210"/>
      <c r="CK892" s="210"/>
    </row>
    <row r="893">
      <c r="A893" s="220"/>
      <c r="F893" s="190"/>
      <c r="G893" s="190"/>
      <c r="L893" s="220"/>
      <c r="M893" s="22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4"/>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c r="BU893" s="210"/>
      <c r="BV893" s="210"/>
      <c r="BW893" s="210"/>
      <c r="BX893" s="210"/>
      <c r="BY893" s="210"/>
      <c r="BZ893" s="210"/>
      <c r="CA893" s="210"/>
      <c r="CB893" s="210"/>
      <c r="CC893" s="210"/>
      <c r="CD893" s="210"/>
      <c r="CE893" s="210"/>
      <c r="CF893" s="210"/>
      <c r="CG893" s="210"/>
      <c r="CH893" s="210"/>
      <c r="CI893" s="210"/>
      <c r="CJ893" s="210"/>
      <c r="CK893" s="210"/>
    </row>
    <row r="894">
      <c r="A894" s="220"/>
      <c r="F894" s="190"/>
      <c r="G894" s="190"/>
      <c r="L894" s="220"/>
      <c r="M894" s="22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4"/>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c r="BU894" s="210"/>
      <c r="BV894" s="210"/>
      <c r="BW894" s="210"/>
      <c r="BX894" s="210"/>
      <c r="BY894" s="210"/>
      <c r="BZ894" s="210"/>
      <c r="CA894" s="210"/>
      <c r="CB894" s="210"/>
      <c r="CC894" s="210"/>
      <c r="CD894" s="210"/>
      <c r="CE894" s="210"/>
      <c r="CF894" s="210"/>
      <c r="CG894" s="210"/>
      <c r="CH894" s="210"/>
      <c r="CI894" s="210"/>
      <c r="CJ894" s="210"/>
      <c r="CK894" s="210"/>
    </row>
    <row r="895">
      <c r="A895" s="220"/>
      <c r="F895" s="190"/>
      <c r="G895" s="190"/>
      <c r="L895" s="220"/>
      <c r="M895" s="22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4"/>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c r="BU895" s="210"/>
      <c r="BV895" s="210"/>
      <c r="BW895" s="210"/>
      <c r="BX895" s="210"/>
      <c r="BY895" s="210"/>
      <c r="BZ895" s="210"/>
      <c r="CA895" s="210"/>
      <c r="CB895" s="210"/>
      <c r="CC895" s="210"/>
      <c r="CD895" s="210"/>
      <c r="CE895" s="210"/>
      <c r="CF895" s="210"/>
      <c r="CG895" s="210"/>
      <c r="CH895" s="210"/>
      <c r="CI895" s="210"/>
      <c r="CJ895" s="210"/>
      <c r="CK895" s="210"/>
    </row>
    <row r="896">
      <c r="A896" s="220"/>
      <c r="F896" s="190"/>
      <c r="G896" s="190"/>
      <c r="L896" s="220"/>
      <c r="M896" s="22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4"/>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c r="BU896" s="210"/>
      <c r="BV896" s="210"/>
      <c r="BW896" s="210"/>
      <c r="BX896" s="210"/>
      <c r="BY896" s="210"/>
      <c r="BZ896" s="210"/>
      <c r="CA896" s="210"/>
      <c r="CB896" s="210"/>
      <c r="CC896" s="210"/>
      <c r="CD896" s="210"/>
      <c r="CE896" s="210"/>
      <c r="CF896" s="210"/>
      <c r="CG896" s="210"/>
      <c r="CH896" s="210"/>
      <c r="CI896" s="210"/>
      <c r="CJ896" s="210"/>
      <c r="CK896" s="210"/>
    </row>
    <row r="897">
      <c r="A897" s="220"/>
      <c r="F897" s="190"/>
      <c r="G897" s="190"/>
      <c r="L897" s="220"/>
      <c r="M897" s="22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4"/>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c r="BU897" s="210"/>
      <c r="BV897" s="210"/>
      <c r="BW897" s="210"/>
      <c r="BX897" s="210"/>
      <c r="BY897" s="210"/>
      <c r="BZ897" s="210"/>
      <c r="CA897" s="210"/>
      <c r="CB897" s="210"/>
      <c r="CC897" s="210"/>
      <c r="CD897" s="210"/>
      <c r="CE897" s="210"/>
      <c r="CF897" s="210"/>
      <c r="CG897" s="210"/>
      <c r="CH897" s="210"/>
      <c r="CI897" s="210"/>
      <c r="CJ897" s="210"/>
      <c r="CK897" s="210"/>
    </row>
    <row r="898">
      <c r="A898" s="220"/>
      <c r="F898" s="190"/>
      <c r="G898" s="190"/>
      <c r="L898" s="220"/>
      <c r="M898" s="22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4"/>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c r="BU898" s="210"/>
      <c r="BV898" s="210"/>
      <c r="BW898" s="210"/>
      <c r="BX898" s="210"/>
      <c r="BY898" s="210"/>
      <c r="BZ898" s="210"/>
      <c r="CA898" s="210"/>
      <c r="CB898" s="210"/>
      <c r="CC898" s="210"/>
      <c r="CD898" s="210"/>
      <c r="CE898" s="210"/>
      <c r="CF898" s="210"/>
      <c r="CG898" s="210"/>
      <c r="CH898" s="210"/>
      <c r="CI898" s="210"/>
      <c r="CJ898" s="210"/>
      <c r="CK898" s="210"/>
    </row>
    <row r="899">
      <c r="A899" s="220"/>
      <c r="F899" s="190"/>
      <c r="G899" s="190"/>
      <c r="L899" s="220"/>
      <c r="M899" s="22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4"/>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c r="BU899" s="210"/>
      <c r="BV899" s="210"/>
      <c r="BW899" s="210"/>
      <c r="BX899" s="210"/>
      <c r="BY899" s="210"/>
      <c r="BZ899" s="210"/>
      <c r="CA899" s="210"/>
      <c r="CB899" s="210"/>
      <c r="CC899" s="210"/>
      <c r="CD899" s="210"/>
      <c r="CE899" s="210"/>
      <c r="CF899" s="210"/>
      <c r="CG899" s="210"/>
      <c r="CH899" s="210"/>
      <c r="CI899" s="210"/>
      <c r="CJ899" s="210"/>
      <c r="CK899" s="210"/>
    </row>
    <row r="900">
      <c r="A900" s="220"/>
      <c r="F900" s="190"/>
      <c r="G900" s="190"/>
      <c r="L900" s="220"/>
      <c r="M900" s="22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4"/>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c r="BU900" s="210"/>
      <c r="BV900" s="210"/>
      <c r="BW900" s="210"/>
      <c r="BX900" s="210"/>
      <c r="BY900" s="210"/>
      <c r="BZ900" s="210"/>
      <c r="CA900" s="210"/>
      <c r="CB900" s="210"/>
      <c r="CC900" s="210"/>
      <c r="CD900" s="210"/>
      <c r="CE900" s="210"/>
      <c r="CF900" s="210"/>
      <c r="CG900" s="210"/>
      <c r="CH900" s="210"/>
      <c r="CI900" s="210"/>
      <c r="CJ900" s="210"/>
      <c r="CK900" s="210"/>
    </row>
    <row r="901">
      <c r="A901" s="220"/>
      <c r="F901" s="190"/>
      <c r="G901" s="190"/>
      <c r="L901" s="220"/>
      <c r="M901" s="22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4"/>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c r="BU901" s="210"/>
      <c r="BV901" s="210"/>
      <c r="BW901" s="210"/>
      <c r="BX901" s="210"/>
      <c r="BY901" s="210"/>
      <c r="BZ901" s="210"/>
      <c r="CA901" s="210"/>
      <c r="CB901" s="210"/>
      <c r="CC901" s="210"/>
      <c r="CD901" s="210"/>
      <c r="CE901" s="210"/>
      <c r="CF901" s="210"/>
      <c r="CG901" s="210"/>
      <c r="CH901" s="210"/>
      <c r="CI901" s="210"/>
      <c r="CJ901" s="210"/>
      <c r="CK901" s="210"/>
    </row>
    <row r="902">
      <c r="A902" s="220"/>
      <c r="F902" s="190"/>
      <c r="G902" s="190"/>
      <c r="L902" s="220"/>
      <c r="M902" s="22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4"/>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c r="BU902" s="210"/>
      <c r="BV902" s="210"/>
      <c r="BW902" s="210"/>
      <c r="BX902" s="210"/>
      <c r="BY902" s="210"/>
      <c r="BZ902" s="210"/>
      <c r="CA902" s="210"/>
      <c r="CB902" s="210"/>
      <c r="CC902" s="210"/>
      <c r="CD902" s="210"/>
      <c r="CE902" s="210"/>
      <c r="CF902" s="210"/>
      <c r="CG902" s="210"/>
      <c r="CH902" s="210"/>
      <c r="CI902" s="210"/>
      <c r="CJ902" s="210"/>
      <c r="CK902" s="210"/>
    </row>
    <row r="903">
      <c r="A903" s="220"/>
      <c r="F903" s="190"/>
      <c r="G903" s="190"/>
      <c r="L903" s="220"/>
      <c r="M903" s="22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4"/>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c r="BU903" s="210"/>
      <c r="BV903" s="210"/>
      <c r="BW903" s="210"/>
      <c r="BX903" s="210"/>
      <c r="BY903" s="210"/>
      <c r="BZ903" s="210"/>
      <c r="CA903" s="210"/>
      <c r="CB903" s="210"/>
      <c r="CC903" s="210"/>
      <c r="CD903" s="210"/>
      <c r="CE903" s="210"/>
      <c r="CF903" s="210"/>
      <c r="CG903" s="210"/>
      <c r="CH903" s="210"/>
      <c r="CI903" s="210"/>
      <c r="CJ903" s="210"/>
      <c r="CK903" s="210"/>
    </row>
    <row r="904">
      <c r="A904" s="220"/>
      <c r="F904" s="190"/>
      <c r="G904" s="190"/>
      <c r="L904" s="220"/>
      <c r="M904" s="22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4"/>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c r="BU904" s="210"/>
      <c r="BV904" s="210"/>
      <c r="BW904" s="210"/>
      <c r="BX904" s="210"/>
      <c r="BY904" s="210"/>
      <c r="BZ904" s="210"/>
      <c r="CA904" s="210"/>
      <c r="CB904" s="210"/>
      <c r="CC904" s="210"/>
      <c r="CD904" s="210"/>
      <c r="CE904" s="210"/>
      <c r="CF904" s="210"/>
      <c r="CG904" s="210"/>
      <c r="CH904" s="210"/>
      <c r="CI904" s="210"/>
      <c r="CJ904" s="210"/>
      <c r="CK904" s="210"/>
    </row>
    <row r="905">
      <c r="A905" s="220"/>
      <c r="F905" s="190"/>
      <c r="G905" s="190"/>
      <c r="L905" s="220"/>
      <c r="M905" s="22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4"/>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c r="BU905" s="210"/>
      <c r="BV905" s="210"/>
      <c r="BW905" s="210"/>
      <c r="BX905" s="210"/>
      <c r="BY905" s="210"/>
      <c r="BZ905" s="210"/>
      <c r="CA905" s="210"/>
      <c r="CB905" s="210"/>
      <c r="CC905" s="210"/>
      <c r="CD905" s="210"/>
      <c r="CE905" s="210"/>
      <c r="CF905" s="210"/>
      <c r="CG905" s="210"/>
      <c r="CH905" s="210"/>
      <c r="CI905" s="210"/>
      <c r="CJ905" s="210"/>
      <c r="CK905" s="210"/>
    </row>
    <row r="906">
      <c r="A906" s="220"/>
      <c r="F906" s="190"/>
      <c r="G906" s="190"/>
      <c r="L906" s="220"/>
      <c r="M906" s="22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4"/>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c r="BU906" s="210"/>
      <c r="BV906" s="210"/>
      <c r="BW906" s="210"/>
      <c r="BX906" s="210"/>
      <c r="BY906" s="210"/>
      <c r="BZ906" s="210"/>
      <c r="CA906" s="210"/>
      <c r="CB906" s="210"/>
      <c r="CC906" s="210"/>
      <c r="CD906" s="210"/>
      <c r="CE906" s="210"/>
      <c r="CF906" s="210"/>
      <c r="CG906" s="210"/>
      <c r="CH906" s="210"/>
      <c r="CI906" s="210"/>
      <c r="CJ906" s="210"/>
      <c r="CK906" s="210"/>
    </row>
    <row r="907">
      <c r="A907" s="220"/>
      <c r="F907" s="190"/>
      <c r="G907" s="190"/>
      <c r="L907" s="220"/>
      <c r="M907" s="22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4"/>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c r="BU907" s="210"/>
      <c r="BV907" s="210"/>
      <c r="BW907" s="210"/>
      <c r="BX907" s="210"/>
      <c r="BY907" s="210"/>
      <c r="BZ907" s="210"/>
      <c r="CA907" s="210"/>
      <c r="CB907" s="210"/>
      <c r="CC907" s="210"/>
      <c r="CD907" s="210"/>
      <c r="CE907" s="210"/>
      <c r="CF907" s="210"/>
      <c r="CG907" s="210"/>
      <c r="CH907" s="210"/>
      <c r="CI907" s="210"/>
      <c r="CJ907" s="210"/>
      <c r="CK907" s="210"/>
    </row>
    <row r="908">
      <c r="A908" s="220"/>
      <c r="F908" s="190"/>
      <c r="G908" s="190"/>
      <c r="L908" s="220"/>
      <c r="M908" s="22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4"/>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c r="BU908" s="210"/>
      <c r="BV908" s="210"/>
      <c r="BW908" s="210"/>
      <c r="BX908" s="210"/>
      <c r="BY908" s="210"/>
      <c r="BZ908" s="210"/>
      <c r="CA908" s="210"/>
      <c r="CB908" s="210"/>
      <c r="CC908" s="210"/>
      <c r="CD908" s="210"/>
      <c r="CE908" s="210"/>
      <c r="CF908" s="210"/>
      <c r="CG908" s="210"/>
      <c r="CH908" s="210"/>
      <c r="CI908" s="210"/>
      <c r="CJ908" s="210"/>
      <c r="CK908" s="210"/>
    </row>
    <row r="909">
      <c r="A909" s="220"/>
      <c r="F909" s="190"/>
      <c r="G909" s="190"/>
      <c r="L909" s="220"/>
      <c r="M909" s="22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4"/>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c r="BU909" s="210"/>
      <c r="BV909" s="210"/>
      <c r="BW909" s="210"/>
      <c r="BX909" s="210"/>
      <c r="BY909" s="210"/>
      <c r="BZ909" s="210"/>
      <c r="CA909" s="210"/>
      <c r="CB909" s="210"/>
      <c r="CC909" s="210"/>
      <c r="CD909" s="210"/>
      <c r="CE909" s="210"/>
      <c r="CF909" s="210"/>
      <c r="CG909" s="210"/>
      <c r="CH909" s="210"/>
      <c r="CI909" s="210"/>
      <c r="CJ909" s="210"/>
      <c r="CK909" s="210"/>
    </row>
    <row r="910">
      <c r="A910" s="220"/>
      <c r="F910" s="190"/>
      <c r="G910" s="190"/>
      <c r="L910" s="220"/>
      <c r="M910" s="22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4"/>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c r="BU910" s="210"/>
      <c r="BV910" s="210"/>
      <c r="BW910" s="210"/>
      <c r="BX910" s="210"/>
      <c r="BY910" s="210"/>
      <c r="BZ910" s="210"/>
      <c r="CA910" s="210"/>
      <c r="CB910" s="210"/>
      <c r="CC910" s="210"/>
      <c r="CD910" s="210"/>
      <c r="CE910" s="210"/>
      <c r="CF910" s="210"/>
      <c r="CG910" s="210"/>
      <c r="CH910" s="210"/>
      <c r="CI910" s="210"/>
      <c r="CJ910" s="210"/>
      <c r="CK910" s="210"/>
    </row>
    <row r="911">
      <c r="A911" s="220"/>
      <c r="F911" s="190"/>
      <c r="G911" s="190"/>
      <c r="L911" s="220"/>
      <c r="M911" s="22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4"/>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c r="BU911" s="210"/>
      <c r="BV911" s="210"/>
      <c r="BW911" s="210"/>
      <c r="BX911" s="210"/>
      <c r="BY911" s="210"/>
      <c r="BZ911" s="210"/>
      <c r="CA911" s="210"/>
      <c r="CB911" s="210"/>
      <c r="CC911" s="210"/>
      <c r="CD911" s="210"/>
      <c r="CE911" s="210"/>
      <c r="CF911" s="210"/>
      <c r="CG911" s="210"/>
      <c r="CH911" s="210"/>
      <c r="CI911" s="210"/>
      <c r="CJ911" s="210"/>
      <c r="CK911" s="210"/>
    </row>
    <row r="912">
      <c r="A912" s="220"/>
      <c r="F912" s="190"/>
      <c r="G912" s="190"/>
      <c r="L912" s="220"/>
      <c r="M912" s="22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4"/>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c r="BU912" s="210"/>
      <c r="BV912" s="210"/>
      <c r="BW912" s="210"/>
      <c r="BX912" s="210"/>
      <c r="BY912" s="210"/>
      <c r="BZ912" s="210"/>
      <c r="CA912" s="210"/>
      <c r="CB912" s="210"/>
      <c r="CC912" s="210"/>
      <c r="CD912" s="210"/>
      <c r="CE912" s="210"/>
      <c r="CF912" s="210"/>
      <c r="CG912" s="210"/>
      <c r="CH912" s="210"/>
      <c r="CI912" s="210"/>
      <c r="CJ912" s="210"/>
      <c r="CK912" s="210"/>
    </row>
    <row r="913">
      <c r="A913" s="220"/>
      <c r="F913" s="190"/>
      <c r="G913" s="190"/>
      <c r="L913" s="220"/>
      <c r="M913" s="22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4"/>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c r="BU913" s="210"/>
      <c r="BV913" s="210"/>
      <c r="BW913" s="210"/>
      <c r="BX913" s="210"/>
      <c r="BY913" s="210"/>
      <c r="BZ913" s="210"/>
      <c r="CA913" s="210"/>
      <c r="CB913" s="210"/>
      <c r="CC913" s="210"/>
      <c r="CD913" s="210"/>
      <c r="CE913" s="210"/>
      <c r="CF913" s="210"/>
      <c r="CG913" s="210"/>
      <c r="CH913" s="210"/>
      <c r="CI913" s="210"/>
      <c r="CJ913" s="210"/>
      <c r="CK913" s="210"/>
    </row>
    <row r="914">
      <c r="A914" s="220"/>
      <c r="F914" s="190"/>
      <c r="G914" s="190"/>
      <c r="L914" s="220"/>
      <c r="M914" s="22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4"/>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c r="BU914" s="210"/>
      <c r="BV914" s="210"/>
      <c r="BW914" s="210"/>
      <c r="BX914" s="210"/>
      <c r="BY914" s="210"/>
      <c r="BZ914" s="210"/>
      <c r="CA914" s="210"/>
      <c r="CB914" s="210"/>
      <c r="CC914" s="210"/>
      <c r="CD914" s="210"/>
      <c r="CE914" s="210"/>
      <c r="CF914" s="210"/>
      <c r="CG914" s="210"/>
      <c r="CH914" s="210"/>
      <c r="CI914" s="210"/>
      <c r="CJ914" s="210"/>
      <c r="CK914" s="210"/>
    </row>
    <row r="915">
      <c r="A915" s="220"/>
      <c r="F915" s="190"/>
      <c r="G915" s="190"/>
      <c r="L915" s="220"/>
      <c r="M915" s="22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4"/>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c r="BU915" s="210"/>
      <c r="BV915" s="210"/>
      <c r="BW915" s="210"/>
      <c r="BX915" s="210"/>
      <c r="BY915" s="210"/>
      <c r="BZ915" s="210"/>
      <c r="CA915" s="210"/>
      <c r="CB915" s="210"/>
      <c r="CC915" s="210"/>
      <c r="CD915" s="210"/>
      <c r="CE915" s="210"/>
      <c r="CF915" s="210"/>
      <c r="CG915" s="210"/>
      <c r="CH915" s="210"/>
      <c r="CI915" s="210"/>
      <c r="CJ915" s="210"/>
      <c r="CK915" s="210"/>
    </row>
    <row r="916">
      <c r="A916" s="220"/>
      <c r="F916" s="190"/>
      <c r="G916" s="190"/>
      <c r="L916" s="220"/>
      <c r="M916" s="22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4"/>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c r="BU916" s="210"/>
      <c r="BV916" s="210"/>
      <c r="BW916" s="210"/>
      <c r="BX916" s="210"/>
      <c r="BY916" s="210"/>
      <c r="BZ916" s="210"/>
      <c r="CA916" s="210"/>
      <c r="CB916" s="210"/>
      <c r="CC916" s="210"/>
      <c r="CD916" s="210"/>
      <c r="CE916" s="210"/>
      <c r="CF916" s="210"/>
      <c r="CG916" s="210"/>
      <c r="CH916" s="210"/>
      <c r="CI916" s="210"/>
      <c r="CJ916" s="210"/>
      <c r="CK916" s="210"/>
    </row>
    <row r="917">
      <c r="A917" s="220"/>
      <c r="F917" s="190"/>
      <c r="G917" s="190"/>
      <c r="L917" s="220"/>
      <c r="M917" s="22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4"/>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c r="BU917" s="210"/>
      <c r="BV917" s="210"/>
      <c r="BW917" s="210"/>
      <c r="BX917" s="210"/>
      <c r="BY917" s="210"/>
      <c r="BZ917" s="210"/>
      <c r="CA917" s="210"/>
      <c r="CB917" s="210"/>
      <c r="CC917" s="210"/>
      <c r="CD917" s="210"/>
      <c r="CE917" s="210"/>
      <c r="CF917" s="210"/>
      <c r="CG917" s="210"/>
      <c r="CH917" s="210"/>
      <c r="CI917" s="210"/>
      <c r="CJ917" s="210"/>
      <c r="CK917" s="210"/>
    </row>
    <row r="918">
      <c r="A918" s="220"/>
      <c r="F918" s="190"/>
      <c r="G918" s="190"/>
      <c r="L918" s="220"/>
      <c r="M918" s="22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4"/>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c r="BU918" s="210"/>
      <c r="BV918" s="210"/>
      <c r="BW918" s="210"/>
      <c r="BX918" s="210"/>
      <c r="BY918" s="210"/>
      <c r="BZ918" s="210"/>
      <c r="CA918" s="210"/>
      <c r="CB918" s="210"/>
      <c r="CC918" s="210"/>
      <c r="CD918" s="210"/>
      <c r="CE918" s="210"/>
      <c r="CF918" s="210"/>
      <c r="CG918" s="210"/>
      <c r="CH918" s="210"/>
      <c r="CI918" s="210"/>
      <c r="CJ918" s="210"/>
      <c r="CK918" s="210"/>
    </row>
    <row r="919">
      <c r="A919" s="220"/>
      <c r="F919" s="190"/>
      <c r="G919" s="190"/>
      <c r="L919" s="220"/>
      <c r="M919" s="22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4"/>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c r="BU919" s="210"/>
      <c r="BV919" s="210"/>
      <c r="BW919" s="210"/>
      <c r="BX919" s="210"/>
      <c r="BY919" s="210"/>
      <c r="BZ919" s="210"/>
      <c r="CA919" s="210"/>
      <c r="CB919" s="210"/>
      <c r="CC919" s="210"/>
      <c r="CD919" s="210"/>
      <c r="CE919" s="210"/>
      <c r="CF919" s="210"/>
      <c r="CG919" s="210"/>
      <c r="CH919" s="210"/>
      <c r="CI919" s="210"/>
      <c r="CJ919" s="210"/>
      <c r="CK919" s="210"/>
    </row>
    <row r="920">
      <c r="A920" s="220"/>
      <c r="F920" s="190"/>
      <c r="G920" s="190"/>
      <c r="L920" s="220"/>
      <c r="M920" s="22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4"/>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c r="BU920" s="210"/>
      <c r="BV920" s="210"/>
      <c r="BW920" s="210"/>
      <c r="BX920" s="210"/>
      <c r="BY920" s="210"/>
      <c r="BZ920" s="210"/>
      <c r="CA920" s="210"/>
      <c r="CB920" s="210"/>
      <c r="CC920" s="210"/>
      <c r="CD920" s="210"/>
      <c r="CE920" s="210"/>
      <c r="CF920" s="210"/>
      <c r="CG920" s="210"/>
      <c r="CH920" s="210"/>
      <c r="CI920" s="210"/>
      <c r="CJ920" s="210"/>
      <c r="CK920" s="210"/>
    </row>
    <row r="921">
      <c r="A921" s="220"/>
      <c r="F921" s="190"/>
      <c r="G921" s="190"/>
      <c r="L921" s="220"/>
      <c r="M921" s="22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4"/>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c r="BU921" s="210"/>
      <c r="BV921" s="210"/>
      <c r="BW921" s="210"/>
      <c r="BX921" s="210"/>
      <c r="BY921" s="210"/>
      <c r="BZ921" s="210"/>
      <c r="CA921" s="210"/>
      <c r="CB921" s="210"/>
      <c r="CC921" s="210"/>
      <c r="CD921" s="210"/>
      <c r="CE921" s="210"/>
      <c r="CF921" s="210"/>
      <c r="CG921" s="210"/>
      <c r="CH921" s="210"/>
      <c r="CI921" s="210"/>
      <c r="CJ921" s="210"/>
      <c r="CK921" s="210"/>
    </row>
    <row r="922">
      <c r="A922" s="220"/>
      <c r="F922" s="190"/>
      <c r="G922" s="190"/>
      <c r="L922" s="220"/>
      <c r="M922" s="22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4"/>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c r="BU922" s="210"/>
      <c r="BV922" s="210"/>
      <c r="BW922" s="210"/>
      <c r="BX922" s="210"/>
      <c r="BY922" s="210"/>
      <c r="BZ922" s="210"/>
      <c r="CA922" s="210"/>
      <c r="CB922" s="210"/>
      <c r="CC922" s="210"/>
      <c r="CD922" s="210"/>
      <c r="CE922" s="210"/>
      <c r="CF922" s="210"/>
      <c r="CG922" s="210"/>
      <c r="CH922" s="210"/>
      <c r="CI922" s="210"/>
      <c r="CJ922" s="210"/>
      <c r="CK922" s="210"/>
    </row>
    <row r="923">
      <c r="A923" s="220"/>
      <c r="F923" s="190"/>
      <c r="G923" s="190"/>
      <c r="L923" s="220"/>
      <c r="M923" s="22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4"/>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c r="BU923" s="210"/>
      <c r="BV923" s="210"/>
      <c r="BW923" s="210"/>
      <c r="BX923" s="210"/>
      <c r="BY923" s="210"/>
      <c r="BZ923" s="210"/>
      <c r="CA923" s="210"/>
      <c r="CB923" s="210"/>
      <c r="CC923" s="210"/>
      <c r="CD923" s="210"/>
      <c r="CE923" s="210"/>
      <c r="CF923" s="210"/>
      <c r="CG923" s="210"/>
      <c r="CH923" s="210"/>
      <c r="CI923" s="210"/>
      <c r="CJ923" s="210"/>
      <c r="CK923" s="210"/>
    </row>
    <row r="924">
      <c r="A924" s="220"/>
      <c r="F924" s="190"/>
      <c r="G924" s="190"/>
      <c r="L924" s="220"/>
      <c r="M924" s="22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4"/>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c r="BU924" s="210"/>
      <c r="BV924" s="210"/>
      <c r="BW924" s="210"/>
      <c r="BX924" s="210"/>
      <c r="BY924" s="210"/>
      <c r="BZ924" s="210"/>
      <c r="CA924" s="210"/>
      <c r="CB924" s="210"/>
      <c r="CC924" s="210"/>
      <c r="CD924" s="210"/>
      <c r="CE924" s="210"/>
      <c r="CF924" s="210"/>
      <c r="CG924" s="210"/>
      <c r="CH924" s="210"/>
      <c r="CI924" s="210"/>
      <c r="CJ924" s="210"/>
      <c r="CK924" s="210"/>
    </row>
    <row r="925">
      <c r="A925" s="220"/>
      <c r="F925" s="190"/>
      <c r="G925" s="190"/>
      <c r="L925" s="220"/>
      <c r="M925" s="22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4"/>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c r="BU925" s="210"/>
      <c r="BV925" s="210"/>
      <c r="BW925" s="210"/>
      <c r="BX925" s="210"/>
      <c r="BY925" s="210"/>
      <c r="BZ925" s="210"/>
      <c r="CA925" s="210"/>
      <c r="CB925" s="210"/>
      <c r="CC925" s="210"/>
      <c r="CD925" s="210"/>
      <c r="CE925" s="210"/>
      <c r="CF925" s="210"/>
      <c r="CG925" s="210"/>
      <c r="CH925" s="210"/>
      <c r="CI925" s="210"/>
      <c r="CJ925" s="210"/>
      <c r="CK925" s="210"/>
    </row>
    <row r="926">
      <c r="A926" s="220"/>
      <c r="F926" s="190"/>
      <c r="G926" s="190"/>
      <c r="L926" s="220"/>
      <c r="M926" s="22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4"/>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c r="BU926" s="210"/>
      <c r="BV926" s="210"/>
      <c r="BW926" s="210"/>
      <c r="BX926" s="210"/>
      <c r="BY926" s="210"/>
      <c r="BZ926" s="210"/>
      <c r="CA926" s="210"/>
      <c r="CB926" s="210"/>
      <c r="CC926" s="210"/>
      <c r="CD926" s="210"/>
      <c r="CE926" s="210"/>
      <c r="CF926" s="210"/>
      <c r="CG926" s="210"/>
      <c r="CH926" s="210"/>
      <c r="CI926" s="210"/>
      <c r="CJ926" s="210"/>
      <c r="CK926" s="210"/>
    </row>
    <row r="927">
      <c r="A927" s="220"/>
      <c r="F927" s="190"/>
      <c r="G927" s="190"/>
      <c r="L927" s="220"/>
      <c r="M927" s="22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4"/>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c r="BU927" s="210"/>
      <c r="BV927" s="210"/>
      <c r="BW927" s="210"/>
      <c r="BX927" s="210"/>
      <c r="BY927" s="210"/>
      <c r="BZ927" s="210"/>
      <c r="CA927" s="210"/>
      <c r="CB927" s="210"/>
      <c r="CC927" s="210"/>
      <c r="CD927" s="210"/>
      <c r="CE927" s="210"/>
      <c r="CF927" s="210"/>
      <c r="CG927" s="210"/>
      <c r="CH927" s="210"/>
      <c r="CI927" s="210"/>
      <c r="CJ927" s="210"/>
      <c r="CK927" s="210"/>
    </row>
    <row r="928">
      <c r="A928" s="220"/>
      <c r="F928" s="190"/>
      <c r="G928" s="190"/>
      <c r="L928" s="220"/>
      <c r="M928" s="22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4"/>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c r="BU928" s="210"/>
      <c r="BV928" s="210"/>
      <c r="BW928" s="210"/>
      <c r="BX928" s="210"/>
      <c r="BY928" s="210"/>
      <c r="BZ928" s="210"/>
      <c r="CA928" s="210"/>
      <c r="CB928" s="210"/>
      <c r="CC928" s="210"/>
      <c r="CD928" s="210"/>
      <c r="CE928" s="210"/>
      <c r="CF928" s="210"/>
      <c r="CG928" s="210"/>
      <c r="CH928" s="210"/>
      <c r="CI928" s="210"/>
      <c r="CJ928" s="210"/>
      <c r="CK928" s="210"/>
    </row>
    <row r="929">
      <c r="A929" s="220"/>
      <c r="F929" s="190"/>
      <c r="G929" s="190"/>
      <c r="L929" s="220"/>
      <c r="M929" s="22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4"/>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c r="BU929" s="210"/>
      <c r="BV929" s="210"/>
      <c r="BW929" s="210"/>
      <c r="BX929" s="210"/>
      <c r="BY929" s="210"/>
      <c r="BZ929" s="210"/>
      <c r="CA929" s="210"/>
      <c r="CB929" s="210"/>
      <c r="CC929" s="210"/>
      <c r="CD929" s="210"/>
      <c r="CE929" s="210"/>
      <c r="CF929" s="210"/>
      <c r="CG929" s="210"/>
      <c r="CH929" s="210"/>
      <c r="CI929" s="210"/>
      <c r="CJ929" s="210"/>
      <c r="CK929" s="210"/>
    </row>
    <row r="930">
      <c r="A930" s="220"/>
      <c r="F930" s="190"/>
      <c r="G930" s="190"/>
      <c r="L930" s="220"/>
      <c r="M930" s="22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4"/>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c r="BU930" s="210"/>
      <c r="BV930" s="210"/>
      <c r="BW930" s="210"/>
      <c r="BX930" s="210"/>
      <c r="BY930" s="210"/>
      <c r="BZ930" s="210"/>
      <c r="CA930" s="210"/>
      <c r="CB930" s="210"/>
      <c r="CC930" s="210"/>
      <c r="CD930" s="210"/>
      <c r="CE930" s="210"/>
      <c r="CF930" s="210"/>
      <c r="CG930" s="210"/>
      <c r="CH930" s="210"/>
      <c r="CI930" s="210"/>
      <c r="CJ930" s="210"/>
      <c r="CK930" s="210"/>
    </row>
    <row r="931">
      <c r="A931" s="220"/>
      <c r="F931" s="190"/>
      <c r="G931" s="190"/>
      <c r="L931" s="220"/>
      <c r="M931" s="22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4"/>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c r="BU931" s="210"/>
      <c r="BV931" s="210"/>
      <c r="BW931" s="210"/>
      <c r="BX931" s="210"/>
      <c r="BY931" s="210"/>
      <c r="BZ931" s="210"/>
      <c r="CA931" s="210"/>
      <c r="CB931" s="210"/>
      <c r="CC931" s="210"/>
      <c r="CD931" s="210"/>
      <c r="CE931" s="210"/>
      <c r="CF931" s="210"/>
      <c r="CG931" s="210"/>
      <c r="CH931" s="210"/>
      <c r="CI931" s="210"/>
      <c r="CJ931" s="210"/>
      <c r="CK931" s="210"/>
    </row>
    <row r="932">
      <c r="A932" s="220"/>
      <c r="F932" s="190"/>
      <c r="G932" s="190"/>
      <c r="L932" s="220"/>
      <c r="M932" s="22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4"/>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c r="BU932" s="210"/>
      <c r="BV932" s="210"/>
      <c r="BW932" s="210"/>
      <c r="BX932" s="210"/>
      <c r="BY932" s="210"/>
      <c r="BZ932" s="210"/>
      <c r="CA932" s="210"/>
      <c r="CB932" s="210"/>
      <c r="CC932" s="210"/>
      <c r="CD932" s="210"/>
      <c r="CE932" s="210"/>
      <c r="CF932" s="210"/>
      <c r="CG932" s="210"/>
      <c r="CH932" s="210"/>
      <c r="CI932" s="210"/>
      <c r="CJ932" s="210"/>
      <c r="CK932" s="210"/>
    </row>
    <row r="933">
      <c r="A933" s="220"/>
      <c r="F933" s="190"/>
      <c r="G933" s="190"/>
      <c r="L933" s="220"/>
      <c r="M933" s="22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4"/>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c r="BU933" s="210"/>
      <c r="BV933" s="210"/>
      <c r="BW933" s="210"/>
      <c r="BX933" s="210"/>
      <c r="BY933" s="210"/>
      <c r="BZ933" s="210"/>
      <c r="CA933" s="210"/>
      <c r="CB933" s="210"/>
      <c r="CC933" s="210"/>
      <c r="CD933" s="210"/>
      <c r="CE933" s="210"/>
      <c r="CF933" s="210"/>
      <c r="CG933" s="210"/>
      <c r="CH933" s="210"/>
      <c r="CI933" s="210"/>
      <c r="CJ933" s="210"/>
      <c r="CK933" s="210"/>
    </row>
    <row r="934">
      <c r="A934" s="220"/>
      <c r="F934" s="190"/>
      <c r="G934" s="190"/>
      <c r="L934" s="220"/>
      <c r="M934" s="22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4"/>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c r="BU934" s="210"/>
      <c r="BV934" s="210"/>
      <c r="BW934" s="210"/>
      <c r="BX934" s="210"/>
      <c r="BY934" s="210"/>
      <c r="BZ934" s="210"/>
      <c r="CA934" s="210"/>
      <c r="CB934" s="210"/>
      <c r="CC934" s="210"/>
      <c r="CD934" s="210"/>
      <c r="CE934" s="210"/>
      <c r="CF934" s="210"/>
      <c r="CG934" s="210"/>
      <c r="CH934" s="210"/>
      <c r="CI934" s="210"/>
      <c r="CJ934" s="210"/>
      <c r="CK934" s="210"/>
    </row>
    <row r="935">
      <c r="A935" s="220"/>
      <c r="F935" s="190"/>
      <c r="G935" s="190"/>
      <c r="L935" s="220"/>
      <c r="M935" s="22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4"/>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c r="BU935" s="210"/>
      <c r="BV935" s="210"/>
      <c r="BW935" s="210"/>
      <c r="BX935" s="210"/>
      <c r="BY935" s="210"/>
      <c r="BZ935" s="210"/>
      <c r="CA935" s="210"/>
      <c r="CB935" s="210"/>
      <c r="CC935" s="210"/>
      <c r="CD935" s="210"/>
      <c r="CE935" s="210"/>
      <c r="CF935" s="210"/>
      <c r="CG935" s="210"/>
      <c r="CH935" s="210"/>
      <c r="CI935" s="210"/>
      <c r="CJ935" s="210"/>
      <c r="CK935" s="210"/>
    </row>
    <row r="936">
      <c r="A936" s="220"/>
      <c r="F936" s="190"/>
      <c r="G936" s="190"/>
      <c r="L936" s="220"/>
      <c r="M936" s="22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4"/>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c r="BU936" s="210"/>
      <c r="BV936" s="210"/>
      <c r="BW936" s="210"/>
      <c r="BX936" s="210"/>
      <c r="BY936" s="210"/>
      <c r="BZ936" s="210"/>
      <c r="CA936" s="210"/>
      <c r="CB936" s="210"/>
      <c r="CC936" s="210"/>
      <c r="CD936" s="210"/>
      <c r="CE936" s="210"/>
      <c r="CF936" s="210"/>
      <c r="CG936" s="210"/>
      <c r="CH936" s="210"/>
      <c r="CI936" s="210"/>
      <c r="CJ936" s="210"/>
      <c r="CK936" s="210"/>
    </row>
    <row r="937">
      <c r="A937" s="220"/>
      <c r="F937" s="190"/>
      <c r="G937" s="190"/>
      <c r="L937" s="220"/>
      <c r="M937" s="22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4"/>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c r="BU937" s="210"/>
      <c r="BV937" s="210"/>
      <c r="BW937" s="210"/>
      <c r="BX937" s="210"/>
      <c r="BY937" s="210"/>
      <c r="BZ937" s="210"/>
      <c r="CA937" s="210"/>
      <c r="CB937" s="210"/>
      <c r="CC937" s="210"/>
      <c r="CD937" s="210"/>
      <c r="CE937" s="210"/>
      <c r="CF937" s="210"/>
      <c r="CG937" s="210"/>
      <c r="CH937" s="210"/>
      <c r="CI937" s="210"/>
      <c r="CJ937" s="210"/>
      <c r="CK937" s="210"/>
    </row>
    <row r="938">
      <c r="A938" s="220"/>
      <c r="F938" s="190"/>
      <c r="G938" s="190"/>
      <c r="L938" s="220"/>
      <c r="M938" s="22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4"/>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c r="BU938" s="210"/>
      <c r="BV938" s="210"/>
      <c r="BW938" s="210"/>
      <c r="BX938" s="210"/>
      <c r="BY938" s="210"/>
      <c r="BZ938" s="210"/>
      <c r="CA938" s="210"/>
      <c r="CB938" s="210"/>
      <c r="CC938" s="210"/>
      <c r="CD938" s="210"/>
      <c r="CE938" s="210"/>
      <c r="CF938" s="210"/>
      <c r="CG938" s="210"/>
      <c r="CH938" s="210"/>
      <c r="CI938" s="210"/>
      <c r="CJ938" s="210"/>
      <c r="CK938" s="210"/>
    </row>
    <row r="939">
      <c r="A939" s="220"/>
      <c r="F939" s="190"/>
      <c r="G939" s="190"/>
      <c r="L939" s="220"/>
      <c r="M939" s="22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4"/>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c r="BU939" s="210"/>
      <c r="BV939" s="210"/>
      <c r="BW939" s="210"/>
      <c r="BX939" s="210"/>
      <c r="BY939" s="210"/>
      <c r="BZ939" s="210"/>
      <c r="CA939" s="210"/>
      <c r="CB939" s="210"/>
      <c r="CC939" s="210"/>
      <c r="CD939" s="210"/>
      <c r="CE939" s="210"/>
      <c r="CF939" s="210"/>
      <c r="CG939" s="210"/>
      <c r="CH939" s="210"/>
      <c r="CI939" s="210"/>
      <c r="CJ939" s="210"/>
      <c r="CK939" s="210"/>
    </row>
    <row r="940">
      <c r="A940" s="220"/>
      <c r="F940" s="190"/>
      <c r="G940" s="190"/>
      <c r="L940" s="220"/>
      <c r="M940" s="22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4"/>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c r="BU940" s="210"/>
      <c r="BV940" s="210"/>
      <c r="BW940" s="210"/>
      <c r="BX940" s="210"/>
      <c r="BY940" s="210"/>
      <c r="BZ940" s="210"/>
      <c r="CA940" s="210"/>
      <c r="CB940" s="210"/>
      <c r="CC940" s="210"/>
      <c r="CD940" s="210"/>
      <c r="CE940" s="210"/>
      <c r="CF940" s="210"/>
      <c r="CG940" s="210"/>
      <c r="CH940" s="210"/>
      <c r="CI940" s="210"/>
      <c r="CJ940" s="210"/>
      <c r="CK940" s="210"/>
    </row>
    <row r="941">
      <c r="A941" s="220"/>
      <c r="F941" s="190"/>
      <c r="G941" s="190"/>
      <c r="L941" s="220"/>
      <c r="M941" s="22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4"/>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c r="BU941" s="210"/>
      <c r="BV941" s="210"/>
      <c r="BW941" s="210"/>
      <c r="BX941" s="210"/>
      <c r="BY941" s="210"/>
      <c r="BZ941" s="210"/>
      <c r="CA941" s="210"/>
      <c r="CB941" s="210"/>
      <c r="CC941" s="210"/>
      <c r="CD941" s="210"/>
      <c r="CE941" s="210"/>
      <c r="CF941" s="210"/>
      <c r="CG941" s="210"/>
      <c r="CH941" s="210"/>
      <c r="CI941" s="210"/>
      <c r="CJ941" s="210"/>
      <c r="CK941" s="210"/>
    </row>
    <row r="942">
      <c r="A942" s="220"/>
      <c r="F942" s="190"/>
      <c r="G942" s="190"/>
      <c r="L942" s="220"/>
      <c r="M942" s="22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4"/>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c r="BU942" s="210"/>
      <c r="BV942" s="210"/>
      <c r="BW942" s="210"/>
      <c r="BX942" s="210"/>
      <c r="BY942" s="210"/>
      <c r="BZ942" s="210"/>
      <c r="CA942" s="210"/>
      <c r="CB942" s="210"/>
      <c r="CC942" s="210"/>
      <c r="CD942" s="210"/>
      <c r="CE942" s="210"/>
      <c r="CF942" s="210"/>
      <c r="CG942" s="210"/>
      <c r="CH942" s="210"/>
      <c r="CI942" s="210"/>
      <c r="CJ942" s="210"/>
      <c r="CK942" s="210"/>
    </row>
    <row r="943">
      <c r="A943" s="220"/>
      <c r="F943" s="190"/>
      <c r="G943" s="190"/>
      <c r="L943" s="220"/>
      <c r="M943" s="22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4"/>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c r="BU943" s="210"/>
      <c r="BV943" s="210"/>
      <c r="BW943" s="210"/>
      <c r="BX943" s="210"/>
      <c r="BY943" s="210"/>
      <c r="BZ943" s="210"/>
      <c r="CA943" s="210"/>
      <c r="CB943" s="210"/>
      <c r="CC943" s="210"/>
      <c r="CD943" s="210"/>
      <c r="CE943" s="210"/>
      <c r="CF943" s="210"/>
      <c r="CG943" s="210"/>
      <c r="CH943" s="210"/>
      <c r="CI943" s="210"/>
      <c r="CJ943" s="210"/>
      <c r="CK943" s="210"/>
    </row>
    <row r="944">
      <c r="A944" s="220"/>
      <c r="F944" s="190"/>
      <c r="G944" s="190"/>
      <c r="L944" s="220"/>
      <c r="M944" s="22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4"/>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c r="BU944" s="210"/>
      <c r="BV944" s="210"/>
      <c r="BW944" s="210"/>
      <c r="BX944" s="210"/>
      <c r="BY944" s="210"/>
      <c r="BZ944" s="210"/>
      <c r="CA944" s="210"/>
      <c r="CB944" s="210"/>
      <c r="CC944" s="210"/>
      <c r="CD944" s="210"/>
      <c r="CE944" s="210"/>
      <c r="CF944" s="210"/>
      <c r="CG944" s="210"/>
      <c r="CH944" s="210"/>
      <c r="CI944" s="210"/>
      <c r="CJ944" s="210"/>
      <c r="CK944" s="210"/>
    </row>
    <row r="945">
      <c r="A945" s="220"/>
      <c r="F945" s="190"/>
      <c r="G945" s="190"/>
      <c r="L945" s="220"/>
      <c r="M945" s="22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4"/>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c r="BU945" s="210"/>
      <c r="BV945" s="210"/>
      <c r="BW945" s="210"/>
      <c r="BX945" s="210"/>
      <c r="BY945" s="210"/>
      <c r="BZ945" s="210"/>
      <c r="CA945" s="210"/>
      <c r="CB945" s="210"/>
      <c r="CC945" s="210"/>
      <c r="CD945" s="210"/>
      <c r="CE945" s="210"/>
      <c r="CF945" s="210"/>
      <c r="CG945" s="210"/>
      <c r="CH945" s="210"/>
      <c r="CI945" s="210"/>
      <c r="CJ945" s="210"/>
      <c r="CK945" s="210"/>
    </row>
    <row r="946">
      <c r="A946" s="220"/>
      <c r="F946" s="190"/>
      <c r="G946" s="190"/>
      <c r="L946" s="220"/>
      <c r="M946" s="22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4"/>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c r="BU946" s="210"/>
      <c r="BV946" s="210"/>
      <c r="BW946" s="210"/>
      <c r="BX946" s="210"/>
      <c r="BY946" s="210"/>
      <c r="BZ946" s="210"/>
      <c r="CA946" s="210"/>
      <c r="CB946" s="210"/>
      <c r="CC946" s="210"/>
      <c r="CD946" s="210"/>
      <c r="CE946" s="210"/>
      <c r="CF946" s="210"/>
      <c r="CG946" s="210"/>
      <c r="CH946" s="210"/>
      <c r="CI946" s="210"/>
      <c r="CJ946" s="210"/>
      <c r="CK946" s="210"/>
    </row>
    <row r="947">
      <c r="A947" s="220"/>
      <c r="F947" s="190"/>
      <c r="G947" s="190"/>
      <c r="L947" s="220"/>
      <c r="M947" s="22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4"/>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c r="BU947" s="210"/>
      <c r="BV947" s="210"/>
      <c r="BW947" s="210"/>
      <c r="BX947" s="210"/>
      <c r="BY947" s="210"/>
      <c r="BZ947" s="210"/>
      <c r="CA947" s="210"/>
      <c r="CB947" s="210"/>
      <c r="CC947" s="210"/>
      <c r="CD947" s="210"/>
      <c r="CE947" s="210"/>
      <c r="CF947" s="210"/>
      <c r="CG947" s="210"/>
      <c r="CH947" s="210"/>
      <c r="CI947" s="210"/>
      <c r="CJ947" s="210"/>
      <c r="CK947" s="210"/>
    </row>
    <row r="948">
      <c r="A948" s="220"/>
      <c r="F948" s="190"/>
      <c r="G948" s="190"/>
      <c r="L948" s="220"/>
      <c r="M948" s="22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4"/>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c r="BU948" s="210"/>
      <c r="BV948" s="210"/>
      <c r="BW948" s="210"/>
      <c r="BX948" s="210"/>
      <c r="BY948" s="210"/>
      <c r="BZ948" s="210"/>
      <c r="CA948" s="210"/>
      <c r="CB948" s="210"/>
      <c r="CC948" s="210"/>
      <c r="CD948" s="210"/>
      <c r="CE948" s="210"/>
      <c r="CF948" s="210"/>
      <c r="CG948" s="210"/>
      <c r="CH948" s="210"/>
      <c r="CI948" s="210"/>
      <c r="CJ948" s="210"/>
      <c r="CK948" s="210"/>
    </row>
    <row r="949">
      <c r="A949" s="220"/>
      <c r="F949" s="190"/>
      <c r="G949" s="190"/>
      <c r="L949" s="220"/>
      <c r="M949" s="22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4"/>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c r="BU949" s="210"/>
      <c r="BV949" s="210"/>
      <c r="BW949" s="210"/>
      <c r="BX949" s="210"/>
      <c r="BY949" s="210"/>
      <c r="BZ949" s="210"/>
      <c r="CA949" s="210"/>
      <c r="CB949" s="210"/>
      <c r="CC949" s="210"/>
      <c r="CD949" s="210"/>
      <c r="CE949" s="210"/>
      <c r="CF949" s="210"/>
      <c r="CG949" s="210"/>
      <c r="CH949" s="210"/>
      <c r="CI949" s="210"/>
      <c r="CJ949" s="210"/>
      <c r="CK949" s="210"/>
    </row>
    <row r="950">
      <c r="A950" s="220"/>
      <c r="F950" s="190"/>
      <c r="G950" s="190"/>
      <c r="L950" s="220"/>
      <c r="M950" s="22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4"/>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c r="BU950" s="210"/>
      <c r="BV950" s="210"/>
      <c r="BW950" s="210"/>
      <c r="BX950" s="210"/>
      <c r="BY950" s="210"/>
      <c r="BZ950" s="210"/>
      <c r="CA950" s="210"/>
      <c r="CB950" s="210"/>
      <c r="CC950" s="210"/>
      <c r="CD950" s="210"/>
      <c r="CE950" s="210"/>
      <c r="CF950" s="210"/>
      <c r="CG950" s="210"/>
      <c r="CH950" s="210"/>
      <c r="CI950" s="210"/>
      <c r="CJ950" s="210"/>
      <c r="CK950" s="210"/>
    </row>
    <row r="951">
      <c r="A951" s="220"/>
      <c r="F951" s="190"/>
      <c r="G951" s="190"/>
      <c r="L951" s="220"/>
      <c r="M951" s="22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4"/>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c r="BU951" s="210"/>
      <c r="BV951" s="210"/>
      <c r="BW951" s="210"/>
      <c r="BX951" s="210"/>
      <c r="BY951" s="210"/>
      <c r="BZ951" s="210"/>
      <c r="CA951" s="210"/>
      <c r="CB951" s="210"/>
      <c r="CC951" s="210"/>
      <c r="CD951" s="210"/>
      <c r="CE951" s="210"/>
      <c r="CF951" s="210"/>
      <c r="CG951" s="210"/>
      <c r="CH951" s="210"/>
      <c r="CI951" s="210"/>
      <c r="CJ951" s="210"/>
      <c r="CK951" s="210"/>
    </row>
    <row r="952">
      <c r="A952" s="220"/>
      <c r="F952" s="190"/>
      <c r="G952" s="190"/>
      <c r="L952" s="220"/>
      <c r="M952" s="22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4"/>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c r="BU952" s="210"/>
      <c r="BV952" s="210"/>
      <c r="BW952" s="210"/>
      <c r="BX952" s="210"/>
      <c r="BY952" s="210"/>
      <c r="BZ952" s="210"/>
      <c r="CA952" s="210"/>
      <c r="CB952" s="210"/>
      <c r="CC952" s="210"/>
      <c r="CD952" s="210"/>
      <c r="CE952" s="210"/>
      <c r="CF952" s="210"/>
      <c r="CG952" s="210"/>
      <c r="CH952" s="210"/>
      <c r="CI952" s="210"/>
      <c r="CJ952" s="210"/>
      <c r="CK952" s="210"/>
    </row>
    <row r="953">
      <c r="A953" s="220"/>
      <c r="F953" s="190"/>
      <c r="G953" s="190"/>
      <c r="L953" s="220"/>
      <c r="M953" s="22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4"/>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c r="BU953" s="210"/>
      <c r="BV953" s="210"/>
      <c r="BW953" s="210"/>
      <c r="BX953" s="210"/>
      <c r="BY953" s="210"/>
      <c r="BZ953" s="210"/>
      <c r="CA953" s="210"/>
      <c r="CB953" s="210"/>
      <c r="CC953" s="210"/>
      <c r="CD953" s="210"/>
      <c r="CE953" s="210"/>
      <c r="CF953" s="210"/>
      <c r="CG953" s="210"/>
      <c r="CH953" s="210"/>
      <c r="CI953" s="210"/>
      <c r="CJ953" s="210"/>
      <c r="CK953" s="210"/>
    </row>
    <row r="954">
      <c r="A954" s="220"/>
      <c r="F954" s="190"/>
      <c r="G954" s="190"/>
      <c r="L954" s="220"/>
      <c r="M954" s="22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4"/>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c r="BU954" s="210"/>
      <c r="BV954" s="210"/>
      <c r="BW954" s="210"/>
      <c r="BX954" s="210"/>
      <c r="BY954" s="210"/>
      <c r="BZ954" s="210"/>
      <c r="CA954" s="210"/>
      <c r="CB954" s="210"/>
      <c r="CC954" s="210"/>
      <c r="CD954" s="210"/>
      <c r="CE954" s="210"/>
      <c r="CF954" s="210"/>
      <c r="CG954" s="210"/>
      <c r="CH954" s="210"/>
      <c r="CI954" s="210"/>
      <c r="CJ954" s="210"/>
      <c r="CK954" s="210"/>
    </row>
    <row r="955">
      <c r="A955" s="220"/>
      <c r="F955" s="190"/>
      <c r="G955" s="190"/>
      <c r="L955" s="220"/>
      <c r="M955" s="22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4"/>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c r="BU955" s="210"/>
      <c r="BV955" s="210"/>
      <c r="BW955" s="210"/>
      <c r="BX955" s="210"/>
      <c r="BY955" s="210"/>
      <c r="BZ955" s="210"/>
      <c r="CA955" s="210"/>
      <c r="CB955" s="210"/>
      <c r="CC955" s="210"/>
      <c r="CD955" s="210"/>
      <c r="CE955" s="210"/>
      <c r="CF955" s="210"/>
      <c r="CG955" s="210"/>
      <c r="CH955" s="210"/>
      <c r="CI955" s="210"/>
      <c r="CJ955" s="210"/>
      <c r="CK955" s="210"/>
    </row>
    <row r="956">
      <c r="A956" s="220"/>
      <c r="F956" s="190"/>
      <c r="G956" s="190"/>
      <c r="L956" s="220"/>
      <c r="M956" s="22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4"/>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c r="BU956" s="210"/>
      <c r="BV956" s="210"/>
      <c r="BW956" s="210"/>
      <c r="BX956" s="210"/>
      <c r="BY956" s="210"/>
      <c r="BZ956" s="210"/>
      <c r="CA956" s="210"/>
      <c r="CB956" s="210"/>
      <c r="CC956" s="210"/>
      <c r="CD956" s="210"/>
      <c r="CE956" s="210"/>
      <c r="CF956" s="210"/>
      <c r="CG956" s="210"/>
      <c r="CH956" s="210"/>
      <c r="CI956" s="210"/>
      <c r="CJ956" s="210"/>
      <c r="CK956" s="210"/>
    </row>
    <row r="957">
      <c r="A957" s="220"/>
      <c r="F957" s="190"/>
      <c r="G957" s="190"/>
      <c r="L957" s="220"/>
      <c r="M957" s="22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4"/>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c r="BU957" s="210"/>
      <c r="BV957" s="210"/>
      <c r="BW957" s="210"/>
      <c r="BX957" s="210"/>
      <c r="BY957" s="210"/>
      <c r="BZ957" s="210"/>
      <c r="CA957" s="210"/>
      <c r="CB957" s="210"/>
      <c r="CC957" s="210"/>
      <c r="CD957" s="210"/>
      <c r="CE957" s="210"/>
      <c r="CF957" s="210"/>
      <c r="CG957" s="210"/>
      <c r="CH957" s="210"/>
      <c r="CI957" s="210"/>
      <c r="CJ957" s="210"/>
      <c r="CK957" s="210"/>
    </row>
    <row r="958">
      <c r="A958" s="220"/>
      <c r="F958" s="190"/>
      <c r="G958" s="190"/>
      <c r="L958" s="220"/>
      <c r="M958" s="22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4"/>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c r="BU958" s="210"/>
      <c r="BV958" s="210"/>
      <c r="BW958" s="210"/>
      <c r="BX958" s="210"/>
      <c r="BY958" s="210"/>
      <c r="BZ958" s="210"/>
      <c r="CA958" s="210"/>
      <c r="CB958" s="210"/>
      <c r="CC958" s="210"/>
      <c r="CD958" s="210"/>
      <c r="CE958" s="210"/>
      <c r="CF958" s="210"/>
      <c r="CG958" s="210"/>
      <c r="CH958" s="210"/>
      <c r="CI958" s="210"/>
      <c r="CJ958" s="210"/>
      <c r="CK958" s="210"/>
    </row>
    <row r="959">
      <c r="A959" s="220"/>
      <c r="F959" s="190"/>
      <c r="G959" s="190"/>
      <c r="L959" s="220"/>
      <c r="M959" s="22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4"/>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c r="BU959" s="210"/>
      <c r="BV959" s="210"/>
      <c r="BW959" s="210"/>
      <c r="BX959" s="210"/>
      <c r="BY959" s="210"/>
      <c r="BZ959" s="210"/>
      <c r="CA959" s="210"/>
      <c r="CB959" s="210"/>
      <c r="CC959" s="210"/>
      <c r="CD959" s="210"/>
      <c r="CE959" s="210"/>
      <c r="CF959" s="210"/>
      <c r="CG959" s="210"/>
      <c r="CH959" s="210"/>
      <c r="CI959" s="210"/>
      <c r="CJ959" s="210"/>
      <c r="CK959" s="210"/>
    </row>
    <row r="960">
      <c r="A960" s="220"/>
      <c r="F960" s="190"/>
      <c r="G960" s="190"/>
      <c r="L960" s="220"/>
      <c r="M960" s="22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4"/>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c r="BU960" s="210"/>
      <c r="BV960" s="210"/>
      <c r="BW960" s="210"/>
      <c r="BX960" s="210"/>
      <c r="BY960" s="210"/>
      <c r="BZ960" s="210"/>
      <c r="CA960" s="210"/>
      <c r="CB960" s="210"/>
      <c r="CC960" s="210"/>
      <c r="CD960" s="210"/>
      <c r="CE960" s="210"/>
      <c r="CF960" s="210"/>
      <c r="CG960" s="210"/>
      <c r="CH960" s="210"/>
      <c r="CI960" s="210"/>
      <c r="CJ960" s="210"/>
      <c r="CK960" s="210"/>
    </row>
    <row r="961">
      <c r="A961" s="220"/>
      <c r="F961" s="190"/>
      <c r="G961" s="190"/>
      <c r="L961" s="220"/>
      <c r="M961" s="22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4"/>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c r="BU961" s="210"/>
      <c r="BV961" s="210"/>
      <c r="BW961" s="210"/>
      <c r="BX961" s="210"/>
      <c r="BY961" s="210"/>
      <c r="BZ961" s="210"/>
      <c r="CA961" s="210"/>
      <c r="CB961" s="210"/>
      <c r="CC961" s="210"/>
      <c r="CD961" s="210"/>
      <c r="CE961" s="210"/>
      <c r="CF961" s="210"/>
      <c r="CG961" s="210"/>
      <c r="CH961" s="210"/>
      <c r="CI961" s="210"/>
      <c r="CJ961" s="210"/>
      <c r="CK961" s="210"/>
    </row>
    <row r="962">
      <c r="A962" s="220"/>
      <c r="F962" s="190"/>
      <c r="G962" s="190"/>
      <c r="L962" s="220"/>
      <c r="M962" s="22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4"/>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c r="BU962" s="210"/>
      <c r="BV962" s="210"/>
      <c r="BW962" s="210"/>
      <c r="BX962" s="210"/>
      <c r="BY962" s="210"/>
      <c r="BZ962" s="210"/>
      <c r="CA962" s="210"/>
      <c r="CB962" s="210"/>
      <c r="CC962" s="210"/>
      <c r="CD962" s="210"/>
      <c r="CE962" s="210"/>
      <c r="CF962" s="210"/>
      <c r="CG962" s="210"/>
      <c r="CH962" s="210"/>
      <c r="CI962" s="210"/>
      <c r="CJ962" s="210"/>
      <c r="CK962" s="210"/>
    </row>
    <row r="963">
      <c r="A963" s="220"/>
      <c r="F963" s="190"/>
      <c r="G963" s="190"/>
      <c r="L963" s="220"/>
      <c r="M963" s="22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4"/>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c r="BU963" s="210"/>
      <c r="BV963" s="210"/>
      <c r="BW963" s="210"/>
      <c r="BX963" s="210"/>
      <c r="BY963" s="210"/>
      <c r="BZ963" s="210"/>
      <c r="CA963" s="210"/>
      <c r="CB963" s="210"/>
      <c r="CC963" s="210"/>
      <c r="CD963" s="210"/>
      <c r="CE963" s="210"/>
      <c r="CF963" s="210"/>
      <c r="CG963" s="210"/>
      <c r="CH963" s="210"/>
      <c r="CI963" s="210"/>
      <c r="CJ963" s="210"/>
      <c r="CK963" s="210"/>
    </row>
    <row r="964">
      <c r="A964" s="220"/>
      <c r="F964" s="190"/>
      <c r="G964" s="190"/>
      <c r="L964" s="220"/>
      <c r="M964" s="22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4"/>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c r="BU964" s="210"/>
      <c r="BV964" s="210"/>
      <c r="BW964" s="210"/>
      <c r="BX964" s="210"/>
      <c r="BY964" s="210"/>
      <c r="BZ964" s="210"/>
      <c r="CA964" s="210"/>
      <c r="CB964" s="210"/>
      <c r="CC964" s="210"/>
      <c r="CD964" s="210"/>
      <c r="CE964" s="210"/>
      <c r="CF964" s="210"/>
      <c r="CG964" s="210"/>
      <c r="CH964" s="210"/>
      <c r="CI964" s="210"/>
      <c r="CJ964" s="210"/>
      <c r="CK964" s="210"/>
    </row>
    <row r="965">
      <c r="A965" s="220"/>
      <c r="F965" s="190"/>
      <c r="G965" s="190"/>
      <c r="L965" s="220"/>
      <c r="M965" s="22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4"/>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c r="BU965" s="210"/>
      <c r="BV965" s="210"/>
      <c r="BW965" s="210"/>
      <c r="BX965" s="210"/>
      <c r="BY965" s="210"/>
      <c r="BZ965" s="210"/>
      <c r="CA965" s="210"/>
      <c r="CB965" s="210"/>
      <c r="CC965" s="210"/>
      <c r="CD965" s="210"/>
      <c r="CE965" s="210"/>
      <c r="CF965" s="210"/>
      <c r="CG965" s="210"/>
      <c r="CH965" s="210"/>
      <c r="CI965" s="210"/>
      <c r="CJ965" s="210"/>
      <c r="CK965" s="210"/>
    </row>
    <row r="966">
      <c r="A966" s="220"/>
      <c r="F966" s="190"/>
      <c r="G966" s="190"/>
      <c r="L966" s="220"/>
      <c r="M966" s="22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4"/>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c r="BU966" s="210"/>
      <c r="BV966" s="210"/>
      <c r="BW966" s="210"/>
      <c r="BX966" s="210"/>
      <c r="BY966" s="210"/>
      <c r="BZ966" s="210"/>
      <c r="CA966" s="210"/>
      <c r="CB966" s="210"/>
      <c r="CC966" s="210"/>
      <c r="CD966" s="210"/>
      <c r="CE966" s="210"/>
      <c r="CF966" s="210"/>
      <c r="CG966" s="210"/>
      <c r="CH966" s="210"/>
      <c r="CI966" s="210"/>
      <c r="CJ966" s="210"/>
      <c r="CK966" s="210"/>
    </row>
    <row r="967">
      <c r="A967" s="220"/>
      <c r="F967" s="190"/>
      <c r="G967" s="190"/>
      <c r="L967" s="220"/>
      <c r="M967" s="22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4"/>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c r="BU967" s="210"/>
      <c r="BV967" s="210"/>
      <c r="BW967" s="210"/>
      <c r="BX967" s="210"/>
      <c r="BY967" s="210"/>
      <c r="BZ967" s="210"/>
      <c r="CA967" s="210"/>
      <c r="CB967" s="210"/>
      <c r="CC967" s="210"/>
      <c r="CD967" s="210"/>
      <c r="CE967" s="210"/>
      <c r="CF967" s="210"/>
      <c r="CG967" s="210"/>
      <c r="CH967" s="210"/>
      <c r="CI967" s="210"/>
      <c r="CJ967" s="210"/>
      <c r="CK967" s="210"/>
    </row>
    <row r="968">
      <c r="A968" s="220"/>
      <c r="F968" s="190"/>
      <c r="G968" s="190"/>
      <c r="L968" s="220"/>
      <c r="M968" s="22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4"/>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c r="BU968" s="210"/>
      <c r="BV968" s="210"/>
      <c r="BW968" s="210"/>
      <c r="BX968" s="210"/>
      <c r="BY968" s="210"/>
      <c r="BZ968" s="210"/>
      <c r="CA968" s="210"/>
      <c r="CB968" s="210"/>
      <c r="CC968" s="210"/>
      <c r="CD968" s="210"/>
      <c r="CE968" s="210"/>
      <c r="CF968" s="210"/>
      <c r="CG968" s="210"/>
      <c r="CH968" s="210"/>
      <c r="CI968" s="210"/>
      <c r="CJ968" s="210"/>
      <c r="CK968" s="210"/>
    </row>
    <row r="969">
      <c r="A969" s="220"/>
      <c r="F969" s="190"/>
      <c r="G969" s="190"/>
      <c r="L969" s="220"/>
      <c r="M969" s="22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4"/>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c r="BU969" s="210"/>
      <c r="BV969" s="210"/>
      <c r="BW969" s="210"/>
      <c r="BX969" s="210"/>
      <c r="BY969" s="210"/>
      <c r="BZ969" s="210"/>
      <c r="CA969" s="210"/>
      <c r="CB969" s="210"/>
      <c r="CC969" s="210"/>
      <c r="CD969" s="210"/>
      <c r="CE969" s="210"/>
      <c r="CF969" s="210"/>
      <c r="CG969" s="210"/>
      <c r="CH969" s="210"/>
      <c r="CI969" s="210"/>
      <c r="CJ969" s="210"/>
      <c r="CK969" s="210"/>
    </row>
    <row r="970">
      <c r="A970" s="220"/>
      <c r="F970" s="190"/>
      <c r="G970" s="190"/>
      <c r="L970" s="220"/>
      <c r="M970" s="22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4"/>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c r="BU970" s="210"/>
      <c r="BV970" s="210"/>
      <c r="BW970" s="210"/>
      <c r="BX970" s="210"/>
      <c r="BY970" s="210"/>
      <c r="BZ970" s="210"/>
      <c r="CA970" s="210"/>
      <c r="CB970" s="210"/>
      <c r="CC970" s="210"/>
      <c r="CD970" s="210"/>
      <c r="CE970" s="210"/>
      <c r="CF970" s="210"/>
      <c r="CG970" s="210"/>
      <c r="CH970" s="210"/>
      <c r="CI970" s="210"/>
      <c r="CJ970" s="210"/>
      <c r="CK970" s="210"/>
    </row>
    <row r="971">
      <c r="A971" s="220"/>
      <c r="F971" s="190"/>
      <c r="G971" s="190"/>
      <c r="L971" s="220"/>
      <c r="M971" s="22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4"/>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c r="BU971" s="210"/>
      <c r="BV971" s="210"/>
      <c r="BW971" s="210"/>
      <c r="BX971" s="210"/>
      <c r="BY971" s="210"/>
      <c r="BZ971" s="210"/>
      <c r="CA971" s="210"/>
      <c r="CB971" s="210"/>
      <c r="CC971" s="210"/>
      <c r="CD971" s="210"/>
      <c r="CE971" s="210"/>
      <c r="CF971" s="210"/>
      <c r="CG971" s="210"/>
      <c r="CH971" s="210"/>
      <c r="CI971" s="210"/>
      <c r="CJ971" s="210"/>
      <c r="CK971" s="210"/>
    </row>
    <row r="972">
      <c r="A972" s="220"/>
      <c r="F972" s="190"/>
      <c r="G972" s="190"/>
      <c r="L972" s="220"/>
      <c r="M972" s="22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4"/>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c r="BU972" s="210"/>
      <c r="BV972" s="210"/>
      <c r="BW972" s="210"/>
      <c r="BX972" s="210"/>
      <c r="BY972" s="210"/>
      <c r="BZ972" s="210"/>
      <c r="CA972" s="210"/>
      <c r="CB972" s="210"/>
      <c r="CC972" s="210"/>
      <c r="CD972" s="210"/>
      <c r="CE972" s="210"/>
      <c r="CF972" s="210"/>
      <c r="CG972" s="210"/>
      <c r="CH972" s="210"/>
      <c r="CI972" s="210"/>
      <c r="CJ972" s="210"/>
      <c r="CK972" s="210"/>
    </row>
    <row r="973">
      <c r="A973" s="220"/>
      <c r="F973" s="190"/>
      <c r="G973" s="190"/>
      <c r="L973" s="220"/>
      <c r="M973" s="22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4"/>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c r="BU973" s="210"/>
      <c r="BV973" s="210"/>
      <c r="BW973" s="210"/>
      <c r="BX973" s="210"/>
      <c r="BY973" s="210"/>
      <c r="BZ973" s="210"/>
      <c r="CA973" s="210"/>
      <c r="CB973" s="210"/>
      <c r="CC973" s="210"/>
      <c r="CD973" s="210"/>
      <c r="CE973" s="210"/>
      <c r="CF973" s="210"/>
      <c r="CG973" s="210"/>
      <c r="CH973" s="210"/>
      <c r="CI973" s="210"/>
      <c r="CJ973" s="210"/>
      <c r="CK973" s="210"/>
    </row>
    <row r="974">
      <c r="A974" s="220"/>
      <c r="F974" s="190"/>
      <c r="G974" s="190"/>
      <c r="L974" s="220"/>
      <c r="M974" s="22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4"/>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c r="BU974" s="210"/>
      <c r="BV974" s="210"/>
      <c r="BW974" s="210"/>
      <c r="BX974" s="210"/>
      <c r="BY974" s="210"/>
      <c r="BZ974" s="210"/>
      <c r="CA974" s="210"/>
      <c r="CB974" s="210"/>
      <c r="CC974" s="210"/>
      <c r="CD974" s="210"/>
      <c r="CE974" s="210"/>
      <c r="CF974" s="210"/>
      <c r="CG974" s="210"/>
      <c r="CH974" s="210"/>
      <c r="CI974" s="210"/>
      <c r="CJ974" s="210"/>
      <c r="CK974" s="210"/>
    </row>
    <row r="975">
      <c r="A975" s="220"/>
      <c r="F975" s="190"/>
      <c r="G975" s="190"/>
      <c r="L975" s="220"/>
      <c r="M975" s="22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4"/>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c r="BU975" s="210"/>
      <c r="BV975" s="210"/>
      <c r="BW975" s="210"/>
      <c r="BX975" s="210"/>
      <c r="BY975" s="210"/>
      <c r="BZ975" s="210"/>
      <c r="CA975" s="210"/>
      <c r="CB975" s="210"/>
      <c r="CC975" s="210"/>
      <c r="CD975" s="210"/>
      <c r="CE975" s="210"/>
      <c r="CF975" s="210"/>
      <c r="CG975" s="210"/>
      <c r="CH975" s="210"/>
      <c r="CI975" s="210"/>
      <c r="CJ975" s="210"/>
      <c r="CK975" s="210"/>
    </row>
    <row r="976">
      <c r="A976" s="220"/>
      <c r="F976" s="190"/>
      <c r="G976" s="190"/>
      <c r="L976" s="220"/>
      <c r="M976" s="22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4"/>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c r="BU976" s="210"/>
      <c r="BV976" s="210"/>
      <c r="BW976" s="210"/>
      <c r="BX976" s="210"/>
      <c r="BY976" s="210"/>
      <c r="BZ976" s="210"/>
      <c r="CA976" s="210"/>
      <c r="CB976" s="210"/>
      <c r="CC976" s="210"/>
      <c r="CD976" s="210"/>
      <c r="CE976" s="210"/>
      <c r="CF976" s="210"/>
      <c r="CG976" s="210"/>
      <c r="CH976" s="210"/>
      <c r="CI976" s="210"/>
      <c r="CJ976" s="210"/>
      <c r="CK976" s="210"/>
    </row>
    <row r="977">
      <c r="A977" s="220"/>
      <c r="F977" s="190"/>
      <c r="G977" s="190"/>
      <c r="L977" s="220"/>
      <c r="M977" s="22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4"/>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c r="BU977" s="210"/>
      <c r="BV977" s="210"/>
      <c r="BW977" s="210"/>
      <c r="BX977" s="210"/>
      <c r="BY977" s="210"/>
      <c r="BZ977" s="210"/>
      <c r="CA977" s="210"/>
      <c r="CB977" s="210"/>
      <c r="CC977" s="210"/>
      <c r="CD977" s="210"/>
      <c r="CE977" s="210"/>
      <c r="CF977" s="210"/>
      <c r="CG977" s="210"/>
      <c r="CH977" s="210"/>
      <c r="CI977" s="210"/>
      <c r="CJ977" s="210"/>
      <c r="CK977" s="210"/>
    </row>
    <row r="978">
      <c r="A978" s="220"/>
      <c r="F978" s="190"/>
      <c r="G978" s="190"/>
      <c r="L978" s="220"/>
      <c r="M978" s="22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4"/>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c r="BU978" s="210"/>
      <c r="BV978" s="210"/>
      <c r="BW978" s="210"/>
      <c r="BX978" s="210"/>
      <c r="BY978" s="210"/>
      <c r="BZ978" s="210"/>
      <c r="CA978" s="210"/>
      <c r="CB978" s="210"/>
      <c r="CC978" s="210"/>
      <c r="CD978" s="210"/>
      <c r="CE978" s="210"/>
      <c r="CF978" s="210"/>
      <c r="CG978" s="210"/>
      <c r="CH978" s="210"/>
      <c r="CI978" s="210"/>
      <c r="CJ978" s="210"/>
      <c r="CK978" s="210"/>
    </row>
    <row r="979">
      <c r="A979" s="220"/>
      <c r="F979" s="190"/>
      <c r="G979" s="190"/>
      <c r="L979" s="220"/>
      <c r="M979" s="22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4"/>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c r="BU979" s="210"/>
      <c r="BV979" s="210"/>
      <c r="BW979" s="210"/>
      <c r="BX979" s="210"/>
      <c r="BY979" s="210"/>
      <c r="BZ979" s="210"/>
      <c r="CA979" s="210"/>
      <c r="CB979" s="210"/>
      <c r="CC979" s="210"/>
      <c r="CD979" s="210"/>
      <c r="CE979" s="210"/>
      <c r="CF979" s="210"/>
      <c r="CG979" s="210"/>
      <c r="CH979" s="210"/>
      <c r="CI979" s="210"/>
      <c r="CJ979" s="210"/>
      <c r="CK979" s="210"/>
    </row>
    <row r="980">
      <c r="A980" s="220"/>
      <c r="F980" s="190"/>
      <c r="G980" s="190"/>
      <c r="L980" s="220"/>
      <c r="M980" s="22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4"/>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c r="BU980" s="210"/>
      <c r="BV980" s="210"/>
      <c r="BW980" s="210"/>
      <c r="BX980" s="210"/>
      <c r="BY980" s="210"/>
      <c r="BZ980" s="210"/>
      <c r="CA980" s="210"/>
      <c r="CB980" s="210"/>
      <c r="CC980" s="210"/>
      <c r="CD980" s="210"/>
      <c r="CE980" s="210"/>
      <c r="CF980" s="210"/>
      <c r="CG980" s="210"/>
      <c r="CH980" s="210"/>
      <c r="CI980" s="210"/>
      <c r="CJ980" s="210"/>
      <c r="CK980" s="210"/>
    </row>
    <row r="981">
      <c r="A981" s="220"/>
      <c r="F981" s="190"/>
      <c r="G981" s="190"/>
      <c r="L981" s="220"/>
      <c r="M981" s="22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4"/>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c r="BU981" s="210"/>
      <c r="BV981" s="210"/>
      <c r="BW981" s="210"/>
      <c r="BX981" s="210"/>
      <c r="BY981" s="210"/>
      <c r="BZ981" s="210"/>
      <c r="CA981" s="210"/>
      <c r="CB981" s="210"/>
      <c r="CC981" s="210"/>
      <c r="CD981" s="210"/>
      <c r="CE981" s="210"/>
      <c r="CF981" s="210"/>
      <c r="CG981" s="210"/>
      <c r="CH981" s="210"/>
      <c r="CI981" s="210"/>
      <c r="CJ981" s="210"/>
      <c r="CK981" s="210"/>
    </row>
    <row r="982">
      <c r="A982" s="220"/>
      <c r="F982" s="190"/>
      <c r="G982" s="190"/>
      <c r="L982" s="220"/>
      <c r="M982" s="22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4"/>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c r="BU982" s="210"/>
      <c r="BV982" s="210"/>
      <c r="BW982" s="210"/>
      <c r="BX982" s="210"/>
      <c r="BY982" s="210"/>
      <c r="BZ982" s="210"/>
      <c r="CA982" s="210"/>
      <c r="CB982" s="210"/>
      <c r="CC982" s="210"/>
      <c r="CD982" s="210"/>
      <c r="CE982" s="210"/>
      <c r="CF982" s="210"/>
      <c r="CG982" s="210"/>
      <c r="CH982" s="210"/>
      <c r="CI982" s="210"/>
      <c r="CJ982" s="210"/>
      <c r="CK982" s="210"/>
    </row>
    <row r="983">
      <c r="A983" s="220"/>
      <c r="F983" s="190"/>
      <c r="G983" s="190"/>
      <c r="L983" s="220"/>
      <c r="M983" s="22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M983" s="214"/>
      <c r="AN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c r="BU983" s="210"/>
      <c r="BV983" s="210"/>
      <c r="BW983" s="210"/>
      <c r="BX983" s="210"/>
      <c r="BY983" s="210"/>
      <c r="BZ983" s="210"/>
      <c r="CA983" s="210"/>
      <c r="CB983" s="210"/>
      <c r="CC983" s="210"/>
      <c r="CD983" s="210"/>
      <c r="CE983" s="210"/>
      <c r="CF983" s="210"/>
      <c r="CG983" s="210"/>
      <c r="CH983" s="210"/>
      <c r="CI983" s="210"/>
      <c r="CJ983" s="210"/>
      <c r="CK983" s="210"/>
    </row>
    <row r="984">
      <c r="A984" s="220"/>
      <c r="F984" s="190"/>
      <c r="G984" s="190"/>
      <c r="L984" s="220"/>
      <c r="M984" s="22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M984" s="214"/>
      <c r="AN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c r="BU984" s="210"/>
      <c r="BV984" s="210"/>
      <c r="BW984" s="210"/>
      <c r="BX984" s="210"/>
      <c r="BY984" s="210"/>
      <c r="BZ984" s="210"/>
      <c r="CA984" s="210"/>
      <c r="CB984" s="210"/>
      <c r="CC984" s="210"/>
      <c r="CD984" s="210"/>
      <c r="CE984" s="210"/>
      <c r="CF984" s="210"/>
      <c r="CG984" s="210"/>
      <c r="CH984" s="210"/>
      <c r="CI984" s="210"/>
      <c r="CJ984" s="210"/>
      <c r="CK984" s="210"/>
    </row>
    <row r="985">
      <c r="A985" s="220"/>
      <c r="F985" s="190"/>
      <c r="G985" s="190"/>
      <c r="L985" s="220"/>
      <c r="M985" s="22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M985" s="214"/>
      <c r="AN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c r="BU985" s="210"/>
      <c r="BV985" s="210"/>
      <c r="BW985" s="210"/>
      <c r="BX985" s="210"/>
      <c r="BY985" s="210"/>
      <c r="BZ985" s="210"/>
      <c r="CA985" s="210"/>
      <c r="CB985" s="210"/>
      <c r="CC985" s="210"/>
      <c r="CD985" s="210"/>
      <c r="CE985" s="210"/>
      <c r="CF985" s="210"/>
      <c r="CG985" s="210"/>
      <c r="CH985" s="210"/>
      <c r="CI985" s="210"/>
      <c r="CJ985" s="210"/>
      <c r="CK985" s="210"/>
    </row>
    <row r="986">
      <c r="A986" s="220"/>
      <c r="F986" s="190"/>
      <c r="G986" s="190"/>
      <c r="L986" s="220"/>
      <c r="M986" s="22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M986" s="214"/>
      <c r="AN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c r="BU986" s="210"/>
      <c r="BV986" s="210"/>
      <c r="BW986" s="210"/>
      <c r="BX986" s="210"/>
      <c r="BY986" s="210"/>
      <c r="BZ986" s="210"/>
      <c r="CA986" s="210"/>
      <c r="CB986" s="210"/>
      <c r="CC986" s="210"/>
      <c r="CD986" s="210"/>
      <c r="CE986" s="210"/>
      <c r="CF986" s="210"/>
      <c r="CG986" s="210"/>
      <c r="CH986" s="210"/>
      <c r="CI986" s="210"/>
      <c r="CJ986" s="210"/>
      <c r="CK986" s="210"/>
    </row>
    <row r="987">
      <c r="A987" s="220"/>
      <c r="F987" s="190"/>
      <c r="G987" s="190"/>
      <c r="L987" s="220"/>
      <c r="M987" s="22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M987" s="214"/>
      <c r="AN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c r="BU987" s="210"/>
      <c r="BV987" s="210"/>
      <c r="BW987" s="210"/>
      <c r="BX987" s="210"/>
      <c r="BY987" s="210"/>
      <c r="BZ987" s="210"/>
      <c r="CA987" s="210"/>
      <c r="CB987" s="210"/>
      <c r="CC987" s="210"/>
      <c r="CD987" s="210"/>
      <c r="CE987" s="210"/>
      <c r="CF987" s="210"/>
      <c r="CG987" s="210"/>
      <c r="CH987" s="210"/>
      <c r="CI987" s="210"/>
      <c r="CJ987" s="210"/>
      <c r="CK987" s="210"/>
    </row>
    <row r="988">
      <c r="A988" s="220"/>
      <c r="F988" s="190"/>
      <c r="G988" s="190"/>
      <c r="L988" s="220"/>
      <c r="M988" s="22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M988" s="214"/>
      <c r="AN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c r="BU988" s="210"/>
      <c r="BV988" s="210"/>
      <c r="BW988" s="210"/>
      <c r="BX988" s="210"/>
      <c r="BY988" s="210"/>
      <c r="BZ988" s="210"/>
      <c r="CA988" s="210"/>
      <c r="CB988" s="210"/>
      <c r="CC988" s="210"/>
      <c r="CD988" s="210"/>
      <c r="CE988" s="210"/>
      <c r="CF988" s="210"/>
      <c r="CG988" s="210"/>
      <c r="CH988" s="210"/>
      <c r="CI988" s="210"/>
      <c r="CJ988" s="210"/>
      <c r="CK988" s="210"/>
    </row>
    <row r="989">
      <c r="A989" s="220"/>
      <c r="F989" s="190"/>
      <c r="G989" s="190"/>
      <c r="L989" s="220"/>
      <c r="M989" s="22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M989" s="214"/>
      <c r="AN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c r="BU989" s="210"/>
      <c r="BV989" s="210"/>
      <c r="BW989" s="210"/>
      <c r="BX989" s="210"/>
      <c r="BY989" s="210"/>
      <c r="BZ989" s="210"/>
      <c r="CA989" s="210"/>
      <c r="CB989" s="210"/>
      <c r="CC989" s="210"/>
      <c r="CD989" s="210"/>
      <c r="CE989" s="210"/>
      <c r="CF989" s="210"/>
      <c r="CG989" s="210"/>
      <c r="CH989" s="210"/>
      <c r="CI989" s="210"/>
      <c r="CJ989" s="210"/>
      <c r="CK989" s="210"/>
    </row>
    <row r="990">
      <c r="A990" s="220"/>
      <c r="F990" s="190"/>
      <c r="G990" s="190"/>
      <c r="L990" s="220"/>
      <c r="M990" s="22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M990" s="214"/>
      <c r="AN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c r="BU990" s="210"/>
      <c r="BV990" s="210"/>
      <c r="BW990" s="210"/>
      <c r="BX990" s="210"/>
      <c r="BY990" s="210"/>
      <c r="BZ990" s="210"/>
      <c r="CA990" s="210"/>
      <c r="CB990" s="210"/>
      <c r="CC990" s="210"/>
      <c r="CD990" s="210"/>
      <c r="CE990" s="210"/>
      <c r="CF990" s="210"/>
      <c r="CG990" s="210"/>
      <c r="CH990" s="210"/>
      <c r="CI990" s="210"/>
      <c r="CJ990" s="210"/>
      <c r="CK990" s="210"/>
    </row>
    <row r="991">
      <c r="A991" s="220"/>
      <c r="F991" s="190"/>
      <c r="G991" s="190"/>
      <c r="L991" s="220"/>
      <c r="M991" s="22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M991" s="214"/>
      <c r="AN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c r="BU991" s="210"/>
      <c r="BV991" s="210"/>
      <c r="BW991" s="210"/>
      <c r="BX991" s="210"/>
      <c r="BY991" s="210"/>
      <c r="BZ991" s="210"/>
      <c r="CA991" s="210"/>
      <c r="CB991" s="210"/>
      <c r="CC991" s="210"/>
      <c r="CD991" s="210"/>
      <c r="CE991" s="210"/>
      <c r="CF991" s="210"/>
      <c r="CG991" s="210"/>
      <c r="CH991" s="210"/>
      <c r="CI991" s="210"/>
      <c r="CJ991" s="210"/>
      <c r="CK991" s="210"/>
    </row>
    <row r="992">
      <c r="A992" s="220"/>
      <c r="F992" s="190"/>
      <c r="G992" s="190"/>
      <c r="L992" s="220"/>
      <c r="M992" s="22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M992" s="214"/>
      <c r="AN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c r="BU992" s="210"/>
      <c r="BV992" s="210"/>
      <c r="BW992" s="210"/>
      <c r="BX992" s="210"/>
      <c r="BY992" s="210"/>
      <c r="BZ992" s="210"/>
      <c r="CA992" s="210"/>
      <c r="CB992" s="210"/>
      <c r="CC992" s="210"/>
      <c r="CD992" s="210"/>
      <c r="CE992" s="210"/>
      <c r="CF992" s="210"/>
      <c r="CG992" s="210"/>
      <c r="CH992" s="210"/>
      <c r="CI992" s="210"/>
      <c r="CJ992" s="210"/>
      <c r="CK992" s="210"/>
    </row>
    <row r="993">
      <c r="A993" s="220"/>
      <c r="F993" s="190"/>
      <c r="G993" s="190"/>
      <c r="L993" s="220"/>
      <c r="M993" s="22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M993" s="214"/>
      <c r="AN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c r="BU993" s="210"/>
      <c r="BV993" s="210"/>
      <c r="BW993" s="210"/>
      <c r="BX993" s="210"/>
      <c r="BY993" s="210"/>
      <c r="BZ993" s="210"/>
      <c r="CA993" s="210"/>
      <c r="CB993" s="210"/>
      <c r="CC993" s="210"/>
      <c r="CD993" s="210"/>
      <c r="CE993" s="210"/>
      <c r="CF993" s="210"/>
      <c r="CG993" s="210"/>
      <c r="CH993" s="210"/>
      <c r="CI993" s="210"/>
      <c r="CJ993" s="210"/>
      <c r="CK993" s="210"/>
    </row>
    <row r="994">
      <c r="A994" s="220"/>
      <c r="F994" s="190"/>
      <c r="G994" s="190"/>
      <c r="L994" s="220"/>
      <c r="M994" s="22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M994" s="214"/>
      <c r="AN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c r="BU994" s="210"/>
      <c r="BV994" s="210"/>
      <c r="BW994" s="210"/>
      <c r="BX994" s="210"/>
      <c r="BY994" s="210"/>
      <c r="BZ994" s="210"/>
      <c r="CA994" s="210"/>
      <c r="CB994" s="210"/>
      <c r="CC994" s="210"/>
      <c r="CD994" s="210"/>
      <c r="CE994" s="210"/>
      <c r="CF994" s="210"/>
      <c r="CG994" s="210"/>
      <c r="CH994" s="210"/>
      <c r="CI994" s="210"/>
      <c r="CJ994" s="210"/>
      <c r="CK994" s="210"/>
    </row>
    <row r="995">
      <c r="A995" s="220"/>
      <c r="F995" s="190"/>
      <c r="G995" s="190"/>
      <c r="L995" s="220"/>
      <c r="M995" s="22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M995" s="214"/>
      <c r="AN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c r="BU995" s="210"/>
      <c r="BV995" s="210"/>
      <c r="BW995" s="210"/>
      <c r="BX995" s="210"/>
      <c r="BY995" s="210"/>
      <c r="BZ995" s="210"/>
      <c r="CA995" s="210"/>
      <c r="CB995" s="210"/>
      <c r="CC995" s="210"/>
      <c r="CD995" s="210"/>
      <c r="CE995" s="210"/>
      <c r="CF995" s="210"/>
      <c r="CG995" s="210"/>
      <c r="CH995" s="210"/>
      <c r="CI995" s="210"/>
      <c r="CJ995" s="210"/>
      <c r="CK995" s="210"/>
    </row>
    <row r="996">
      <c r="A996" s="220"/>
      <c r="F996" s="190"/>
      <c r="G996" s="190"/>
      <c r="L996" s="220"/>
      <c r="M996" s="22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M996" s="214"/>
      <c r="AN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c r="BU996" s="210"/>
      <c r="BV996" s="210"/>
      <c r="BW996" s="210"/>
      <c r="BX996" s="210"/>
      <c r="BY996" s="210"/>
      <c r="BZ996" s="210"/>
      <c r="CA996" s="210"/>
      <c r="CB996" s="210"/>
      <c r="CC996" s="210"/>
      <c r="CD996" s="210"/>
      <c r="CE996" s="210"/>
      <c r="CF996" s="210"/>
      <c r="CG996" s="210"/>
      <c r="CH996" s="210"/>
      <c r="CI996" s="210"/>
      <c r="CJ996" s="210"/>
      <c r="CK996" s="210"/>
    </row>
    <row r="997">
      <c r="A997" s="220"/>
      <c r="F997" s="190"/>
      <c r="G997" s="190"/>
      <c r="L997" s="220"/>
      <c r="M997" s="22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M997" s="214"/>
      <c r="AN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c r="BU997" s="210"/>
      <c r="BV997" s="210"/>
      <c r="BW997" s="210"/>
      <c r="BX997" s="210"/>
      <c r="BY997" s="210"/>
      <c r="BZ997" s="210"/>
      <c r="CA997" s="210"/>
      <c r="CB997" s="210"/>
      <c r="CC997" s="210"/>
      <c r="CD997" s="210"/>
      <c r="CE997" s="210"/>
      <c r="CF997" s="210"/>
      <c r="CG997" s="210"/>
      <c r="CH997" s="210"/>
      <c r="CI997" s="210"/>
      <c r="CJ997" s="210"/>
      <c r="CK997" s="210"/>
    </row>
    <row r="998">
      <c r="A998" s="220"/>
      <c r="F998" s="190"/>
      <c r="G998" s="190"/>
      <c r="L998" s="220"/>
      <c r="M998" s="22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M998" s="214"/>
      <c r="AN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c r="BU998" s="210"/>
      <c r="BV998" s="210"/>
      <c r="BW998" s="210"/>
      <c r="BX998" s="210"/>
      <c r="BY998" s="210"/>
      <c r="BZ998" s="210"/>
      <c r="CA998" s="210"/>
      <c r="CB998" s="210"/>
      <c r="CC998" s="210"/>
      <c r="CD998" s="210"/>
      <c r="CE998" s="210"/>
      <c r="CF998" s="210"/>
      <c r="CG998" s="210"/>
      <c r="CH998" s="210"/>
      <c r="CI998" s="210"/>
      <c r="CJ998" s="210"/>
      <c r="CK998" s="210"/>
    </row>
    <row r="999">
      <c r="A999" s="220"/>
      <c r="F999" s="190"/>
      <c r="G999" s="190"/>
      <c r="L999" s="220"/>
      <c r="M999" s="22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M999" s="214"/>
      <c r="AN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c r="BU999" s="210"/>
      <c r="BV999" s="210"/>
      <c r="BW999" s="210"/>
      <c r="BX999" s="210"/>
      <c r="BY999" s="210"/>
      <c r="BZ999" s="210"/>
      <c r="CA999" s="210"/>
      <c r="CB999" s="210"/>
      <c r="CC999" s="210"/>
      <c r="CD999" s="210"/>
      <c r="CE999" s="210"/>
      <c r="CF999" s="210"/>
      <c r="CG999" s="210"/>
      <c r="CH999" s="210"/>
      <c r="CI999" s="210"/>
      <c r="CJ999" s="210"/>
      <c r="CK999" s="210"/>
    </row>
    <row r="1000">
      <c r="A1000" s="220"/>
      <c r="F1000" s="190"/>
      <c r="G1000" s="190"/>
      <c r="L1000" s="220"/>
      <c r="M1000" s="22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M1000" s="214"/>
      <c r="AN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c r="BU1000" s="210"/>
      <c r="BV1000" s="210"/>
      <c r="BW1000" s="210"/>
      <c r="BX1000" s="210"/>
      <c r="BY1000" s="210"/>
      <c r="BZ1000" s="210"/>
      <c r="CA1000" s="210"/>
      <c r="CB1000" s="210"/>
      <c r="CC1000" s="210"/>
      <c r="CD1000" s="210"/>
      <c r="CE1000" s="210"/>
      <c r="CF1000" s="210"/>
      <c r="CG1000" s="210"/>
      <c r="CH1000" s="210"/>
      <c r="CI1000" s="210"/>
      <c r="CJ1000" s="210"/>
      <c r="CK1000" s="210"/>
    </row>
    <row r="1001">
      <c r="A1001" s="220"/>
      <c r="F1001" s="190"/>
      <c r="G1001" s="190"/>
      <c r="L1001" s="220"/>
      <c r="M1001" s="22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M1001" s="214"/>
      <c r="AN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c r="BU1001" s="210"/>
      <c r="BV1001" s="210"/>
      <c r="BW1001" s="210"/>
      <c r="BX1001" s="210"/>
      <c r="BY1001" s="210"/>
      <c r="BZ1001" s="210"/>
      <c r="CA1001" s="210"/>
      <c r="CB1001" s="210"/>
      <c r="CC1001" s="210"/>
      <c r="CD1001" s="210"/>
      <c r="CE1001" s="210"/>
      <c r="CF1001" s="210"/>
      <c r="CG1001" s="210"/>
      <c r="CH1001" s="210"/>
      <c r="CI1001" s="210"/>
      <c r="CJ1001" s="210"/>
      <c r="CK1001" s="210"/>
    </row>
    <row r="1002">
      <c r="A1002" s="220"/>
      <c r="F1002" s="190"/>
      <c r="G1002" s="190"/>
      <c r="L1002" s="220"/>
      <c r="M1002" s="22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M1002" s="214"/>
      <c r="AN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c r="BU1002" s="210"/>
      <c r="BV1002" s="210"/>
      <c r="BW1002" s="210"/>
      <c r="BX1002" s="210"/>
      <c r="BY1002" s="210"/>
      <c r="BZ1002" s="210"/>
      <c r="CA1002" s="210"/>
      <c r="CB1002" s="210"/>
      <c r="CC1002" s="210"/>
      <c r="CD1002" s="210"/>
      <c r="CE1002" s="210"/>
      <c r="CF1002" s="210"/>
      <c r="CG1002" s="210"/>
      <c r="CH1002" s="210"/>
      <c r="CI1002" s="210"/>
      <c r="CJ1002" s="210"/>
      <c r="CK1002" s="210"/>
    </row>
    <row r="1003">
      <c r="A1003" s="220"/>
      <c r="F1003" s="190"/>
      <c r="G1003" s="190"/>
      <c r="L1003" s="220"/>
      <c r="M1003" s="22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M1003" s="214"/>
      <c r="AN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c r="BU1003" s="210"/>
      <c r="BV1003" s="210"/>
      <c r="BW1003" s="210"/>
      <c r="BX1003" s="210"/>
      <c r="BY1003" s="210"/>
      <c r="BZ1003" s="210"/>
      <c r="CA1003" s="210"/>
      <c r="CB1003" s="210"/>
      <c r="CC1003" s="210"/>
      <c r="CD1003" s="210"/>
      <c r="CE1003" s="210"/>
      <c r="CF1003" s="210"/>
      <c r="CG1003" s="210"/>
      <c r="CH1003" s="210"/>
      <c r="CI1003" s="210"/>
      <c r="CJ1003" s="210"/>
      <c r="CK1003" s="210"/>
    </row>
    <row r="1004">
      <c r="A1004" s="220"/>
      <c r="F1004" s="190"/>
      <c r="G1004" s="190"/>
      <c r="L1004" s="220"/>
      <c r="M1004" s="22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M1004" s="214"/>
      <c r="AN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c r="BU1004" s="210"/>
      <c r="BV1004" s="210"/>
      <c r="BW1004" s="210"/>
      <c r="BX1004" s="210"/>
      <c r="BY1004" s="210"/>
      <c r="BZ1004" s="210"/>
      <c r="CA1004" s="210"/>
      <c r="CB1004" s="210"/>
      <c r="CC1004" s="210"/>
      <c r="CD1004" s="210"/>
      <c r="CE1004" s="210"/>
      <c r="CF1004" s="210"/>
      <c r="CG1004" s="210"/>
      <c r="CH1004" s="210"/>
      <c r="CI1004" s="210"/>
      <c r="CJ1004" s="210"/>
      <c r="CK1004" s="210"/>
    </row>
    <row r="1005">
      <c r="A1005" s="220"/>
      <c r="F1005" s="190"/>
      <c r="G1005" s="190"/>
      <c r="L1005" s="220"/>
      <c r="M1005" s="22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M1005" s="214"/>
      <c r="AN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c r="BU1005" s="210"/>
      <c r="BV1005" s="210"/>
      <c r="BW1005" s="210"/>
      <c r="BX1005" s="210"/>
      <c r="BY1005" s="210"/>
      <c r="BZ1005" s="210"/>
      <c r="CA1005" s="210"/>
      <c r="CB1005" s="210"/>
      <c r="CC1005" s="210"/>
      <c r="CD1005" s="210"/>
      <c r="CE1005" s="210"/>
      <c r="CF1005" s="210"/>
      <c r="CG1005" s="210"/>
      <c r="CH1005" s="210"/>
      <c r="CI1005" s="210"/>
      <c r="CJ1005" s="210"/>
      <c r="CK1005" s="210"/>
    </row>
    <row r="1006">
      <c r="A1006" s="220"/>
      <c r="F1006" s="190"/>
      <c r="G1006" s="190"/>
      <c r="L1006" s="220"/>
      <c r="M1006" s="22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M1006" s="214"/>
      <c r="AN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c r="BU1006" s="210"/>
      <c r="BV1006" s="210"/>
      <c r="BW1006" s="210"/>
      <c r="BX1006" s="210"/>
      <c r="BY1006" s="210"/>
      <c r="BZ1006" s="210"/>
      <c r="CA1006" s="210"/>
      <c r="CB1006" s="210"/>
      <c r="CC1006" s="210"/>
      <c r="CD1006" s="210"/>
      <c r="CE1006" s="210"/>
      <c r="CF1006" s="210"/>
      <c r="CG1006" s="210"/>
      <c r="CH1006" s="210"/>
      <c r="CI1006" s="210"/>
      <c r="CJ1006" s="210"/>
      <c r="CK1006" s="210"/>
    </row>
    <row r="1007">
      <c r="A1007" s="220"/>
      <c r="F1007" s="190"/>
      <c r="G1007" s="190"/>
      <c r="L1007" s="220"/>
      <c r="M1007" s="22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M1007" s="214"/>
      <c r="AN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c r="BU1007" s="210"/>
      <c r="BV1007" s="210"/>
      <c r="BW1007" s="210"/>
      <c r="BX1007" s="210"/>
      <c r="BY1007" s="210"/>
      <c r="BZ1007" s="210"/>
      <c r="CA1007" s="210"/>
      <c r="CB1007" s="210"/>
      <c r="CC1007" s="210"/>
      <c r="CD1007" s="210"/>
      <c r="CE1007" s="210"/>
      <c r="CF1007" s="210"/>
      <c r="CG1007" s="210"/>
      <c r="CH1007" s="210"/>
      <c r="CI1007" s="210"/>
      <c r="CJ1007" s="210"/>
      <c r="CK1007" s="210"/>
    </row>
    <row r="1008">
      <c r="A1008" s="220"/>
      <c r="F1008" s="190"/>
      <c r="G1008" s="190"/>
      <c r="L1008" s="220"/>
      <c r="M1008" s="22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M1008" s="214"/>
      <c r="AN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c r="BU1008" s="210"/>
      <c r="BV1008" s="210"/>
      <c r="BW1008" s="210"/>
      <c r="BX1008" s="210"/>
      <c r="BY1008" s="210"/>
      <c r="BZ1008" s="210"/>
      <c r="CA1008" s="210"/>
      <c r="CB1008" s="210"/>
      <c r="CC1008" s="210"/>
      <c r="CD1008" s="210"/>
      <c r="CE1008" s="210"/>
      <c r="CF1008" s="210"/>
      <c r="CG1008" s="210"/>
      <c r="CH1008" s="210"/>
      <c r="CI1008" s="210"/>
      <c r="CJ1008" s="210"/>
      <c r="CK1008" s="210"/>
    </row>
    <row r="1009">
      <c r="A1009" s="220"/>
      <c r="F1009" s="190"/>
      <c r="G1009" s="190"/>
      <c r="L1009" s="220"/>
      <c r="M1009" s="22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M1009" s="214"/>
      <c r="AN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c r="BU1009" s="210"/>
      <c r="BV1009" s="210"/>
      <c r="BW1009" s="210"/>
      <c r="BX1009" s="210"/>
      <c r="BY1009" s="210"/>
      <c r="BZ1009" s="210"/>
      <c r="CA1009" s="210"/>
      <c r="CB1009" s="210"/>
      <c r="CC1009" s="210"/>
      <c r="CD1009" s="210"/>
      <c r="CE1009" s="210"/>
      <c r="CF1009" s="210"/>
      <c r="CG1009" s="210"/>
      <c r="CH1009" s="210"/>
      <c r="CI1009" s="210"/>
      <c r="CJ1009" s="210"/>
      <c r="CK1009" s="210"/>
    </row>
    <row r="1010">
      <c r="A1010" s="220"/>
      <c r="F1010" s="190"/>
      <c r="G1010" s="190"/>
      <c r="L1010" s="220"/>
      <c r="M1010" s="22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M1010" s="214"/>
      <c r="AN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c r="BU1010" s="210"/>
      <c r="BV1010" s="210"/>
      <c r="BW1010" s="210"/>
      <c r="BX1010" s="210"/>
      <c r="BY1010" s="210"/>
      <c r="BZ1010" s="210"/>
      <c r="CA1010" s="210"/>
      <c r="CB1010" s="210"/>
      <c r="CC1010" s="210"/>
      <c r="CD1010" s="210"/>
      <c r="CE1010" s="210"/>
      <c r="CF1010" s="210"/>
      <c r="CG1010" s="210"/>
      <c r="CH1010" s="210"/>
      <c r="CI1010" s="210"/>
      <c r="CJ1010" s="210"/>
      <c r="CK1010" s="210"/>
    </row>
    <row r="1011">
      <c r="A1011" s="220"/>
      <c r="F1011" s="190"/>
      <c r="G1011" s="190"/>
      <c r="L1011" s="220"/>
      <c r="M1011" s="22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M1011" s="214"/>
      <c r="AN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c r="BU1011" s="210"/>
      <c r="BV1011" s="210"/>
      <c r="BW1011" s="210"/>
      <c r="BX1011" s="210"/>
      <c r="BY1011" s="210"/>
      <c r="BZ1011" s="210"/>
      <c r="CA1011" s="210"/>
      <c r="CB1011" s="210"/>
      <c r="CC1011" s="210"/>
      <c r="CD1011" s="210"/>
      <c r="CE1011" s="210"/>
      <c r="CF1011" s="210"/>
      <c r="CG1011" s="210"/>
      <c r="CH1011" s="210"/>
      <c r="CI1011" s="210"/>
      <c r="CJ1011" s="210"/>
      <c r="CK1011" s="210"/>
    </row>
    <row r="1012">
      <c r="A1012" s="220"/>
      <c r="F1012" s="190"/>
      <c r="G1012" s="190"/>
      <c r="L1012" s="220"/>
      <c r="M1012" s="22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M1012" s="214"/>
      <c r="AN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c r="BU1012" s="210"/>
      <c r="BV1012" s="210"/>
      <c r="BW1012" s="210"/>
      <c r="BX1012" s="210"/>
      <c r="BY1012" s="210"/>
      <c r="BZ1012" s="210"/>
      <c r="CA1012" s="210"/>
      <c r="CB1012" s="210"/>
      <c r="CC1012" s="210"/>
      <c r="CD1012" s="210"/>
      <c r="CE1012" s="210"/>
      <c r="CF1012" s="210"/>
      <c r="CG1012" s="210"/>
      <c r="CH1012" s="210"/>
      <c r="CI1012" s="210"/>
      <c r="CJ1012" s="210"/>
      <c r="CK1012" s="210"/>
    </row>
    <row r="1013">
      <c r="A1013" s="220"/>
      <c r="F1013" s="190"/>
      <c r="G1013" s="190"/>
      <c r="L1013" s="220"/>
      <c r="M1013" s="22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M1013" s="214"/>
      <c r="AN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c r="BU1013" s="210"/>
      <c r="BV1013" s="210"/>
      <c r="BW1013" s="210"/>
      <c r="BX1013" s="210"/>
      <c r="BY1013" s="210"/>
      <c r="BZ1013" s="210"/>
      <c r="CA1013" s="210"/>
      <c r="CB1013" s="210"/>
      <c r="CC1013" s="210"/>
      <c r="CD1013" s="210"/>
      <c r="CE1013" s="210"/>
      <c r="CF1013" s="210"/>
      <c r="CG1013" s="210"/>
      <c r="CH1013" s="210"/>
      <c r="CI1013" s="210"/>
      <c r="CJ1013" s="210"/>
      <c r="CK1013" s="210"/>
    </row>
    <row r="1014">
      <c r="A1014" s="220"/>
      <c r="F1014" s="190"/>
      <c r="G1014" s="190"/>
      <c r="L1014" s="220"/>
      <c r="M1014" s="22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M1014" s="214"/>
      <c r="AN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c r="BU1014" s="210"/>
      <c r="BV1014" s="210"/>
      <c r="BW1014" s="210"/>
      <c r="BX1014" s="210"/>
      <c r="BY1014" s="210"/>
      <c r="BZ1014" s="210"/>
      <c r="CA1014" s="210"/>
      <c r="CB1014" s="210"/>
      <c r="CC1014" s="210"/>
      <c r="CD1014" s="210"/>
      <c r="CE1014" s="210"/>
      <c r="CF1014" s="210"/>
      <c r="CG1014" s="210"/>
      <c r="CH1014" s="210"/>
      <c r="CI1014" s="210"/>
      <c r="CJ1014" s="210"/>
      <c r="CK1014" s="210"/>
    </row>
    <row r="1015">
      <c r="A1015" s="220"/>
      <c r="F1015" s="190"/>
      <c r="G1015" s="190"/>
      <c r="L1015" s="220"/>
      <c r="M1015" s="22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M1015" s="214"/>
      <c r="AN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c r="BU1015" s="210"/>
      <c r="BV1015" s="210"/>
      <c r="BW1015" s="210"/>
      <c r="BX1015" s="210"/>
      <c r="BY1015" s="210"/>
      <c r="BZ1015" s="210"/>
      <c r="CA1015" s="210"/>
      <c r="CB1015" s="210"/>
      <c r="CC1015" s="210"/>
      <c r="CD1015" s="210"/>
      <c r="CE1015" s="210"/>
      <c r="CF1015" s="210"/>
      <c r="CG1015" s="210"/>
      <c r="CH1015" s="210"/>
      <c r="CI1015" s="210"/>
      <c r="CJ1015" s="210"/>
      <c r="CK1015" s="210"/>
    </row>
    <row r="1016">
      <c r="A1016" s="220"/>
      <c r="F1016" s="190"/>
      <c r="G1016" s="190"/>
      <c r="L1016" s="220"/>
      <c r="M1016" s="22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M1016" s="214"/>
      <c r="AN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c r="BU1016" s="210"/>
      <c r="BV1016" s="210"/>
      <c r="BW1016" s="210"/>
      <c r="BX1016" s="210"/>
      <c r="BY1016" s="210"/>
      <c r="BZ1016" s="210"/>
      <c r="CA1016" s="210"/>
      <c r="CB1016" s="210"/>
      <c r="CC1016" s="210"/>
      <c r="CD1016" s="210"/>
      <c r="CE1016" s="210"/>
      <c r="CF1016" s="210"/>
      <c r="CG1016" s="210"/>
      <c r="CH1016" s="210"/>
      <c r="CI1016" s="210"/>
      <c r="CJ1016" s="210"/>
      <c r="CK1016" s="210"/>
    </row>
    <row r="1017">
      <c r="A1017" s="220"/>
      <c r="F1017" s="190"/>
      <c r="G1017" s="190"/>
      <c r="L1017" s="220"/>
      <c r="M1017" s="22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M1017" s="214"/>
      <c r="AN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c r="BU1017" s="210"/>
      <c r="BV1017" s="210"/>
      <c r="BW1017" s="210"/>
      <c r="BX1017" s="210"/>
      <c r="BY1017" s="210"/>
      <c r="BZ1017" s="210"/>
      <c r="CA1017" s="210"/>
      <c r="CB1017" s="210"/>
      <c r="CC1017" s="210"/>
      <c r="CD1017" s="210"/>
      <c r="CE1017" s="210"/>
      <c r="CF1017" s="210"/>
      <c r="CG1017" s="210"/>
      <c r="CH1017" s="210"/>
      <c r="CI1017" s="210"/>
      <c r="CJ1017" s="210"/>
      <c r="CK1017" s="210"/>
    </row>
    <row r="1018">
      <c r="A1018" s="220"/>
      <c r="F1018" s="190"/>
      <c r="G1018" s="190"/>
      <c r="L1018" s="220"/>
      <c r="M1018" s="22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M1018" s="214"/>
      <c r="AN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c r="BU1018" s="210"/>
      <c r="BV1018" s="210"/>
      <c r="BW1018" s="210"/>
      <c r="BX1018" s="210"/>
      <c r="BY1018" s="210"/>
      <c r="BZ1018" s="210"/>
      <c r="CA1018" s="210"/>
      <c r="CB1018" s="210"/>
      <c r="CC1018" s="210"/>
      <c r="CD1018" s="210"/>
      <c r="CE1018" s="210"/>
      <c r="CF1018" s="210"/>
      <c r="CG1018" s="210"/>
      <c r="CH1018" s="210"/>
      <c r="CI1018" s="210"/>
      <c r="CJ1018" s="210"/>
      <c r="CK1018" s="210"/>
    </row>
    <row r="1019">
      <c r="A1019" s="220"/>
      <c r="F1019" s="190"/>
      <c r="G1019" s="190"/>
      <c r="L1019" s="220"/>
      <c r="M1019" s="22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M1019" s="214"/>
      <c r="AN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c r="BU1019" s="210"/>
      <c r="BV1019" s="210"/>
      <c r="BW1019" s="210"/>
      <c r="BX1019" s="210"/>
      <c r="BY1019" s="210"/>
      <c r="BZ1019" s="210"/>
      <c r="CA1019" s="210"/>
      <c r="CB1019" s="210"/>
      <c r="CC1019" s="210"/>
      <c r="CD1019" s="210"/>
      <c r="CE1019" s="210"/>
      <c r="CF1019" s="210"/>
      <c r="CG1019" s="210"/>
      <c r="CH1019" s="210"/>
      <c r="CI1019" s="210"/>
      <c r="CJ1019" s="210"/>
      <c r="CK1019" s="210"/>
    </row>
    <row r="1020">
      <c r="A1020" s="220"/>
      <c r="F1020" s="190"/>
      <c r="G1020" s="190"/>
      <c r="L1020" s="220"/>
      <c r="M1020" s="22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M1020" s="214"/>
      <c r="AN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c r="BU1020" s="210"/>
      <c r="BV1020" s="210"/>
      <c r="BW1020" s="210"/>
      <c r="BX1020" s="210"/>
      <c r="BY1020" s="210"/>
      <c r="BZ1020" s="210"/>
      <c r="CA1020" s="210"/>
      <c r="CB1020" s="210"/>
      <c r="CC1020" s="210"/>
      <c r="CD1020" s="210"/>
      <c r="CE1020" s="210"/>
      <c r="CF1020" s="210"/>
      <c r="CG1020" s="210"/>
      <c r="CH1020" s="210"/>
      <c r="CI1020" s="210"/>
      <c r="CJ1020" s="210"/>
      <c r="CK1020" s="210"/>
    </row>
    <row r="1021">
      <c r="A1021" s="220"/>
      <c r="F1021" s="190"/>
      <c r="G1021" s="190"/>
      <c r="L1021" s="220"/>
      <c r="M1021" s="22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M1021" s="214"/>
      <c r="AN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c r="BU1021" s="210"/>
      <c r="BV1021" s="210"/>
      <c r="BW1021" s="210"/>
      <c r="BX1021" s="210"/>
      <c r="BY1021" s="210"/>
      <c r="BZ1021" s="210"/>
      <c r="CA1021" s="210"/>
      <c r="CB1021" s="210"/>
      <c r="CC1021" s="210"/>
      <c r="CD1021" s="210"/>
      <c r="CE1021" s="210"/>
      <c r="CF1021" s="210"/>
      <c r="CG1021" s="210"/>
      <c r="CH1021" s="210"/>
      <c r="CI1021" s="210"/>
      <c r="CJ1021" s="210"/>
      <c r="CK1021" s="210"/>
    </row>
    <row r="1022">
      <c r="A1022" s="220"/>
      <c r="F1022" s="190"/>
      <c r="G1022" s="190"/>
      <c r="L1022" s="220"/>
      <c r="M1022" s="22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M1022" s="214"/>
      <c r="AN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c r="BU1022" s="210"/>
      <c r="BV1022" s="210"/>
      <c r="BW1022" s="210"/>
      <c r="BX1022" s="210"/>
      <c r="BY1022" s="210"/>
      <c r="BZ1022" s="210"/>
      <c r="CA1022" s="210"/>
      <c r="CB1022" s="210"/>
      <c r="CC1022" s="210"/>
      <c r="CD1022" s="210"/>
      <c r="CE1022" s="210"/>
      <c r="CF1022" s="210"/>
      <c r="CG1022" s="210"/>
      <c r="CH1022" s="210"/>
      <c r="CI1022" s="210"/>
      <c r="CJ1022" s="210"/>
      <c r="CK1022" s="210"/>
    </row>
    <row r="1023">
      <c r="A1023" s="220"/>
      <c r="F1023" s="190"/>
      <c r="G1023" s="190"/>
      <c r="L1023" s="220"/>
      <c r="M1023" s="22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M1023" s="214"/>
      <c r="AN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c r="BU1023" s="210"/>
      <c r="BV1023" s="210"/>
      <c r="BW1023" s="210"/>
      <c r="BX1023" s="210"/>
      <c r="BY1023" s="210"/>
      <c r="BZ1023" s="210"/>
      <c r="CA1023" s="210"/>
      <c r="CB1023" s="210"/>
      <c r="CC1023" s="210"/>
      <c r="CD1023" s="210"/>
      <c r="CE1023" s="210"/>
      <c r="CF1023" s="210"/>
      <c r="CG1023" s="210"/>
      <c r="CH1023" s="210"/>
      <c r="CI1023" s="210"/>
      <c r="CJ1023" s="210"/>
      <c r="CK1023" s="210"/>
    </row>
    <row r="1024">
      <c r="A1024" s="220"/>
      <c r="F1024" s="190"/>
      <c r="G1024" s="190"/>
      <c r="L1024" s="220"/>
      <c r="M1024" s="22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M1024" s="214"/>
      <c r="AN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c r="BU1024" s="210"/>
      <c r="BV1024" s="210"/>
      <c r="BW1024" s="210"/>
      <c r="BX1024" s="210"/>
      <c r="BY1024" s="210"/>
      <c r="BZ1024" s="210"/>
      <c r="CA1024" s="210"/>
      <c r="CB1024" s="210"/>
      <c r="CC1024" s="210"/>
      <c r="CD1024" s="210"/>
      <c r="CE1024" s="210"/>
      <c r="CF1024" s="210"/>
      <c r="CG1024" s="210"/>
      <c r="CH1024" s="210"/>
      <c r="CI1024" s="210"/>
      <c r="CJ1024" s="210"/>
      <c r="CK1024" s="210"/>
    </row>
    <row r="1025">
      <c r="A1025" s="220"/>
      <c r="F1025" s="190"/>
      <c r="G1025" s="190"/>
      <c r="L1025" s="220"/>
      <c r="M1025" s="22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M1025" s="214"/>
      <c r="AN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c r="BU1025" s="210"/>
      <c r="BV1025" s="210"/>
      <c r="BW1025" s="210"/>
      <c r="BX1025" s="210"/>
      <c r="BY1025" s="210"/>
      <c r="BZ1025" s="210"/>
      <c r="CA1025" s="210"/>
      <c r="CB1025" s="210"/>
      <c r="CC1025" s="210"/>
      <c r="CD1025" s="210"/>
      <c r="CE1025" s="210"/>
      <c r="CF1025" s="210"/>
      <c r="CG1025" s="210"/>
      <c r="CH1025" s="210"/>
      <c r="CI1025" s="210"/>
      <c r="CJ1025" s="210"/>
      <c r="CK1025" s="210"/>
    </row>
    <row r="1026">
      <c r="A1026" s="220"/>
      <c r="F1026" s="190"/>
      <c r="G1026" s="190"/>
      <c r="L1026" s="220"/>
      <c r="M1026" s="22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M1026" s="214"/>
      <c r="AN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c r="BU1026" s="210"/>
      <c r="BV1026" s="210"/>
      <c r="BW1026" s="210"/>
      <c r="BX1026" s="210"/>
      <c r="BY1026" s="210"/>
      <c r="BZ1026" s="210"/>
      <c r="CA1026" s="210"/>
      <c r="CB1026" s="210"/>
      <c r="CC1026" s="210"/>
      <c r="CD1026" s="210"/>
      <c r="CE1026" s="210"/>
      <c r="CF1026" s="210"/>
      <c r="CG1026" s="210"/>
      <c r="CH1026" s="210"/>
      <c r="CI1026" s="210"/>
      <c r="CJ1026" s="210"/>
      <c r="CK1026" s="210"/>
    </row>
    <row r="1027">
      <c r="A1027" s="220"/>
      <c r="F1027" s="190"/>
      <c r="G1027" s="190"/>
      <c r="L1027" s="220"/>
      <c r="M1027" s="22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M1027" s="214"/>
      <c r="AN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c r="BU1027" s="210"/>
      <c r="BV1027" s="210"/>
      <c r="BW1027" s="210"/>
      <c r="BX1027" s="210"/>
      <c r="BY1027" s="210"/>
      <c r="BZ1027" s="210"/>
      <c r="CA1027" s="210"/>
      <c r="CB1027" s="210"/>
      <c r="CC1027" s="210"/>
      <c r="CD1027" s="210"/>
      <c r="CE1027" s="210"/>
      <c r="CF1027" s="210"/>
      <c r="CG1027" s="210"/>
      <c r="CH1027" s="210"/>
      <c r="CI1027" s="210"/>
      <c r="CJ1027" s="210"/>
      <c r="CK1027" s="210"/>
    </row>
    <row r="1028">
      <c r="A1028" s="220"/>
      <c r="F1028" s="190"/>
      <c r="G1028" s="190"/>
      <c r="L1028" s="220"/>
      <c r="M1028" s="22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M1028" s="214"/>
      <c r="AN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c r="BU1028" s="210"/>
      <c r="BV1028" s="210"/>
      <c r="BW1028" s="210"/>
      <c r="BX1028" s="210"/>
      <c r="BY1028" s="210"/>
      <c r="BZ1028" s="210"/>
      <c r="CA1028" s="210"/>
      <c r="CB1028" s="210"/>
      <c r="CC1028" s="210"/>
      <c r="CD1028" s="210"/>
      <c r="CE1028" s="210"/>
      <c r="CF1028" s="210"/>
      <c r="CG1028" s="210"/>
      <c r="CH1028" s="210"/>
      <c r="CI1028" s="210"/>
      <c r="CJ1028" s="210"/>
      <c r="CK1028" s="210"/>
    </row>
    <row r="1029">
      <c r="A1029" s="220"/>
      <c r="F1029" s="190"/>
      <c r="G1029" s="190"/>
      <c r="L1029" s="220"/>
      <c r="M1029" s="22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M1029" s="214"/>
      <c r="AN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c r="BU1029" s="210"/>
      <c r="BV1029" s="210"/>
      <c r="BW1029" s="210"/>
      <c r="BX1029" s="210"/>
      <c r="BY1029" s="210"/>
      <c r="BZ1029" s="210"/>
      <c r="CA1029" s="210"/>
      <c r="CB1029" s="210"/>
      <c r="CC1029" s="210"/>
      <c r="CD1029" s="210"/>
      <c r="CE1029" s="210"/>
      <c r="CF1029" s="210"/>
      <c r="CG1029" s="210"/>
      <c r="CH1029" s="210"/>
      <c r="CI1029" s="210"/>
      <c r="CJ1029" s="210"/>
      <c r="CK1029" s="210"/>
    </row>
    <row r="1030">
      <c r="A1030" s="220"/>
      <c r="F1030" s="190"/>
      <c r="G1030" s="190"/>
      <c r="L1030" s="220"/>
      <c r="M1030" s="22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M1030" s="214"/>
      <c r="AN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c r="BU1030" s="210"/>
      <c r="BV1030" s="210"/>
      <c r="BW1030" s="210"/>
      <c r="BX1030" s="210"/>
      <c r="BY1030" s="210"/>
      <c r="BZ1030" s="210"/>
      <c r="CA1030" s="210"/>
      <c r="CB1030" s="210"/>
      <c r="CC1030" s="210"/>
      <c r="CD1030" s="210"/>
      <c r="CE1030" s="210"/>
      <c r="CF1030" s="210"/>
      <c r="CG1030" s="210"/>
      <c r="CH1030" s="210"/>
      <c r="CI1030" s="210"/>
      <c r="CJ1030" s="210"/>
      <c r="CK1030" s="210"/>
    </row>
    <row r="1031">
      <c r="A1031" s="220"/>
      <c r="F1031" s="190"/>
      <c r="G1031" s="190"/>
      <c r="L1031" s="220"/>
      <c r="M1031" s="22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M1031" s="214"/>
      <c r="AN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c r="BU1031" s="210"/>
      <c r="BV1031" s="210"/>
      <c r="BW1031" s="210"/>
      <c r="BX1031" s="210"/>
      <c r="BY1031" s="210"/>
      <c r="BZ1031" s="210"/>
      <c r="CA1031" s="210"/>
      <c r="CB1031" s="210"/>
      <c r="CC1031" s="210"/>
      <c r="CD1031" s="210"/>
      <c r="CE1031" s="210"/>
      <c r="CF1031" s="210"/>
      <c r="CG1031" s="210"/>
      <c r="CH1031" s="210"/>
      <c r="CI1031" s="210"/>
      <c r="CJ1031" s="210"/>
      <c r="CK1031" s="210"/>
    </row>
    <row r="1032">
      <c r="A1032" s="220"/>
      <c r="F1032" s="190"/>
      <c r="G1032" s="190"/>
      <c r="L1032" s="220"/>
      <c r="M1032" s="22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M1032" s="214"/>
      <c r="AN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c r="BU1032" s="210"/>
      <c r="BV1032" s="210"/>
      <c r="BW1032" s="210"/>
      <c r="BX1032" s="210"/>
      <c r="BY1032" s="210"/>
      <c r="BZ1032" s="210"/>
      <c r="CA1032" s="210"/>
      <c r="CB1032" s="210"/>
      <c r="CC1032" s="210"/>
      <c r="CD1032" s="210"/>
      <c r="CE1032" s="210"/>
      <c r="CF1032" s="210"/>
      <c r="CG1032" s="210"/>
      <c r="CH1032" s="210"/>
      <c r="CI1032" s="210"/>
      <c r="CJ1032" s="210"/>
      <c r="CK1032" s="210"/>
    </row>
    <row r="1033">
      <c r="A1033" s="220"/>
      <c r="F1033" s="190"/>
      <c r="G1033" s="190"/>
      <c r="L1033" s="220"/>
      <c r="M1033" s="22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M1033" s="214"/>
      <c r="AN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c r="BU1033" s="210"/>
      <c r="BV1033" s="210"/>
      <c r="BW1033" s="210"/>
      <c r="BX1033" s="210"/>
      <c r="BY1033" s="210"/>
      <c r="BZ1033" s="210"/>
      <c r="CA1033" s="210"/>
      <c r="CB1033" s="210"/>
      <c r="CC1033" s="210"/>
      <c r="CD1033" s="210"/>
      <c r="CE1033" s="210"/>
      <c r="CF1033" s="210"/>
      <c r="CG1033" s="210"/>
      <c r="CH1033" s="210"/>
      <c r="CI1033" s="210"/>
      <c r="CJ1033" s="210"/>
      <c r="CK1033" s="210"/>
    </row>
    <row r="1034">
      <c r="A1034" s="220"/>
      <c r="F1034" s="190"/>
      <c r="G1034" s="190"/>
      <c r="L1034" s="220"/>
      <c r="M1034" s="22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M1034" s="214"/>
      <c r="AN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c r="BU1034" s="210"/>
      <c r="BV1034" s="210"/>
      <c r="BW1034" s="210"/>
      <c r="BX1034" s="210"/>
      <c r="BY1034" s="210"/>
      <c r="BZ1034" s="210"/>
      <c r="CA1034" s="210"/>
      <c r="CB1034" s="210"/>
      <c r="CC1034" s="210"/>
      <c r="CD1034" s="210"/>
      <c r="CE1034" s="210"/>
      <c r="CF1034" s="210"/>
      <c r="CG1034" s="210"/>
      <c r="CH1034" s="210"/>
      <c r="CI1034" s="210"/>
      <c r="CJ1034" s="210"/>
      <c r="CK1034" s="210"/>
    </row>
    <row r="1035">
      <c r="A1035" s="220"/>
      <c r="F1035" s="190"/>
      <c r="G1035" s="190"/>
      <c r="L1035" s="220"/>
      <c r="M1035" s="22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M1035" s="214"/>
      <c r="AN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c r="BU1035" s="210"/>
      <c r="BV1035" s="210"/>
      <c r="BW1035" s="210"/>
      <c r="BX1035" s="210"/>
      <c r="BY1035" s="210"/>
      <c r="BZ1035" s="210"/>
      <c r="CA1035" s="210"/>
      <c r="CB1035" s="210"/>
      <c r="CC1035" s="210"/>
      <c r="CD1035" s="210"/>
      <c r="CE1035" s="210"/>
      <c r="CF1035" s="210"/>
      <c r="CG1035" s="210"/>
      <c r="CH1035" s="210"/>
      <c r="CI1035" s="210"/>
      <c r="CJ1035" s="210"/>
      <c r="CK1035" s="210"/>
    </row>
    <row r="1036">
      <c r="A1036" s="220"/>
      <c r="F1036" s="190"/>
      <c r="G1036" s="190"/>
      <c r="L1036" s="220"/>
      <c r="M1036" s="22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M1036" s="214"/>
      <c r="AN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c r="BU1036" s="210"/>
      <c r="BV1036" s="210"/>
      <c r="BW1036" s="210"/>
      <c r="BX1036" s="210"/>
      <c r="BY1036" s="210"/>
      <c r="BZ1036" s="210"/>
      <c r="CA1036" s="210"/>
      <c r="CB1036" s="210"/>
      <c r="CC1036" s="210"/>
      <c r="CD1036" s="210"/>
      <c r="CE1036" s="210"/>
      <c r="CF1036" s="210"/>
      <c r="CG1036" s="210"/>
      <c r="CH1036" s="210"/>
      <c r="CI1036" s="210"/>
      <c r="CJ1036" s="210"/>
      <c r="CK1036" s="210"/>
    </row>
    <row r="1037">
      <c r="A1037" s="220"/>
      <c r="F1037" s="190"/>
      <c r="G1037" s="190"/>
      <c r="L1037" s="220"/>
      <c r="M1037" s="22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M1037" s="214"/>
      <c r="AN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c r="BU1037" s="210"/>
      <c r="BV1037" s="210"/>
      <c r="BW1037" s="210"/>
      <c r="BX1037" s="210"/>
      <c r="BY1037" s="210"/>
      <c r="BZ1037" s="210"/>
      <c r="CA1037" s="210"/>
      <c r="CB1037" s="210"/>
      <c r="CC1037" s="210"/>
      <c r="CD1037" s="210"/>
      <c r="CE1037" s="210"/>
      <c r="CF1037" s="210"/>
      <c r="CG1037" s="210"/>
      <c r="CH1037" s="210"/>
      <c r="CI1037" s="210"/>
      <c r="CJ1037" s="210"/>
      <c r="CK1037" s="210"/>
    </row>
    <row r="1038">
      <c r="A1038" s="220"/>
      <c r="F1038" s="190"/>
      <c r="G1038" s="190"/>
      <c r="L1038" s="220"/>
      <c r="M1038" s="22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M1038" s="214"/>
      <c r="AN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c r="BU1038" s="210"/>
      <c r="BV1038" s="210"/>
      <c r="BW1038" s="210"/>
      <c r="BX1038" s="210"/>
      <c r="BY1038" s="210"/>
      <c r="BZ1038" s="210"/>
      <c r="CA1038" s="210"/>
      <c r="CB1038" s="210"/>
      <c r="CC1038" s="210"/>
      <c r="CD1038" s="210"/>
      <c r="CE1038" s="210"/>
      <c r="CF1038" s="210"/>
      <c r="CG1038" s="210"/>
      <c r="CH1038" s="210"/>
      <c r="CI1038" s="210"/>
      <c r="CJ1038" s="210"/>
      <c r="CK1038" s="210"/>
    </row>
    <row r="1039">
      <c r="A1039" s="220"/>
      <c r="F1039" s="190"/>
      <c r="G1039" s="190"/>
      <c r="L1039" s="220"/>
      <c r="M1039" s="22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M1039" s="214"/>
      <c r="AN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c r="BU1039" s="210"/>
      <c r="BV1039" s="210"/>
      <c r="BW1039" s="210"/>
      <c r="BX1039" s="210"/>
      <c r="BY1039" s="210"/>
      <c r="BZ1039" s="210"/>
      <c r="CA1039" s="210"/>
      <c r="CB1039" s="210"/>
      <c r="CC1039" s="210"/>
      <c r="CD1039" s="210"/>
      <c r="CE1039" s="210"/>
      <c r="CF1039" s="210"/>
      <c r="CG1039" s="210"/>
      <c r="CH1039" s="210"/>
      <c r="CI1039" s="210"/>
      <c r="CJ1039" s="210"/>
      <c r="CK1039" s="210"/>
    </row>
    <row r="1040">
      <c r="A1040" s="220"/>
      <c r="F1040" s="190"/>
      <c r="G1040" s="190"/>
      <c r="L1040" s="220"/>
      <c r="M1040" s="22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M1040" s="214"/>
      <c r="AN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c r="BU1040" s="210"/>
      <c r="BV1040" s="210"/>
      <c r="BW1040" s="210"/>
      <c r="BX1040" s="210"/>
      <c r="BY1040" s="210"/>
      <c r="BZ1040" s="210"/>
      <c r="CA1040" s="210"/>
      <c r="CB1040" s="210"/>
      <c r="CC1040" s="210"/>
      <c r="CD1040" s="210"/>
      <c r="CE1040" s="210"/>
      <c r="CF1040" s="210"/>
      <c r="CG1040" s="210"/>
      <c r="CH1040" s="210"/>
      <c r="CI1040" s="210"/>
      <c r="CJ1040" s="210"/>
      <c r="CK1040" s="210"/>
    </row>
    <row r="1041">
      <c r="A1041" s="220"/>
      <c r="F1041" s="190"/>
      <c r="G1041" s="190"/>
      <c r="L1041" s="220"/>
      <c r="M1041" s="22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M1041" s="214"/>
      <c r="AN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c r="BU1041" s="210"/>
      <c r="BV1041" s="210"/>
      <c r="BW1041" s="210"/>
      <c r="BX1041" s="210"/>
      <c r="BY1041" s="210"/>
      <c r="BZ1041" s="210"/>
      <c r="CA1041" s="210"/>
      <c r="CB1041" s="210"/>
      <c r="CC1041" s="210"/>
      <c r="CD1041" s="210"/>
      <c r="CE1041" s="210"/>
      <c r="CF1041" s="210"/>
      <c r="CG1041" s="210"/>
      <c r="CH1041" s="210"/>
      <c r="CI1041" s="210"/>
      <c r="CJ1041" s="210"/>
      <c r="CK1041" s="210"/>
    </row>
    <row r="1042">
      <c r="A1042" s="220"/>
      <c r="F1042" s="190"/>
      <c r="G1042" s="190"/>
      <c r="L1042" s="220"/>
      <c r="M1042" s="22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M1042" s="214"/>
      <c r="AN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c r="BU1042" s="210"/>
      <c r="BV1042" s="210"/>
      <c r="BW1042" s="210"/>
      <c r="BX1042" s="210"/>
      <c r="BY1042" s="210"/>
      <c r="BZ1042" s="210"/>
      <c r="CA1042" s="210"/>
      <c r="CB1042" s="210"/>
      <c r="CC1042" s="210"/>
      <c r="CD1042" s="210"/>
      <c r="CE1042" s="210"/>
      <c r="CF1042" s="210"/>
      <c r="CG1042" s="210"/>
      <c r="CH1042" s="210"/>
      <c r="CI1042" s="210"/>
      <c r="CJ1042" s="210"/>
      <c r="CK1042" s="210"/>
    </row>
    <row r="1043">
      <c r="A1043" s="220"/>
      <c r="F1043" s="190"/>
      <c r="G1043" s="190"/>
      <c r="L1043" s="220"/>
      <c r="M1043" s="22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M1043" s="214"/>
      <c r="AN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c r="BU1043" s="210"/>
      <c r="BV1043" s="210"/>
      <c r="BW1043" s="210"/>
      <c r="BX1043" s="210"/>
      <c r="BY1043" s="210"/>
      <c r="BZ1043" s="210"/>
      <c r="CA1043" s="210"/>
      <c r="CB1043" s="210"/>
      <c r="CC1043" s="210"/>
      <c r="CD1043" s="210"/>
      <c r="CE1043" s="210"/>
      <c r="CF1043" s="210"/>
      <c r="CG1043" s="210"/>
      <c r="CH1043" s="210"/>
      <c r="CI1043" s="210"/>
      <c r="CJ1043" s="210"/>
      <c r="CK1043" s="210"/>
    </row>
    <row r="1044">
      <c r="A1044" s="220"/>
      <c r="F1044" s="190"/>
      <c r="G1044" s="190"/>
      <c r="L1044" s="220"/>
      <c r="M1044" s="22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M1044" s="214"/>
      <c r="AN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c r="BU1044" s="210"/>
      <c r="BV1044" s="210"/>
      <c r="BW1044" s="210"/>
      <c r="BX1044" s="210"/>
      <c r="BY1044" s="210"/>
      <c r="BZ1044" s="210"/>
      <c r="CA1044" s="210"/>
      <c r="CB1044" s="210"/>
      <c r="CC1044" s="210"/>
      <c r="CD1044" s="210"/>
      <c r="CE1044" s="210"/>
      <c r="CF1044" s="210"/>
      <c r="CG1044" s="210"/>
      <c r="CH1044" s="210"/>
      <c r="CI1044" s="210"/>
      <c r="CJ1044" s="210"/>
      <c r="CK1044" s="210"/>
    </row>
    <row r="1045">
      <c r="A1045" s="220"/>
      <c r="F1045" s="190"/>
      <c r="G1045" s="190"/>
      <c r="L1045" s="220"/>
      <c r="M1045" s="22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M1045" s="214"/>
      <c r="AN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c r="BU1045" s="210"/>
      <c r="BV1045" s="210"/>
      <c r="BW1045" s="210"/>
      <c r="BX1045" s="210"/>
      <c r="BY1045" s="210"/>
      <c r="BZ1045" s="210"/>
      <c r="CA1045" s="210"/>
      <c r="CB1045" s="210"/>
      <c r="CC1045" s="210"/>
      <c r="CD1045" s="210"/>
      <c r="CE1045" s="210"/>
      <c r="CF1045" s="210"/>
      <c r="CG1045" s="210"/>
      <c r="CH1045" s="210"/>
      <c r="CI1045" s="210"/>
      <c r="CJ1045" s="210"/>
      <c r="CK1045" s="210"/>
    </row>
    <row r="1046">
      <c r="A1046" s="220"/>
      <c r="F1046" s="190"/>
      <c r="G1046" s="190"/>
      <c r="L1046" s="220"/>
      <c r="M1046" s="22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M1046" s="214"/>
      <c r="AN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c r="BU1046" s="210"/>
      <c r="BV1046" s="210"/>
      <c r="BW1046" s="210"/>
      <c r="BX1046" s="210"/>
      <c r="BY1046" s="210"/>
      <c r="BZ1046" s="210"/>
      <c r="CA1046" s="210"/>
      <c r="CB1046" s="210"/>
      <c r="CC1046" s="210"/>
      <c r="CD1046" s="210"/>
      <c r="CE1046" s="210"/>
      <c r="CF1046" s="210"/>
      <c r="CG1046" s="210"/>
      <c r="CH1046" s="210"/>
      <c r="CI1046" s="210"/>
      <c r="CJ1046" s="210"/>
      <c r="CK1046" s="210"/>
    </row>
    <row r="1047">
      <c r="A1047" s="220"/>
      <c r="F1047" s="190"/>
      <c r="G1047" s="190"/>
      <c r="L1047" s="220"/>
      <c r="M1047" s="22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M1047" s="214"/>
      <c r="AN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c r="BU1047" s="210"/>
      <c r="BV1047" s="210"/>
      <c r="BW1047" s="210"/>
      <c r="BX1047" s="210"/>
      <c r="BY1047" s="210"/>
      <c r="BZ1047" s="210"/>
      <c r="CA1047" s="210"/>
      <c r="CB1047" s="210"/>
      <c r="CC1047" s="210"/>
      <c r="CD1047" s="210"/>
      <c r="CE1047" s="210"/>
      <c r="CF1047" s="210"/>
      <c r="CG1047" s="210"/>
      <c r="CH1047" s="210"/>
      <c r="CI1047" s="210"/>
      <c r="CJ1047" s="210"/>
      <c r="CK1047" s="210"/>
    </row>
    <row r="1048">
      <c r="A1048" s="220"/>
      <c r="F1048" s="190"/>
      <c r="G1048" s="190"/>
      <c r="L1048" s="220"/>
      <c r="M1048" s="22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M1048" s="214"/>
      <c r="AN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c r="BU1048" s="210"/>
      <c r="BV1048" s="210"/>
      <c r="BW1048" s="210"/>
      <c r="BX1048" s="210"/>
      <c r="BY1048" s="210"/>
      <c r="BZ1048" s="210"/>
      <c r="CA1048" s="210"/>
      <c r="CB1048" s="210"/>
      <c r="CC1048" s="210"/>
      <c r="CD1048" s="210"/>
      <c r="CE1048" s="210"/>
      <c r="CF1048" s="210"/>
      <c r="CG1048" s="210"/>
      <c r="CH1048" s="210"/>
      <c r="CI1048" s="210"/>
      <c r="CJ1048" s="210"/>
      <c r="CK1048" s="210"/>
    </row>
    <row r="1049">
      <c r="A1049" s="220"/>
      <c r="F1049" s="190"/>
      <c r="G1049" s="190"/>
      <c r="L1049" s="220"/>
      <c r="M1049" s="22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M1049" s="214"/>
      <c r="AN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c r="BU1049" s="210"/>
      <c r="BV1049" s="210"/>
      <c r="BW1049" s="210"/>
      <c r="BX1049" s="210"/>
      <c r="BY1049" s="210"/>
      <c r="BZ1049" s="210"/>
      <c r="CA1049" s="210"/>
      <c r="CB1049" s="210"/>
      <c r="CC1049" s="210"/>
      <c r="CD1049" s="210"/>
      <c r="CE1049" s="210"/>
      <c r="CF1049" s="210"/>
      <c r="CG1049" s="210"/>
      <c r="CH1049" s="210"/>
      <c r="CI1049" s="210"/>
      <c r="CJ1049" s="210"/>
      <c r="CK1049" s="210"/>
    </row>
    <row r="1050">
      <c r="A1050" s="220"/>
      <c r="F1050" s="190"/>
      <c r="G1050" s="190"/>
      <c r="L1050" s="220"/>
      <c r="M1050" s="22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M1050" s="214"/>
      <c r="AN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c r="BU1050" s="210"/>
      <c r="BV1050" s="210"/>
      <c r="BW1050" s="210"/>
      <c r="BX1050" s="210"/>
      <c r="BY1050" s="210"/>
      <c r="BZ1050" s="210"/>
      <c r="CA1050" s="210"/>
      <c r="CB1050" s="210"/>
      <c r="CC1050" s="210"/>
      <c r="CD1050" s="210"/>
      <c r="CE1050" s="210"/>
      <c r="CF1050" s="210"/>
      <c r="CG1050" s="210"/>
      <c r="CH1050" s="210"/>
      <c r="CI1050" s="210"/>
      <c r="CJ1050" s="210"/>
      <c r="CK1050" s="210"/>
    </row>
    <row r="1051">
      <c r="A1051" s="220"/>
      <c r="F1051" s="190"/>
      <c r="G1051" s="190"/>
      <c r="L1051" s="220"/>
      <c r="M1051" s="22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M1051" s="214"/>
      <c r="AN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c r="BU1051" s="210"/>
      <c r="BV1051" s="210"/>
      <c r="BW1051" s="210"/>
      <c r="BX1051" s="210"/>
      <c r="BY1051" s="210"/>
      <c r="BZ1051" s="210"/>
      <c r="CA1051" s="210"/>
      <c r="CB1051" s="210"/>
      <c r="CC1051" s="210"/>
      <c r="CD1051" s="210"/>
      <c r="CE1051" s="210"/>
      <c r="CF1051" s="210"/>
      <c r="CG1051" s="210"/>
      <c r="CH1051" s="210"/>
      <c r="CI1051" s="210"/>
      <c r="CJ1051" s="210"/>
      <c r="CK1051" s="210"/>
    </row>
    <row r="1052">
      <c r="A1052" s="220"/>
      <c r="F1052" s="190"/>
      <c r="G1052" s="190"/>
      <c r="L1052" s="220"/>
      <c r="M1052" s="22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M1052" s="214"/>
      <c r="AN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c r="BU1052" s="210"/>
      <c r="BV1052" s="210"/>
      <c r="BW1052" s="210"/>
      <c r="BX1052" s="210"/>
      <c r="BY1052" s="210"/>
      <c r="BZ1052" s="210"/>
      <c r="CA1052" s="210"/>
      <c r="CB1052" s="210"/>
      <c r="CC1052" s="210"/>
      <c r="CD1052" s="210"/>
      <c r="CE1052" s="210"/>
      <c r="CF1052" s="210"/>
      <c r="CG1052" s="210"/>
      <c r="CH1052" s="210"/>
      <c r="CI1052" s="210"/>
      <c r="CJ1052" s="210"/>
      <c r="CK1052" s="210"/>
    </row>
    <row r="1053">
      <c r="A1053" s="220"/>
      <c r="F1053" s="190"/>
      <c r="G1053" s="190"/>
      <c r="L1053" s="220"/>
      <c r="M1053" s="22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M1053" s="214"/>
      <c r="AN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c r="BU1053" s="210"/>
      <c r="BV1053" s="210"/>
      <c r="BW1053" s="210"/>
      <c r="BX1053" s="210"/>
      <c r="BY1053" s="210"/>
      <c r="BZ1053" s="210"/>
      <c r="CA1053" s="210"/>
      <c r="CB1053" s="210"/>
      <c r="CC1053" s="210"/>
      <c r="CD1053" s="210"/>
      <c r="CE1053" s="210"/>
      <c r="CF1053" s="210"/>
      <c r="CG1053" s="210"/>
      <c r="CH1053" s="210"/>
      <c r="CI1053" s="210"/>
      <c r="CJ1053" s="210"/>
      <c r="CK1053" s="210"/>
    </row>
    <row r="1054">
      <c r="A1054" s="220"/>
      <c r="F1054" s="190"/>
      <c r="G1054" s="190"/>
      <c r="L1054" s="220"/>
      <c r="M1054" s="22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M1054" s="214"/>
      <c r="AN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c r="BU1054" s="210"/>
      <c r="BV1054" s="210"/>
      <c r="BW1054" s="210"/>
      <c r="BX1054" s="210"/>
      <c r="BY1054" s="210"/>
      <c r="BZ1054" s="210"/>
      <c r="CA1054" s="210"/>
      <c r="CB1054" s="210"/>
      <c r="CC1054" s="210"/>
      <c r="CD1054" s="210"/>
      <c r="CE1054" s="210"/>
      <c r="CF1054" s="210"/>
      <c r="CG1054" s="210"/>
      <c r="CH1054" s="210"/>
      <c r="CI1054" s="210"/>
      <c r="CJ1054" s="210"/>
      <c r="CK1054" s="210"/>
    </row>
    <row r="1055">
      <c r="A1055" s="220"/>
      <c r="F1055" s="190"/>
      <c r="G1055" s="190"/>
      <c r="L1055" s="220"/>
      <c r="M1055" s="22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M1055" s="214"/>
      <c r="AN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c r="BU1055" s="210"/>
      <c r="BV1055" s="210"/>
      <c r="BW1055" s="210"/>
      <c r="BX1055" s="210"/>
      <c r="BY1055" s="210"/>
      <c r="BZ1055" s="210"/>
      <c r="CA1055" s="210"/>
      <c r="CB1055" s="210"/>
      <c r="CC1055" s="210"/>
      <c r="CD1055" s="210"/>
      <c r="CE1055" s="210"/>
      <c r="CF1055" s="210"/>
      <c r="CG1055" s="210"/>
      <c r="CH1055" s="210"/>
      <c r="CI1055" s="210"/>
      <c r="CJ1055" s="210"/>
      <c r="CK1055" s="210"/>
    </row>
    <row r="1056">
      <c r="A1056" s="220"/>
      <c r="F1056" s="190"/>
      <c r="G1056" s="190"/>
      <c r="L1056" s="220"/>
      <c r="M1056" s="22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M1056" s="214"/>
      <c r="AN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c r="BU1056" s="210"/>
      <c r="BV1056" s="210"/>
      <c r="BW1056" s="210"/>
      <c r="BX1056" s="210"/>
      <c r="BY1056" s="210"/>
      <c r="BZ1056" s="210"/>
      <c r="CA1056" s="210"/>
      <c r="CB1056" s="210"/>
      <c r="CC1056" s="210"/>
      <c r="CD1056" s="210"/>
      <c r="CE1056" s="210"/>
      <c r="CF1056" s="210"/>
      <c r="CG1056" s="210"/>
      <c r="CH1056" s="210"/>
      <c r="CI1056" s="210"/>
      <c r="CJ1056" s="210"/>
      <c r="CK1056" s="210"/>
    </row>
    <row r="1057">
      <c r="A1057" s="220"/>
      <c r="F1057" s="190"/>
      <c r="G1057" s="190"/>
      <c r="L1057" s="220"/>
      <c r="M1057" s="22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M1057" s="214"/>
      <c r="AN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c r="BU1057" s="210"/>
      <c r="BV1057" s="210"/>
      <c r="BW1057" s="210"/>
      <c r="BX1057" s="210"/>
      <c r="BY1057" s="210"/>
      <c r="BZ1057" s="210"/>
      <c r="CA1057" s="210"/>
      <c r="CB1057" s="210"/>
      <c r="CC1057" s="210"/>
      <c r="CD1057" s="210"/>
      <c r="CE1057" s="210"/>
      <c r="CF1057" s="210"/>
      <c r="CG1057" s="210"/>
      <c r="CH1057" s="210"/>
      <c r="CI1057" s="210"/>
      <c r="CJ1057" s="210"/>
      <c r="CK1057" s="210"/>
    </row>
    <row r="1058">
      <c r="A1058" s="220"/>
      <c r="F1058" s="190"/>
      <c r="G1058" s="190"/>
      <c r="L1058" s="220"/>
      <c r="M1058" s="22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M1058" s="214"/>
      <c r="AN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c r="BU1058" s="210"/>
      <c r="BV1058" s="210"/>
      <c r="BW1058" s="210"/>
      <c r="BX1058" s="210"/>
      <c r="BY1058" s="210"/>
      <c r="BZ1058" s="210"/>
      <c r="CA1058" s="210"/>
      <c r="CB1058" s="210"/>
      <c r="CC1058" s="210"/>
      <c r="CD1058" s="210"/>
      <c r="CE1058" s="210"/>
      <c r="CF1058" s="210"/>
      <c r="CG1058" s="210"/>
      <c r="CH1058" s="210"/>
      <c r="CI1058" s="210"/>
      <c r="CJ1058" s="210"/>
      <c r="CK1058" s="210"/>
    </row>
    <row r="1059">
      <c r="A1059" s="220"/>
      <c r="F1059" s="190"/>
      <c r="G1059" s="190"/>
      <c r="L1059" s="220"/>
      <c r="M1059" s="22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M1059" s="214"/>
      <c r="AN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c r="BU1059" s="210"/>
      <c r="BV1059" s="210"/>
      <c r="BW1059" s="210"/>
      <c r="BX1059" s="210"/>
      <c r="BY1059" s="210"/>
      <c r="BZ1059" s="210"/>
      <c r="CA1059" s="210"/>
      <c r="CB1059" s="210"/>
      <c r="CC1059" s="210"/>
      <c r="CD1059" s="210"/>
      <c r="CE1059" s="210"/>
      <c r="CF1059" s="210"/>
      <c r="CG1059" s="210"/>
      <c r="CH1059" s="210"/>
      <c r="CI1059" s="210"/>
      <c r="CJ1059" s="210"/>
      <c r="CK1059" s="210"/>
    </row>
    <row r="1060">
      <c r="A1060" s="220"/>
      <c r="F1060" s="190"/>
      <c r="G1060" s="190"/>
      <c r="L1060" s="220"/>
      <c r="M1060" s="22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M1060" s="214"/>
      <c r="AN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c r="BU1060" s="210"/>
      <c r="BV1060" s="210"/>
      <c r="BW1060" s="210"/>
      <c r="BX1060" s="210"/>
      <c r="BY1060" s="210"/>
      <c r="BZ1060" s="210"/>
      <c r="CA1060" s="210"/>
      <c r="CB1060" s="210"/>
      <c r="CC1060" s="210"/>
      <c r="CD1060" s="210"/>
      <c r="CE1060" s="210"/>
      <c r="CF1060" s="210"/>
      <c r="CG1060" s="210"/>
      <c r="CH1060" s="210"/>
      <c r="CI1060" s="210"/>
      <c r="CJ1060" s="210"/>
      <c r="CK1060" s="210"/>
    </row>
    <row r="1061">
      <c r="A1061" s="220"/>
      <c r="F1061" s="190"/>
      <c r="G1061" s="190"/>
      <c r="L1061" s="220"/>
      <c r="M1061" s="22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M1061" s="214"/>
      <c r="AN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c r="BU1061" s="210"/>
      <c r="BV1061" s="210"/>
      <c r="BW1061" s="210"/>
      <c r="BX1061" s="210"/>
      <c r="BY1061" s="210"/>
      <c r="BZ1061" s="210"/>
      <c r="CA1061" s="210"/>
      <c r="CB1061" s="210"/>
      <c r="CC1061" s="210"/>
      <c r="CD1061" s="210"/>
      <c r="CE1061" s="210"/>
      <c r="CF1061" s="210"/>
      <c r="CG1061" s="210"/>
      <c r="CH1061" s="210"/>
      <c r="CI1061" s="210"/>
      <c r="CJ1061" s="210"/>
      <c r="CK1061" s="210"/>
    </row>
    <row r="1062">
      <c r="A1062" s="220"/>
      <c r="F1062" s="190"/>
      <c r="G1062" s="190"/>
      <c r="L1062" s="220"/>
      <c r="M1062" s="22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M1062" s="214"/>
      <c r="AN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c r="BU1062" s="210"/>
      <c r="BV1062" s="210"/>
      <c r="BW1062" s="210"/>
      <c r="BX1062" s="210"/>
      <c r="BY1062" s="210"/>
      <c r="BZ1062" s="210"/>
      <c r="CA1062" s="210"/>
      <c r="CB1062" s="210"/>
      <c r="CC1062" s="210"/>
      <c r="CD1062" s="210"/>
      <c r="CE1062" s="210"/>
      <c r="CF1062" s="210"/>
      <c r="CG1062" s="210"/>
      <c r="CH1062" s="210"/>
      <c r="CI1062" s="210"/>
      <c r="CJ1062" s="210"/>
      <c r="CK1062" s="210"/>
    </row>
    <row r="1063">
      <c r="A1063" s="220"/>
      <c r="F1063" s="190"/>
      <c r="G1063" s="190"/>
      <c r="L1063" s="220"/>
      <c r="M1063" s="22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M1063" s="214"/>
      <c r="AN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c r="BU1063" s="210"/>
      <c r="BV1063" s="210"/>
      <c r="BW1063" s="210"/>
      <c r="BX1063" s="210"/>
      <c r="BY1063" s="210"/>
      <c r="BZ1063" s="210"/>
      <c r="CA1063" s="210"/>
      <c r="CB1063" s="210"/>
      <c r="CC1063" s="210"/>
      <c r="CD1063" s="210"/>
      <c r="CE1063" s="210"/>
      <c r="CF1063" s="210"/>
      <c r="CG1063" s="210"/>
      <c r="CH1063" s="210"/>
      <c r="CI1063" s="210"/>
      <c r="CJ1063" s="210"/>
      <c r="CK1063" s="210"/>
    </row>
    <row r="1064">
      <c r="A1064" s="220"/>
      <c r="F1064" s="190"/>
      <c r="G1064" s="190"/>
      <c r="L1064" s="220"/>
      <c r="M1064" s="22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M1064" s="214"/>
      <c r="AN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c r="BU1064" s="210"/>
      <c r="BV1064" s="210"/>
      <c r="BW1064" s="210"/>
      <c r="BX1064" s="210"/>
      <c r="BY1064" s="210"/>
      <c r="BZ1064" s="210"/>
      <c r="CA1064" s="210"/>
      <c r="CB1064" s="210"/>
      <c r="CC1064" s="210"/>
      <c r="CD1064" s="210"/>
      <c r="CE1064" s="210"/>
      <c r="CF1064" s="210"/>
      <c r="CG1064" s="210"/>
      <c r="CH1064" s="210"/>
      <c r="CI1064" s="210"/>
      <c r="CJ1064" s="210"/>
      <c r="CK1064" s="210"/>
    </row>
    <row r="1065">
      <c r="A1065" s="220"/>
      <c r="F1065" s="190"/>
      <c r="G1065" s="190"/>
      <c r="L1065" s="220"/>
      <c r="M1065" s="22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M1065" s="214"/>
      <c r="AN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c r="BU1065" s="210"/>
      <c r="BV1065" s="210"/>
      <c r="BW1065" s="210"/>
      <c r="BX1065" s="210"/>
      <c r="BY1065" s="210"/>
      <c r="BZ1065" s="210"/>
      <c r="CA1065" s="210"/>
      <c r="CB1065" s="210"/>
      <c r="CC1065" s="210"/>
      <c r="CD1065" s="210"/>
      <c r="CE1065" s="210"/>
      <c r="CF1065" s="210"/>
      <c r="CG1065" s="210"/>
      <c r="CH1065" s="210"/>
      <c r="CI1065" s="210"/>
      <c r="CJ1065" s="210"/>
      <c r="CK1065" s="210"/>
    </row>
    <row r="1066">
      <c r="A1066" s="220"/>
      <c r="F1066" s="190"/>
      <c r="G1066" s="190"/>
      <c r="L1066" s="220"/>
      <c r="M1066" s="22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M1066" s="214"/>
      <c r="AN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c r="BU1066" s="210"/>
      <c r="BV1066" s="210"/>
      <c r="BW1066" s="210"/>
      <c r="BX1066" s="210"/>
      <c r="BY1066" s="210"/>
      <c r="BZ1066" s="210"/>
      <c r="CA1066" s="210"/>
      <c r="CB1066" s="210"/>
      <c r="CC1066" s="210"/>
      <c r="CD1066" s="210"/>
      <c r="CE1066" s="210"/>
      <c r="CF1066" s="210"/>
      <c r="CG1066" s="210"/>
      <c r="CH1066" s="210"/>
      <c r="CI1066" s="210"/>
      <c r="CJ1066" s="210"/>
      <c r="CK1066" s="210"/>
    </row>
    <row r="1067">
      <c r="A1067" s="220"/>
      <c r="F1067" s="190"/>
      <c r="G1067" s="190"/>
      <c r="L1067" s="220"/>
      <c r="M1067" s="22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M1067" s="214"/>
      <c r="AN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c r="BU1067" s="210"/>
      <c r="BV1067" s="210"/>
      <c r="BW1067" s="210"/>
      <c r="BX1067" s="210"/>
      <c r="BY1067" s="210"/>
      <c r="BZ1067" s="210"/>
      <c r="CA1067" s="210"/>
      <c r="CB1067" s="210"/>
      <c r="CC1067" s="210"/>
      <c r="CD1067" s="210"/>
      <c r="CE1067" s="210"/>
      <c r="CF1067" s="210"/>
      <c r="CG1067" s="210"/>
      <c r="CH1067" s="210"/>
      <c r="CI1067" s="210"/>
      <c r="CJ1067" s="210"/>
      <c r="CK1067" s="210"/>
    </row>
    <row r="1068">
      <c r="A1068" s="220"/>
      <c r="F1068" s="190"/>
      <c r="G1068" s="190"/>
      <c r="L1068" s="220"/>
      <c r="M1068" s="22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M1068" s="214"/>
      <c r="AN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c r="BU1068" s="210"/>
      <c r="BV1068" s="210"/>
      <c r="BW1068" s="210"/>
      <c r="BX1068" s="210"/>
      <c r="BY1068" s="210"/>
      <c r="BZ1068" s="210"/>
      <c r="CA1068" s="210"/>
      <c r="CB1068" s="210"/>
      <c r="CC1068" s="210"/>
      <c r="CD1068" s="210"/>
      <c r="CE1068" s="210"/>
      <c r="CF1068" s="210"/>
      <c r="CG1068" s="210"/>
      <c r="CH1068" s="210"/>
      <c r="CI1068" s="210"/>
      <c r="CJ1068" s="210"/>
      <c r="CK1068" s="210"/>
    </row>
    <row r="1069">
      <c r="A1069" s="220"/>
      <c r="F1069" s="190"/>
      <c r="G1069" s="190"/>
      <c r="L1069" s="220"/>
      <c r="M1069" s="22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M1069" s="214"/>
      <c r="AN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c r="BU1069" s="210"/>
      <c r="BV1069" s="210"/>
      <c r="BW1069" s="210"/>
      <c r="BX1069" s="210"/>
      <c r="BY1069" s="210"/>
      <c r="BZ1069" s="210"/>
      <c r="CA1069" s="210"/>
      <c r="CB1069" s="210"/>
      <c r="CC1069" s="210"/>
      <c r="CD1069" s="210"/>
      <c r="CE1069" s="210"/>
      <c r="CF1069" s="210"/>
      <c r="CG1069" s="210"/>
      <c r="CH1069" s="210"/>
      <c r="CI1069" s="210"/>
      <c r="CJ1069" s="210"/>
      <c r="CK1069" s="210"/>
    </row>
    <row r="1070">
      <c r="A1070" s="220"/>
      <c r="F1070" s="190"/>
      <c r="G1070" s="190"/>
      <c r="L1070" s="220"/>
      <c r="M1070" s="22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M1070" s="214"/>
      <c r="AN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c r="BU1070" s="210"/>
      <c r="BV1070" s="210"/>
      <c r="BW1070" s="210"/>
      <c r="BX1070" s="210"/>
      <c r="BY1070" s="210"/>
      <c r="BZ1070" s="210"/>
      <c r="CA1070" s="210"/>
      <c r="CB1070" s="210"/>
      <c r="CC1070" s="210"/>
      <c r="CD1070" s="210"/>
      <c r="CE1070" s="210"/>
      <c r="CF1070" s="210"/>
      <c r="CG1070" s="210"/>
      <c r="CH1070" s="210"/>
      <c r="CI1070" s="210"/>
      <c r="CJ1070" s="210"/>
      <c r="CK1070" s="210"/>
    </row>
    <row r="1071">
      <c r="A1071" s="220"/>
      <c r="F1071" s="190"/>
      <c r="G1071" s="190"/>
      <c r="L1071" s="220"/>
      <c r="M1071" s="22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M1071" s="214"/>
      <c r="AN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c r="BU1071" s="210"/>
      <c r="BV1071" s="210"/>
      <c r="BW1071" s="210"/>
      <c r="BX1071" s="210"/>
      <c r="BY1071" s="210"/>
      <c r="BZ1071" s="210"/>
      <c r="CA1071" s="210"/>
      <c r="CB1071" s="210"/>
      <c r="CC1071" s="210"/>
      <c r="CD1071" s="210"/>
      <c r="CE1071" s="210"/>
      <c r="CF1071" s="210"/>
      <c r="CG1071" s="210"/>
      <c r="CH1071" s="210"/>
      <c r="CI1071" s="210"/>
      <c r="CJ1071" s="210"/>
      <c r="CK1071" s="210"/>
    </row>
    <row r="1072">
      <c r="A1072" s="220"/>
      <c r="F1072" s="190"/>
      <c r="G1072" s="190"/>
      <c r="L1072" s="220"/>
      <c r="M1072" s="22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M1072" s="214"/>
      <c r="AN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c r="BU1072" s="210"/>
      <c r="BV1072" s="210"/>
      <c r="BW1072" s="210"/>
      <c r="BX1072" s="210"/>
      <c r="BY1072" s="210"/>
      <c r="BZ1072" s="210"/>
      <c r="CA1072" s="210"/>
      <c r="CB1072" s="210"/>
      <c r="CC1072" s="210"/>
      <c r="CD1072" s="210"/>
      <c r="CE1072" s="210"/>
      <c r="CF1072" s="210"/>
      <c r="CG1072" s="210"/>
      <c r="CH1072" s="210"/>
      <c r="CI1072" s="210"/>
      <c r="CJ1072" s="210"/>
      <c r="CK1072" s="210"/>
    </row>
    <row r="1073">
      <c r="A1073" s="220"/>
      <c r="F1073" s="190"/>
      <c r="G1073" s="190"/>
      <c r="L1073" s="220"/>
      <c r="M1073" s="22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M1073" s="214"/>
      <c r="AN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c r="BU1073" s="210"/>
      <c r="BV1073" s="210"/>
      <c r="BW1073" s="210"/>
      <c r="BX1073" s="210"/>
      <c r="BY1073" s="210"/>
      <c r="BZ1073" s="210"/>
      <c r="CA1073" s="210"/>
      <c r="CB1073" s="210"/>
      <c r="CC1073" s="210"/>
      <c r="CD1073" s="210"/>
      <c r="CE1073" s="210"/>
      <c r="CF1073" s="210"/>
      <c r="CG1073" s="210"/>
      <c r="CH1073" s="210"/>
      <c r="CI1073" s="210"/>
      <c r="CJ1073" s="210"/>
      <c r="CK1073" s="210"/>
    </row>
    <row r="1074">
      <c r="A1074" s="220"/>
      <c r="F1074" s="190"/>
      <c r="G1074" s="190"/>
      <c r="L1074" s="220"/>
      <c r="M1074" s="22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M1074" s="214"/>
      <c r="AN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c r="BU1074" s="210"/>
      <c r="BV1074" s="210"/>
      <c r="BW1074" s="210"/>
      <c r="BX1074" s="210"/>
      <c r="BY1074" s="210"/>
      <c r="BZ1074" s="210"/>
      <c r="CA1074" s="210"/>
      <c r="CB1074" s="210"/>
      <c r="CC1074" s="210"/>
      <c r="CD1074" s="210"/>
      <c r="CE1074" s="210"/>
      <c r="CF1074" s="210"/>
      <c r="CG1074" s="210"/>
      <c r="CH1074" s="210"/>
      <c r="CI1074" s="210"/>
      <c r="CJ1074" s="210"/>
      <c r="CK1074" s="210"/>
    </row>
    <row r="1075">
      <c r="A1075" s="220"/>
      <c r="F1075" s="190"/>
      <c r="G1075" s="190"/>
      <c r="L1075" s="220"/>
      <c r="M1075" s="22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M1075" s="214"/>
      <c r="AN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c r="BU1075" s="210"/>
      <c r="BV1075" s="210"/>
      <c r="BW1075" s="210"/>
      <c r="BX1075" s="210"/>
      <c r="BY1075" s="210"/>
      <c r="BZ1075" s="210"/>
      <c r="CA1075" s="210"/>
      <c r="CB1075" s="210"/>
      <c r="CC1075" s="210"/>
      <c r="CD1075" s="210"/>
      <c r="CE1075" s="210"/>
      <c r="CF1075" s="210"/>
      <c r="CG1075" s="210"/>
      <c r="CH1075" s="210"/>
      <c r="CI1075" s="210"/>
      <c r="CJ1075" s="210"/>
      <c r="CK1075" s="210"/>
    </row>
    <row r="1076">
      <c r="A1076" s="220"/>
      <c r="F1076" s="190"/>
      <c r="G1076" s="190"/>
      <c r="L1076" s="220"/>
      <c r="M1076" s="22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M1076" s="214"/>
      <c r="AN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c r="BU1076" s="210"/>
      <c r="BV1076" s="210"/>
      <c r="BW1076" s="210"/>
      <c r="BX1076" s="210"/>
      <c r="BY1076" s="210"/>
      <c r="BZ1076" s="210"/>
      <c r="CA1076" s="210"/>
      <c r="CB1076" s="210"/>
      <c r="CC1076" s="210"/>
      <c r="CD1076" s="210"/>
      <c r="CE1076" s="210"/>
      <c r="CF1076" s="210"/>
      <c r="CG1076" s="210"/>
      <c r="CH1076" s="210"/>
      <c r="CI1076" s="210"/>
      <c r="CJ1076" s="210"/>
      <c r="CK1076" s="210"/>
    </row>
    <row r="1077">
      <c r="A1077" s="220"/>
      <c r="F1077" s="190"/>
      <c r="G1077" s="190"/>
      <c r="L1077" s="220"/>
      <c r="M1077" s="22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M1077" s="214"/>
      <c r="AN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c r="BU1077" s="210"/>
      <c r="BV1077" s="210"/>
      <c r="BW1077" s="210"/>
      <c r="BX1077" s="210"/>
      <c r="BY1077" s="210"/>
      <c r="BZ1077" s="210"/>
      <c r="CA1077" s="210"/>
      <c r="CB1077" s="210"/>
      <c r="CC1077" s="210"/>
      <c r="CD1077" s="210"/>
      <c r="CE1077" s="210"/>
      <c r="CF1077" s="210"/>
      <c r="CG1077" s="210"/>
      <c r="CH1077" s="210"/>
      <c r="CI1077" s="210"/>
      <c r="CJ1077" s="210"/>
      <c r="CK1077" s="210"/>
    </row>
    <row r="1078">
      <c r="A1078" s="220"/>
      <c r="F1078" s="190"/>
      <c r="G1078" s="190"/>
      <c r="L1078" s="220"/>
      <c r="M1078" s="22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M1078" s="214"/>
      <c r="AN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c r="BU1078" s="210"/>
      <c r="BV1078" s="210"/>
      <c r="BW1078" s="210"/>
      <c r="BX1078" s="210"/>
      <c r="BY1078" s="210"/>
      <c r="BZ1078" s="210"/>
      <c r="CA1078" s="210"/>
      <c r="CB1078" s="210"/>
      <c r="CC1078" s="210"/>
      <c r="CD1078" s="210"/>
      <c r="CE1078" s="210"/>
      <c r="CF1078" s="210"/>
      <c r="CG1078" s="210"/>
      <c r="CH1078" s="210"/>
      <c r="CI1078" s="210"/>
      <c r="CJ1078" s="210"/>
      <c r="CK1078" s="210"/>
    </row>
    <row r="1079">
      <c r="A1079" s="220"/>
      <c r="F1079" s="190"/>
      <c r="G1079" s="190"/>
      <c r="L1079" s="220"/>
      <c r="M1079" s="22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M1079" s="214"/>
      <c r="AN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c r="BU1079" s="210"/>
      <c r="BV1079" s="210"/>
      <c r="BW1079" s="210"/>
      <c r="BX1079" s="210"/>
      <c r="BY1079" s="210"/>
      <c r="BZ1079" s="210"/>
      <c r="CA1079" s="210"/>
      <c r="CB1079" s="210"/>
      <c r="CC1079" s="210"/>
      <c r="CD1079" s="210"/>
      <c r="CE1079" s="210"/>
      <c r="CF1079" s="210"/>
      <c r="CG1079" s="210"/>
      <c r="CH1079" s="210"/>
      <c r="CI1079" s="210"/>
      <c r="CJ1079" s="210"/>
      <c r="CK1079" s="210"/>
    </row>
    <row r="1080">
      <c r="A1080" s="220"/>
      <c r="F1080" s="190"/>
      <c r="G1080" s="190"/>
      <c r="L1080" s="220"/>
      <c r="M1080" s="22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M1080" s="214"/>
      <c r="AN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c r="BU1080" s="210"/>
      <c r="BV1080" s="210"/>
      <c r="BW1080" s="210"/>
      <c r="BX1080" s="210"/>
      <c r="BY1080" s="210"/>
      <c r="BZ1080" s="210"/>
      <c r="CA1080" s="210"/>
      <c r="CB1080" s="210"/>
      <c r="CC1080" s="210"/>
      <c r="CD1080" s="210"/>
      <c r="CE1080" s="210"/>
      <c r="CF1080" s="210"/>
      <c r="CG1080" s="210"/>
      <c r="CH1080" s="210"/>
      <c r="CI1080" s="210"/>
      <c r="CJ1080" s="210"/>
      <c r="CK1080" s="210"/>
    </row>
    <row r="1081">
      <c r="A1081" s="220"/>
      <c r="F1081" s="190"/>
      <c r="G1081" s="190"/>
      <c r="L1081" s="220"/>
      <c r="M1081" s="22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M1081" s="214"/>
      <c r="AN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c r="BU1081" s="210"/>
      <c r="BV1081" s="210"/>
      <c r="BW1081" s="210"/>
      <c r="BX1081" s="210"/>
      <c r="BY1081" s="210"/>
      <c r="BZ1081" s="210"/>
      <c r="CA1081" s="210"/>
      <c r="CB1081" s="210"/>
      <c r="CC1081" s="210"/>
      <c r="CD1081" s="210"/>
      <c r="CE1081" s="210"/>
      <c r="CF1081" s="210"/>
      <c r="CG1081" s="210"/>
      <c r="CH1081" s="210"/>
      <c r="CI1081" s="210"/>
      <c r="CJ1081" s="210"/>
      <c r="CK1081" s="210"/>
    </row>
    <row r="1082">
      <c r="A1082" s="220"/>
      <c r="F1082" s="190"/>
      <c r="G1082" s="190"/>
      <c r="L1082" s="220"/>
      <c r="M1082" s="22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M1082" s="214"/>
      <c r="AN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c r="BU1082" s="210"/>
      <c r="BV1082" s="210"/>
      <c r="BW1082" s="210"/>
      <c r="BX1082" s="210"/>
      <c r="BY1082" s="210"/>
      <c r="BZ1082" s="210"/>
      <c r="CA1082" s="210"/>
      <c r="CB1082" s="210"/>
      <c r="CC1082" s="210"/>
      <c r="CD1082" s="210"/>
      <c r="CE1082" s="210"/>
      <c r="CF1082" s="210"/>
      <c r="CG1082" s="210"/>
      <c r="CH1082" s="210"/>
      <c r="CI1082" s="210"/>
      <c r="CJ1082" s="210"/>
      <c r="CK1082" s="210"/>
    </row>
    <row r="1083">
      <c r="A1083" s="220"/>
      <c r="F1083" s="190"/>
      <c r="G1083" s="190"/>
      <c r="L1083" s="220"/>
      <c r="M1083" s="22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M1083" s="214"/>
      <c r="AN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c r="BU1083" s="210"/>
      <c r="BV1083" s="210"/>
      <c r="BW1083" s="210"/>
      <c r="BX1083" s="210"/>
      <c r="BY1083" s="210"/>
      <c r="BZ1083" s="210"/>
      <c r="CA1083" s="210"/>
      <c r="CB1083" s="210"/>
      <c r="CC1083" s="210"/>
      <c r="CD1083" s="210"/>
      <c r="CE1083" s="210"/>
      <c r="CF1083" s="210"/>
      <c r="CG1083" s="210"/>
      <c r="CH1083" s="210"/>
      <c r="CI1083" s="210"/>
      <c r="CJ1083" s="210"/>
      <c r="CK1083" s="210"/>
    </row>
    <row r="1084">
      <c r="A1084" s="220"/>
      <c r="F1084" s="190"/>
      <c r="G1084" s="190"/>
      <c r="L1084" s="220"/>
      <c r="M1084" s="22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M1084" s="214"/>
      <c r="AN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c r="BU1084" s="210"/>
      <c r="BV1084" s="210"/>
      <c r="BW1084" s="210"/>
      <c r="BX1084" s="210"/>
      <c r="BY1084" s="210"/>
      <c r="BZ1084" s="210"/>
      <c r="CA1084" s="210"/>
      <c r="CB1084" s="210"/>
      <c r="CC1084" s="210"/>
      <c r="CD1084" s="210"/>
      <c r="CE1084" s="210"/>
      <c r="CF1084" s="210"/>
      <c r="CG1084" s="210"/>
      <c r="CH1084" s="210"/>
      <c r="CI1084" s="210"/>
      <c r="CJ1084" s="210"/>
      <c r="CK1084" s="210"/>
    </row>
    <row r="1085">
      <c r="A1085" s="220"/>
      <c r="F1085" s="190"/>
      <c r="G1085" s="190"/>
      <c r="L1085" s="220"/>
      <c r="M1085" s="22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M1085" s="214"/>
      <c r="AN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c r="BU1085" s="210"/>
      <c r="BV1085" s="210"/>
      <c r="BW1085" s="210"/>
      <c r="BX1085" s="210"/>
      <c r="BY1085" s="210"/>
      <c r="BZ1085" s="210"/>
      <c r="CA1085" s="210"/>
      <c r="CB1085" s="210"/>
      <c r="CC1085" s="210"/>
      <c r="CD1085" s="210"/>
      <c r="CE1085" s="210"/>
      <c r="CF1085" s="210"/>
      <c r="CG1085" s="210"/>
      <c r="CH1085" s="210"/>
      <c r="CI1085" s="210"/>
      <c r="CJ1085" s="210"/>
      <c r="CK1085" s="210"/>
    </row>
    <row r="1086">
      <c r="A1086" s="220"/>
      <c r="F1086" s="190"/>
      <c r="G1086" s="190"/>
      <c r="L1086" s="220"/>
      <c r="M1086" s="22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M1086" s="214"/>
      <c r="AN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c r="BU1086" s="210"/>
      <c r="BV1086" s="210"/>
      <c r="BW1086" s="210"/>
      <c r="BX1086" s="210"/>
      <c r="BY1086" s="210"/>
      <c r="BZ1086" s="210"/>
      <c r="CA1086" s="210"/>
      <c r="CB1086" s="210"/>
      <c r="CC1086" s="210"/>
      <c r="CD1086" s="210"/>
      <c r="CE1086" s="210"/>
      <c r="CF1086" s="210"/>
      <c r="CG1086" s="210"/>
      <c r="CH1086" s="210"/>
      <c r="CI1086" s="210"/>
      <c r="CJ1086" s="210"/>
      <c r="CK1086" s="210"/>
    </row>
    <row r="1087">
      <c r="A1087" s="220"/>
      <c r="F1087" s="190"/>
      <c r="G1087" s="190"/>
      <c r="L1087" s="220"/>
      <c r="M1087" s="22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M1087" s="214"/>
      <c r="AN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c r="BU1087" s="210"/>
      <c r="BV1087" s="210"/>
      <c r="BW1087" s="210"/>
      <c r="BX1087" s="210"/>
      <c r="BY1087" s="210"/>
      <c r="BZ1087" s="210"/>
      <c r="CA1087" s="210"/>
      <c r="CB1087" s="210"/>
      <c r="CC1087" s="210"/>
      <c r="CD1087" s="210"/>
      <c r="CE1087" s="210"/>
      <c r="CF1087" s="210"/>
      <c r="CG1087" s="210"/>
      <c r="CH1087" s="210"/>
      <c r="CI1087" s="210"/>
      <c r="CJ1087" s="210"/>
      <c r="CK1087" s="210"/>
    </row>
    <row r="1088">
      <c r="A1088" s="220"/>
      <c r="F1088" s="190"/>
      <c r="G1088" s="190"/>
      <c r="L1088" s="220"/>
      <c r="M1088" s="22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M1088" s="214"/>
      <c r="AN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c r="BU1088" s="210"/>
      <c r="BV1088" s="210"/>
      <c r="BW1088" s="210"/>
      <c r="BX1088" s="210"/>
      <c r="BY1088" s="210"/>
      <c r="BZ1088" s="210"/>
      <c r="CA1088" s="210"/>
      <c r="CB1088" s="210"/>
      <c r="CC1088" s="210"/>
      <c r="CD1088" s="210"/>
      <c r="CE1088" s="210"/>
      <c r="CF1088" s="210"/>
      <c r="CG1088" s="210"/>
      <c r="CH1088" s="210"/>
      <c r="CI1088" s="210"/>
      <c r="CJ1088" s="210"/>
      <c r="CK1088" s="210"/>
    </row>
    <row r="1089">
      <c r="A1089" s="220"/>
      <c r="F1089" s="190"/>
      <c r="G1089" s="190"/>
      <c r="L1089" s="220"/>
      <c r="M1089" s="22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M1089" s="214"/>
      <c r="AN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c r="BU1089" s="210"/>
      <c r="BV1089" s="210"/>
      <c r="BW1089" s="210"/>
      <c r="BX1089" s="210"/>
      <c r="BY1089" s="210"/>
      <c r="BZ1089" s="210"/>
      <c r="CA1089" s="210"/>
      <c r="CB1089" s="210"/>
      <c r="CC1089" s="210"/>
      <c r="CD1089" s="210"/>
      <c r="CE1089" s="210"/>
      <c r="CF1089" s="210"/>
      <c r="CG1089" s="210"/>
      <c r="CH1089" s="210"/>
      <c r="CI1089" s="210"/>
      <c r="CJ1089" s="210"/>
      <c r="CK1089" s="210"/>
    </row>
    <row r="1090">
      <c r="A1090" s="220"/>
      <c r="F1090" s="190"/>
      <c r="G1090" s="190"/>
      <c r="L1090" s="220"/>
      <c r="M1090" s="22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M1090" s="214"/>
      <c r="AN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c r="BU1090" s="210"/>
      <c r="BV1090" s="210"/>
      <c r="BW1090" s="210"/>
      <c r="BX1090" s="210"/>
      <c r="BY1090" s="210"/>
      <c r="BZ1090" s="210"/>
      <c r="CA1090" s="210"/>
      <c r="CB1090" s="210"/>
      <c r="CC1090" s="210"/>
      <c r="CD1090" s="210"/>
      <c r="CE1090" s="210"/>
      <c r="CF1090" s="210"/>
      <c r="CG1090" s="210"/>
      <c r="CH1090" s="210"/>
      <c r="CI1090" s="210"/>
      <c r="CJ1090" s="210"/>
      <c r="CK1090" s="210"/>
    </row>
    <row r="1091">
      <c r="A1091" s="220"/>
      <c r="F1091" s="190"/>
      <c r="G1091" s="190"/>
      <c r="L1091" s="220"/>
      <c r="M1091" s="22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M1091" s="214"/>
      <c r="AN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c r="BU1091" s="210"/>
      <c r="BV1091" s="210"/>
      <c r="BW1091" s="210"/>
      <c r="BX1091" s="210"/>
      <c r="BY1091" s="210"/>
      <c r="BZ1091" s="210"/>
      <c r="CA1091" s="210"/>
      <c r="CB1091" s="210"/>
      <c r="CC1091" s="210"/>
      <c r="CD1091" s="210"/>
      <c r="CE1091" s="210"/>
      <c r="CF1091" s="210"/>
      <c r="CG1091" s="210"/>
      <c r="CH1091" s="210"/>
      <c r="CI1091" s="210"/>
      <c r="CJ1091" s="210"/>
      <c r="CK1091" s="210"/>
    </row>
    <row r="1092">
      <c r="A1092" s="220"/>
      <c r="F1092" s="190"/>
      <c r="G1092" s="190"/>
      <c r="L1092" s="220"/>
      <c r="M1092" s="22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M1092" s="214"/>
      <c r="AN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c r="BU1092" s="210"/>
      <c r="BV1092" s="210"/>
      <c r="BW1092" s="210"/>
      <c r="BX1092" s="210"/>
      <c r="BY1092" s="210"/>
      <c r="BZ1092" s="210"/>
      <c r="CA1092" s="210"/>
      <c r="CB1092" s="210"/>
      <c r="CC1092" s="210"/>
      <c r="CD1092" s="210"/>
      <c r="CE1092" s="210"/>
      <c r="CF1092" s="210"/>
      <c r="CG1092" s="210"/>
      <c r="CH1092" s="210"/>
      <c r="CI1092" s="210"/>
      <c r="CJ1092" s="210"/>
      <c r="CK1092" s="210"/>
    </row>
    <row r="1093">
      <c r="A1093" s="220"/>
      <c r="F1093" s="190"/>
      <c r="G1093" s="190"/>
      <c r="L1093" s="220"/>
      <c r="M1093" s="22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M1093" s="214"/>
      <c r="AN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c r="BU1093" s="210"/>
      <c r="BV1093" s="210"/>
      <c r="BW1093" s="210"/>
      <c r="BX1093" s="210"/>
      <c r="BY1093" s="210"/>
      <c r="BZ1093" s="210"/>
      <c r="CA1093" s="210"/>
      <c r="CB1093" s="210"/>
      <c r="CC1093" s="210"/>
      <c r="CD1093" s="210"/>
      <c r="CE1093" s="210"/>
      <c r="CF1093" s="210"/>
      <c r="CG1093" s="210"/>
      <c r="CH1093" s="210"/>
      <c r="CI1093" s="210"/>
      <c r="CJ1093" s="210"/>
      <c r="CK1093" s="210"/>
    </row>
    <row r="1094">
      <c r="A1094" s="220"/>
      <c r="F1094" s="190"/>
      <c r="G1094" s="190"/>
      <c r="L1094" s="220"/>
      <c r="M1094" s="22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M1094" s="214"/>
      <c r="AN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c r="BU1094" s="210"/>
      <c r="BV1094" s="210"/>
      <c r="BW1094" s="210"/>
      <c r="BX1094" s="210"/>
      <c r="BY1094" s="210"/>
      <c r="BZ1094" s="210"/>
      <c r="CA1094" s="210"/>
      <c r="CB1094" s="210"/>
      <c r="CC1094" s="210"/>
      <c r="CD1094" s="210"/>
      <c r="CE1094" s="210"/>
      <c r="CF1094" s="210"/>
      <c r="CG1094" s="210"/>
      <c r="CH1094" s="210"/>
      <c r="CI1094" s="210"/>
      <c r="CJ1094" s="210"/>
      <c r="CK1094" s="210"/>
    </row>
    <row r="1095">
      <c r="A1095" s="220"/>
      <c r="F1095" s="190"/>
      <c r="G1095" s="190"/>
      <c r="L1095" s="220"/>
      <c r="M1095" s="22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M1095" s="214"/>
      <c r="AN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c r="BU1095" s="210"/>
      <c r="BV1095" s="210"/>
      <c r="BW1095" s="210"/>
      <c r="BX1095" s="210"/>
      <c r="BY1095" s="210"/>
      <c r="BZ1095" s="210"/>
      <c r="CA1095" s="210"/>
      <c r="CB1095" s="210"/>
      <c r="CC1095" s="210"/>
      <c r="CD1095" s="210"/>
      <c r="CE1095" s="210"/>
      <c r="CF1095" s="210"/>
      <c r="CG1095" s="210"/>
      <c r="CH1095" s="210"/>
      <c r="CI1095" s="210"/>
      <c r="CJ1095" s="210"/>
      <c r="CK1095" s="210"/>
    </row>
    <row r="1096">
      <c r="A1096" s="220"/>
      <c r="F1096" s="190"/>
      <c r="G1096" s="190"/>
      <c r="L1096" s="220"/>
      <c r="M1096" s="22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M1096" s="214"/>
      <c r="AN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c r="BU1096" s="210"/>
      <c r="BV1096" s="210"/>
      <c r="BW1096" s="210"/>
      <c r="BX1096" s="210"/>
      <c r="BY1096" s="210"/>
      <c r="BZ1096" s="210"/>
      <c r="CA1096" s="210"/>
      <c r="CB1096" s="210"/>
      <c r="CC1096" s="210"/>
      <c r="CD1096" s="210"/>
      <c r="CE1096" s="210"/>
      <c r="CF1096" s="210"/>
      <c r="CG1096" s="210"/>
      <c r="CH1096" s="210"/>
      <c r="CI1096" s="210"/>
      <c r="CJ1096" s="210"/>
      <c r="CK1096" s="210"/>
    </row>
    <row r="1097">
      <c r="A1097" s="220"/>
      <c r="F1097" s="190"/>
      <c r="G1097" s="190"/>
      <c r="L1097" s="220"/>
      <c r="M1097" s="22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M1097" s="214"/>
      <c r="AN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c r="BU1097" s="210"/>
      <c r="BV1097" s="210"/>
      <c r="BW1097" s="210"/>
      <c r="BX1097" s="210"/>
      <c r="BY1097" s="210"/>
      <c r="BZ1097" s="210"/>
      <c r="CA1097" s="210"/>
      <c r="CB1097" s="210"/>
      <c r="CC1097" s="210"/>
      <c r="CD1097" s="210"/>
      <c r="CE1097" s="210"/>
      <c r="CF1097" s="210"/>
      <c r="CG1097" s="210"/>
      <c r="CH1097" s="210"/>
      <c r="CI1097" s="210"/>
      <c r="CJ1097" s="210"/>
      <c r="CK1097" s="210"/>
    </row>
    <row r="1098">
      <c r="A1098" s="220"/>
      <c r="F1098" s="190"/>
      <c r="G1098" s="190"/>
      <c r="L1098" s="220"/>
      <c r="M1098" s="22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M1098" s="214"/>
      <c r="AN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c r="BU1098" s="210"/>
      <c r="BV1098" s="210"/>
      <c r="BW1098" s="210"/>
      <c r="BX1098" s="210"/>
      <c r="BY1098" s="210"/>
      <c r="BZ1098" s="210"/>
      <c r="CA1098" s="210"/>
      <c r="CB1098" s="210"/>
      <c r="CC1098" s="210"/>
      <c r="CD1098" s="210"/>
      <c r="CE1098" s="210"/>
      <c r="CF1098" s="210"/>
      <c r="CG1098" s="210"/>
      <c r="CH1098" s="210"/>
      <c r="CI1098" s="210"/>
      <c r="CJ1098" s="210"/>
      <c r="CK1098" s="210"/>
    </row>
    <row r="1099">
      <c r="A1099" s="220"/>
      <c r="F1099" s="190"/>
      <c r="G1099" s="190"/>
      <c r="L1099" s="220"/>
      <c r="M1099" s="22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M1099" s="214"/>
      <c r="AN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c r="BU1099" s="210"/>
      <c r="BV1099" s="210"/>
      <c r="BW1099" s="210"/>
      <c r="BX1099" s="210"/>
      <c r="BY1099" s="210"/>
      <c r="BZ1099" s="210"/>
      <c r="CA1099" s="210"/>
      <c r="CB1099" s="210"/>
      <c r="CC1099" s="210"/>
      <c r="CD1099" s="210"/>
      <c r="CE1099" s="210"/>
      <c r="CF1099" s="210"/>
      <c r="CG1099" s="210"/>
      <c r="CH1099" s="210"/>
      <c r="CI1099" s="210"/>
      <c r="CJ1099" s="210"/>
      <c r="CK1099" s="210"/>
    </row>
    <row r="1100">
      <c r="A1100" s="220"/>
      <c r="F1100" s="190"/>
      <c r="G1100" s="190"/>
      <c r="L1100" s="220"/>
      <c r="M1100" s="22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M1100" s="214"/>
      <c r="AN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c r="BU1100" s="210"/>
      <c r="BV1100" s="210"/>
      <c r="BW1100" s="210"/>
      <c r="BX1100" s="210"/>
      <c r="BY1100" s="210"/>
      <c r="BZ1100" s="210"/>
      <c r="CA1100" s="210"/>
      <c r="CB1100" s="210"/>
      <c r="CC1100" s="210"/>
      <c r="CD1100" s="210"/>
      <c r="CE1100" s="210"/>
      <c r="CF1100" s="210"/>
      <c r="CG1100" s="210"/>
      <c r="CH1100" s="210"/>
      <c r="CI1100" s="210"/>
      <c r="CJ1100" s="210"/>
      <c r="CK1100" s="210"/>
    </row>
    <row r="1101">
      <c r="A1101" s="220"/>
      <c r="F1101" s="190"/>
      <c r="G1101" s="190"/>
      <c r="L1101" s="220"/>
      <c r="M1101" s="22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M1101" s="214"/>
      <c r="AN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c r="BU1101" s="210"/>
      <c r="BV1101" s="210"/>
      <c r="BW1101" s="210"/>
      <c r="BX1101" s="210"/>
      <c r="BY1101" s="210"/>
      <c r="BZ1101" s="210"/>
      <c r="CA1101" s="210"/>
      <c r="CB1101" s="210"/>
      <c r="CC1101" s="210"/>
      <c r="CD1101" s="210"/>
      <c r="CE1101" s="210"/>
      <c r="CF1101" s="210"/>
      <c r="CG1101" s="210"/>
      <c r="CH1101" s="210"/>
      <c r="CI1101" s="210"/>
      <c r="CJ1101" s="210"/>
      <c r="CK1101" s="210"/>
    </row>
    <row r="1102">
      <c r="A1102" s="220"/>
      <c r="F1102" s="190"/>
      <c r="G1102" s="190"/>
      <c r="L1102" s="220"/>
      <c r="M1102" s="22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M1102" s="214"/>
      <c r="AN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c r="BU1102" s="210"/>
      <c r="BV1102" s="210"/>
      <c r="BW1102" s="210"/>
      <c r="BX1102" s="210"/>
      <c r="BY1102" s="210"/>
      <c r="BZ1102" s="210"/>
      <c r="CA1102" s="210"/>
      <c r="CB1102" s="210"/>
      <c r="CC1102" s="210"/>
      <c r="CD1102" s="210"/>
      <c r="CE1102" s="210"/>
      <c r="CF1102" s="210"/>
      <c r="CG1102" s="210"/>
      <c r="CH1102" s="210"/>
      <c r="CI1102" s="210"/>
      <c r="CJ1102" s="210"/>
      <c r="CK1102" s="210"/>
    </row>
    <row r="1103">
      <c r="A1103" s="220"/>
      <c r="F1103" s="190"/>
      <c r="G1103" s="190"/>
      <c r="L1103" s="220"/>
      <c r="M1103" s="22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M1103" s="214"/>
      <c r="AN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c r="BU1103" s="210"/>
      <c r="BV1103" s="210"/>
      <c r="BW1103" s="210"/>
      <c r="BX1103" s="210"/>
      <c r="BY1103" s="210"/>
      <c r="BZ1103" s="210"/>
      <c r="CA1103" s="210"/>
      <c r="CB1103" s="210"/>
      <c r="CC1103" s="210"/>
      <c r="CD1103" s="210"/>
      <c r="CE1103" s="210"/>
      <c r="CF1103" s="210"/>
      <c r="CG1103" s="210"/>
      <c r="CH1103" s="210"/>
      <c r="CI1103" s="210"/>
      <c r="CJ1103" s="210"/>
      <c r="CK1103" s="210"/>
    </row>
    <row r="1104">
      <c r="A1104" s="220"/>
      <c r="F1104" s="190"/>
      <c r="G1104" s="190"/>
      <c r="L1104" s="220"/>
      <c r="M1104" s="22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M1104" s="214"/>
      <c r="AN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c r="BU1104" s="210"/>
      <c r="BV1104" s="210"/>
      <c r="BW1104" s="210"/>
      <c r="BX1104" s="210"/>
      <c r="BY1104" s="210"/>
      <c r="BZ1104" s="210"/>
      <c r="CA1104" s="210"/>
      <c r="CB1104" s="210"/>
      <c r="CC1104" s="210"/>
      <c r="CD1104" s="210"/>
      <c r="CE1104" s="210"/>
      <c r="CF1104" s="210"/>
      <c r="CG1104" s="210"/>
      <c r="CH1104" s="210"/>
      <c r="CI1104" s="210"/>
      <c r="CJ1104" s="210"/>
      <c r="CK1104" s="210"/>
    </row>
    <row r="1105">
      <c r="A1105" s="220"/>
      <c r="F1105" s="190"/>
      <c r="G1105" s="190"/>
      <c r="L1105" s="220"/>
      <c r="M1105" s="22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M1105" s="214"/>
      <c r="AN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c r="BU1105" s="210"/>
      <c r="BV1105" s="210"/>
      <c r="BW1105" s="210"/>
      <c r="BX1105" s="210"/>
      <c r="BY1105" s="210"/>
      <c r="BZ1105" s="210"/>
      <c r="CA1105" s="210"/>
      <c r="CB1105" s="210"/>
      <c r="CC1105" s="210"/>
      <c r="CD1105" s="210"/>
      <c r="CE1105" s="210"/>
      <c r="CF1105" s="210"/>
      <c r="CG1105" s="210"/>
      <c r="CH1105" s="210"/>
      <c r="CI1105" s="210"/>
      <c r="CJ1105" s="210"/>
      <c r="CK1105" s="210"/>
    </row>
    <row r="1106">
      <c r="A1106" s="220"/>
      <c r="F1106" s="190"/>
      <c r="G1106" s="190"/>
      <c r="L1106" s="220"/>
      <c r="M1106" s="22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M1106" s="214"/>
      <c r="AN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c r="BU1106" s="210"/>
      <c r="BV1106" s="210"/>
      <c r="BW1106" s="210"/>
      <c r="BX1106" s="210"/>
      <c r="BY1106" s="210"/>
      <c r="BZ1106" s="210"/>
      <c r="CA1106" s="210"/>
      <c r="CB1106" s="210"/>
      <c r="CC1106" s="210"/>
      <c r="CD1106" s="210"/>
      <c r="CE1106" s="210"/>
      <c r="CF1106" s="210"/>
      <c r="CG1106" s="210"/>
      <c r="CH1106" s="210"/>
      <c r="CI1106" s="210"/>
      <c r="CJ1106" s="210"/>
      <c r="CK1106" s="210"/>
    </row>
    <row r="1107">
      <c r="A1107" s="220"/>
      <c r="F1107" s="190"/>
      <c r="G1107" s="190"/>
      <c r="L1107" s="220"/>
      <c r="M1107" s="22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M1107" s="214"/>
      <c r="AN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c r="BU1107" s="210"/>
      <c r="BV1107" s="210"/>
      <c r="BW1107" s="210"/>
      <c r="BX1107" s="210"/>
      <c r="BY1107" s="210"/>
      <c r="BZ1107" s="210"/>
      <c r="CA1107" s="210"/>
      <c r="CB1107" s="210"/>
      <c r="CC1107" s="210"/>
      <c r="CD1107" s="210"/>
      <c r="CE1107" s="210"/>
      <c r="CF1107" s="210"/>
      <c r="CG1107" s="210"/>
      <c r="CH1107" s="210"/>
      <c r="CI1107" s="210"/>
      <c r="CJ1107" s="210"/>
      <c r="CK1107" s="210"/>
    </row>
    <row r="1108">
      <c r="A1108" s="220"/>
      <c r="F1108" s="190"/>
      <c r="G1108" s="190"/>
      <c r="L1108" s="220"/>
      <c r="M1108" s="22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M1108" s="214"/>
      <c r="AN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c r="BU1108" s="210"/>
      <c r="BV1108" s="210"/>
      <c r="BW1108" s="210"/>
      <c r="BX1108" s="210"/>
      <c r="BY1108" s="210"/>
      <c r="BZ1108" s="210"/>
      <c r="CA1108" s="210"/>
      <c r="CB1108" s="210"/>
      <c r="CC1108" s="210"/>
      <c r="CD1108" s="210"/>
      <c r="CE1108" s="210"/>
      <c r="CF1108" s="210"/>
      <c r="CG1108" s="210"/>
      <c r="CH1108" s="210"/>
      <c r="CI1108" s="210"/>
      <c r="CJ1108" s="210"/>
      <c r="CK1108" s="210"/>
    </row>
    <row r="1109">
      <c r="A1109" s="220"/>
      <c r="F1109" s="190"/>
      <c r="G1109" s="190"/>
      <c r="L1109" s="220"/>
      <c r="M1109" s="22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M1109" s="214"/>
      <c r="AN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c r="BU1109" s="210"/>
      <c r="BV1109" s="210"/>
      <c r="BW1109" s="210"/>
      <c r="BX1109" s="210"/>
      <c r="BY1109" s="210"/>
      <c r="BZ1109" s="210"/>
      <c r="CA1109" s="210"/>
      <c r="CB1109" s="210"/>
      <c r="CC1109" s="210"/>
      <c r="CD1109" s="210"/>
      <c r="CE1109" s="210"/>
      <c r="CF1109" s="210"/>
      <c r="CG1109" s="210"/>
      <c r="CH1109" s="210"/>
      <c r="CI1109" s="210"/>
      <c r="CJ1109" s="210"/>
      <c r="CK1109" s="210"/>
    </row>
    <row r="1110">
      <c r="A1110" s="220"/>
      <c r="F1110" s="190"/>
      <c r="G1110" s="190"/>
      <c r="L1110" s="220"/>
      <c r="M1110" s="22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M1110" s="214"/>
      <c r="AN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c r="BU1110" s="210"/>
      <c r="BV1110" s="210"/>
      <c r="BW1110" s="210"/>
      <c r="BX1110" s="210"/>
      <c r="BY1110" s="210"/>
      <c r="BZ1110" s="210"/>
      <c r="CA1110" s="210"/>
      <c r="CB1110" s="210"/>
      <c r="CC1110" s="210"/>
      <c r="CD1110" s="210"/>
      <c r="CE1110" s="210"/>
      <c r="CF1110" s="210"/>
      <c r="CG1110" s="210"/>
      <c r="CH1110" s="210"/>
      <c r="CI1110" s="210"/>
      <c r="CJ1110" s="210"/>
      <c r="CK1110" s="210"/>
    </row>
    <row r="1111">
      <c r="A1111" s="220"/>
      <c r="F1111" s="190"/>
      <c r="G1111" s="190"/>
      <c r="L1111" s="220"/>
      <c r="M1111" s="22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M1111" s="214"/>
      <c r="AN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c r="BU1111" s="210"/>
      <c r="BV1111" s="210"/>
      <c r="BW1111" s="210"/>
      <c r="BX1111" s="210"/>
      <c r="BY1111" s="210"/>
      <c r="BZ1111" s="210"/>
      <c r="CA1111" s="210"/>
      <c r="CB1111" s="210"/>
      <c r="CC1111" s="210"/>
      <c r="CD1111" s="210"/>
      <c r="CE1111" s="210"/>
      <c r="CF1111" s="210"/>
      <c r="CG1111" s="210"/>
      <c r="CH1111" s="210"/>
      <c r="CI1111" s="210"/>
      <c r="CJ1111" s="210"/>
      <c r="CK1111" s="210"/>
    </row>
    <row r="1112">
      <c r="A1112" s="220"/>
      <c r="F1112" s="190"/>
      <c r="G1112" s="190"/>
      <c r="L1112" s="220"/>
      <c r="M1112" s="22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M1112" s="214"/>
      <c r="AN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c r="BU1112" s="210"/>
      <c r="BV1112" s="210"/>
      <c r="BW1112" s="210"/>
      <c r="BX1112" s="210"/>
      <c r="BY1112" s="210"/>
      <c r="BZ1112" s="210"/>
      <c r="CA1112" s="210"/>
      <c r="CB1112" s="210"/>
      <c r="CC1112" s="210"/>
      <c r="CD1112" s="210"/>
      <c r="CE1112" s="210"/>
      <c r="CF1112" s="210"/>
      <c r="CG1112" s="210"/>
      <c r="CH1112" s="210"/>
      <c r="CI1112" s="210"/>
      <c r="CJ1112" s="210"/>
      <c r="CK1112" s="210"/>
    </row>
    <row r="1113">
      <c r="A1113" s="220"/>
      <c r="F1113" s="190"/>
      <c r="G1113" s="190"/>
      <c r="L1113" s="220"/>
      <c r="M1113" s="22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M1113" s="214"/>
      <c r="AN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c r="BU1113" s="210"/>
      <c r="BV1113" s="210"/>
      <c r="BW1113" s="210"/>
      <c r="BX1113" s="210"/>
      <c r="BY1113" s="210"/>
      <c r="BZ1113" s="210"/>
      <c r="CA1113" s="210"/>
      <c r="CB1113" s="210"/>
      <c r="CC1113" s="210"/>
      <c r="CD1113" s="210"/>
      <c r="CE1113" s="210"/>
      <c r="CF1113" s="210"/>
      <c r="CG1113" s="210"/>
      <c r="CH1113" s="210"/>
      <c r="CI1113" s="210"/>
      <c r="CJ1113" s="210"/>
      <c r="CK1113" s="210"/>
    </row>
    <row r="1114">
      <c r="A1114" s="220"/>
      <c r="F1114" s="190"/>
      <c r="G1114" s="190"/>
      <c r="L1114" s="220"/>
      <c r="M1114" s="22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M1114" s="214"/>
      <c r="AN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c r="BU1114" s="210"/>
      <c r="BV1114" s="210"/>
      <c r="BW1114" s="210"/>
      <c r="BX1114" s="210"/>
      <c r="BY1114" s="210"/>
      <c r="BZ1114" s="210"/>
      <c r="CA1114" s="210"/>
      <c r="CB1114" s="210"/>
      <c r="CC1114" s="210"/>
      <c r="CD1114" s="210"/>
      <c r="CE1114" s="210"/>
      <c r="CF1114" s="210"/>
      <c r="CG1114" s="210"/>
      <c r="CH1114" s="210"/>
      <c r="CI1114" s="210"/>
      <c r="CJ1114" s="210"/>
      <c r="CK1114" s="210"/>
    </row>
    <row r="1115">
      <c r="A1115" s="220"/>
      <c r="F1115" s="190"/>
      <c r="G1115" s="190"/>
      <c r="L1115" s="220"/>
      <c r="M1115" s="22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M1115" s="214"/>
      <c r="AN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c r="BU1115" s="210"/>
      <c r="BV1115" s="210"/>
      <c r="BW1115" s="210"/>
      <c r="BX1115" s="210"/>
      <c r="BY1115" s="210"/>
      <c r="BZ1115" s="210"/>
      <c r="CA1115" s="210"/>
      <c r="CB1115" s="210"/>
      <c r="CC1115" s="210"/>
      <c r="CD1115" s="210"/>
      <c r="CE1115" s="210"/>
      <c r="CF1115" s="210"/>
      <c r="CG1115" s="210"/>
      <c r="CH1115" s="210"/>
      <c r="CI1115" s="210"/>
      <c r="CJ1115" s="210"/>
      <c r="CK1115" s="210"/>
    </row>
    <row r="1116">
      <c r="A1116" s="220"/>
      <c r="F1116" s="190"/>
      <c r="G1116" s="190"/>
      <c r="L1116" s="220"/>
      <c r="M1116" s="22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M1116" s="214"/>
      <c r="AN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c r="BU1116" s="210"/>
      <c r="BV1116" s="210"/>
      <c r="BW1116" s="210"/>
      <c r="BX1116" s="210"/>
      <c r="BY1116" s="210"/>
      <c r="BZ1116" s="210"/>
      <c r="CA1116" s="210"/>
      <c r="CB1116" s="210"/>
      <c r="CC1116" s="210"/>
      <c r="CD1116" s="210"/>
      <c r="CE1116" s="210"/>
      <c r="CF1116" s="210"/>
      <c r="CG1116" s="210"/>
      <c r="CH1116" s="210"/>
      <c r="CI1116" s="210"/>
      <c r="CJ1116" s="210"/>
      <c r="CK1116" s="210"/>
    </row>
    <row r="1117">
      <c r="A1117" s="220"/>
      <c r="F1117" s="190"/>
      <c r="G1117" s="190"/>
      <c r="L1117" s="220"/>
      <c r="M1117" s="22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M1117" s="214"/>
      <c r="AN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c r="BU1117" s="210"/>
      <c r="BV1117" s="210"/>
      <c r="BW1117" s="210"/>
      <c r="BX1117" s="210"/>
      <c r="BY1117" s="210"/>
      <c r="BZ1117" s="210"/>
      <c r="CA1117" s="210"/>
      <c r="CB1117" s="210"/>
      <c r="CC1117" s="210"/>
      <c r="CD1117" s="210"/>
      <c r="CE1117" s="210"/>
      <c r="CF1117" s="210"/>
      <c r="CG1117" s="210"/>
      <c r="CH1117" s="210"/>
      <c r="CI1117" s="210"/>
      <c r="CJ1117" s="210"/>
      <c r="CK1117" s="210"/>
    </row>
    <row r="1118">
      <c r="A1118" s="220"/>
      <c r="F1118" s="190"/>
      <c r="G1118" s="190"/>
      <c r="L1118" s="220"/>
      <c r="M1118" s="22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M1118" s="214"/>
      <c r="AN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c r="BU1118" s="210"/>
      <c r="BV1118" s="210"/>
      <c r="BW1118" s="210"/>
      <c r="BX1118" s="210"/>
      <c r="BY1118" s="210"/>
      <c r="BZ1118" s="210"/>
      <c r="CA1118" s="210"/>
      <c r="CB1118" s="210"/>
      <c r="CC1118" s="210"/>
      <c r="CD1118" s="210"/>
      <c r="CE1118" s="210"/>
      <c r="CF1118" s="210"/>
      <c r="CG1118" s="210"/>
      <c r="CH1118" s="210"/>
      <c r="CI1118" s="210"/>
      <c r="CJ1118" s="210"/>
      <c r="CK1118" s="210"/>
    </row>
    <row r="1119">
      <c r="A1119" s="220"/>
      <c r="F1119" s="190"/>
      <c r="G1119" s="190"/>
      <c r="L1119" s="220"/>
      <c r="M1119" s="22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M1119" s="214"/>
      <c r="AN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c r="BU1119" s="210"/>
      <c r="BV1119" s="210"/>
      <c r="BW1119" s="210"/>
      <c r="BX1119" s="210"/>
      <c r="BY1119" s="210"/>
      <c r="BZ1119" s="210"/>
      <c r="CA1119" s="210"/>
      <c r="CB1119" s="210"/>
      <c r="CC1119" s="210"/>
      <c r="CD1119" s="210"/>
      <c r="CE1119" s="210"/>
      <c r="CF1119" s="210"/>
      <c r="CG1119" s="210"/>
      <c r="CH1119" s="210"/>
      <c r="CI1119" s="210"/>
      <c r="CJ1119" s="210"/>
      <c r="CK1119" s="210"/>
    </row>
    <row r="1120">
      <c r="A1120" s="220"/>
      <c r="F1120" s="190"/>
      <c r="G1120" s="190"/>
      <c r="L1120" s="220"/>
      <c r="M1120" s="22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M1120" s="214"/>
      <c r="AN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c r="BU1120" s="210"/>
      <c r="BV1120" s="210"/>
      <c r="BW1120" s="210"/>
      <c r="BX1120" s="210"/>
      <c r="BY1120" s="210"/>
      <c r="BZ1120" s="210"/>
      <c r="CA1120" s="210"/>
      <c r="CB1120" s="210"/>
      <c r="CC1120" s="210"/>
      <c r="CD1120" s="210"/>
      <c r="CE1120" s="210"/>
      <c r="CF1120" s="210"/>
      <c r="CG1120" s="210"/>
      <c r="CH1120" s="210"/>
      <c r="CI1120" s="210"/>
      <c r="CJ1120" s="210"/>
      <c r="CK1120" s="210"/>
    </row>
    <row r="1121">
      <c r="A1121" s="220"/>
      <c r="F1121" s="190"/>
      <c r="G1121" s="190"/>
      <c r="L1121" s="220"/>
      <c r="M1121" s="22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M1121" s="214"/>
      <c r="AN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c r="BU1121" s="210"/>
      <c r="BV1121" s="210"/>
      <c r="BW1121" s="210"/>
      <c r="BX1121" s="210"/>
      <c r="BY1121" s="210"/>
      <c r="BZ1121" s="210"/>
      <c r="CA1121" s="210"/>
      <c r="CB1121" s="210"/>
      <c r="CC1121" s="210"/>
      <c r="CD1121" s="210"/>
      <c r="CE1121" s="210"/>
      <c r="CF1121" s="210"/>
      <c r="CG1121" s="210"/>
      <c r="CH1121" s="210"/>
      <c r="CI1121" s="210"/>
      <c r="CJ1121" s="210"/>
      <c r="CK1121" s="210"/>
    </row>
    <row r="1122">
      <c r="A1122" s="220"/>
      <c r="F1122" s="190"/>
      <c r="G1122" s="190"/>
      <c r="L1122" s="220"/>
      <c r="M1122" s="22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M1122" s="214"/>
      <c r="AN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c r="BU1122" s="210"/>
      <c r="BV1122" s="210"/>
      <c r="BW1122" s="210"/>
      <c r="BX1122" s="210"/>
      <c r="BY1122" s="210"/>
      <c r="BZ1122" s="210"/>
      <c r="CA1122" s="210"/>
      <c r="CB1122" s="210"/>
      <c r="CC1122" s="210"/>
      <c r="CD1122" s="210"/>
      <c r="CE1122" s="210"/>
      <c r="CF1122" s="210"/>
      <c r="CG1122" s="210"/>
      <c r="CH1122" s="210"/>
      <c r="CI1122" s="210"/>
      <c r="CJ1122" s="210"/>
      <c r="CK1122" s="210"/>
    </row>
    <row r="1123">
      <c r="A1123" s="220"/>
      <c r="F1123" s="190"/>
      <c r="G1123" s="190"/>
      <c r="L1123" s="220"/>
      <c r="M1123" s="22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M1123" s="214"/>
      <c r="AN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c r="BU1123" s="210"/>
      <c r="BV1123" s="210"/>
      <c r="BW1123" s="210"/>
      <c r="BX1123" s="210"/>
      <c r="BY1123" s="210"/>
      <c r="BZ1123" s="210"/>
      <c r="CA1123" s="210"/>
      <c r="CB1123" s="210"/>
      <c r="CC1123" s="210"/>
      <c r="CD1123" s="210"/>
      <c r="CE1123" s="210"/>
      <c r="CF1123" s="210"/>
      <c r="CG1123" s="210"/>
      <c r="CH1123" s="210"/>
      <c r="CI1123" s="210"/>
      <c r="CJ1123" s="210"/>
      <c r="CK1123" s="210"/>
    </row>
    <row r="1124">
      <c r="A1124" s="220"/>
      <c r="F1124" s="190"/>
      <c r="G1124" s="190"/>
      <c r="L1124" s="220"/>
      <c r="M1124" s="220"/>
      <c r="O1124" s="210"/>
      <c r="P1124" s="210"/>
      <c r="Q1124" s="210"/>
      <c r="R1124" s="210"/>
      <c r="S1124" s="210"/>
      <c r="T1124" s="210"/>
      <c r="U1124" s="210"/>
      <c r="V1124" s="210"/>
      <c r="W1124" s="210"/>
      <c r="X1124" s="210"/>
      <c r="Y1124" s="210"/>
      <c r="Z1124" s="210"/>
      <c r="AA1124" s="210"/>
      <c r="AB1124" s="210"/>
      <c r="AC1124" s="210"/>
      <c r="AD1124" s="210"/>
      <c r="AE1124" s="210"/>
      <c r="AF1124" s="210"/>
      <c r="AG1124" s="210"/>
      <c r="AH1124" s="210"/>
      <c r="AI1124" s="210"/>
      <c r="AJ1124" s="210"/>
      <c r="AK1124" s="210"/>
      <c r="AL1124" s="210"/>
      <c r="AM1124" s="214"/>
      <c r="AN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c r="BU1124" s="210"/>
      <c r="BV1124" s="210"/>
      <c r="BW1124" s="210"/>
      <c r="BX1124" s="210"/>
      <c r="BY1124" s="210"/>
      <c r="BZ1124" s="210"/>
      <c r="CA1124" s="210"/>
      <c r="CB1124" s="210"/>
      <c r="CC1124" s="210"/>
      <c r="CD1124" s="210"/>
      <c r="CE1124" s="210"/>
      <c r="CF1124" s="210"/>
      <c r="CG1124" s="210"/>
      <c r="CH1124" s="210"/>
      <c r="CI1124" s="210"/>
      <c r="CJ1124" s="210"/>
      <c r="CK1124" s="210"/>
    </row>
    <row r="1125">
      <c r="A1125" s="220"/>
      <c r="F1125" s="190"/>
      <c r="G1125" s="190"/>
      <c r="L1125" s="220"/>
      <c r="M1125" s="220"/>
      <c r="O1125" s="210"/>
      <c r="P1125" s="210"/>
      <c r="Q1125" s="210"/>
      <c r="R1125" s="210"/>
      <c r="S1125" s="210"/>
      <c r="T1125" s="210"/>
      <c r="U1125" s="210"/>
      <c r="V1125" s="210"/>
      <c r="W1125" s="210"/>
      <c r="X1125" s="210"/>
      <c r="Y1125" s="210"/>
      <c r="Z1125" s="210"/>
      <c r="AA1125" s="210"/>
      <c r="AB1125" s="210"/>
      <c r="AC1125" s="210"/>
      <c r="AD1125" s="210"/>
      <c r="AE1125" s="210"/>
      <c r="AF1125" s="210"/>
      <c r="AG1125" s="210"/>
      <c r="AH1125" s="210"/>
      <c r="AI1125" s="210"/>
      <c r="AJ1125" s="210"/>
      <c r="AK1125" s="210"/>
      <c r="AL1125" s="210"/>
      <c r="AM1125" s="214"/>
      <c r="AN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c r="BU1125" s="210"/>
      <c r="BV1125" s="210"/>
      <c r="BW1125" s="210"/>
      <c r="BX1125" s="210"/>
      <c r="BY1125" s="210"/>
      <c r="BZ1125" s="210"/>
      <c r="CA1125" s="210"/>
      <c r="CB1125" s="210"/>
      <c r="CC1125" s="210"/>
      <c r="CD1125" s="210"/>
      <c r="CE1125" s="210"/>
      <c r="CF1125" s="210"/>
      <c r="CG1125" s="210"/>
      <c r="CH1125" s="210"/>
      <c r="CI1125" s="210"/>
      <c r="CJ1125" s="210"/>
      <c r="CK1125" s="210"/>
    </row>
    <row r="1126">
      <c r="A1126" s="220"/>
      <c r="F1126" s="190"/>
      <c r="G1126" s="190"/>
      <c r="L1126" s="220"/>
      <c r="M1126" s="220"/>
      <c r="O1126" s="210"/>
      <c r="P1126" s="210"/>
      <c r="Q1126" s="210"/>
      <c r="R1126" s="210"/>
      <c r="S1126" s="210"/>
      <c r="T1126" s="210"/>
      <c r="U1126" s="210"/>
      <c r="V1126" s="210"/>
      <c r="W1126" s="210"/>
      <c r="X1126" s="210"/>
      <c r="Y1126" s="210"/>
      <c r="Z1126" s="210"/>
      <c r="AA1126" s="210"/>
      <c r="AB1126" s="210"/>
      <c r="AC1126" s="210"/>
      <c r="AD1126" s="210"/>
      <c r="AE1126" s="210"/>
      <c r="AF1126" s="210"/>
      <c r="AG1126" s="210"/>
      <c r="AH1126" s="210"/>
      <c r="AI1126" s="210"/>
      <c r="AJ1126" s="210"/>
      <c r="AK1126" s="210"/>
      <c r="AL1126" s="210"/>
      <c r="AM1126" s="214"/>
      <c r="AN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c r="BU1126" s="210"/>
      <c r="BV1126" s="210"/>
      <c r="BW1126" s="210"/>
      <c r="BX1126" s="210"/>
      <c r="BY1126" s="210"/>
      <c r="BZ1126" s="210"/>
      <c r="CA1126" s="210"/>
      <c r="CB1126" s="210"/>
      <c r="CC1126" s="210"/>
      <c r="CD1126" s="210"/>
      <c r="CE1126" s="210"/>
      <c r="CF1126" s="210"/>
      <c r="CG1126" s="210"/>
      <c r="CH1126" s="210"/>
      <c r="CI1126" s="210"/>
      <c r="CJ1126" s="210"/>
      <c r="CK1126" s="210"/>
    </row>
    <row r="1127">
      <c r="A1127" s="220"/>
      <c r="F1127" s="190"/>
      <c r="G1127" s="190"/>
      <c r="L1127" s="220"/>
      <c r="M1127" s="220"/>
      <c r="O1127" s="210"/>
      <c r="P1127" s="210"/>
      <c r="Q1127" s="210"/>
      <c r="R1127" s="210"/>
      <c r="S1127" s="210"/>
      <c r="T1127" s="210"/>
      <c r="U1127" s="210"/>
      <c r="V1127" s="210"/>
      <c r="W1127" s="210"/>
      <c r="X1127" s="210"/>
      <c r="Y1127" s="210"/>
      <c r="Z1127" s="210"/>
      <c r="AA1127" s="210"/>
      <c r="AB1127" s="210"/>
      <c r="AC1127" s="210"/>
      <c r="AD1127" s="210"/>
      <c r="AE1127" s="210"/>
      <c r="AF1127" s="210"/>
      <c r="AG1127" s="210"/>
      <c r="AH1127" s="210"/>
      <c r="AI1127" s="210"/>
      <c r="AJ1127" s="210"/>
      <c r="AK1127" s="210"/>
      <c r="AL1127" s="210"/>
      <c r="AM1127" s="214"/>
      <c r="AN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c r="BU1127" s="210"/>
      <c r="BV1127" s="210"/>
      <c r="BW1127" s="210"/>
      <c r="BX1127" s="210"/>
      <c r="BY1127" s="210"/>
      <c r="BZ1127" s="210"/>
      <c r="CA1127" s="210"/>
      <c r="CB1127" s="210"/>
      <c r="CC1127" s="210"/>
      <c r="CD1127" s="210"/>
      <c r="CE1127" s="210"/>
      <c r="CF1127" s="210"/>
      <c r="CG1127" s="210"/>
      <c r="CH1127" s="210"/>
      <c r="CI1127" s="210"/>
      <c r="CJ1127" s="210"/>
      <c r="CK1127" s="210"/>
    </row>
    <row r="1128">
      <c r="A1128" s="220"/>
      <c r="F1128" s="190"/>
      <c r="G1128" s="190"/>
      <c r="L1128" s="220"/>
      <c r="M1128" s="220"/>
      <c r="O1128" s="210"/>
      <c r="P1128" s="210"/>
      <c r="Q1128" s="210"/>
      <c r="R1128" s="210"/>
      <c r="S1128" s="210"/>
      <c r="T1128" s="210"/>
      <c r="U1128" s="210"/>
      <c r="V1128" s="210"/>
      <c r="W1128" s="210"/>
      <c r="X1128" s="210"/>
      <c r="Y1128" s="210"/>
      <c r="Z1128" s="210"/>
      <c r="AA1128" s="210"/>
      <c r="AB1128" s="210"/>
      <c r="AC1128" s="210"/>
      <c r="AD1128" s="210"/>
      <c r="AE1128" s="210"/>
      <c r="AF1128" s="210"/>
      <c r="AG1128" s="210"/>
      <c r="AH1128" s="210"/>
      <c r="AI1128" s="210"/>
      <c r="AJ1128" s="210"/>
      <c r="AK1128" s="210"/>
      <c r="AL1128" s="210"/>
      <c r="AM1128" s="214"/>
      <c r="AN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c r="BU1128" s="210"/>
      <c r="BV1128" s="210"/>
      <c r="BW1128" s="210"/>
      <c r="BX1128" s="210"/>
      <c r="BY1128" s="210"/>
      <c r="BZ1128" s="210"/>
      <c r="CA1128" s="210"/>
      <c r="CB1128" s="210"/>
      <c r="CC1128" s="210"/>
      <c r="CD1128" s="210"/>
      <c r="CE1128" s="210"/>
      <c r="CF1128" s="210"/>
      <c r="CG1128" s="210"/>
      <c r="CH1128" s="210"/>
      <c r="CI1128" s="210"/>
      <c r="CJ1128" s="210"/>
      <c r="CK1128" s="210"/>
    </row>
    <row r="1129">
      <c r="A1129" s="220"/>
      <c r="F1129" s="190"/>
      <c r="G1129" s="190"/>
      <c r="L1129" s="220"/>
      <c r="M1129" s="220"/>
      <c r="O1129" s="210"/>
      <c r="P1129" s="210"/>
      <c r="Q1129" s="210"/>
      <c r="R1129" s="210"/>
      <c r="S1129" s="210"/>
      <c r="T1129" s="210"/>
      <c r="U1129" s="210"/>
      <c r="V1129" s="210"/>
      <c r="W1129" s="210"/>
      <c r="X1129" s="210"/>
      <c r="Y1129" s="210"/>
      <c r="Z1129" s="210"/>
      <c r="AA1129" s="210"/>
      <c r="AB1129" s="210"/>
      <c r="AC1129" s="210"/>
      <c r="AD1129" s="210"/>
      <c r="AE1129" s="210"/>
      <c r="AF1129" s="210"/>
      <c r="AG1129" s="210"/>
      <c r="AH1129" s="210"/>
      <c r="AI1129" s="210"/>
      <c r="AJ1129" s="210"/>
      <c r="AK1129" s="210"/>
      <c r="AL1129" s="210"/>
      <c r="AM1129" s="214"/>
      <c r="AN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c r="BU1129" s="210"/>
      <c r="BV1129" s="210"/>
      <c r="BW1129" s="210"/>
      <c r="BX1129" s="210"/>
      <c r="BY1129" s="210"/>
      <c r="BZ1129" s="210"/>
      <c r="CA1129" s="210"/>
      <c r="CB1129" s="210"/>
      <c r="CC1129" s="210"/>
      <c r="CD1129" s="210"/>
      <c r="CE1129" s="210"/>
      <c r="CF1129" s="210"/>
      <c r="CG1129" s="210"/>
      <c r="CH1129" s="210"/>
      <c r="CI1129" s="210"/>
      <c r="CJ1129" s="210"/>
      <c r="CK1129" s="210"/>
    </row>
    <row r="1130">
      <c r="A1130" s="220"/>
      <c r="F1130" s="190"/>
      <c r="G1130" s="190"/>
      <c r="L1130" s="220"/>
      <c r="M1130" s="220"/>
      <c r="O1130" s="210"/>
      <c r="P1130" s="210"/>
      <c r="Q1130" s="210"/>
      <c r="R1130" s="210"/>
      <c r="S1130" s="210"/>
      <c r="T1130" s="210"/>
      <c r="U1130" s="210"/>
      <c r="V1130" s="210"/>
      <c r="W1130" s="210"/>
      <c r="X1130" s="210"/>
      <c r="Y1130" s="210"/>
      <c r="Z1130" s="210"/>
      <c r="AA1130" s="210"/>
      <c r="AB1130" s="210"/>
      <c r="AC1130" s="210"/>
      <c r="AD1130" s="210"/>
      <c r="AE1130" s="210"/>
      <c r="AF1130" s="210"/>
      <c r="AG1130" s="210"/>
      <c r="AH1130" s="210"/>
      <c r="AI1130" s="210"/>
      <c r="AJ1130" s="210"/>
      <c r="AK1130" s="210"/>
      <c r="AL1130" s="210"/>
      <c r="AM1130" s="214"/>
      <c r="AN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c r="BU1130" s="210"/>
      <c r="BV1130" s="210"/>
      <c r="BW1130" s="210"/>
      <c r="BX1130" s="210"/>
      <c r="BY1130" s="210"/>
      <c r="BZ1130" s="210"/>
      <c r="CA1130" s="210"/>
      <c r="CB1130" s="210"/>
      <c r="CC1130" s="210"/>
      <c r="CD1130" s="210"/>
      <c r="CE1130" s="210"/>
      <c r="CF1130" s="210"/>
      <c r="CG1130" s="210"/>
      <c r="CH1130" s="210"/>
      <c r="CI1130" s="210"/>
      <c r="CJ1130" s="210"/>
      <c r="CK1130" s="210"/>
    </row>
    <row r="1131">
      <c r="A1131" s="220"/>
      <c r="F1131" s="190"/>
      <c r="G1131" s="190"/>
      <c r="L1131" s="220"/>
      <c r="M1131" s="220"/>
      <c r="O1131" s="210"/>
      <c r="P1131" s="210"/>
      <c r="Q1131" s="210"/>
      <c r="R1131" s="210"/>
      <c r="S1131" s="210"/>
      <c r="T1131" s="210"/>
      <c r="U1131" s="210"/>
      <c r="V1131" s="210"/>
      <c r="W1131" s="210"/>
      <c r="X1131" s="210"/>
      <c r="Y1131" s="210"/>
      <c r="Z1131" s="210"/>
      <c r="AA1131" s="210"/>
      <c r="AB1131" s="210"/>
      <c r="AC1131" s="210"/>
      <c r="AD1131" s="210"/>
      <c r="AE1131" s="210"/>
      <c r="AF1131" s="210"/>
      <c r="AG1131" s="210"/>
      <c r="AH1131" s="210"/>
      <c r="AI1131" s="210"/>
      <c r="AJ1131" s="210"/>
      <c r="AK1131" s="210"/>
      <c r="AL1131" s="210"/>
      <c r="AM1131" s="214"/>
      <c r="AN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c r="BU1131" s="210"/>
      <c r="BV1131" s="210"/>
      <c r="BW1131" s="210"/>
      <c r="BX1131" s="210"/>
      <c r="BY1131" s="210"/>
      <c r="BZ1131" s="210"/>
      <c r="CA1131" s="210"/>
      <c r="CB1131" s="210"/>
      <c r="CC1131" s="210"/>
      <c r="CD1131" s="210"/>
      <c r="CE1131" s="210"/>
      <c r="CF1131" s="210"/>
      <c r="CG1131" s="210"/>
      <c r="CH1131" s="210"/>
      <c r="CI1131" s="210"/>
      <c r="CJ1131" s="210"/>
      <c r="CK1131" s="210"/>
    </row>
    <row r="1132">
      <c r="A1132" s="220"/>
      <c r="F1132" s="190"/>
      <c r="G1132" s="190"/>
      <c r="L1132" s="220"/>
      <c r="M1132" s="220"/>
      <c r="O1132" s="210"/>
      <c r="P1132" s="210"/>
      <c r="Q1132" s="210"/>
      <c r="R1132" s="210"/>
      <c r="S1132" s="210"/>
      <c r="T1132" s="210"/>
      <c r="U1132" s="210"/>
      <c r="V1132" s="210"/>
      <c r="W1132" s="210"/>
      <c r="X1132" s="210"/>
      <c r="Y1132" s="210"/>
      <c r="Z1132" s="210"/>
      <c r="AA1132" s="210"/>
      <c r="AB1132" s="210"/>
      <c r="AC1132" s="210"/>
      <c r="AD1132" s="210"/>
      <c r="AE1132" s="210"/>
      <c r="AF1132" s="210"/>
      <c r="AG1132" s="210"/>
      <c r="AH1132" s="210"/>
      <c r="AI1132" s="210"/>
      <c r="AJ1132" s="210"/>
      <c r="AK1132" s="210"/>
      <c r="AL1132" s="210"/>
      <c r="AM1132" s="214"/>
      <c r="AN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c r="BU1132" s="210"/>
      <c r="BV1132" s="210"/>
      <c r="BW1132" s="210"/>
      <c r="BX1132" s="210"/>
      <c r="BY1132" s="210"/>
      <c r="BZ1132" s="210"/>
      <c r="CA1132" s="210"/>
      <c r="CB1132" s="210"/>
      <c r="CC1132" s="210"/>
      <c r="CD1132" s="210"/>
      <c r="CE1132" s="210"/>
      <c r="CF1132" s="210"/>
      <c r="CG1132" s="210"/>
      <c r="CH1132" s="210"/>
      <c r="CI1132" s="210"/>
      <c r="CJ1132" s="210"/>
      <c r="CK1132" s="210"/>
    </row>
    <row r="1133">
      <c r="A1133" s="220"/>
      <c r="F1133" s="190"/>
      <c r="G1133" s="190"/>
      <c r="L1133" s="220"/>
      <c r="M1133" s="220"/>
      <c r="O1133" s="210"/>
      <c r="P1133" s="210"/>
      <c r="Q1133" s="210"/>
      <c r="R1133" s="210"/>
      <c r="S1133" s="210"/>
      <c r="T1133" s="210"/>
      <c r="U1133" s="210"/>
      <c r="V1133" s="210"/>
      <c r="W1133" s="210"/>
      <c r="X1133" s="210"/>
      <c r="Y1133" s="210"/>
      <c r="Z1133" s="210"/>
      <c r="AA1133" s="210"/>
      <c r="AB1133" s="210"/>
      <c r="AC1133" s="210"/>
      <c r="AD1133" s="210"/>
      <c r="AE1133" s="210"/>
      <c r="AF1133" s="210"/>
      <c r="AG1133" s="210"/>
      <c r="AH1133" s="210"/>
      <c r="AI1133" s="210"/>
      <c r="AJ1133" s="210"/>
      <c r="AK1133" s="210"/>
      <c r="AL1133" s="210"/>
      <c r="AM1133" s="214"/>
      <c r="AN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c r="BU1133" s="210"/>
      <c r="BV1133" s="210"/>
      <c r="BW1133" s="210"/>
      <c r="BX1133" s="210"/>
      <c r="BY1133" s="210"/>
      <c r="BZ1133" s="210"/>
      <c r="CA1133" s="210"/>
      <c r="CB1133" s="210"/>
      <c r="CC1133" s="210"/>
      <c r="CD1133" s="210"/>
      <c r="CE1133" s="210"/>
      <c r="CF1133" s="210"/>
      <c r="CG1133" s="210"/>
      <c r="CH1133" s="210"/>
      <c r="CI1133" s="210"/>
      <c r="CJ1133" s="210"/>
      <c r="CK1133" s="210"/>
    </row>
    <row r="1134">
      <c r="A1134" s="220"/>
      <c r="F1134" s="190"/>
      <c r="G1134" s="190"/>
      <c r="L1134" s="220"/>
      <c r="M1134" s="220"/>
      <c r="O1134" s="210"/>
      <c r="P1134" s="210"/>
      <c r="Q1134" s="210"/>
      <c r="R1134" s="210"/>
      <c r="S1134" s="210"/>
      <c r="T1134" s="210"/>
      <c r="U1134" s="210"/>
      <c r="V1134" s="210"/>
      <c r="W1134" s="210"/>
      <c r="X1134" s="210"/>
      <c r="Y1134" s="210"/>
      <c r="Z1134" s="210"/>
      <c r="AA1134" s="210"/>
      <c r="AB1134" s="210"/>
      <c r="AC1134" s="210"/>
      <c r="AD1134" s="210"/>
      <c r="AE1134" s="210"/>
      <c r="AF1134" s="210"/>
      <c r="AG1134" s="210"/>
      <c r="AH1134" s="210"/>
      <c r="AI1134" s="210"/>
      <c r="AJ1134" s="210"/>
      <c r="AK1134" s="210"/>
      <c r="AL1134" s="210"/>
      <c r="AM1134" s="214"/>
      <c r="AN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c r="BU1134" s="210"/>
      <c r="BV1134" s="210"/>
      <c r="BW1134" s="210"/>
      <c r="BX1134" s="210"/>
      <c r="BY1134" s="210"/>
      <c r="BZ1134" s="210"/>
      <c r="CA1134" s="210"/>
      <c r="CB1134" s="210"/>
      <c r="CC1134" s="210"/>
      <c r="CD1134" s="210"/>
      <c r="CE1134" s="210"/>
      <c r="CF1134" s="210"/>
      <c r="CG1134" s="210"/>
      <c r="CH1134" s="210"/>
      <c r="CI1134" s="210"/>
      <c r="CJ1134" s="210"/>
      <c r="CK1134" s="210"/>
    </row>
    <row r="1135">
      <c r="A1135" s="220"/>
      <c r="F1135" s="190"/>
      <c r="G1135" s="190"/>
      <c r="L1135" s="220"/>
      <c r="M1135" s="220"/>
      <c r="O1135" s="210"/>
      <c r="P1135" s="210"/>
      <c r="Q1135" s="210"/>
      <c r="R1135" s="210"/>
      <c r="S1135" s="210"/>
      <c r="T1135" s="210"/>
      <c r="U1135" s="210"/>
      <c r="V1135" s="210"/>
      <c r="W1135" s="210"/>
      <c r="X1135" s="210"/>
      <c r="Y1135" s="210"/>
      <c r="Z1135" s="210"/>
      <c r="AA1135" s="210"/>
      <c r="AB1135" s="210"/>
      <c r="AC1135" s="210"/>
      <c r="AD1135" s="210"/>
      <c r="AE1135" s="210"/>
      <c r="AF1135" s="210"/>
      <c r="AG1135" s="210"/>
      <c r="AH1135" s="210"/>
      <c r="AI1135" s="210"/>
      <c r="AJ1135" s="210"/>
      <c r="AK1135" s="210"/>
      <c r="AL1135" s="210"/>
      <c r="AM1135" s="214"/>
      <c r="AN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c r="BU1135" s="210"/>
      <c r="BV1135" s="210"/>
      <c r="BW1135" s="210"/>
      <c r="BX1135" s="210"/>
      <c r="BY1135" s="210"/>
      <c r="BZ1135" s="210"/>
      <c r="CA1135" s="210"/>
      <c r="CB1135" s="210"/>
      <c r="CC1135" s="210"/>
      <c r="CD1135" s="210"/>
      <c r="CE1135" s="210"/>
      <c r="CF1135" s="210"/>
      <c r="CG1135" s="210"/>
      <c r="CH1135" s="210"/>
      <c r="CI1135" s="210"/>
      <c r="CJ1135" s="210"/>
      <c r="CK1135" s="210"/>
    </row>
    <row r="1136">
      <c r="A1136" s="220"/>
      <c r="F1136" s="190"/>
      <c r="G1136" s="190"/>
      <c r="L1136" s="220"/>
      <c r="M1136" s="220"/>
      <c r="O1136" s="210"/>
      <c r="P1136" s="210"/>
      <c r="Q1136" s="210"/>
      <c r="R1136" s="210"/>
      <c r="S1136" s="210"/>
      <c r="T1136" s="210"/>
      <c r="U1136" s="210"/>
      <c r="V1136" s="210"/>
      <c r="W1136" s="210"/>
      <c r="X1136" s="210"/>
      <c r="Y1136" s="210"/>
      <c r="Z1136" s="210"/>
      <c r="AA1136" s="210"/>
      <c r="AB1136" s="210"/>
      <c r="AC1136" s="210"/>
      <c r="AD1136" s="210"/>
      <c r="AE1136" s="210"/>
      <c r="AF1136" s="210"/>
      <c r="AG1136" s="210"/>
      <c r="AH1136" s="210"/>
      <c r="AI1136" s="210"/>
      <c r="AJ1136" s="210"/>
      <c r="AK1136" s="210"/>
      <c r="AL1136" s="210"/>
      <c r="AM1136" s="214"/>
      <c r="AN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c r="BU1136" s="210"/>
      <c r="BV1136" s="210"/>
      <c r="BW1136" s="210"/>
      <c r="BX1136" s="210"/>
      <c r="BY1136" s="210"/>
      <c r="BZ1136" s="210"/>
      <c r="CA1136" s="210"/>
      <c r="CB1136" s="210"/>
      <c r="CC1136" s="210"/>
      <c r="CD1136" s="210"/>
      <c r="CE1136" s="210"/>
      <c r="CF1136" s="210"/>
      <c r="CG1136" s="210"/>
      <c r="CH1136" s="210"/>
      <c r="CI1136" s="210"/>
      <c r="CJ1136" s="210"/>
      <c r="CK1136" s="210"/>
    </row>
    <row r="1137">
      <c r="A1137" s="220"/>
      <c r="F1137" s="190"/>
      <c r="G1137" s="190"/>
      <c r="L1137" s="220"/>
      <c r="M1137" s="220"/>
      <c r="O1137" s="210"/>
      <c r="P1137" s="210"/>
      <c r="Q1137" s="210"/>
      <c r="R1137" s="210"/>
      <c r="S1137" s="210"/>
      <c r="T1137" s="210"/>
      <c r="U1137" s="210"/>
      <c r="V1137" s="210"/>
      <c r="W1137" s="210"/>
      <c r="X1137" s="210"/>
      <c r="Y1137" s="210"/>
      <c r="Z1137" s="210"/>
      <c r="AA1137" s="210"/>
      <c r="AB1137" s="210"/>
      <c r="AC1137" s="210"/>
      <c r="AD1137" s="210"/>
      <c r="AE1137" s="210"/>
      <c r="AF1137" s="210"/>
      <c r="AG1137" s="210"/>
      <c r="AH1137" s="210"/>
      <c r="AI1137" s="210"/>
      <c r="AJ1137" s="210"/>
      <c r="AK1137" s="210"/>
      <c r="AL1137" s="210"/>
      <c r="AM1137" s="214"/>
      <c r="AN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c r="BU1137" s="210"/>
      <c r="BV1137" s="210"/>
      <c r="BW1137" s="210"/>
      <c r="BX1137" s="210"/>
      <c r="BY1137" s="210"/>
      <c r="BZ1137" s="210"/>
      <c r="CA1137" s="210"/>
      <c r="CB1137" s="210"/>
      <c r="CC1137" s="210"/>
      <c r="CD1137" s="210"/>
      <c r="CE1137" s="210"/>
      <c r="CF1137" s="210"/>
      <c r="CG1137" s="210"/>
      <c r="CH1137" s="210"/>
      <c r="CI1137" s="210"/>
      <c r="CJ1137" s="210"/>
      <c r="CK1137" s="210"/>
    </row>
    <row r="1138">
      <c r="A1138" s="220"/>
      <c r="F1138" s="190"/>
      <c r="G1138" s="190"/>
      <c r="L1138" s="220"/>
      <c r="M1138" s="220"/>
      <c r="O1138" s="210"/>
      <c r="P1138" s="210"/>
      <c r="Q1138" s="210"/>
      <c r="R1138" s="210"/>
      <c r="S1138" s="210"/>
      <c r="T1138" s="210"/>
      <c r="U1138" s="210"/>
      <c r="V1138" s="210"/>
      <c r="W1138" s="210"/>
      <c r="X1138" s="210"/>
      <c r="Y1138" s="210"/>
      <c r="Z1138" s="210"/>
      <c r="AA1138" s="210"/>
      <c r="AB1138" s="210"/>
      <c r="AC1138" s="210"/>
      <c r="AD1138" s="210"/>
      <c r="AE1138" s="210"/>
      <c r="AF1138" s="210"/>
      <c r="AG1138" s="210"/>
      <c r="AH1138" s="210"/>
      <c r="AI1138" s="210"/>
      <c r="AJ1138" s="210"/>
      <c r="AK1138" s="210"/>
      <c r="AL1138" s="210"/>
      <c r="AM1138" s="214"/>
      <c r="AN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c r="BU1138" s="210"/>
      <c r="BV1138" s="210"/>
      <c r="BW1138" s="210"/>
      <c r="BX1138" s="210"/>
      <c r="BY1138" s="210"/>
      <c r="BZ1138" s="210"/>
      <c r="CA1138" s="210"/>
      <c r="CB1138" s="210"/>
      <c r="CC1138" s="210"/>
      <c r="CD1138" s="210"/>
      <c r="CE1138" s="210"/>
      <c r="CF1138" s="210"/>
      <c r="CG1138" s="210"/>
      <c r="CH1138" s="210"/>
      <c r="CI1138" s="210"/>
      <c r="CJ1138" s="210"/>
      <c r="CK1138" s="210"/>
    </row>
    <row r="1139">
      <c r="A1139" s="220"/>
      <c r="F1139" s="190"/>
      <c r="G1139" s="190"/>
      <c r="L1139" s="220"/>
      <c r="M1139" s="220"/>
      <c r="O1139" s="210"/>
      <c r="P1139" s="210"/>
      <c r="Q1139" s="210"/>
      <c r="R1139" s="210"/>
      <c r="S1139" s="210"/>
      <c r="T1139" s="210"/>
      <c r="U1139" s="210"/>
      <c r="V1139" s="210"/>
      <c r="W1139" s="210"/>
      <c r="X1139" s="210"/>
      <c r="Y1139" s="210"/>
      <c r="Z1139" s="210"/>
      <c r="AA1139" s="210"/>
      <c r="AB1139" s="210"/>
      <c r="AC1139" s="210"/>
      <c r="AD1139" s="210"/>
      <c r="AE1139" s="210"/>
      <c r="AF1139" s="210"/>
      <c r="AG1139" s="210"/>
      <c r="AH1139" s="210"/>
      <c r="AI1139" s="210"/>
      <c r="AJ1139" s="210"/>
      <c r="AK1139" s="210"/>
      <c r="AL1139" s="210"/>
      <c r="AM1139" s="214"/>
      <c r="AN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c r="BU1139" s="210"/>
      <c r="BV1139" s="210"/>
      <c r="BW1139" s="210"/>
      <c r="BX1139" s="210"/>
      <c r="BY1139" s="210"/>
      <c r="BZ1139" s="210"/>
      <c r="CA1139" s="210"/>
      <c r="CB1139" s="210"/>
      <c r="CC1139" s="210"/>
      <c r="CD1139" s="210"/>
      <c r="CE1139" s="210"/>
      <c r="CF1139" s="210"/>
      <c r="CG1139" s="210"/>
      <c r="CH1139" s="210"/>
      <c r="CI1139" s="210"/>
      <c r="CJ1139" s="210"/>
      <c r="CK1139" s="210"/>
    </row>
    <row r="1140">
      <c r="A1140" s="220"/>
      <c r="F1140" s="190"/>
      <c r="G1140" s="190"/>
      <c r="L1140" s="220"/>
      <c r="M1140" s="220"/>
      <c r="O1140" s="210"/>
      <c r="P1140" s="210"/>
      <c r="Q1140" s="210"/>
      <c r="R1140" s="210"/>
      <c r="S1140" s="210"/>
      <c r="T1140" s="210"/>
      <c r="U1140" s="210"/>
      <c r="V1140" s="210"/>
      <c r="W1140" s="210"/>
      <c r="X1140" s="210"/>
      <c r="Y1140" s="210"/>
      <c r="Z1140" s="210"/>
      <c r="AA1140" s="210"/>
      <c r="AB1140" s="210"/>
      <c r="AC1140" s="210"/>
      <c r="AD1140" s="210"/>
      <c r="AE1140" s="210"/>
      <c r="AF1140" s="210"/>
      <c r="AG1140" s="210"/>
      <c r="AH1140" s="210"/>
      <c r="AI1140" s="210"/>
      <c r="AJ1140" s="210"/>
      <c r="AK1140" s="210"/>
      <c r="AL1140" s="210"/>
      <c r="AM1140" s="214"/>
      <c r="AN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c r="BU1140" s="210"/>
      <c r="BV1140" s="210"/>
      <c r="BW1140" s="210"/>
      <c r="BX1140" s="210"/>
      <c r="BY1140" s="210"/>
      <c r="BZ1140" s="210"/>
      <c r="CA1140" s="210"/>
      <c r="CB1140" s="210"/>
      <c r="CC1140" s="210"/>
      <c r="CD1140" s="210"/>
      <c r="CE1140" s="210"/>
      <c r="CF1140" s="210"/>
      <c r="CG1140" s="210"/>
      <c r="CH1140" s="210"/>
      <c r="CI1140" s="210"/>
      <c r="CJ1140" s="210"/>
      <c r="CK1140" s="210"/>
    </row>
    <row r="1141">
      <c r="A1141" s="220"/>
      <c r="F1141" s="190"/>
      <c r="G1141" s="190"/>
      <c r="L1141" s="220"/>
      <c r="M1141" s="220"/>
      <c r="O1141" s="210"/>
      <c r="P1141" s="210"/>
      <c r="Q1141" s="210"/>
      <c r="R1141" s="210"/>
      <c r="S1141" s="210"/>
      <c r="T1141" s="210"/>
      <c r="U1141" s="210"/>
      <c r="V1141" s="210"/>
      <c r="W1141" s="210"/>
      <c r="X1141" s="210"/>
      <c r="Y1141" s="210"/>
      <c r="Z1141" s="210"/>
      <c r="AA1141" s="210"/>
      <c r="AB1141" s="210"/>
      <c r="AC1141" s="210"/>
      <c r="AD1141" s="210"/>
      <c r="AE1141" s="210"/>
      <c r="AF1141" s="210"/>
      <c r="AG1141" s="210"/>
      <c r="AH1141" s="210"/>
      <c r="AI1141" s="210"/>
      <c r="AJ1141" s="210"/>
      <c r="AK1141" s="210"/>
      <c r="AL1141" s="210"/>
      <c r="AM1141" s="214"/>
      <c r="AN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c r="BU1141" s="210"/>
      <c r="BV1141" s="210"/>
      <c r="BW1141" s="210"/>
      <c r="BX1141" s="210"/>
      <c r="BY1141" s="210"/>
      <c r="BZ1141" s="210"/>
      <c r="CA1141" s="210"/>
      <c r="CB1141" s="210"/>
      <c r="CC1141" s="210"/>
      <c r="CD1141" s="210"/>
      <c r="CE1141" s="210"/>
      <c r="CF1141" s="210"/>
      <c r="CG1141" s="210"/>
      <c r="CH1141" s="210"/>
      <c r="CI1141" s="210"/>
      <c r="CJ1141" s="210"/>
      <c r="CK1141" s="210"/>
    </row>
    <row r="1142">
      <c r="A1142" s="220"/>
      <c r="F1142" s="190"/>
      <c r="G1142" s="190"/>
      <c r="L1142" s="220"/>
      <c r="M1142" s="220"/>
      <c r="O1142" s="210"/>
      <c r="P1142" s="210"/>
      <c r="Q1142" s="210"/>
      <c r="R1142" s="210"/>
      <c r="S1142" s="210"/>
      <c r="T1142" s="210"/>
      <c r="U1142" s="210"/>
      <c r="V1142" s="210"/>
      <c r="W1142" s="210"/>
      <c r="X1142" s="210"/>
      <c r="Y1142" s="210"/>
      <c r="Z1142" s="210"/>
      <c r="AA1142" s="210"/>
      <c r="AB1142" s="210"/>
      <c r="AC1142" s="210"/>
      <c r="AD1142" s="210"/>
      <c r="AE1142" s="210"/>
      <c r="AF1142" s="210"/>
      <c r="AG1142" s="210"/>
      <c r="AH1142" s="210"/>
      <c r="AI1142" s="210"/>
      <c r="AJ1142" s="210"/>
      <c r="AK1142" s="210"/>
      <c r="AL1142" s="210"/>
      <c r="AM1142" s="214"/>
      <c r="AN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c r="BU1142" s="210"/>
      <c r="BV1142" s="210"/>
      <c r="BW1142" s="210"/>
      <c r="BX1142" s="210"/>
      <c r="BY1142" s="210"/>
      <c r="BZ1142" s="210"/>
      <c r="CA1142" s="210"/>
      <c r="CB1142" s="210"/>
      <c r="CC1142" s="210"/>
      <c r="CD1142" s="210"/>
      <c r="CE1142" s="210"/>
      <c r="CF1142" s="210"/>
      <c r="CG1142" s="210"/>
      <c r="CH1142" s="210"/>
      <c r="CI1142" s="210"/>
      <c r="CJ1142" s="210"/>
      <c r="CK1142" s="210"/>
    </row>
    <row r="1143">
      <c r="A1143" s="220"/>
      <c r="F1143" s="190"/>
      <c r="G1143" s="190"/>
      <c r="L1143" s="220"/>
      <c r="M1143" s="220"/>
      <c r="O1143" s="210"/>
      <c r="P1143" s="210"/>
      <c r="Q1143" s="210"/>
      <c r="R1143" s="210"/>
      <c r="S1143" s="210"/>
      <c r="T1143" s="210"/>
      <c r="U1143" s="210"/>
      <c r="V1143" s="210"/>
      <c r="W1143" s="210"/>
      <c r="X1143" s="210"/>
      <c r="Y1143" s="210"/>
      <c r="Z1143" s="210"/>
      <c r="AA1143" s="210"/>
      <c r="AB1143" s="210"/>
      <c r="AC1143" s="210"/>
      <c r="AD1143" s="210"/>
      <c r="AE1143" s="210"/>
      <c r="AF1143" s="210"/>
      <c r="AG1143" s="210"/>
      <c r="AH1143" s="210"/>
      <c r="AI1143" s="210"/>
      <c r="AJ1143" s="210"/>
      <c r="AK1143" s="210"/>
      <c r="AL1143" s="210"/>
      <c r="AM1143" s="214"/>
      <c r="AN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c r="BU1143" s="210"/>
      <c r="BV1143" s="210"/>
      <c r="BW1143" s="210"/>
      <c r="BX1143" s="210"/>
      <c r="BY1143" s="210"/>
      <c r="BZ1143" s="210"/>
      <c r="CA1143" s="210"/>
      <c r="CB1143" s="210"/>
      <c r="CC1143" s="210"/>
      <c r="CD1143" s="210"/>
      <c r="CE1143" s="210"/>
      <c r="CF1143" s="210"/>
      <c r="CG1143" s="210"/>
      <c r="CH1143" s="210"/>
      <c r="CI1143" s="210"/>
      <c r="CJ1143" s="210"/>
      <c r="CK1143" s="210"/>
    </row>
    <row r="1144">
      <c r="A1144" s="220"/>
      <c r="F1144" s="190"/>
      <c r="G1144" s="190"/>
      <c r="L1144" s="220"/>
      <c r="M1144" s="220"/>
      <c r="O1144" s="210"/>
      <c r="P1144" s="210"/>
      <c r="Q1144" s="210"/>
      <c r="R1144" s="210"/>
      <c r="S1144" s="210"/>
      <c r="T1144" s="210"/>
      <c r="U1144" s="210"/>
      <c r="V1144" s="210"/>
      <c r="W1144" s="210"/>
      <c r="X1144" s="210"/>
      <c r="Y1144" s="210"/>
      <c r="Z1144" s="210"/>
      <c r="AA1144" s="210"/>
      <c r="AB1144" s="210"/>
      <c r="AC1144" s="210"/>
      <c r="AD1144" s="210"/>
      <c r="AE1144" s="210"/>
      <c r="AF1144" s="210"/>
      <c r="AG1144" s="210"/>
      <c r="AH1144" s="210"/>
      <c r="AI1144" s="210"/>
      <c r="AJ1144" s="210"/>
      <c r="AK1144" s="210"/>
      <c r="AL1144" s="210"/>
      <c r="AM1144" s="214"/>
      <c r="AN1144" s="210"/>
      <c r="AO1144" s="210"/>
      <c r="AP1144" s="210"/>
      <c r="AQ1144" s="210"/>
      <c r="AR1144" s="210"/>
      <c r="AS1144" s="210"/>
      <c r="AT1144" s="210"/>
      <c r="AU1144" s="210"/>
      <c r="AV1144" s="210"/>
      <c r="AW1144" s="210"/>
      <c r="AX1144" s="210"/>
      <c r="AY1144" s="210"/>
      <c r="AZ1144" s="210"/>
      <c r="BA1144" s="210"/>
      <c r="BB1144" s="210"/>
      <c r="BC1144" s="210"/>
      <c r="BD1144" s="210"/>
      <c r="BE1144" s="210"/>
      <c r="BF1144" s="210"/>
      <c r="BG1144" s="210"/>
      <c r="BH1144" s="210"/>
      <c r="BI1144" s="210"/>
      <c r="BJ1144" s="210"/>
      <c r="BK1144" s="210"/>
      <c r="BL1144" s="210"/>
      <c r="BM1144" s="210"/>
      <c r="BN1144" s="210"/>
      <c r="BO1144" s="210"/>
      <c r="BP1144" s="210"/>
      <c r="BQ1144" s="210"/>
      <c r="BR1144" s="210"/>
      <c r="BS1144" s="210"/>
      <c r="BT1144" s="210"/>
      <c r="BU1144" s="210"/>
      <c r="BV1144" s="210"/>
      <c r="BW1144" s="210"/>
      <c r="BX1144" s="210"/>
      <c r="BY1144" s="210"/>
      <c r="BZ1144" s="210"/>
      <c r="CA1144" s="210"/>
      <c r="CB1144" s="210"/>
      <c r="CC1144" s="210"/>
      <c r="CD1144" s="210"/>
      <c r="CE1144" s="210"/>
      <c r="CF1144" s="210"/>
      <c r="CG1144" s="210"/>
      <c r="CH1144" s="210"/>
      <c r="CI1144" s="210"/>
      <c r="CJ1144" s="210"/>
      <c r="CK1144" s="210"/>
    </row>
    <row r="1145">
      <c r="A1145" s="220"/>
      <c r="F1145" s="190"/>
      <c r="G1145" s="190"/>
      <c r="L1145" s="220"/>
      <c r="M1145" s="220"/>
      <c r="O1145" s="210"/>
      <c r="P1145" s="210"/>
      <c r="Q1145" s="210"/>
      <c r="R1145" s="210"/>
      <c r="S1145" s="210"/>
      <c r="T1145" s="210"/>
      <c r="U1145" s="210"/>
      <c r="V1145" s="210"/>
      <c r="W1145" s="210"/>
      <c r="X1145" s="210"/>
      <c r="Y1145" s="210"/>
      <c r="Z1145" s="210"/>
      <c r="AA1145" s="210"/>
      <c r="AB1145" s="210"/>
      <c r="AC1145" s="210"/>
      <c r="AD1145" s="210"/>
      <c r="AE1145" s="210"/>
      <c r="AF1145" s="210"/>
      <c r="AG1145" s="210"/>
      <c r="AH1145" s="210"/>
      <c r="AI1145" s="210"/>
      <c r="AJ1145" s="210"/>
      <c r="AK1145" s="210"/>
      <c r="AL1145" s="210"/>
      <c r="AM1145" s="214"/>
      <c r="AN1145" s="210"/>
      <c r="AO1145" s="210"/>
      <c r="AP1145" s="210"/>
      <c r="AQ1145" s="210"/>
      <c r="AR1145" s="210"/>
      <c r="AS1145" s="210"/>
      <c r="AT1145" s="210"/>
      <c r="AU1145" s="210"/>
      <c r="AV1145" s="210"/>
      <c r="AW1145" s="210"/>
      <c r="AX1145" s="210"/>
      <c r="AY1145" s="210"/>
      <c r="AZ1145" s="210"/>
      <c r="BA1145" s="210"/>
      <c r="BB1145" s="210"/>
      <c r="BC1145" s="210"/>
      <c r="BD1145" s="210"/>
      <c r="BE1145" s="210"/>
      <c r="BF1145" s="210"/>
      <c r="BG1145" s="210"/>
      <c r="BH1145" s="210"/>
      <c r="BI1145" s="210"/>
      <c r="BJ1145" s="210"/>
      <c r="BK1145" s="210"/>
      <c r="BL1145" s="210"/>
      <c r="BM1145" s="210"/>
      <c r="BN1145" s="210"/>
      <c r="BO1145" s="210"/>
      <c r="BP1145" s="210"/>
      <c r="BQ1145" s="210"/>
      <c r="BR1145" s="210"/>
      <c r="BS1145" s="210"/>
      <c r="BT1145" s="210"/>
      <c r="BU1145" s="210"/>
      <c r="BV1145" s="210"/>
      <c r="BW1145" s="210"/>
      <c r="BX1145" s="210"/>
      <c r="BY1145" s="210"/>
      <c r="BZ1145" s="210"/>
      <c r="CA1145" s="210"/>
      <c r="CB1145" s="210"/>
      <c r="CC1145" s="210"/>
      <c r="CD1145" s="210"/>
      <c r="CE1145" s="210"/>
      <c r="CF1145" s="210"/>
      <c r="CG1145" s="210"/>
      <c r="CH1145" s="210"/>
      <c r="CI1145" s="210"/>
      <c r="CJ1145" s="210"/>
      <c r="CK1145" s="210"/>
    </row>
    <row r="1146">
      <c r="A1146" s="220"/>
      <c r="F1146" s="190"/>
      <c r="G1146" s="190"/>
      <c r="L1146" s="220"/>
      <c r="M1146" s="220"/>
      <c r="O1146" s="210"/>
      <c r="P1146" s="210"/>
      <c r="Q1146" s="210"/>
      <c r="R1146" s="210"/>
      <c r="S1146" s="210"/>
      <c r="T1146" s="210"/>
      <c r="U1146" s="210"/>
      <c r="V1146" s="210"/>
      <c r="W1146" s="210"/>
      <c r="X1146" s="210"/>
      <c r="Y1146" s="210"/>
      <c r="Z1146" s="210"/>
      <c r="AA1146" s="210"/>
      <c r="AB1146" s="210"/>
      <c r="AC1146" s="210"/>
      <c r="AD1146" s="210"/>
      <c r="AE1146" s="210"/>
      <c r="AF1146" s="210"/>
      <c r="AG1146" s="210"/>
      <c r="AH1146" s="210"/>
      <c r="AI1146" s="210"/>
      <c r="AJ1146" s="210"/>
      <c r="AK1146" s="210"/>
      <c r="AL1146" s="210"/>
      <c r="AM1146" s="214"/>
      <c r="AN1146" s="210"/>
      <c r="AO1146" s="210"/>
      <c r="AP1146" s="210"/>
      <c r="AQ1146" s="210"/>
      <c r="AR1146" s="210"/>
      <c r="AS1146" s="210"/>
      <c r="AT1146" s="210"/>
      <c r="AU1146" s="210"/>
      <c r="AV1146" s="210"/>
      <c r="AW1146" s="210"/>
      <c r="AX1146" s="210"/>
      <c r="AY1146" s="210"/>
      <c r="AZ1146" s="210"/>
      <c r="BA1146" s="210"/>
      <c r="BB1146" s="210"/>
      <c r="BC1146" s="210"/>
      <c r="BD1146" s="210"/>
      <c r="BE1146" s="210"/>
      <c r="BF1146" s="210"/>
      <c r="BG1146" s="210"/>
      <c r="BH1146" s="210"/>
      <c r="BI1146" s="210"/>
      <c r="BJ1146" s="210"/>
      <c r="BK1146" s="210"/>
      <c r="BL1146" s="210"/>
      <c r="BM1146" s="210"/>
      <c r="BN1146" s="210"/>
      <c r="BO1146" s="210"/>
      <c r="BP1146" s="210"/>
      <c r="BQ1146" s="210"/>
      <c r="BR1146" s="210"/>
      <c r="BS1146" s="210"/>
      <c r="BT1146" s="210"/>
      <c r="BU1146" s="210"/>
      <c r="BV1146" s="210"/>
      <c r="BW1146" s="210"/>
      <c r="BX1146" s="210"/>
      <c r="BY1146" s="210"/>
      <c r="BZ1146" s="210"/>
      <c r="CA1146" s="210"/>
      <c r="CB1146" s="210"/>
      <c r="CC1146" s="210"/>
      <c r="CD1146" s="210"/>
      <c r="CE1146" s="210"/>
      <c r="CF1146" s="210"/>
      <c r="CG1146" s="210"/>
      <c r="CH1146" s="210"/>
      <c r="CI1146" s="210"/>
      <c r="CJ1146" s="210"/>
      <c r="CK1146" s="210"/>
    </row>
    <row r="1147">
      <c r="A1147" s="220"/>
      <c r="F1147" s="190"/>
      <c r="G1147" s="190"/>
      <c r="L1147" s="220"/>
      <c r="M1147" s="220"/>
      <c r="O1147" s="210"/>
      <c r="P1147" s="210"/>
      <c r="Q1147" s="210"/>
      <c r="R1147" s="210"/>
      <c r="S1147" s="210"/>
      <c r="T1147" s="210"/>
      <c r="U1147" s="210"/>
      <c r="V1147" s="210"/>
      <c r="W1147" s="210"/>
      <c r="X1147" s="210"/>
      <c r="Y1147" s="210"/>
      <c r="Z1147" s="210"/>
      <c r="AA1147" s="210"/>
      <c r="AB1147" s="210"/>
      <c r="AC1147" s="210"/>
      <c r="AD1147" s="210"/>
      <c r="AE1147" s="210"/>
      <c r="AF1147" s="210"/>
      <c r="AG1147" s="210"/>
      <c r="AH1147" s="210"/>
      <c r="AI1147" s="210"/>
      <c r="AJ1147" s="210"/>
      <c r="AK1147" s="210"/>
      <c r="AL1147" s="210"/>
      <c r="AM1147" s="214"/>
      <c r="AN1147" s="210"/>
      <c r="AO1147" s="210"/>
      <c r="AP1147" s="210"/>
      <c r="AQ1147" s="210"/>
      <c r="AR1147" s="210"/>
      <c r="AS1147" s="210"/>
      <c r="AT1147" s="210"/>
      <c r="AU1147" s="210"/>
      <c r="AV1147" s="210"/>
      <c r="AW1147" s="210"/>
      <c r="AX1147" s="210"/>
      <c r="AY1147" s="210"/>
      <c r="AZ1147" s="210"/>
      <c r="BA1147" s="210"/>
      <c r="BB1147" s="210"/>
      <c r="BC1147" s="210"/>
      <c r="BD1147" s="210"/>
      <c r="BE1147" s="210"/>
      <c r="BF1147" s="210"/>
      <c r="BG1147" s="210"/>
      <c r="BH1147" s="210"/>
      <c r="BI1147" s="210"/>
      <c r="BJ1147" s="210"/>
      <c r="BK1147" s="210"/>
      <c r="BL1147" s="210"/>
      <c r="BM1147" s="210"/>
      <c r="BN1147" s="210"/>
      <c r="BO1147" s="210"/>
      <c r="BP1147" s="210"/>
      <c r="BQ1147" s="210"/>
      <c r="BR1147" s="210"/>
      <c r="BS1147" s="210"/>
      <c r="BT1147" s="210"/>
      <c r="BU1147" s="210"/>
      <c r="BV1147" s="210"/>
      <c r="BW1147" s="210"/>
      <c r="BX1147" s="210"/>
      <c r="BY1147" s="210"/>
      <c r="BZ1147" s="210"/>
      <c r="CA1147" s="210"/>
      <c r="CB1147" s="210"/>
      <c r="CC1147" s="210"/>
      <c r="CD1147" s="210"/>
      <c r="CE1147" s="210"/>
      <c r="CF1147" s="210"/>
      <c r="CG1147" s="210"/>
      <c r="CH1147" s="210"/>
      <c r="CI1147" s="210"/>
      <c r="CJ1147" s="210"/>
      <c r="CK1147" s="210"/>
    </row>
    <row r="1148">
      <c r="A1148" s="220"/>
      <c r="F1148" s="190"/>
      <c r="G1148" s="190"/>
      <c r="L1148" s="220"/>
      <c r="M1148" s="220"/>
      <c r="O1148" s="210"/>
      <c r="P1148" s="210"/>
      <c r="Q1148" s="210"/>
      <c r="R1148" s="210"/>
      <c r="S1148" s="210"/>
      <c r="T1148" s="210"/>
      <c r="U1148" s="210"/>
      <c r="V1148" s="210"/>
      <c r="W1148" s="210"/>
      <c r="X1148" s="210"/>
      <c r="Y1148" s="210"/>
      <c r="Z1148" s="210"/>
      <c r="AA1148" s="210"/>
      <c r="AB1148" s="210"/>
      <c r="AC1148" s="210"/>
      <c r="AD1148" s="210"/>
      <c r="AE1148" s="210"/>
      <c r="AF1148" s="210"/>
      <c r="AG1148" s="210"/>
      <c r="AH1148" s="210"/>
      <c r="AI1148" s="210"/>
      <c r="AJ1148" s="210"/>
      <c r="AK1148" s="210"/>
      <c r="AL1148" s="210"/>
      <c r="AM1148" s="214"/>
      <c r="AN1148" s="210"/>
      <c r="AO1148" s="210"/>
      <c r="AP1148" s="210"/>
      <c r="AQ1148" s="210"/>
      <c r="AR1148" s="210"/>
      <c r="AS1148" s="210"/>
      <c r="AT1148" s="210"/>
      <c r="AU1148" s="210"/>
      <c r="AV1148" s="210"/>
      <c r="AW1148" s="210"/>
      <c r="AX1148" s="210"/>
      <c r="AY1148" s="210"/>
      <c r="AZ1148" s="210"/>
      <c r="BA1148" s="210"/>
      <c r="BB1148" s="210"/>
      <c r="BC1148" s="210"/>
      <c r="BD1148" s="210"/>
      <c r="BE1148" s="210"/>
      <c r="BF1148" s="210"/>
      <c r="BG1148" s="210"/>
      <c r="BH1148" s="210"/>
      <c r="BI1148" s="210"/>
      <c r="BJ1148" s="210"/>
      <c r="BK1148" s="210"/>
      <c r="BL1148" s="210"/>
      <c r="BM1148" s="210"/>
      <c r="BN1148" s="210"/>
      <c r="BO1148" s="210"/>
      <c r="BP1148" s="210"/>
      <c r="BQ1148" s="210"/>
      <c r="BR1148" s="210"/>
      <c r="BS1148" s="210"/>
      <c r="BT1148" s="210"/>
      <c r="BU1148" s="210"/>
      <c r="BV1148" s="210"/>
      <c r="BW1148" s="210"/>
      <c r="BX1148" s="210"/>
      <c r="BY1148" s="210"/>
      <c r="BZ1148" s="210"/>
      <c r="CA1148" s="210"/>
      <c r="CB1148" s="210"/>
      <c r="CC1148" s="210"/>
      <c r="CD1148" s="210"/>
      <c r="CE1148" s="210"/>
      <c r="CF1148" s="210"/>
      <c r="CG1148" s="210"/>
      <c r="CH1148" s="210"/>
      <c r="CI1148" s="210"/>
      <c r="CJ1148" s="210"/>
      <c r="CK1148" s="210"/>
    </row>
    <row r="1149">
      <c r="A1149" s="220"/>
      <c r="F1149" s="190"/>
      <c r="G1149" s="190"/>
      <c r="L1149" s="220"/>
      <c r="M1149" s="220"/>
      <c r="O1149" s="210"/>
      <c r="P1149" s="210"/>
      <c r="Q1149" s="210"/>
      <c r="R1149" s="210"/>
      <c r="S1149" s="210"/>
      <c r="T1149" s="210"/>
      <c r="U1149" s="210"/>
      <c r="V1149" s="210"/>
      <c r="W1149" s="210"/>
      <c r="X1149" s="210"/>
      <c r="Y1149" s="210"/>
      <c r="Z1149" s="210"/>
      <c r="AA1149" s="210"/>
      <c r="AB1149" s="210"/>
      <c r="AC1149" s="210"/>
      <c r="AD1149" s="210"/>
      <c r="AE1149" s="210"/>
      <c r="AF1149" s="210"/>
      <c r="AG1149" s="210"/>
      <c r="AH1149" s="210"/>
      <c r="AI1149" s="210"/>
      <c r="AJ1149" s="210"/>
      <c r="AK1149" s="210"/>
      <c r="AL1149" s="210"/>
      <c r="AM1149" s="214"/>
      <c r="AN1149" s="210"/>
      <c r="AO1149" s="210"/>
      <c r="AP1149" s="210"/>
      <c r="AQ1149" s="210"/>
      <c r="AR1149" s="210"/>
      <c r="AS1149" s="210"/>
      <c r="AT1149" s="210"/>
      <c r="AU1149" s="210"/>
      <c r="AV1149" s="210"/>
      <c r="AW1149" s="210"/>
      <c r="AX1149" s="210"/>
      <c r="AY1149" s="210"/>
      <c r="AZ1149" s="210"/>
      <c r="BA1149" s="210"/>
      <c r="BB1149" s="210"/>
      <c r="BC1149" s="210"/>
      <c r="BD1149" s="210"/>
      <c r="BE1149" s="210"/>
      <c r="BF1149" s="210"/>
      <c r="BG1149" s="210"/>
      <c r="BH1149" s="210"/>
      <c r="BI1149" s="210"/>
      <c r="BJ1149" s="210"/>
      <c r="BK1149" s="210"/>
      <c r="BL1149" s="210"/>
      <c r="BM1149" s="210"/>
      <c r="BN1149" s="210"/>
      <c r="BO1149" s="210"/>
      <c r="BP1149" s="210"/>
      <c r="BQ1149" s="210"/>
      <c r="BR1149" s="210"/>
      <c r="BS1149" s="210"/>
      <c r="BT1149" s="210"/>
      <c r="BU1149" s="210"/>
      <c r="BV1149" s="210"/>
      <c r="BW1149" s="210"/>
      <c r="BX1149" s="210"/>
      <c r="BY1149" s="210"/>
      <c r="BZ1149" s="210"/>
      <c r="CA1149" s="210"/>
      <c r="CB1149" s="210"/>
      <c r="CC1149" s="210"/>
      <c r="CD1149" s="210"/>
      <c r="CE1149" s="210"/>
      <c r="CF1149" s="210"/>
      <c r="CG1149" s="210"/>
      <c r="CH1149" s="210"/>
      <c r="CI1149" s="210"/>
      <c r="CJ1149" s="210"/>
      <c r="CK1149" s="210"/>
    </row>
    <row r="1150">
      <c r="A1150" s="220"/>
      <c r="F1150" s="190"/>
      <c r="G1150" s="190"/>
      <c r="L1150" s="220"/>
      <c r="M1150" s="220"/>
      <c r="O1150" s="210"/>
      <c r="P1150" s="210"/>
      <c r="Q1150" s="210"/>
      <c r="R1150" s="210"/>
      <c r="S1150" s="210"/>
      <c r="T1150" s="210"/>
      <c r="U1150" s="210"/>
      <c r="V1150" s="210"/>
      <c r="W1150" s="210"/>
      <c r="X1150" s="210"/>
      <c r="Y1150" s="210"/>
      <c r="Z1150" s="210"/>
      <c r="AA1150" s="210"/>
      <c r="AB1150" s="210"/>
      <c r="AC1150" s="210"/>
      <c r="AD1150" s="210"/>
      <c r="AE1150" s="210"/>
      <c r="AF1150" s="210"/>
      <c r="AG1150" s="210"/>
      <c r="AH1150" s="210"/>
      <c r="AI1150" s="210"/>
      <c r="AJ1150" s="210"/>
      <c r="AK1150" s="210"/>
      <c r="AL1150" s="210"/>
      <c r="AM1150" s="214"/>
      <c r="AN1150" s="210"/>
      <c r="AO1150" s="210"/>
      <c r="AP1150" s="210"/>
      <c r="AQ1150" s="210"/>
      <c r="AR1150" s="210"/>
      <c r="AS1150" s="210"/>
      <c r="AT1150" s="210"/>
      <c r="AU1150" s="210"/>
      <c r="AV1150" s="210"/>
      <c r="AW1150" s="210"/>
      <c r="AX1150" s="210"/>
      <c r="AY1150" s="210"/>
      <c r="AZ1150" s="210"/>
      <c r="BA1150" s="210"/>
      <c r="BB1150" s="210"/>
      <c r="BC1150" s="210"/>
      <c r="BD1150" s="210"/>
      <c r="BE1150" s="210"/>
      <c r="BF1150" s="210"/>
      <c r="BG1150" s="210"/>
      <c r="BH1150" s="210"/>
      <c r="BI1150" s="210"/>
      <c r="BJ1150" s="210"/>
      <c r="BK1150" s="210"/>
      <c r="BL1150" s="210"/>
      <c r="BM1150" s="210"/>
      <c r="BN1150" s="210"/>
      <c r="BO1150" s="210"/>
      <c r="BP1150" s="210"/>
      <c r="BQ1150" s="210"/>
      <c r="BR1150" s="210"/>
      <c r="BS1150" s="210"/>
      <c r="BT1150" s="210"/>
      <c r="BU1150" s="210"/>
      <c r="BV1150" s="210"/>
      <c r="BW1150" s="210"/>
      <c r="BX1150" s="210"/>
      <c r="BY1150" s="210"/>
      <c r="BZ1150" s="210"/>
      <c r="CA1150" s="210"/>
      <c r="CB1150" s="210"/>
      <c r="CC1150" s="210"/>
      <c r="CD1150" s="210"/>
      <c r="CE1150" s="210"/>
      <c r="CF1150" s="210"/>
      <c r="CG1150" s="210"/>
      <c r="CH1150" s="210"/>
      <c r="CI1150" s="210"/>
      <c r="CJ1150" s="210"/>
      <c r="CK1150" s="210"/>
    </row>
    <row r="1151">
      <c r="A1151" s="220"/>
      <c r="F1151" s="190"/>
      <c r="G1151" s="190"/>
      <c r="L1151" s="220"/>
      <c r="M1151" s="220"/>
      <c r="O1151" s="210"/>
      <c r="P1151" s="210"/>
      <c r="Q1151" s="210"/>
      <c r="R1151" s="210"/>
      <c r="S1151" s="210"/>
      <c r="T1151" s="210"/>
      <c r="U1151" s="210"/>
      <c r="V1151" s="210"/>
      <c r="W1151" s="210"/>
      <c r="X1151" s="210"/>
      <c r="Y1151" s="210"/>
      <c r="Z1151" s="210"/>
      <c r="AA1151" s="210"/>
      <c r="AB1151" s="210"/>
      <c r="AC1151" s="210"/>
      <c r="AD1151" s="210"/>
      <c r="AE1151" s="210"/>
      <c r="AF1151" s="210"/>
      <c r="AG1151" s="210"/>
      <c r="AH1151" s="210"/>
      <c r="AI1151" s="210"/>
      <c r="AJ1151" s="210"/>
      <c r="AK1151" s="210"/>
      <c r="AL1151" s="210"/>
      <c r="AM1151" s="214"/>
      <c r="AN1151" s="210"/>
      <c r="AO1151" s="210"/>
      <c r="AP1151" s="210"/>
      <c r="AQ1151" s="210"/>
      <c r="AR1151" s="210"/>
      <c r="AS1151" s="210"/>
      <c r="AT1151" s="210"/>
      <c r="AU1151" s="210"/>
      <c r="AV1151" s="210"/>
      <c r="AW1151" s="210"/>
      <c r="AX1151" s="210"/>
      <c r="AY1151" s="210"/>
      <c r="AZ1151" s="210"/>
      <c r="BA1151" s="210"/>
      <c r="BB1151" s="210"/>
      <c r="BC1151" s="210"/>
      <c r="BD1151" s="210"/>
      <c r="BE1151" s="210"/>
      <c r="BF1151" s="210"/>
      <c r="BG1151" s="210"/>
      <c r="BH1151" s="210"/>
      <c r="BI1151" s="210"/>
      <c r="BJ1151" s="210"/>
      <c r="BK1151" s="210"/>
      <c r="BL1151" s="210"/>
      <c r="BM1151" s="210"/>
      <c r="BN1151" s="210"/>
      <c r="BO1151" s="210"/>
      <c r="BP1151" s="210"/>
      <c r="BQ1151" s="210"/>
      <c r="BR1151" s="210"/>
      <c r="BS1151" s="210"/>
      <c r="BT1151" s="210"/>
      <c r="BU1151" s="210"/>
      <c r="BV1151" s="210"/>
      <c r="BW1151" s="210"/>
      <c r="BX1151" s="210"/>
      <c r="BY1151" s="210"/>
      <c r="BZ1151" s="210"/>
      <c r="CA1151" s="210"/>
      <c r="CB1151" s="210"/>
      <c r="CC1151" s="210"/>
      <c r="CD1151" s="210"/>
      <c r="CE1151" s="210"/>
      <c r="CF1151" s="210"/>
      <c r="CG1151" s="210"/>
      <c r="CH1151" s="210"/>
      <c r="CI1151" s="210"/>
      <c r="CJ1151" s="210"/>
      <c r="CK1151" s="210"/>
    </row>
    <row r="1152">
      <c r="A1152" s="220"/>
      <c r="F1152" s="190"/>
      <c r="G1152" s="190"/>
      <c r="L1152" s="220"/>
      <c r="M1152" s="220"/>
      <c r="O1152" s="210"/>
      <c r="P1152" s="210"/>
      <c r="Q1152" s="210"/>
      <c r="R1152" s="210"/>
      <c r="S1152" s="210"/>
      <c r="T1152" s="210"/>
      <c r="U1152" s="210"/>
      <c r="V1152" s="210"/>
      <c r="W1152" s="210"/>
      <c r="X1152" s="210"/>
      <c r="Y1152" s="210"/>
      <c r="Z1152" s="210"/>
      <c r="AA1152" s="210"/>
      <c r="AB1152" s="210"/>
      <c r="AC1152" s="210"/>
      <c r="AD1152" s="210"/>
      <c r="AE1152" s="210"/>
      <c r="AF1152" s="210"/>
      <c r="AG1152" s="210"/>
      <c r="AH1152" s="210"/>
      <c r="AI1152" s="210"/>
      <c r="AJ1152" s="210"/>
      <c r="AK1152" s="210"/>
      <c r="AL1152" s="210"/>
      <c r="AM1152" s="214"/>
      <c r="AN1152" s="210"/>
      <c r="AO1152" s="210"/>
      <c r="AP1152" s="210"/>
      <c r="AQ1152" s="210"/>
      <c r="AR1152" s="210"/>
      <c r="AS1152" s="210"/>
      <c r="AT1152" s="210"/>
      <c r="AU1152" s="210"/>
      <c r="AV1152" s="210"/>
      <c r="AW1152" s="210"/>
      <c r="AX1152" s="210"/>
      <c r="AY1152" s="210"/>
      <c r="AZ1152" s="210"/>
      <c r="BA1152" s="210"/>
      <c r="BB1152" s="210"/>
      <c r="BC1152" s="210"/>
      <c r="BD1152" s="210"/>
      <c r="BE1152" s="210"/>
      <c r="BF1152" s="210"/>
      <c r="BG1152" s="210"/>
      <c r="BH1152" s="210"/>
      <c r="BI1152" s="210"/>
      <c r="BJ1152" s="210"/>
      <c r="BK1152" s="210"/>
      <c r="BL1152" s="210"/>
      <c r="BM1152" s="210"/>
      <c r="BN1152" s="210"/>
      <c r="BO1152" s="210"/>
      <c r="BP1152" s="210"/>
      <c r="BQ1152" s="210"/>
      <c r="BR1152" s="210"/>
      <c r="BS1152" s="210"/>
      <c r="BT1152" s="210"/>
      <c r="BU1152" s="210"/>
      <c r="BV1152" s="210"/>
      <c r="BW1152" s="210"/>
      <c r="BX1152" s="210"/>
      <c r="BY1152" s="210"/>
      <c r="BZ1152" s="210"/>
      <c r="CA1152" s="210"/>
      <c r="CB1152" s="210"/>
      <c r="CC1152" s="210"/>
      <c r="CD1152" s="210"/>
      <c r="CE1152" s="210"/>
      <c r="CF1152" s="210"/>
      <c r="CG1152" s="210"/>
      <c r="CH1152" s="210"/>
      <c r="CI1152" s="210"/>
      <c r="CJ1152" s="210"/>
      <c r="CK1152" s="210"/>
    </row>
    <row r="1153">
      <c r="A1153" s="220"/>
      <c r="F1153" s="190"/>
      <c r="G1153" s="190"/>
      <c r="L1153" s="220"/>
      <c r="M1153" s="220"/>
      <c r="O1153" s="210"/>
      <c r="P1153" s="210"/>
      <c r="Q1153" s="210"/>
      <c r="R1153" s="210"/>
      <c r="S1153" s="210"/>
      <c r="T1153" s="210"/>
      <c r="U1153" s="210"/>
      <c r="V1153" s="210"/>
      <c r="W1153" s="210"/>
      <c r="X1153" s="210"/>
      <c r="Y1153" s="210"/>
      <c r="Z1153" s="210"/>
      <c r="AA1153" s="210"/>
      <c r="AB1153" s="210"/>
      <c r="AC1153" s="210"/>
      <c r="AD1153" s="210"/>
      <c r="AE1153" s="210"/>
      <c r="AF1153" s="210"/>
      <c r="AG1153" s="210"/>
      <c r="AH1153" s="210"/>
      <c r="AI1153" s="210"/>
      <c r="AJ1153" s="210"/>
      <c r="AK1153" s="210"/>
      <c r="AL1153" s="210"/>
      <c r="AM1153" s="214"/>
      <c r="AN1153" s="210"/>
      <c r="AO1153" s="210"/>
      <c r="AP1153" s="210"/>
      <c r="AQ1153" s="210"/>
      <c r="AR1153" s="210"/>
      <c r="AS1153" s="210"/>
      <c r="AT1153" s="210"/>
      <c r="AU1153" s="210"/>
      <c r="AV1153" s="210"/>
      <c r="AW1153" s="210"/>
      <c r="AX1153" s="210"/>
      <c r="AY1153" s="210"/>
      <c r="AZ1153" s="210"/>
      <c r="BA1153" s="210"/>
      <c r="BB1153" s="210"/>
      <c r="BC1153" s="210"/>
      <c r="BD1153" s="210"/>
      <c r="BE1153" s="210"/>
      <c r="BF1153" s="210"/>
      <c r="BG1153" s="210"/>
      <c r="BH1153" s="210"/>
      <c r="BI1153" s="210"/>
      <c r="BJ1153" s="210"/>
      <c r="BK1153" s="210"/>
      <c r="BL1153" s="210"/>
      <c r="BM1153" s="210"/>
      <c r="BN1153" s="210"/>
      <c r="BO1153" s="210"/>
      <c r="BP1153" s="210"/>
      <c r="BQ1153" s="210"/>
      <c r="BR1153" s="210"/>
      <c r="BS1153" s="210"/>
      <c r="BT1153" s="210"/>
      <c r="BU1153" s="210"/>
      <c r="BV1153" s="210"/>
      <c r="BW1153" s="210"/>
      <c r="BX1153" s="210"/>
      <c r="BY1153" s="210"/>
      <c r="BZ1153" s="210"/>
      <c r="CA1153" s="210"/>
      <c r="CB1153" s="210"/>
      <c r="CC1153" s="210"/>
      <c r="CD1153" s="210"/>
      <c r="CE1153" s="210"/>
      <c r="CF1153" s="210"/>
      <c r="CG1153" s="210"/>
      <c r="CH1153" s="210"/>
      <c r="CI1153" s="210"/>
      <c r="CJ1153" s="210"/>
      <c r="CK1153" s="210"/>
    </row>
    <row r="1154">
      <c r="A1154" s="220"/>
      <c r="F1154" s="190"/>
      <c r="G1154" s="190"/>
      <c r="L1154" s="220"/>
      <c r="M1154" s="220"/>
      <c r="O1154" s="210"/>
      <c r="P1154" s="210"/>
      <c r="Q1154" s="210"/>
      <c r="R1154" s="210"/>
      <c r="S1154" s="210"/>
      <c r="T1154" s="210"/>
      <c r="U1154" s="210"/>
      <c r="V1154" s="210"/>
      <c r="W1154" s="210"/>
      <c r="X1154" s="210"/>
      <c r="Y1154" s="210"/>
      <c r="Z1154" s="210"/>
      <c r="AA1154" s="210"/>
      <c r="AB1154" s="210"/>
      <c r="AC1154" s="210"/>
      <c r="AD1154" s="210"/>
      <c r="AE1154" s="210"/>
      <c r="AF1154" s="210"/>
      <c r="AG1154" s="210"/>
      <c r="AH1154" s="210"/>
      <c r="AI1154" s="210"/>
      <c r="AJ1154" s="210"/>
      <c r="AK1154" s="210"/>
      <c r="AL1154" s="210"/>
      <c r="AM1154" s="214"/>
      <c r="AN1154" s="210"/>
      <c r="AO1154" s="210"/>
      <c r="AP1154" s="210"/>
      <c r="AQ1154" s="210"/>
      <c r="AR1154" s="210"/>
      <c r="AS1154" s="210"/>
      <c r="AT1154" s="210"/>
      <c r="AU1154" s="210"/>
      <c r="AV1154" s="210"/>
      <c r="AW1154" s="210"/>
      <c r="AX1154" s="210"/>
      <c r="AY1154" s="210"/>
      <c r="AZ1154" s="210"/>
      <c r="BA1154" s="210"/>
      <c r="BB1154" s="210"/>
      <c r="BC1154" s="210"/>
      <c r="BD1154" s="210"/>
      <c r="BE1154" s="210"/>
      <c r="BF1154" s="210"/>
      <c r="BG1154" s="210"/>
      <c r="BH1154" s="210"/>
      <c r="BI1154" s="210"/>
      <c r="BJ1154" s="210"/>
      <c r="BK1154" s="210"/>
      <c r="BL1154" s="210"/>
      <c r="BM1154" s="210"/>
      <c r="BN1154" s="210"/>
      <c r="BO1154" s="210"/>
      <c r="BP1154" s="210"/>
      <c r="BQ1154" s="210"/>
      <c r="BR1154" s="210"/>
      <c r="BS1154" s="210"/>
      <c r="BT1154" s="210"/>
      <c r="BU1154" s="210"/>
      <c r="BV1154" s="210"/>
      <c r="BW1154" s="210"/>
      <c r="BX1154" s="210"/>
      <c r="BY1154" s="210"/>
      <c r="BZ1154" s="210"/>
      <c r="CA1154" s="210"/>
      <c r="CB1154" s="210"/>
      <c r="CC1154" s="210"/>
      <c r="CD1154" s="210"/>
      <c r="CE1154" s="210"/>
      <c r="CF1154" s="210"/>
      <c r="CG1154" s="210"/>
      <c r="CH1154" s="210"/>
      <c r="CI1154" s="210"/>
      <c r="CJ1154" s="210"/>
      <c r="CK1154" s="210"/>
    </row>
    <row r="1155">
      <c r="A1155" s="220"/>
      <c r="F1155" s="190"/>
      <c r="G1155" s="190"/>
      <c r="L1155" s="220"/>
      <c r="M1155" s="220"/>
      <c r="O1155" s="210"/>
      <c r="P1155" s="210"/>
      <c r="Q1155" s="210"/>
      <c r="R1155" s="210"/>
      <c r="S1155" s="210"/>
      <c r="T1155" s="210"/>
      <c r="U1155" s="210"/>
      <c r="V1155" s="210"/>
      <c r="W1155" s="210"/>
      <c r="X1155" s="210"/>
      <c r="Y1155" s="210"/>
      <c r="Z1155" s="210"/>
      <c r="AA1155" s="210"/>
      <c r="AB1155" s="210"/>
      <c r="AC1155" s="210"/>
      <c r="AD1155" s="210"/>
      <c r="AE1155" s="210"/>
      <c r="AF1155" s="210"/>
      <c r="AG1155" s="210"/>
      <c r="AH1155" s="210"/>
      <c r="AI1155" s="210"/>
      <c r="AJ1155" s="210"/>
      <c r="AK1155" s="210"/>
      <c r="AL1155" s="210"/>
      <c r="AM1155" s="214"/>
      <c r="AN1155" s="210"/>
      <c r="AO1155" s="210"/>
      <c r="AP1155" s="210"/>
      <c r="AQ1155" s="210"/>
      <c r="AR1155" s="210"/>
      <c r="AS1155" s="210"/>
      <c r="AT1155" s="210"/>
      <c r="AU1155" s="210"/>
      <c r="AV1155" s="210"/>
      <c r="AW1155" s="210"/>
      <c r="AX1155" s="210"/>
      <c r="AY1155" s="210"/>
      <c r="AZ1155" s="210"/>
      <c r="BA1155" s="210"/>
      <c r="BB1155" s="210"/>
      <c r="BC1155" s="210"/>
      <c r="BD1155" s="210"/>
      <c r="BE1155" s="210"/>
      <c r="BF1155" s="210"/>
      <c r="BG1155" s="210"/>
      <c r="BH1155" s="210"/>
      <c r="BI1155" s="210"/>
      <c r="BJ1155" s="210"/>
      <c r="BK1155" s="210"/>
      <c r="BL1155" s="210"/>
      <c r="BM1155" s="210"/>
      <c r="BN1155" s="210"/>
      <c r="BO1155" s="210"/>
      <c r="BP1155" s="210"/>
      <c r="BQ1155" s="210"/>
      <c r="BR1155" s="210"/>
      <c r="BS1155" s="210"/>
      <c r="BT1155" s="210"/>
      <c r="BU1155" s="210"/>
      <c r="BV1155" s="210"/>
      <c r="BW1155" s="210"/>
      <c r="BX1155" s="210"/>
      <c r="BY1155" s="210"/>
      <c r="BZ1155" s="210"/>
      <c r="CA1155" s="210"/>
      <c r="CB1155" s="210"/>
      <c r="CC1155" s="210"/>
      <c r="CD1155" s="210"/>
      <c r="CE1155" s="210"/>
      <c r="CF1155" s="210"/>
      <c r="CG1155" s="210"/>
      <c r="CH1155" s="210"/>
      <c r="CI1155" s="210"/>
      <c r="CJ1155" s="210"/>
      <c r="CK1155" s="210"/>
    </row>
    <row r="1156">
      <c r="A1156" s="220"/>
      <c r="F1156" s="190"/>
      <c r="G1156" s="190"/>
      <c r="L1156" s="220"/>
      <c r="M1156" s="220"/>
      <c r="O1156" s="210"/>
      <c r="P1156" s="210"/>
      <c r="Q1156" s="210"/>
      <c r="R1156" s="210"/>
      <c r="S1156" s="210"/>
      <c r="T1156" s="210"/>
      <c r="U1156" s="210"/>
      <c r="V1156" s="210"/>
      <c r="W1156" s="210"/>
      <c r="X1156" s="210"/>
      <c r="Y1156" s="210"/>
      <c r="Z1156" s="210"/>
      <c r="AA1156" s="210"/>
      <c r="AB1156" s="210"/>
      <c r="AC1156" s="210"/>
      <c r="AD1156" s="210"/>
      <c r="AE1156" s="210"/>
      <c r="AF1156" s="210"/>
      <c r="AG1156" s="210"/>
      <c r="AH1156" s="210"/>
      <c r="AI1156" s="210"/>
      <c r="AJ1156" s="210"/>
      <c r="AK1156" s="210"/>
      <c r="AL1156" s="210"/>
      <c r="AM1156" s="214"/>
      <c r="AN1156" s="210"/>
      <c r="AO1156" s="210"/>
      <c r="AP1156" s="210"/>
      <c r="AQ1156" s="210"/>
      <c r="AR1156" s="210"/>
      <c r="AS1156" s="210"/>
      <c r="AT1156" s="210"/>
      <c r="AU1156" s="210"/>
      <c r="AV1156" s="210"/>
      <c r="AW1156" s="210"/>
      <c r="AX1156" s="210"/>
      <c r="AY1156" s="210"/>
      <c r="AZ1156" s="210"/>
      <c r="BA1156" s="210"/>
      <c r="BB1156" s="210"/>
      <c r="BC1156" s="210"/>
      <c r="BD1156" s="210"/>
      <c r="BE1156" s="210"/>
      <c r="BF1156" s="210"/>
      <c r="BG1156" s="210"/>
      <c r="BH1156" s="210"/>
      <c r="BI1156" s="210"/>
      <c r="BJ1156" s="210"/>
      <c r="BK1156" s="210"/>
      <c r="BL1156" s="210"/>
      <c r="BM1156" s="210"/>
      <c r="BN1156" s="210"/>
      <c r="BO1156" s="210"/>
      <c r="BP1156" s="210"/>
      <c r="BQ1156" s="210"/>
      <c r="BR1156" s="210"/>
      <c r="BS1156" s="210"/>
      <c r="BT1156" s="210"/>
      <c r="BU1156" s="210"/>
      <c r="BV1156" s="210"/>
      <c r="BW1156" s="210"/>
      <c r="BX1156" s="210"/>
      <c r="BY1156" s="210"/>
      <c r="BZ1156" s="210"/>
      <c r="CA1156" s="210"/>
      <c r="CB1156" s="210"/>
      <c r="CC1156" s="210"/>
      <c r="CD1156" s="210"/>
      <c r="CE1156" s="210"/>
      <c r="CF1156" s="210"/>
      <c r="CG1156" s="210"/>
      <c r="CH1156" s="210"/>
      <c r="CI1156" s="210"/>
      <c r="CJ1156" s="210"/>
      <c r="CK1156" s="210"/>
    </row>
    <row r="1157">
      <c r="A1157" s="220"/>
      <c r="F1157" s="190"/>
      <c r="G1157" s="190"/>
      <c r="L1157" s="220"/>
      <c r="M1157" s="220"/>
      <c r="O1157" s="210"/>
      <c r="P1157" s="210"/>
      <c r="Q1157" s="210"/>
      <c r="R1157" s="210"/>
      <c r="S1157" s="210"/>
      <c r="T1157" s="210"/>
      <c r="U1157" s="210"/>
      <c r="V1157" s="210"/>
      <c r="W1157" s="210"/>
      <c r="X1157" s="210"/>
      <c r="Y1157" s="210"/>
      <c r="Z1157" s="210"/>
      <c r="AA1157" s="210"/>
      <c r="AB1157" s="210"/>
      <c r="AC1157" s="210"/>
      <c r="AD1157" s="210"/>
      <c r="AE1157" s="210"/>
      <c r="AF1157" s="210"/>
      <c r="AG1157" s="210"/>
      <c r="AH1157" s="210"/>
      <c r="AI1157" s="210"/>
      <c r="AJ1157" s="210"/>
      <c r="AK1157" s="210"/>
      <c r="AL1157" s="210"/>
      <c r="AM1157" s="214"/>
      <c r="AN1157" s="210"/>
      <c r="AO1157" s="210"/>
      <c r="AP1157" s="210"/>
      <c r="AQ1157" s="210"/>
      <c r="AR1157" s="210"/>
      <c r="AS1157" s="210"/>
      <c r="AT1157" s="210"/>
      <c r="AU1157" s="210"/>
      <c r="AV1157" s="210"/>
      <c r="AW1157" s="210"/>
      <c r="AX1157" s="210"/>
      <c r="AY1157" s="210"/>
      <c r="AZ1157" s="210"/>
      <c r="BA1157" s="210"/>
      <c r="BB1157" s="210"/>
      <c r="BC1157" s="210"/>
      <c r="BD1157" s="210"/>
      <c r="BE1157" s="210"/>
      <c r="BF1157" s="210"/>
      <c r="BG1157" s="210"/>
      <c r="BH1157" s="210"/>
      <c r="BI1157" s="210"/>
      <c r="BJ1157" s="210"/>
      <c r="BK1157" s="210"/>
      <c r="BL1157" s="210"/>
      <c r="BM1157" s="210"/>
      <c r="BN1157" s="210"/>
      <c r="BO1157" s="210"/>
      <c r="BP1157" s="210"/>
      <c r="BQ1157" s="210"/>
      <c r="BR1157" s="210"/>
      <c r="BS1157" s="210"/>
      <c r="BT1157" s="210"/>
      <c r="BU1157" s="210"/>
      <c r="BV1157" s="210"/>
      <c r="BW1157" s="210"/>
      <c r="BX1157" s="210"/>
      <c r="BY1157" s="210"/>
      <c r="BZ1157" s="210"/>
      <c r="CA1157" s="210"/>
      <c r="CB1157" s="210"/>
      <c r="CC1157" s="210"/>
      <c r="CD1157" s="210"/>
      <c r="CE1157" s="210"/>
      <c r="CF1157" s="210"/>
      <c r="CG1157" s="210"/>
      <c r="CH1157" s="210"/>
      <c r="CI1157" s="210"/>
      <c r="CJ1157" s="210"/>
      <c r="CK1157" s="210"/>
    </row>
    <row r="1158">
      <c r="A1158" s="220"/>
      <c r="F1158" s="190"/>
      <c r="G1158" s="190"/>
      <c r="L1158" s="220"/>
      <c r="M1158" s="220"/>
      <c r="O1158" s="210"/>
      <c r="P1158" s="210"/>
      <c r="Q1158" s="210"/>
      <c r="R1158" s="210"/>
      <c r="S1158" s="210"/>
      <c r="T1158" s="210"/>
      <c r="U1158" s="210"/>
      <c r="V1158" s="210"/>
      <c r="W1158" s="210"/>
      <c r="X1158" s="210"/>
      <c r="Y1158" s="210"/>
      <c r="Z1158" s="210"/>
      <c r="AA1158" s="210"/>
      <c r="AB1158" s="210"/>
      <c r="AC1158" s="210"/>
      <c r="AD1158" s="210"/>
      <c r="AE1158" s="210"/>
      <c r="AF1158" s="210"/>
      <c r="AG1158" s="210"/>
      <c r="AH1158" s="210"/>
      <c r="AI1158" s="210"/>
      <c r="AJ1158" s="210"/>
      <c r="AK1158" s="210"/>
      <c r="AL1158" s="210"/>
      <c r="AM1158" s="214"/>
      <c r="AN1158" s="210"/>
      <c r="AO1158" s="210"/>
      <c r="AP1158" s="210"/>
      <c r="AQ1158" s="210"/>
      <c r="AR1158" s="210"/>
      <c r="AS1158" s="210"/>
      <c r="AT1158" s="210"/>
      <c r="AU1158" s="210"/>
      <c r="AV1158" s="210"/>
      <c r="AW1158" s="210"/>
      <c r="AX1158" s="210"/>
      <c r="AY1158" s="210"/>
      <c r="AZ1158" s="210"/>
      <c r="BA1158" s="210"/>
      <c r="BB1158" s="210"/>
      <c r="BC1158" s="210"/>
      <c r="BD1158" s="210"/>
      <c r="BE1158" s="210"/>
      <c r="BF1158" s="210"/>
      <c r="BG1158" s="210"/>
      <c r="BH1158" s="210"/>
      <c r="BI1158" s="210"/>
      <c r="BJ1158" s="210"/>
      <c r="BK1158" s="210"/>
      <c r="BL1158" s="210"/>
      <c r="BM1158" s="210"/>
      <c r="BN1158" s="210"/>
      <c r="BO1158" s="210"/>
      <c r="BP1158" s="210"/>
      <c r="BQ1158" s="210"/>
      <c r="BR1158" s="210"/>
      <c r="BS1158" s="210"/>
      <c r="BT1158" s="210"/>
      <c r="BU1158" s="210"/>
      <c r="BV1158" s="210"/>
      <c r="BW1158" s="210"/>
      <c r="BX1158" s="210"/>
      <c r="BY1158" s="210"/>
      <c r="BZ1158" s="210"/>
      <c r="CA1158" s="210"/>
      <c r="CB1158" s="210"/>
      <c r="CC1158" s="210"/>
      <c r="CD1158" s="210"/>
      <c r="CE1158" s="210"/>
      <c r="CF1158" s="210"/>
      <c r="CG1158" s="210"/>
      <c r="CH1158" s="210"/>
      <c r="CI1158" s="210"/>
      <c r="CJ1158" s="210"/>
      <c r="CK1158" s="210"/>
    </row>
    <row r="1159">
      <c r="A1159" s="220"/>
      <c r="F1159" s="190"/>
      <c r="G1159" s="190"/>
      <c r="L1159" s="220"/>
      <c r="M1159" s="220"/>
      <c r="O1159" s="210"/>
      <c r="P1159" s="210"/>
      <c r="Q1159" s="210"/>
      <c r="R1159" s="210"/>
      <c r="S1159" s="210"/>
      <c r="T1159" s="210"/>
      <c r="U1159" s="210"/>
      <c r="V1159" s="210"/>
      <c r="W1159" s="210"/>
      <c r="X1159" s="210"/>
      <c r="Y1159" s="210"/>
      <c r="Z1159" s="210"/>
      <c r="AA1159" s="210"/>
      <c r="AB1159" s="210"/>
      <c r="AC1159" s="210"/>
      <c r="AD1159" s="210"/>
      <c r="AE1159" s="210"/>
      <c r="AF1159" s="210"/>
      <c r="AG1159" s="210"/>
      <c r="AH1159" s="210"/>
      <c r="AI1159" s="210"/>
      <c r="AJ1159" s="210"/>
      <c r="AK1159" s="210"/>
      <c r="AL1159" s="210"/>
      <c r="AM1159" s="214"/>
      <c r="AN1159" s="210"/>
      <c r="AO1159" s="210"/>
      <c r="AP1159" s="210"/>
      <c r="AQ1159" s="210"/>
      <c r="AR1159" s="210"/>
      <c r="AS1159" s="210"/>
      <c r="AT1159" s="210"/>
      <c r="AU1159" s="210"/>
      <c r="AV1159" s="210"/>
      <c r="AW1159" s="210"/>
      <c r="AX1159" s="210"/>
      <c r="AY1159" s="210"/>
      <c r="AZ1159" s="210"/>
      <c r="BA1159" s="210"/>
      <c r="BB1159" s="210"/>
      <c r="BC1159" s="210"/>
      <c r="BD1159" s="210"/>
      <c r="BE1159" s="210"/>
      <c r="BF1159" s="210"/>
      <c r="BG1159" s="210"/>
      <c r="BH1159" s="210"/>
      <c r="BI1159" s="210"/>
      <c r="BJ1159" s="210"/>
      <c r="BK1159" s="210"/>
      <c r="BL1159" s="210"/>
      <c r="BM1159" s="210"/>
      <c r="BN1159" s="210"/>
      <c r="BO1159" s="210"/>
      <c r="BP1159" s="210"/>
      <c r="BQ1159" s="210"/>
      <c r="BR1159" s="210"/>
      <c r="BS1159" s="210"/>
      <c r="BT1159" s="210"/>
      <c r="BU1159" s="210"/>
      <c r="BV1159" s="210"/>
      <c r="BW1159" s="210"/>
      <c r="BX1159" s="210"/>
      <c r="BY1159" s="210"/>
      <c r="BZ1159" s="210"/>
      <c r="CA1159" s="210"/>
      <c r="CB1159" s="210"/>
      <c r="CC1159" s="210"/>
      <c r="CD1159" s="210"/>
      <c r="CE1159" s="210"/>
      <c r="CF1159" s="210"/>
      <c r="CG1159" s="210"/>
      <c r="CH1159" s="210"/>
      <c r="CI1159" s="210"/>
      <c r="CJ1159" s="210"/>
      <c r="CK1159" s="210"/>
    </row>
    <row r="1160">
      <c r="A1160" s="220"/>
      <c r="F1160" s="190"/>
      <c r="G1160" s="190"/>
      <c r="L1160" s="220"/>
      <c r="M1160" s="220"/>
      <c r="O1160" s="210"/>
      <c r="P1160" s="210"/>
      <c r="Q1160" s="210"/>
      <c r="R1160" s="210"/>
      <c r="S1160" s="210"/>
      <c r="T1160" s="210"/>
      <c r="U1160" s="210"/>
      <c r="V1160" s="210"/>
      <c r="W1160" s="210"/>
      <c r="X1160" s="210"/>
      <c r="Y1160" s="210"/>
      <c r="Z1160" s="210"/>
      <c r="AA1160" s="210"/>
      <c r="AB1160" s="210"/>
      <c r="AC1160" s="210"/>
      <c r="AD1160" s="210"/>
      <c r="AE1160" s="210"/>
      <c r="AF1160" s="210"/>
      <c r="AG1160" s="210"/>
      <c r="AH1160" s="210"/>
      <c r="AI1160" s="210"/>
      <c r="AJ1160" s="210"/>
      <c r="AK1160" s="210"/>
      <c r="AL1160" s="210"/>
      <c r="AM1160" s="214"/>
      <c r="AN1160" s="210"/>
      <c r="AO1160" s="210"/>
      <c r="AP1160" s="210"/>
      <c r="AQ1160" s="210"/>
      <c r="AR1160" s="210"/>
      <c r="AS1160" s="210"/>
      <c r="AT1160" s="210"/>
      <c r="AU1160" s="210"/>
      <c r="AV1160" s="210"/>
      <c r="AW1160" s="210"/>
      <c r="AX1160" s="210"/>
      <c r="AY1160" s="210"/>
      <c r="AZ1160" s="210"/>
      <c r="BA1160" s="210"/>
      <c r="BB1160" s="210"/>
      <c r="BC1160" s="210"/>
      <c r="BD1160" s="210"/>
      <c r="BE1160" s="210"/>
      <c r="BF1160" s="210"/>
      <c r="BG1160" s="210"/>
      <c r="BH1160" s="210"/>
      <c r="BI1160" s="210"/>
      <c r="BJ1160" s="210"/>
      <c r="BK1160" s="210"/>
      <c r="BL1160" s="210"/>
      <c r="BM1160" s="210"/>
      <c r="BN1160" s="210"/>
      <c r="BO1160" s="210"/>
      <c r="BP1160" s="210"/>
      <c r="BQ1160" s="210"/>
      <c r="BR1160" s="210"/>
      <c r="BS1160" s="210"/>
      <c r="BT1160" s="210"/>
      <c r="BU1160" s="210"/>
      <c r="BV1160" s="210"/>
      <c r="BW1160" s="210"/>
      <c r="BX1160" s="210"/>
      <c r="BY1160" s="210"/>
      <c r="BZ1160" s="210"/>
      <c r="CA1160" s="210"/>
      <c r="CB1160" s="210"/>
      <c r="CC1160" s="210"/>
      <c r="CD1160" s="210"/>
      <c r="CE1160" s="210"/>
      <c r="CF1160" s="210"/>
      <c r="CG1160" s="210"/>
      <c r="CH1160" s="210"/>
      <c r="CI1160" s="210"/>
      <c r="CJ1160" s="210"/>
      <c r="CK1160" s="210"/>
    </row>
    <row r="1161">
      <c r="A1161" s="220"/>
      <c r="F1161" s="190"/>
      <c r="G1161" s="190"/>
      <c r="L1161" s="220"/>
      <c r="M1161" s="220"/>
      <c r="O1161" s="210"/>
      <c r="P1161" s="210"/>
      <c r="Q1161" s="210"/>
      <c r="R1161" s="210"/>
      <c r="S1161" s="210"/>
      <c r="T1161" s="210"/>
      <c r="U1161" s="210"/>
      <c r="V1161" s="210"/>
      <c r="W1161" s="210"/>
      <c r="X1161" s="210"/>
      <c r="Y1161" s="210"/>
      <c r="Z1161" s="210"/>
      <c r="AA1161" s="210"/>
      <c r="AB1161" s="210"/>
      <c r="AC1161" s="210"/>
      <c r="AD1161" s="210"/>
      <c r="AE1161" s="210"/>
      <c r="AF1161" s="210"/>
      <c r="AG1161" s="210"/>
      <c r="AH1161" s="210"/>
      <c r="AI1161" s="210"/>
      <c r="AJ1161" s="210"/>
      <c r="AK1161" s="210"/>
      <c r="AL1161" s="210"/>
      <c r="AM1161" s="214"/>
      <c r="AN1161" s="210"/>
      <c r="AO1161" s="210"/>
      <c r="AP1161" s="210"/>
      <c r="AQ1161" s="210"/>
      <c r="AR1161" s="210"/>
      <c r="AS1161" s="210"/>
      <c r="AT1161" s="210"/>
      <c r="AU1161" s="210"/>
      <c r="AV1161" s="210"/>
      <c r="AW1161" s="210"/>
      <c r="AX1161" s="210"/>
      <c r="AY1161" s="210"/>
      <c r="AZ1161" s="210"/>
      <c r="BA1161" s="210"/>
      <c r="BB1161" s="210"/>
      <c r="BC1161" s="210"/>
      <c r="BD1161" s="210"/>
      <c r="BE1161" s="210"/>
      <c r="BF1161" s="210"/>
      <c r="BG1161" s="210"/>
      <c r="BH1161" s="210"/>
      <c r="BI1161" s="210"/>
      <c r="BJ1161" s="210"/>
      <c r="BK1161" s="210"/>
      <c r="BL1161" s="210"/>
      <c r="BM1161" s="210"/>
      <c r="BN1161" s="210"/>
      <c r="BO1161" s="210"/>
      <c r="BP1161" s="210"/>
      <c r="BQ1161" s="210"/>
      <c r="BR1161" s="210"/>
      <c r="BS1161" s="210"/>
      <c r="BT1161" s="210"/>
      <c r="BU1161" s="210"/>
      <c r="BV1161" s="210"/>
      <c r="BW1161" s="210"/>
      <c r="BX1161" s="210"/>
      <c r="BY1161" s="210"/>
      <c r="BZ1161" s="210"/>
      <c r="CA1161" s="210"/>
      <c r="CB1161" s="210"/>
      <c r="CC1161" s="210"/>
      <c r="CD1161" s="210"/>
      <c r="CE1161" s="210"/>
      <c r="CF1161" s="210"/>
      <c r="CG1161" s="210"/>
      <c r="CH1161" s="210"/>
      <c r="CI1161" s="210"/>
      <c r="CJ1161" s="210"/>
      <c r="CK1161" s="210"/>
    </row>
    <row r="1162">
      <c r="A1162" s="220"/>
      <c r="F1162" s="190"/>
      <c r="G1162" s="190"/>
      <c r="L1162" s="220"/>
      <c r="M1162" s="220"/>
      <c r="O1162" s="210"/>
      <c r="P1162" s="210"/>
      <c r="Q1162" s="210"/>
      <c r="R1162" s="210"/>
      <c r="S1162" s="210"/>
      <c r="T1162" s="210"/>
      <c r="U1162" s="210"/>
      <c r="V1162" s="210"/>
      <c r="W1162" s="210"/>
      <c r="X1162" s="210"/>
      <c r="Y1162" s="210"/>
      <c r="Z1162" s="210"/>
      <c r="AA1162" s="210"/>
      <c r="AB1162" s="210"/>
      <c r="AC1162" s="210"/>
      <c r="AD1162" s="210"/>
      <c r="AE1162" s="210"/>
      <c r="AF1162" s="210"/>
      <c r="AG1162" s="210"/>
      <c r="AH1162" s="210"/>
      <c r="AI1162" s="210"/>
      <c r="AJ1162" s="210"/>
      <c r="AK1162" s="210"/>
      <c r="AL1162" s="210"/>
      <c r="AM1162" s="214"/>
      <c r="AN1162" s="210"/>
      <c r="AO1162" s="210"/>
      <c r="AP1162" s="210"/>
      <c r="AQ1162" s="210"/>
      <c r="AR1162" s="210"/>
      <c r="AS1162" s="210"/>
      <c r="AT1162" s="210"/>
      <c r="AU1162" s="210"/>
      <c r="AV1162" s="210"/>
      <c r="AW1162" s="210"/>
      <c r="AX1162" s="210"/>
      <c r="AY1162" s="210"/>
      <c r="AZ1162" s="210"/>
      <c r="BA1162" s="210"/>
      <c r="BB1162" s="210"/>
      <c r="BC1162" s="210"/>
      <c r="BD1162" s="210"/>
      <c r="BE1162" s="210"/>
      <c r="BF1162" s="210"/>
      <c r="BG1162" s="210"/>
      <c r="BH1162" s="210"/>
      <c r="BI1162" s="210"/>
      <c r="BJ1162" s="210"/>
      <c r="BK1162" s="210"/>
      <c r="BL1162" s="210"/>
      <c r="BM1162" s="210"/>
      <c r="BN1162" s="210"/>
      <c r="BO1162" s="210"/>
      <c r="BP1162" s="210"/>
      <c r="BQ1162" s="210"/>
      <c r="BR1162" s="210"/>
      <c r="BS1162" s="210"/>
      <c r="BT1162" s="210"/>
      <c r="BU1162" s="210"/>
      <c r="BV1162" s="210"/>
      <c r="BW1162" s="210"/>
      <c r="BX1162" s="210"/>
      <c r="BY1162" s="210"/>
      <c r="BZ1162" s="210"/>
      <c r="CA1162" s="210"/>
      <c r="CB1162" s="210"/>
      <c r="CC1162" s="210"/>
      <c r="CD1162" s="210"/>
      <c r="CE1162" s="210"/>
      <c r="CF1162" s="210"/>
      <c r="CG1162" s="210"/>
      <c r="CH1162" s="210"/>
      <c r="CI1162" s="210"/>
      <c r="CJ1162" s="210"/>
      <c r="CK1162" s="210"/>
    </row>
    <row r="1163">
      <c r="A1163" s="220"/>
      <c r="F1163" s="190"/>
      <c r="G1163" s="190"/>
      <c r="L1163" s="220"/>
      <c r="M1163" s="220"/>
      <c r="O1163" s="210"/>
      <c r="P1163" s="210"/>
      <c r="Q1163" s="210"/>
      <c r="R1163" s="210"/>
      <c r="S1163" s="210"/>
      <c r="T1163" s="210"/>
      <c r="U1163" s="210"/>
      <c r="V1163" s="210"/>
      <c r="W1163" s="210"/>
      <c r="X1163" s="210"/>
      <c r="Y1163" s="210"/>
      <c r="Z1163" s="210"/>
      <c r="AA1163" s="210"/>
      <c r="AB1163" s="210"/>
      <c r="AC1163" s="210"/>
      <c r="AD1163" s="210"/>
      <c r="AE1163" s="210"/>
      <c r="AF1163" s="210"/>
      <c r="AG1163" s="210"/>
      <c r="AH1163" s="210"/>
      <c r="AI1163" s="210"/>
      <c r="AJ1163" s="210"/>
      <c r="AK1163" s="210"/>
      <c r="AL1163" s="210"/>
      <c r="AM1163" s="214"/>
      <c r="AN1163" s="210"/>
      <c r="AO1163" s="210"/>
      <c r="AP1163" s="210"/>
      <c r="AQ1163" s="210"/>
      <c r="AR1163" s="210"/>
      <c r="AS1163" s="210"/>
      <c r="AT1163" s="210"/>
      <c r="AU1163" s="210"/>
      <c r="AV1163" s="210"/>
      <c r="AW1163" s="210"/>
      <c r="AX1163" s="210"/>
      <c r="AY1163" s="210"/>
      <c r="AZ1163" s="210"/>
      <c r="BA1163" s="210"/>
      <c r="BB1163" s="210"/>
      <c r="BC1163" s="210"/>
      <c r="BD1163" s="210"/>
      <c r="BE1163" s="210"/>
      <c r="BF1163" s="210"/>
      <c r="BG1163" s="210"/>
      <c r="BH1163" s="210"/>
      <c r="BI1163" s="210"/>
      <c r="BJ1163" s="210"/>
      <c r="BK1163" s="210"/>
      <c r="BL1163" s="210"/>
      <c r="BM1163" s="210"/>
      <c r="BN1163" s="210"/>
      <c r="BO1163" s="210"/>
      <c r="BP1163" s="210"/>
      <c r="BQ1163" s="210"/>
      <c r="BR1163" s="210"/>
      <c r="BS1163" s="210"/>
      <c r="BT1163" s="210"/>
      <c r="BU1163" s="210"/>
      <c r="BV1163" s="210"/>
      <c r="BW1163" s="210"/>
      <c r="BX1163" s="210"/>
      <c r="BY1163" s="210"/>
      <c r="BZ1163" s="210"/>
      <c r="CA1163" s="210"/>
      <c r="CB1163" s="210"/>
      <c r="CC1163" s="210"/>
      <c r="CD1163" s="210"/>
      <c r="CE1163" s="210"/>
      <c r="CF1163" s="210"/>
      <c r="CG1163" s="210"/>
      <c r="CH1163" s="210"/>
      <c r="CI1163" s="210"/>
      <c r="CJ1163" s="210"/>
      <c r="CK1163" s="210"/>
    </row>
    <row r="1164">
      <c r="A1164" s="220"/>
      <c r="F1164" s="190"/>
      <c r="G1164" s="190"/>
      <c r="L1164" s="220"/>
      <c r="M1164" s="220"/>
      <c r="O1164" s="210"/>
      <c r="P1164" s="210"/>
      <c r="Q1164" s="210"/>
      <c r="R1164" s="210"/>
      <c r="S1164" s="210"/>
      <c r="T1164" s="210"/>
      <c r="U1164" s="210"/>
      <c r="V1164" s="210"/>
      <c r="W1164" s="210"/>
      <c r="X1164" s="210"/>
      <c r="Y1164" s="210"/>
      <c r="Z1164" s="210"/>
      <c r="AA1164" s="210"/>
      <c r="AB1164" s="210"/>
      <c r="AC1164" s="210"/>
      <c r="AD1164" s="210"/>
      <c r="AE1164" s="210"/>
      <c r="AF1164" s="210"/>
      <c r="AG1164" s="210"/>
      <c r="AH1164" s="210"/>
      <c r="AI1164" s="210"/>
      <c r="AJ1164" s="210"/>
      <c r="AK1164" s="210"/>
      <c r="AL1164" s="210"/>
      <c r="AM1164" s="214"/>
      <c r="AN1164" s="210"/>
      <c r="AO1164" s="210"/>
      <c r="AP1164" s="210"/>
      <c r="AQ1164" s="210"/>
      <c r="AR1164" s="210"/>
      <c r="AS1164" s="210"/>
      <c r="AT1164" s="210"/>
      <c r="AU1164" s="210"/>
      <c r="AV1164" s="210"/>
      <c r="AW1164" s="210"/>
      <c r="AX1164" s="210"/>
      <c r="AY1164" s="210"/>
      <c r="AZ1164" s="210"/>
      <c r="BA1164" s="210"/>
      <c r="BB1164" s="210"/>
      <c r="BC1164" s="210"/>
      <c r="BD1164" s="210"/>
      <c r="BE1164" s="210"/>
      <c r="BF1164" s="210"/>
      <c r="BG1164" s="210"/>
      <c r="BH1164" s="210"/>
      <c r="BI1164" s="210"/>
      <c r="BJ1164" s="210"/>
      <c r="BK1164" s="210"/>
      <c r="BL1164" s="210"/>
      <c r="BM1164" s="210"/>
      <c r="BN1164" s="210"/>
      <c r="BO1164" s="210"/>
      <c r="BP1164" s="210"/>
      <c r="BQ1164" s="210"/>
      <c r="BR1164" s="210"/>
      <c r="BS1164" s="210"/>
      <c r="BT1164" s="210"/>
      <c r="BU1164" s="210"/>
      <c r="BV1164" s="210"/>
      <c r="BW1164" s="210"/>
      <c r="BX1164" s="210"/>
      <c r="BY1164" s="210"/>
      <c r="BZ1164" s="210"/>
      <c r="CA1164" s="210"/>
      <c r="CB1164" s="210"/>
      <c r="CC1164" s="210"/>
      <c r="CD1164" s="210"/>
      <c r="CE1164" s="210"/>
      <c r="CF1164" s="210"/>
      <c r="CG1164" s="210"/>
      <c r="CH1164" s="210"/>
      <c r="CI1164" s="210"/>
      <c r="CJ1164" s="210"/>
      <c r="CK1164" s="210"/>
    </row>
    <row r="1165">
      <c r="A1165" s="220"/>
      <c r="F1165" s="190"/>
      <c r="G1165" s="190"/>
      <c r="L1165" s="220"/>
      <c r="M1165" s="220"/>
      <c r="O1165" s="210"/>
      <c r="P1165" s="210"/>
      <c r="Q1165" s="210"/>
      <c r="R1165" s="210"/>
      <c r="S1165" s="210"/>
      <c r="T1165" s="210"/>
      <c r="U1165" s="210"/>
      <c r="V1165" s="210"/>
      <c r="W1165" s="210"/>
      <c r="X1165" s="210"/>
      <c r="Y1165" s="210"/>
      <c r="Z1165" s="210"/>
      <c r="AA1165" s="210"/>
      <c r="AB1165" s="210"/>
      <c r="AC1165" s="210"/>
      <c r="AD1165" s="210"/>
      <c r="AE1165" s="210"/>
      <c r="AF1165" s="210"/>
      <c r="AG1165" s="210"/>
      <c r="AH1165" s="210"/>
      <c r="AI1165" s="210"/>
      <c r="AJ1165" s="210"/>
      <c r="AK1165" s="210"/>
      <c r="AL1165" s="210"/>
      <c r="AM1165" s="214"/>
      <c r="AN1165" s="210"/>
      <c r="AO1165" s="210"/>
      <c r="AP1165" s="210"/>
      <c r="AQ1165" s="210"/>
      <c r="AR1165" s="210"/>
      <c r="AS1165" s="210"/>
      <c r="AT1165" s="210"/>
      <c r="AU1165" s="210"/>
      <c r="AV1165" s="210"/>
      <c r="AW1165" s="210"/>
      <c r="AX1165" s="210"/>
      <c r="AY1165" s="210"/>
      <c r="AZ1165" s="210"/>
      <c r="BA1165" s="210"/>
      <c r="BB1165" s="210"/>
      <c r="BC1165" s="210"/>
      <c r="BD1165" s="210"/>
      <c r="BE1165" s="210"/>
      <c r="BF1165" s="210"/>
      <c r="BG1165" s="210"/>
      <c r="BH1165" s="210"/>
      <c r="BI1165" s="210"/>
      <c r="BJ1165" s="210"/>
      <c r="BK1165" s="210"/>
      <c r="BL1165" s="210"/>
      <c r="BM1165" s="210"/>
      <c r="BN1165" s="210"/>
      <c r="BO1165" s="210"/>
      <c r="BP1165" s="210"/>
      <c r="BQ1165" s="210"/>
      <c r="BR1165" s="210"/>
      <c r="BS1165" s="210"/>
      <c r="BT1165" s="210"/>
      <c r="BU1165" s="210"/>
      <c r="BV1165" s="210"/>
      <c r="BW1165" s="210"/>
      <c r="BX1165" s="210"/>
      <c r="BY1165" s="210"/>
      <c r="BZ1165" s="210"/>
      <c r="CA1165" s="210"/>
      <c r="CB1165" s="210"/>
      <c r="CC1165" s="210"/>
      <c r="CD1165" s="210"/>
      <c r="CE1165" s="210"/>
      <c r="CF1165" s="210"/>
      <c r="CG1165" s="210"/>
      <c r="CH1165" s="210"/>
      <c r="CI1165" s="210"/>
      <c r="CJ1165" s="210"/>
      <c r="CK1165" s="210"/>
    </row>
    <row r="1166">
      <c r="A1166" s="220"/>
      <c r="F1166" s="190"/>
      <c r="G1166" s="190"/>
      <c r="L1166" s="220"/>
      <c r="M1166" s="220"/>
      <c r="O1166" s="210"/>
      <c r="P1166" s="210"/>
      <c r="Q1166" s="210"/>
      <c r="R1166" s="210"/>
      <c r="S1166" s="210"/>
      <c r="T1166" s="210"/>
      <c r="U1166" s="210"/>
      <c r="V1166" s="210"/>
      <c r="W1166" s="210"/>
      <c r="X1166" s="210"/>
      <c r="Y1166" s="210"/>
      <c r="Z1166" s="210"/>
      <c r="AA1166" s="210"/>
      <c r="AB1166" s="210"/>
      <c r="AC1166" s="210"/>
      <c r="AD1166" s="210"/>
      <c r="AE1166" s="210"/>
      <c r="AF1166" s="210"/>
      <c r="AG1166" s="210"/>
      <c r="AH1166" s="210"/>
      <c r="AI1166" s="210"/>
      <c r="AJ1166" s="210"/>
      <c r="AK1166" s="210"/>
      <c r="AL1166" s="210"/>
      <c r="AM1166" s="214"/>
      <c r="AN1166" s="210"/>
      <c r="AO1166" s="210"/>
      <c r="AP1166" s="210"/>
      <c r="AQ1166" s="210"/>
      <c r="AR1166" s="210"/>
      <c r="AS1166" s="210"/>
      <c r="AT1166" s="210"/>
      <c r="AU1166" s="210"/>
      <c r="AV1166" s="210"/>
      <c r="AW1166" s="210"/>
      <c r="AX1166" s="210"/>
      <c r="AY1166" s="210"/>
      <c r="AZ1166" s="210"/>
      <c r="BA1166" s="210"/>
      <c r="BB1166" s="210"/>
      <c r="BC1166" s="210"/>
      <c r="BD1166" s="210"/>
      <c r="BE1166" s="210"/>
      <c r="BF1166" s="210"/>
      <c r="BG1166" s="210"/>
      <c r="BH1166" s="210"/>
      <c r="BI1166" s="210"/>
      <c r="BJ1166" s="210"/>
      <c r="BK1166" s="210"/>
      <c r="BL1166" s="210"/>
      <c r="BM1166" s="210"/>
      <c r="BN1166" s="210"/>
      <c r="BO1166" s="210"/>
      <c r="BP1166" s="210"/>
      <c r="BQ1166" s="210"/>
      <c r="BR1166" s="210"/>
      <c r="BS1166" s="210"/>
      <c r="BT1166" s="210"/>
      <c r="BU1166" s="210"/>
      <c r="BV1166" s="210"/>
      <c r="BW1166" s="210"/>
      <c r="BX1166" s="210"/>
      <c r="BY1166" s="210"/>
      <c r="BZ1166" s="210"/>
      <c r="CA1166" s="210"/>
      <c r="CB1166" s="210"/>
      <c r="CC1166" s="210"/>
      <c r="CD1166" s="210"/>
      <c r="CE1166" s="210"/>
      <c r="CF1166" s="210"/>
      <c r="CG1166" s="210"/>
      <c r="CH1166" s="210"/>
      <c r="CI1166" s="210"/>
      <c r="CJ1166" s="210"/>
      <c r="CK1166" s="210"/>
    </row>
    <row r="1167">
      <c r="A1167" s="220"/>
      <c r="F1167" s="190"/>
      <c r="G1167" s="190"/>
      <c r="L1167" s="220"/>
      <c r="M1167" s="220"/>
      <c r="O1167" s="210"/>
      <c r="P1167" s="210"/>
      <c r="Q1167" s="210"/>
      <c r="R1167" s="210"/>
      <c r="S1167" s="210"/>
      <c r="T1167" s="210"/>
      <c r="U1167" s="210"/>
      <c r="V1167" s="210"/>
      <c r="W1167" s="210"/>
      <c r="X1167" s="210"/>
      <c r="Y1167" s="210"/>
      <c r="Z1167" s="210"/>
      <c r="AA1167" s="210"/>
      <c r="AB1167" s="210"/>
      <c r="AC1167" s="210"/>
      <c r="AD1167" s="210"/>
      <c r="AE1167" s="210"/>
      <c r="AF1167" s="210"/>
      <c r="AG1167" s="210"/>
      <c r="AH1167" s="210"/>
      <c r="AI1167" s="210"/>
      <c r="AJ1167" s="210"/>
      <c r="AK1167" s="210"/>
      <c r="AL1167" s="210"/>
      <c r="AM1167" s="214"/>
      <c r="AN1167" s="210"/>
      <c r="AO1167" s="210"/>
      <c r="AP1167" s="210"/>
      <c r="AQ1167" s="210"/>
      <c r="AR1167" s="210"/>
      <c r="AS1167" s="210"/>
      <c r="AT1167" s="210"/>
      <c r="AU1167" s="210"/>
      <c r="AV1167" s="210"/>
      <c r="AW1167" s="210"/>
      <c r="AX1167" s="210"/>
      <c r="AY1167" s="210"/>
      <c r="AZ1167" s="210"/>
      <c r="BA1167" s="210"/>
      <c r="BB1167" s="210"/>
      <c r="BC1167" s="210"/>
      <c r="BD1167" s="210"/>
      <c r="BE1167" s="210"/>
      <c r="BF1167" s="210"/>
      <c r="BG1167" s="210"/>
      <c r="BH1167" s="210"/>
      <c r="BI1167" s="210"/>
      <c r="BJ1167" s="210"/>
      <c r="BK1167" s="210"/>
      <c r="BL1167" s="210"/>
      <c r="BM1167" s="210"/>
      <c r="BN1167" s="210"/>
      <c r="BO1167" s="210"/>
      <c r="BP1167" s="210"/>
      <c r="BQ1167" s="210"/>
      <c r="BR1167" s="210"/>
      <c r="BS1167" s="210"/>
      <c r="BT1167" s="210"/>
      <c r="BU1167" s="210"/>
      <c r="BV1167" s="210"/>
      <c r="BW1167" s="210"/>
      <c r="BX1167" s="210"/>
      <c r="BY1167" s="210"/>
      <c r="BZ1167" s="210"/>
      <c r="CA1167" s="210"/>
      <c r="CB1167" s="210"/>
      <c r="CC1167" s="210"/>
      <c r="CD1167" s="210"/>
      <c r="CE1167" s="210"/>
      <c r="CF1167" s="210"/>
      <c r="CG1167" s="210"/>
      <c r="CH1167" s="210"/>
      <c r="CI1167" s="210"/>
      <c r="CJ1167" s="210"/>
      <c r="CK1167" s="210"/>
    </row>
    <row r="1168">
      <c r="A1168" s="220"/>
      <c r="F1168" s="190"/>
      <c r="G1168" s="190"/>
      <c r="L1168" s="220"/>
      <c r="M1168" s="220"/>
      <c r="O1168" s="210"/>
      <c r="P1168" s="210"/>
      <c r="Q1168" s="210"/>
      <c r="R1168" s="210"/>
      <c r="S1168" s="210"/>
      <c r="T1168" s="210"/>
      <c r="U1168" s="210"/>
      <c r="V1168" s="210"/>
      <c r="W1168" s="210"/>
      <c r="X1168" s="210"/>
      <c r="Y1168" s="210"/>
      <c r="Z1168" s="210"/>
      <c r="AA1168" s="210"/>
      <c r="AB1168" s="210"/>
      <c r="AC1168" s="210"/>
      <c r="AD1168" s="210"/>
      <c r="AE1168" s="210"/>
      <c r="AF1168" s="210"/>
      <c r="AG1168" s="210"/>
      <c r="AH1168" s="210"/>
      <c r="AI1168" s="210"/>
      <c r="AJ1168" s="210"/>
      <c r="AK1168" s="210"/>
      <c r="AL1168" s="210"/>
      <c r="AM1168" s="214"/>
      <c r="AN1168" s="210"/>
      <c r="AO1168" s="210"/>
      <c r="AP1168" s="210"/>
      <c r="AQ1168" s="210"/>
      <c r="AR1168" s="210"/>
      <c r="AS1168" s="210"/>
      <c r="AT1168" s="210"/>
      <c r="AU1168" s="210"/>
      <c r="AV1168" s="210"/>
      <c r="AW1168" s="210"/>
      <c r="AX1168" s="210"/>
      <c r="AY1168" s="210"/>
      <c r="AZ1168" s="210"/>
      <c r="BA1168" s="210"/>
      <c r="BB1168" s="210"/>
      <c r="BC1168" s="210"/>
      <c r="BD1168" s="210"/>
      <c r="BE1168" s="210"/>
      <c r="BF1168" s="210"/>
      <c r="BG1168" s="210"/>
      <c r="BH1168" s="210"/>
      <c r="BI1168" s="210"/>
      <c r="BJ1168" s="210"/>
      <c r="BK1168" s="210"/>
      <c r="BL1168" s="210"/>
      <c r="BM1168" s="210"/>
      <c r="BN1168" s="210"/>
      <c r="BO1168" s="210"/>
      <c r="BP1168" s="210"/>
      <c r="BQ1168" s="210"/>
      <c r="BR1168" s="210"/>
      <c r="BS1168" s="210"/>
      <c r="BT1168" s="210"/>
      <c r="BU1168" s="210"/>
      <c r="BV1168" s="210"/>
      <c r="BW1168" s="210"/>
      <c r="BX1168" s="210"/>
      <c r="BY1168" s="210"/>
      <c r="BZ1168" s="210"/>
      <c r="CA1168" s="210"/>
      <c r="CB1168" s="210"/>
      <c r="CC1168" s="210"/>
      <c r="CD1168" s="210"/>
      <c r="CE1168" s="210"/>
      <c r="CF1168" s="210"/>
      <c r="CG1168" s="210"/>
      <c r="CH1168" s="210"/>
      <c r="CI1168" s="210"/>
      <c r="CJ1168" s="210"/>
      <c r="CK1168" s="210"/>
    </row>
    <row r="1169">
      <c r="A1169" s="220"/>
      <c r="F1169" s="190"/>
      <c r="G1169" s="190"/>
      <c r="L1169" s="220"/>
      <c r="M1169" s="220"/>
      <c r="O1169" s="210"/>
      <c r="P1169" s="210"/>
      <c r="Q1169" s="210"/>
      <c r="R1169" s="210"/>
      <c r="S1169" s="210"/>
      <c r="T1169" s="210"/>
      <c r="U1169" s="210"/>
      <c r="V1169" s="210"/>
      <c r="W1169" s="210"/>
      <c r="X1169" s="210"/>
      <c r="Y1169" s="210"/>
      <c r="Z1169" s="210"/>
      <c r="AA1169" s="210"/>
      <c r="AB1169" s="210"/>
      <c r="AC1169" s="210"/>
      <c r="AD1169" s="210"/>
      <c r="AE1169" s="210"/>
      <c r="AF1169" s="210"/>
      <c r="AG1169" s="210"/>
      <c r="AH1169" s="210"/>
      <c r="AI1169" s="210"/>
      <c r="AJ1169" s="210"/>
      <c r="AK1169" s="210"/>
      <c r="AL1169" s="210"/>
      <c r="AM1169" s="214"/>
      <c r="AN1169" s="210"/>
      <c r="AO1169" s="210"/>
      <c r="AP1169" s="210"/>
      <c r="AQ1169" s="210"/>
      <c r="AR1169" s="210"/>
      <c r="AS1169" s="210"/>
      <c r="AT1169" s="210"/>
      <c r="AU1169" s="210"/>
      <c r="AV1169" s="210"/>
      <c r="AW1169" s="210"/>
      <c r="AX1169" s="210"/>
      <c r="AY1169" s="210"/>
      <c r="AZ1169" s="210"/>
      <c r="BA1169" s="210"/>
      <c r="BB1169" s="210"/>
      <c r="BC1169" s="210"/>
      <c r="BD1169" s="210"/>
      <c r="BE1169" s="210"/>
      <c r="BF1169" s="210"/>
      <c r="BG1169" s="210"/>
      <c r="BH1169" s="210"/>
      <c r="BI1169" s="210"/>
      <c r="BJ1169" s="210"/>
      <c r="BK1169" s="210"/>
      <c r="BL1169" s="210"/>
      <c r="BM1169" s="210"/>
      <c r="BN1169" s="210"/>
      <c r="BO1169" s="210"/>
      <c r="BP1169" s="210"/>
      <c r="BQ1169" s="210"/>
      <c r="BR1169" s="210"/>
      <c r="BS1169" s="210"/>
      <c r="BT1169" s="210"/>
      <c r="BU1169" s="210"/>
      <c r="BV1169" s="210"/>
      <c r="BW1169" s="210"/>
      <c r="BX1169" s="210"/>
      <c r="BY1169" s="210"/>
      <c r="BZ1169" s="210"/>
      <c r="CA1169" s="210"/>
      <c r="CB1169" s="210"/>
      <c r="CC1169" s="210"/>
      <c r="CD1169" s="210"/>
      <c r="CE1169" s="210"/>
      <c r="CF1169" s="210"/>
      <c r="CG1169" s="210"/>
      <c r="CH1169" s="210"/>
      <c r="CI1169" s="210"/>
      <c r="CJ1169" s="210"/>
      <c r="CK1169" s="210"/>
    </row>
    <row r="1170">
      <c r="A1170" s="220"/>
      <c r="F1170" s="190"/>
      <c r="G1170" s="190"/>
      <c r="L1170" s="220"/>
      <c r="M1170" s="220"/>
      <c r="O1170" s="210"/>
      <c r="P1170" s="210"/>
      <c r="Q1170" s="210"/>
      <c r="R1170" s="210"/>
      <c r="S1170" s="210"/>
      <c r="T1170" s="210"/>
      <c r="U1170" s="210"/>
      <c r="V1170" s="210"/>
      <c r="W1170" s="210"/>
      <c r="X1170" s="210"/>
      <c r="Y1170" s="210"/>
      <c r="Z1170" s="210"/>
      <c r="AA1170" s="210"/>
      <c r="AB1170" s="210"/>
      <c r="AC1170" s="210"/>
      <c r="AD1170" s="210"/>
      <c r="AE1170" s="210"/>
      <c r="AF1170" s="210"/>
      <c r="AG1170" s="210"/>
      <c r="AH1170" s="210"/>
      <c r="AI1170" s="210"/>
      <c r="AJ1170" s="210"/>
      <c r="AK1170" s="210"/>
      <c r="AL1170" s="210"/>
      <c r="AM1170" s="214"/>
      <c r="AN1170" s="210"/>
      <c r="AO1170" s="210"/>
      <c r="AP1170" s="210"/>
      <c r="AQ1170" s="210"/>
      <c r="AR1170" s="210"/>
      <c r="AS1170" s="210"/>
      <c r="AT1170" s="210"/>
      <c r="AU1170" s="210"/>
      <c r="AV1170" s="210"/>
      <c r="AW1170" s="210"/>
      <c r="AX1170" s="210"/>
      <c r="AY1170" s="210"/>
      <c r="AZ1170" s="210"/>
      <c r="BA1170" s="210"/>
      <c r="BB1170" s="210"/>
      <c r="BC1170" s="210"/>
      <c r="BD1170" s="210"/>
      <c r="BE1170" s="210"/>
      <c r="BF1170" s="210"/>
      <c r="BG1170" s="210"/>
      <c r="BH1170" s="210"/>
      <c r="BI1170" s="210"/>
      <c r="BJ1170" s="210"/>
      <c r="BK1170" s="210"/>
      <c r="BL1170" s="210"/>
      <c r="BM1170" s="210"/>
      <c r="BN1170" s="210"/>
      <c r="BO1170" s="210"/>
      <c r="BP1170" s="210"/>
      <c r="BQ1170" s="210"/>
      <c r="BR1170" s="210"/>
      <c r="BS1170" s="210"/>
      <c r="BT1170" s="210"/>
      <c r="BU1170" s="210"/>
      <c r="BV1170" s="210"/>
      <c r="BW1170" s="210"/>
      <c r="BX1170" s="210"/>
      <c r="BY1170" s="210"/>
      <c r="BZ1170" s="210"/>
      <c r="CA1170" s="210"/>
      <c r="CB1170" s="210"/>
      <c r="CC1170" s="210"/>
      <c r="CD1170" s="210"/>
      <c r="CE1170" s="210"/>
      <c r="CF1170" s="210"/>
      <c r="CG1170" s="210"/>
      <c r="CH1170" s="210"/>
      <c r="CI1170" s="210"/>
      <c r="CJ1170" s="210"/>
      <c r="CK1170" s="210"/>
    </row>
    <row r="1171">
      <c r="A1171" s="220"/>
      <c r="F1171" s="190"/>
      <c r="G1171" s="190"/>
      <c r="L1171" s="220"/>
      <c r="M1171" s="220"/>
      <c r="O1171" s="210"/>
      <c r="P1171" s="210"/>
      <c r="Q1171" s="210"/>
      <c r="R1171" s="210"/>
      <c r="S1171" s="210"/>
      <c r="T1171" s="210"/>
      <c r="U1171" s="210"/>
      <c r="V1171" s="210"/>
      <c r="W1171" s="210"/>
      <c r="X1171" s="210"/>
      <c r="Y1171" s="210"/>
      <c r="Z1171" s="210"/>
      <c r="AA1171" s="210"/>
      <c r="AB1171" s="210"/>
      <c r="AC1171" s="210"/>
      <c r="AD1171" s="210"/>
      <c r="AE1171" s="210"/>
      <c r="AF1171" s="210"/>
      <c r="AG1171" s="210"/>
      <c r="AH1171" s="210"/>
      <c r="AI1171" s="210"/>
      <c r="AJ1171" s="210"/>
      <c r="AK1171" s="210"/>
      <c r="AL1171" s="210"/>
      <c r="AM1171" s="214"/>
      <c r="AN1171" s="210"/>
      <c r="AO1171" s="210"/>
      <c r="AP1171" s="210"/>
      <c r="AQ1171" s="210"/>
      <c r="AR1171" s="210"/>
      <c r="AS1171" s="210"/>
      <c r="AT1171" s="210"/>
      <c r="AU1171" s="210"/>
      <c r="AV1171" s="210"/>
      <c r="AW1171" s="210"/>
      <c r="AX1171" s="210"/>
      <c r="AY1171" s="210"/>
      <c r="AZ1171" s="210"/>
      <c r="BA1171" s="210"/>
      <c r="BB1171" s="210"/>
      <c r="BC1171" s="210"/>
      <c r="BD1171" s="210"/>
      <c r="BE1171" s="210"/>
      <c r="BF1171" s="210"/>
      <c r="BG1171" s="210"/>
      <c r="BH1171" s="210"/>
      <c r="BI1171" s="210"/>
      <c r="BJ1171" s="210"/>
      <c r="BK1171" s="210"/>
      <c r="BL1171" s="210"/>
      <c r="BM1171" s="210"/>
      <c r="BN1171" s="210"/>
      <c r="BO1171" s="210"/>
      <c r="BP1171" s="210"/>
      <c r="BQ1171" s="210"/>
      <c r="BR1171" s="210"/>
      <c r="BS1171" s="210"/>
      <c r="BT1171" s="210"/>
      <c r="BU1171" s="210"/>
      <c r="BV1171" s="210"/>
      <c r="BW1171" s="210"/>
      <c r="BX1171" s="210"/>
      <c r="BY1171" s="210"/>
      <c r="BZ1171" s="210"/>
      <c r="CA1171" s="210"/>
      <c r="CB1171" s="210"/>
      <c r="CC1171" s="210"/>
      <c r="CD1171" s="210"/>
      <c r="CE1171" s="210"/>
      <c r="CF1171" s="210"/>
      <c r="CG1171" s="210"/>
      <c r="CH1171" s="210"/>
      <c r="CI1171" s="210"/>
      <c r="CJ1171" s="210"/>
      <c r="CK1171" s="210"/>
    </row>
    <row r="1172">
      <c r="A1172" s="220"/>
      <c r="F1172" s="190"/>
      <c r="G1172" s="190"/>
      <c r="L1172" s="220"/>
      <c r="M1172" s="220"/>
      <c r="O1172" s="210"/>
      <c r="P1172" s="210"/>
      <c r="Q1172" s="210"/>
      <c r="R1172" s="210"/>
      <c r="S1172" s="210"/>
      <c r="T1172" s="210"/>
      <c r="U1172" s="210"/>
      <c r="V1172" s="210"/>
      <c r="W1172" s="210"/>
      <c r="X1172" s="210"/>
      <c r="Y1172" s="210"/>
      <c r="Z1172" s="210"/>
      <c r="AA1172" s="210"/>
      <c r="AB1172" s="210"/>
      <c r="AC1172" s="210"/>
      <c r="AD1172" s="210"/>
      <c r="AE1172" s="210"/>
      <c r="AF1172" s="210"/>
      <c r="AG1172" s="210"/>
      <c r="AH1172" s="210"/>
      <c r="AI1172" s="210"/>
      <c r="AJ1172" s="210"/>
      <c r="AK1172" s="210"/>
      <c r="AL1172" s="210"/>
      <c r="AM1172" s="214"/>
      <c r="AN1172" s="210"/>
      <c r="AO1172" s="210"/>
      <c r="AP1172" s="210"/>
      <c r="AQ1172" s="210"/>
      <c r="AR1172" s="210"/>
      <c r="AS1172" s="210"/>
      <c r="AT1172" s="210"/>
      <c r="AU1172" s="210"/>
      <c r="AV1172" s="210"/>
      <c r="AW1172" s="210"/>
      <c r="AX1172" s="210"/>
      <c r="AY1172" s="210"/>
      <c r="AZ1172" s="210"/>
      <c r="BA1172" s="210"/>
      <c r="BB1172" s="210"/>
      <c r="BC1172" s="210"/>
      <c r="BD1172" s="210"/>
      <c r="BE1172" s="210"/>
      <c r="BF1172" s="210"/>
      <c r="BG1172" s="210"/>
      <c r="BH1172" s="210"/>
      <c r="BI1172" s="210"/>
      <c r="BJ1172" s="210"/>
      <c r="BK1172" s="210"/>
      <c r="BL1172" s="210"/>
      <c r="BM1172" s="210"/>
      <c r="BN1172" s="210"/>
      <c r="BO1172" s="210"/>
      <c r="BP1172" s="210"/>
      <c r="BQ1172" s="210"/>
      <c r="BR1172" s="210"/>
      <c r="BS1172" s="210"/>
      <c r="BT1172" s="210"/>
      <c r="BU1172" s="210"/>
      <c r="BV1172" s="210"/>
      <c r="BW1172" s="210"/>
      <c r="BX1172" s="210"/>
      <c r="BY1172" s="210"/>
      <c r="BZ1172" s="210"/>
      <c r="CA1172" s="210"/>
      <c r="CB1172" s="210"/>
      <c r="CC1172" s="210"/>
      <c r="CD1172" s="210"/>
      <c r="CE1172" s="210"/>
      <c r="CF1172" s="210"/>
      <c r="CG1172" s="210"/>
      <c r="CH1172" s="210"/>
      <c r="CI1172" s="210"/>
      <c r="CJ1172" s="210"/>
      <c r="CK1172" s="210"/>
    </row>
    <row r="1173">
      <c r="A1173" s="220"/>
      <c r="F1173" s="190"/>
      <c r="G1173" s="190"/>
      <c r="L1173" s="220"/>
      <c r="M1173" s="220"/>
      <c r="O1173" s="210"/>
      <c r="P1173" s="210"/>
      <c r="Q1173" s="210"/>
      <c r="R1173" s="210"/>
      <c r="S1173" s="210"/>
      <c r="T1173" s="210"/>
      <c r="U1173" s="210"/>
      <c r="V1173" s="210"/>
      <c r="W1173" s="210"/>
      <c r="X1173" s="210"/>
      <c r="Y1173" s="210"/>
      <c r="Z1173" s="210"/>
      <c r="AA1173" s="210"/>
      <c r="AB1173" s="210"/>
      <c r="AC1173" s="210"/>
      <c r="AD1173" s="210"/>
      <c r="AE1173" s="210"/>
      <c r="AF1173" s="210"/>
      <c r="AG1173" s="210"/>
      <c r="AH1173" s="210"/>
      <c r="AI1173" s="210"/>
      <c r="AJ1173" s="210"/>
      <c r="AK1173" s="210"/>
      <c r="AL1173" s="210"/>
      <c r="AM1173" s="214"/>
      <c r="AN1173" s="210"/>
      <c r="AO1173" s="210"/>
      <c r="AP1173" s="210"/>
      <c r="AQ1173" s="210"/>
      <c r="AR1173" s="210"/>
      <c r="AS1173" s="210"/>
      <c r="AT1173" s="210"/>
      <c r="AU1173" s="210"/>
      <c r="AV1173" s="210"/>
      <c r="AW1173" s="210"/>
      <c r="AX1173" s="210"/>
      <c r="AY1173" s="210"/>
      <c r="AZ1173" s="210"/>
      <c r="BA1173" s="210"/>
      <c r="BB1173" s="210"/>
      <c r="BC1173" s="210"/>
      <c r="BD1173" s="210"/>
      <c r="BE1173" s="210"/>
      <c r="BF1173" s="210"/>
      <c r="BG1173" s="210"/>
      <c r="BH1173" s="210"/>
      <c r="BI1173" s="210"/>
      <c r="BJ1173" s="210"/>
      <c r="BK1173" s="210"/>
      <c r="BL1173" s="210"/>
      <c r="BM1173" s="210"/>
      <c r="BN1173" s="210"/>
      <c r="BO1173" s="210"/>
      <c r="BP1173" s="210"/>
      <c r="BQ1173" s="210"/>
      <c r="BR1173" s="210"/>
      <c r="BS1173" s="210"/>
      <c r="BT1173" s="210"/>
      <c r="BU1173" s="210"/>
      <c r="BV1173" s="210"/>
      <c r="BW1173" s="210"/>
      <c r="BX1173" s="210"/>
      <c r="BY1173" s="210"/>
      <c r="BZ1173" s="210"/>
      <c r="CA1173" s="210"/>
      <c r="CB1173" s="210"/>
      <c r="CC1173" s="210"/>
      <c r="CD1173" s="210"/>
      <c r="CE1173" s="210"/>
      <c r="CF1173" s="210"/>
      <c r="CG1173" s="210"/>
      <c r="CH1173" s="210"/>
      <c r="CI1173" s="210"/>
      <c r="CJ1173" s="210"/>
      <c r="CK1173" s="210"/>
    </row>
    <row r="1174">
      <c r="A1174" s="220"/>
      <c r="F1174" s="190"/>
      <c r="G1174" s="190"/>
      <c r="L1174" s="220"/>
      <c r="M1174" s="220"/>
      <c r="O1174" s="210"/>
      <c r="P1174" s="210"/>
      <c r="Q1174" s="210"/>
      <c r="R1174" s="210"/>
      <c r="S1174" s="210"/>
      <c r="T1174" s="210"/>
      <c r="U1174" s="210"/>
      <c r="V1174" s="210"/>
      <c r="W1174" s="210"/>
      <c r="X1174" s="210"/>
      <c r="Y1174" s="210"/>
      <c r="Z1174" s="210"/>
      <c r="AA1174" s="210"/>
      <c r="AB1174" s="210"/>
      <c r="AC1174" s="210"/>
      <c r="AD1174" s="210"/>
      <c r="AE1174" s="210"/>
      <c r="AF1174" s="210"/>
      <c r="AG1174" s="210"/>
      <c r="AH1174" s="210"/>
      <c r="AI1174" s="210"/>
      <c r="AJ1174" s="210"/>
      <c r="AK1174" s="210"/>
      <c r="AL1174" s="210"/>
      <c r="AM1174" s="214"/>
      <c r="AN1174" s="210"/>
      <c r="AO1174" s="210"/>
      <c r="AP1174" s="210"/>
      <c r="AQ1174" s="210"/>
      <c r="AR1174" s="210"/>
      <c r="AS1174" s="210"/>
      <c r="AT1174" s="210"/>
      <c r="AU1174" s="210"/>
      <c r="AV1174" s="210"/>
      <c r="AW1174" s="210"/>
      <c r="AX1174" s="210"/>
      <c r="AY1174" s="210"/>
      <c r="AZ1174" s="210"/>
      <c r="BA1174" s="210"/>
      <c r="BB1174" s="210"/>
      <c r="BC1174" s="210"/>
      <c r="BD1174" s="210"/>
      <c r="BE1174" s="210"/>
      <c r="BF1174" s="210"/>
      <c r="BG1174" s="210"/>
      <c r="BH1174" s="210"/>
      <c r="BI1174" s="210"/>
      <c r="BJ1174" s="210"/>
      <c r="BK1174" s="210"/>
      <c r="BL1174" s="210"/>
      <c r="BM1174" s="210"/>
      <c r="BN1174" s="210"/>
      <c r="BO1174" s="210"/>
      <c r="BP1174" s="210"/>
      <c r="BQ1174" s="210"/>
      <c r="BR1174" s="210"/>
      <c r="BS1174" s="210"/>
      <c r="BT1174" s="210"/>
      <c r="BU1174" s="210"/>
      <c r="BV1174" s="210"/>
      <c r="BW1174" s="210"/>
      <c r="BX1174" s="210"/>
      <c r="BY1174" s="210"/>
      <c r="BZ1174" s="210"/>
      <c r="CA1174" s="210"/>
      <c r="CB1174" s="210"/>
      <c r="CC1174" s="210"/>
      <c r="CD1174" s="210"/>
      <c r="CE1174" s="210"/>
      <c r="CF1174" s="210"/>
      <c r="CG1174" s="210"/>
      <c r="CH1174" s="210"/>
      <c r="CI1174" s="210"/>
      <c r="CJ1174" s="210"/>
      <c r="CK1174" s="210"/>
    </row>
    <row r="1175">
      <c r="A1175" s="220"/>
      <c r="F1175" s="190"/>
      <c r="G1175" s="190"/>
      <c r="L1175" s="220"/>
      <c r="M1175" s="220"/>
      <c r="O1175" s="210"/>
      <c r="P1175" s="210"/>
      <c r="Q1175" s="210"/>
      <c r="R1175" s="210"/>
      <c r="S1175" s="210"/>
      <c r="T1175" s="210"/>
      <c r="U1175" s="210"/>
      <c r="V1175" s="210"/>
      <c r="W1175" s="210"/>
      <c r="X1175" s="210"/>
      <c r="Y1175" s="210"/>
      <c r="Z1175" s="210"/>
      <c r="AA1175" s="210"/>
      <c r="AB1175" s="210"/>
      <c r="AC1175" s="210"/>
      <c r="AD1175" s="210"/>
      <c r="AE1175" s="210"/>
      <c r="AF1175" s="210"/>
      <c r="AG1175" s="210"/>
      <c r="AH1175" s="210"/>
      <c r="AI1175" s="210"/>
      <c r="AJ1175" s="210"/>
      <c r="AK1175" s="210"/>
      <c r="AL1175" s="210"/>
      <c r="AM1175" s="214"/>
      <c r="AN1175" s="210"/>
      <c r="AO1175" s="210"/>
      <c r="AP1175" s="210"/>
      <c r="AQ1175" s="210"/>
      <c r="AR1175" s="210"/>
      <c r="AS1175" s="210"/>
      <c r="AT1175" s="210"/>
      <c r="AU1175" s="210"/>
      <c r="AV1175" s="210"/>
      <c r="AW1175" s="210"/>
      <c r="AX1175" s="210"/>
      <c r="AY1175" s="210"/>
      <c r="AZ1175" s="210"/>
      <c r="BA1175" s="210"/>
      <c r="BB1175" s="210"/>
      <c r="BC1175" s="210"/>
      <c r="BD1175" s="210"/>
      <c r="BE1175" s="210"/>
      <c r="BF1175" s="210"/>
      <c r="BG1175" s="210"/>
      <c r="BH1175" s="210"/>
      <c r="BI1175" s="210"/>
      <c r="BJ1175" s="210"/>
      <c r="BK1175" s="210"/>
      <c r="BL1175" s="210"/>
      <c r="BM1175" s="210"/>
      <c r="BN1175" s="210"/>
      <c r="BO1175" s="210"/>
      <c r="BP1175" s="210"/>
      <c r="BQ1175" s="210"/>
      <c r="BR1175" s="210"/>
      <c r="BS1175" s="210"/>
      <c r="BT1175" s="210"/>
      <c r="BU1175" s="210"/>
      <c r="BV1175" s="210"/>
      <c r="BW1175" s="210"/>
      <c r="BX1175" s="210"/>
      <c r="BY1175" s="210"/>
      <c r="BZ1175" s="210"/>
      <c r="CA1175" s="210"/>
      <c r="CB1175" s="210"/>
      <c r="CC1175" s="210"/>
      <c r="CD1175" s="210"/>
      <c r="CE1175" s="210"/>
      <c r="CF1175" s="210"/>
      <c r="CG1175" s="210"/>
      <c r="CH1175" s="210"/>
      <c r="CI1175" s="210"/>
      <c r="CJ1175" s="210"/>
      <c r="CK1175" s="210"/>
    </row>
    <row r="1176">
      <c r="A1176" s="220"/>
      <c r="F1176" s="190"/>
      <c r="G1176" s="190"/>
      <c r="L1176" s="220"/>
      <c r="M1176" s="220"/>
      <c r="O1176" s="210"/>
      <c r="P1176" s="210"/>
      <c r="Q1176" s="210"/>
      <c r="R1176" s="210"/>
      <c r="S1176" s="210"/>
      <c r="T1176" s="210"/>
      <c r="U1176" s="210"/>
      <c r="V1176" s="210"/>
      <c r="W1176" s="210"/>
      <c r="X1176" s="210"/>
      <c r="Y1176" s="210"/>
      <c r="Z1176" s="210"/>
      <c r="AA1176" s="210"/>
      <c r="AB1176" s="210"/>
      <c r="AC1176" s="210"/>
      <c r="AD1176" s="210"/>
      <c r="AE1176" s="210"/>
      <c r="AF1176" s="210"/>
      <c r="AG1176" s="210"/>
      <c r="AH1176" s="210"/>
      <c r="AI1176" s="210"/>
      <c r="AJ1176" s="210"/>
      <c r="AK1176" s="210"/>
      <c r="AL1176" s="210"/>
      <c r="AM1176" s="214"/>
      <c r="AN1176" s="210"/>
      <c r="AO1176" s="210"/>
      <c r="AP1176" s="210"/>
      <c r="AQ1176" s="210"/>
      <c r="AR1176" s="210"/>
      <c r="AS1176" s="210"/>
      <c r="AT1176" s="210"/>
      <c r="AU1176" s="210"/>
      <c r="AV1176" s="210"/>
      <c r="AW1176" s="210"/>
      <c r="AX1176" s="210"/>
      <c r="AY1176" s="210"/>
      <c r="AZ1176" s="210"/>
      <c r="BA1176" s="210"/>
      <c r="BB1176" s="210"/>
      <c r="BC1176" s="210"/>
      <c r="BD1176" s="210"/>
      <c r="BE1176" s="210"/>
      <c r="BF1176" s="210"/>
      <c r="BG1176" s="210"/>
      <c r="BH1176" s="210"/>
      <c r="BI1176" s="210"/>
      <c r="BJ1176" s="210"/>
      <c r="BK1176" s="210"/>
      <c r="BL1176" s="210"/>
      <c r="BM1176" s="210"/>
      <c r="BN1176" s="210"/>
      <c r="BO1176" s="210"/>
      <c r="BP1176" s="210"/>
      <c r="BQ1176" s="210"/>
      <c r="BR1176" s="210"/>
      <c r="BS1176" s="210"/>
      <c r="BT1176" s="210"/>
      <c r="BU1176" s="210"/>
      <c r="BV1176" s="210"/>
      <c r="BW1176" s="210"/>
      <c r="BX1176" s="210"/>
      <c r="BY1176" s="210"/>
      <c r="BZ1176" s="210"/>
      <c r="CA1176" s="210"/>
      <c r="CB1176" s="210"/>
      <c r="CC1176" s="210"/>
      <c r="CD1176" s="210"/>
      <c r="CE1176" s="210"/>
      <c r="CF1176" s="210"/>
      <c r="CG1176" s="210"/>
      <c r="CH1176" s="210"/>
      <c r="CI1176" s="210"/>
      <c r="CJ1176" s="210"/>
      <c r="CK1176" s="210"/>
    </row>
    <row r="1177">
      <c r="A1177" s="220"/>
      <c r="F1177" s="190"/>
      <c r="G1177" s="190"/>
      <c r="L1177" s="220"/>
      <c r="M1177" s="220"/>
      <c r="O1177" s="210"/>
      <c r="P1177" s="210"/>
      <c r="Q1177" s="210"/>
      <c r="R1177" s="210"/>
      <c r="S1177" s="210"/>
      <c r="T1177" s="210"/>
      <c r="U1177" s="210"/>
      <c r="V1177" s="210"/>
      <c r="W1177" s="210"/>
      <c r="X1177" s="210"/>
      <c r="Y1177" s="210"/>
      <c r="Z1177" s="210"/>
      <c r="AA1177" s="210"/>
      <c r="AB1177" s="210"/>
      <c r="AC1177" s="210"/>
      <c r="AD1177" s="210"/>
      <c r="AE1177" s="210"/>
      <c r="AF1177" s="210"/>
      <c r="AG1177" s="210"/>
      <c r="AH1177" s="210"/>
      <c r="AI1177" s="210"/>
      <c r="AJ1177" s="210"/>
      <c r="AK1177" s="210"/>
      <c r="AL1177" s="210"/>
      <c r="AM1177" s="214"/>
      <c r="AN1177" s="210"/>
      <c r="AO1177" s="210"/>
      <c r="AP1177" s="210"/>
      <c r="AQ1177" s="210"/>
      <c r="AR1177" s="210"/>
      <c r="AS1177" s="210"/>
      <c r="AT1177" s="210"/>
      <c r="AU1177" s="210"/>
      <c r="AV1177" s="210"/>
      <c r="AW1177" s="210"/>
      <c r="AX1177" s="210"/>
      <c r="AY1177" s="210"/>
      <c r="AZ1177" s="210"/>
      <c r="BA1177" s="210"/>
      <c r="BB1177" s="210"/>
      <c r="BC1177" s="210"/>
      <c r="BD1177" s="210"/>
      <c r="BE1177" s="210"/>
      <c r="BF1177" s="210"/>
      <c r="BG1177" s="210"/>
      <c r="BH1177" s="210"/>
      <c r="BI1177" s="210"/>
      <c r="BJ1177" s="210"/>
      <c r="BK1177" s="210"/>
      <c r="BL1177" s="210"/>
      <c r="BM1177" s="210"/>
      <c r="BN1177" s="210"/>
      <c r="BO1177" s="210"/>
      <c r="BP1177" s="210"/>
      <c r="BQ1177" s="210"/>
      <c r="BR1177" s="210"/>
      <c r="BS1177" s="210"/>
      <c r="BT1177" s="210"/>
      <c r="BU1177" s="210"/>
      <c r="BV1177" s="210"/>
      <c r="BW1177" s="210"/>
      <c r="BX1177" s="210"/>
      <c r="BY1177" s="210"/>
      <c r="BZ1177" s="210"/>
      <c r="CA1177" s="210"/>
      <c r="CB1177" s="210"/>
      <c r="CC1177" s="210"/>
      <c r="CD1177" s="210"/>
      <c r="CE1177" s="210"/>
      <c r="CF1177" s="210"/>
      <c r="CG1177" s="210"/>
      <c r="CH1177" s="210"/>
      <c r="CI1177" s="210"/>
      <c r="CJ1177" s="210"/>
      <c r="CK1177" s="210"/>
    </row>
    <row r="1178">
      <c r="A1178" s="220"/>
      <c r="F1178" s="190"/>
      <c r="G1178" s="190"/>
      <c r="L1178" s="220"/>
      <c r="M1178" s="220"/>
      <c r="O1178" s="210"/>
      <c r="P1178" s="210"/>
      <c r="Q1178" s="210"/>
      <c r="R1178" s="210"/>
      <c r="S1178" s="210"/>
      <c r="T1178" s="210"/>
      <c r="U1178" s="210"/>
      <c r="V1178" s="210"/>
      <c r="W1178" s="210"/>
      <c r="X1178" s="210"/>
      <c r="Y1178" s="210"/>
      <c r="Z1178" s="210"/>
      <c r="AA1178" s="210"/>
      <c r="AB1178" s="210"/>
      <c r="AC1178" s="210"/>
      <c r="AD1178" s="210"/>
      <c r="AE1178" s="210"/>
      <c r="AF1178" s="210"/>
      <c r="AG1178" s="210"/>
      <c r="AH1178" s="210"/>
      <c r="AI1178" s="210"/>
      <c r="AJ1178" s="210"/>
      <c r="AK1178" s="210"/>
      <c r="AL1178" s="210"/>
      <c r="AM1178" s="214"/>
      <c r="AN1178" s="210"/>
      <c r="AO1178" s="210"/>
      <c r="AP1178" s="210"/>
      <c r="AQ1178" s="210"/>
      <c r="AR1178" s="210"/>
      <c r="AS1178" s="210"/>
      <c r="AT1178" s="210"/>
      <c r="AU1178" s="210"/>
      <c r="AV1178" s="210"/>
      <c r="AW1178" s="210"/>
      <c r="AX1178" s="210"/>
      <c r="AY1178" s="210"/>
      <c r="AZ1178" s="210"/>
      <c r="BA1178" s="210"/>
      <c r="BB1178" s="210"/>
      <c r="BC1178" s="210"/>
      <c r="BD1178" s="210"/>
      <c r="BE1178" s="210"/>
      <c r="BF1178" s="210"/>
      <c r="BG1178" s="210"/>
      <c r="BH1178" s="210"/>
      <c r="BI1178" s="210"/>
      <c r="BJ1178" s="210"/>
      <c r="BK1178" s="210"/>
      <c r="BL1178" s="210"/>
      <c r="BM1178" s="210"/>
      <c r="BN1178" s="210"/>
      <c r="BO1178" s="210"/>
      <c r="BP1178" s="210"/>
      <c r="BQ1178" s="210"/>
      <c r="BR1178" s="210"/>
      <c r="BS1178" s="210"/>
      <c r="BT1178" s="210"/>
      <c r="BU1178" s="210"/>
      <c r="BV1178" s="210"/>
      <c r="BW1178" s="210"/>
      <c r="BX1178" s="210"/>
      <c r="BY1178" s="210"/>
      <c r="BZ1178" s="210"/>
      <c r="CA1178" s="210"/>
      <c r="CB1178" s="210"/>
      <c r="CC1178" s="210"/>
      <c r="CD1178" s="210"/>
      <c r="CE1178" s="210"/>
      <c r="CF1178" s="210"/>
      <c r="CG1178" s="210"/>
      <c r="CH1178" s="210"/>
      <c r="CI1178" s="210"/>
      <c r="CJ1178" s="210"/>
      <c r="CK1178" s="210"/>
    </row>
    <row r="1179">
      <c r="A1179" s="220"/>
      <c r="F1179" s="190"/>
      <c r="G1179" s="190"/>
      <c r="L1179" s="220"/>
      <c r="M1179" s="220"/>
      <c r="O1179" s="210"/>
      <c r="P1179" s="210"/>
      <c r="Q1179" s="210"/>
      <c r="R1179" s="210"/>
      <c r="S1179" s="210"/>
      <c r="T1179" s="210"/>
      <c r="U1179" s="210"/>
      <c r="V1179" s="210"/>
      <c r="W1179" s="210"/>
      <c r="X1179" s="210"/>
      <c r="Y1179" s="210"/>
      <c r="Z1179" s="210"/>
      <c r="AA1179" s="210"/>
      <c r="AB1179" s="210"/>
      <c r="AC1179" s="210"/>
      <c r="AD1179" s="210"/>
      <c r="AE1179" s="210"/>
      <c r="AF1179" s="210"/>
      <c r="AG1179" s="210"/>
      <c r="AH1179" s="210"/>
      <c r="AI1179" s="210"/>
      <c r="AJ1179" s="210"/>
      <c r="AK1179" s="210"/>
      <c r="AL1179" s="210"/>
      <c r="AM1179" s="214"/>
      <c r="AN1179" s="210"/>
      <c r="AO1179" s="210"/>
      <c r="AP1179" s="210"/>
      <c r="AQ1179" s="210"/>
      <c r="AR1179" s="210"/>
      <c r="AS1179" s="210"/>
      <c r="AT1179" s="210"/>
      <c r="AU1179" s="210"/>
      <c r="AV1179" s="210"/>
      <c r="AW1179" s="210"/>
      <c r="AX1179" s="210"/>
      <c r="AY1179" s="210"/>
      <c r="AZ1179" s="210"/>
      <c r="BA1179" s="210"/>
      <c r="BB1179" s="210"/>
      <c r="BC1179" s="210"/>
      <c r="BD1179" s="210"/>
      <c r="BE1179" s="210"/>
      <c r="BF1179" s="210"/>
      <c r="BG1179" s="210"/>
      <c r="BH1179" s="210"/>
      <c r="BI1179" s="210"/>
      <c r="BJ1179" s="210"/>
      <c r="BK1179" s="210"/>
      <c r="BL1179" s="210"/>
      <c r="BM1179" s="210"/>
      <c r="BN1179" s="210"/>
      <c r="BO1179" s="210"/>
      <c r="BP1179" s="210"/>
      <c r="BQ1179" s="210"/>
      <c r="BR1179" s="210"/>
      <c r="BS1179" s="210"/>
      <c r="BT1179" s="210"/>
      <c r="BU1179" s="210"/>
      <c r="BV1179" s="210"/>
      <c r="BW1179" s="210"/>
      <c r="BX1179" s="210"/>
      <c r="BY1179" s="210"/>
      <c r="BZ1179" s="210"/>
      <c r="CA1179" s="210"/>
      <c r="CB1179" s="210"/>
      <c r="CC1179" s="210"/>
      <c r="CD1179" s="210"/>
      <c r="CE1179" s="210"/>
      <c r="CF1179" s="210"/>
      <c r="CG1179" s="210"/>
      <c r="CH1179" s="210"/>
      <c r="CI1179" s="210"/>
      <c r="CJ1179" s="210"/>
      <c r="CK1179" s="210"/>
    </row>
    <row r="1180">
      <c r="A1180" s="220"/>
      <c r="F1180" s="190"/>
      <c r="G1180" s="190"/>
      <c r="L1180" s="220"/>
      <c r="M1180" s="220"/>
      <c r="O1180" s="210"/>
      <c r="P1180" s="210"/>
      <c r="Q1180" s="210"/>
      <c r="R1180" s="210"/>
      <c r="S1180" s="210"/>
      <c r="T1180" s="210"/>
      <c r="U1180" s="210"/>
      <c r="V1180" s="210"/>
      <c r="W1180" s="210"/>
      <c r="X1180" s="210"/>
      <c r="Y1180" s="210"/>
      <c r="Z1180" s="210"/>
      <c r="AA1180" s="210"/>
      <c r="AB1180" s="210"/>
      <c r="AC1180" s="210"/>
      <c r="AD1180" s="210"/>
      <c r="AE1180" s="210"/>
      <c r="AF1180" s="210"/>
      <c r="AG1180" s="210"/>
      <c r="AH1180" s="210"/>
      <c r="AI1180" s="210"/>
      <c r="AJ1180" s="210"/>
      <c r="AK1180" s="210"/>
      <c r="AL1180" s="210"/>
      <c r="AM1180" s="214"/>
      <c r="AN1180" s="210"/>
      <c r="AO1180" s="210"/>
      <c r="AP1180" s="210"/>
      <c r="AQ1180" s="210"/>
      <c r="AR1180" s="210"/>
      <c r="AS1180" s="210"/>
      <c r="AT1180" s="210"/>
      <c r="AU1180" s="210"/>
      <c r="AV1180" s="210"/>
      <c r="AW1180" s="210"/>
      <c r="AX1180" s="210"/>
      <c r="AY1180" s="210"/>
      <c r="AZ1180" s="210"/>
      <c r="BA1180" s="210"/>
      <c r="BB1180" s="210"/>
      <c r="BC1180" s="210"/>
      <c r="BD1180" s="210"/>
      <c r="BE1180" s="210"/>
      <c r="BF1180" s="210"/>
      <c r="BG1180" s="210"/>
      <c r="BH1180" s="210"/>
      <c r="BI1180" s="210"/>
      <c r="BJ1180" s="210"/>
      <c r="BK1180" s="210"/>
      <c r="BL1180" s="210"/>
      <c r="BM1180" s="210"/>
      <c r="BN1180" s="210"/>
      <c r="BO1180" s="210"/>
      <c r="BP1180" s="210"/>
      <c r="BQ1180" s="210"/>
      <c r="BR1180" s="210"/>
      <c r="BS1180" s="210"/>
      <c r="BT1180" s="210"/>
      <c r="BU1180" s="210"/>
      <c r="BV1180" s="210"/>
      <c r="BW1180" s="210"/>
      <c r="BX1180" s="210"/>
      <c r="BY1180" s="210"/>
      <c r="BZ1180" s="210"/>
      <c r="CA1180" s="210"/>
      <c r="CB1180" s="210"/>
      <c r="CC1180" s="210"/>
      <c r="CD1180" s="210"/>
      <c r="CE1180" s="210"/>
      <c r="CF1180" s="210"/>
      <c r="CG1180" s="210"/>
      <c r="CH1180" s="210"/>
      <c r="CI1180" s="210"/>
      <c r="CJ1180" s="210"/>
      <c r="CK1180" s="210"/>
    </row>
    <row r="1181">
      <c r="A1181" s="220"/>
      <c r="F1181" s="190"/>
      <c r="G1181" s="190"/>
      <c r="L1181" s="220"/>
      <c r="M1181" s="220"/>
      <c r="O1181" s="210"/>
      <c r="P1181" s="210"/>
      <c r="Q1181" s="210"/>
      <c r="R1181" s="210"/>
      <c r="S1181" s="210"/>
      <c r="T1181" s="210"/>
      <c r="U1181" s="210"/>
      <c r="V1181" s="210"/>
      <c r="W1181" s="210"/>
      <c r="X1181" s="210"/>
      <c r="Y1181" s="210"/>
      <c r="Z1181" s="210"/>
      <c r="AA1181" s="210"/>
      <c r="AB1181" s="210"/>
      <c r="AC1181" s="210"/>
      <c r="AD1181" s="210"/>
      <c r="AE1181" s="210"/>
      <c r="AF1181" s="210"/>
      <c r="AG1181" s="210"/>
      <c r="AH1181" s="210"/>
      <c r="AI1181" s="210"/>
      <c r="AJ1181" s="210"/>
      <c r="AK1181" s="210"/>
      <c r="AL1181" s="210"/>
      <c r="AM1181" s="214"/>
      <c r="AN1181" s="210"/>
      <c r="AO1181" s="210"/>
      <c r="AP1181" s="210"/>
      <c r="AQ1181" s="210"/>
      <c r="AR1181" s="210"/>
      <c r="AS1181" s="210"/>
      <c r="AT1181" s="210"/>
      <c r="AU1181" s="210"/>
      <c r="AV1181" s="210"/>
      <c r="AW1181" s="210"/>
      <c r="AX1181" s="210"/>
      <c r="AY1181" s="210"/>
      <c r="AZ1181" s="210"/>
      <c r="BA1181" s="210"/>
      <c r="BB1181" s="210"/>
      <c r="BC1181" s="210"/>
      <c r="BD1181" s="210"/>
      <c r="BE1181" s="210"/>
      <c r="BF1181" s="210"/>
      <c r="BG1181" s="210"/>
      <c r="BH1181" s="210"/>
      <c r="BI1181" s="210"/>
      <c r="BJ1181" s="210"/>
      <c r="BK1181" s="210"/>
      <c r="BL1181" s="210"/>
      <c r="BM1181" s="210"/>
      <c r="BN1181" s="210"/>
      <c r="BO1181" s="210"/>
      <c r="BP1181" s="210"/>
      <c r="BQ1181" s="210"/>
      <c r="BR1181" s="210"/>
      <c r="BS1181" s="210"/>
      <c r="BT1181" s="210"/>
      <c r="BU1181" s="210"/>
      <c r="BV1181" s="210"/>
      <c r="BW1181" s="210"/>
      <c r="BX1181" s="210"/>
      <c r="BY1181" s="210"/>
      <c r="BZ1181" s="210"/>
      <c r="CA1181" s="210"/>
      <c r="CB1181" s="210"/>
      <c r="CC1181" s="210"/>
      <c r="CD1181" s="210"/>
      <c r="CE1181" s="210"/>
      <c r="CF1181" s="210"/>
      <c r="CG1181" s="210"/>
      <c r="CH1181" s="210"/>
      <c r="CI1181" s="210"/>
      <c r="CJ1181" s="210"/>
      <c r="CK1181" s="210"/>
    </row>
    <row r="1182">
      <c r="A1182" s="220"/>
      <c r="F1182" s="190"/>
      <c r="G1182" s="190"/>
      <c r="L1182" s="220"/>
      <c r="M1182" s="220"/>
      <c r="O1182" s="210"/>
      <c r="P1182" s="210"/>
      <c r="Q1182" s="210"/>
      <c r="R1182" s="210"/>
      <c r="S1182" s="210"/>
      <c r="T1182" s="210"/>
      <c r="U1182" s="210"/>
      <c r="V1182" s="210"/>
      <c r="W1182" s="210"/>
      <c r="X1182" s="210"/>
      <c r="Y1182" s="210"/>
      <c r="Z1182" s="210"/>
      <c r="AA1182" s="210"/>
      <c r="AB1182" s="210"/>
      <c r="AC1182" s="210"/>
      <c r="AD1182" s="210"/>
      <c r="AE1182" s="210"/>
      <c r="AF1182" s="210"/>
      <c r="AG1182" s="210"/>
      <c r="AH1182" s="210"/>
      <c r="AI1182" s="210"/>
      <c r="AJ1182" s="210"/>
      <c r="AK1182" s="210"/>
      <c r="AL1182" s="210"/>
      <c r="AM1182" s="214"/>
      <c r="AN1182" s="210"/>
      <c r="AO1182" s="210"/>
      <c r="AP1182" s="210"/>
      <c r="AQ1182" s="210"/>
      <c r="AR1182" s="210"/>
      <c r="AS1182" s="210"/>
      <c r="AT1182" s="210"/>
      <c r="AU1182" s="210"/>
      <c r="AV1182" s="210"/>
      <c r="AW1182" s="210"/>
      <c r="AX1182" s="210"/>
      <c r="AY1182" s="210"/>
      <c r="AZ1182" s="210"/>
      <c r="BA1182" s="210"/>
      <c r="BB1182" s="210"/>
      <c r="BC1182" s="210"/>
      <c r="BD1182" s="210"/>
      <c r="BE1182" s="210"/>
      <c r="BF1182" s="210"/>
      <c r="BG1182" s="210"/>
      <c r="BH1182" s="210"/>
      <c r="BI1182" s="210"/>
      <c r="BJ1182" s="210"/>
      <c r="BK1182" s="210"/>
      <c r="BL1182" s="210"/>
      <c r="BM1182" s="210"/>
      <c r="BN1182" s="210"/>
      <c r="BO1182" s="210"/>
      <c r="BP1182" s="210"/>
      <c r="BQ1182" s="210"/>
      <c r="BR1182" s="210"/>
      <c r="BS1182" s="210"/>
      <c r="BT1182" s="210"/>
      <c r="BU1182" s="210"/>
      <c r="BV1182" s="210"/>
      <c r="BW1182" s="210"/>
      <c r="BX1182" s="210"/>
      <c r="BY1182" s="210"/>
      <c r="BZ1182" s="210"/>
      <c r="CA1182" s="210"/>
      <c r="CB1182" s="210"/>
      <c r="CC1182" s="210"/>
      <c r="CD1182" s="210"/>
      <c r="CE1182" s="210"/>
      <c r="CF1182" s="210"/>
      <c r="CG1182" s="210"/>
      <c r="CH1182" s="210"/>
      <c r="CI1182" s="210"/>
      <c r="CJ1182" s="210"/>
      <c r="CK1182" s="210"/>
    </row>
    <row r="1183">
      <c r="A1183" s="220"/>
      <c r="F1183" s="190"/>
      <c r="G1183" s="190"/>
      <c r="L1183" s="220"/>
      <c r="M1183" s="220"/>
      <c r="O1183" s="210"/>
      <c r="P1183" s="210"/>
      <c r="Q1183" s="210"/>
      <c r="R1183" s="210"/>
      <c r="S1183" s="210"/>
      <c r="T1183" s="210"/>
      <c r="U1183" s="210"/>
      <c r="V1183" s="210"/>
      <c r="W1183" s="210"/>
      <c r="X1183" s="210"/>
      <c r="Y1183" s="210"/>
      <c r="Z1183" s="210"/>
      <c r="AA1183" s="210"/>
      <c r="AB1183" s="210"/>
      <c r="AC1183" s="210"/>
      <c r="AD1183" s="210"/>
      <c r="AE1183" s="210"/>
      <c r="AF1183" s="210"/>
      <c r="AG1183" s="210"/>
      <c r="AH1183" s="210"/>
      <c r="AI1183" s="210"/>
      <c r="AJ1183" s="210"/>
      <c r="AK1183" s="210"/>
      <c r="AL1183" s="210"/>
      <c r="AM1183" s="214"/>
      <c r="AN1183" s="210"/>
      <c r="AO1183" s="210"/>
      <c r="AP1183" s="210"/>
      <c r="AQ1183" s="210"/>
      <c r="AR1183" s="210"/>
      <c r="AS1183" s="210"/>
      <c r="AT1183" s="210"/>
      <c r="AU1183" s="210"/>
      <c r="AV1183" s="210"/>
      <c r="AW1183" s="210"/>
      <c r="AX1183" s="210"/>
      <c r="AY1183" s="210"/>
      <c r="AZ1183" s="210"/>
      <c r="BA1183" s="210"/>
      <c r="BB1183" s="210"/>
      <c r="BC1183" s="210"/>
      <c r="BD1183" s="210"/>
      <c r="BE1183" s="210"/>
      <c r="BF1183" s="210"/>
      <c r="BG1183" s="210"/>
      <c r="BH1183" s="210"/>
      <c r="BI1183" s="210"/>
      <c r="BJ1183" s="210"/>
      <c r="BK1183" s="210"/>
      <c r="BL1183" s="210"/>
      <c r="BM1183" s="210"/>
      <c r="BN1183" s="210"/>
      <c r="BO1183" s="210"/>
      <c r="BP1183" s="210"/>
      <c r="BQ1183" s="210"/>
      <c r="BR1183" s="210"/>
      <c r="BS1183" s="210"/>
      <c r="BT1183" s="210"/>
      <c r="BU1183" s="210"/>
      <c r="BV1183" s="210"/>
      <c r="BW1183" s="210"/>
      <c r="BX1183" s="210"/>
      <c r="BY1183" s="210"/>
      <c r="BZ1183" s="210"/>
      <c r="CA1183" s="210"/>
      <c r="CB1183" s="210"/>
      <c r="CC1183" s="210"/>
      <c r="CD1183" s="210"/>
      <c r="CE1183" s="210"/>
      <c r="CF1183" s="210"/>
      <c r="CG1183" s="210"/>
      <c r="CH1183" s="210"/>
      <c r="CI1183" s="210"/>
      <c r="CJ1183" s="210"/>
      <c r="CK1183" s="210"/>
    </row>
    <row r="1184">
      <c r="A1184" s="220"/>
      <c r="F1184" s="190"/>
      <c r="G1184" s="190"/>
      <c r="L1184" s="220"/>
      <c r="M1184" s="220"/>
      <c r="O1184" s="210"/>
      <c r="P1184" s="210"/>
      <c r="Q1184" s="210"/>
      <c r="R1184" s="210"/>
      <c r="S1184" s="210"/>
      <c r="T1184" s="210"/>
      <c r="U1184" s="210"/>
      <c r="V1184" s="210"/>
      <c r="W1184" s="210"/>
      <c r="X1184" s="210"/>
      <c r="Y1184" s="210"/>
      <c r="Z1184" s="210"/>
      <c r="AA1184" s="210"/>
      <c r="AB1184" s="210"/>
      <c r="AC1184" s="210"/>
      <c r="AD1184" s="210"/>
      <c r="AE1184" s="210"/>
      <c r="AF1184" s="210"/>
      <c r="AG1184" s="210"/>
      <c r="AH1184" s="210"/>
      <c r="AI1184" s="210"/>
      <c r="AJ1184" s="210"/>
      <c r="AK1184" s="210"/>
      <c r="AL1184" s="210"/>
      <c r="AM1184" s="214"/>
      <c r="AN1184" s="210"/>
      <c r="AO1184" s="210"/>
      <c r="AP1184" s="210"/>
      <c r="AQ1184" s="210"/>
      <c r="AR1184" s="210"/>
      <c r="AS1184" s="210"/>
      <c r="AT1184" s="210"/>
      <c r="AU1184" s="210"/>
      <c r="AV1184" s="210"/>
      <c r="AW1184" s="210"/>
      <c r="AX1184" s="210"/>
      <c r="AY1184" s="210"/>
      <c r="AZ1184" s="210"/>
      <c r="BA1184" s="210"/>
      <c r="BB1184" s="210"/>
      <c r="BC1184" s="210"/>
      <c r="BD1184" s="210"/>
      <c r="BE1184" s="210"/>
      <c r="BF1184" s="210"/>
      <c r="BG1184" s="210"/>
      <c r="BH1184" s="210"/>
      <c r="BI1184" s="210"/>
      <c r="BJ1184" s="210"/>
      <c r="BK1184" s="210"/>
      <c r="BL1184" s="210"/>
      <c r="BM1184" s="210"/>
      <c r="BN1184" s="210"/>
      <c r="BO1184" s="210"/>
      <c r="BP1184" s="210"/>
      <c r="BQ1184" s="210"/>
      <c r="BR1184" s="210"/>
      <c r="BS1184" s="210"/>
      <c r="BT1184" s="210"/>
      <c r="BU1184" s="210"/>
      <c r="BV1184" s="210"/>
      <c r="BW1184" s="210"/>
      <c r="BX1184" s="210"/>
      <c r="BY1184" s="210"/>
      <c r="BZ1184" s="210"/>
      <c r="CA1184" s="210"/>
      <c r="CB1184" s="210"/>
      <c r="CC1184" s="210"/>
      <c r="CD1184" s="210"/>
      <c r="CE1184" s="210"/>
      <c r="CF1184" s="210"/>
      <c r="CG1184" s="210"/>
      <c r="CH1184" s="210"/>
      <c r="CI1184" s="210"/>
      <c r="CJ1184" s="210"/>
      <c r="CK1184" s="210"/>
    </row>
    <row r="1185">
      <c r="A1185" s="220"/>
      <c r="F1185" s="190"/>
      <c r="G1185" s="190"/>
      <c r="L1185" s="220"/>
      <c r="M1185" s="220"/>
      <c r="O1185" s="210"/>
      <c r="P1185" s="210"/>
      <c r="Q1185" s="210"/>
      <c r="R1185" s="210"/>
      <c r="S1185" s="210"/>
      <c r="T1185" s="210"/>
      <c r="U1185" s="210"/>
      <c r="V1185" s="210"/>
      <c r="W1185" s="210"/>
      <c r="X1185" s="210"/>
      <c r="Y1185" s="210"/>
      <c r="Z1185" s="210"/>
      <c r="AA1185" s="210"/>
      <c r="AB1185" s="210"/>
      <c r="AC1185" s="210"/>
      <c r="AD1185" s="210"/>
      <c r="AE1185" s="210"/>
      <c r="AF1185" s="210"/>
      <c r="AG1185" s="210"/>
      <c r="AH1185" s="210"/>
      <c r="AI1185" s="210"/>
      <c r="AJ1185" s="210"/>
      <c r="AK1185" s="210"/>
      <c r="AL1185" s="210"/>
      <c r="AM1185" s="214"/>
      <c r="AN1185" s="210"/>
      <c r="AO1185" s="210"/>
      <c r="AP1185" s="210"/>
      <c r="AQ1185" s="210"/>
      <c r="AR1185" s="210"/>
      <c r="AS1185" s="210"/>
      <c r="AT1185" s="210"/>
      <c r="AU1185" s="210"/>
      <c r="AV1185" s="210"/>
      <c r="AW1185" s="210"/>
      <c r="AX1185" s="210"/>
      <c r="AY1185" s="210"/>
      <c r="AZ1185" s="210"/>
      <c r="BA1185" s="210"/>
      <c r="BB1185" s="210"/>
      <c r="BC1185" s="210"/>
      <c r="BD1185" s="210"/>
      <c r="BE1185" s="210"/>
      <c r="BF1185" s="210"/>
      <c r="BG1185" s="210"/>
      <c r="BH1185" s="210"/>
      <c r="BI1185" s="210"/>
      <c r="BJ1185" s="210"/>
      <c r="BK1185" s="210"/>
      <c r="BL1185" s="210"/>
      <c r="BM1185" s="210"/>
      <c r="BN1185" s="210"/>
      <c r="BO1185" s="210"/>
      <c r="BP1185" s="210"/>
      <c r="BQ1185" s="210"/>
      <c r="BR1185" s="210"/>
      <c r="BS1185" s="210"/>
      <c r="BT1185" s="210"/>
      <c r="BU1185" s="210"/>
      <c r="BV1185" s="210"/>
      <c r="BW1185" s="210"/>
      <c r="BX1185" s="210"/>
      <c r="BY1185" s="210"/>
      <c r="BZ1185" s="210"/>
      <c r="CA1185" s="210"/>
      <c r="CB1185" s="210"/>
      <c r="CC1185" s="210"/>
      <c r="CD1185" s="210"/>
      <c r="CE1185" s="210"/>
      <c r="CF1185" s="210"/>
      <c r="CG1185" s="210"/>
      <c r="CH1185" s="210"/>
      <c r="CI1185" s="210"/>
      <c r="CJ1185" s="210"/>
      <c r="CK1185" s="210"/>
    </row>
    <row r="1186">
      <c r="A1186" s="220"/>
      <c r="F1186" s="190"/>
      <c r="G1186" s="190"/>
      <c r="L1186" s="220"/>
      <c r="M1186" s="220"/>
      <c r="O1186" s="210"/>
      <c r="P1186" s="210"/>
      <c r="Q1186" s="210"/>
      <c r="R1186" s="210"/>
      <c r="S1186" s="210"/>
      <c r="T1186" s="210"/>
      <c r="U1186" s="210"/>
      <c r="V1186" s="210"/>
      <c r="W1186" s="210"/>
      <c r="X1186" s="210"/>
      <c r="Y1186" s="210"/>
      <c r="Z1186" s="210"/>
      <c r="AA1186" s="210"/>
      <c r="AB1186" s="210"/>
      <c r="AC1186" s="210"/>
      <c r="AD1186" s="210"/>
      <c r="AE1186" s="210"/>
      <c r="AF1186" s="210"/>
      <c r="AG1186" s="210"/>
      <c r="AH1186" s="210"/>
      <c r="AI1186" s="210"/>
      <c r="AJ1186" s="210"/>
      <c r="AK1186" s="210"/>
      <c r="AL1186" s="210"/>
      <c r="AM1186" s="214"/>
      <c r="AN1186" s="210"/>
      <c r="AO1186" s="210"/>
      <c r="AP1186" s="210"/>
      <c r="AQ1186" s="210"/>
      <c r="AR1186" s="210"/>
      <c r="AS1186" s="210"/>
      <c r="AT1186" s="210"/>
      <c r="AU1186" s="210"/>
      <c r="AV1186" s="210"/>
      <c r="AW1186" s="210"/>
      <c r="AX1186" s="210"/>
      <c r="AY1186" s="210"/>
      <c r="AZ1186" s="210"/>
      <c r="BA1186" s="210"/>
      <c r="BB1186" s="210"/>
      <c r="BC1186" s="210"/>
      <c r="BD1186" s="210"/>
      <c r="BE1186" s="210"/>
      <c r="BF1186" s="210"/>
      <c r="BG1186" s="210"/>
      <c r="BH1186" s="210"/>
      <c r="BI1186" s="210"/>
      <c r="BJ1186" s="210"/>
      <c r="BK1186" s="210"/>
      <c r="BL1186" s="210"/>
      <c r="BM1186" s="210"/>
      <c r="BN1186" s="210"/>
      <c r="BO1186" s="210"/>
      <c r="BP1186" s="210"/>
      <c r="BQ1186" s="210"/>
      <c r="BR1186" s="210"/>
      <c r="BS1186" s="210"/>
      <c r="BT1186" s="210"/>
      <c r="BU1186" s="210"/>
      <c r="BV1186" s="210"/>
      <c r="BW1186" s="210"/>
      <c r="BX1186" s="210"/>
      <c r="BY1186" s="210"/>
      <c r="BZ1186" s="210"/>
      <c r="CA1186" s="210"/>
      <c r="CB1186" s="210"/>
      <c r="CC1186" s="210"/>
      <c r="CD1186" s="210"/>
      <c r="CE1186" s="210"/>
      <c r="CF1186" s="210"/>
      <c r="CG1186" s="210"/>
      <c r="CH1186" s="210"/>
      <c r="CI1186" s="210"/>
      <c r="CJ1186" s="210"/>
      <c r="CK1186" s="210"/>
    </row>
    <row r="1187">
      <c r="A1187" s="220"/>
      <c r="F1187" s="190"/>
      <c r="G1187" s="190"/>
      <c r="L1187" s="220"/>
      <c r="M1187" s="220"/>
      <c r="O1187" s="210"/>
      <c r="P1187" s="210"/>
      <c r="Q1187" s="210"/>
      <c r="R1187" s="210"/>
      <c r="S1187" s="210"/>
      <c r="T1187" s="210"/>
      <c r="U1187" s="210"/>
      <c r="V1187" s="210"/>
      <c r="W1187" s="210"/>
      <c r="X1187" s="210"/>
      <c r="Y1187" s="210"/>
      <c r="Z1187" s="210"/>
      <c r="AA1187" s="210"/>
      <c r="AB1187" s="210"/>
      <c r="AC1187" s="210"/>
      <c r="AD1187" s="210"/>
      <c r="AE1187" s="210"/>
      <c r="AF1187" s="210"/>
      <c r="AG1187" s="210"/>
      <c r="AH1187" s="210"/>
      <c r="AI1187" s="210"/>
      <c r="AJ1187" s="210"/>
      <c r="AK1187" s="210"/>
      <c r="AL1187" s="210"/>
      <c r="AM1187" s="214"/>
      <c r="AN1187" s="210"/>
      <c r="AO1187" s="210"/>
      <c r="AP1187" s="210"/>
      <c r="AQ1187" s="210"/>
      <c r="AR1187" s="210"/>
      <c r="AS1187" s="210"/>
      <c r="AT1187" s="210"/>
      <c r="AU1187" s="210"/>
      <c r="AV1187" s="210"/>
      <c r="AW1187" s="210"/>
      <c r="AX1187" s="210"/>
      <c r="AY1187" s="210"/>
      <c r="AZ1187" s="210"/>
      <c r="BA1187" s="210"/>
      <c r="BB1187" s="210"/>
      <c r="BC1187" s="210"/>
      <c r="BD1187" s="210"/>
      <c r="BE1187" s="210"/>
      <c r="BF1187" s="210"/>
      <c r="BG1187" s="210"/>
      <c r="BH1187" s="210"/>
      <c r="BI1187" s="210"/>
      <c r="BJ1187" s="210"/>
      <c r="BK1187" s="210"/>
      <c r="BL1187" s="210"/>
      <c r="BM1187" s="210"/>
      <c r="BN1187" s="210"/>
      <c r="BO1187" s="210"/>
      <c r="BP1187" s="210"/>
      <c r="BQ1187" s="210"/>
      <c r="BR1187" s="210"/>
      <c r="BS1187" s="210"/>
      <c r="BT1187" s="210"/>
      <c r="BU1187" s="210"/>
      <c r="BV1187" s="210"/>
      <c r="BW1187" s="210"/>
      <c r="BX1187" s="210"/>
      <c r="BY1187" s="210"/>
      <c r="BZ1187" s="210"/>
      <c r="CA1187" s="210"/>
      <c r="CB1187" s="210"/>
      <c r="CC1187" s="210"/>
      <c r="CD1187" s="210"/>
      <c r="CE1187" s="210"/>
      <c r="CF1187" s="210"/>
      <c r="CG1187" s="210"/>
      <c r="CH1187" s="210"/>
      <c r="CI1187" s="210"/>
      <c r="CJ1187" s="210"/>
      <c r="CK1187" s="210"/>
    </row>
    <row r="1188">
      <c r="A1188" s="220"/>
      <c r="F1188" s="190"/>
      <c r="G1188" s="190"/>
      <c r="L1188" s="220"/>
      <c r="M1188" s="220"/>
      <c r="O1188" s="210"/>
      <c r="P1188" s="210"/>
      <c r="Q1188" s="210"/>
      <c r="R1188" s="210"/>
      <c r="S1188" s="210"/>
      <c r="T1188" s="210"/>
      <c r="U1188" s="210"/>
      <c r="V1188" s="210"/>
      <c r="W1188" s="210"/>
      <c r="X1188" s="210"/>
      <c r="Y1188" s="210"/>
      <c r="Z1188" s="210"/>
      <c r="AA1188" s="210"/>
      <c r="AB1188" s="210"/>
      <c r="AC1188" s="210"/>
      <c r="AD1188" s="210"/>
      <c r="AE1188" s="210"/>
      <c r="AF1188" s="210"/>
      <c r="AG1188" s="210"/>
      <c r="AH1188" s="210"/>
      <c r="AI1188" s="210"/>
      <c r="AJ1188" s="210"/>
      <c r="AK1188" s="210"/>
      <c r="AL1188" s="210"/>
      <c r="AM1188" s="214"/>
      <c r="AN1188" s="210"/>
      <c r="AO1188" s="210"/>
      <c r="AP1188" s="210"/>
      <c r="AQ1188" s="210"/>
      <c r="AR1188" s="210"/>
      <c r="AS1188" s="210"/>
      <c r="AT1188" s="210"/>
      <c r="AU1188" s="210"/>
      <c r="AV1188" s="210"/>
      <c r="AW1188" s="210"/>
      <c r="AX1188" s="210"/>
      <c r="AY1188" s="210"/>
      <c r="AZ1188" s="210"/>
      <c r="BA1188" s="210"/>
      <c r="BB1188" s="210"/>
      <c r="BC1188" s="210"/>
      <c r="BD1188" s="210"/>
      <c r="BE1188" s="210"/>
      <c r="BF1188" s="210"/>
      <c r="BG1188" s="210"/>
      <c r="BH1188" s="210"/>
      <c r="BI1188" s="210"/>
      <c r="BJ1188" s="210"/>
      <c r="BK1188" s="210"/>
      <c r="BL1188" s="210"/>
      <c r="BM1188" s="210"/>
      <c r="BN1188" s="210"/>
      <c r="BO1188" s="210"/>
      <c r="BP1188" s="210"/>
      <c r="BQ1188" s="210"/>
      <c r="BR1188" s="210"/>
      <c r="BS1188" s="210"/>
      <c r="BT1188" s="210"/>
      <c r="BU1188" s="210"/>
      <c r="BV1188" s="210"/>
      <c r="BW1188" s="210"/>
      <c r="BX1188" s="210"/>
      <c r="BY1188" s="210"/>
      <c r="BZ1188" s="210"/>
      <c r="CA1188" s="210"/>
      <c r="CB1188" s="210"/>
      <c r="CC1188" s="210"/>
      <c r="CD1188" s="210"/>
      <c r="CE1188" s="210"/>
      <c r="CF1188" s="210"/>
      <c r="CG1188" s="210"/>
      <c r="CH1188" s="210"/>
      <c r="CI1188" s="210"/>
      <c r="CJ1188" s="210"/>
      <c r="CK1188" s="210"/>
    </row>
    <row r="1189">
      <c r="A1189" s="220"/>
      <c r="F1189" s="190"/>
      <c r="G1189" s="190"/>
      <c r="L1189" s="220"/>
      <c r="M1189" s="220"/>
      <c r="O1189" s="210"/>
      <c r="P1189" s="210"/>
      <c r="Q1189" s="210"/>
      <c r="R1189" s="210"/>
      <c r="S1189" s="210"/>
      <c r="T1189" s="210"/>
      <c r="U1189" s="210"/>
      <c r="V1189" s="210"/>
      <c r="W1189" s="210"/>
      <c r="X1189" s="210"/>
      <c r="Y1189" s="210"/>
      <c r="Z1189" s="210"/>
      <c r="AA1189" s="210"/>
      <c r="AB1189" s="210"/>
      <c r="AC1189" s="210"/>
      <c r="AD1189" s="210"/>
      <c r="AE1189" s="210"/>
      <c r="AF1189" s="210"/>
      <c r="AG1189" s="210"/>
      <c r="AH1189" s="210"/>
      <c r="AI1189" s="210"/>
      <c r="AJ1189" s="210"/>
      <c r="AK1189" s="210"/>
      <c r="AL1189" s="210"/>
      <c r="AM1189" s="214"/>
      <c r="AN1189" s="210"/>
      <c r="AO1189" s="210"/>
      <c r="AP1189" s="210"/>
      <c r="AQ1189" s="210"/>
      <c r="AR1189" s="210"/>
      <c r="AS1189" s="210"/>
      <c r="AT1189" s="210"/>
      <c r="AU1189" s="210"/>
      <c r="AV1189" s="210"/>
      <c r="AW1189" s="210"/>
      <c r="AX1189" s="210"/>
      <c r="AY1189" s="210"/>
      <c r="AZ1189" s="210"/>
      <c r="BA1189" s="210"/>
      <c r="BB1189" s="210"/>
      <c r="BC1189" s="210"/>
      <c r="BD1189" s="210"/>
      <c r="BE1189" s="210"/>
      <c r="BF1189" s="210"/>
      <c r="BG1189" s="210"/>
      <c r="BH1189" s="210"/>
      <c r="BI1189" s="210"/>
      <c r="BJ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c r="CC1189" s="210"/>
      <c r="CD1189" s="210"/>
      <c r="CE1189" s="210"/>
      <c r="CF1189" s="210"/>
      <c r="CG1189" s="210"/>
      <c r="CH1189" s="210"/>
      <c r="CI1189" s="210"/>
      <c r="CJ1189" s="210"/>
      <c r="CK1189" s="210"/>
    </row>
    <row r="1190">
      <c r="A1190" s="220"/>
      <c r="F1190" s="190"/>
      <c r="G1190" s="190"/>
      <c r="L1190" s="220"/>
      <c r="M1190" s="220"/>
      <c r="O1190" s="210"/>
      <c r="P1190" s="210"/>
      <c r="Q1190" s="210"/>
      <c r="R1190" s="210"/>
      <c r="S1190" s="210"/>
      <c r="T1190" s="210"/>
      <c r="U1190" s="210"/>
      <c r="V1190" s="210"/>
      <c r="W1190" s="210"/>
      <c r="X1190" s="210"/>
      <c r="Y1190" s="210"/>
      <c r="Z1190" s="210"/>
      <c r="AA1190" s="210"/>
      <c r="AB1190" s="210"/>
      <c r="AC1190" s="210"/>
      <c r="AD1190" s="210"/>
      <c r="AE1190" s="210"/>
      <c r="AF1190" s="210"/>
      <c r="AG1190" s="210"/>
      <c r="AH1190" s="210"/>
      <c r="AI1190" s="210"/>
      <c r="AJ1190" s="210"/>
      <c r="AK1190" s="210"/>
      <c r="AL1190" s="210"/>
      <c r="AM1190" s="214"/>
      <c r="AN1190" s="210"/>
      <c r="AO1190" s="210"/>
      <c r="AP1190" s="210"/>
      <c r="AQ1190" s="210"/>
      <c r="AR1190" s="210"/>
      <c r="AS1190" s="210"/>
      <c r="AT1190" s="210"/>
      <c r="AU1190" s="210"/>
      <c r="AV1190" s="210"/>
      <c r="AW1190" s="210"/>
      <c r="AX1190" s="210"/>
      <c r="AY1190" s="210"/>
      <c r="AZ1190" s="210"/>
      <c r="BA1190" s="210"/>
      <c r="BB1190" s="210"/>
      <c r="BC1190" s="210"/>
      <c r="BD1190" s="210"/>
      <c r="BE1190" s="210"/>
      <c r="BF1190" s="210"/>
      <c r="BG1190" s="210"/>
      <c r="BH1190" s="210"/>
      <c r="BI1190" s="210"/>
      <c r="BJ1190" s="210"/>
      <c r="BK1190" s="210"/>
      <c r="BL1190" s="210"/>
      <c r="BM1190" s="210"/>
      <c r="BN1190" s="210"/>
      <c r="BO1190" s="210"/>
      <c r="BP1190" s="210"/>
      <c r="BQ1190" s="210"/>
      <c r="BR1190" s="210"/>
      <c r="BS1190" s="210"/>
      <c r="BT1190" s="210"/>
      <c r="BU1190" s="210"/>
      <c r="BV1190" s="210"/>
      <c r="BW1190" s="210"/>
      <c r="BX1190" s="210"/>
      <c r="BY1190" s="210"/>
      <c r="BZ1190" s="210"/>
      <c r="CA1190" s="210"/>
      <c r="CB1190" s="210"/>
      <c r="CC1190" s="210"/>
      <c r="CD1190" s="210"/>
      <c r="CE1190" s="210"/>
      <c r="CF1190" s="210"/>
      <c r="CG1190" s="210"/>
      <c r="CH1190" s="210"/>
      <c r="CI1190" s="210"/>
      <c r="CJ1190" s="210"/>
      <c r="CK1190" s="210"/>
    </row>
    <row r="1191">
      <c r="A1191" s="220"/>
      <c r="F1191" s="190"/>
      <c r="G1191" s="190"/>
      <c r="L1191" s="220"/>
      <c r="M1191" s="220"/>
      <c r="O1191" s="210"/>
      <c r="P1191" s="210"/>
      <c r="Q1191" s="210"/>
      <c r="R1191" s="210"/>
      <c r="S1191" s="210"/>
      <c r="T1191" s="210"/>
      <c r="U1191" s="210"/>
      <c r="V1191" s="210"/>
      <c r="W1191" s="210"/>
      <c r="X1191" s="210"/>
      <c r="Y1191" s="210"/>
      <c r="Z1191" s="210"/>
      <c r="AA1191" s="210"/>
      <c r="AB1191" s="210"/>
      <c r="AC1191" s="210"/>
      <c r="AD1191" s="210"/>
      <c r="AE1191" s="210"/>
      <c r="AF1191" s="210"/>
      <c r="AG1191" s="210"/>
      <c r="AH1191" s="210"/>
      <c r="AI1191" s="210"/>
      <c r="AJ1191" s="210"/>
      <c r="AK1191" s="210"/>
      <c r="AL1191" s="210"/>
      <c r="AM1191" s="214"/>
      <c r="AN1191" s="210"/>
      <c r="AO1191" s="210"/>
      <c r="AP1191" s="210"/>
      <c r="AQ1191" s="210"/>
      <c r="AR1191" s="210"/>
      <c r="AS1191" s="210"/>
      <c r="AT1191" s="210"/>
      <c r="AU1191" s="210"/>
      <c r="AV1191" s="210"/>
      <c r="AW1191" s="210"/>
      <c r="AX1191" s="210"/>
      <c r="AY1191" s="210"/>
      <c r="AZ1191" s="210"/>
      <c r="BA1191" s="210"/>
      <c r="BB1191" s="210"/>
      <c r="BC1191" s="210"/>
      <c r="BD1191" s="210"/>
      <c r="BE1191" s="210"/>
      <c r="BF1191" s="210"/>
      <c r="BG1191" s="210"/>
      <c r="BH1191" s="210"/>
      <c r="BI1191" s="210"/>
      <c r="BJ1191" s="210"/>
      <c r="BK1191" s="210"/>
      <c r="BL1191" s="210"/>
      <c r="BM1191" s="210"/>
      <c r="BN1191" s="210"/>
      <c r="BO1191" s="210"/>
      <c r="BP1191" s="210"/>
      <c r="BQ1191" s="210"/>
      <c r="BR1191" s="210"/>
      <c r="BS1191" s="210"/>
      <c r="BT1191" s="210"/>
      <c r="BU1191" s="210"/>
      <c r="BV1191" s="210"/>
      <c r="BW1191" s="210"/>
      <c r="BX1191" s="210"/>
      <c r="BY1191" s="210"/>
      <c r="BZ1191" s="210"/>
      <c r="CA1191" s="210"/>
      <c r="CB1191" s="210"/>
      <c r="CC1191" s="210"/>
      <c r="CD1191" s="210"/>
      <c r="CE1191" s="210"/>
      <c r="CF1191" s="210"/>
      <c r="CG1191" s="210"/>
      <c r="CH1191" s="210"/>
      <c r="CI1191" s="210"/>
      <c r="CJ1191" s="210"/>
      <c r="CK1191" s="210"/>
    </row>
    <row r="1192">
      <c r="A1192" s="220"/>
      <c r="F1192" s="190"/>
      <c r="G1192" s="190"/>
      <c r="L1192" s="220"/>
      <c r="M1192" s="220"/>
      <c r="O1192" s="210"/>
      <c r="P1192" s="210"/>
      <c r="Q1192" s="210"/>
      <c r="R1192" s="210"/>
      <c r="S1192" s="210"/>
      <c r="T1192" s="210"/>
      <c r="U1192" s="210"/>
      <c r="V1192" s="210"/>
      <c r="W1192" s="210"/>
      <c r="X1192" s="210"/>
      <c r="Y1192" s="210"/>
      <c r="Z1192" s="210"/>
      <c r="AA1192" s="210"/>
      <c r="AB1192" s="210"/>
      <c r="AC1192" s="210"/>
      <c r="AD1192" s="210"/>
      <c r="AE1192" s="210"/>
      <c r="AF1192" s="210"/>
      <c r="AG1192" s="210"/>
      <c r="AH1192" s="210"/>
      <c r="AI1192" s="210"/>
      <c r="AJ1192" s="210"/>
      <c r="AK1192" s="210"/>
      <c r="AL1192" s="210"/>
      <c r="AM1192" s="214"/>
      <c r="AN1192" s="210"/>
      <c r="AO1192" s="210"/>
      <c r="AP1192" s="210"/>
      <c r="AQ1192" s="210"/>
      <c r="AR1192" s="210"/>
      <c r="AS1192" s="210"/>
      <c r="AT1192" s="210"/>
      <c r="AU1192" s="210"/>
      <c r="AV1192" s="210"/>
      <c r="AW1192" s="210"/>
      <c r="AX1192" s="210"/>
      <c r="AY1192" s="210"/>
      <c r="AZ1192" s="210"/>
      <c r="BA1192" s="210"/>
      <c r="BB1192" s="210"/>
      <c r="BC1192" s="210"/>
      <c r="BD1192" s="210"/>
      <c r="BE1192" s="210"/>
      <c r="BF1192" s="210"/>
      <c r="BG1192" s="210"/>
      <c r="BH1192" s="210"/>
      <c r="BI1192" s="210"/>
      <c r="BJ1192" s="210"/>
      <c r="BK1192" s="210"/>
      <c r="BL1192" s="210"/>
      <c r="BM1192" s="210"/>
      <c r="BN1192" s="210"/>
      <c r="BO1192" s="210"/>
      <c r="BP1192" s="210"/>
      <c r="BQ1192" s="210"/>
      <c r="BR1192" s="210"/>
      <c r="BS1192" s="210"/>
      <c r="BT1192" s="210"/>
      <c r="BU1192" s="210"/>
      <c r="BV1192" s="210"/>
      <c r="BW1192" s="210"/>
      <c r="BX1192" s="210"/>
      <c r="BY1192" s="210"/>
      <c r="BZ1192" s="210"/>
      <c r="CA1192" s="210"/>
      <c r="CB1192" s="210"/>
      <c r="CC1192" s="210"/>
      <c r="CD1192" s="210"/>
      <c r="CE1192" s="210"/>
      <c r="CF1192" s="210"/>
      <c r="CG1192" s="210"/>
      <c r="CH1192" s="210"/>
      <c r="CI1192" s="210"/>
      <c r="CJ1192" s="210"/>
      <c r="CK1192" s="210"/>
    </row>
    <row r="1193">
      <c r="A1193" s="220"/>
      <c r="F1193" s="190"/>
      <c r="G1193" s="190"/>
      <c r="L1193" s="220"/>
      <c r="M1193" s="220"/>
      <c r="O1193" s="210"/>
      <c r="P1193" s="210"/>
      <c r="Q1193" s="210"/>
      <c r="R1193" s="210"/>
      <c r="S1193" s="210"/>
      <c r="T1193" s="210"/>
      <c r="U1193" s="210"/>
      <c r="V1193" s="210"/>
      <c r="W1193" s="210"/>
      <c r="X1193" s="210"/>
      <c r="Y1193" s="210"/>
      <c r="Z1193" s="210"/>
      <c r="AA1193" s="210"/>
      <c r="AB1193" s="210"/>
      <c r="AC1193" s="210"/>
      <c r="AD1193" s="210"/>
      <c r="AE1193" s="210"/>
      <c r="AF1193" s="210"/>
      <c r="AG1193" s="210"/>
      <c r="AH1193" s="210"/>
      <c r="AI1193" s="210"/>
      <c r="AJ1193" s="210"/>
      <c r="AK1193" s="210"/>
      <c r="AL1193" s="210"/>
      <c r="AM1193" s="214"/>
      <c r="AN1193" s="210"/>
      <c r="AO1193" s="210"/>
      <c r="AP1193" s="210"/>
      <c r="AQ1193" s="210"/>
      <c r="AR1193" s="210"/>
      <c r="AS1193" s="210"/>
      <c r="AT1193" s="210"/>
      <c r="AU1193" s="210"/>
      <c r="AV1193" s="210"/>
      <c r="AW1193" s="210"/>
      <c r="AX1193" s="210"/>
      <c r="AY1193" s="210"/>
      <c r="AZ1193" s="210"/>
      <c r="BA1193" s="210"/>
      <c r="BB1193" s="210"/>
      <c r="BC1193" s="210"/>
      <c r="BD1193" s="210"/>
      <c r="BE1193" s="210"/>
      <c r="BF1193" s="210"/>
      <c r="BG1193" s="210"/>
      <c r="BH1193" s="210"/>
      <c r="BI1193" s="210"/>
      <c r="BJ1193" s="210"/>
      <c r="BK1193" s="210"/>
      <c r="BL1193" s="210"/>
      <c r="BM1193" s="210"/>
      <c r="BN1193" s="210"/>
      <c r="BO1193" s="210"/>
      <c r="BP1193" s="210"/>
      <c r="BQ1193" s="210"/>
      <c r="BR1193" s="210"/>
      <c r="BS1193" s="210"/>
      <c r="BT1193" s="210"/>
      <c r="BU1193" s="210"/>
      <c r="BV1193" s="210"/>
      <c r="BW1193" s="210"/>
      <c r="BX1193" s="210"/>
      <c r="BY1193" s="210"/>
      <c r="BZ1193" s="210"/>
      <c r="CA1193" s="210"/>
      <c r="CB1193" s="210"/>
      <c r="CC1193" s="210"/>
      <c r="CD1193" s="210"/>
      <c r="CE1193" s="210"/>
      <c r="CF1193" s="210"/>
      <c r="CG1193" s="210"/>
      <c r="CH1193" s="210"/>
      <c r="CI1193" s="210"/>
      <c r="CJ1193" s="210"/>
      <c r="CK1193" s="210"/>
    </row>
    <row r="1194">
      <c r="A1194" s="220"/>
      <c r="F1194" s="190"/>
      <c r="G1194" s="190"/>
      <c r="L1194" s="220"/>
      <c r="M1194" s="220"/>
      <c r="O1194" s="210"/>
      <c r="P1194" s="210"/>
      <c r="Q1194" s="210"/>
      <c r="R1194" s="210"/>
      <c r="S1194" s="210"/>
      <c r="T1194" s="210"/>
      <c r="U1194" s="210"/>
      <c r="V1194" s="210"/>
      <c r="W1194" s="210"/>
      <c r="X1194" s="210"/>
      <c r="Y1194" s="210"/>
      <c r="Z1194" s="210"/>
      <c r="AA1194" s="210"/>
      <c r="AB1194" s="210"/>
      <c r="AC1194" s="210"/>
      <c r="AD1194" s="210"/>
      <c r="AE1194" s="210"/>
      <c r="AF1194" s="210"/>
      <c r="AG1194" s="210"/>
      <c r="AH1194" s="210"/>
      <c r="AI1194" s="210"/>
      <c r="AJ1194" s="210"/>
      <c r="AK1194" s="210"/>
      <c r="AL1194" s="210"/>
      <c r="AM1194" s="214"/>
      <c r="AN1194" s="210"/>
      <c r="AO1194" s="210"/>
      <c r="AP1194" s="210"/>
      <c r="AQ1194" s="210"/>
      <c r="AR1194" s="210"/>
      <c r="AS1194" s="210"/>
      <c r="AT1194" s="210"/>
      <c r="AU1194" s="210"/>
      <c r="AV1194" s="210"/>
      <c r="AW1194" s="210"/>
      <c r="AX1194" s="210"/>
      <c r="AY1194" s="210"/>
      <c r="AZ1194" s="210"/>
      <c r="BA1194" s="210"/>
      <c r="BB1194" s="210"/>
      <c r="BC1194" s="210"/>
      <c r="BD1194" s="210"/>
      <c r="BE1194" s="210"/>
      <c r="BF1194" s="210"/>
      <c r="BG1194" s="210"/>
      <c r="BH1194" s="210"/>
      <c r="BI1194" s="210"/>
      <c r="BJ1194" s="210"/>
      <c r="BK1194" s="210"/>
      <c r="BL1194" s="210"/>
      <c r="BM1194" s="210"/>
      <c r="BN1194" s="210"/>
      <c r="BO1194" s="210"/>
      <c r="BP1194" s="210"/>
      <c r="BQ1194" s="210"/>
      <c r="BR1194" s="210"/>
      <c r="BS1194" s="210"/>
      <c r="BT1194" s="210"/>
      <c r="BU1194" s="210"/>
      <c r="BV1194" s="210"/>
      <c r="BW1194" s="210"/>
      <c r="BX1194" s="210"/>
      <c r="BY1194" s="210"/>
      <c r="BZ1194" s="210"/>
      <c r="CA1194" s="210"/>
      <c r="CB1194" s="210"/>
      <c r="CC1194" s="210"/>
      <c r="CD1194" s="210"/>
      <c r="CE1194" s="210"/>
      <c r="CF1194" s="210"/>
      <c r="CG1194" s="210"/>
      <c r="CH1194" s="210"/>
      <c r="CI1194" s="210"/>
      <c r="CJ1194" s="210"/>
      <c r="CK1194" s="210"/>
    </row>
    <row r="1195">
      <c r="A1195" s="220"/>
      <c r="F1195" s="190"/>
      <c r="G1195" s="190"/>
      <c r="L1195" s="220"/>
      <c r="M1195" s="220"/>
      <c r="O1195" s="210"/>
      <c r="P1195" s="210"/>
      <c r="Q1195" s="210"/>
      <c r="R1195" s="210"/>
      <c r="S1195" s="210"/>
      <c r="T1195" s="210"/>
      <c r="U1195" s="210"/>
      <c r="V1195" s="210"/>
      <c r="W1195" s="210"/>
      <c r="X1195" s="210"/>
      <c r="Y1195" s="210"/>
      <c r="Z1195" s="210"/>
      <c r="AA1195" s="210"/>
      <c r="AB1195" s="210"/>
      <c r="AC1195" s="210"/>
      <c r="AD1195" s="210"/>
      <c r="AE1195" s="210"/>
      <c r="AF1195" s="210"/>
      <c r="AG1195" s="210"/>
      <c r="AH1195" s="210"/>
      <c r="AI1195" s="210"/>
      <c r="AJ1195" s="210"/>
      <c r="AK1195" s="210"/>
      <c r="AL1195" s="210"/>
      <c r="AM1195" s="214"/>
      <c r="AN1195" s="210"/>
      <c r="AO1195" s="210"/>
      <c r="AP1195" s="210"/>
      <c r="AQ1195" s="210"/>
      <c r="AR1195" s="210"/>
      <c r="AS1195" s="210"/>
      <c r="AT1195" s="210"/>
      <c r="AU1195" s="210"/>
      <c r="AV1195" s="210"/>
      <c r="AW1195" s="210"/>
      <c r="AX1195" s="210"/>
      <c r="AY1195" s="210"/>
      <c r="AZ1195" s="210"/>
      <c r="BA1195" s="210"/>
      <c r="BB1195" s="210"/>
      <c r="BC1195" s="210"/>
      <c r="BD1195" s="210"/>
      <c r="BE1195" s="210"/>
      <c r="BF1195" s="210"/>
      <c r="BG1195" s="210"/>
      <c r="BH1195" s="210"/>
      <c r="BI1195" s="210"/>
      <c r="BJ1195" s="210"/>
      <c r="BK1195" s="210"/>
      <c r="BL1195" s="210"/>
      <c r="BM1195" s="210"/>
      <c r="BN1195" s="210"/>
      <c r="BO1195" s="210"/>
      <c r="BP1195" s="210"/>
      <c r="BQ1195" s="210"/>
      <c r="BR1195" s="210"/>
      <c r="BS1195" s="210"/>
      <c r="BT1195" s="210"/>
      <c r="BU1195" s="210"/>
      <c r="BV1195" s="210"/>
      <c r="BW1195" s="210"/>
      <c r="BX1195" s="210"/>
      <c r="BY1195" s="210"/>
      <c r="BZ1195" s="210"/>
      <c r="CA1195" s="210"/>
      <c r="CB1195" s="210"/>
      <c r="CC1195" s="210"/>
      <c r="CD1195" s="210"/>
      <c r="CE1195" s="210"/>
      <c r="CF1195" s="210"/>
      <c r="CG1195" s="210"/>
      <c r="CH1195" s="210"/>
      <c r="CI1195" s="210"/>
      <c r="CJ1195" s="210"/>
      <c r="CK1195" s="210"/>
    </row>
    <row r="1196">
      <c r="A1196" s="220"/>
      <c r="F1196" s="190"/>
      <c r="G1196" s="190"/>
      <c r="L1196" s="220"/>
      <c r="M1196" s="220"/>
      <c r="O1196" s="210"/>
      <c r="P1196" s="210"/>
      <c r="Q1196" s="210"/>
      <c r="R1196" s="210"/>
      <c r="S1196" s="210"/>
      <c r="T1196" s="210"/>
      <c r="U1196" s="210"/>
      <c r="V1196" s="210"/>
      <c r="W1196" s="210"/>
      <c r="X1196" s="210"/>
      <c r="Y1196" s="210"/>
      <c r="Z1196" s="210"/>
      <c r="AA1196" s="210"/>
      <c r="AB1196" s="210"/>
      <c r="AC1196" s="210"/>
      <c r="AD1196" s="210"/>
      <c r="AE1196" s="210"/>
      <c r="AF1196" s="210"/>
      <c r="AG1196" s="210"/>
      <c r="AH1196" s="210"/>
      <c r="AI1196" s="210"/>
      <c r="AJ1196" s="210"/>
      <c r="AK1196" s="210"/>
      <c r="AL1196" s="210"/>
      <c r="AM1196" s="214"/>
      <c r="AN1196" s="210"/>
      <c r="AO1196" s="210"/>
      <c r="AP1196" s="210"/>
      <c r="AQ1196" s="210"/>
      <c r="AR1196" s="210"/>
      <c r="AS1196" s="210"/>
      <c r="AT1196" s="210"/>
      <c r="AU1196" s="210"/>
      <c r="AV1196" s="210"/>
      <c r="AW1196" s="210"/>
      <c r="AX1196" s="210"/>
      <c r="AY1196" s="210"/>
      <c r="AZ1196" s="210"/>
      <c r="BA1196" s="210"/>
      <c r="BB1196" s="210"/>
      <c r="BC1196" s="210"/>
      <c r="BD1196" s="210"/>
      <c r="BE1196" s="210"/>
      <c r="BF1196" s="210"/>
      <c r="BG1196" s="210"/>
      <c r="BH1196" s="210"/>
      <c r="BI1196" s="210"/>
      <c r="BJ1196" s="210"/>
      <c r="BK1196" s="210"/>
      <c r="BL1196" s="210"/>
      <c r="BM1196" s="210"/>
      <c r="BN1196" s="210"/>
      <c r="BO1196" s="210"/>
      <c r="BP1196" s="210"/>
      <c r="BQ1196" s="210"/>
      <c r="BR1196" s="210"/>
      <c r="BS1196" s="210"/>
      <c r="BT1196" s="210"/>
      <c r="BU1196" s="210"/>
      <c r="BV1196" s="210"/>
      <c r="BW1196" s="210"/>
      <c r="BX1196" s="210"/>
      <c r="BY1196" s="210"/>
      <c r="BZ1196" s="210"/>
      <c r="CA1196" s="210"/>
      <c r="CB1196" s="210"/>
      <c r="CC1196" s="210"/>
      <c r="CD1196" s="210"/>
      <c r="CE1196" s="210"/>
      <c r="CF1196" s="210"/>
      <c r="CG1196" s="210"/>
      <c r="CH1196" s="210"/>
      <c r="CI1196" s="210"/>
      <c r="CJ1196" s="210"/>
      <c r="CK1196" s="210"/>
    </row>
    <row r="1197">
      <c r="A1197" s="220"/>
      <c r="F1197" s="190"/>
      <c r="G1197" s="190"/>
      <c r="L1197" s="220"/>
      <c r="M1197" s="220"/>
      <c r="O1197" s="210"/>
      <c r="P1197" s="210"/>
      <c r="Q1197" s="210"/>
      <c r="R1197" s="210"/>
      <c r="S1197" s="210"/>
      <c r="T1197" s="210"/>
      <c r="U1197" s="210"/>
      <c r="V1197" s="210"/>
      <c r="W1197" s="210"/>
      <c r="X1197" s="210"/>
      <c r="Y1197" s="210"/>
      <c r="Z1197" s="210"/>
      <c r="AA1197" s="210"/>
      <c r="AB1197" s="210"/>
      <c r="AC1197" s="210"/>
      <c r="AD1197" s="210"/>
      <c r="AE1197" s="210"/>
      <c r="AF1197" s="210"/>
      <c r="AG1197" s="210"/>
      <c r="AH1197" s="210"/>
      <c r="AI1197" s="210"/>
      <c r="AJ1197" s="210"/>
      <c r="AK1197" s="210"/>
      <c r="AL1197" s="210"/>
      <c r="AM1197" s="214"/>
      <c r="AN1197" s="210"/>
      <c r="AO1197" s="210"/>
      <c r="AP1197" s="210"/>
      <c r="AQ1197" s="210"/>
      <c r="AR1197" s="210"/>
      <c r="AS1197" s="210"/>
      <c r="AT1197" s="210"/>
      <c r="AU1197" s="210"/>
      <c r="AV1197" s="210"/>
      <c r="AW1197" s="210"/>
      <c r="AX1197" s="210"/>
      <c r="AY1197" s="210"/>
      <c r="AZ1197" s="210"/>
      <c r="BA1197" s="210"/>
      <c r="BB1197" s="210"/>
      <c r="BC1197" s="210"/>
      <c r="BD1197" s="210"/>
      <c r="BE1197" s="210"/>
      <c r="BF1197" s="210"/>
      <c r="BG1197" s="210"/>
      <c r="BH1197" s="210"/>
      <c r="BI1197" s="210"/>
      <c r="BJ1197" s="210"/>
      <c r="BK1197" s="210"/>
      <c r="BL1197" s="210"/>
      <c r="BM1197" s="210"/>
      <c r="BN1197" s="210"/>
      <c r="BO1197" s="210"/>
      <c r="BP1197" s="210"/>
      <c r="BQ1197" s="210"/>
      <c r="BR1197" s="210"/>
      <c r="BS1197" s="210"/>
      <c r="BT1197" s="210"/>
      <c r="BU1197" s="210"/>
      <c r="BV1197" s="210"/>
      <c r="BW1197" s="210"/>
      <c r="BX1197" s="210"/>
      <c r="BY1197" s="210"/>
      <c r="BZ1197" s="210"/>
      <c r="CA1197" s="210"/>
      <c r="CB1197" s="210"/>
      <c r="CC1197" s="210"/>
      <c r="CD1197" s="210"/>
      <c r="CE1197" s="210"/>
      <c r="CF1197" s="210"/>
      <c r="CG1197" s="210"/>
      <c r="CH1197" s="210"/>
      <c r="CI1197" s="210"/>
      <c r="CJ1197" s="210"/>
      <c r="CK1197" s="210"/>
    </row>
    <row r="1198">
      <c r="A1198" s="220"/>
      <c r="F1198" s="190"/>
      <c r="G1198" s="190"/>
      <c r="L1198" s="220"/>
      <c r="M1198" s="220"/>
      <c r="O1198" s="210"/>
      <c r="P1198" s="210"/>
      <c r="Q1198" s="210"/>
      <c r="R1198" s="210"/>
      <c r="S1198" s="210"/>
      <c r="T1198" s="210"/>
      <c r="U1198" s="210"/>
      <c r="V1198" s="210"/>
      <c r="W1198" s="210"/>
      <c r="X1198" s="210"/>
      <c r="Y1198" s="210"/>
      <c r="Z1198" s="210"/>
      <c r="AA1198" s="210"/>
      <c r="AB1198" s="210"/>
      <c r="AC1198" s="210"/>
      <c r="AD1198" s="210"/>
      <c r="AE1198" s="210"/>
      <c r="AF1198" s="210"/>
      <c r="AG1198" s="210"/>
      <c r="AH1198" s="210"/>
      <c r="AI1198" s="210"/>
      <c r="AJ1198" s="210"/>
      <c r="AK1198" s="210"/>
      <c r="AL1198" s="210"/>
      <c r="AM1198" s="214"/>
      <c r="AN1198" s="210"/>
      <c r="AO1198" s="210"/>
      <c r="AP1198" s="210"/>
      <c r="AQ1198" s="210"/>
      <c r="AR1198" s="210"/>
      <c r="AS1198" s="210"/>
      <c r="AT1198" s="210"/>
      <c r="AU1198" s="210"/>
      <c r="AV1198" s="210"/>
      <c r="AW1198" s="210"/>
      <c r="AX1198" s="210"/>
      <c r="AY1198" s="210"/>
      <c r="AZ1198" s="210"/>
      <c r="BA1198" s="210"/>
      <c r="BB1198" s="210"/>
      <c r="BC1198" s="210"/>
      <c r="BD1198" s="210"/>
      <c r="BE1198" s="210"/>
      <c r="BF1198" s="210"/>
      <c r="BG1198" s="210"/>
      <c r="BH1198" s="210"/>
      <c r="BI1198" s="210"/>
      <c r="BJ1198" s="210"/>
      <c r="BK1198" s="210"/>
      <c r="BL1198" s="210"/>
      <c r="BM1198" s="210"/>
      <c r="BN1198" s="210"/>
      <c r="BO1198" s="210"/>
      <c r="BP1198" s="210"/>
      <c r="BQ1198" s="210"/>
      <c r="BR1198" s="210"/>
      <c r="BS1198" s="210"/>
      <c r="BT1198" s="210"/>
      <c r="BU1198" s="210"/>
      <c r="BV1198" s="210"/>
      <c r="BW1198" s="210"/>
      <c r="BX1198" s="210"/>
      <c r="BY1198" s="210"/>
      <c r="BZ1198" s="210"/>
      <c r="CA1198" s="210"/>
      <c r="CB1198" s="210"/>
      <c r="CC1198" s="210"/>
      <c r="CD1198" s="210"/>
      <c r="CE1198" s="210"/>
      <c r="CF1198" s="210"/>
      <c r="CG1198" s="210"/>
      <c r="CH1198" s="210"/>
      <c r="CI1198" s="210"/>
      <c r="CJ1198" s="210"/>
      <c r="CK1198" s="210"/>
    </row>
    <row r="1199">
      <c r="A1199" s="220"/>
      <c r="F1199" s="190"/>
      <c r="G1199" s="190"/>
      <c r="L1199" s="220"/>
      <c r="M1199" s="220"/>
      <c r="O1199" s="210"/>
      <c r="P1199" s="210"/>
      <c r="Q1199" s="210"/>
      <c r="R1199" s="210"/>
      <c r="S1199" s="210"/>
      <c r="T1199" s="210"/>
      <c r="U1199" s="210"/>
      <c r="V1199" s="210"/>
      <c r="W1199" s="210"/>
      <c r="X1199" s="210"/>
      <c r="Y1199" s="210"/>
      <c r="Z1199" s="210"/>
      <c r="AA1199" s="210"/>
      <c r="AB1199" s="210"/>
      <c r="AC1199" s="210"/>
      <c r="AD1199" s="210"/>
      <c r="AE1199" s="210"/>
      <c r="AF1199" s="210"/>
      <c r="AG1199" s="210"/>
      <c r="AH1199" s="210"/>
      <c r="AI1199" s="210"/>
      <c r="AJ1199" s="210"/>
      <c r="AK1199" s="210"/>
      <c r="AL1199" s="210"/>
      <c r="AM1199" s="214"/>
      <c r="AN1199" s="210"/>
      <c r="AO1199" s="210"/>
      <c r="AP1199" s="210"/>
      <c r="AQ1199" s="210"/>
      <c r="AR1199" s="210"/>
      <c r="AS1199" s="210"/>
      <c r="AT1199" s="210"/>
      <c r="AU1199" s="210"/>
      <c r="AV1199" s="210"/>
      <c r="AW1199" s="210"/>
      <c r="AX1199" s="210"/>
      <c r="AY1199" s="210"/>
      <c r="AZ1199" s="210"/>
      <c r="BA1199" s="210"/>
      <c r="BB1199" s="210"/>
      <c r="BC1199" s="210"/>
      <c r="BD1199" s="210"/>
      <c r="BE1199" s="210"/>
      <c r="BF1199" s="210"/>
      <c r="BG1199" s="210"/>
      <c r="BH1199" s="210"/>
      <c r="BI1199" s="210"/>
      <c r="BJ1199" s="210"/>
      <c r="BK1199" s="210"/>
      <c r="BL1199" s="210"/>
      <c r="BM1199" s="210"/>
      <c r="BN1199" s="210"/>
      <c r="BO1199" s="210"/>
      <c r="BP1199" s="210"/>
      <c r="BQ1199" s="210"/>
      <c r="BR1199" s="210"/>
      <c r="BS1199" s="210"/>
      <c r="BT1199" s="210"/>
      <c r="BU1199" s="210"/>
      <c r="BV1199" s="210"/>
      <c r="BW1199" s="210"/>
      <c r="BX1199" s="210"/>
      <c r="BY1199" s="210"/>
      <c r="BZ1199" s="210"/>
      <c r="CA1199" s="210"/>
      <c r="CB1199" s="210"/>
      <c r="CC1199" s="210"/>
      <c r="CD1199" s="210"/>
      <c r="CE1199" s="210"/>
      <c r="CF1199" s="210"/>
      <c r="CG1199" s="210"/>
      <c r="CH1199" s="210"/>
      <c r="CI1199" s="210"/>
      <c r="CJ1199" s="210"/>
      <c r="CK1199" s="210"/>
    </row>
    <row r="1200">
      <c r="A1200" s="220"/>
      <c r="F1200" s="190"/>
      <c r="G1200" s="190"/>
      <c r="L1200" s="220"/>
      <c r="M1200" s="220"/>
      <c r="O1200" s="210"/>
      <c r="P1200" s="210"/>
      <c r="Q1200" s="210"/>
      <c r="R1200" s="210"/>
      <c r="S1200" s="210"/>
      <c r="T1200" s="210"/>
      <c r="U1200" s="210"/>
      <c r="V1200" s="210"/>
      <c r="W1200" s="210"/>
      <c r="X1200" s="210"/>
      <c r="Y1200" s="210"/>
      <c r="Z1200" s="210"/>
      <c r="AA1200" s="210"/>
      <c r="AB1200" s="210"/>
      <c r="AC1200" s="210"/>
      <c r="AD1200" s="210"/>
      <c r="AE1200" s="210"/>
      <c r="AF1200" s="210"/>
      <c r="AG1200" s="210"/>
      <c r="AH1200" s="210"/>
      <c r="AI1200" s="210"/>
      <c r="AJ1200" s="210"/>
      <c r="AK1200" s="210"/>
      <c r="AL1200" s="210"/>
      <c r="AM1200" s="214"/>
      <c r="AN1200" s="210"/>
      <c r="AO1200" s="210"/>
      <c r="AP1200" s="210"/>
      <c r="AQ1200" s="210"/>
      <c r="AR1200" s="210"/>
      <c r="AS1200" s="210"/>
      <c r="AT1200" s="210"/>
      <c r="AU1200" s="210"/>
      <c r="AV1200" s="210"/>
      <c r="AW1200" s="210"/>
      <c r="AX1200" s="210"/>
      <c r="AY1200" s="210"/>
      <c r="AZ1200" s="210"/>
      <c r="BA1200" s="210"/>
      <c r="BB1200" s="210"/>
      <c r="BC1200" s="210"/>
      <c r="BD1200" s="210"/>
      <c r="BE1200" s="210"/>
      <c r="BF1200" s="210"/>
      <c r="BG1200" s="210"/>
      <c r="BH1200" s="210"/>
      <c r="BI1200" s="210"/>
      <c r="BJ1200" s="210"/>
      <c r="BK1200" s="210"/>
      <c r="BL1200" s="210"/>
      <c r="BM1200" s="210"/>
      <c r="BN1200" s="210"/>
      <c r="BO1200" s="210"/>
      <c r="BP1200" s="210"/>
      <c r="BQ1200" s="210"/>
      <c r="BR1200" s="210"/>
      <c r="BS1200" s="210"/>
      <c r="BT1200" s="210"/>
      <c r="BU1200" s="210"/>
      <c r="BV1200" s="210"/>
      <c r="BW1200" s="210"/>
      <c r="BX1200" s="210"/>
      <c r="BY1200" s="210"/>
      <c r="BZ1200" s="210"/>
      <c r="CA1200" s="210"/>
      <c r="CB1200" s="210"/>
      <c r="CC1200" s="210"/>
      <c r="CD1200" s="210"/>
      <c r="CE1200" s="210"/>
      <c r="CF1200" s="210"/>
      <c r="CG1200" s="210"/>
      <c r="CH1200" s="210"/>
      <c r="CI1200" s="210"/>
      <c r="CJ1200" s="210"/>
      <c r="CK1200" s="210"/>
    </row>
    <row r="1201">
      <c r="A1201" s="220"/>
      <c r="F1201" s="190"/>
      <c r="G1201" s="190"/>
      <c r="L1201" s="220"/>
      <c r="M1201" s="220"/>
      <c r="O1201" s="210"/>
      <c r="P1201" s="210"/>
      <c r="Q1201" s="210"/>
      <c r="R1201" s="210"/>
      <c r="S1201" s="210"/>
      <c r="T1201" s="210"/>
      <c r="U1201" s="210"/>
      <c r="V1201" s="210"/>
      <c r="W1201" s="210"/>
      <c r="X1201" s="210"/>
      <c r="Y1201" s="210"/>
      <c r="Z1201" s="210"/>
      <c r="AA1201" s="210"/>
      <c r="AB1201" s="210"/>
      <c r="AC1201" s="210"/>
      <c r="AD1201" s="210"/>
      <c r="AE1201" s="210"/>
      <c r="AF1201" s="210"/>
      <c r="AG1201" s="210"/>
      <c r="AH1201" s="210"/>
      <c r="AI1201" s="210"/>
      <c r="AJ1201" s="210"/>
      <c r="AK1201" s="210"/>
      <c r="AL1201" s="210"/>
      <c r="AM1201" s="214"/>
      <c r="AN1201" s="210"/>
      <c r="AO1201" s="210"/>
      <c r="AP1201" s="210"/>
      <c r="AQ1201" s="210"/>
      <c r="AR1201" s="210"/>
      <c r="AS1201" s="210"/>
      <c r="AT1201" s="210"/>
      <c r="AU1201" s="210"/>
      <c r="AV1201" s="210"/>
      <c r="AW1201" s="210"/>
      <c r="AX1201" s="210"/>
      <c r="AY1201" s="210"/>
      <c r="AZ1201" s="210"/>
      <c r="BA1201" s="210"/>
      <c r="BB1201" s="210"/>
      <c r="BC1201" s="210"/>
      <c r="BD1201" s="210"/>
      <c r="BE1201" s="210"/>
      <c r="BF1201" s="210"/>
      <c r="BG1201" s="210"/>
      <c r="BH1201" s="210"/>
      <c r="BI1201" s="210"/>
      <c r="BJ1201" s="210"/>
      <c r="BK1201" s="210"/>
      <c r="BL1201" s="210"/>
      <c r="BM1201" s="210"/>
      <c r="BN1201" s="210"/>
      <c r="BO1201" s="210"/>
      <c r="BP1201" s="210"/>
      <c r="BQ1201" s="210"/>
      <c r="BR1201" s="210"/>
      <c r="BS1201" s="210"/>
      <c r="BT1201" s="210"/>
      <c r="BU1201" s="210"/>
      <c r="BV1201" s="210"/>
      <c r="BW1201" s="210"/>
      <c r="BX1201" s="210"/>
      <c r="BY1201" s="210"/>
      <c r="BZ1201" s="210"/>
      <c r="CA1201" s="210"/>
      <c r="CB1201" s="210"/>
      <c r="CC1201" s="210"/>
      <c r="CD1201" s="210"/>
      <c r="CE1201" s="210"/>
      <c r="CF1201" s="210"/>
      <c r="CG1201" s="210"/>
      <c r="CH1201" s="210"/>
      <c r="CI1201" s="210"/>
      <c r="CJ1201" s="210"/>
      <c r="CK1201" s="210"/>
    </row>
    <row r="1202">
      <c r="A1202" s="220"/>
      <c r="F1202" s="190"/>
      <c r="G1202" s="190"/>
      <c r="L1202" s="220"/>
      <c r="M1202" s="220"/>
      <c r="O1202" s="210"/>
      <c r="P1202" s="210"/>
      <c r="Q1202" s="210"/>
      <c r="R1202" s="210"/>
      <c r="S1202" s="210"/>
      <c r="T1202" s="210"/>
      <c r="U1202" s="210"/>
      <c r="V1202" s="210"/>
      <c r="W1202" s="210"/>
      <c r="X1202" s="210"/>
      <c r="Y1202" s="210"/>
      <c r="Z1202" s="210"/>
      <c r="AA1202" s="210"/>
      <c r="AB1202" s="210"/>
      <c r="AC1202" s="210"/>
      <c r="AD1202" s="210"/>
      <c r="AE1202" s="210"/>
      <c r="AF1202" s="210"/>
      <c r="AG1202" s="210"/>
      <c r="AH1202" s="210"/>
      <c r="AI1202" s="210"/>
      <c r="AJ1202" s="210"/>
      <c r="AK1202" s="210"/>
      <c r="AL1202" s="210"/>
      <c r="AM1202" s="214"/>
      <c r="AN1202" s="210"/>
      <c r="AO1202" s="210"/>
      <c r="AP1202" s="210"/>
      <c r="AQ1202" s="210"/>
      <c r="AR1202" s="210"/>
      <c r="AS1202" s="210"/>
      <c r="AT1202" s="210"/>
      <c r="AU1202" s="210"/>
      <c r="AV1202" s="210"/>
      <c r="AW1202" s="210"/>
      <c r="AX1202" s="210"/>
      <c r="AY1202" s="210"/>
      <c r="AZ1202" s="210"/>
      <c r="BA1202" s="210"/>
      <c r="BB1202" s="210"/>
      <c r="BC1202" s="210"/>
      <c r="BD1202" s="210"/>
      <c r="BE1202" s="210"/>
      <c r="BF1202" s="210"/>
      <c r="BG1202" s="210"/>
      <c r="BH1202" s="210"/>
      <c r="BI1202" s="210"/>
      <c r="BJ1202" s="210"/>
      <c r="BK1202" s="210"/>
      <c r="BL1202" s="210"/>
      <c r="BM1202" s="210"/>
      <c r="BN1202" s="210"/>
      <c r="BO1202" s="210"/>
      <c r="BP1202" s="210"/>
      <c r="BQ1202" s="210"/>
      <c r="BR1202" s="210"/>
      <c r="BS1202" s="210"/>
      <c r="BT1202" s="210"/>
      <c r="BU1202" s="210"/>
      <c r="BV1202" s="210"/>
      <c r="BW1202" s="210"/>
      <c r="BX1202" s="210"/>
      <c r="BY1202" s="210"/>
      <c r="BZ1202" s="210"/>
      <c r="CA1202" s="210"/>
      <c r="CB1202" s="210"/>
      <c r="CC1202" s="210"/>
      <c r="CD1202" s="210"/>
      <c r="CE1202" s="210"/>
      <c r="CF1202" s="210"/>
      <c r="CG1202" s="210"/>
      <c r="CH1202" s="210"/>
      <c r="CI1202" s="210"/>
      <c r="CJ1202" s="210"/>
      <c r="CK1202" s="210"/>
    </row>
    <row r="1203">
      <c r="A1203" s="220"/>
      <c r="F1203" s="190"/>
      <c r="G1203" s="190"/>
      <c r="L1203" s="220"/>
      <c r="M1203" s="220"/>
      <c r="O1203" s="210"/>
      <c r="P1203" s="210"/>
      <c r="Q1203" s="210"/>
      <c r="R1203" s="210"/>
      <c r="S1203" s="210"/>
      <c r="T1203" s="210"/>
      <c r="U1203" s="210"/>
      <c r="V1203" s="210"/>
      <c r="W1203" s="210"/>
      <c r="X1203" s="210"/>
      <c r="Y1203" s="210"/>
      <c r="Z1203" s="210"/>
      <c r="AA1203" s="210"/>
      <c r="AB1203" s="210"/>
      <c r="AC1203" s="210"/>
      <c r="AD1203" s="210"/>
      <c r="AE1203" s="210"/>
      <c r="AF1203" s="210"/>
      <c r="AG1203" s="210"/>
      <c r="AH1203" s="210"/>
      <c r="AI1203" s="210"/>
      <c r="AJ1203" s="210"/>
      <c r="AK1203" s="210"/>
      <c r="AL1203" s="210"/>
      <c r="AM1203" s="214"/>
      <c r="AN1203" s="210"/>
      <c r="AO1203" s="210"/>
      <c r="AP1203" s="210"/>
      <c r="AQ1203" s="210"/>
      <c r="AR1203" s="210"/>
      <c r="AS1203" s="210"/>
      <c r="AT1203" s="210"/>
      <c r="AU1203" s="210"/>
      <c r="AV1203" s="210"/>
      <c r="AW1203" s="210"/>
      <c r="AX1203" s="210"/>
      <c r="AY1203" s="210"/>
      <c r="AZ1203" s="210"/>
      <c r="BA1203" s="210"/>
      <c r="BB1203" s="210"/>
      <c r="BC1203" s="210"/>
      <c r="BD1203" s="210"/>
      <c r="BE1203" s="210"/>
      <c r="BF1203" s="210"/>
      <c r="BG1203" s="210"/>
      <c r="BH1203" s="210"/>
      <c r="BI1203" s="210"/>
      <c r="BJ1203" s="210"/>
      <c r="BK1203" s="210"/>
      <c r="BL1203" s="210"/>
      <c r="BM1203" s="210"/>
      <c r="BN1203" s="210"/>
      <c r="BO1203" s="210"/>
      <c r="BP1203" s="210"/>
      <c r="BQ1203" s="210"/>
      <c r="BR1203" s="210"/>
      <c r="BS1203" s="210"/>
      <c r="BT1203" s="210"/>
      <c r="BU1203" s="210"/>
      <c r="BV1203" s="210"/>
      <c r="BW1203" s="210"/>
      <c r="BX1203" s="210"/>
      <c r="BY1203" s="210"/>
      <c r="BZ1203" s="210"/>
      <c r="CA1203" s="210"/>
      <c r="CB1203" s="210"/>
      <c r="CC1203" s="210"/>
      <c r="CD1203" s="210"/>
      <c r="CE1203" s="210"/>
      <c r="CF1203" s="210"/>
      <c r="CG1203" s="210"/>
      <c r="CH1203" s="210"/>
      <c r="CI1203" s="210"/>
      <c r="CJ1203" s="210"/>
      <c r="CK1203" s="210"/>
    </row>
    <row r="1204">
      <c r="A1204" s="220"/>
      <c r="F1204" s="190"/>
      <c r="G1204" s="190"/>
      <c r="L1204" s="220"/>
      <c r="M1204" s="220"/>
      <c r="O1204" s="210"/>
      <c r="P1204" s="210"/>
      <c r="Q1204" s="210"/>
      <c r="R1204" s="210"/>
      <c r="S1204" s="210"/>
      <c r="T1204" s="210"/>
      <c r="U1204" s="210"/>
      <c r="V1204" s="210"/>
      <c r="W1204" s="210"/>
      <c r="X1204" s="210"/>
      <c r="Y1204" s="210"/>
      <c r="Z1204" s="210"/>
      <c r="AA1204" s="210"/>
      <c r="AB1204" s="210"/>
      <c r="AC1204" s="210"/>
      <c r="AD1204" s="210"/>
      <c r="AE1204" s="210"/>
      <c r="AF1204" s="210"/>
      <c r="AG1204" s="210"/>
      <c r="AH1204" s="210"/>
      <c r="AI1204" s="210"/>
      <c r="AJ1204" s="210"/>
      <c r="AK1204" s="210"/>
      <c r="AL1204" s="210"/>
      <c r="AM1204" s="214"/>
      <c r="AN1204" s="210"/>
      <c r="AO1204" s="210"/>
      <c r="AP1204" s="210"/>
      <c r="AQ1204" s="210"/>
      <c r="AR1204" s="210"/>
      <c r="AS1204" s="210"/>
      <c r="AT1204" s="210"/>
      <c r="AU1204" s="210"/>
      <c r="AV1204" s="210"/>
      <c r="AW1204" s="210"/>
      <c r="AX1204" s="210"/>
      <c r="AY1204" s="210"/>
      <c r="AZ1204" s="210"/>
      <c r="BA1204" s="210"/>
      <c r="BB1204" s="210"/>
      <c r="BC1204" s="210"/>
      <c r="BD1204" s="210"/>
      <c r="BE1204" s="210"/>
      <c r="BF1204" s="210"/>
      <c r="BG1204" s="210"/>
      <c r="BH1204" s="210"/>
      <c r="BI1204" s="210"/>
      <c r="BJ1204" s="210"/>
      <c r="BK1204" s="210"/>
      <c r="BL1204" s="210"/>
      <c r="BM1204" s="210"/>
      <c r="BN1204" s="210"/>
      <c r="BO1204" s="210"/>
      <c r="BP1204" s="210"/>
      <c r="BQ1204" s="210"/>
      <c r="BR1204" s="210"/>
      <c r="BS1204" s="210"/>
      <c r="BT1204" s="210"/>
      <c r="BU1204" s="210"/>
      <c r="BV1204" s="210"/>
      <c r="BW1204" s="210"/>
      <c r="BX1204" s="210"/>
      <c r="BY1204" s="210"/>
      <c r="BZ1204" s="210"/>
      <c r="CA1204" s="210"/>
      <c r="CB1204" s="210"/>
      <c r="CC1204" s="210"/>
      <c r="CD1204" s="210"/>
      <c r="CE1204" s="210"/>
      <c r="CF1204" s="210"/>
      <c r="CG1204" s="210"/>
      <c r="CH1204" s="210"/>
      <c r="CI1204" s="210"/>
      <c r="CJ1204" s="210"/>
      <c r="CK1204" s="210"/>
    </row>
    <row r="1205">
      <c r="A1205" s="220"/>
      <c r="F1205" s="190"/>
      <c r="G1205" s="190"/>
      <c r="L1205" s="220"/>
      <c r="M1205" s="220"/>
      <c r="O1205" s="210"/>
      <c r="P1205" s="210"/>
      <c r="Q1205" s="210"/>
      <c r="R1205" s="210"/>
      <c r="S1205" s="210"/>
      <c r="T1205" s="210"/>
      <c r="U1205" s="210"/>
      <c r="V1205" s="210"/>
      <c r="W1205" s="210"/>
      <c r="X1205" s="210"/>
      <c r="Y1205" s="210"/>
      <c r="Z1205" s="210"/>
      <c r="AA1205" s="210"/>
      <c r="AB1205" s="210"/>
      <c r="AC1205" s="210"/>
      <c r="AD1205" s="210"/>
      <c r="AE1205" s="210"/>
      <c r="AF1205" s="210"/>
      <c r="AG1205" s="210"/>
      <c r="AH1205" s="210"/>
      <c r="AI1205" s="210"/>
      <c r="AJ1205" s="210"/>
      <c r="AK1205" s="210"/>
      <c r="AL1205" s="210"/>
      <c r="AM1205" s="214"/>
      <c r="AN1205" s="210"/>
      <c r="AO1205" s="210"/>
      <c r="AP1205" s="210"/>
      <c r="AQ1205" s="210"/>
      <c r="AR1205" s="210"/>
      <c r="AS1205" s="210"/>
      <c r="AT1205" s="210"/>
      <c r="AU1205" s="210"/>
      <c r="AV1205" s="210"/>
      <c r="AW1205" s="210"/>
      <c r="AX1205" s="210"/>
      <c r="AY1205" s="210"/>
      <c r="AZ1205" s="210"/>
      <c r="BA1205" s="210"/>
      <c r="BB1205" s="210"/>
      <c r="BC1205" s="210"/>
      <c r="BD1205" s="210"/>
      <c r="BE1205" s="210"/>
      <c r="BF1205" s="210"/>
      <c r="BG1205" s="210"/>
      <c r="BH1205" s="210"/>
      <c r="BI1205" s="210"/>
      <c r="BJ1205" s="210"/>
      <c r="BK1205" s="210"/>
      <c r="BL1205" s="210"/>
      <c r="BM1205" s="210"/>
      <c r="BN1205" s="210"/>
      <c r="BO1205" s="210"/>
      <c r="BP1205" s="210"/>
      <c r="BQ1205" s="210"/>
      <c r="BR1205" s="210"/>
      <c r="BS1205" s="210"/>
      <c r="BT1205" s="210"/>
      <c r="BU1205" s="210"/>
      <c r="BV1205" s="210"/>
      <c r="BW1205" s="210"/>
      <c r="BX1205" s="210"/>
      <c r="BY1205" s="210"/>
      <c r="BZ1205" s="210"/>
      <c r="CA1205" s="210"/>
      <c r="CB1205" s="210"/>
      <c r="CC1205" s="210"/>
      <c r="CD1205" s="210"/>
      <c r="CE1205" s="210"/>
      <c r="CF1205" s="210"/>
      <c r="CG1205" s="210"/>
      <c r="CH1205" s="210"/>
      <c r="CI1205" s="210"/>
      <c r="CJ1205" s="210"/>
      <c r="CK1205" s="210"/>
    </row>
    <row r="1206">
      <c r="A1206" s="220"/>
      <c r="F1206" s="190"/>
      <c r="G1206" s="190"/>
      <c r="L1206" s="220"/>
      <c r="M1206" s="220"/>
      <c r="O1206" s="210"/>
      <c r="P1206" s="210"/>
      <c r="Q1206" s="210"/>
      <c r="R1206" s="210"/>
      <c r="S1206" s="210"/>
      <c r="T1206" s="210"/>
      <c r="U1206" s="210"/>
      <c r="V1206" s="210"/>
      <c r="W1206" s="210"/>
      <c r="X1206" s="210"/>
      <c r="Y1206" s="210"/>
      <c r="Z1206" s="210"/>
      <c r="AA1206" s="210"/>
      <c r="AB1206" s="210"/>
      <c r="AC1206" s="210"/>
      <c r="AD1206" s="210"/>
      <c r="AE1206" s="210"/>
      <c r="AF1206" s="210"/>
      <c r="AG1206" s="210"/>
      <c r="AH1206" s="210"/>
      <c r="AI1206" s="210"/>
      <c r="AJ1206" s="210"/>
      <c r="AK1206" s="210"/>
      <c r="AL1206" s="210"/>
      <c r="AM1206" s="214"/>
      <c r="AN1206" s="210"/>
      <c r="AO1206" s="210"/>
      <c r="AP1206" s="210"/>
      <c r="AQ1206" s="210"/>
      <c r="AR1206" s="210"/>
      <c r="AS1206" s="210"/>
      <c r="AT1206" s="210"/>
      <c r="AU1206" s="210"/>
      <c r="AV1206" s="210"/>
      <c r="AW1206" s="210"/>
      <c r="AX1206" s="210"/>
      <c r="AY1206" s="210"/>
      <c r="AZ1206" s="210"/>
      <c r="BA1206" s="210"/>
      <c r="BB1206" s="210"/>
      <c r="BC1206" s="210"/>
      <c r="BD1206" s="210"/>
      <c r="BE1206" s="210"/>
      <c r="BF1206" s="210"/>
      <c r="BG1206" s="210"/>
      <c r="BH1206" s="210"/>
      <c r="BI1206" s="210"/>
      <c r="BJ1206" s="210"/>
      <c r="BK1206" s="210"/>
      <c r="BL1206" s="210"/>
      <c r="BM1206" s="210"/>
      <c r="BN1206" s="210"/>
      <c r="BO1206" s="210"/>
      <c r="BP1206" s="210"/>
      <c r="BQ1206" s="210"/>
      <c r="BR1206" s="210"/>
      <c r="BS1206" s="210"/>
      <c r="BT1206" s="210"/>
      <c r="BU1206" s="210"/>
      <c r="BV1206" s="210"/>
      <c r="BW1206" s="210"/>
      <c r="BX1206" s="210"/>
      <c r="BY1206" s="210"/>
      <c r="BZ1206" s="210"/>
      <c r="CA1206" s="210"/>
      <c r="CB1206" s="210"/>
      <c r="CC1206" s="210"/>
      <c r="CD1206" s="210"/>
      <c r="CE1206" s="210"/>
      <c r="CF1206" s="210"/>
      <c r="CG1206" s="210"/>
      <c r="CH1206" s="210"/>
      <c r="CI1206" s="210"/>
      <c r="CJ1206" s="210"/>
      <c r="CK1206" s="210"/>
    </row>
    <row r="1207">
      <c r="A1207" s="220"/>
      <c r="F1207" s="190"/>
      <c r="G1207" s="190"/>
      <c r="L1207" s="220"/>
      <c r="M1207" s="220"/>
      <c r="O1207" s="210"/>
      <c r="P1207" s="210"/>
      <c r="Q1207" s="210"/>
      <c r="R1207" s="210"/>
      <c r="S1207" s="210"/>
      <c r="T1207" s="210"/>
      <c r="U1207" s="210"/>
      <c r="V1207" s="210"/>
      <c r="W1207" s="210"/>
      <c r="X1207" s="210"/>
      <c r="Y1207" s="210"/>
      <c r="Z1207" s="210"/>
      <c r="AA1207" s="210"/>
      <c r="AB1207" s="210"/>
      <c r="AC1207" s="210"/>
      <c r="AD1207" s="210"/>
      <c r="AE1207" s="210"/>
      <c r="AF1207" s="210"/>
      <c r="AG1207" s="210"/>
      <c r="AH1207" s="210"/>
      <c r="AI1207" s="210"/>
      <c r="AJ1207" s="210"/>
      <c r="AK1207" s="210"/>
      <c r="AL1207" s="210"/>
      <c r="AM1207" s="214"/>
      <c r="AN1207" s="210"/>
      <c r="AO1207" s="210"/>
      <c r="AP1207" s="210"/>
      <c r="AQ1207" s="210"/>
      <c r="AR1207" s="210"/>
      <c r="AS1207" s="210"/>
      <c r="AT1207" s="210"/>
      <c r="AU1207" s="210"/>
      <c r="AV1207" s="210"/>
      <c r="AW1207" s="210"/>
      <c r="AX1207" s="210"/>
      <c r="AY1207" s="210"/>
      <c r="AZ1207" s="210"/>
      <c r="BA1207" s="210"/>
      <c r="BB1207" s="210"/>
      <c r="BC1207" s="210"/>
      <c r="BD1207" s="210"/>
      <c r="BE1207" s="210"/>
      <c r="BF1207" s="210"/>
      <c r="BG1207" s="210"/>
      <c r="BH1207" s="210"/>
      <c r="BI1207" s="210"/>
      <c r="BJ1207" s="210"/>
      <c r="BK1207" s="210"/>
      <c r="BL1207" s="210"/>
      <c r="BM1207" s="210"/>
      <c r="BN1207" s="210"/>
      <c r="BO1207" s="210"/>
      <c r="BP1207" s="210"/>
      <c r="BQ1207" s="210"/>
      <c r="BR1207" s="210"/>
      <c r="BS1207" s="210"/>
      <c r="BT1207" s="210"/>
      <c r="BU1207" s="210"/>
      <c r="BV1207" s="210"/>
      <c r="BW1207" s="210"/>
      <c r="BX1207" s="210"/>
      <c r="BY1207" s="210"/>
      <c r="BZ1207" s="210"/>
      <c r="CA1207" s="210"/>
      <c r="CB1207" s="210"/>
      <c r="CC1207" s="210"/>
      <c r="CD1207" s="210"/>
      <c r="CE1207" s="210"/>
      <c r="CF1207" s="210"/>
      <c r="CG1207" s="210"/>
      <c r="CH1207" s="210"/>
      <c r="CI1207" s="210"/>
      <c r="CJ1207" s="210"/>
      <c r="CK1207" s="210"/>
    </row>
    <row r="1208">
      <c r="A1208" s="220"/>
      <c r="F1208" s="190"/>
      <c r="G1208" s="190"/>
      <c r="L1208" s="220"/>
      <c r="M1208" s="220"/>
      <c r="O1208" s="210"/>
      <c r="P1208" s="210"/>
      <c r="Q1208" s="210"/>
      <c r="R1208" s="210"/>
      <c r="S1208" s="210"/>
      <c r="T1208" s="210"/>
      <c r="U1208" s="210"/>
      <c r="V1208" s="210"/>
      <c r="W1208" s="210"/>
      <c r="X1208" s="210"/>
      <c r="Y1208" s="210"/>
      <c r="Z1208" s="210"/>
      <c r="AA1208" s="210"/>
      <c r="AB1208" s="210"/>
      <c r="AC1208" s="210"/>
      <c r="AD1208" s="210"/>
      <c r="AE1208" s="210"/>
      <c r="AF1208" s="210"/>
      <c r="AG1208" s="210"/>
      <c r="AH1208" s="210"/>
      <c r="AI1208" s="210"/>
      <c r="AJ1208" s="210"/>
      <c r="AK1208" s="210"/>
      <c r="AL1208" s="210"/>
      <c r="AM1208" s="214"/>
      <c r="AN1208" s="210"/>
      <c r="AO1208" s="210"/>
      <c r="AP1208" s="210"/>
      <c r="AQ1208" s="210"/>
      <c r="AR1208" s="210"/>
      <c r="AS1208" s="210"/>
      <c r="AT1208" s="210"/>
      <c r="AU1208" s="210"/>
      <c r="AV1208" s="210"/>
      <c r="AW1208" s="210"/>
      <c r="AX1208" s="210"/>
      <c r="AY1208" s="210"/>
      <c r="AZ1208" s="210"/>
      <c r="BA1208" s="210"/>
      <c r="BB1208" s="210"/>
      <c r="BC1208" s="210"/>
      <c r="BD1208" s="210"/>
      <c r="BE1208" s="210"/>
      <c r="BF1208" s="210"/>
      <c r="BG1208" s="210"/>
      <c r="BH1208" s="210"/>
      <c r="BI1208" s="210"/>
      <c r="BJ1208" s="210"/>
      <c r="BK1208" s="210"/>
      <c r="BL1208" s="210"/>
      <c r="BM1208" s="210"/>
      <c r="BN1208" s="210"/>
      <c r="BO1208" s="210"/>
      <c r="BP1208" s="210"/>
      <c r="BQ1208" s="210"/>
      <c r="BR1208" s="210"/>
      <c r="BS1208" s="210"/>
      <c r="BT1208" s="210"/>
      <c r="BU1208" s="210"/>
      <c r="BV1208" s="210"/>
      <c r="BW1208" s="210"/>
      <c r="BX1208" s="210"/>
      <c r="BY1208" s="210"/>
      <c r="BZ1208" s="210"/>
      <c r="CA1208" s="210"/>
      <c r="CB1208" s="210"/>
      <c r="CC1208" s="210"/>
      <c r="CD1208" s="210"/>
      <c r="CE1208" s="210"/>
      <c r="CF1208" s="210"/>
      <c r="CG1208" s="210"/>
      <c r="CH1208" s="210"/>
      <c r="CI1208" s="210"/>
      <c r="CJ1208" s="210"/>
      <c r="CK1208" s="210"/>
    </row>
    <row r="1209">
      <c r="A1209" s="220"/>
      <c r="F1209" s="190"/>
      <c r="G1209" s="190"/>
      <c r="L1209" s="220"/>
      <c r="M1209" s="220"/>
      <c r="O1209" s="210"/>
      <c r="P1209" s="210"/>
      <c r="Q1209" s="210"/>
      <c r="R1209" s="210"/>
      <c r="S1209" s="210"/>
      <c r="T1209" s="210"/>
      <c r="U1209" s="210"/>
      <c r="V1209" s="210"/>
      <c r="W1209" s="210"/>
      <c r="X1209" s="210"/>
      <c r="Y1209" s="210"/>
      <c r="Z1209" s="210"/>
      <c r="AA1209" s="210"/>
      <c r="AB1209" s="210"/>
      <c r="AC1209" s="210"/>
      <c r="AD1209" s="210"/>
      <c r="AE1209" s="210"/>
      <c r="AF1209" s="210"/>
      <c r="AG1209" s="210"/>
      <c r="AH1209" s="210"/>
      <c r="AI1209" s="210"/>
      <c r="AJ1209" s="210"/>
      <c r="AK1209" s="210"/>
      <c r="AL1209" s="210"/>
      <c r="AM1209" s="214"/>
      <c r="AN1209" s="210"/>
      <c r="AO1209" s="210"/>
      <c r="AP1209" s="210"/>
      <c r="AQ1209" s="210"/>
      <c r="AR1209" s="210"/>
      <c r="AS1209" s="210"/>
      <c r="AT1209" s="210"/>
      <c r="AU1209" s="210"/>
      <c r="AV1209" s="210"/>
      <c r="AW1209" s="210"/>
      <c r="AX1209" s="210"/>
      <c r="AY1209" s="210"/>
      <c r="AZ1209" s="210"/>
      <c r="BA1209" s="210"/>
      <c r="BB1209" s="210"/>
      <c r="BC1209" s="210"/>
      <c r="BD1209" s="210"/>
      <c r="BE1209" s="210"/>
      <c r="BF1209" s="210"/>
      <c r="BG1209" s="210"/>
      <c r="BH1209" s="210"/>
      <c r="BI1209" s="210"/>
      <c r="BJ1209" s="210"/>
      <c r="BK1209" s="210"/>
      <c r="BL1209" s="210"/>
      <c r="BM1209" s="210"/>
      <c r="BN1209" s="210"/>
      <c r="BO1209" s="210"/>
      <c r="BP1209" s="210"/>
      <c r="BQ1209" s="210"/>
      <c r="BR1209" s="210"/>
      <c r="BS1209" s="210"/>
      <c r="BT1209" s="210"/>
      <c r="BU1209" s="210"/>
      <c r="BV1209" s="210"/>
      <c r="BW1209" s="210"/>
      <c r="BX1209" s="210"/>
      <c r="BY1209" s="210"/>
      <c r="BZ1209" s="210"/>
      <c r="CA1209" s="210"/>
      <c r="CB1209" s="210"/>
      <c r="CC1209" s="210"/>
      <c r="CD1209" s="210"/>
      <c r="CE1209" s="210"/>
      <c r="CF1209" s="210"/>
      <c r="CG1209" s="210"/>
      <c r="CH1209" s="210"/>
      <c r="CI1209" s="210"/>
      <c r="CJ1209" s="210"/>
      <c r="CK1209" s="210"/>
    </row>
    <row r="1210">
      <c r="A1210" s="220"/>
      <c r="F1210" s="190"/>
      <c r="G1210" s="190"/>
      <c r="L1210" s="220"/>
      <c r="M1210" s="220"/>
      <c r="O1210" s="210"/>
      <c r="P1210" s="210"/>
      <c r="Q1210" s="210"/>
      <c r="R1210" s="210"/>
      <c r="S1210" s="210"/>
      <c r="T1210" s="210"/>
      <c r="U1210" s="210"/>
      <c r="V1210" s="210"/>
      <c r="W1210" s="210"/>
      <c r="X1210" s="210"/>
      <c r="Y1210" s="210"/>
      <c r="Z1210" s="210"/>
      <c r="AA1210" s="210"/>
      <c r="AB1210" s="210"/>
      <c r="AC1210" s="210"/>
      <c r="AD1210" s="210"/>
      <c r="AE1210" s="210"/>
      <c r="AF1210" s="210"/>
      <c r="AG1210" s="210"/>
      <c r="AH1210" s="210"/>
      <c r="AI1210" s="210"/>
      <c r="AJ1210" s="210"/>
      <c r="AK1210" s="210"/>
      <c r="AL1210" s="210"/>
      <c r="AM1210" s="214"/>
      <c r="AN1210" s="210"/>
      <c r="AO1210" s="210"/>
      <c r="AP1210" s="210"/>
      <c r="AQ1210" s="210"/>
      <c r="AR1210" s="210"/>
      <c r="AS1210" s="210"/>
      <c r="AT1210" s="210"/>
      <c r="AU1210" s="210"/>
      <c r="AV1210" s="210"/>
      <c r="AW1210" s="210"/>
      <c r="AX1210" s="210"/>
      <c r="AY1210" s="210"/>
      <c r="AZ1210" s="210"/>
      <c r="BA1210" s="210"/>
      <c r="BB1210" s="210"/>
      <c r="BC1210" s="210"/>
      <c r="BD1210" s="210"/>
      <c r="BE1210" s="210"/>
      <c r="BF1210" s="210"/>
      <c r="BG1210" s="210"/>
      <c r="BH1210" s="210"/>
      <c r="BI1210" s="210"/>
      <c r="BJ1210" s="210"/>
      <c r="BK1210" s="210"/>
      <c r="BL1210" s="210"/>
      <c r="BM1210" s="210"/>
      <c r="BN1210" s="210"/>
      <c r="BO1210" s="210"/>
      <c r="BP1210" s="210"/>
      <c r="BQ1210" s="210"/>
      <c r="BR1210" s="210"/>
      <c r="BS1210" s="210"/>
      <c r="BT1210" s="210"/>
      <c r="BU1210" s="210"/>
      <c r="BV1210" s="210"/>
      <c r="BW1210" s="210"/>
      <c r="BX1210" s="210"/>
      <c r="BY1210" s="210"/>
      <c r="BZ1210" s="210"/>
      <c r="CA1210" s="210"/>
      <c r="CB1210" s="210"/>
      <c r="CC1210" s="210"/>
      <c r="CD1210" s="210"/>
      <c r="CE1210" s="210"/>
      <c r="CF1210" s="210"/>
      <c r="CG1210" s="210"/>
      <c r="CH1210" s="210"/>
      <c r="CI1210" s="210"/>
      <c r="CJ1210" s="210"/>
      <c r="CK1210" s="210"/>
    </row>
    <row r="1211">
      <c r="A1211" s="220"/>
      <c r="F1211" s="190"/>
      <c r="G1211" s="190"/>
      <c r="L1211" s="220"/>
      <c r="M1211" s="220"/>
      <c r="O1211" s="210"/>
      <c r="P1211" s="210"/>
      <c r="Q1211" s="210"/>
      <c r="R1211" s="210"/>
      <c r="S1211" s="210"/>
      <c r="T1211" s="210"/>
      <c r="U1211" s="210"/>
      <c r="V1211" s="210"/>
      <c r="W1211" s="210"/>
      <c r="X1211" s="210"/>
      <c r="Y1211" s="210"/>
      <c r="Z1211" s="210"/>
      <c r="AA1211" s="210"/>
      <c r="AB1211" s="210"/>
      <c r="AC1211" s="210"/>
      <c r="AD1211" s="210"/>
      <c r="AE1211" s="210"/>
      <c r="AF1211" s="210"/>
      <c r="AG1211" s="210"/>
      <c r="AH1211" s="210"/>
      <c r="AI1211" s="210"/>
      <c r="AJ1211" s="210"/>
      <c r="AK1211" s="210"/>
      <c r="AL1211" s="210"/>
      <c r="AM1211" s="214"/>
      <c r="AN1211" s="210"/>
      <c r="AO1211" s="210"/>
      <c r="AP1211" s="210"/>
      <c r="AQ1211" s="210"/>
      <c r="AR1211" s="210"/>
      <c r="AS1211" s="210"/>
      <c r="AT1211" s="210"/>
      <c r="AU1211" s="210"/>
      <c r="AV1211" s="210"/>
      <c r="AW1211" s="210"/>
      <c r="AX1211" s="210"/>
      <c r="AY1211" s="210"/>
      <c r="AZ1211" s="210"/>
      <c r="BA1211" s="210"/>
      <c r="BB1211" s="210"/>
      <c r="BC1211" s="210"/>
      <c r="BD1211" s="210"/>
      <c r="BE1211" s="210"/>
      <c r="BF1211" s="210"/>
      <c r="BG1211" s="210"/>
      <c r="BH1211" s="210"/>
      <c r="BI1211" s="210"/>
      <c r="BJ1211" s="210"/>
      <c r="BK1211" s="210"/>
      <c r="BL1211" s="210"/>
      <c r="BM1211" s="210"/>
      <c r="BN1211" s="210"/>
      <c r="BO1211" s="210"/>
      <c r="BP1211" s="210"/>
      <c r="BQ1211" s="210"/>
      <c r="BR1211" s="210"/>
      <c r="BS1211" s="210"/>
      <c r="BT1211" s="210"/>
      <c r="BU1211" s="210"/>
      <c r="BV1211" s="210"/>
      <c r="BW1211" s="210"/>
      <c r="BX1211" s="210"/>
      <c r="BY1211" s="210"/>
      <c r="BZ1211" s="210"/>
      <c r="CA1211" s="210"/>
      <c r="CB1211" s="210"/>
      <c r="CC1211" s="210"/>
      <c r="CD1211" s="210"/>
      <c r="CE1211" s="210"/>
      <c r="CF1211" s="210"/>
      <c r="CG1211" s="210"/>
      <c r="CH1211" s="210"/>
      <c r="CI1211" s="210"/>
      <c r="CJ1211" s="210"/>
      <c r="CK1211" s="210"/>
    </row>
    <row r="1212">
      <c r="A1212" s="220"/>
      <c r="F1212" s="190"/>
      <c r="G1212" s="190"/>
      <c r="L1212" s="220"/>
      <c r="M1212" s="220"/>
      <c r="O1212" s="210"/>
      <c r="P1212" s="210"/>
      <c r="Q1212" s="210"/>
      <c r="R1212" s="210"/>
      <c r="S1212" s="210"/>
      <c r="T1212" s="210"/>
      <c r="U1212" s="210"/>
      <c r="V1212" s="210"/>
      <c r="W1212" s="210"/>
      <c r="X1212" s="210"/>
      <c r="Y1212" s="210"/>
      <c r="Z1212" s="210"/>
      <c r="AA1212" s="210"/>
      <c r="AB1212" s="210"/>
      <c r="AC1212" s="210"/>
      <c r="AD1212" s="210"/>
      <c r="AE1212" s="210"/>
      <c r="AF1212" s="210"/>
      <c r="AG1212" s="210"/>
      <c r="AH1212" s="210"/>
      <c r="AI1212" s="210"/>
      <c r="AJ1212" s="210"/>
      <c r="AK1212" s="210"/>
      <c r="AL1212" s="210"/>
      <c r="AM1212" s="214"/>
      <c r="AN1212" s="210"/>
      <c r="AO1212" s="210"/>
      <c r="AP1212" s="210"/>
      <c r="AQ1212" s="210"/>
      <c r="AR1212" s="210"/>
      <c r="AS1212" s="210"/>
      <c r="AT1212" s="210"/>
      <c r="AU1212" s="210"/>
      <c r="AV1212" s="210"/>
      <c r="AW1212" s="210"/>
      <c r="AX1212" s="210"/>
      <c r="AY1212" s="210"/>
      <c r="AZ1212" s="210"/>
      <c r="BA1212" s="210"/>
      <c r="BB1212" s="210"/>
      <c r="BC1212" s="210"/>
      <c r="BD1212" s="210"/>
      <c r="BE1212" s="210"/>
      <c r="BF1212" s="210"/>
      <c r="BG1212" s="210"/>
      <c r="BH1212" s="210"/>
      <c r="BI1212" s="210"/>
      <c r="BJ1212" s="210"/>
      <c r="BK1212" s="210"/>
      <c r="BL1212" s="210"/>
      <c r="BM1212" s="210"/>
      <c r="BN1212" s="210"/>
      <c r="BO1212" s="210"/>
      <c r="BP1212" s="210"/>
      <c r="BQ1212" s="210"/>
      <c r="BR1212" s="210"/>
      <c r="BS1212" s="210"/>
      <c r="BT1212" s="210"/>
      <c r="BU1212" s="210"/>
      <c r="BV1212" s="210"/>
      <c r="BW1212" s="210"/>
      <c r="BX1212" s="210"/>
      <c r="BY1212" s="210"/>
      <c r="BZ1212" s="210"/>
      <c r="CA1212" s="210"/>
      <c r="CB1212" s="210"/>
      <c r="CC1212" s="210"/>
      <c r="CD1212" s="210"/>
      <c r="CE1212" s="210"/>
      <c r="CF1212" s="210"/>
      <c r="CG1212" s="210"/>
      <c r="CH1212" s="210"/>
      <c r="CI1212" s="210"/>
      <c r="CJ1212" s="210"/>
      <c r="CK1212" s="210"/>
    </row>
    <row r="1213">
      <c r="A1213" s="220"/>
      <c r="F1213" s="190"/>
      <c r="G1213" s="190"/>
      <c r="L1213" s="220"/>
      <c r="M1213" s="220"/>
      <c r="O1213" s="210"/>
      <c r="P1213" s="210"/>
      <c r="Q1213" s="210"/>
      <c r="R1213" s="210"/>
      <c r="S1213" s="210"/>
      <c r="T1213" s="210"/>
      <c r="U1213" s="210"/>
      <c r="V1213" s="210"/>
      <c r="W1213" s="210"/>
      <c r="X1213" s="210"/>
      <c r="Y1213" s="210"/>
      <c r="Z1213" s="210"/>
      <c r="AA1213" s="210"/>
      <c r="AB1213" s="210"/>
      <c r="AC1213" s="210"/>
      <c r="AD1213" s="210"/>
      <c r="AE1213" s="210"/>
      <c r="AF1213" s="210"/>
      <c r="AG1213" s="210"/>
      <c r="AH1213" s="210"/>
      <c r="AI1213" s="210"/>
      <c r="AJ1213" s="210"/>
      <c r="AK1213" s="210"/>
      <c r="AL1213" s="210"/>
      <c r="AM1213" s="214"/>
      <c r="AN1213" s="210"/>
      <c r="AO1213" s="210"/>
      <c r="AP1213" s="210"/>
      <c r="AQ1213" s="210"/>
      <c r="AR1213" s="210"/>
      <c r="AS1213" s="210"/>
      <c r="AT1213" s="210"/>
      <c r="AU1213" s="210"/>
      <c r="AV1213" s="210"/>
      <c r="AW1213" s="210"/>
      <c r="AX1213" s="210"/>
      <c r="AY1213" s="210"/>
      <c r="AZ1213" s="210"/>
      <c r="BA1213" s="210"/>
      <c r="BB1213" s="210"/>
      <c r="BC1213" s="210"/>
      <c r="BD1213" s="210"/>
      <c r="BE1213" s="210"/>
      <c r="BF1213" s="210"/>
      <c r="BG1213" s="210"/>
      <c r="BH1213" s="210"/>
      <c r="BI1213" s="210"/>
      <c r="BJ1213" s="210"/>
      <c r="BK1213" s="210"/>
      <c r="BL1213" s="210"/>
      <c r="BM1213" s="210"/>
      <c r="BN1213" s="210"/>
      <c r="BO1213" s="210"/>
      <c r="BP1213" s="210"/>
      <c r="BQ1213" s="210"/>
      <c r="BR1213" s="210"/>
      <c r="BS1213" s="210"/>
      <c r="BT1213" s="210"/>
      <c r="BU1213" s="210"/>
      <c r="BV1213" s="210"/>
      <c r="BW1213" s="210"/>
      <c r="BX1213" s="210"/>
      <c r="BY1213" s="210"/>
      <c r="BZ1213" s="210"/>
      <c r="CA1213" s="210"/>
      <c r="CB1213" s="210"/>
      <c r="CC1213" s="210"/>
      <c r="CD1213" s="210"/>
      <c r="CE1213" s="210"/>
      <c r="CF1213" s="210"/>
      <c r="CG1213" s="210"/>
      <c r="CH1213" s="210"/>
      <c r="CI1213" s="210"/>
      <c r="CJ1213" s="210"/>
      <c r="CK1213" s="210"/>
    </row>
    <row r="1214">
      <c r="A1214" s="220"/>
      <c r="F1214" s="190"/>
      <c r="G1214" s="190"/>
      <c r="L1214" s="220"/>
      <c r="M1214" s="220"/>
      <c r="O1214" s="210"/>
      <c r="P1214" s="210"/>
      <c r="Q1214" s="210"/>
      <c r="R1214" s="210"/>
      <c r="S1214" s="210"/>
      <c r="T1214" s="210"/>
      <c r="U1214" s="210"/>
      <c r="V1214" s="210"/>
      <c r="W1214" s="210"/>
      <c r="X1214" s="210"/>
      <c r="Y1214" s="210"/>
      <c r="Z1214" s="210"/>
      <c r="AA1214" s="210"/>
      <c r="AB1214" s="210"/>
      <c r="AC1214" s="210"/>
      <c r="AD1214" s="210"/>
      <c r="AE1214" s="210"/>
      <c r="AF1214" s="210"/>
      <c r="AG1214" s="210"/>
      <c r="AH1214" s="210"/>
      <c r="AI1214" s="210"/>
      <c r="AJ1214" s="210"/>
      <c r="AK1214" s="210"/>
      <c r="AL1214" s="210"/>
      <c r="AM1214" s="214"/>
      <c r="AN1214" s="210"/>
      <c r="AO1214" s="210"/>
      <c r="AP1214" s="210"/>
      <c r="AQ1214" s="210"/>
      <c r="AR1214" s="210"/>
      <c r="AS1214" s="210"/>
      <c r="AT1214" s="210"/>
      <c r="AU1214" s="210"/>
      <c r="AV1214" s="210"/>
      <c r="AW1214" s="210"/>
      <c r="AX1214" s="210"/>
      <c r="AY1214" s="210"/>
      <c r="AZ1214" s="210"/>
      <c r="BA1214" s="210"/>
      <c r="BB1214" s="210"/>
      <c r="BC1214" s="210"/>
      <c r="BD1214" s="210"/>
      <c r="BE1214" s="210"/>
      <c r="BF1214" s="210"/>
      <c r="BG1214" s="210"/>
      <c r="BH1214" s="210"/>
      <c r="BI1214" s="210"/>
      <c r="BJ1214" s="210"/>
      <c r="BK1214" s="210"/>
      <c r="BL1214" s="210"/>
      <c r="BM1214" s="210"/>
      <c r="BN1214" s="210"/>
      <c r="BO1214" s="210"/>
      <c r="BP1214" s="210"/>
      <c r="BQ1214" s="210"/>
      <c r="BR1214" s="210"/>
      <c r="BS1214" s="210"/>
      <c r="BT1214" s="210"/>
      <c r="BU1214" s="210"/>
      <c r="BV1214" s="210"/>
      <c r="BW1214" s="210"/>
      <c r="BX1214" s="210"/>
      <c r="BY1214" s="210"/>
      <c r="BZ1214" s="210"/>
      <c r="CA1214" s="210"/>
      <c r="CB1214" s="210"/>
      <c r="CC1214" s="210"/>
      <c r="CD1214" s="210"/>
      <c r="CE1214" s="210"/>
      <c r="CF1214" s="210"/>
      <c r="CG1214" s="210"/>
      <c r="CH1214" s="210"/>
      <c r="CI1214" s="210"/>
      <c r="CJ1214" s="210"/>
      <c r="CK1214" s="210"/>
    </row>
    <row r="1215">
      <c r="A1215" s="220"/>
      <c r="F1215" s="190"/>
      <c r="G1215" s="190"/>
      <c r="L1215" s="220"/>
      <c r="M1215" s="220"/>
      <c r="O1215" s="210"/>
      <c r="P1215" s="210"/>
      <c r="Q1215" s="210"/>
      <c r="R1215" s="210"/>
      <c r="S1215" s="210"/>
      <c r="T1215" s="210"/>
      <c r="U1215" s="210"/>
      <c r="V1215" s="210"/>
      <c r="W1215" s="210"/>
      <c r="X1215" s="210"/>
      <c r="Y1215" s="210"/>
      <c r="Z1215" s="210"/>
      <c r="AA1215" s="210"/>
      <c r="AB1215" s="210"/>
      <c r="AC1215" s="210"/>
      <c r="AD1215" s="210"/>
      <c r="AE1215" s="210"/>
      <c r="AF1215" s="210"/>
      <c r="AG1215" s="210"/>
      <c r="AH1215" s="210"/>
      <c r="AI1215" s="210"/>
      <c r="AJ1215" s="210"/>
      <c r="AK1215" s="210"/>
      <c r="AL1215" s="210"/>
      <c r="AM1215" s="214"/>
      <c r="AN1215" s="210"/>
      <c r="AO1215" s="210"/>
      <c r="AP1215" s="210"/>
      <c r="AQ1215" s="210"/>
      <c r="AR1215" s="210"/>
      <c r="AS1215" s="210"/>
      <c r="AT1215" s="210"/>
      <c r="AU1215" s="210"/>
      <c r="AV1215" s="210"/>
      <c r="AW1215" s="210"/>
      <c r="AX1215" s="210"/>
      <c r="AY1215" s="210"/>
      <c r="AZ1215" s="210"/>
      <c r="BA1215" s="210"/>
      <c r="BB1215" s="210"/>
      <c r="BC1215" s="210"/>
      <c r="BD1215" s="210"/>
      <c r="BE1215" s="210"/>
      <c r="BF1215" s="210"/>
      <c r="BG1215" s="210"/>
      <c r="BH1215" s="210"/>
      <c r="BI1215" s="210"/>
      <c r="BJ1215" s="210"/>
      <c r="BK1215" s="210"/>
      <c r="BL1215" s="210"/>
      <c r="BM1215" s="210"/>
      <c r="BN1215" s="210"/>
      <c r="BO1215" s="210"/>
      <c r="BP1215" s="210"/>
      <c r="BQ1215" s="210"/>
      <c r="BR1215" s="210"/>
      <c r="BS1215" s="210"/>
      <c r="BT1215" s="210"/>
      <c r="BU1215" s="210"/>
      <c r="BV1215" s="210"/>
      <c r="BW1215" s="210"/>
      <c r="BX1215" s="210"/>
      <c r="BY1215" s="210"/>
      <c r="BZ1215" s="210"/>
      <c r="CA1215" s="210"/>
      <c r="CB1215" s="210"/>
      <c r="CC1215" s="210"/>
      <c r="CD1215" s="210"/>
      <c r="CE1215" s="210"/>
      <c r="CF1215" s="210"/>
      <c r="CG1215" s="210"/>
      <c r="CH1215" s="210"/>
      <c r="CI1215" s="210"/>
      <c r="CJ1215" s="210"/>
      <c r="CK1215" s="210"/>
    </row>
    <row r="1216">
      <c r="A1216" s="220"/>
      <c r="F1216" s="190"/>
      <c r="G1216" s="190"/>
      <c r="L1216" s="220"/>
      <c r="M1216" s="220"/>
      <c r="O1216" s="210"/>
      <c r="P1216" s="210"/>
      <c r="Q1216" s="210"/>
      <c r="R1216" s="210"/>
      <c r="S1216" s="210"/>
      <c r="T1216" s="210"/>
      <c r="U1216" s="210"/>
      <c r="V1216" s="210"/>
      <c r="W1216" s="210"/>
      <c r="X1216" s="210"/>
      <c r="Y1216" s="210"/>
      <c r="Z1216" s="210"/>
      <c r="AA1216" s="210"/>
      <c r="AB1216" s="210"/>
      <c r="AC1216" s="210"/>
      <c r="AD1216" s="210"/>
      <c r="AE1216" s="210"/>
      <c r="AF1216" s="210"/>
      <c r="AG1216" s="210"/>
      <c r="AH1216" s="210"/>
      <c r="AI1216" s="210"/>
      <c r="AJ1216" s="210"/>
      <c r="AK1216" s="210"/>
      <c r="AL1216" s="210"/>
      <c r="AM1216" s="214"/>
      <c r="AN1216" s="210"/>
      <c r="AO1216" s="210"/>
      <c r="AP1216" s="210"/>
      <c r="AQ1216" s="210"/>
      <c r="AR1216" s="210"/>
      <c r="AS1216" s="210"/>
      <c r="AT1216" s="210"/>
      <c r="AU1216" s="210"/>
      <c r="AV1216" s="210"/>
      <c r="AW1216" s="210"/>
      <c r="AX1216" s="210"/>
      <c r="AY1216" s="210"/>
      <c r="AZ1216" s="210"/>
      <c r="BA1216" s="210"/>
      <c r="BB1216" s="210"/>
      <c r="BC1216" s="210"/>
      <c r="BD1216" s="210"/>
      <c r="BE1216" s="210"/>
      <c r="BF1216" s="210"/>
      <c r="BG1216" s="210"/>
      <c r="BH1216" s="210"/>
      <c r="BI1216" s="210"/>
      <c r="BJ1216" s="210"/>
      <c r="BK1216" s="210"/>
      <c r="BL1216" s="210"/>
      <c r="BM1216" s="210"/>
      <c r="BN1216" s="210"/>
      <c r="BO1216" s="210"/>
      <c r="BP1216" s="210"/>
      <c r="BQ1216" s="210"/>
      <c r="BR1216" s="210"/>
      <c r="BS1216" s="210"/>
      <c r="BT1216" s="210"/>
      <c r="BU1216" s="210"/>
      <c r="BV1216" s="210"/>
      <c r="BW1216" s="210"/>
      <c r="BX1216" s="210"/>
      <c r="BY1216" s="210"/>
      <c r="BZ1216" s="210"/>
      <c r="CA1216" s="210"/>
      <c r="CB1216" s="210"/>
      <c r="CC1216" s="210"/>
      <c r="CD1216" s="210"/>
      <c r="CE1216" s="210"/>
      <c r="CF1216" s="210"/>
      <c r="CG1216" s="210"/>
      <c r="CH1216" s="210"/>
      <c r="CI1216" s="210"/>
      <c r="CJ1216" s="210"/>
      <c r="CK1216" s="210"/>
    </row>
    <row r="1217">
      <c r="A1217" s="220"/>
      <c r="F1217" s="190"/>
      <c r="G1217" s="190"/>
      <c r="L1217" s="220"/>
      <c r="M1217" s="220"/>
      <c r="O1217" s="210"/>
      <c r="P1217" s="210"/>
      <c r="Q1217" s="210"/>
      <c r="R1217" s="210"/>
      <c r="S1217" s="210"/>
      <c r="T1217" s="210"/>
      <c r="U1217" s="210"/>
      <c r="V1217" s="210"/>
      <c r="W1217" s="210"/>
      <c r="X1217" s="210"/>
      <c r="Y1217" s="210"/>
      <c r="Z1217" s="210"/>
      <c r="AA1217" s="210"/>
      <c r="AB1217" s="210"/>
      <c r="AC1217" s="210"/>
      <c r="AD1217" s="210"/>
      <c r="AE1217" s="210"/>
      <c r="AF1217" s="210"/>
      <c r="AG1217" s="210"/>
      <c r="AH1217" s="210"/>
      <c r="AI1217" s="210"/>
      <c r="AJ1217" s="210"/>
      <c r="AK1217" s="210"/>
      <c r="AL1217" s="210"/>
      <c r="AM1217" s="214"/>
      <c r="AN1217" s="210"/>
      <c r="AO1217" s="210"/>
      <c r="AP1217" s="210"/>
      <c r="AQ1217" s="210"/>
      <c r="AR1217" s="210"/>
      <c r="AS1217" s="210"/>
      <c r="AT1217" s="210"/>
      <c r="AU1217" s="210"/>
      <c r="AV1217" s="210"/>
      <c r="AW1217" s="210"/>
      <c r="AX1217" s="210"/>
      <c r="AY1217" s="210"/>
      <c r="AZ1217" s="210"/>
      <c r="BA1217" s="210"/>
      <c r="BB1217" s="210"/>
      <c r="BC1217" s="210"/>
      <c r="BD1217" s="210"/>
      <c r="BE1217" s="210"/>
      <c r="BF1217" s="210"/>
      <c r="BG1217" s="210"/>
      <c r="BH1217" s="210"/>
      <c r="BI1217" s="210"/>
      <c r="BJ1217" s="210"/>
      <c r="BK1217" s="210"/>
      <c r="BL1217" s="210"/>
      <c r="BM1217" s="210"/>
      <c r="BN1217" s="210"/>
      <c r="BO1217" s="210"/>
      <c r="BP1217" s="210"/>
      <c r="BQ1217" s="210"/>
      <c r="BR1217" s="210"/>
      <c r="BS1217" s="210"/>
      <c r="BT1217" s="210"/>
      <c r="BU1217" s="210"/>
      <c r="BV1217" s="210"/>
      <c r="BW1217" s="210"/>
      <c r="BX1217" s="210"/>
      <c r="BY1217" s="210"/>
      <c r="BZ1217" s="210"/>
      <c r="CA1217" s="210"/>
      <c r="CB1217" s="210"/>
      <c r="CC1217" s="210"/>
      <c r="CD1217" s="210"/>
      <c r="CE1217" s="210"/>
      <c r="CF1217" s="210"/>
      <c r="CG1217" s="210"/>
      <c r="CH1217" s="210"/>
      <c r="CI1217" s="210"/>
      <c r="CJ1217" s="210"/>
      <c r="CK1217" s="210"/>
    </row>
    <row r="1218">
      <c r="A1218" s="220"/>
      <c r="F1218" s="190"/>
      <c r="G1218" s="190"/>
      <c r="L1218" s="220"/>
      <c r="M1218" s="220"/>
      <c r="O1218" s="210"/>
      <c r="P1218" s="210"/>
      <c r="Q1218" s="210"/>
      <c r="R1218" s="210"/>
      <c r="S1218" s="210"/>
      <c r="T1218" s="210"/>
      <c r="U1218" s="210"/>
      <c r="V1218" s="210"/>
      <c r="W1218" s="210"/>
      <c r="X1218" s="210"/>
      <c r="Y1218" s="210"/>
      <c r="Z1218" s="210"/>
      <c r="AA1218" s="210"/>
      <c r="AB1218" s="210"/>
      <c r="AC1218" s="210"/>
      <c r="AD1218" s="210"/>
      <c r="AE1218" s="210"/>
      <c r="AF1218" s="210"/>
      <c r="AG1218" s="210"/>
      <c r="AH1218" s="210"/>
      <c r="AI1218" s="210"/>
      <c r="AJ1218" s="210"/>
      <c r="AK1218" s="210"/>
      <c r="AL1218" s="210"/>
      <c r="AM1218" s="214"/>
      <c r="AN1218" s="210"/>
      <c r="AO1218" s="210"/>
      <c r="AP1218" s="210"/>
      <c r="AQ1218" s="210"/>
      <c r="AR1218" s="210"/>
      <c r="AS1218" s="210"/>
      <c r="AT1218" s="210"/>
      <c r="AU1218" s="210"/>
      <c r="AV1218" s="210"/>
      <c r="AW1218" s="210"/>
      <c r="AX1218" s="210"/>
      <c r="AY1218" s="210"/>
      <c r="AZ1218" s="210"/>
      <c r="BA1218" s="210"/>
      <c r="BB1218" s="210"/>
      <c r="BC1218" s="210"/>
      <c r="BD1218" s="210"/>
      <c r="BE1218" s="210"/>
      <c r="BF1218" s="210"/>
      <c r="BG1218" s="210"/>
      <c r="BH1218" s="210"/>
      <c r="BI1218" s="210"/>
      <c r="BJ1218" s="210"/>
      <c r="BK1218" s="210"/>
      <c r="BL1218" s="210"/>
      <c r="BM1218" s="210"/>
      <c r="BN1218" s="210"/>
      <c r="BO1218" s="210"/>
      <c r="BP1218" s="210"/>
      <c r="BQ1218" s="210"/>
      <c r="BR1218" s="210"/>
      <c r="BS1218" s="210"/>
      <c r="BT1218" s="210"/>
      <c r="BU1218" s="210"/>
      <c r="BV1218" s="210"/>
      <c r="BW1218" s="210"/>
      <c r="BX1218" s="210"/>
      <c r="BY1218" s="210"/>
      <c r="BZ1218" s="210"/>
      <c r="CA1218" s="210"/>
      <c r="CB1218" s="210"/>
      <c r="CC1218" s="210"/>
      <c r="CD1218" s="210"/>
      <c r="CE1218" s="210"/>
      <c r="CF1218" s="210"/>
      <c r="CG1218" s="210"/>
      <c r="CH1218" s="210"/>
      <c r="CI1218" s="210"/>
      <c r="CJ1218" s="210"/>
      <c r="CK1218" s="210"/>
    </row>
    <row r="1219">
      <c r="A1219" s="220"/>
      <c r="F1219" s="190"/>
      <c r="G1219" s="190"/>
      <c r="L1219" s="220"/>
      <c r="M1219" s="220"/>
      <c r="O1219" s="210"/>
      <c r="P1219" s="210"/>
      <c r="Q1219" s="210"/>
      <c r="R1219" s="210"/>
      <c r="S1219" s="210"/>
      <c r="T1219" s="210"/>
      <c r="U1219" s="210"/>
      <c r="V1219" s="210"/>
      <c r="W1219" s="210"/>
      <c r="X1219" s="210"/>
      <c r="Y1219" s="210"/>
      <c r="Z1219" s="210"/>
      <c r="AA1219" s="210"/>
      <c r="AB1219" s="210"/>
      <c r="AC1219" s="210"/>
      <c r="AD1219" s="210"/>
      <c r="AE1219" s="210"/>
      <c r="AF1219" s="210"/>
      <c r="AG1219" s="210"/>
      <c r="AH1219" s="210"/>
      <c r="AI1219" s="210"/>
      <c r="AJ1219" s="210"/>
      <c r="AK1219" s="210"/>
      <c r="AL1219" s="210"/>
      <c r="AM1219" s="214"/>
      <c r="AN1219" s="210"/>
      <c r="AO1219" s="210"/>
      <c r="AP1219" s="210"/>
      <c r="AQ1219" s="210"/>
      <c r="AR1219" s="210"/>
      <c r="AS1219" s="210"/>
      <c r="AT1219" s="210"/>
      <c r="AU1219" s="210"/>
      <c r="AV1219" s="210"/>
      <c r="AW1219" s="210"/>
      <c r="AX1219" s="210"/>
      <c r="AY1219" s="210"/>
      <c r="AZ1219" s="210"/>
      <c r="BA1219" s="210"/>
      <c r="BB1219" s="210"/>
      <c r="BC1219" s="210"/>
      <c r="BD1219" s="210"/>
      <c r="BE1219" s="210"/>
      <c r="BF1219" s="210"/>
      <c r="BG1219" s="210"/>
      <c r="BH1219" s="210"/>
      <c r="BI1219" s="210"/>
      <c r="BJ1219" s="210"/>
      <c r="BK1219" s="210"/>
      <c r="BL1219" s="210"/>
      <c r="BM1219" s="210"/>
      <c r="BN1219" s="210"/>
      <c r="BO1219" s="210"/>
      <c r="BP1219" s="210"/>
      <c r="BQ1219" s="210"/>
      <c r="BR1219" s="210"/>
      <c r="BS1219" s="210"/>
      <c r="BT1219" s="210"/>
      <c r="BU1219" s="210"/>
      <c r="BV1219" s="210"/>
      <c r="BW1219" s="210"/>
      <c r="BX1219" s="210"/>
      <c r="BY1219" s="210"/>
      <c r="BZ1219" s="210"/>
      <c r="CA1219" s="210"/>
      <c r="CB1219" s="210"/>
      <c r="CC1219" s="210"/>
      <c r="CD1219" s="210"/>
      <c r="CE1219" s="210"/>
      <c r="CF1219" s="210"/>
      <c r="CG1219" s="210"/>
      <c r="CH1219" s="210"/>
      <c r="CI1219" s="210"/>
      <c r="CJ1219" s="210"/>
      <c r="CK1219" s="210"/>
    </row>
    <row r="1220">
      <c r="A1220" s="220"/>
      <c r="F1220" s="190"/>
      <c r="G1220" s="190"/>
      <c r="L1220" s="220"/>
      <c r="M1220" s="220"/>
      <c r="O1220" s="210"/>
      <c r="P1220" s="210"/>
      <c r="Q1220" s="210"/>
      <c r="R1220" s="210"/>
      <c r="S1220" s="210"/>
      <c r="T1220" s="210"/>
      <c r="U1220" s="210"/>
      <c r="V1220" s="210"/>
      <c r="W1220" s="210"/>
      <c r="X1220" s="210"/>
      <c r="Y1220" s="210"/>
      <c r="Z1220" s="210"/>
      <c r="AA1220" s="210"/>
      <c r="AB1220" s="210"/>
      <c r="AC1220" s="210"/>
      <c r="AD1220" s="210"/>
      <c r="AE1220" s="210"/>
      <c r="AF1220" s="210"/>
      <c r="AG1220" s="210"/>
      <c r="AH1220" s="210"/>
      <c r="AI1220" s="210"/>
      <c r="AJ1220" s="210"/>
      <c r="AK1220" s="210"/>
      <c r="AL1220" s="210"/>
      <c r="AM1220" s="214"/>
      <c r="AN1220" s="210"/>
      <c r="AO1220" s="210"/>
      <c r="AP1220" s="210"/>
      <c r="AQ1220" s="210"/>
      <c r="AR1220" s="210"/>
      <c r="AS1220" s="210"/>
      <c r="AT1220" s="210"/>
      <c r="AU1220" s="210"/>
      <c r="AV1220" s="210"/>
      <c r="AW1220" s="210"/>
      <c r="AX1220" s="210"/>
      <c r="AY1220" s="210"/>
      <c r="AZ1220" s="210"/>
      <c r="BA1220" s="210"/>
      <c r="BB1220" s="210"/>
      <c r="BC1220" s="210"/>
      <c r="BD1220" s="210"/>
      <c r="BE1220" s="210"/>
      <c r="BF1220" s="210"/>
      <c r="BG1220" s="210"/>
      <c r="BH1220" s="210"/>
      <c r="BI1220" s="210"/>
      <c r="BJ1220" s="210"/>
      <c r="BK1220" s="210"/>
      <c r="BL1220" s="210"/>
      <c r="BM1220" s="210"/>
      <c r="BN1220" s="210"/>
      <c r="BO1220" s="210"/>
      <c r="BP1220" s="210"/>
      <c r="BQ1220" s="210"/>
      <c r="BR1220" s="210"/>
      <c r="BS1220" s="210"/>
      <c r="BT1220" s="210"/>
      <c r="BU1220" s="210"/>
      <c r="BV1220" s="210"/>
      <c r="BW1220" s="210"/>
      <c r="BX1220" s="210"/>
      <c r="BY1220" s="210"/>
      <c r="BZ1220" s="210"/>
      <c r="CA1220" s="210"/>
      <c r="CB1220" s="210"/>
      <c r="CC1220" s="210"/>
      <c r="CD1220" s="210"/>
      <c r="CE1220" s="210"/>
      <c r="CF1220" s="210"/>
      <c r="CG1220" s="210"/>
      <c r="CH1220" s="210"/>
      <c r="CI1220" s="210"/>
      <c r="CJ1220" s="210"/>
      <c r="CK1220" s="210"/>
    </row>
    <row r="1221">
      <c r="A1221" s="220"/>
      <c r="F1221" s="190"/>
      <c r="G1221" s="190"/>
      <c r="L1221" s="220"/>
      <c r="M1221" s="220"/>
      <c r="O1221" s="210"/>
      <c r="P1221" s="210"/>
      <c r="Q1221" s="210"/>
      <c r="R1221" s="210"/>
      <c r="S1221" s="210"/>
      <c r="T1221" s="210"/>
      <c r="U1221" s="210"/>
      <c r="V1221" s="210"/>
      <c r="W1221" s="210"/>
      <c r="X1221" s="210"/>
      <c r="Y1221" s="210"/>
      <c r="Z1221" s="210"/>
      <c r="AA1221" s="210"/>
      <c r="AB1221" s="210"/>
      <c r="AC1221" s="210"/>
      <c r="AD1221" s="210"/>
      <c r="AE1221" s="210"/>
      <c r="AF1221" s="210"/>
      <c r="AG1221" s="210"/>
      <c r="AH1221" s="210"/>
      <c r="AI1221" s="210"/>
      <c r="AJ1221" s="210"/>
      <c r="AK1221" s="210"/>
      <c r="AL1221" s="210"/>
      <c r="AM1221" s="214"/>
      <c r="AN1221" s="210"/>
      <c r="AO1221" s="210"/>
      <c r="AP1221" s="210"/>
      <c r="AQ1221" s="210"/>
      <c r="AR1221" s="210"/>
      <c r="AS1221" s="210"/>
      <c r="AT1221" s="210"/>
      <c r="AU1221" s="210"/>
      <c r="AV1221" s="210"/>
      <c r="AW1221" s="210"/>
      <c r="AX1221" s="210"/>
      <c r="AY1221" s="210"/>
      <c r="AZ1221" s="210"/>
      <c r="BA1221" s="210"/>
      <c r="BB1221" s="210"/>
      <c r="BC1221" s="210"/>
      <c r="BD1221" s="210"/>
      <c r="BE1221" s="210"/>
      <c r="BF1221" s="210"/>
      <c r="BG1221" s="210"/>
      <c r="BH1221" s="210"/>
      <c r="BI1221" s="210"/>
      <c r="BJ1221" s="210"/>
      <c r="BK1221" s="210"/>
      <c r="BL1221" s="210"/>
      <c r="BM1221" s="210"/>
      <c r="BN1221" s="210"/>
      <c r="BO1221" s="210"/>
      <c r="BP1221" s="210"/>
      <c r="BQ1221" s="210"/>
      <c r="BR1221" s="210"/>
      <c r="BS1221" s="210"/>
      <c r="BT1221" s="210"/>
      <c r="BU1221" s="210"/>
      <c r="BV1221" s="210"/>
      <c r="BW1221" s="210"/>
      <c r="BX1221" s="210"/>
      <c r="BY1221" s="210"/>
      <c r="BZ1221" s="210"/>
      <c r="CA1221" s="210"/>
      <c r="CB1221" s="210"/>
      <c r="CC1221" s="210"/>
      <c r="CD1221" s="210"/>
      <c r="CE1221" s="210"/>
      <c r="CF1221" s="210"/>
      <c r="CG1221" s="210"/>
      <c r="CH1221" s="210"/>
      <c r="CI1221" s="210"/>
      <c r="CJ1221" s="210"/>
      <c r="CK1221" s="210"/>
    </row>
    <row r="1222">
      <c r="A1222" s="220"/>
      <c r="F1222" s="190"/>
      <c r="G1222" s="190"/>
      <c r="L1222" s="220"/>
      <c r="M1222" s="220"/>
      <c r="O1222" s="210"/>
      <c r="P1222" s="210"/>
      <c r="Q1222" s="210"/>
      <c r="R1222" s="210"/>
      <c r="S1222" s="210"/>
      <c r="T1222" s="210"/>
      <c r="U1222" s="210"/>
      <c r="V1222" s="210"/>
      <c r="W1222" s="210"/>
      <c r="X1222" s="210"/>
      <c r="Y1222" s="210"/>
      <c r="Z1222" s="210"/>
      <c r="AA1222" s="210"/>
      <c r="AB1222" s="210"/>
      <c r="AC1222" s="210"/>
      <c r="AD1222" s="210"/>
      <c r="AE1222" s="210"/>
      <c r="AF1222" s="210"/>
      <c r="AG1222" s="210"/>
      <c r="AH1222" s="210"/>
      <c r="AI1222" s="210"/>
      <c r="AJ1222" s="210"/>
      <c r="AK1222" s="210"/>
      <c r="AL1222" s="210"/>
      <c r="AM1222" s="214"/>
      <c r="AN1222" s="210"/>
      <c r="AO1222" s="210"/>
      <c r="AP1222" s="210"/>
      <c r="AQ1222" s="210"/>
      <c r="AR1222" s="210"/>
      <c r="AS1222" s="210"/>
      <c r="AT1222" s="210"/>
      <c r="AU1222" s="210"/>
      <c r="AV1222" s="210"/>
      <c r="AW1222" s="210"/>
      <c r="AX1222" s="210"/>
      <c r="AY1222" s="210"/>
      <c r="AZ1222" s="210"/>
      <c r="BA1222" s="210"/>
      <c r="BB1222" s="210"/>
      <c r="BC1222" s="210"/>
      <c r="BD1222" s="210"/>
      <c r="BE1222" s="210"/>
      <c r="BF1222" s="210"/>
      <c r="BG1222" s="210"/>
      <c r="BH1222" s="210"/>
      <c r="BI1222" s="210"/>
      <c r="BJ1222" s="210"/>
      <c r="BK1222" s="210"/>
      <c r="BL1222" s="210"/>
      <c r="BM1222" s="210"/>
      <c r="BN1222" s="210"/>
      <c r="BO1222" s="210"/>
      <c r="BP1222" s="210"/>
      <c r="BQ1222" s="210"/>
      <c r="BR1222" s="210"/>
      <c r="BS1222" s="210"/>
      <c r="BT1222" s="210"/>
      <c r="BU1222" s="210"/>
      <c r="BV1222" s="210"/>
      <c r="BW1222" s="210"/>
      <c r="BX1222" s="210"/>
      <c r="BY1222" s="210"/>
      <c r="BZ1222" s="210"/>
      <c r="CA1222" s="210"/>
      <c r="CB1222" s="210"/>
      <c r="CC1222" s="210"/>
      <c r="CD1222" s="210"/>
      <c r="CE1222" s="210"/>
      <c r="CF1222" s="210"/>
      <c r="CG1222" s="210"/>
      <c r="CH1222" s="210"/>
      <c r="CI1222" s="210"/>
      <c r="CJ1222" s="210"/>
      <c r="CK1222" s="210"/>
    </row>
    <row r="1223">
      <c r="A1223" s="220"/>
      <c r="F1223" s="190"/>
      <c r="G1223" s="190"/>
      <c r="L1223" s="220"/>
      <c r="M1223" s="220"/>
      <c r="O1223" s="210"/>
      <c r="P1223" s="210"/>
      <c r="Q1223" s="210"/>
      <c r="R1223" s="210"/>
      <c r="S1223" s="210"/>
      <c r="T1223" s="210"/>
      <c r="U1223" s="210"/>
      <c r="V1223" s="210"/>
      <c r="W1223" s="210"/>
      <c r="X1223" s="210"/>
      <c r="Y1223" s="210"/>
      <c r="Z1223" s="210"/>
      <c r="AA1223" s="210"/>
      <c r="AB1223" s="210"/>
      <c r="AC1223" s="210"/>
      <c r="AD1223" s="210"/>
      <c r="AE1223" s="210"/>
      <c r="AF1223" s="210"/>
      <c r="AG1223" s="210"/>
      <c r="AH1223" s="210"/>
      <c r="AI1223" s="210"/>
      <c r="AJ1223" s="210"/>
      <c r="AK1223" s="210"/>
      <c r="AL1223" s="210"/>
      <c r="AM1223" s="214"/>
      <c r="AN1223" s="210"/>
      <c r="AO1223" s="210"/>
      <c r="AP1223" s="210"/>
      <c r="AQ1223" s="210"/>
      <c r="AR1223" s="210"/>
      <c r="AS1223" s="210"/>
      <c r="AT1223" s="210"/>
      <c r="AU1223" s="210"/>
      <c r="AV1223" s="210"/>
      <c r="AW1223" s="210"/>
      <c r="AX1223" s="210"/>
      <c r="AY1223" s="210"/>
      <c r="AZ1223" s="210"/>
      <c r="BA1223" s="210"/>
      <c r="BB1223" s="210"/>
      <c r="BC1223" s="210"/>
      <c r="BD1223" s="210"/>
      <c r="BE1223" s="210"/>
      <c r="BF1223" s="210"/>
      <c r="BG1223" s="210"/>
      <c r="BH1223" s="210"/>
      <c r="BI1223" s="210"/>
      <c r="BJ1223" s="210"/>
      <c r="BK1223" s="210"/>
      <c r="BL1223" s="210"/>
      <c r="BM1223" s="210"/>
      <c r="BN1223" s="210"/>
      <c r="BO1223" s="210"/>
      <c r="BP1223" s="210"/>
      <c r="BQ1223" s="210"/>
      <c r="BR1223" s="210"/>
      <c r="BS1223" s="210"/>
      <c r="BT1223" s="210"/>
      <c r="BU1223" s="210"/>
      <c r="BV1223" s="210"/>
      <c r="BW1223" s="210"/>
      <c r="BX1223" s="210"/>
      <c r="BY1223" s="210"/>
      <c r="BZ1223" s="210"/>
      <c r="CA1223" s="210"/>
      <c r="CB1223" s="210"/>
      <c r="CC1223" s="210"/>
      <c r="CD1223" s="210"/>
      <c r="CE1223" s="210"/>
      <c r="CF1223" s="210"/>
      <c r="CG1223" s="210"/>
      <c r="CH1223" s="210"/>
      <c r="CI1223" s="210"/>
      <c r="CJ1223" s="210"/>
      <c r="CK1223" s="210"/>
    </row>
    <row r="1224">
      <c r="A1224" s="220"/>
      <c r="F1224" s="190"/>
      <c r="G1224" s="190"/>
      <c r="L1224" s="220"/>
      <c r="M1224" s="220"/>
      <c r="O1224" s="210"/>
      <c r="P1224" s="210"/>
      <c r="Q1224" s="210"/>
      <c r="R1224" s="210"/>
      <c r="S1224" s="210"/>
      <c r="T1224" s="210"/>
      <c r="U1224" s="210"/>
      <c r="V1224" s="210"/>
      <c r="W1224" s="210"/>
      <c r="X1224" s="210"/>
      <c r="Y1224" s="210"/>
      <c r="Z1224" s="210"/>
      <c r="AA1224" s="210"/>
      <c r="AB1224" s="210"/>
      <c r="AC1224" s="210"/>
      <c r="AD1224" s="210"/>
      <c r="AE1224" s="210"/>
      <c r="AF1224" s="210"/>
      <c r="AG1224" s="210"/>
      <c r="AH1224" s="210"/>
      <c r="AI1224" s="210"/>
      <c r="AJ1224" s="210"/>
      <c r="AK1224" s="210"/>
      <c r="AL1224" s="210"/>
      <c r="AM1224" s="214"/>
      <c r="AN1224" s="210"/>
      <c r="AO1224" s="210"/>
      <c r="AP1224" s="210"/>
      <c r="AQ1224" s="210"/>
      <c r="AR1224" s="210"/>
      <c r="AS1224" s="210"/>
      <c r="AT1224" s="210"/>
      <c r="AU1224" s="210"/>
      <c r="AV1224" s="210"/>
      <c r="AW1224" s="210"/>
      <c r="AX1224" s="210"/>
      <c r="AY1224" s="210"/>
      <c r="AZ1224" s="210"/>
      <c r="BA1224" s="210"/>
      <c r="BB1224" s="210"/>
      <c r="BC1224" s="210"/>
      <c r="BD1224" s="210"/>
      <c r="BE1224" s="210"/>
      <c r="BF1224" s="210"/>
      <c r="BG1224" s="210"/>
      <c r="BH1224" s="210"/>
      <c r="BI1224" s="210"/>
      <c r="BJ1224" s="210"/>
      <c r="BK1224" s="210"/>
      <c r="BL1224" s="210"/>
      <c r="BM1224" s="210"/>
      <c r="BN1224" s="210"/>
      <c r="BO1224" s="210"/>
      <c r="BP1224" s="210"/>
      <c r="BQ1224" s="210"/>
      <c r="BR1224" s="210"/>
      <c r="BS1224" s="210"/>
      <c r="BT1224" s="210"/>
      <c r="BU1224" s="210"/>
      <c r="BV1224" s="210"/>
      <c r="BW1224" s="210"/>
      <c r="BX1224" s="210"/>
      <c r="BY1224" s="210"/>
      <c r="BZ1224" s="210"/>
      <c r="CA1224" s="210"/>
      <c r="CB1224" s="210"/>
      <c r="CC1224" s="210"/>
      <c r="CD1224" s="210"/>
      <c r="CE1224" s="210"/>
      <c r="CF1224" s="210"/>
      <c r="CG1224" s="210"/>
      <c r="CH1224" s="210"/>
      <c r="CI1224" s="210"/>
      <c r="CJ1224" s="210"/>
      <c r="CK1224" s="210"/>
    </row>
    <row r="1225">
      <c r="A1225" s="220"/>
      <c r="F1225" s="190"/>
      <c r="G1225" s="190"/>
      <c r="L1225" s="220"/>
      <c r="M1225" s="220"/>
      <c r="O1225" s="210"/>
      <c r="P1225" s="210"/>
      <c r="Q1225" s="210"/>
      <c r="R1225" s="210"/>
      <c r="S1225" s="210"/>
      <c r="T1225" s="210"/>
      <c r="U1225" s="210"/>
      <c r="V1225" s="210"/>
      <c r="W1225" s="210"/>
      <c r="X1225" s="210"/>
      <c r="Y1225" s="210"/>
      <c r="Z1225" s="210"/>
      <c r="AA1225" s="210"/>
      <c r="AB1225" s="210"/>
      <c r="AC1225" s="210"/>
      <c r="AD1225" s="210"/>
      <c r="AE1225" s="210"/>
      <c r="AF1225" s="210"/>
      <c r="AG1225" s="210"/>
      <c r="AH1225" s="210"/>
      <c r="AI1225" s="210"/>
      <c r="AJ1225" s="210"/>
      <c r="AK1225" s="210"/>
      <c r="AL1225" s="210"/>
      <c r="AM1225" s="214"/>
      <c r="AN1225" s="210"/>
      <c r="AO1225" s="210"/>
      <c r="AP1225" s="210"/>
      <c r="AQ1225" s="210"/>
      <c r="AR1225" s="210"/>
      <c r="AS1225" s="210"/>
      <c r="AT1225" s="210"/>
      <c r="AU1225" s="210"/>
      <c r="AV1225" s="210"/>
      <c r="AW1225" s="210"/>
      <c r="AX1225" s="210"/>
      <c r="AY1225" s="210"/>
      <c r="AZ1225" s="210"/>
      <c r="BA1225" s="210"/>
      <c r="BB1225" s="210"/>
      <c r="BC1225" s="210"/>
      <c r="BD1225" s="210"/>
      <c r="BE1225" s="210"/>
      <c r="BF1225" s="210"/>
      <c r="BG1225" s="210"/>
      <c r="BH1225" s="210"/>
      <c r="BI1225" s="210"/>
      <c r="BJ1225" s="210"/>
      <c r="BK1225" s="210"/>
      <c r="BL1225" s="210"/>
      <c r="BM1225" s="210"/>
      <c r="BN1225" s="210"/>
      <c r="BO1225" s="210"/>
      <c r="BP1225" s="210"/>
      <c r="BQ1225" s="210"/>
      <c r="BR1225" s="210"/>
      <c r="BS1225" s="210"/>
      <c r="BT1225" s="210"/>
      <c r="BU1225" s="210"/>
      <c r="BV1225" s="210"/>
      <c r="BW1225" s="210"/>
      <c r="BX1225" s="210"/>
      <c r="BY1225" s="210"/>
      <c r="BZ1225" s="210"/>
      <c r="CA1225" s="210"/>
      <c r="CB1225" s="210"/>
      <c r="CC1225" s="210"/>
      <c r="CD1225" s="210"/>
      <c r="CE1225" s="210"/>
      <c r="CF1225" s="210"/>
      <c r="CG1225" s="210"/>
      <c r="CH1225" s="210"/>
      <c r="CI1225" s="210"/>
      <c r="CJ1225" s="210"/>
      <c r="CK1225" s="210"/>
    </row>
    <row r="1226">
      <c r="A1226" s="220"/>
      <c r="F1226" s="190"/>
      <c r="G1226" s="190"/>
      <c r="L1226" s="220"/>
      <c r="M1226" s="220"/>
      <c r="O1226" s="210"/>
      <c r="P1226" s="210"/>
      <c r="Q1226" s="210"/>
      <c r="R1226" s="210"/>
      <c r="S1226" s="210"/>
      <c r="T1226" s="210"/>
      <c r="U1226" s="210"/>
      <c r="V1226" s="210"/>
      <c r="W1226" s="210"/>
      <c r="X1226" s="210"/>
      <c r="Y1226" s="210"/>
      <c r="Z1226" s="210"/>
      <c r="AA1226" s="210"/>
      <c r="AB1226" s="210"/>
      <c r="AC1226" s="210"/>
      <c r="AD1226" s="210"/>
      <c r="AE1226" s="210"/>
      <c r="AF1226" s="210"/>
      <c r="AG1226" s="210"/>
      <c r="AH1226" s="210"/>
      <c r="AI1226" s="210"/>
      <c r="AJ1226" s="210"/>
      <c r="AK1226" s="210"/>
      <c r="AL1226" s="210"/>
      <c r="AM1226" s="214"/>
      <c r="AN1226" s="210"/>
      <c r="AO1226" s="210"/>
      <c r="AP1226" s="210"/>
      <c r="AQ1226" s="210"/>
      <c r="AR1226" s="210"/>
      <c r="AS1226" s="210"/>
      <c r="AT1226" s="210"/>
      <c r="AU1226" s="210"/>
      <c r="AV1226" s="210"/>
      <c r="AW1226" s="210"/>
      <c r="AX1226" s="210"/>
      <c r="AY1226" s="210"/>
      <c r="AZ1226" s="210"/>
      <c r="BA1226" s="210"/>
      <c r="BB1226" s="210"/>
      <c r="BC1226" s="210"/>
      <c r="BD1226" s="210"/>
      <c r="BE1226" s="210"/>
      <c r="BF1226" s="210"/>
      <c r="BG1226" s="210"/>
      <c r="BH1226" s="210"/>
      <c r="BI1226" s="210"/>
      <c r="BJ1226" s="210"/>
      <c r="BK1226" s="210"/>
      <c r="BL1226" s="210"/>
      <c r="BM1226" s="210"/>
      <c r="BN1226" s="210"/>
      <c r="BO1226" s="210"/>
      <c r="BP1226" s="210"/>
      <c r="BQ1226" s="210"/>
      <c r="BR1226" s="210"/>
      <c r="BS1226" s="210"/>
      <c r="BT1226" s="210"/>
      <c r="BU1226" s="210"/>
      <c r="BV1226" s="210"/>
      <c r="BW1226" s="210"/>
      <c r="BX1226" s="210"/>
      <c r="BY1226" s="210"/>
      <c r="BZ1226" s="210"/>
      <c r="CA1226" s="210"/>
      <c r="CB1226" s="210"/>
      <c r="CC1226" s="210"/>
      <c r="CD1226" s="210"/>
      <c r="CE1226" s="210"/>
      <c r="CF1226" s="210"/>
      <c r="CG1226" s="210"/>
      <c r="CH1226" s="210"/>
      <c r="CI1226" s="210"/>
      <c r="CJ1226" s="210"/>
      <c r="CK1226" s="210"/>
    </row>
    <row r="1227">
      <c r="A1227" s="220"/>
      <c r="F1227" s="190"/>
      <c r="G1227" s="190"/>
      <c r="L1227" s="220"/>
      <c r="M1227" s="220"/>
      <c r="O1227" s="210"/>
      <c r="P1227" s="210"/>
      <c r="Q1227" s="210"/>
      <c r="R1227" s="210"/>
      <c r="S1227" s="210"/>
      <c r="T1227" s="210"/>
      <c r="U1227" s="210"/>
      <c r="V1227" s="210"/>
      <c r="W1227" s="210"/>
      <c r="X1227" s="210"/>
      <c r="Y1227" s="210"/>
      <c r="Z1227" s="210"/>
      <c r="AA1227" s="210"/>
      <c r="AB1227" s="210"/>
      <c r="AC1227" s="210"/>
      <c r="AD1227" s="210"/>
      <c r="AE1227" s="210"/>
      <c r="AF1227" s="210"/>
      <c r="AG1227" s="210"/>
      <c r="AH1227" s="210"/>
      <c r="AI1227" s="210"/>
      <c r="AJ1227" s="210"/>
      <c r="AK1227" s="210"/>
      <c r="AL1227" s="210"/>
      <c r="AM1227" s="214"/>
      <c r="AN1227" s="210"/>
      <c r="AO1227" s="210"/>
      <c r="AP1227" s="210"/>
      <c r="AQ1227" s="210"/>
      <c r="AR1227" s="210"/>
      <c r="AS1227" s="210"/>
      <c r="AT1227" s="210"/>
      <c r="AU1227" s="210"/>
      <c r="AV1227" s="210"/>
      <c r="AW1227" s="210"/>
      <c r="AX1227" s="210"/>
      <c r="AY1227" s="210"/>
      <c r="AZ1227" s="210"/>
      <c r="BA1227" s="210"/>
      <c r="BB1227" s="210"/>
      <c r="BC1227" s="210"/>
      <c r="BD1227" s="210"/>
      <c r="BE1227" s="210"/>
      <c r="BF1227" s="210"/>
      <c r="BG1227" s="210"/>
      <c r="BH1227" s="210"/>
      <c r="BI1227" s="210"/>
      <c r="BJ1227" s="210"/>
      <c r="BK1227" s="210"/>
      <c r="BL1227" s="210"/>
      <c r="BM1227" s="210"/>
      <c r="BN1227" s="210"/>
      <c r="BO1227" s="210"/>
      <c r="BP1227" s="210"/>
      <c r="BQ1227" s="210"/>
      <c r="BR1227" s="210"/>
      <c r="BS1227" s="210"/>
      <c r="BT1227" s="210"/>
      <c r="BU1227" s="210"/>
      <c r="BV1227" s="210"/>
      <c r="BW1227" s="210"/>
      <c r="BX1227" s="210"/>
      <c r="BY1227" s="210"/>
      <c r="BZ1227" s="210"/>
      <c r="CA1227" s="210"/>
      <c r="CB1227" s="210"/>
      <c r="CC1227" s="210"/>
      <c r="CD1227" s="210"/>
      <c r="CE1227" s="210"/>
      <c r="CF1227" s="210"/>
      <c r="CG1227" s="210"/>
      <c r="CH1227" s="210"/>
      <c r="CI1227" s="210"/>
      <c r="CJ1227" s="210"/>
      <c r="CK1227" s="210"/>
    </row>
    <row r="1228">
      <c r="A1228" s="220"/>
      <c r="F1228" s="190"/>
      <c r="G1228" s="190"/>
      <c r="L1228" s="220"/>
      <c r="M1228" s="220"/>
      <c r="O1228" s="210"/>
      <c r="P1228" s="210"/>
      <c r="Q1228" s="210"/>
      <c r="R1228" s="210"/>
      <c r="S1228" s="210"/>
      <c r="T1228" s="210"/>
      <c r="U1228" s="210"/>
      <c r="V1228" s="210"/>
      <c r="W1228" s="210"/>
      <c r="X1228" s="210"/>
      <c r="Y1228" s="210"/>
      <c r="Z1228" s="210"/>
      <c r="AA1228" s="210"/>
      <c r="AB1228" s="210"/>
      <c r="AC1228" s="210"/>
      <c r="AD1228" s="210"/>
      <c r="AE1228" s="210"/>
      <c r="AF1228" s="210"/>
      <c r="AG1228" s="210"/>
      <c r="AH1228" s="210"/>
      <c r="AI1228" s="210"/>
      <c r="AJ1228" s="210"/>
      <c r="AK1228" s="210"/>
      <c r="AL1228" s="210"/>
      <c r="AM1228" s="214"/>
      <c r="AN1228" s="210"/>
      <c r="AO1228" s="210"/>
      <c r="AP1228" s="210"/>
      <c r="AQ1228" s="210"/>
      <c r="AR1228" s="210"/>
      <c r="AS1228" s="210"/>
      <c r="AT1228" s="210"/>
      <c r="AU1228" s="210"/>
      <c r="AV1228" s="210"/>
      <c r="AW1228" s="210"/>
      <c r="AX1228" s="210"/>
      <c r="AY1228" s="210"/>
      <c r="AZ1228" s="210"/>
      <c r="BA1228" s="210"/>
      <c r="BB1228" s="210"/>
      <c r="BC1228" s="210"/>
      <c r="BD1228" s="210"/>
      <c r="BE1228" s="210"/>
      <c r="BF1228" s="210"/>
      <c r="BG1228" s="210"/>
      <c r="BH1228" s="210"/>
      <c r="BI1228" s="210"/>
      <c r="BJ1228" s="210"/>
      <c r="BK1228" s="210"/>
      <c r="BL1228" s="210"/>
      <c r="BM1228" s="210"/>
      <c r="BN1228" s="210"/>
      <c r="BO1228" s="210"/>
      <c r="BP1228" s="210"/>
      <c r="BQ1228" s="210"/>
      <c r="BR1228" s="210"/>
      <c r="BS1228" s="210"/>
      <c r="BT1228" s="210"/>
      <c r="BU1228" s="210"/>
      <c r="BV1228" s="210"/>
      <c r="BW1228" s="210"/>
      <c r="BX1228" s="210"/>
      <c r="BY1228" s="210"/>
      <c r="BZ1228" s="210"/>
      <c r="CA1228" s="210"/>
      <c r="CB1228" s="210"/>
      <c r="CC1228" s="210"/>
      <c r="CD1228" s="210"/>
      <c r="CE1228" s="210"/>
      <c r="CF1228" s="210"/>
      <c r="CG1228" s="210"/>
      <c r="CH1228" s="210"/>
      <c r="CI1228" s="210"/>
      <c r="CJ1228" s="210"/>
      <c r="CK1228" s="210"/>
    </row>
    <row r="1229">
      <c r="A1229" s="220"/>
      <c r="F1229" s="190"/>
      <c r="G1229" s="190"/>
      <c r="L1229" s="220"/>
      <c r="M1229" s="220"/>
      <c r="O1229" s="210"/>
      <c r="P1229" s="210"/>
      <c r="Q1229" s="210"/>
      <c r="R1229" s="210"/>
      <c r="S1229" s="210"/>
      <c r="T1229" s="210"/>
      <c r="U1229" s="210"/>
      <c r="V1229" s="210"/>
      <c r="W1229" s="210"/>
      <c r="X1229" s="210"/>
      <c r="Y1229" s="210"/>
      <c r="Z1229" s="210"/>
      <c r="AA1229" s="210"/>
      <c r="AB1229" s="210"/>
      <c r="AC1229" s="210"/>
      <c r="AD1229" s="210"/>
      <c r="AE1229" s="210"/>
      <c r="AF1229" s="210"/>
      <c r="AG1229" s="210"/>
      <c r="AH1229" s="210"/>
      <c r="AI1229" s="210"/>
      <c r="AJ1229" s="210"/>
      <c r="AK1229" s="210"/>
      <c r="AL1229" s="210"/>
      <c r="AM1229" s="214"/>
      <c r="AN1229" s="210"/>
      <c r="AO1229" s="210"/>
      <c r="AP1229" s="210"/>
      <c r="AQ1229" s="210"/>
      <c r="AR1229" s="210"/>
      <c r="AS1229" s="210"/>
      <c r="AT1229" s="210"/>
      <c r="AU1229" s="210"/>
      <c r="AV1229" s="210"/>
      <c r="AW1229" s="210"/>
      <c r="AX1229" s="210"/>
      <c r="AY1229" s="210"/>
      <c r="AZ1229" s="210"/>
      <c r="BA1229" s="210"/>
      <c r="BB1229" s="210"/>
      <c r="BC1229" s="210"/>
      <c r="BD1229" s="210"/>
      <c r="BE1229" s="210"/>
      <c r="BF1229" s="210"/>
      <c r="BG1229" s="210"/>
      <c r="BH1229" s="210"/>
      <c r="BI1229" s="210"/>
      <c r="BJ1229" s="210"/>
      <c r="BK1229" s="210"/>
      <c r="BL1229" s="210"/>
      <c r="BM1229" s="210"/>
      <c r="BN1229" s="210"/>
      <c r="BO1229" s="210"/>
      <c r="BP1229" s="210"/>
      <c r="BQ1229" s="210"/>
      <c r="BR1229" s="210"/>
      <c r="BS1229" s="210"/>
      <c r="BT1229" s="210"/>
      <c r="BU1229" s="210"/>
      <c r="BV1229" s="210"/>
      <c r="BW1229" s="210"/>
      <c r="BX1229" s="210"/>
      <c r="BY1229" s="210"/>
      <c r="BZ1229" s="210"/>
      <c r="CA1229" s="210"/>
      <c r="CB1229" s="210"/>
      <c r="CC1229" s="210"/>
      <c r="CD1229" s="210"/>
      <c r="CE1229" s="210"/>
      <c r="CF1229" s="210"/>
      <c r="CG1229" s="210"/>
      <c r="CH1229" s="210"/>
      <c r="CI1229" s="210"/>
      <c r="CJ1229" s="210"/>
      <c r="CK1229" s="210"/>
    </row>
    <row r="1230">
      <c r="A1230" s="220"/>
      <c r="F1230" s="190"/>
      <c r="G1230" s="190"/>
      <c r="L1230" s="220"/>
      <c r="M1230" s="220"/>
      <c r="O1230" s="210"/>
      <c r="P1230" s="210"/>
      <c r="Q1230" s="210"/>
      <c r="R1230" s="210"/>
      <c r="S1230" s="210"/>
      <c r="T1230" s="210"/>
      <c r="U1230" s="210"/>
      <c r="V1230" s="210"/>
      <c r="W1230" s="210"/>
      <c r="X1230" s="210"/>
      <c r="Y1230" s="210"/>
      <c r="Z1230" s="210"/>
      <c r="AA1230" s="210"/>
      <c r="AB1230" s="210"/>
      <c r="AC1230" s="210"/>
      <c r="AD1230" s="210"/>
      <c r="AE1230" s="210"/>
      <c r="AF1230" s="210"/>
      <c r="AG1230" s="210"/>
      <c r="AH1230" s="210"/>
      <c r="AI1230" s="210"/>
      <c r="AJ1230" s="210"/>
      <c r="AK1230" s="210"/>
      <c r="AL1230" s="210"/>
      <c r="AM1230" s="214"/>
      <c r="AN1230" s="210"/>
      <c r="AO1230" s="210"/>
      <c r="AP1230" s="210"/>
      <c r="AQ1230" s="210"/>
      <c r="AR1230" s="210"/>
      <c r="AS1230" s="210"/>
      <c r="AT1230" s="210"/>
      <c r="AU1230" s="210"/>
      <c r="AV1230" s="210"/>
      <c r="AW1230" s="210"/>
      <c r="AX1230" s="210"/>
      <c r="AY1230" s="210"/>
      <c r="AZ1230" s="210"/>
      <c r="BA1230" s="210"/>
      <c r="BB1230" s="210"/>
      <c r="BC1230" s="210"/>
      <c r="BD1230" s="210"/>
      <c r="BE1230" s="210"/>
      <c r="BF1230" s="210"/>
      <c r="BG1230" s="210"/>
      <c r="BH1230" s="210"/>
      <c r="BI1230" s="210"/>
      <c r="BJ1230" s="210"/>
      <c r="BK1230" s="210"/>
      <c r="BL1230" s="210"/>
      <c r="BM1230" s="210"/>
      <c r="BN1230" s="210"/>
      <c r="BO1230" s="210"/>
      <c r="BP1230" s="210"/>
      <c r="BQ1230" s="210"/>
      <c r="BR1230" s="210"/>
      <c r="BS1230" s="210"/>
      <c r="BT1230" s="210"/>
      <c r="BU1230" s="210"/>
      <c r="BV1230" s="210"/>
      <c r="BW1230" s="210"/>
      <c r="BX1230" s="210"/>
      <c r="BY1230" s="210"/>
      <c r="BZ1230" s="210"/>
      <c r="CA1230" s="210"/>
      <c r="CB1230" s="210"/>
      <c r="CC1230" s="210"/>
      <c r="CD1230" s="210"/>
      <c r="CE1230" s="210"/>
      <c r="CF1230" s="210"/>
      <c r="CG1230" s="210"/>
      <c r="CH1230" s="210"/>
      <c r="CI1230" s="210"/>
      <c r="CJ1230" s="210"/>
      <c r="CK1230" s="210"/>
    </row>
    <row r="1231">
      <c r="A1231" s="220"/>
      <c r="F1231" s="190"/>
      <c r="G1231" s="190"/>
      <c r="L1231" s="220"/>
      <c r="M1231" s="220"/>
      <c r="O1231" s="210"/>
      <c r="P1231" s="210"/>
      <c r="Q1231" s="210"/>
      <c r="R1231" s="210"/>
      <c r="S1231" s="210"/>
      <c r="T1231" s="210"/>
      <c r="U1231" s="210"/>
      <c r="V1231" s="210"/>
      <c r="W1231" s="210"/>
      <c r="X1231" s="210"/>
      <c r="Y1231" s="210"/>
      <c r="Z1231" s="210"/>
      <c r="AA1231" s="210"/>
      <c r="AB1231" s="210"/>
      <c r="AC1231" s="210"/>
      <c r="AD1231" s="210"/>
      <c r="AE1231" s="210"/>
      <c r="AF1231" s="210"/>
      <c r="AG1231" s="210"/>
      <c r="AH1231" s="210"/>
      <c r="AI1231" s="210"/>
      <c r="AJ1231" s="210"/>
      <c r="AK1231" s="210"/>
      <c r="AL1231" s="210"/>
      <c r="AM1231" s="214"/>
      <c r="AN1231" s="210"/>
      <c r="AO1231" s="210"/>
      <c r="AP1231" s="210"/>
      <c r="AQ1231" s="210"/>
      <c r="AR1231" s="210"/>
      <c r="AS1231" s="210"/>
      <c r="AT1231" s="210"/>
      <c r="AU1231" s="210"/>
      <c r="AV1231" s="210"/>
      <c r="AW1231" s="210"/>
      <c r="AX1231" s="210"/>
      <c r="AY1231" s="210"/>
      <c r="AZ1231" s="210"/>
      <c r="BA1231" s="210"/>
      <c r="BB1231" s="210"/>
      <c r="BC1231" s="210"/>
      <c r="BD1231" s="210"/>
      <c r="BE1231" s="210"/>
      <c r="BF1231" s="210"/>
      <c r="BG1231" s="210"/>
      <c r="BH1231" s="210"/>
      <c r="BI1231" s="210"/>
      <c r="BJ1231" s="210"/>
      <c r="BK1231" s="210"/>
      <c r="BL1231" s="210"/>
      <c r="BM1231" s="210"/>
      <c r="BN1231" s="210"/>
      <c r="BO1231" s="210"/>
      <c r="BP1231" s="210"/>
      <c r="BQ1231" s="210"/>
      <c r="BR1231" s="210"/>
      <c r="BS1231" s="210"/>
      <c r="BT1231" s="210"/>
      <c r="BU1231" s="210"/>
      <c r="BV1231" s="210"/>
      <c r="BW1231" s="210"/>
      <c r="BX1231" s="210"/>
      <c r="BY1231" s="210"/>
      <c r="BZ1231" s="210"/>
      <c r="CA1231" s="210"/>
      <c r="CB1231" s="210"/>
      <c r="CC1231" s="210"/>
      <c r="CD1231" s="210"/>
      <c r="CE1231" s="210"/>
      <c r="CF1231" s="210"/>
      <c r="CG1231" s="210"/>
      <c r="CH1231" s="210"/>
      <c r="CI1231" s="210"/>
      <c r="CJ1231" s="210"/>
      <c r="CK1231" s="210"/>
    </row>
    <row r="1232">
      <c r="A1232" s="220"/>
      <c r="F1232" s="190"/>
      <c r="G1232" s="190"/>
      <c r="L1232" s="220"/>
      <c r="M1232" s="220"/>
      <c r="O1232" s="210"/>
      <c r="P1232" s="210"/>
      <c r="Q1232" s="210"/>
      <c r="R1232" s="210"/>
      <c r="S1232" s="210"/>
      <c r="T1232" s="210"/>
      <c r="U1232" s="210"/>
      <c r="V1232" s="210"/>
      <c r="W1232" s="210"/>
      <c r="X1232" s="210"/>
      <c r="Y1232" s="210"/>
      <c r="Z1232" s="210"/>
      <c r="AA1232" s="210"/>
      <c r="AB1232" s="210"/>
      <c r="AC1232" s="210"/>
      <c r="AD1232" s="210"/>
      <c r="AE1232" s="210"/>
      <c r="AF1232" s="210"/>
      <c r="AG1232" s="210"/>
      <c r="AH1232" s="210"/>
      <c r="AI1232" s="210"/>
      <c r="AJ1232" s="210"/>
      <c r="AK1232" s="210"/>
      <c r="AL1232" s="210"/>
      <c r="AM1232" s="214"/>
      <c r="AN1232" s="210"/>
      <c r="AO1232" s="210"/>
      <c r="AP1232" s="210"/>
      <c r="AQ1232" s="210"/>
      <c r="AR1232" s="210"/>
      <c r="AS1232" s="210"/>
      <c r="AT1232" s="210"/>
      <c r="AU1232" s="210"/>
      <c r="AV1232" s="210"/>
      <c r="AW1232" s="210"/>
      <c r="AX1232" s="210"/>
      <c r="AY1232" s="210"/>
      <c r="AZ1232" s="210"/>
      <c r="BA1232" s="210"/>
      <c r="BB1232" s="210"/>
      <c r="BC1232" s="210"/>
      <c r="BD1232" s="210"/>
      <c r="BE1232" s="210"/>
      <c r="BF1232" s="210"/>
      <c r="BG1232" s="210"/>
      <c r="BH1232" s="210"/>
      <c r="BI1232" s="210"/>
      <c r="BJ1232" s="210"/>
      <c r="BK1232" s="210"/>
      <c r="BL1232" s="210"/>
      <c r="BM1232" s="210"/>
      <c r="BN1232" s="210"/>
      <c r="BO1232" s="210"/>
      <c r="BP1232" s="210"/>
      <c r="BQ1232" s="210"/>
      <c r="BR1232" s="210"/>
      <c r="BS1232" s="210"/>
      <c r="BT1232" s="210"/>
      <c r="BU1232" s="210"/>
      <c r="BV1232" s="210"/>
      <c r="BW1232" s="210"/>
      <c r="BX1232" s="210"/>
      <c r="BY1232" s="210"/>
      <c r="BZ1232" s="210"/>
      <c r="CA1232" s="210"/>
      <c r="CB1232" s="210"/>
      <c r="CC1232" s="210"/>
      <c r="CD1232" s="210"/>
      <c r="CE1232" s="210"/>
      <c r="CF1232" s="210"/>
      <c r="CG1232" s="210"/>
      <c r="CH1232" s="210"/>
      <c r="CI1232" s="210"/>
      <c r="CJ1232" s="210"/>
      <c r="CK1232" s="210"/>
    </row>
    <row r="1233">
      <c r="A1233" s="220"/>
      <c r="F1233" s="190"/>
      <c r="G1233" s="190"/>
      <c r="L1233" s="220"/>
      <c r="M1233" s="220"/>
      <c r="O1233" s="210"/>
      <c r="P1233" s="210"/>
      <c r="Q1233" s="210"/>
      <c r="R1233" s="210"/>
      <c r="S1233" s="210"/>
      <c r="T1233" s="210"/>
      <c r="U1233" s="210"/>
      <c r="V1233" s="210"/>
      <c r="W1233" s="210"/>
      <c r="X1233" s="210"/>
      <c r="Y1233" s="210"/>
      <c r="Z1233" s="210"/>
      <c r="AA1233" s="210"/>
      <c r="AB1233" s="210"/>
      <c r="AC1233" s="210"/>
      <c r="AD1233" s="210"/>
      <c r="AE1233" s="210"/>
      <c r="AF1233" s="210"/>
      <c r="AG1233" s="210"/>
      <c r="AH1233" s="210"/>
      <c r="AI1233" s="210"/>
      <c r="AJ1233" s="210"/>
      <c r="AK1233" s="210"/>
      <c r="AL1233" s="210"/>
      <c r="AM1233" s="214"/>
      <c r="AN1233" s="210"/>
      <c r="AO1233" s="210"/>
      <c r="AP1233" s="210"/>
      <c r="AQ1233" s="210"/>
      <c r="AR1233" s="210"/>
      <c r="AS1233" s="210"/>
      <c r="AT1233" s="210"/>
      <c r="AU1233" s="210"/>
      <c r="AV1233" s="210"/>
      <c r="AW1233" s="210"/>
      <c r="AX1233" s="210"/>
      <c r="AY1233" s="210"/>
      <c r="AZ1233" s="210"/>
      <c r="BA1233" s="210"/>
      <c r="BB1233" s="210"/>
      <c r="BC1233" s="210"/>
      <c r="BD1233" s="210"/>
      <c r="BE1233" s="210"/>
      <c r="BF1233" s="210"/>
      <c r="BG1233" s="210"/>
      <c r="BH1233" s="210"/>
      <c r="BI1233" s="210"/>
      <c r="BJ1233" s="210"/>
      <c r="BK1233" s="210"/>
      <c r="BL1233" s="210"/>
      <c r="BM1233" s="210"/>
      <c r="BN1233" s="210"/>
      <c r="BO1233" s="210"/>
      <c r="BP1233" s="210"/>
      <c r="BQ1233" s="210"/>
      <c r="BR1233" s="210"/>
      <c r="BS1233" s="210"/>
      <c r="BT1233" s="210"/>
      <c r="BU1233" s="210"/>
      <c r="BV1233" s="210"/>
      <c r="BW1233" s="210"/>
      <c r="BX1233" s="210"/>
      <c r="BY1233" s="210"/>
      <c r="BZ1233" s="210"/>
      <c r="CA1233" s="210"/>
      <c r="CB1233" s="210"/>
      <c r="CC1233" s="210"/>
      <c r="CD1233" s="210"/>
      <c r="CE1233" s="210"/>
      <c r="CF1233" s="210"/>
      <c r="CG1233" s="210"/>
      <c r="CH1233" s="210"/>
      <c r="CI1233" s="210"/>
      <c r="CJ1233" s="210"/>
      <c r="CK1233" s="210"/>
    </row>
    <row r="1234">
      <c r="A1234" s="220"/>
      <c r="F1234" s="190"/>
      <c r="G1234" s="190"/>
      <c r="L1234" s="220"/>
      <c r="M1234" s="220"/>
      <c r="O1234" s="210"/>
      <c r="P1234" s="210"/>
      <c r="Q1234" s="210"/>
      <c r="R1234" s="210"/>
      <c r="S1234" s="210"/>
      <c r="T1234" s="210"/>
      <c r="U1234" s="210"/>
      <c r="V1234" s="210"/>
      <c r="W1234" s="210"/>
      <c r="X1234" s="210"/>
      <c r="Y1234" s="210"/>
      <c r="Z1234" s="210"/>
      <c r="AA1234" s="210"/>
      <c r="AB1234" s="210"/>
      <c r="AC1234" s="210"/>
      <c r="AD1234" s="210"/>
      <c r="AE1234" s="210"/>
      <c r="AF1234" s="210"/>
      <c r="AG1234" s="210"/>
      <c r="AH1234" s="210"/>
      <c r="AI1234" s="210"/>
      <c r="AJ1234" s="210"/>
      <c r="AK1234" s="210"/>
      <c r="AL1234" s="210"/>
      <c r="AM1234" s="214"/>
      <c r="AN1234" s="210"/>
      <c r="AO1234" s="210"/>
      <c r="AP1234" s="210"/>
      <c r="AQ1234" s="210"/>
      <c r="AR1234" s="210"/>
      <c r="AS1234" s="210"/>
      <c r="AT1234" s="210"/>
      <c r="AU1234" s="210"/>
      <c r="AV1234" s="210"/>
      <c r="AW1234" s="210"/>
      <c r="AX1234" s="210"/>
      <c r="AY1234" s="210"/>
      <c r="AZ1234" s="210"/>
      <c r="BA1234" s="210"/>
      <c r="BB1234" s="210"/>
      <c r="BC1234" s="210"/>
      <c r="BD1234" s="210"/>
      <c r="BE1234" s="210"/>
      <c r="BF1234" s="210"/>
      <c r="BG1234" s="210"/>
      <c r="BH1234" s="210"/>
      <c r="BI1234" s="210"/>
      <c r="BJ1234" s="210"/>
      <c r="BK1234" s="210"/>
      <c r="BL1234" s="210"/>
      <c r="BM1234" s="210"/>
      <c r="BN1234" s="210"/>
      <c r="BO1234" s="210"/>
      <c r="BP1234" s="210"/>
      <c r="BQ1234" s="210"/>
      <c r="BR1234" s="210"/>
      <c r="BS1234" s="210"/>
      <c r="BT1234" s="210"/>
      <c r="BU1234" s="210"/>
      <c r="BV1234" s="210"/>
      <c r="BW1234" s="210"/>
      <c r="BX1234" s="210"/>
      <c r="BY1234" s="210"/>
      <c r="BZ1234" s="210"/>
      <c r="CA1234" s="210"/>
      <c r="CB1234" s="210"/>
      <c r="CC1234" s="210"/>
      <c r="CD1234" s="210"/>
      <c r="CE1234" s="210"/>
      <c r="CF1234" s="210"/>
      <c r="CG1234" s="210"/>
      <c r="CH1234" s="210"/>
      <c r="CI1234" s="210"/>
      <c r="CJ1234" s="210"/>
      <c r="CK1234" s="210"/>
    </row>
    <row r="1235">
      <c r="A1235" s="220"/>
      <c r="F1235" s="190"/>
      <c r="G1235" s="190"/>
      <c r="L1235" s="220"/>
      <c r="M1235" s="220"/>
      <c r="O1235" s="210"/>
      <c r="P1235" s="210"/>
      <c r="Q1235" s="210"/>
      <c r="R1235" s="210"/>
      <c r="S1235" s="210"/>
      <c r="T1235" s="210"/>
      <c r="U1235" s="210"/>
      <c r="V1235" s="210"/>
      <c r="W1235" s="210"/>
      <c r="X1235" s="210"/>
      <c r="Y1235" s="210"/>
      <c r="Z1235" s="210"/>
      <c r="AA1235" s="210"/>
      <c r="AB1235" s="210"/>
      <c r="AC1235" s="210"/>
      <c r="AD1235" s="210"/>
      <c r="AE1235" s="210"/>
      <c r="AF1235" s="210"/>
      <c r="AG1235" s="210"/>
      <c r="AH1235" s="210"/>
      <c r="AI1235" s="210"/>
      <c r="AJ1235" s="210"/>
      <c r="AK1235" s="210"/>
      <c r="AL1235" s="210"/>
      <c r="AM1235" s="214"/>
      <c r="AN1235" s="210"/>
      <c r="AO1235" s="210"/>
      <c r="AP1235" s="210"/>
      <c r="AQ1235" s="210"/>
      <c r="AR1235" s="210"/>
      <c r="AS1235" s="210"/>
      <c r="AT1235" s="210"/>
      <c r="AU1235" s="210"/>
      <c r="AV1235" s="210"/>
      <c r="AW1235" s="210"/>
      <c r="AX1235" s="210"/>
      <c r="AY1235" s="210"/>
      <c r="AZ1235" s="210"/>
      <c r="BA1235" s="210"/>
      <c r="BB1235" s="210"/>
      <c r="BC1235" s="210"/>
      <c r="BD1235" s="210"/>
      <c r="BE1235" s="210"/>
      <c r="BF1235" s="210"/>
      <c r="BG1235" s="210"/>
      <c r="BH1235" s="210"/>
      <c r="BI1235" s="210"/>
      <c r="BJ1235" s="210"/>
      <c r="BK1235" s="210"/>
      <c r="BL1235" s="210"/>
      <c r="BM1235" s="210"/>
      <c r="BN1235" s="210"/>
      <c r="BO1235" s="210"/>
      <c r="BP1235" s="210"/>
      <c r="BQ1235" s="210"/>
      <c r="BR1235" s="210"/>
      <c r="BS1235" s="210"/>
      <c r="BT1235" s="210"/>
      <c r="BU1235" s="210"/>
      <c r="BV1235" s="210"/>
      <c r="BW1235" s="210"/>
      <c r="BX1235" s="210"/>
      <c r="BY1235" s="210"/>
      <c r="BZ1235" s="210"/>
      <c r="CA1235" s="210"/>
      <c r="CB1235" s="210"/>
      <c r="CC1235" s="210"/>
      <c r="CD1235" s="210"/>
      <c r="CE1235" s="210"/>
      <c r="CF1235" s="210"/>
      <c r="CG1235" s="210"/>
      <c r="CH1235" s="210"/>
      <c r="CI1235" s="210"/>
      <c r="CJ1235" s="210"/>
      <c r="CK1235" s="210"/>
    </row>
    <row r="1236">
      <c r="A1236" s="220"/>
      <c r="F1236" s="190"/>
      <c r="G1236" s="190"/>
      <c r="L1236" s="220"/>
      <c r="M1236" s="220"/>
      <c r="O1236" s="210"/>
      <c r="P1236" s="210"/>
      <c r="Q1236" s="210"/>
      <c r="R1236" s="210"/>
      <c r="S1236" s="210"/>
      <c r="T1236" s="210"/>
      <c r="U1236" s="210"/>
      <c r="V1236" s="210"/>
      <c r="W1236" s="210"/>
      <c r="X1236" s="210"/>
      <c r="Y1236" s="210"/>
      <c r="Z1236" s="210"/>
      <c r="AA1236" s="210"/>
      <c r="AB1236" s="210"/>
      <c r="AC1236" s="210"/>
      <c r="AD1236" s="210"/>
      <c r="AE1236" s="210"/>
      <c r="AF1236" s="210"/>
      <c r="AG1236" s="210"/>
      <c r="AH1236" s="210"/>
      <c r="AI1236" s="210"/>
      <c r="AJ1236" s="210"/>
      <c r="AK1236" s="210"/>
      <c r="AL1236" s="210"/>
      <c r="AM1236" s="214"/>
      <c r="AN1236" s="210"/>
      <c r="AO1236" s="210"/>
      <c r="AP1236" s="210"/>
      <c r="AQ1236" s="210"/>
      <c r="AR1236" s="210"/>
      <c r="AS1236" s="210"/>
      <c r="AT1236" s="210"/>
      <c r="AU1236" s="210"/>
      <c r="AV1236" s="210"/>
      <c r="AW1236" s="210"/>
      <c r="AX1236" s="210"/>
      <c r="AY1236" s="210"/>
      <c r="AZ1236" s="210"/>
      <c r="BA1236" s="210"/>
      <c r="BB1236" s="210"/>
      <c r="BC1236" s="210"/>
      <c r="BD1236" s="210"/>
      <c r="BE1236" s="210"/>
      <c r="BF1236" s="210"/>
      <c r="BG1236" s="210"/>
      <c r="BH1236" s="210"/>
      <c r="BI1236" s="210"/>
      <c r="BJ1236" s="210"/>
      <c r="BK1236" s="210"/>
      <c r="BL1236" s="210"/>
      <c r="BM1236" s="210"/>
      <c r="BN1236" s="210"/>
      <c r="BO1236" s="210"/>
      <c r="BP1236" s="210"/>
      <c r="BQ1236" s="210"/>
      <c r="BR1236" s="210"/>
      <c r="BS1236" s="210"/>
      <c r="BT1236" s="210"/>
      <c r="BU1236" s="210"/>
      <c r="BV1236" s="210"/>
      <c r="BW1236" s="210"/>
      <c r="BX1236" s="210"/>
      <c r="BY1236" s="210"/>
      <c r="BZ1236" s="210"/>
      <c r="CA1236" s="210"/>
      <c r="CB1236" s="210"/>
      <c r="CC1236" s="210"/>
      <c r="CD1236" s="210"/>
      <c r="CE1236" s="210"/>
      <c r="CF1236" s="210"/>
      <c r="CG1236" s="210"/>
      <c r="CH1236" s="210"/>
      <c r="CI1236" s="210"/>
      <c r="CJ1236" s="210"/>
      <c r="CK1236" s="210"/>
    </row>
    <row r="1237">
      <c r="A1237" s="220"/>
      <c r="F1237" s="190"/>
      <c r="G1237" s="190"/>
      <c r="L1237" s="220"/>
      <c r="M1237" s="220"/>
      <c r="O1237" s="210"/>
      <c r="P1237" s="210"/>
      <c r="Q1237" s="210"/>
      <c r="R1237" s="210"/>
      <c r="S1237" s="210"/>
      <c r="T1237" s="210"/>
      <c r="U1237" s="210"/>
      <c r="V1237" s="210"/>
      <c r="W1237" s="210"/>
      <c r="X1237" s="210"/>
      <c r="Y1237" s="210"/>
      <c r="Z1237" s="210"/>
      <c r="AA1237" s="210"/>
      <c r="AB1237" s="210"/>
      <c r="AC1237" s="210"/>
      <c r="AD1237" s="210"/>
      <c r="AE1237" s="210"/>
      <c r="AF1237" s="210"/>
      <c r="AG1237" s="210"/>
      <c r="AH1237" s="210"/>
      <c r="AI1237" s="210"/>
      <c r="AJ1237" s="210"/>
      <c r="AK1237" s="210"/>
      <c r="AL1237" s="210"/>
      <c r="AM1237" s="214"/>
      <c r="AN1237" s="210"/>
      <c r="AO1237" s="210"/>
      <c r="AP1237" s="210"/>
      <c r="AQ1237" s="210"/>
      <c r="AR1237" s="210"/>
      <c r="AS1237" s="210"/>
      <c r="AT1237" s="210"/>
      <c r="AU1237" s="210"/>
      <c r="AV1237" s="210"/>
      <c r="AW1237" s="210"/>
      <c r="AX1237" s="210"/>
      <c r="AY1237" s="210"/>
      <c r="AZ1237" s="210"/>
      <c r="BA1237" s="210"/>
      <c r="BB1237" s="210"/>
      <c r="BC1237" s="210"/>
      <c r="BD1237" s="210"/>
      <c r="BE1237" s="210"/>
      <c r="BF1237" s="210"/>
      <c r="BG1237" s="210"/>
      <c r="BH1237" s="210"/>
      <c r="BI1237" s="210"/>
      <c r="BJ1237" s="210"/>
      <c r="BK1237" s="210"/>
      <c r="BL1237" s="210"/>
      <c r="BM1237" s="210"/>
      <c r="BN1237" s="210"/>
      <c r="BO1237" s="210"/>
      <c r="BP1237" s="210"/>
      <c r="BQ1237" s="210"/>
      <c r="BR1237" s="210"/>
      <c r="BS1237" s="210"/>
      <c r="BT1237" s="210"/>
      <c r="BU1237" s="210"/>
      <c r="BV1237" s="210"/>
      <c r="BW1237" s="210"/>
      <c r="BX1237" s="210"/>
      <c r="BY1237" s="210"/>
      <c r="BZ1237" s="210"/>
      <c r="CA1237" s="210"/>
      <c r="CB1237" s="210"/>
      <c r="CC1237" s="210"/>
      <c r="CD1237" s="210"/>
      <c r="CE1237" s="210"/>
      <c r="CF1237" s="210"/>
      <c r="CG1237" s="210"/>
      <c r="CH1237" s="210"/>
      <c r="CI1237" s="210"/>
      <c r="CJ1237" s="210"/>
      <c r="CK1237" s="210"/>
    </row>
    <row r="1238">
      <c r="A1238" s="220"/>
      <c r="F1238" s="190"/>
      <c r="G1238" s="190"/>
      <c r="L1238" s="220"/>
      <c r="M1238" s="220"/>
      <c r="O1238" s="210"/>
      <c r="P1238" s="210"/>
      <c r="Q1238" s="210"/>
      <c r="R1238" s="210"/>
      <c r="S1238" s="210"/>
      <c r="T1238" s="210"/>
      <c r="U1238" s="210"/>
      <c r="V1238" s="210"/>
      <c r="W1238" s="210"/>
      <c r="X1238" s="210"/>
      <c r="Y1238" s="210"/>
      <c r="Z1238" s="210"/>
      <c r="AA1238" s="210"/>
      <c r="AB1238" s="210"/>
      <c r="AC1238" s="210"/>
      <c r="AD1238" s="210"/>
      <c r="AE1238" s="210"/>
      <c r="AF1238" s="210"/>
      <c r="AG1238" s="210"/>
      <c r="AH1238" s="210"/>
      <c r="AI1238" s="210"/>
      <c r="AJ1238" s="210"/>
      <c r="AK1238" s="210"/>
      <c r="AL1238" s="210"/>
      <c r="AM1238" s="214"/>
      <c r="AN1238" s="210"/>
      <c r="AO1238" s="210"/>
      <c r="AP1238" s="210"/>
      <c r="AQ1238" s="210"/>
      <c r="AR1238" s="210"/>
      <c r="AS1238" s="210"/>
      <c r="AT1238" s="210"/>
      <c r="AU1238" s="210"/>
      <c r="AV1238" s="210"/>
      <c r="AW1238" s="210"/>
      <c r="AX1238" s="210"/>
      <c r="AY1238" s="210"/>
      <c r="AZ1238" s="210"/>
      <c r="BA1238" s="210"/>
      <c r="BB1238" s="210"/>
      <c r="BC1238" s="210"/>
      <c r="BD1238" s="210"/>
      <c r="BE1238" s="210"/>
      <c r="BF1238" s="210"/>
      <c r="BG1238" s="210"/>
      <c r="BH1238" s="210"/>
      <c r="BI1238" s="210"/>
      <c r="BJ1238" s="210"/>
      <c r="BK1238" s="210"/>
      <c r="BL1238" s="210"/>
      <c r="BM1238" s="210"/>
      <c r="BN1238" s="210"/>
      <c r="BO1238" s="210"/>
      <c r="BP1238" s="210"/>
      <c r="BQ1238" s="210"/>
      <c r="BR1238" s="210"/>
      <c r="BS1238" s="210"/>
      <c r="BT1238" s="210"/>
      <c r="BU1238" s="210"/>
      <c r="BV1238" s="210"/>
      <c r="BW1238" s="210"/>
      <c r="BX1238" s="210"/>
      <c r="BY1238" s="210"/>
      <c r="BZ1238" s="210"/>
      <c r="CA1238" s="210"/>
      <c r="CB1238" s="210"/>
      <c r="CC1238" s="210"/>
      <c r="CD1238" s="210"/>
      <c r="CE1238" s="210"/>
      <c r="CF1238" s="210"/>
      <c r="CG1238" s="210"/>
      <c r="CH1238" s="210"/>
      <c r="CI1238" s="210"/>
      <c r="CJ1238" s="210"/>
      <c r="CK1238" s="210"/>
    </row>
    <row r="1239">
      <c r="A1239" s="220"/>
      <c r="F1239" s="190"/>
      <c r="G1239" s="190"/>
      <c r="L1239" s="220"/>
      <c r="M1239" s="220"/>
      <c r="O1239" s="210"/>
      <c r="P1239" s="210"/>
      <c r="Q1239" s="210"/>
      <c r="R1239" s="210"/>
      <c r="S1239" s="210"/>
      <c r="T1239" s="210"/>
      <c r="U1239" s="210"/>
      <c r="V1239" s="210"/>
      <c r="W1239" s="210"/>
      <c r="X1239" s="210"/>
      <c r="Y1239" s="210"/>
      <c r="Z1239" s="210"/>
      <c r="AA1239" s="210"/>
      <c r="AB1239" s="210"/>
      <c r="AC1239" s="210"/>
      <c r="AD1239" s="210"/>
      <c r="AE1239" s="210"/>
      <c r="AF1239" s="210"/>
      <c r="AG1239" s="210"/>
      <c r="AH1239" s="210"/>
      <c r="AI1239" s="210"/>
      <c r="AJ1239" s="210"/>
      <c r="AK1239" s="210"/>
      <c r="AL1239" s="210"/>
      <c r="AM1239" s="214"/>
      <c r="AN1239" s="210"/>
      <c r="AO1239" s="210"/>
      <c r="AP1239" s="210"/>
      <c r="AQ1239" s="210"/>
      <c r="AR1239" s="210"/>
      <c r="AS1239" s="210"/>
      <c r="AT1239" s="210"/>
      <c r="AU1239" s="210"/>
      <c r="AV1239" s="210"/>
      <c r="AW1239" s="210"/>
      <c r="AX1239" s="210"/>
      <c r="AY1239" s="210"/>
      <c r="AZ1239" s="210"/>
      <c r="BA1239" s="210"/>
      <c r="BB1239" s="210"/>
      <c r="BC1239" s="210"/>
      <c r="BD1239" s="210"/>
      <c r="BE1239" s="210"/>
      <c r="BF1239" s="210"/>
      <c r="BG1239" s="210"/>
      <c r="BH1239" s="210"/>
      <c r="BI1239" s="210"/>
      <c r="BJ1239" s="210"/>
      <c r="BK1239" s="210"/>
      <c r="BL1239" s="210"/>
      <c r="BM1239" s="210"/>
      <c r="BN1239" s="210"/>
      <c r="BO1239" s="210"/>
      <c r="BP1239" s="210"/>
      <c r="BQ1239" s="210"/>
      <c r="BR1239" s="210"/>
      <c r="BS1239" s="210"/>
      <c r="BT1239" s="210"/>
      <c r="BU1239" s="210"/>
      <c r="BV1239" s="210"/>
      <c r="BW1239" s="210"/>
      <c r="BX1239" s="210"/>
      <c r="BY1239" s="210"/>
      <c r="BZ1239" s="210"/>
      <c r="CA1239" s="210"/>
      <c r="CB1239" s="210"/>
      <c r="CC1239" s="210"/>
      <c r="CD1239" s="210"/>
      <c r="CE1239" s="210"/>
      <c r="CF1239" s="210"/>
      <c r="CG1239" s="210"/>
      <c r="CH1239" s="210"/>
      <c r="CI1239" s="210"/>
      <c r="CJ1239" s="210"/>
      <c r="CK1239" s="210"/>
    </row>
    <row r="1240">
      <c r="A1240" s="220"/>
      <c r="F1240" s="190"/>
      <c r="G1240" s="190"/>
      <c r="L1240" s="220"/>
      <c r="M1240" s="220"/>
      <c r="O1240" s="210"/>
      <c r="P1240" s="210"/>
      <c r="Q1240" s="210"/>
      <c r="R1240" s="210"/>
      <c r="S1240" s="210"/>
      <c r="T1240" s="210"/>
      <c r="U1240" s="210"/>
      <c r="V1240" s="210"/>
      <c r="W1240" s="210"/>
      <c r="X1240" s="210"/>
      <c r="Y1240" s="210"/>
      <c r="Z1240" s="210"/>
      <c r="AA1240" s="210"/>
      <c r="AB1240" s="210"/>
      <c r="AC1240" s="210"/>
      <c r="AD1240" s="210"/>
      <c r="AE1240" s="210"/>
      <c r="AF1240" s="210"/>
      <c r="AG1240" s="210"/>
      <c r="AH1240" s="210"/>
      <c r="AI1240" s="210"/>
      <c r="AJ1240" s="210"/>
      <c r="AK1240" s="210"/>
      <c r="AL1240" s="210"/>
      <c r="AM1240" s="214"/>
      <c r="AN1240" s="210"/>
      <c r="AO1240" s="210"/>
      <c r="AP1240" s="210"/>
      <c r="AQ1240" s="210"/>
      <c r="AR1240" s="210"/>
      <c r="AS1240" s="210"/>
      <c r="AT1240" s="210"/>
      <c r="AU1240" s="210"/>
      <c r="AV1240" s="210"/>
      <c r="AW1240" s="210"/>
      <c r="AX1240" s="210"/>
      <c r="AY1240" s="210"/>
      <c r="AZ1240" s="210"/>
      <c r="BA1240" s="210"/>
      <c r="BB1240" s="210"/>
      <c r="BC1240" s="210"/>
      <c r="BD1240" s="210"/>
      <c r="BE1240" s="210"/>
      <c r="BF1240" s="210"/>
      <c r="BG1240" s="210"/>
      <c r="BH1240" s="210"/>
      <c r="BI1240" s="210"/>
      <c r="BJ1240" s="210"/>
      <c r="BK1240" s="210"/>
      <c r="BL1240" s="210"/>
      <c r="BM1240" s="210"/>
      <c r="BN1240" s="210"/>
      <c r="BO1240" s="210"/>
      <c r="BP1240" s="210"/>
      <c r="BQ1240" s="210"/>
      <c r="BR1240" s="210"/>
      <c r="BS1240" s="210"/>
      <c r="BT1240" s="210"/>
      <c r="BU1240" s="210"/>
      <c r="BV1240" s="210"/>
      <c r="BW1240" s="210"/>
      <c r="BX1240" s="210"/>
      <c r="BY1240" s="210"/>
      <c r="BZ1240" s="210"/>
      <c r="CA1240" s="210"/>
      <c r="CB1240" s="210"/>
      <c r="CC1240" s="210"/>
      <c r="CD1240" s="210"/>
      <c r="CE1240" s="210"/>
      <c r="CF1240" s="210"/>
      <c r="CG1240" s="210"/>
      <c r="CH1240" s="210"/>
      <c r="CI1240" s="210"/>
      <c r="CJ1240" s="210"/>
      <c r="CK1240" s="210"/>
    </row>
    <row r="1241">
      <c r="A1241" s="220"/>
      <c r="F1241" s="190"/>
      <c r="G1241" s="190"/>
      <c r="L1241" s="220"/>
      <c r="M1241" s="220"/>
      <c r="O1241" s="210"/>
      <c r="P1241" s="210"/>
      <c r="Q1241" s="210"/>
      <c r="R1241" s="210"/>
      <c r="S1241" s="210"/>
      <c r="T1241" s="210"/>
      <c r="U1241" s="210"/>
      <c r="V1241" s="210"/>
      <c r="W1241" s="210"/>
      <c r="X1241" s="210"/>
      <c r="Y1241" s="210"/>
      <c r="Z1241" s="210"/>
      <c r="AA1241" s="210"/>
      <c r="AB1241" s="210"/>
      <c r="AC1241" s="210"/>
      <c r="AD1241" s="210"/>
      <c r="AE1241" s="210"/>
      <c r="AF1241" s="210"/>
      <c r="AG1241" s="210"/>
      <c r="AH1241" s="210"/>
      <c r="AI1241" s="210"/>
      <c r="AJ1241" s="210"/>
      <c r="AK1241" s="210"/>
      <c r="AL1241" s="210"/>
      <c r="AM1241" s="214"/>
      <c r="AN1241" s="210"/>
      <c r="AO1241" s="210"/>
      <c r="AP1241" s="210"/>
      <c r="AQ1241" s="210"/>
      <c r="AR1241" s="210"/>
      <c r="AS1241" s="210"/>
      <c r="AT1241" s="210"/>
      <c r="AU1241" s="210"/>
      <c r="AV1241" s="210"/>
      <c r="AW1241" s="210"/>
      <c r="AX1241" s="210"/>
      <c r="AY1241" s="210"/>
      <c r="AZ1241" s="210"/>
      <c r="BA1241" s="210"/>
      <c r="BB1241" s="210"/>
      <c r="BC1241" s="210"/>
      <c r="BD1241" s="210"/>
      <c r="BE1241" s="210"/>
      <c r="BF1241" s="210"/>
      <c r="BG1241" s="210"/>
      <c r="BH1241" s="210"/>
      <c r="BI1241" s="210"/>
      <c r="BJ1241" s="210"/>
      <c r="BK1241" s="210"/>
      <c r="BL1241" s="210"/>
      <c r="BM1241" s="210"/>
      <c r="BN1241" s="210"/>
      <c r="BO1241" s="210"/>
      <c r="BP1241" s="210"/>
      <c r="BQ1241" s="210"/>
      <c r="BR1241" s="210"/>
      <c r="BS1241" s="210"/>
      <c r="BT1241" s="210"/>
      <c r="BU1241" s="210"/>
      <c r="BV1241" s="210"/>
      <c r="BW1241" s="210"/>
      <c r="BX1241" s="210"/>
      <c r="BY1241" s="210"/>
      <c r="BZ1241" s="210"/>
      <c r="CA1241" s="210"/>
      <c r="CB1241" s="210"/>
      <c r="CC1241" s="210"/>
      <c r="CD1241" s="210"/>
      <c r="CE1241" s="210"/>
      <c r="CF1241" s="210"/>
      <c r="CG1241" s="210"/>
      <c r="CH1241" s="210"/>
      <c r="CI1241" s="210"/>
      <c r="CJ1241" s="210"/>
      <c r="CK1241" s="210"/>
    </row>
    <row r="1242">
      <c r="A1242" s="220"/>
      <c r="F1242" s="190"/>
      <c r="G1242" s="190"/>
      <c r="L1242" s="220"/>
      <c r="M1242" s="220"/>
      <c r="O1242" s="210"/>
      <c r="P1242" s="210"/>
      <c r="Q1242" s="210"/>
      <c r="R1242" s="210"/>
      <c r="S1242" s="210"/>
      <c r="T1242" s="210"/>
      <c r="U1242" s="210"/>
      <c r="V1242" s="210"/>
      <c r="W1242" s="210"/>
      <c r="X1242" s="210"/>
      <c r="Y1242" s="210"/>
      <c r="Z1242" s="210"/>
      <c r="AA1242" s="210"/>
      <c r="AB1242" s="210"/>
      <c r="AC1242" s="210"/>
      <c r="AD1242" s="210"/>
      <c r="AE1242" s="210"/>
      <c r="AF1242" s="210"/>
      <c r="AG1242" s="210"/>
      <c r="AH1242" s="210"/>
      <c r="AI1242" s="210"/>
      <c r="AJ1242" s="210"/>
      <c r="AK1242" s="210"/>
      <c r="AL1242" s="210"/>
      <c r="AM1242" s="214"/>
      <c r="AN1242" s="210"/>
      <c r="AO1242" s="210"/>
      <c r="AP1242" s="210"/>
      <c r="AQ1242" s="210"/>
      <c r="AR1242" s="210"/>
      <c r="AS1242" s="210"/>
      <c r="AT1242" s="210"/>
      <c r="AU1242" s="210"/>
      <c r="AV1242" s="210"/>
      <c r="AW1242" s="210"/>
      <c r="AX1242" s="210"/>
      <c r="AY1242" s="210"/>
      <c r="AZ1242" s="210"/>
      <c r="BA1242" s="210"/>
      <c r="BB1242" s="210"/>
      <c r="BC1242" s="210"/>
      <c r="BD1242" s="210"/>
      <c r="BE1242" s="210"/>
      <c r="BF1242" s="210"/>
      <c r="BG1242" s="210"/>
      <c r="BH1242" s="210"/>
      <c r="BI1242" s="210"/>
      <c r="BJ1242" s="210"/>
      <c r="BK1242" s="210"/>
      <c r="BL1242" s="210"/>
      <c r="BM1242" s="210"/>
      <c r="BN1242" s="210"/>
      <c r="BO1242" s="210"/>
      <c r="BP1242" s="210"/>
      <c r="BQ1242" s="210"/>
      <c r="BR1242" s="210"/>
      <c r="BS1242" s="210"/>
      <c r="BT1242" s="210"/>
      <c r="BU1242" s="210"/>
      <c r="BV1242" s="210"/>
      <c r="BW1242" s="210"/>
      <c r="BX1242" s="210"/>
      <c r="BY1242" s="210"/>
      <c r="BZ1242" s="210"/>
      <c r="CA1242" s="210"/>
      <c r="CB1242" s="210"/>
      <c r="CC1242" s="210"/>
      <c r="CD1242" s="210"/>
      <c r="CE1242" s="210"/>
      <c r="CF1242" s="210"/>
      <c r="CG1242" s="210"/>
      <c r="CH1242" s="210"/>
      <c r="CI1242" s="210"/>
      <c r="CJ1242" s="210"/>
      <c r="CK1242" s="210"/>
    </row>
    <row r="1243">
      <c r="A1243" s="220"/>
      <c r="F1243" s="190"/>
      <c r="G1243" s="190"/>
      <c r="L1243" s="220"/>
      <c r="M1243" s="220"/>
      <c r="O1243" s="210"/>
      <c r="P1243" s="210"/>
      <c r="Q1243" s="210"/>
      <c r="R1243" s="210"/>
      <c r="S1243" s="210"/>
      <c r="T1243" s="210"/>
      <c r="U1243" s="210"/>
      <c r="V1243" s="210"/>
      <c r="W1243" s="210"/>
      <c r="X1243" s="210"/>
      <c r="Y1243" s="210"/>
      <c r="Z1243" s="210"/>
      <c r="AA1243" s="210"/>
      <c r="AB1243" s="210"/>
      <c r="AC1243" s="210"/>
      <c r="AD1243" s="210"/>
      <c r="AE1243" s="210"/>
      <c r="AF1243" s="210"/>
      <c r="AG1243" s="210"/>
      <c r="AH1243" s="210"/>
      <c r="AI1243" s="210"/>
      <c r="AJ1243" s="210"/>
      <c r="AK1243" s="210"/>
      <c r="AL1243" s="210"/>
      <c r="AM1243" s="214"/>
      <c r="AN1243" s="210"/>
      <c r="AO1243" s="210"/>
      <c r="AP1243" s="210"/>
      <c r="AQ1243" s="210"/>
      <c r="AR1243" s="210"/>
      <c r="AS1243" s="210"/>
      <c r="AT1243" s="210"/>
      <c r="AU1243" s="210"/>
      <c r="AV1243" s="210"/>
      <c r="AW1243" s="210"/>
      <c r="AX1243" s="210"/>
      <c r="AY1243" s="210"/>
      <c r="AZ1243" s="210"/>
      <c r="BA1243" s="210"/>
      <c r="BB1243" s="210"/>
      <c r="BC1243" s="210"/>
      <c r="BD1243" s="210"/>
      <c r="BE1243" s="210"/>
      <c r="BF1243" s="210"/>
      <c r="BG1243" s="210"/>
      <c r="BH1243" s="210"/>
      <c r="BI1243" s="210"/>
      <c r="BJ1243" s="210"/>
      <c r="BK1243" s="210"/>
      <c r="BL1243" s="210"/>
      <c r="BM1243" s="210"/>
      <c r="BN1243" s="210"/>
      <c r="BO1243" s="210"/>
      <c r="BP1243" s="210"/>
      <c r="BQ1243" s="210"/>
      <c r="BR1243" s="210"/>
      <c r="BS1243" s="210"/>
      <c r="BT1243" s="210"/>
      <c r="BU1243" s="210"/>
      <c r="BV1243" s="210"/>
      <c r="BW1243" s="210"/>
      <c r="BX1243" s="210"/>
      <c r="BY1243" s="210"/>
      <c r="BZ1243" s="210"/>
      <c r="CA1243" s="210"/>
      <c r="CB1243" s="210"/>
      <c r="CC1243" s="210"/>
      <c r="CD1243" s="210"/>
      <c r="CE1243" s="210"/>
      <c r="CF1243" s="210"/>
      <c r="CG1243" s="210"/>
      <c r="CH1243" s="210"/>
      <c r="CI1243" s="210"/>
      <c r="CJ1243" s="210"/>
      <c r="CK1243" s="210"/>
    </row>
    <row r="1244">
      <c r="A1244" s="220"/>
      <c r="F1244" s="190"/>
      <c r="G1244" s="190"/>
      <c r="L1244" s="220"/>
      <c r="M1244" s="220"/>
      <c r="O1244" s="210"/>
      <c r="P1244" s="210"/>
      <c r="Q1244" s="210"/>
      <c r="R1244" s="210"/>
      <c r="S1244" s="210"/>
      <c r="T1244" s="210"/>
      <c r="U1244" s="210"/>
      <c r="V1244" s="210"/>
      <c r="W1244" s="210"/>
      <c r="X1244" s="210"/>
      <c r="Y1244" s="210"/>
      <c r="Z1244" s="210"/>
      <c r="AA1244" s="210"/>
      <c r="AB1244" s="210"/>
      <c r="AC1244" s="210"/>
      <c r="AD1244" s="210"/>
      <c r="AE1244" s="210"/>
      <c r="AF1244" s="210"/>
      <c r="AG1244" s="210"/>
      <c r="AH1244" s="210"/>
      <c r="AI1244" s="210"/>
      <c r="AJ1244" s="210"/>
      <c r="AK1244" s="210"/>
      <c r="AL1244" s="210"/>
      <c r="AM1244" s="214"/>
      <c r="AN1244" s="210"/>
      <c r="AO1244" s="210"/>
      <c r="AP1244" s="210"/>
      <c r="AQ1244" s="210"/>
      <c r="AR1244" s="210"/>
      <c r="AS1244" s="210"/>
      <c r="AT1244" s="210"/>
      <c r="AU1244" s="210"/>
      <c r="AV1244" s="210"/>
      <c r="AW1244" s="210"/>
      <c r="AX1244" s="210"/>
      <c r="AY1244" s="210"/>
      <c r="AZ1244" s="210"/>
      <c r="BA1244" s="210"/>
      <c r="BB1244" s="210"/>
      <c r="BC1244" s="210"/>
      <c r="BD1244" s="210"/>
      <c r="BE1244" s="210"/>
      <c r="BF1244" s="210"/>
      <c r="BG1244" s="210"/>
      <c r="BH1244" s="210"/>
      <c r="BI1244" s="210"/>
      <c r="BJ1244" s="210"/>
      <c r="BK1244" s="210"/>
      <c r="BL1244" s="210"/>
      <c r="BM1244" s="210"/>
      <c r="BN1244" s="210"/>
      <c r="BO1244" s="210"/>
      <c r="BP1244" s="210"/>
      <c r="BQ1244" s="210"/>
      <c r="BR1244" s="210"/>
      <c r="BS1244" s="210"/>
      <c r="BT1244" s="210"/>
      <c r="BU1244" s="210"/>
      <c r="BV1244" s="210"/>
      <c r="BW1244" s="210"/>
      <c r="BX1244" s="210"/>
      <c r="BY1244" s="210"/>
      <c r="BZ1244" s="210"/>
      <c r="CA1244" s="210"/>
      <c r="CB1244" s="210"/>
      <c r="CC1244" s="210"/>
      <c r="CD1244" s="210"/>
      <c r="CE1244" s="210"/>
      <c r="CF1244" s="210"/>
      <c r="CG1244" s="210"/>
      <c r="CH1244" s="210"/>
      <c r="CI1244" s="210"/>
      <c r="CJ1244" s="210"/>
      <c r="CK1244" s="210"/>
    </row>
    <row r="1245">
      <c r="A1245" s="220"/>
      <c r="F1245" s="190"/>
      <c r="G1245" s="190"/>
      <c r="L1245" s="220"/>
      <c r="M1245" s="220"/>
      <c r="O1245" s="210"/>
      <c r="P1245" s="210"/>
      <c r="Q1245" s="210"/>
      <c r="R1245" s="210"/>
      <c r="S1245" s="210"/>
      <c r="T1245" s="210"/>
      <c r="U1245" s="210"/>
      <c r="V1245" s="210"/>
      <c r="W1245" s="210"/>
      <c r="X1245" s="210"/>
      <c r="Y1245" s="210"/>
      <c r="Z1245" s="210"/>
      <c r="AA1245" s="210"/>
      <c r="AB1245" s="210"/>
      <c r="AC1245" s="210"/>
      <c r="AD1245" s="210"/>
      <c r="AE1245" s="210"/>
      <c r="AF1245" s="210"/>
      <c r="AG1245" s="210"/>
      <c r="AH1245" s="210"/>
      <c r="AI1245" s="210"/>
      <c r="AJ1245" s="210"/>
      <c r="AK1245" s="210"/>
      <c r="AL1245" s="210"/>
      <c r="AM1245" s="214"/>
      <c r="AN1245" s="210"/>
      <c r="AO1245" s="210"/>
      <c r="AP1245" s="210"/>
      <c r="AQ1245" s="210"/>
      <c r="AR1245" s="210"/>
      <c r="AS1245" s="210"/>
      <c r="AT1245" s="210"/>
      <c r="AU1245" s="210"/>
      <c r="AV1245" s="210"/>
      <c r="AW1245" s="210"/>
      <c r="AX1245" s="210"/>
      <c r="AY1245" s="210"/>
      <c r="AZ1245" s="210"/>
      <c r="BA1245" s="210"/>
      <c r="BB1245" s="210"/>
      <c r="BC1245" s="210"/>
      <c r="BD1245" s="210"/>
      <c r="BE1245" s="210"/>
      <c r="BF1245" s="210"/>
      <c r="BG1245" s="210"/>
      <c r="BH1245" s="210"/>
      <c r="BI1245" s="210"/>
      <c r="BJ1245" s="210"/>
      <c r="BK1245" s="210"/>
      <c r="BL1245" s="210"/>
      <c r="BM1245" s="210"/>
      <c r="BN1245" s="210"/>
      <c r="BO1245" s="210"/>
      <c r="BP1245" s="210"/>
      <c r="BQ1245" s="210"/>
      <c r="BR1245" s="210"/>
      <c r="BS1245" s="210"/>
      <c r="BT1245" s="210"/>
      <c r="BU1245" s="210"/>
      <c r="BV1245" s="210"/>
      <c r="BW1245" s="210"/>
      <c r="BX1245" s="210"/>
      <c r="BY1245" s="210"/>
      <c r="BZ1245" s="210"/>
      <c r="CA1245" s="210"/>
      <c r="CB1245" s="210"/>
      <c r="CC1245" s="210"/>
      <c r="CD1245" s="210"/>
      <c r="CE1245" s="210"/>
      <c r="CF1245" s="210"/>
      <c r="CG1245" s="210"/>
      <c r="CH1245" s="210"/>
      <c r="CI1245" s="210"/>
      <c r="CJ1245" s="210"/>
      <c r="CK1245" s="210"/>
    </row>
    <row r="1246">
      <c r="A1246" s="220"/>
      <c r="F1246" s="190"/>
      <c r="G1246" s="190"/>
      <c r="L1246" s="220"/>
      <c r="M1246" s="220"/>
      <c r="O1246" s="210"/>
      <c r="P1246" s="210"/>
      <c r="Q1246" s="210"/>
      <c r="R1246" s="210"/>
      <c r="S1246" s="210"/>
      <c r="T1246" s="210"/>
      <c r="U1246" s="210"/>
      <c r="V1246" s="210"/>
      <c r="W1246" s="210"/>
      <c r="X1246" s="210"/>
      <c r="Y1246" s="210"/>
      <c r="Z1246" s="210"/>
      <c r="AA1246" s="210"/>
      <c r="AB1246" s="210"/>
      <c r="AC1246" s="210"/>
      <c r="AD1246" s="210"/>
      <c r="AE1246" s="210"/>
      <c r="AF1246" s="210"/>
      <c r="AG1246" s="210"/>
      <c r="AH1246" s="210"/>
      <c r="AI1246" s="210"/>
      <c r="AJ1246" s="210"/>
      <c r="AK1246" s="210"/>
      <c r="AL1246" s="210"/>
      <c r="AM1246" s="214"/>
      <c r="AN1246" s="210"/>
      <c r="AO1246" s="210"/>
      <c r="AP1246" s="210"/>
      <c r="AQ1246" s="210"/>
      <c r="AR1246" s="210"/>
      <c r="AS1246" s="210"/>
      <c r="AT1246" s="210"/>
      <c r="AU1246" s="210"/>
      <c r="AV1246" s="210"/>
      <c r="AW1246" s="210"/>
      <c r="AX1246" s="210"/>
      <c r="AY1246" s="210"/>
      <c r="AZ1246" s="210"/>
      <c r="BA1246" s="210"/>
      <c r="BB1246" s="210"/>
      <c r="BC1246" s="210"/>
      <c r="BD1246" s="210"/>
      <c r="BE1246" s="210"/>
      <c r="BF1246" s="210"/>
      <c r="BG1246" s="210"/>
      <c r="BH1246" s="210"/>
      <c r="BI1246" s="210"/>
      <c r="BJ1246" s="210"/>
      <c r="BK1246" s="210"/>
      <c r="BL1246" s="210"/>
      <c r="BM1246" s="210"/>
      <c r="BN1246" s="210"/>
      <c r="BO1246" s="210"/>
      <c r="BP1246" s="210"/>
      <c r="BQ1246" s="210"/>
      <c r="BR1246" s="210"/>
      <c r="BS1246" s="210"/>
      <c r="BT1246" s="210"/>
      <c r="BU1246" s="210"/>
      <c r="BV1246" s="210"/>
      <c r="BW1246" s="210"/>
      <c r="BX1246" s="210"/>
      <c r="BY1246" s="210"/>
      <c r="BZ1246" s="210"/>
      <c r="CA1246" s="210"/>
      <c r="CB1246" s="210"/>
      <c r="CC1246" s="210"/>
      <c r="CD1246" s="210"/>
      <c r="CE1246" s="210"/>
      <c r="CF1246" s="210"/>
      <c r="CG1246" s="210"/>
      <c r="CH1246" s="210"/>
      <c r="CI1246" s="210"/>
      <c r="CJ1246" s="210"/>
      <c r="CK1246" s="210"/>
    </row>
    <row r="1247">
      <c r="A1247" s="220"/>
      <c r="F1247" s="190"/>
      <c r="G1247" s="190"/>
      <c r="L1247" s="220"/>
      <c r="M1247" s="220"/>
      <c r="O1247" s="210"/>
      <c r="P1247" s="210"/>
      <c r="Q1247" s="210"/>
      <c r="R1247" s="210"/>
      <c r="S1247" s="210"/>
      <c r="T1247" s="210"/>
      <c r="U1247" s="210"/>
      <c r="V1247" s="210"/>
      <c r="W1247" s="210"/>
      <c r="X1247" s="210"/>
      <c r="Y1247" s="210"/>
      <c r="Z1247" s="210"/>
      <c r="AA1247" s="210"/>
      <c r="AB1247" s="210"/>
      <c r="AC1247" s="210"/>
      <c r="AD1247" s="210"/>
      <c r="AE1247" s="210"/>
      <c r="AF1247" s="210"/>
      <c r="AG1247" s="210"/>
      <c r="AH1247" s="210"/>
      <c r="AI1247" s="210"/>
      <c r="AJ1247" s="210"/>
      <c r="AK1247" s="210"/>
      <c r="AL1247" s="210"/>
      <c r="AM1247" s="214"/>
      <c r="AN1247" s="210"/>
      <c r="AO1247" s="210"/>
      <c r="AP1247" s="210"/>
      <c r="AQ1247" s="210"/>
      <c r="AR1247" s="210"/>
      <c r="AS1247" s="210"/>
      <c r="AT1247" s="210"/>
      <c r="AU1247" s="210"/>
      <c r="AV1247" s="210"/>
      <c r="AW1247" s="210"/>
      <c r="AX1247" s="210"/>
      <c r="AY1247" s="210"/>
      <c r="AZ1247" s="210"/>
      <c r="BA1247" s="210"/>
      <c r="BB1247" s="210"/>
      <c r="BC1247" s="210"/>
      <c r="BD1247" s="210"/>
      <c r="BE1247" s="210"/>
      <c r="BF1247" s="210"/>
      <c r="BG1247" s="210"/>
      <c r="BH1247" s="210"/>
      <c r="BI1247" s="210"/>
      <c r="BJ1247" s="210"/>
      <c r="BK1247" s="210"/>
      <c r="BL1247" s="210"/>
      <c r="BM1247" s="210"/>
      <c r="BN1247" s="210"/>
      <c r="BO1247" s="210"/>
      <c r="BP1247" s="210"/>
      <c r="BQ1247" s="210"/>
      <c r="BR1247" s="210"/>
      <c r="BS1247" s="210"/>
      <c r="BT1247" s="210"/>
      <c r="BU1247" s="210"/>
      <c r="BV1247" s="210"/>
      <c r="BW1247" s="210"/>
      <c r="BX1247" s="210"/>
      <c r="BY1247" s="210"/>
      <c r="BZ1247" s="210"/>
      <c r="CA1247" s="210"/>
      <c r="CB1247" s="210"/>
      <c r="CC1247" s="210"/>
      <c r="CD1247" s="210"/>
      <c r="CE1247" s="210"/>
      <c r="CF1247" s="210"/>
      <c r="CG1247" s="210"/>
      <c r="CH1247" s="210"/>
      <c r="CI1247" s="210"/>
      <c r="CJ1247" s="210"/>
      <c r="CK1247" s="210"/>
    </row>
    <row r="1248">
      <c r="A1248" s="220"/>
      <c r="F1248" s="190"/>
      <c r="G1248" s="190"/>
      <c r="L1248" s="220"/>
      <c r="M1248" s="220"/>
      <c r="O1248" s="210"/>
      <c r="P1248" s="210"/>
      <c r="Q1248" s="210"/>
      <c r="R1248" s="210"/>
      <c r="S1248" s="210"/>
      <c r="T1248" s="210"/>
      <c r="U1248" s="210"/>
      <c r="V1248" s="210"/>
      <c r="W1248" s="210"/>
      <c r="X1248" s="210"/>
      <c r="Y1248" s="210"/>
      <c r="Z1248" s="210"/>
      <c r="AA1248" s="210"/>
      <c r="AB1248" s="210"/>
      <c r="AC1248" s="210"/>
      <c r="AD1248" s="210"/>
      <c r="AE1248" s="210"/>
      <c r="AF1248" s="210"/>
      <c r="AG1248" s="210"/>
      <c r="AH1248" s="210"/>
      <c r="AI1248" s="210"/>
      <c r="AJ1248" s="210"/>
      <c r="AK1248" s="210"/>
      <c r="AL1248" s="210"/>
      <c r="AM1248" s="214"/>
      <c r="AN1248" s="210"/>
      <c r="AO1248" s="210"/>
      <c r="AP1248" s="210"/>
      <c r="AQ1248" s="210"/>
      <c r="AR1248" s="210"/>
      <c r="AS1248" s="210"/>
      <c r="AT1248" s="210"/>
      <c r="AU1248" s="210"/>
      <c r="AV1248" s="210"/>
      <c r="AW1248" s="210"/>
      <c r="AX1248" s="210"/>
      <c r="AY1248" s="210"/>
      <c r="AZ1248" s="210"/>
      <c r="BA1248" s="210"/>
      <c r="BB1248" s="210"/>
      <c r="BC1248" s="210"/>
      <c r="BD1248" s="210"/>
      <c r="BE1248" s="210"/>
      <c r="BF1248" s="210"/>
      <c r="BG1248" s="210"/>
      <c r="BH1248" s="210"/>
      <c r="BI1248" s="210"/>
      <c r="BJ1248" s="210"/>
      <c r="BK1248" s="210"/>
      <c r="BL1248" s="210"/>
      <c r="BM1248" s="210"/>
      <c r="BN1248" s="210"/>
      <c r="BO1248" s="210"/>
      <c r="BP1248" s="210"/>
      <c r="BQ1248" s="210"/>
      <c r="BR1248" s="210"/>
      <c r="BS1248" s="210"/>
      <c r="BT1248" s="210"/>
      <c r="BU1248" s="210"/>
      <c r="BV1248" s="210"/>
      <c r="BW1248" s="210"/>
      <c r="BX1248" s="210"/>
      <c r="BY1248" s="210"/>
      <c r="BZ1248" s="210"/>
      <c r="CA1248" s="210"/>
      <c r="CB1248" s="210"/>
      <c r="CC1248" s="210"/>
      <c r="CD1248" s="210"/>
      <c r="CE1248" s="210"/>
      <c r="CF1248" s="210"/>
      <c r="CG1248" s="210"/>
      <c r="CH1248" s="210"/>
      <c r="CI1248" s="210"/>
      <c r="CJ1248" s="210"/>
      <c r="CK1248" s="210"/>
    </row>
    <row r="1249">
      <c r="A1249" s="220"/>
      <c r="F1249" s="190"/>
      <c r="G1249" s="190"/>
      <c r="L1249" s="220"/>
      <c r="M1249" s="220"/>
      <c r="O1249" s="210"/>
      <c r="P1249" s="210"/>
      <c r="Q1249" s="210"/>
      <c r="R1249" s="210"/>
      <c r="S1249" s="210"/>
      <c r="T1249" s="210"/>
      <c r="U1249" s="210"/>
      <c r="V1249" s="210"/>
      <c r="W1249" s="210"/>
      <c r="X1249" s="210"/>
      <c r="Y1249" s="210"/>
      <c r="Z1249" s="210"/>
      <c r="AA1249" s="210"/>
      <c r="AB1249" s="210"/>
      <c r="AC1249" s="210"/>
      <c r="AD1249" s="210"/>
      <c r="AE1249" s="210"/>
      <c r="AF1249" s="210"/>
      <c r="AG1249" s="210"/>
      <c r="AH1249" s="210"/>
      <c r="AI1249" s="210"/>
      <c r="AJ1249" s="210"/>
      <c r="AK1249" s="210"/>
      <c r="AL1249" s="210"/>
      <c r="AM1249" s="214"/>
      <c r="AN1249" s="210"/>
      <c r="AO1249" s="210"/>
      <c r="AP1249" s="210"/>
      <c r="AQ1249" s="210"/>
      <c r="AR1249" s="210"/>
      <c r="AS1249" s="210"/>
      <c r="AT1249" s="210"/>
      <c r="AU1249" s="210"/>
      <c r="AV1249" s="210"/>
      <c r="AW1249" s="210"/>
      <c r="AX1249" s="210"/>
      <c r="AY1249" s="210"/>
      <c r="AZ1249" s="210"/>
      <c r="BA1249" s="210"/>
      <c r="BB1249" s="210"/>
      <c r="BC1249" s="210"/>
      <c r="BD1249" s="210"/>
      <c r="BE1249" s="210"/>
      <c r="BF1249" s="210"/>
      <c r="BG1249" s="210"/>
      <c r="BH1249" s="210"/>
      <c r="BI1249" s="210"/>
      <c r="BJ1249" s="210"/>
      <c r="BK1249" s="210"/>
      <c r="BL1249" s="210"/>
      <c r="BM1249" s="210"/>
      <c r="BN1249" s="210"/>
      <c r="BO1249" s="210"/>
      <c r="BP1249" s="210"/>
      <c r="BQ1249" s="210"/>
      <c r="BR1249" s="210"/>
      <c r="BS1249" s="210"/>
      <c r="BT1249" s="210"/>
      <c r="BU1249" s="210"/>
      <c r="BV1249" s="210"/>
      <c r="BW1249" s="210"/>
      <c r="BX1249" s="210"/>
      <c r="BY1249" s="210"/>
      <c r="BZ1249" s="210"/>
      <c r="CA1249" s="210"/>
      <c r="CB1249" s="210"/>
      <c r="CC1249" s="210"/>
      <c r="CD1249" s="210"/>
      <c r="CE1249" s="210"/>
      <c r="CF1249" s="210"/>
      <c r="CG1249" s="210"/>
      <c r="CH1249" s="210"/>
      <c r="CI1249" s="210"/>
      <c r="CJ1249" s="210"/>
      <c r="CK1249" s="210"/>
    </row>
    <row r="1250">
      <c r="A1250" s="220"/>
      <c r="F1250" s="190"/>
      <c r="G1250" s="190"/>
      <c r="L1250" s="220"/>
      <c r="M1250" s="220"/>
      <c r="O1250" s="210"/>
      <c r="P1250" s="210"/>
      <c r="Q1250" s="210"/>
      <c r="R1250" s="210"/>
      <c r="S1250" s="210"/>
      <c r="T1250" s="210"/>
      <c r="U1250" s="210"/>
      <c r="V1250" s="210"/>
      <c r="W1250" s="210"/>
      <c r="X1250" s="210"/>
      <c r="Y1250" s="210"/>
      <c r="Z1250" s="210"/>
      <c r="AA1250" s="210"/>
      <c r="AB1250" s="210"/>
      <c r="AC1250" s="210"/>
      <c r="AD1250" s="210"/>
      <c r="AE1250" s="210"/>
      <c r="AF1250" s="210"/>
      <c r="AG1250" s="210"/>
      <c r="AH1250" s="210"/>
      <c r="AI1250" s="210"/>
      <c r="AJ1250" s="210"/>
      <c r="AK1250" s="210"/>
      <c r="AL1250" s="210"/>
      <c r="AM1250" s="214"/>
      <c r="AN1250" s="210"/>
      <c r="AO1250" s="210"/>
      <c r="AP1250" s="210"/>
      <c r="AQ1250" s="210"/>
      <c r="AR1250" s="210"/>
      <c r="AS1250" s="210"/>
      <c r="AT1250" s="210"/>
      <c r="AU1250" s="210"/>
      <c r="AV1250" s="210"/>
      <c r="AW1250" s="210"/>
      <c r="AX1250" s="210"/>
      <c r="AY1250" s="210"/>
      <c r="AZ1250" s="210"/>
      <c r="BA1250" s="210"/>
      <c r="BB1250" s="210"/>
      <c r="BC1250" s="210"/>
      <c r="BD1250" s="210"/>
      <c r="BE1250" s="210"/>
      <c r="BF1250" s="210"/>
      <c r="BG1250" s="210"/>
      <c r="BH1250" s="210"/>
      <c r="BI1250" s="210"/>
      <c r="BJ1250" s="210"/>
      <c r="BK1250" s="210"/>
      <c r="BL1250" s="210"/>
      <c r="BM1250" s="210"/>
      <c r="BN1250" s="210"/>
      <c r="BO1250" s="210"/>
      <c r="BP1250" s="210"/>
      <c r="BQ1250" s="210"/>
      <c r="BR1250" s="210"/>
      <c r="BS1250" s="210"/>
      <c r="BT1250" s="210"/>
      <c r="BU1250" s="210"/>
      <c r="BV1250" s="210"/>
      <c r="BW1250" s="210"/>
      <c r="BX1250" s="210"/>
      <c r="BY1250" s="210"/>
      <c r="BZ1250" s="210"/>
      <c r="CA1250" s="210"/>
      <c r="CB1250" s="210"/>
      <c r="CC1250" s="210"/>
      <c r="CD1250" s="210"/>
      <c r="CE1250" s="210"/>
      <c r="CF1250" s="210"/>
      <c r="CG1250" s="210"/>
      <c r="CH1250" s="210"/>
      <c r="CI1250" s="210"/>
      <c r="CJ1250" s="210"/>
      <c r="CK1250" s="210"/>
    </row>
    <row r="1251">
      <c r="A1251" s="220"/>
      <c r="F1251" s="190"/>
      <c r="G1251" s="190"/>
      <c r="L1251" s="220"/>
      <c r="M1251" s="220"/>
      <c r="O1251" s="210"/>
      <c r="P1251" s="210"/>
      <c r="Q1251" s="210"/>
      <c r="R1251" s="210"/>
      <c r="S1251" s="210"/>
      <c r="T1251" s="210"/>
      <c r="U1251" s="210"/>
      <c r="V1251" s="210"/>
      <c r="W1251" s="210"/>
      <c r="X1251" s="210"/>
      <c r="Y1251" s="210"/>
      <c r="Z1251" s="210"/>
      <c r="AA1251" s="210"/>
      <c r="AB1251" s="210"/>
      <c r="AC1251" s="210"/>
      <c r="AD1251" s="210"/>
      <c r="AE1251" s="210"/>
      <c r="AF1251" s="210"/>
      <c r="AG1251" s="210"/>
      <c r="AH1251" s="210"/>
      <c r="AI1251" s="210"/>
      <c r="AJ1251" s="210"/>
      <c r="AK1251" s="210"/>
      <c r="AL1251" s="210"/>
      <c r="AM1251" s="214"/>
      <c r="AN1251" s="210"/>
      <c r="AO1251" s="210"/>
      <c r="AP1251" s="210"/>
      <c r="AQ1251" s="210"/>
      <c r="AR1251" s="210"/>
      <c r="AS1251" s="210"/>
      <c r="AT1251" s="210"/>
      <c r="AU1251" s="210"/>
      <c r="AV1251" s="210"/>
      <c r="AW1251" s="210"/>
      <c r="AX1251" s="210"/>
      <c r="AY1251" s="210"/>
      <c r="AZ1251" s="210"/>
      <c r="BA1251" s="210"/>
      <c r="BB1251" s="210"/>
      <c r="BC1251" s="210"/>
      <c r="BD1251" s="210"/>
      <c r="BE1251" s="210"/>
      <c r="BF1251" s="210"/>
      <c r="BG1251" s="210"/>
      <c r="BH1251" s="210"/>
      <c r="BI1251" s="210"/>
      <c r="BJ1251" s="210"/>
      <c r="BK1251" s="210"/>
      <c r="BL1251" s="210"/>
      <c r="BM1251" s="210"/>
      <c r="BN1251" s="210"/>
      <c r="BO1251" s="210"/>
      <c r="BP1251" s="210"/>
      <c r="BQ1251" s="210"/>
      <c r="BR1251" s="210"/>
      <c r="BS1251" s="210"/>
      <c r="BT1251" s="210"/>
      <c r="BU1251" s="210"/>
      <c r="BV1251" s="210"/>
      <c r="BW1251" s="210"/>
      <c r="BX1251" s="210"/>
      <c r="BY1251" s="210"/>
      <c r="BZ1251" s="210"/>
      <c r="CA1251" s="210"/>
      <c r="CB1251" s="210"/>
      <c r="CC1251" s="210"/>
      <c r="CD1251" s="210"/>
      <c r="CE1251" s="210"/>
      <c r="CF1251" s="210"/>
      <c r="CG1251" s="210"/>
      <c r="CH1251" s="210"/>
      <c r="CI1251" s="210"/>
      <c r="CJ1251" s="210"/>
      <c r="CK1251" s="210"/>
    </row>
    <row r="1252">
      <c r="A1252" s="220"/>
      <c r="F1252" s="190"/>
      <c r="G1252" s="190"/>
      <c r="L1252" s="220"/>
      <c r="M1252" s="220"/>
      <c r="O1252" s="210"/>
      <c r="P1252" s="210"/>
      <c r="Q1252" s="210"/>
      <c r="R1252" s="210"/>
      <c r="S1252" s="210"/>
      <c r="T1252" s="210"/>
      <c r="U1252" s="210"/>
      <c r="V1252" s="210"/>
      <c r="W1252" s="210"/>
      <c r="X1252" s="210"/>
      <c r="Y1252" s="210"/>
      <c r="Z1252" s="210"/>
      <c r="AA1252" s="210"/>
      <c r="AB1252" s="210"/>
      <c r="AC1252" s="210"/>
      <c r="AD1252" s="210"/>
      <c r="AE1252" s="210"/>
      <c r="AF1252" s="210"/>
      <c r="AG1252" s="210"/>
      <c r="AH1252" s="210"/>
      <c r="AI1252" s="210"/>
      <c r="AJ1252" s="210"/>
      <c r="AK1252" s="210"/>
      <c r="AL1252" s="210"/>
      <c r="AM1252" s="214"/>
      <c r="AN1252" s="210"/>
      <c r="AO1252" s="210"/>
      <c r="AP1252" s="210"/>
      <c r="AQ1252" s="210"/>
      <c r="AR1252" s="210"/>
      <c r="AS1252" s="210"/>
      <c r="AT1252" s="210"/>
      <c r="AU1252" s="210"/>
      <c r="AV1252" s="210"/>
      <c r="AW1252" s="210"/>
      <c r="AX1252" s="210"/>
      <c r="AY1252" s="210"/>
      <c r="AZ1252" s="210"/>
      <c r="BA1252" s="210"/>
      <c r="BB1252" s="210"/>
      <c r="BC1252" s="210"/>
      <c r="BD1252" s="210"/>
      <c r="BE1252" s="210"/>
      <c r="BF1252" s="210"/>
      <c r="BG1252" s="210"/>
      <c r="BH1252" s="210"/>
      <c r="BI1252" s="210"/>
      <c r="BJ1252" s="210"/>
      <c r="BK1252" s="210"/>
      <c r="BL1252" s="210"/>
      <c r="BM1252" s="210"/>
      <c r="BN1252" s="210"/>
      <c r="BO1252" s="210"/>
      <c r="BP1252" s="210"/>
      <c r="BQ1252" s="210"/>
      <c r="BR1252" s="210"/>
      <c r="BS1252" s="210"/>
      <c r="BT1252" s="210"/>
      <c r="BU1252" s="210"/>
      <c r="BV1252" s="210"/>
      <c r="BW1252" s="210"/>
      <c r="BX1252" s="210"/>
      <c r="BY1252" s="210"/>
      <c r="BZ1252" s="210"/>
      <c r="CA1252" s="210"/>
      <c r="CB1252" s="210"/>
      <c r="CC1252" s="210"/>
      <c r="CD1252" s="210"/>
      <c r="CE1252" s="210"/>
      <c r="CF1252" s="210"/>
      <c r="CG1252" s="210"/>
      <c r="CH1252" s="210"/>
      <c r="CI1252" s="210"/>
      <c r="CJ1252" s="210"/>
      <c r="CK1252" s="210"/>
    </row>
    <row r="1253">
      <c r="A1253" s="220"/>
      <c r="F1253" s="190"/>
      <c r="G1253" s="190"/>
      <c r="L1253" s="220"/>
      <c r="M1253" s="220"/>
      <c r="O1253" s="210"/>
      <c r="P1253" s="210"/>
      <c r="Q1253" s="210"/>
      <c r="R1253" s="210"/>
      <c r="S1253" s="210"/>
      <c r="T1253" s="210"/>
      <c r="U1253" s="210"/>
      <c r="V1253" s="210"/>
      <c r="W1253" s="210"/>
      <c r="X1253" s="210"/>
      <c r="Y1253" s="210"/>
      <c r="Z1253" s="210"/>
      <c r="AA1253" s="210"/>
      <c r="AB1253" s="210"/>
      <c r="AC1253" s="210"/>
      <c r="AD1253" s="210"/>
      <c r="AE1253" s="210"/>
      <c r="AF1253" s="210"/>
      <c r="AG1253" s="210"/>
      <c r="AH1253" s="210"/>
      <c r="AI1253" s="210"/>
      <c r="AJ1253" s="210"/>
      <c r="AK1253" s="210"/>
      <c r="AL1253" s="210"/>
      <c r="AM1253" s="214"/>
      <c r="AN1253" s="210"/>
      <c r="AO1253" s="210"/>
      <c r="AP1253" s="210"/>
      <c r="AQ1253" s="210"/>
      <c r="AR1253" s="210"/>
      <c r="AS1253" s="210"/>
      <c r="AT1253" s="210"/>
      <c r="AU1253" s="210"/>
      <c r="AV1253" s="210"/>
      <c r="AW1253" s="210"/>
      <c r="AX1253" s="210"/>
      <c r="AY1253" s="210"/>
      <c r="AZ1253" s="210"/>
      <c r="BA1253" s="210"/>
      <c r="BB1253" s="210"/>
      <c r="BC1253" s="210"/>
      <c r="BD1253" s="210"/>
      <c r="BE1253" s="210"/>
      <c r="BF1253" s="210"/>
      <c r="BG1253" s="210"/>
      <c r="BH1253" s="210"/>
      <c r="BI1253" s="210"/>
      <c r="BJ1253" s="210"/>
      <c r="BK1253" s="210"/>
      <c r="BL1253" s="210"/>
      <c r="BM1253" s="210"/>
      <c r="BN1253" s="210"/>
      <c r="BO1253" s="210"/>
      <c r="BP1253" s="210"/>
      <c r="BQ1253" s="210"/>
      <c r="BR1253" s="210"/>
      <c r="BS1253" s="210"/>
      <c r="BT1253" s="210"/>
      <c r="BU1253" s="210"/>
      <c r="BV1253" s="210"/>
      <c r="BW1253" s="210"/>
      <c r="BX1253" s="210"/>
      <c r="BY1253" s="210"/>
      <c r="BZ1253" s="210"/>
      <c r="CA1253" s="210"/>
      <c r="CB1253" s="210"/>
      <c r="CC1253" s="210"/>
      <c r="CD1253" s="210"/>
      <c r="CE1253" s="210"/>
      <c r="CF1253" s="210"/>
      <c r="CG1253" s="210"/>
      <c r="CH1253" s="210"/>
      <c r="CI1253" s="210"/>
      <c r="CJ1253" s="210"/>
      <c r="CK1253" s="210"/>
    </row>
    <row r="1254">
      <c r="A1254" s="220"/>
      <c r="F1254" s="190"/>
      <c r="G1254" s="190"/>
      <c r="L1254" s="220"/>
      <c r="M1254" s="220"/>
      <c r="O1254" s="210"/>
      <c r="P1254" s="210"/>
      <c r="Q1254" s="210"/>
      <c r="R1254" s="210"/>
      <c r="S1254" s="210"/>
      <c r="T1254" s="210"/>
      <c r="U1254" s="210"/>
      <c r="V1254" s="210"/>
      <c r="W1254" s="210"/>
      <c r="X1254" s="210"/>
      <c r="Y1254" s="210"/>
      <c r="Z1254" s="210"/>
      <c r="AA1254" s="210"/>
      <c r="AB1254" s="210"/>
      <c r="AC1254" s="210"/>
      <c r="AD1254" s="210"/>
      <c r="AE1254" s="210"/>
      <c r="AF1254" s="210"/>
      <c r="AG1254" s="210"/>
      <c r="AH1254" s="210"/>
      <c r="AI1254" s="210"/>
      <c r="AJ1254" s="210"/>
      <c r="AK1254" s="210"/>
      <c r="AL1254" s="210"/>
      <c r="AM1254" s="214"/>
      <c r="AN1254" s="210"/>
      <c r="AO1254" s="210"/>
      <c r="AP1254" s="210"/>
      <c r="AQ1254" s="210"/>
      <c r="AR1254" s="210"/>
      <c r="AS1254" s="210"/>
      <c r="AT1254" s="210"/>
      <c r="AU1254" s="210"/>
      <c r="AV1254" s="210"/>
      <c r="AW1254" s="210"/>
      <c r="AX1254" s="210"/>
      <c r="AY1254" s="210"/>
      <c r="AZ1254" s="210"/>
      <c r="BA1254" s="210"/>
      <c r="BB1254" s="210"/>
      <c r="BC1254" s="210"/>
      <c r="BD1254" s="210"/>
      <c r="BE1254" s="210"/>
      <c r="BF1254" s="210"/>
      <c r="BG1254" s="210"/>
      <c r="BH1254" s="210"/>
      <c r="BI1254" s="210"/>
      <c r="BJ1254" s="210"/>
      <c r="BK1254" s="210"/>
      <c r="BL1254" s="210"/>
      <c r="BM1254" s="210"/>
      <c r="BN1254" s="210"/>
      <c r="BO1254" s="210"/>
      <c r="BP1254" s="210"/>
      <c r="BQ1254" s="210"/>
      <c r="BR1254" s="210"/>
      <c r="BS1254" s="210"/>
      <c r="BT1254" s="210"/>
      <c r="BU1254" s="210"/>
      <c r="BV1254" s="210"/>
      <c r="BW1254" s="210"/>
      <c r="BX1254" s="210"/>
      <c r="BY1254" s="210"/>
      <c r="BZ1254" s="210"/>
      <c r="CA1254" s="210"/>
      <c r="CB1254" s="210"/>
      <c r="CC1254" s="210"/>
      <c r="CD1254" s="210"/>
      <c r="CE1254" s="210"/>
      <c r="CF1254" s="210"/>
      <c r="CG1254" s="210"/>
      <c r="CH1254" s="210"/>
      <c r="CI1254" s="210"/>
      <c r="CJ1254" s="210"/>
      <c r="CK1254" s="210"/>
    </row>
    <row r="1255">
      <c r="A1255" s="220"/>
      <c r="F1255" s="190"/>
      <c r="G1255" s="190"/>
      <c r="L1255" s="220"/>
      <c r="M1255" s="220"/>
      <c r="O1255" s="210"/>
      <c r="P1255" s="210"/>
      <c r="Q1255" s="210"/>
      <c r="R1255" s="210"/>
      <c r="S1255" s="210"/>
      <c r="T1255" s="210"/>
      <c r="U1255" s="210"/>
      <c r="V1255" s="210"/>
      <c r="W1255" s="210"/>
      <c r="X1255" s="210"/>
      <c r="Y1255" s="210"/>
      <c r="Z1255" s="210"/>
      <c r="AA1255" s="210"/>
      <c r="AB1255" s="210"/>
      <c r="AC1255" s="210"/>
      <c r="AD1255" s="210"/>
      <c r="AE1255" s="210"/>
      <c r="AF1255" s="210"/>
      <c r="AG1255" s="210"/>
      <c r="AH1255" s="210"/>
      <c r="AI1255" s="210"/>
      <c r="AJ1255" s="210"/>
      <c r="AK1255" s="210"/>
      <c r="AL1255" s="210"/>
      <c r="AM1255" s="214"/>
      <c r="AN1255" s="210"/>
      <c r="AO1255" s="210"/>
      <c r="AP1255" s="210"/>
      <c r="AQ1255" s="210"/>
      <c r="AR1255" s="210"/>
      <c r="AS1255" s="210"/>
      <c r="AT1255" s="210"/>
      <c r="AU1255" s="210"/>
      <c r="AV1255" s="210"/>
      <c r="AW1255" s="210"/>
      <c r="AX1255" s="210"/>
      <c r="AY1255" s="210"/>
      <c r="AZ1255" s="210"/>
      <c r="BA1255" s="210"/>
      <c r="BB1255" s="210"/>
      <c r="BC1255" s="210"/>
      <c r="BD1255" s="210"/>
      <c r="BE1255" s="210"/>
      <c r="BF1255" s="210"/>
      <c r="BG1255" s="210"/>
      <c r="BH1255" s="210"/>
      <c r="BI1255" s="210"/>
      <c r="BJ1255" s="210"/>
      <c r="BK1255" s="210"/>
      <c r="BL1255" s="210"/>
      <c r="BM1255" s="210"/>
      <c r="BN1255" s="210"/>
      <c r="BO1255" s="210"/>
      <c r="BP1255" s="210"/>
      <c r="BQ1255" s="210"/>
      <c r="BR1255" s="210"/>
      <c r="BS1255" s="210"/>
      <c r="BT1255" s="210"/>
      <c r="BU1255" s="210"/>
      <c r="BV1255" s="210"/>
      <c r="BW1255" s="210"/>
      <c r="BX1255" s="210"/>
      <c r="BY1255" s="210"/>
      <c r="BZ1255" s="210"/>
      <c r="CA1255" s="210"/>
      <c r="CB1255" s="210"/>
      <c r="CC1255" s="210"/>
      <c r="CD1255" s="210"/>
      <c r="CE1255" s="210"/>
      <c r="CF1255" s="210"/>
      <c r="CG1255" s="210"/>
      <c r="CH1255" s="210"/>
      <c r="CI1255" s="210"/>
      <c r="CJ1255" s="210"/>
      <c r="CK1255" s="210"/>
    </row>
    <row r="1256">
      <c r="A1256" s="220"/>
      <c r="F1256" s="190"/>
      <c r="G1256" s="190"/>
      <c r="L1256" s="220"/>
      <c r="M1256" s="220"/>
      <c r="O1256" s="210"/>
      <c r="P1256" s="210"/>
      <c r="Q1256" s="210"/>
      <c r="R1256" s="210"/>
      <c r="S1256" s="210"/>
      <c r="T1256" s="210"/>
      <c r="U1256" s="210"/>
      <c r="V1256" s="210"/>
      <c r="W1256" s="210"/>
      <c r="X1256" s="210"/>
      <c r="Y1256" s="210"/>
      <c r="Z1256" s="210"/>
      <c r="AA1256" s="210"/>
      <c r="AB1256" s="210"/>
      <c r="AC1256" s="210"/>
      <c r="AD1256" s="210"/>
      <c r="AE1256" s="210"/>
      <c r="AF1256" s="210"/>
      <c r="AG1256" s="210"/>
      <c r="AH1256" s="210"/>
      <c r="AI1256" s="210"/>
      <c r="AJ1256" s="210"/>
      <c r="AK1256" s="210"/>
      <c r="AL1256" s="210"/>
      <c r="AM1256" s="214"/>
      <c r="AN1256" s="210"/>
      <c r="AO1256" s="210"/>
      <c r="AP1256" s="210"/>
      <c r="AQ1256" s="210"/>
      <c r="AR1256" s="210"/>
      <c r="AS1256" s="210"/>
      <c r="AT1256" s="210"/>
      <c r="AU1256" s="210"/>
      <c r="AV1256" s="210"/>
      <c r="AW1256" s="210"/>
      <c r="AX1256" s="210"/>
      <c r="AY1256" s="210"/>
      <c r="AZ1256" s="210"/>
      <c r="BA1256" s="210"/>
      <c r="BB1256" s="210"/>
      <c r="BC1256" s="210"/>
      <c r="BD1256" s="210"/>
      <c r="BE1256" s="210"/>
      <c r="BF1256" s="210"/>
      <c r="BG1256" s="210"/>
      <c r="BH1256" s="210"/>
      <c r="BI1256" s="210"/>
      <c r="BJ1256" s="210"/>
      <c r="BK1256" s="210"/>
      <c r="BL1256" s="210"/>
      <c r="BM1256" s="210"/>
      <c r="BN1256" s="210"/>
      <c r="BO1256" s="210"/>
      <c r="BP1256" s="210"/>
      <c r="BQ1256" s="210"/>
      <c r="BR1256" s="210"/>
      <c r="BS1256" s="210"/>
      <c r="BT1256" s="210"/>
      <c r="BU1256" s="210"/>
      <c r="BV1256" s="210"/>
      <c r="BW1256" s="210"/>
      <c r="BX1256" s="210"/>
      <c r="BY1256" s="210"/>
      <c r="BZ1256" s="210"/>
      <c r="CA1256" s="210"/>
      <c r="CB1256" s="210"/>
      <c r="CC1256" s="210"/>
      <c r="CD1256" s="210"/>
      <c r="CE1256" s="210"/>
      <c r="CF1256" s="210"/>
      <c r="CG1256" s="210"/>
      <c r="CH1256" s="210"/>
      <c r="CI1256" s="210"/>
      <c r="CJ1256" s="210"/>
      <c r="CK1256" s="210"/>
    </row>
    <row r="1257">
      <c r="A1257" s="220"/>
      <c r="F1257" s="190"/>
      <c r="G1257" s="190"/>
      <c r="L1257" s="220"/>
      <c r="M1257" s="220"/>
      <c r="O1257" s="210"/>
      <c r="P1257" s="210"/>
      <c r="Q1257" s="210"/>
      <c r="R1257" s="210"/>
      <c r="S1257" s="210"/>
      <c r="T1257" s="210"/>
      <c r="U1257" s="210"/>
      <c r="V1257" s="210"/>
      <c r="W1257" s="210"/>
      <c r="X1257" s="210"/>
      <c r="Y1257" s="210"/>
      <c r="Z1257" s="210"/>
      <c r="AA1257" s="210"/>
      <c r="AB1257" s="210"/>
      <c r="AC1257" s="210"/>
      <c r="AD1257" s="210"/>
      <c r="AE1257" s="210"/>
      <c r="AF1257" s="210"/>
      <c r="AG1257" s="210"/>
      <c r="AH1257" s="210"/>
      <c r="AI1257" s="210"/>
      <c r="AJ1257" s="210"/>
      <c r="AK1257" s="210"/>
      <c r="AL1257" s="210"/>
      <c r="AM1257" s="214"/>
      <c r="AN1257" s="210"/>
      <c r="AO1257" s="210"/>
      <c r="AP1257" s="210"/>
      <c r="AQ1257" s="210"/>
      <c r="AR1257" s="210"/>
      <c r="AS1257" s="210"/>
      <c r="AT1257" s="210"/>
      <c r="AU1257" s="210"/>
      <c r="AV1257" s="210"/>
      <c r="AW1257" s="210"/>
      <c r="AX1257" s="210"/>
      <c r="AY1257" s="210"/>
      <c r="AZ1257" s="210"/>
      <c r="BA1257" s="210"/>
      <c r="BB1257" s="210"/>
      <c r="BC1257" s="210"/>
      <c r="BD1257" s="210"/>
      <c r="BE1257" s="210"/>
      <c r="BF1257" s="210"/>
      <c r="BG1257" s="210"/>
      <c r="BH1257" s="210"/>
      <c r="BI1257" s="210"/>
      <c r="BJ1257" s="210"/>
      <c r="BK1257" s="210"/>
      <c r="BL1257" s="210"/>
      <c r="BM1257" s="210"/>
      <c r="BN1257" s="210"/>
      <c r="BO1257" s="210"/>
      <c r="BP1257" s="210"/>
      <c r="BQ1257" s="210"/>
      <c r="BR1257" s="210"/>
      <c r="BS1257" s="210"/>
      <c r="BT1257" s="210"/>
      <c r="BU1257" s="210"/>
      <c r="BV1257" s="210"/>
      <c r="BW1257" s="210"/>
      <c r="BX1257" s="210"/>
      <c r="BY1257" s="210"/>
      <c r="BZ1257" s="210"/>
      <c r="CA1257" s="210"/>
      <c r="CB1257" s="210"/>
      <c r="CC1257" s="210"/>
      <c r="CD1257" s="210"/>
      <c r="CE1257" s="210"/>
      <c r="CF1257" s="210"/>
      <c r="CG1257" s="210"/>
      <c r="CH1257" s="210"/>
      <c r="CI1257" s="210"/>
      <c r="CJ1257" s="210"/>
      <c r="CK1257" s="210"/>
    </row>
    <row r="1258">
      <c r="A1258" s="220"/>
      <c r="F1258" s="190"/>
      <c r="G1258" s="190"/>
      <c r="L1258" s="220"/>
      <c r="M1258" s="220"/>
      <c r="O1258" s="210"/>
      <c r="P1258" s="210"/>
      <c r="Q1258" s="210"/>
      <c r="R1258" s="210"/>
      <c r="S1258" s="210"/>
      <c r="T1258" s="210"/>
      <c r="U1258" s="210"/>
      <c r="V1258" s="210"/>
      <c r="W1258" s="210"/>
      <c r="X1258" s="210"/>
      <c r="Y1258" s="210"/>
      <c r="Z1258" s="210"/>
      <c r="AA1258" s="210"/>
      <c r="AB1258" s="210"/>
      <c r="AC1258" s="210"/>
      <c r="AD1258" s="210"/>
      <c r="AE1258" s="210"/>
      <c r="AF1258" s="210"/>
      <c r="AG1258" s="210"/>
      <c r="AH1258" s="210"/>
      <c r="AI1258" s="210"/>
      <c r="AJ1258" s="210"/>
      <c r="AK1258" s="210"/>
      <c r="AL1258" s="210"/>
      <c r="AM1258" s="214"/>
      <c r="AN1258" s="210"/>
      <c r="AO1258" s="210"/>
      <c r="AP1258" s="210"/>
      <c r="AQ1258" s="210"/>
      <c r="AR1258" s="210"/>
      <c r="AS1258" s="210"/>
      <c r="AT1258" s="210"/>
      <c r="AU1258" s="210"/>
      <c r="AV1258" s="210"/>
      <c r="AW1258" s="210"/>
      <c r="AX1258" s="210"/>
      <c r="AY1258" s="210"/>
      <c r="AZ1258" s="210"/>
      <c r="BA1258" s="210"/>
      <c r="BB1258" s="210"/>
      <c r="BC1258" s="210"/>
      <c r="BD1258" s="210"/>
      <c r="BE1258" s="210"/>
      <c r="BF1258" s="210"/>
      <c r="BG1258" s="210"/>
      <c r="BH1258" s="210"/>
      <c r="BI1258" s="210"/>
      <c r="BJ1258" s="210"/>
      <c r="BK1258" s="210"/>
      <c r="BL1258" s="210"/>
      <c r="BM1258" s="210"/>
      <c r="BN1258" s="210"/>
      <c r="BO1258" s="210"/>
      <c r="BP1258" s="210"/>
      <c r="BQ1258" s="210"/>
      <c r="BR1258" s="210"/>
      <c r="BS1258" s="210"/>
      <c r="BT1258" s="210"/>
      <c r="BU1258" s="210"/>
      <c r="BV1258" s="210"/>
      <c r="BW1258" s="210"/>
      <c r="BX1258" s="210"/>
      <c r="BY1258" s="210"/>
      <c r="BZ1258" s="210"/>
      <c r="CA1258" s="210"/>
      <c r="CB1258" s="210"/>
      <c r="CC1258" s="210"/>
      <c r="CD1258" s="210"/>
      <c r="CE1258" s="210"/>
      <c r="CF1258" s="210"/>
      <c r="CG1258" s="210"/>
      <c r="CH1258" s="210"/>
      <c r="CI1258" s="210"/>
      <c r="CJ1258" s="210"/>
      <c r="CK1258" s="210"/>
    </row>
    <row r="1259">
      <c r="A1259" s="220"/>
      <c r="F1259" s="190"/>
      <c r="G1259" s="190"/>
      <c r="L1259" s="220"/>
      <c r="M1259" s="220"/>
      <c r="O1259" s="210"/>
      <c r="P1259" s="210"/>
      <c r="Q1259" s="210"/>
      <c r="R1259" s="210"/>
      <c r="S1259" s="210"/>
      <c r="T1259" s="210"/>
      <c r="U1259" s="210"/>
      <c r="V1259" s="210"/>
      <c r="W1259" s="210"/>
      <c r="X1259" s="210"/>
      <c r="Y1259" s="210"/>
      <c r="Z1259" s="210"/>
      <c r="AA1259" s="210"/>
      <c r="AB1259" s="210"/>
      <c r="AC1259" s="210"/>
      <c r="AD1259" s="210"/>
      <c r="AE1259" s="210"/>
      <c r="AF1259" s="210"/>
      <c r="AG1259" s="210"/>
      <c r="AH1259" s="210"/>
      <c r="AI1259" s="210"/>
      <c r="AJ1259" s="210"/>
      <c r="AK1259" s="210"/>
      <c r="AL1259" s="210"/>
      <c r="AM1259" s="214"/>
      <c r="AN1259" s="210"/>
      <c r="AO1259" s="210"/>
      <c r="AP1259" s="210"/>
      <c r="AQ1259" s="210"/>
      <c r="AR1259" s="210"/>
      <c r="AS1259" s="210"/>
      <c r="AT1259" s="210"/>
      <c r="AU1259" s="210"/>
      <c r="AV1259" s="210"/>
      <c r="AW1259" s="210"/>
      <c r="AX1259" s="210"/>
      <c r="AY1259" s="210"/>
      <c r="AZ1259" s="210"/>
      <c r="BA1259" s="210"/>
      <c r="BB1259" s="210"/>
      <c r="BC1259" s="210"/>
      <c r="BD1259" s="210"/>
      <c r="BE1259" s="210"/>
      <c r="BF1259" s="210"/>
      <c r="BG1259" s="210"/>
      <c r="BH1259" s="210"/>
      <c r="BI1259" s="210"/>
      <c r="BJ1259" s="210"/>
      <c r="BK1259" s="210"/>
      <c r="BL1259" s="210"/>
      <c r="BM1259" s="210"/>
      <c r="BN1259" s="210"/>
      <c r="BO1259" s="210"/>
      <c r="BP1259" s="210"/>
      <c r="BQ1259" s="210"/>
      <c r="BR1259" s="210"/>
      <c r="BS1259" s="210"/>
      <c r="BT1259" s="210"/>
      <c r="BU1259" s="210"/>
      <c r="BV1259" s="210"/>
      <c r="BW1259" s="210"/>
      <c r="BX1259" s="210"/>
      <c r="BY1259" s="210"/>
      <c r="BZ1259" s="210"/>
      <c r="CA1259" s="210"/>
      <c r="CB1259" s="210"/>
      <c r="CC1259" s="210"/>
      <c r="CD1259" s="210"/>
      <c r="CE1259" s="210"/>
      <c r="CF1259" s="210"/>
      <c r="CG1259" s="210"/>
      <c r="CH1259" s="210"/>
      <c r="CI1259" s="210"/>
      <c r="CJ1259" s="210"/>
      <c r="CK1259" s="210"/>
    </row>
    <row r="1260">
      <c r="A1260" s="220"/>
      <c r="F1260" s="190"/>
      <c r="G1260" s="190"/>
      <c r="L1260" s="220"/>
      <c r="M1260" s="220"/>
      <c r="O1260" s="210"/>
      <c r="P1260" s="210"/>
      <c r="Q1260" s="210"/>
      <c r="R1260" s="210"/>
      <c r="S1260" s="210"/>
      <c r="T1260" s="210"/>
      <c r="U1260" s="210"/>
      <c r="V1260" s="210"/>
      <c r="W1260" s="210"/>
      <c r="X1260" s="210"/>
      <c r="Y1260" s="210"/>
      <c r="Z1260" s="210"/>
      <c r="AA1260" s="210"/>
      <c r="AB1260" s="210"/>
      <c r="AC1260" s="210"/>
      <c r="AD1260" s="210"/>
      <c r="AE1260" s="210"/>
      <c r="AF1260" s="210"/>
      <c r="AG1260" s="210"/>
      <c r="AH1260" s="210"/>
      <c r="AI1260" s="210"/>
      <c r="AJ1260" s="210"/>
      <c r="AK1260" s="210"/>
      <c r="AL1260" s="210"/>
      <c r="AM1260" s="214"/>
      <c r="AN1260" s="210"/>
      <c r="AO1260" s="210"/>
      <c r="AP1260" s="210"/>
      <c r="AQ1260" s="210"/>
      <c r="AR1260" s="210"/>
      <c r="AS1260" s="210"/>
      <c r="AT1260" s="210"/>
      <c r="AU1260" s="210"/>
      <c r="AV1260" s="210"/>
      <c r="AW1260" s="210"/>
      <c r="AX1260" s="210"/>
      <c r="AY1260" s="210"/>
      <c r="AZ1260" s="210"/>
      <c r="BA1260" s="210"/>
      <c r="BB1260" s="210"/>
      <c r="BC1260" s="210"/>
      <c r="BD1260" s="210"/>
      <c r="BE1260" s="210"/>
      <c r="BF1260" s="210"/>
      <c r="BG1260" s="210"/>
      <c r="BH1260" s="210"/>
      <c r="BI1260" s="210"/>
      <c r="BJ1260" s="210"/>
      <c r="BK1260" s="210"/>
      <c r="BL1260" s="210"/>
      <c r="BM1260" s="210"/>
      <c r="BN1260" s="210"/>
      <c r="BO1260" s="210"/>
      <c r="BP1260" s="210"/>
      <c r="BQ1260" s="210"/>
      <c r="BR1260" s="210"/>
      <c r="BS1260" s="210"/>
      <c r="BT1260" s="210"/>
      <c r="BU1260" s="210"/>
      <c r="BV1260" s="210"/>
      <c r="BW1260" s="210"/>
      <c r="BX1260" s="210"/>
      <c r="BY1260" s="210"/>
      <c r="BZ1260" s="210"/>
      <c r="CA1260" s="210"/>
      <c r="CB1260" s="210"/>
      <c r="CC1260" s="210"/>
      <c r="CD1260" s="210"/>
      <c r="CE1260" s="210"/>
      <c r="CF1260" s="210"/>
      <c r="CG1260" s="210"/>
      <c r="CH1260" s="210"/>
      <c r="CI1260" s="210"/>
      <c r="CJ1260" s="210"/>
      <c r="CK1260" s="210"/>
    </row>
    <row r="1261">
      <c r="A1261" s="220"/>
      <c r="F1261" s="190"/>
      <c r="G1261" s="190"/>
      <c r="L1261" s="220"/>
      <c r="M1261" s="220"/>
      <c r="O1261" s="210"/>
      <c r="P1261" s="210"/>
      <c r="Q1261" s="210"/>
      <c r="R1261" s="210"/>
      <c r="S1261" s="210"/>
      <c r="T1261" s="210"/>
      <c r="U1261" s="210"/>
      <c r="V1261" s="210"/>
      <c r="W1261" s="210"/>
      <c r="X1261" s="210"/>
      <c r="Y1261" s="210"/>
      <c r="Z1261" s="210"/>
      <c r="AA1261" s="210"/>
      <c r="AB1261" s="210"/>
      <c r="AC1261" s="210"/>
      <c r="AD1261" s="210"/>
      <c r="AE1261" s="210"/>
      <c r="AF1261" s="210"/>
      <c r="AG1261" s="210"/>
      <c r="AH1261" s="210"/>
      <c r="AI1261" s="210"/>
      <c r="AJ1261" s="210"/>
      <c r="AK1261" s="210"/>
      <c r="AL1261" s="210"/>
      <c r="AM1261" s="214"/>
      <c r="AN1261" s="210"/>
      <c r="AO1261" s="210"/>
      <c r="AP1261" s="210"/>
      <c r="AQ1261" s="210"/>
      <c r="AR1261" s="210"/>
      <c r="AS1261" s="210"/>
      <c r="AT1261" s="210"/>
      <c r="AU1261" s="210"/>
      <c r="AV1261" s="210"/>
      <c r="AW1261" s="210"/>
      <c r="AX1261" s="210"/>
      <c r="AY1261" s="210"/>
      <c r="AZ1261" s="210"/>
      <c r="BA1261" s="210"/>
      <c r="BB1261" s="210"/>
      <c r="BC1261" s="210"/>
      <c r="BD1261" s="210"/>
      <c r="BE1261" s="210"/>
      <c r="BF1261" s="210"/>
      <c r="BG1261" s="210"/>
      <c r="BH1261" s="210"/>
      <c r="BI1261" s="210"/>
      <c r="BJ1261" s="210"/>
      <c r="BK1261" s="210"/>
      <c r="BL1261" s="210"/>
      <c r="BM1261" s="210"/>
      <c r="BN1261" s="210"/>
      <c r="BO1261" s="210"/>
      <c r="BP1261" s="210"/>
      <c r="BQ1261" s="210"/>
      <c r="BR1261" s="210"/>
      <c r="BS1261" s="210"/>
      <c r="BT1261" s="210"/>
      <c r="BU1261" s="210"/>
      <c r="BV1261" s="210"/>
      <c r="BW1261" s="210"/>
      <c r="BX1261" s="210"/>
      <c r="BY1261" s="210"/>
      <c r="BZ1261" s="210"/>
      <c r="CA1261" s="210"/>
      <c r="CB1261" s="210"/>
      <c r="CC1261" s="210"/>
      <c r="CD1261" s="210"/>
      <c r="CE1261" s="210"/>
      <c r="CF1261" s="210"/>
      <c r="CG1261" s="210"/>
      <c r="CH1261" s="210"/>
      <c r="CI1261" s="210"/>
      <c r="CJ1261" s="210"/>
      <c r="CK1261" s="210"/>
    </row>
    <row r="1262">
      <c r="A1262" s="220"/>
      <c r="F1262" s="190"/>
      <c r="G1262" s="190"/>
      <c r="L1262" s="220"/>
      <c r="M1262" s="220"/>
      <c r="O1262" s="210"/>
      <c r="P1262" s="210"/>
      <c r="Q1262" s="210"/>
      <c r="R1262" s="210"/>
      <c r="S1262" s="210"/>
      <c r="T1262" s="210"/>
      <c r="U1262" s="210"/>
      <c r="V1262" s="210"/>
      <c r="W1262" s="210"/>
      <c r="X1262" s="210"/>
      <c r="Y1262" s="210"/>
      <c r="Z1262" s="210"/>
      <c r="AA1262" s="210"/>
      <c r="AB1262" s="210"/>
      <c r="AC1262" s="210"/>
      <c r="AD1262" s="210"/>
      <c r="AE1262" s="210"/>
      <c r="AF1262" s="210"/>
      <c r="AG1262" s="210"/>
      <c r="AH1262" s="210"/>
      <c r="AI1262" s="210"/>
      <c r="AJ1262" s="210"/>
      <c r="AK1262" s="210"/>
      <c r="AL1262" s="210"/>
      <c r="AM1262" s="214"/>
      <c r="AN1262" s="210"/>
      <c r="AO1262" s="210"/>
      <c r="AP1262" s="210"/>
      <c r="AQ1262" s="210"/>
      <c r="AR1262" s="210"/>
      <c r="AS1262" s="210"/>
      <c r="AT1262" s="210"/>
      <c r="AU1262" s="210"/>
      <c r="AV1262" s="210"/>
      <c r="AW1262" s="210"/>
      <c r="AX1262" s="210"/>
      <c r="AY1262" s="210"/>
      <c r="AZ1262" s="210"/>
      <c r="BA1262" s="210"/>
      <c r="BB1262" s="210"/>
      <c r="BC1262" s="210"/>
      <c r="BD1262" s="210"/>
      <c r="BE1262" s="210"/>
      <c r="BF1262" s="210"/>
      <c r="BG1262" s="210"/>
      <c r="BH1262" s="210"/>
      <c r="BI1262" s="210"/>
      <c r="BJ1262" s="210"/>
      <c r="BK1262" s="210"/>
      <c r="BL1262" s="210"/>
      <c r="BM1262" s="210"/>
      <c r="BN1262" s="210"/>
      <c r="BO1262" s="210"/>
      <c r="BP1262" s="210"/>
      <c r="BQ1262" s="210"/>
      <c r="BR1262" s="210"/>
      <c r="BS1262" s="210"/>
      <c r="BT1262" s="210"/>
      <c r="BU1262" s="210"/>
      <c r="BV1262" s="210"/>
      <c r="BW1262" s="210"/>
      <c r="BX1262" s="210"/>
      <c r="BY1262" s="210"/>
      <c r="BZ1262" s="210"/>
      <c r="CA1262" s="210"/>
      <c r="CB1262" s="210"/>
      <c r="CC1262" s="210"/>
      <c r="CD1262" s="210"/>
      <c r="CE1262" s="210"/>
      <c r="CF1262" s="210"/>
      <c r="CG1262" s="210"/>
      <c r="CH1262" s="210"/>
      <c r="CI1262" s="210"/>
      <c r="CJ1262" s="210"/>
      <c r="CK1262" s="210"/>
    </row>
    <row r="1263">
      <c r="A1263" s="220"/>
      <c r="F1263" s="190"/>
      <c r="G1263" s="190"/>
      <c r="L1263" s="220"/>
      <c r="M1263" s="220"/>
      <c r="O1263" s="210"/>
      <c r="P1263" s="210"/>
      <c r="Q1263" s="210"/>
      <c r="R1263" s="210"/>
      <c r="S1263" s="210"/>
      <c r="T1263" s="210"/>
      <c r="U1263" s="210"/>
      <c r="V1263" s="210"/>
      <c r="W1263" s="210"/>
      <c r="X1263" s="210"/>
      <c r="Y1263" s="210"/>
      <c r="Z1263" s="210"/>
      <c r="AA1263" s="210"/>
      <c r="AB1263" s="210"/>
      <c r="AC1263" s="210"/>
      <c r="AD1263" s="210"/>
      <c r="AE1263" s="210"/>
      <c r="AF1263" s="210"/>
      <c r="AG1263" s="210"/>
      <c r="AH1263" s="210"/>
      <c r="AI1263" s="210"/>
      <c r="AJ1263" s="210"/>
      <c r="AK1263" s="210"/>
      <c r="AL1263" s="210"/>
      <c r="AM1263" s="214"/>
      <c r="AN1263" s="210"/>
      <c r="AO1263" s="210"/>
      <c r="AP1263" s="210"/>
      <c r="AQ1263" s="210"/>
      <c r="AR1263" s="210"/>
      <c r="AS1263" s="210"/>
      <c r="AT1263" s="210"/>
      <c r="AU1263" s="210"/>
      <c r="AV1263" s="210"/>
      <c r="AW1263" s="210"/>
      <c r="AX1263" s="210"/>
      <c r="AY1263" s="210"/>
      <c r="AZ1263" s="210"/>
      <c r="BA1263" s="210"/>
      <c r="BB1263" s="210"/>
      <c r="BC1263" s="210"/>
      <c r="BD1263" s="210"/>
      <c r="BE1263" s="210"/>
      <c r="BF1263" s="210"/>
      <c r="BG1263" s="210"/>
      <c r="BH1263" s="210"/>
      <c r="BI1263" s="210"/>
      <c r="BJ1263" s="210"/>
      <c r="BK1263" s="210"/>
      <c r="BL1263" s="210"/>
      <c r="BM1263" s="210"/>
      <c r="BN1263" s="210"/>
      <c r="BO1263" s="210"/>
      <c r="BP1263" s="210"/>
      <c r="BQ1263" s="210"/>
      <c r="BR1263" s="210"/>
      <c r="BS1263" s="210"/>
      <c r="BT1263" s="210"/>
      <c r="BU1263" s="210"/>
      <c r="BV1263" s="210"/>
      <c r="BW1263" s="210"/>
      <c r="BX1263" s="210"/>
      <c r="BY1263" s="210"/>
      <c r="BZ1263" s="210"/>
      <c r="CA1263" s="210"/>
      <c r="CB1263" s="210"/>
      <c r="CC1263" s="210"/>
      <c r="CD1263" s="210"/>
      <c r="CE1263" s="210"/>
      <c r="CF1263" s="210"/>
      <c r="CG1263" s="210"/>
      <c r="CH1263" s="210"/>
      <c r="CI1263" s="210"/>
      <c r="CJ1263" s="210"/>
      <c r="CK1263" s="210"/>
    </row>
    <row r="1264">
      <c r="A1264" s="220"/>
      <c r="F1264" s="190"/>
      <c r="G1264" s="190"/>
      <c r="L1264" s="220"/>
      <c r="M1264" s="220"/>
      <c r="O1264" s="210"/>
      <c r="P1264" s="210"/>
      <c r="Q1264" s="210"/>
      <c r="R1264" s="210"/>
      <c r="S1264" s="210"/>
      <c r="T1264" s="210"/>
      <c r="U1264" s="210"/>
      <c r="V1264" s="210"/>
      <c r="W1264" s="210"/>
      <c r="X1264" s="210"/>
      <c r="Y1264" s="210"/>
      <c r="Z1264" s="210"/>
      <c r="AA1264" s="210"/>
      <c r="AB1264" s="210"/>
      <c r="AC1264" s="210"/>
      <c r="AD1264" s="210"/>
      <c r="AE1264" s="210"/>
      <c r="AF1264" s="210"/>
      <c r="AG1264" s="210"/>
      <c r="AH1264" s="210"/>
      <c r="AI1264" s="210"/>
      <c r="AJ1264" s="210"/>
      <c r="AK1264" s="210"/>
      <c r="AL1264" s="210"/>
      <c r="AM1264" s="214"/>
      <c r="AN1264" s="210"/>
      <c r="AO1264" s="210"/>
      <c r="AP1264" s="210"/>
      <c r="AQ1264" s="210"/>
      <c r="AR1264" s="210"/>
      <c r="AS1264" s="210"/>
      <c r="AT1264" s="210"/>
      <c r="AU1264" s="210"/>
      <c r="AV1264" s="210"/>
      <c r="AW1264" s="210"/>
      <c r="AX1264" s="210"/>
      <c r="AY1264" s="210"/>
      <c r="AZ1264" s="210"/>
      <c r="BA1264" s="210"/>
      <c r="BB1264" s="210"/>
      <c r="BC1264" s="210"/>
      <c r="BD1264" s="210"/>
      <c r="BE1264" s="210"/>
      <c r="BF1264" s="210"/>
      <c r="BG1264" s="210"/>
      <c r="BH1264" s="210"/>
      <c r="BI1264" s="210"/>
      <c r="BJ1264" s="210"/>
      <c r="BK1264" s="210"/>
      <c r="BL1264" s="210"/>
      <c r="BM1264" s="210"/>
      <c r="BN1264" s="210"/>
      <c r="BO1264" s="210"/>
      <c r="BP1264" s="210"/>
      <c r="BQ1264" s="210"/>
      <c r="BR1264" s="210"/>
      <c r="BS1264" s="210"/>
      <c r="BT1264" s="210"/>
      <c r="BU1264" s="210"/>
      <c r="BV1264" s="210"/>
      <c r="BW1264" s="210"/>
      <c r="BX1264" s="210"/>
      <c r="BY1264" s="210"/>
      <c r="BZ1264" s="210"/>
      <c r="CA1264" s="210"/>
      <c r="CB1264" s="210"/>
      <c r="CC1264" s="210"/>
      <c r="CD1264" s="210"/>
      <c r="CE1264" s="210"/>
      <c r="CF1264" s="210"/>
      <c r="CG1264" s="210"/>
      <c r="CH1264" s="210"/>
      <c r="CI1264" s="210"/>
      <c r="CJ1264" s="210"/>
      <c r="CK1264" s="210"/>
    </row>
    <row r="1265">
      <c r="A1265" s="220"/>
      <c r="F1265" s="190"/>
      <c r="G1265" s="190"/>
      <c r="L1265" s="220"/>
      <c r="M1265" s="220"/>
      <c r="O1265" s="210"/>
      <c r="P1265" s="210"/>
      <c r="Q1265" s="210"/>
      <c r="R1265" s="210"/>
      <c r="S1265" s="210"/>
      <c r="T1265" s="210"/>
      <c r="U1265" s="210"/>
      <c r="V1265" s="210"/>
      <c r="W1265" s="210"/>
      <c r="X1265" s="210"/>
      <c r="Y1265" s="210"/>
      <c r="Z1265" s="210"/>
      <c r="AA1265" s="210"/>
      <c r="AB1265" s="210"/>
      <c r="AC1265" s="210"/>
      <c r="AD1265" s="210"/>
      <c r="AE1265" s="210"/>
      <c r="AF1265" s="210"/>
      <c r="AG1265" s="210"/>
      <c r="AH1265" s="210"/>
      <c r="AI1265" s="210"/>
      <c r="AJ1265" s="210"/>
      <c r="AK1265" s="210"/>
      <c r="AL1265" s="210"/>
      <c r="AM1265" s="214"/>
      <c r="AN1265" s="210"/>
      <c r="AO1265" s="210"/>
      <c r="AP1265" s="210"/>
      <c r="AQ1265" s="210"/>
      <c r="AR1265" s="210"/>
      <c r="AS1265" s="210"/>
      <c r="AT1265" s="210"/>
      <c r="AU1265" s="210"/>
      <c r="AV1265" s="210"/>
      <c r="AW1265" s="210"/>
      <c r="AX1265" s="210"/>
      <c r="AY1265" s="210"/>
      <c r="AZ1265" s="210"/>
      <c r="BA1265" s="210"/>
      <c r="BB1265" s="210"/>
      <c r="BC1265" s="210"/>
      <c r="BD1265" s="210"/>
      <c r="BE1265" s="210"/>
      <c r="BF1265" s="210"/>
      <c r="BG1265" s="210"/>
      <c r="BH1265" s="210"/>
      <c r="BI1265" s="210"/>
      <c r="BJ1265" s="210"/>
      <c r="BK1265" s="210"/>
      <c r="BL1265" s="210"/>
      <c r="BM1265" s="210"/>
      <c r="BN1265" s="210"/>
      <c r="BO1265" s="210"/>
      <c r="BP1265" s="210"/>
      <c r="BQ1265" s="210"/>
      <c r="BR1265" s="210"/>
      <c r="BS1265" s="210"/>
      <c r="BT1265" s="210"/>
      <c r="BU1265" s="210"/>
      <c r="BV1265" s="210"/>
      <c r="BW1265" s="210"/>
      <c r="BX1265" s="210"/>
      <c r="BY1265" s="210"/>
      <c r="BZ1265" s="210"/>
      <c r="CA1265" s="210"/>
      <c r="CB1265" s="210"/>
      <c r="CC1265" s="210"/>
      <c r="CD1265" s="210"/>
      <c r="CE1265" s="210"/>
      <c r="CF1265" s="210"/>
      <c r="CG1265" s="210"/>
      <c r="CH1265" s="210"/>
      <c r="CI1265" s="210"/>
      <c r="CJ1265" s="210"/>
      <c r="CK1265" s="210"/>
    </row>
    <row r="1266">
      <c r="A1266" s="220"/>
      <c r="F1266" s="190"/>
      <c r="G1266" s="190"/>
      <c r="L1266" s="220"/>
      <c r="M1266" s="220"/>
      <c r="O1266" s="210"/>
      <c r="P1266" s="210"/>
      <c r="Q1266" s="210"/>
      <c r="R1266" s="210"/>
      <c r="S1266" s="210"/>
      <c r="T1266" s="210"/>
      <c r="U1266" s="210"/>
      <c r="V1266" s="210"/>
      <c r="W1266" s="210"/>
      <c r="X1266" s="210"/>
      <c r="Y1266" s="210"/>
      <c r="Z1266" s="210"/>
      <c r="AA1266" s="210"/>
      <c r="AB1266" s="210"/>
      <c r="AC1266" s="210"/>
      <c r="AD1266" s="210"/>
      <c r="AE1266" s="210"/>
      <c r="AF1266" s="210"/>
      <c r="AG1266" s="210"/>
      <c r="AH1266" s="210"/>
      <c r="AI1266" s="210"/>
      <c r="AJ1266" s="210"/>
      <c r="AK1266" s="210"/>
      <c r="AL1266" s="210"/>
      <c r="AM1266" s="214"/>
      <c r="AN1266" s="210"/>
      <c r="AO1266" s="210"/>
      <c r="AP1266" s="210"/>
      <c r="AQ1266" s="210"/>
      <c r="AR1266" s="210"/>
      <c r="AS1266" s="210"/>
      <c r="AT1266" s="210"/>
      <c r="AU1266" s="210"/>
      <c r="AV1266" s="210"/>
      <c r="AW1266" s="210"/>
      <c r="AX1266" s="210"/>
      <c r="AY1266" s="210"/>
      <c r="AZ1266" s="210"/>
      <c r="BA1266" s="210"/>
      <c r="BB1266" s="210"/>
      <c r="BC1266" s="210"/>
      <c r="BD1266" s="210"/>
      <c r="BE1266" s="210"/>
      <c r="BF1266" s="210"/>
      <c r="BG1266" s="210"/>
      <c r="BH1266" s="210"/>
      <c r="BI1266" s="210"/>
      <c r="BJ1266" s="210"/>
      <c r="BK1266" s="210"/>
      <c r="BL1266" s="210"/>
      <c r="BM1266" s="210"/>
      <c r="BN1266" s="210"/>
      <c r="BO1266" s="210"/>
      <c r="BP1266" s="210"/>
      <c r="BQ1266" s="210"/>
      <c r="BR1266" s="210"/>
      <c r="BS1266" s="210"/>
      <c r="BT1266" s="210"/>
      <c r="BU1266" s="210"/>
      <c r="BV1266" s="210"/>
      <c r="BW1266" s="210"/>
      <c r="BX1266" s="210"/>
      <c r="BY1266" s="210"/>
      <c r="BZ1266" s="210"/>
      <c r="CA1266" s="210"/>
      <c r="CB1266" s="210"/>
      <c r="CC1266" s="210"/>
      <c r="CD1266" s="210"/>
      <c r="CE1266" s="210"/>
      <c r="CF1266" s="210"/>
      <c r="CG1266" s="210"/>
      <c r="CH1266" s="210"/>
      <c r="CI1266" s="210"/>
      <c r="CJ1266" s="210"/>
      <c r="CK1266" s="210"/>
    </row>
    <row r="1267">
      <c r="A1267" s="220"/>
      <c r="F1267" s="190"/>
      <c r="G1267" s="190"/>
      <c r="L1267" s="220"/>
      <c r="M1267" s="220"/>
      <c r="O1267" s="210"/>
      <c r="P1267" s="210"/>
      <c r="Q1267" s="210"/>
      <c r="R1267" s="210"/>
      <c r="S1267" s="210"/>
      <c r="T1267" s="210"/>
      <c r="U1267" s="210"/>
      <c r="V1267" s="210"/>
      <c r="W1267" s="210"/>
      <c r="X1267" s="210"/>
      <c r="Y1267" s="210"/>
      <c r="Z1267" s="210"/>
      <c r="AA1267" s="210"/>
      <c r="AB1267" s="210"/>
      <c r="AC1267" s="210"/>
      <c r="AD1267" s="210"/>
      <c r="AE1267" s="210"/>
      <c r="AF1267" s="210"/>
      <c r="AG1267" s="210"/>
      <c r="AH1267" s="210"/>
      <c r="AI1267" s="210"/>
      <c r="AJ1267" s="210"/>
      <c r="AK1267" s="210"/>
      <c r="AL1267" s="210"/>
      <c r="AM1267" s="214"/>
      <c r="AN1267" s="210"/>
      <c r="AO1267" s="210"/>
      <c r="AP1267" s="210"/>
      <c r="AQ1267" s="210"/>
      <c r="AR1267" s="210"/>
      <c r="AS1267" s="210"/>
      <c r="AT1267" s="210"/>
      <c r="AU1267" s="210"/>
      <c r="AV1267" s="210"/>
      <c r="AW1267" s="210"/>
      <c r="AX1267" s="210"/>
      <c r="AY1267" s="210"/>
      <c r="AZ1267" s="210"/>
      <c r="BA1267" s="210"/>
      <c r="BB1267" s="210"/>
      <c r="BC1267" s="210"/>
      <c r="BD1267" s="210"/>
      <c r="BE1267" s="210"/>
      <c r="BF1267" s="210"/>
      <c r="BG1267" s="210"/>
      <c r="BH1267" s="210"/>
      <c r="BI1267" s="210"/>
      <c r="BJ1267" s="210"/>
      <c r="BK1267" s="210"/>
      <c r="BL1267" s="210"/>
      <c r="BM1267" s="210"/>
      <c r="BN1267" s="210"/>
      <c r="BO1267" s="210"/>
      <c r="BP1267" s="210"/>
      <c r="BQ1267" s="210"/>
      <c r="BR1267" s="210"/>
      <c r="BS1267" s="210"/>
      <c r="BT1267" s="210"/>
      <c r="BU1267" s="210"/>
      <c r="BV1267" s="210"/>
      <c r="BW1267" s="210"/>
      <c r="BX1267" s="210"/>
      <c r="BY1267" s="210"/>
      <c r="BZ1267" s="210"/>
      <c r="CA1267" s="210"/>
      <c r="CB1267" s="210"/>
      <c r="CC1267" s="210"/>
      <c r="CD1267" s="210"/>
      <c r="CE1267" s="210"/>
      <c r="CF1267" s="210"/>
      <c r="CG1267" s="210"/>
      <c r="CH1267" s="210"/>
      <c r="CI1267" s="210"/>
      <c r="CJ1267" s="210"/>
      <c r="CK1267" s="210"/>
    </row>
    <row r="1268">
      <c r="A1268" s="220"/>
      <c r="F1268" s="190"/>
      <c r="G1268" s="190"/>
      <c r="L1268" s="220"/>
      <c r="M1268" s="220"/>
      <c r="O1268" s="210"/>
      <c r="P1268" s="210"/>
      <c r="Q1268" s="210"/>
      <c r="R1268" s="210"/>
      <c r="S1268" s="210"/>
      <c r="T1268" s="210"/>
      <c r="U1268" s="210"/>
      <c r="V1268" s="210"/>
      <c r="W1268" s="210"/>
      <c r="X1268" s="210"/>
      <c r="Y1268" s="210"/>
      <c r="Z1268" s="210"/>
      <c r="AA1268" s="210"/>
      <c r="AB1268" s="210"/>
      <c r="AC1268" s="210"/>
      <c r="AD1268" s="210"/>
      <c r="AE1268" s="210"/>
      <c r="AF1268" s="210"/>
      <c r="AG1268" s="210"/>
      <c r="AH1268" s="210"/>
      <c r="AI1268" s="210"/>
      <c r="AJ1268" s="210"/>
      <c r="AK1268" s="210"/>
      <c r="AL1268" s="210"/>
      <c r="AM1268" s="214"/>
      <c r="AN1268" s="210"/>
      <c r="AO1268" s="210"/>
      <c r="AP1268" s="210"/>
      <c r="AQ1268" s="210"/>
      <c r="AR1268" s="210"/>
      <c r="AS1268" s="210"/>
      <c r="AT1268" s="210"/>
      <c r="AU1268" s="210"/>
      <c r="AV1268" s="210"/>
      <c r="AW1268" s="210"/>
      <c r="AX1268" s="210"/>
      <c r="AY1268" s="210"/>
      <c r="AZ1268" s="210"/>
      <c r="BA1268" s="210"/>
      <c r="BB1268" s="210"/>
      <c r="BC1268" s="210"/>
      <c r="BD1268" s="210"/>
      <c r="BE1268" s="210"/>
      <c r="BF1268" s="210"/>
      <c r="BG1268" s="210"/>
      <c r="BH1268" s="210"/>
      <c r="BI1268" s="210"/>
      <c r="BJ1268" s="210"/>
      <c r="BK1268" s="210"/>
      <c r="BL1268" s="210"/>
      <c r="BM1268" s="210"/>
      <c r="BN1268" s="210"/>
      <c r="BO1268" s="210"/>
      <c r="BP1268" s="210"/>
      <c r="BQ1268" s="210"/>
      <c r="BR1268" s="210"/>
      <c r="BS1268" s="210"/>
      <c r="BT1268" s="210"/>
      <c r="BU1268" s="210"/>
      <c r="BV1268" s="210"/>
      <c r="BW1268" s="210"/>
      <c r="BX1268" s="210"/>
      <c r="BY1268" s="210"/>
      <c r="BZ1268" s="210"/>
      <c r="CA1268" s="210"/>
      <c r="CB1268" s="210"/>
      <c r="CC1268" s="210"/>
      <c r="CD1268" s="210"/>
      <c r="CE1268" s="210"/>
      <c r="CF1268" s="210"/>
      <c r="CG1268" s="210"/>
      <c r="CH1268" s="210"/>
      <c r="CI1268" s="210"/>
      <c r="CJ1268" s="210"/>
      <c r="CK1268" s="210"/>
    </row>
    <row r="1269">
      <c r="A1269" s="220"/>
      <c r="F1269" s="190"/>
      <c r="G1269" s="190"/>
      <c r="L1269" s="220"/>
      <c r="M1269" s="220"/>
      <c r="O1269" s="210"/>
      <c r="P1269" s="210"/>
      <c r="Q1269" s="210"/>
      <c r="R1269" s="210"/>
      <c r="S1269" s="210"/>
      <c r="T1269" s="210"/>
      <c r="U1269" s="210"/>
      <c r="V1269" s="210"/>
      <c r="W1269" s="210"/>
      <c r="X1269" s="210"/>
      <c r="Y1269" s="210"/>
      <c r="Z1269" s="210"/>
      <c r="AA1269" s="210"/>
      <c r="AB1269" s="210"/>
      <c r="AC1269" s="210"/>
      <c r="AD1269" s="210"/>
      <c r="AE1269" s="210"/>
      <c r="AF1269" s="210"/>
      <c r="AG1269" s="210"/>
      <c r="AH1269" s="210"/>
      <c r="AI1269" s="210"/>
      <c r="AJ1269" s="210"/>
      <c r="AK1269" s="210"/>
      <c r="AL1269" s="210"/>
      <c r="AM1269" s="214"/>
      <c r="AN1269" s="210"/>
      <c r="AO1269" s="210"/>
      <c r="AP1269" s="210"/>
      <c r="AQ1269" s="210"/>
      <c r="AR1269" s="210"/>
      <c r="AS1269" s="210"/>
      <c r="AT1269" s="210"/>
      <c r="AU1269" s="210"/>
      <c r="AV1269" s="210"/>
      <c r="AW1269" s="210"/>
      <c r="AX1269" s="210"/>
      <c r="AY1269" s="210"/>
      <c r="AZ1269" s="210"/>
      <c r="BA1269" s="210"/>
      <c r="BB1269" s="210"/>
      <c r="BC1269" s="210"/>
      <c r="BD1269" s="210"/>
      <c r="BE1269" s="210"/>
      <c r="BF1269" s="210"/>
      <c r="BG1269" s="210"/>
      <c r="BH1269" s="210"/>
      <c r="BI1269" s="210"/>
      <c r="BJ1269" s="210"/>
      <c r="BK1269" s="210"/>
      <c r="BL1269" s="210"/>
      <c r="BM1269" s="210"/>
      <c r="BN1269" s="210"/>
      <c r="BO1269" s="210"/>
      <c r="BP1269" s="210"/>
      <c r="BQ1269" s="210"/>
      <c r="BR1269" s="210"/>
      <c r="BS1269" s="210"/>
      <c r="BT1269" s="210"/>
      <c r="BU1269" s="210"/>
      <c r="BV1269" s="210"/>
      <c r="BW1269" s="210"/>
      <c r="BX1269" s="210"/>
      <c r="BY1269" s="210"/>
      <c r="BZ1269" s="210"/>
      <c r="CA1269" s="210"/>
      <c r="CB1269" s="210"/>
      <c r="CC1269" s="210"/>
      <c r="CD1269" s="210"/>
      <c r="CE1269" s="210"/>
      <c r="CF1269" s="210"/>
      <c r="CG1269" s="210"/>
      <c r="CH1269" s="210"/>
      <c r="CI1269" s="210"/>
      <c r="CJ1269" s="210"/>
      <c r="CK1269" s="210"/>
    </row>
    <row r="1270">
      <c r="A1270" s="220"/>
      <c r="F1270" s="190"/>
      <c r="G1270" s="190"/>
      <c r="L1270" s="220"/>
      <c r="M1270" s="220"/>
      <c r="O1270" s="210"/>
      <c r="P1270" s="210"/>
      <c r="Q1270" s="210"/>
      <c r="R1270" s="210"/>
      <c r="S1270" s="210"/>
      <c r="T1270" s="210"/>
      <c r="U1270" s="210"/>
      <c r="V1270" s="210"/>
      <c r="W1270" s="210"/>
      <c r="X1270" s="210"/>
      <c r="Y1270" s="210"/>
      <c r="Z1270" s="210"/>
      <c r="AA1270" s="210"/>
      <c r="AB1270" s="210"/>
      <c r="AC1270" s="210"/>
      <c r="AD1270" s="210"/>
      <c r="AE1270" s="210"/>
      <c r="AF1270" s="210"/>
      <c r="AG1270" s="210"/>
      <c r="AH1270" s="210"/>
      <c r="AI1270" s="210"/>
      <c r="AJ1270" s="210"/>
      <c r="AK1270" s="210"/>
      <c r="AL1270" s="210"/>
      <c r="AM1270" s="214"/>
      <c r="AN1270" s="210"/>
      <c r="AO1270" s="210"/>
      <c r="AP1270" s="210"/>
      <c r="AQ1270" s="210"/>
      <c r="AR1270" s="210"/>
      <c r="AS1270" s="210"/>
      <c r="AT1270" s="210"/>
      <c r="AU1270" s="210"/>
      <c r="AV1270" s="210"/>
      <c r="AW1270" s="210"/>
      <c r="AX1270" s="210"/>
      <c r="AY1270" s="210"/>
      <c r="AZ1270" s="210"/>
      <c r="BA1270" s="210"/>
      <c r="BB1270" s="210"/>
      <c r="BC1270" s="210"/>
      <c r="BD1270" s="210"/>
      <c r="BE1270" s="210"/>
      <c r="BF1270" s="210"/>
      <c r="BG1270" s="210"/>
      <c r="BH1270" s="210"/>
      <c r="BI1270" s="210"/>
      <c r="BJ1270" s="210"/>
      <c r="BK1270" s="210"/>
      <c r="BL1270" s="210"/>
      <c r="BM1270" s="210"/>
      <c r="BN1270" s="210"/>
      <c r="BO1270" s="210"/>
      <c r="BP1270" s="210"/>
      <c r="BQ1270" s="210"/>
      <c r="BR1270" s="210"/>
      <c r="BS1270" s="210"/>
      <c r="BT1270" s="210"/>
      <c r="BU1270" s="210"/>
      <c r="BV1270" s="210"/>
      <c r="BW1270" s="210"/>
      <c r="BX1270" s="210"/>
      <c r="BY1270" s="210"/>
      <c r="BZ1270" s="210"/>
      <c r="CA1270" s="210"/>
      <c r="CB1270" s="210"/>
      <c r="CC1270" s="210"/>
      <c r="CD1270" s="210"/>
      <c r="CE1270" s="210"/>
      <c r="CF1270" s="210"/>
      <c r="CG1270" s="210"/>
      <c r="CH1270" s="210"/>
      <c r="CI1270" s="210"/>
      <c r="CJ1270" s="210"/>
      <c r="CK1270" s="210"/>
    </row>
    <row r="1271">
      <c r="A1271" s="220"/>
      <c r="F1271" s="190"/>
      <c r="G1271" s="190"/>
      <c r="L1271" s="220"/>
      <c r="M1271" s="220"/>
      <c r="O1271" s="210"/>
      <c r="P1271" s="210"/>
      <c r="Q1271" s="210"/>
      <c r="R1271" s="210"/>
      <c r="S1271" s="210"/>
      <c r="T1271" s="210"/>
      <c r="U1271" s="210"/>
      <c r="V1271" s="210"/>
      <c r="W1271" s="210"/>
      <c r="X1271" s="210"/>
      <c r="Y1271" s="210"/>
      <c r="Z1271" s="210"/>
      <c r="AA1271" s="210"/>
      <c r="AB1271" s="210"/>
      <c r="AC1271" s="210"/>
      <c r="AD1271" s="210"/>
      <c r="AE1271" s="210"/>
      <c r="AF1271" s="210"/>
      <c r="AG1271" s="210"/>
      <c r="AH1271" s="210"/>
      <c r="AI1271" s="210"/>
      <c r="AJ1271" s="210"/>
      <c r="AK1271" s="210"/>
      <c r="AL1271" s="210"/>
      <c r="AM1271" s="214"/>
      <c r="AN1271" s="210"/>
      <c r="AO1271" s="210"/>
      <c r="AP1271" s="210"/>
      <c r="AQ1271" s="210"/>
      <c r="AR1271" s="210"/>
      <c r="AS1271" s="210"/>
      <c r="AT1271" s="210"/>
      <c r="AU1271" s="210"/>
      <c r="AV1271" s="210"/>
      <c r="AW1271" s="210"/>
      <c r="AX1271" s="210"/>
      <c r="AY1271" s="210"/>
      <c r="AZ1271" s="210"/>
      <c r="BA1271" s="210"/>
      <c r="BB1271" s="210"/>
      <c r="BC1271" s="210"/>
      <c r="BD1271" s="210"/>
      <c r="BE1271" s="210"/>
      <c r="BF1271" s="210"/>
      <c r="BG1271" s="210"/>
      <c r="BH1271" s="210"/>
      <c r="BI1271" s="210"/>
      <c r="BJ1271" s="210"/>
      <c r="BK1271" s="210"/>
      <c r="BL1271" s="210"/>
      <c r="BM1271" s="210"/>
      <c r="BN1271" s="210"/>
      <c r="BO1271" s="210"/>
      <c r="BP1271" s="210"/>
      <c r="BQ1271" s="210"/>
      <c r="BR1271" s="210"/>
      <c r="BS1271" s="210"/>
      <c r="BT1271" s="210"/>
      <c r="BU1271" s="210"/>
      <c r="BV1271" s="210"/>
      <c r="BW1271" s="210"/>
      <c r="BX1271" s="210"/>
      <c r="BY1271" s="210"/>
      <c r="BZ1271" s="210"/>
      <c r="CA1271" s="210"/>
      <c r="CB1271" s="210"/>
      <c r="CC1271" s="210"/>
      <c r="CD1271" s="210"/>
      <c r="CE1271" s="210"/>
      <c r="CF1271" s="210"/>
      <c r="CG1271" s="210"/>
      <c r="CH1271" s="210"/>
      <c r="CI1271" s="210"/>
      <c r="CJ1271" s="210"/>
      <c r="CK1271" s="210"/>
    </row>
    <row r="1272">
      <c r="A1272" s="220"/>
      <c r="F1272" s="190"/>
      <c r="G1272" s="190"/>
      <c r="L1272" s="220"/>
      <c r="M1272" s="220"/>
      <c r="O1272" s="210"/>
      <c r="P1272" s="210"/>
      <c r="Q1272" s="210"/>
      <c r="R1272" s="210"/>
      <c r="S1272" s="210"/>
      <c r="T1272" s="210"/>
      <c r="U1272" s="210"/>
      <c r="V1272" s="210"/>
      <c r="W1272" s="210"/>
      <c r="X1272" s="210"/>
      <c r="Y1272" s="210"/>
      <c r="Z1272" s="210"/>
      <c r="AA1272" s="210"/>
      <c r="AB1272" s="210"/>
      <c r="AC1272" s="210"/>
      <c r="AD1272" s="210"/>
      <c r="AE1272" s="210"/>
      <c r="AF1272" s="210"/>
      <c r="AG1272" s="210"/>
      <c r="AH1272" s="210"/>
      <c r="AI1272" s="210"/>
      <c r="AJ1272" s="210"/>
      <c r="AK1272" s="210"/>
      <c r="AL1272" s="210"/>
      <c r="AM1272" s="214"/>
      <c r="AN1272" s="210"/>
      <c r="AO1272" s="210"/>
      <c r="AP1272" s="210"/>
      <c r="AQ1272" s="210"/>
      <c r="AR1272" s="210"/>
      <c r="AS1272" s="210"/>
      <c r="AT1272" s="210"/>
      <c r="AU1272" s="210"/>
      <c r="AV1272" s="210"/>
      <c r="AW1272" s="210"/>
      <c r="AX1272" s="210"/>
      <c r="AY1272" s="210"/>
      <c r="AZ1272" s="210"/>
      <c r="BA1272" s="210"/>
      <c r="BB1272" s="210"/>
      <c r="BC1272" s="210"/>
      <c r="BD1272" s="210"/>
      <c r="BE1272" s="210"/>
      <c r="BF1272" s="210"/>
      <c r="BG1272" s="210"/>
      <c r="BH1272" s="210"/>
      <c r="BI1272" s="210"/>
      <c r="BJ1272" s="210"/>
      <c r="BK1272" s="210"/>
      <c r="BL1272" s="210"/>
      <c r="BM1272" s="210"/>
      <c r="BN1272" s="210"/>
      <c r="BO1272" s="210"/>
      <c r="BP1272" s="210"/>
      <c r="BQ1272" s="210"/>
      <c r="BR1272" s="210"/>
      <c r="BS1272" s="210"/>
      <c r="BT1272" s="210"/>
      <c r="BU1272" s="210"/>
      <c r="BV1272" s="210"/>
      <c r="BW1272" s="210"/>
      <c r="BX1272" s="210"/>
      <c r="BY1272" s="210"/>
      <c r="BZ1272" s="210"/>
      <c r="CA1272" s="210"/>
      <c r="CB1272" s="210"/>
      <c r="CC1272" s="210"/>
      <c r="CD1272" s="210"/>
      <c r="CE1272" s="210"/>
      <c r="CF1272" s="210"/>
      <c r="CG1272" s="210"/>
      <c r="CH1272" s="210"/>
      <c r="CI1272" s="210"/>
      <c r="CJ1272" s="210"/>
      <c r="CK1272" s="210"/>
    </row>
    <row r="1273">
      <c r="A1273" s="220"/>
      <c r="F1273" s="190"/>
      <c r="G1273" s="190"/>
      <c r="L1273" s="220"/>
      <c r="M1273" s="220"/>
      <c r="O1273" s="210"/>
      <c r="P1273" s="210"/>
      <c r="Q1273" s="210"/>
      <c r="R1273" s="210"/>
      <c r="S1273" s="210"/>
      <c r="T1273" s="210"/>
      <c r="U1273" s="210"/>
      <c r="V1273" s="210"/>
      <c r="W1273" s="210"/>
      <c r="X1273" s="210"/>
      <c r="Y1273" s="210"/>
      <c r="Z1273" s="210"/>
      <c r="AA1273" s="210"/>
      <c r="AB1273" s="210"/>
      <c r="AC1273" s="210"/>
      <c r="AD1273" s="210"/>
      <c r="AE1273" s="210"/>
      <c r="AF1273" s="210"/>
      <c r="AG1273" s="210"/>
      <c r="AH1273" s="210"/>
      <c r="AI1273" s="210"/>
      <c r="AJ1273" s="210"/>
      <c r="AK1273" s="210"/>
      <c r="AL1273" s="210"/>
      <c r="AM1273" s="214"/>
      <c r="AN1273" s="210"/>
      <c r="AO1273" s="210"/>
      <c r="AP1273" s="210"/>
      <c r="AQ1273" s="210"/>
      <c r="AR1273" s="210"/>
      <c r="AS1273" s="210"/>
      <c r="AT1273" s="210"/>
      <c r="AU1273" s="210"/>
      <c r="AV1273" s="210"/>
      <c r="AW1273" s="210"/>
      <c r="AX1273" s="210"/>
      <c r="AY1273" s="210"/>
      <c r="AZ1273" s="210"/>
      <c r="BA1273" s="210"/>
      <c r="BB1273" s="210"/>
      <c r="BC1273" s="210"/>
      <c r="BD1273" s="210"/>
      <c r="BE1273" s="210"/>
      <c r="BF1273" s="210"/>
      <c r="BG1273" s="210"/>
      <c r="BH1273" s="210"/>
      <c r="BI1273" s="210"/>
      <c r="BJ1273" s="210"/>
      <c r="BK1273" s="210"/>
      <c r="BL1273" s="210"/>
      <c r="BM1273" s="210"/>
      <c r="BN1273" s="210"/>
      <c r="BO1273" s="210"/>
      <c r="BP1273" s="210"/>
      <c r="BQ1273" s="210"/>
      <c r="BR1273" s="210"/>
      <c r="BS1273" s="210"/>
      <c r="BT1273" s="210"/>
      <c r="BU1273" s="210"/>
      <c r="BV1273" s="210"/>
      <c r="BW1273" s="210"/>
      <c r="BX1273" s="210"/>
      <c r="BY1273" s="210"/>
      <c r="BZ1273" s="210"/>
      <c r="CA1273" s="210"/>
      <c r="CB1273" s="210"/>
      <c r="CC1273" s="210"/>
      <c r="CD1273" s="210"/>
      <c r="CE1273" s="210"/>
      <c r="CF1273" s="210"/>
      <c r="CG1273" s="210"/>
      <c r="CH1273" s="210"/>
      <c r="CI1273" s="210"/>
      <c r="CJ1273" s="210"/>
      <c r="CK1273" s="210"/>
    </row>
    <row r="1274">
      <c r="A1274" s="220"/>
      <c r="F1274" s="190"/>
      <c r="G1274" s="190"/>
      <c r="L1274" s="220"/>
      <c r="M1274" s="220"/>
      <c r="O1274" s="210"/>
      <c r="P1274" s="210"/>
      <c r="Q1274" s="210"/>
      <c r="R1274" s="210"/>
      <c r="S1274" s="210"/>
      <c r="T1274" s="210"/>
      <c r="U1274" s="210"/>
      <c r="V1274" s="210"/>
      <c r="W1274" s="210"/>
      <c r="X1274" s="210"/>
      <c r="Y1274" s="210"/>
      <c r="Z1274" s="210"/>
      <c r="AA1274" s="210"/>
      <c r="AB1274" s="210"/>
      <c r="AC1274" s="210"/>
      <c r="AD1274" s="210"/>
      <c r="AE1274" s="210"/>
      <c r="AF1274" s="210"/>
      <c r="AG1274" s="210"/>
      <c r="AH1274" s="210"/>
      <c r="AI1274" s="210"/>
      <c r="AJ1274" s="210"/>
      <c r="AK1274" s="210"/>
      <c r="AL1274" s="210"/>
      <c r="AM1274" s="214"/>
      <c r="AN1274" s="210"/>
      <c r="AO1274" s="210"/>
      <c r="AP1274" s="210"/>
      <c r="AQ1274" s="210"/>
      <c r="AR1274" s="210"/>
      <c r="AS1274" s="210"/>
      <c r="AT1274" s="210"/>
      <c r="AU1274" s="210"/>
      <c r="AV1274" s="210"/>
      <c r="AW1274" s="210"/>
      <c r="AX1274" s="210"/>
      <c r="AY1274" s="210"/>
      <c r="AZ1274" s="210"/>
      <c r="BA1274" s="210"/>
      <c r="BB1274" s="210"/>
      <c r="BC1274" s="210"/>
      <c r="BD1274" s="210"/>
      <c r="BE1274" s="210"/>
      <c r="BF1274" s="210"/>
      <c r="BG1274" s="210"/>
      <c r="BH1274" s="210"/>
      <c r="BI1274" s="210"/>
      <c r="BJ1274" s="210"/>
      <c r="BK1274" s="210"/>
      <c r="BL1274" s="210"/>
      <c r="BM1274" s="210"/>
      <c r="BN1274" s="210"/>
      <c r="BO1274" s="210"/>
      <c r="BP1274" s="210"/>
      <c r="BQ1274" s="210"/>
      <c r="BR1274" s="210"/>
      <c r="BS1274" s="210"/>
      <c r="BT1274" s="210"/>
      <c r="BU1274" s="210"/>
      <c r="BV1274" s="210"/>
      <c r="BW1274" s="210"/>
      <c r="BX1274" s="210"/>
      <c r="BY1274" s="210"/>
      <c r="BZ1274" s="210"/>
      <c r="CA1274" s="210"/>
      <c r="CB1274" s="210"/>
      <c r="CC1274" s="210"/>
      <c r="CD1274" s="210"/>
      <c r="CE1274" s="210"/>
      <c r="CF1274" s="210"/>
      <c r="CG1274" s="210"/>
      <c r="CH1274" s="210"/>
      <c r="CI1274" s="210"/>
      <c r="CJ1274" s="210"/>
      <c r="CK1274" s="210"/>
    </row>
    <row r="1275">
      <c r="A1275" s="220"/>
      <c r="F1275" s="190"/>
      <c r="G1275" s="190"/>
      <c r="L1275" s="220"/>
      <c r="M1275" s="220"/>
      <c r="O1275" s="210"/>
      <c r="P1275" s="210"/>
      <c r="Q1275" s="210"/>
      <c r="R1275" s="210"/>
      <c r="S1275" s="210"/>
      <c r="T1275" s="210"/>
      <c r="U1275" s="210"/>
      <c r="V1275" s="210"/>
      <c r="W1275" s="210"/>
      <c r="X1275" s="210"/>
      <c r="Y1275" s="210"/>
      <c r="Z1275" s="210"/>
      <c r="AA1275" s="210"/>
      <c r="AB1275" s="210"/>
      <c r="AC1275" s="210"/>
      <c r="AD1275" s="210"/>
      <c r="AE1275" s="210"/>
      <c r="AF1275" s="210"/>
      <c r="AG1275" s="210"/>
      <c r="AH1275" s="210"/>
      <c r="AI1275" s="210"/>
      <c r="AJ1275" s="210"/>
      <c r="AK1275" s="210"/>
      <c r="AL1275" s="210"/>
      <c r="AM1275" s="214"/>
      <c r="AN1275" s="210"/>
      <c r="AO1275" s="210"/>
      <c r="AP1275" s="210"/>
      <c r="AQ1275" s="210"/>
      <c r="AR1275" s="210"/>
      <c r="AS1275" s="210"/>
      <c r="AT1275" s="210"/>
      <c r="AU1275" s="210"/>
      <c r="AV1275" s="210"/>
      <c r="AW1275" s="210"/>
      <c r="AX1275" s="210"/>
      <c r="AY1275" s="210"/>
      <c r="AZ1275" s="210"/>
      <c r="BA1275" s="210"/>
      <c r="BB1275" s="210"/>
      <c r="BC1275" s="210"/>
      <c r="BD1275" s="210"/>
      <c r="BE1275" s="210"/>
      <c r="BF1275" s="210"/>
      <c r="BG1275" s="210"/>
      <c r="BH1275" s="210"/>
      <c r="BI1275" s="210"/>
      <c r="BJ1275" s="210"/>
      <c r="BK1275" s="210"/>
      <c r="BL1275" s="210"/>
      <c r="BM1275" s="210"/>
      <c r="BN1275" s="210"/>
      <c r="BO1275" s="210"/>
      <c r="BP1275" s="210"/>
      <c r="BQ1275" s="210"/>
      <c r="BR1275" s="210"/>
      <c r="BS1275" s="210"/>
      <c r="BT1275" s="210"/>
      <c r="BU1275" s="210"/>
      <c r="BV1275" s="210"/>
      <c r="BW1275" s="210"/>
      <c r="BX1275" s="210"/>
      <c r="BY1275" s="210"/>
      <c r="BZ1275" s="210"/>
      <c r="CA1275" s="210"/>
      <c r="CB1275" s="210"/>
      <c r="CC1275" s="210"/>
      <c r="CD1275" s="210"/>
      <c r="CE1275" s="210"/>
      <c r="CF1275" s="210"/>
      <c r="CG1275" s="210"/>
      <c r="CH1275" s="210"/>
      <c r="CI1275" s="210"/>
      <c r="CJ1275" s="210"/>
      <c r="CK1275" s="210"/>
    </row>
    <row r="1276">
      <c r="A1276" s="220"/>
      <c r="F1276" s="190"/>
      <c r="G1276" s="190"/>
      <c r="L1276" s="220"/>
      <c r="M1276" s="220"/>
      <c r="O1276" s="210"/>
      <c r="P1276" s="210"/>
      <c r="Q1276" s="210"/>
      <c r="R1276" s="210"/>
      <c r="S1276" s="210"/>
      <c r="T1276" s="210"/>
      <c r="U1276" s="210"/>
      <c r="V1276" s="210"/>
      <c r="W1276" s="210"/>
      <c r="X1276" s="210"/>
      <c r="Y1276" s="210"/>
      <c r="Z1276" s="210"/>
      <c r="AA1276" s="210"/>
      <c r="AB1276" s="210"/>
      <c r="AC1276" s="210"/>
      <c r="AD1276" s="210"/>
      <c r="AE1276" s="210"/>
      <c r="AF1276" s="210"/>
      <c r="AG1276" s="210"/>
      <c r="AH1276" s="210"/>
      <c r="AI1276" s="210"/>
      <c r="AJ1276" s="210"/>
      <c r="AK1276" s="210"/>
      <c r="AL1276" s="210"/>
      <c r="AM1276" s="214"/>
      <c r="AN1276" s="210"/>
      <c r="AO1276" s="210"/>
      <c r="AP1276" s="210"/>
      <c r="AQ1276" s="210"/>
      <c r="AR1276" s="210"/>
      <c r="AS1276" s="210"/>
      <c r="AT1276" s="210"/>
      <c r="AU1276" s="210"/>
      <c r="AV1276" s="210"/>
      <c r="AW1276" s="210"/>
      <c r="AX1276" s="210"/>
      <c r="AY1276" s="210"/>
      <c r="AZ1276" s="210"/>
      <c r="BA1276" s="210"/>
      <c r="BB1276" s="210"/>
      <c r="BC1276" s="210"/>
      <c r="BD1276" s="210"/>
      <c r="BE1276" s="210"/>
      <c r="BF1276" s="210"/>
      <c r="BG1276" s="210"/>
      <c r="BH1276" s="210"/>
      <c r="BI1276" s="210"/>
      <c r="BJ1276" s="210"/>
      <c r="BK1276" s="210"/>
      <c r="BL1276" s="210"/>
      <c r="BM1276" s="210"/>
      <c r="BN1276" s="210"/>
      <c r="BO1276" s="210"/>
      <c r="BP1276" s="210"/>
      <c r="BQ1276" s="210"/>
      <c r="BR1276" s="210"/>
      <c r="BS1276" s="210"/>
      <c r="BT1276" s="210"/>
      <c r="BU1276" s="210"/>
      <c r="BV1276" s="210"/>
      <c r="BW1276" s="210"/>
      <c r="BX1276" s="210"/>
      <c r="BY1276" s="210"/>
      <c r="BZ1276" s="210"/>
      <c r="CA1276" s="210"/>
      <c r="CB1276" s="210"/>
      <c r="CC1276" s="210"/>
      <c r="CD1276" s="210"/>
      <c r="CE1276" s="210"/>
      <c r="CF1276" s="210"/>
      <c r="CG1276" s="210"/>
      <c r="CH1276" s="210"/>
      <c r="CI1276" s="210"/>
      <c r="CJ1276" s="210"/>
      <c r="CK1276" s="210"/>
    </row>
    <row r="1277">
      <c r="A1277" s="220"/>
      <c r="F1277" s="190"/>
      <c r="G1277" s="190"/>
      <c r="L1277" s="220"/>
      <c r="M1277" s="220"/>
      <c r="O1277" s="210"/>
      <c r="P1277" s="210"/>
      <c r="Q1277" s="210"/>
      <c r="R1277" s="210"/>
      <c r="S1277" s="210"/>
      <c r="T1277" s="210"/>
      <c r="U1277" s="210"/>
      <c r="V1277" s="210"/>
      <c r="W1277" s="210"/>
      <c r="X1277" s="210"/>
      <c r="Y1277" s="210"/>
      <c r="Z1277" s="210"/>
      <c r="AA1277" s="210"/>
      <c r="AB1277" s="210"/>
      <c r="AC1277" s="210"/>
      <c r="AD1277" s="210"/>
      <c r="AE1277" s="210"/>
      <c r="AF1277" s="210"/>
      <c r="AG1277" s="210"/>
      <c r="AH1277" s="210"/>
      <c r="AI1277" s="210"/>
      <c r="AJ1277" s="210"/>
      <c r="AK1277" s="210"/>
      <c r="AL1277" s="210"/>
      <c r="AM1277" s="214"/>
      <c r="AN1277" s="210"/>
      <c r="AO1277" s="210"/>
      <c r="AP1277" s="210"/>
      <c r="AQ1277" s="210"/>
      <c r="AR1277" s="210"/>
      <c r="AS1277" s="210"/>
      <c r="AT1277" s="210"/>
      <c r="AU1277" s="210"/>
      <c r="AV1277" s="210"/>
      <c r="AW1277" s="210"/>
      <c r="AX1277" s="210"/>
      <c r="AY1277" s="210"/>
      <c r="AZ1277" s="210"/>
      <c r="BA1277" s="210"/>
      <c r="BB1277" s="210"/>
      <c r="BC1277" s="210"/>
      <c r="BD1277" s="210"/>
      <c r="BE1277" s="210"/>
      <c r="BF1277" s="210"/>
      <c r="BG1277" s="210"/>
      <c r="BH1277" s="210"/>
      <c r="BI1277" s="210"/>
      <c r="BJ1277" s="210"/>
      <c r="BK1277" s="210"/>
      <c r="BL1277" s="210"/>
      <c r="BM1277" s="210"/>
      <c r="BN1277" s="210"/>
      <c r="BO1277" s="210"/>
      <c r="BP1277" s="210"/>
      <c r="BQ1277" s="210"/>
      <c r="BR1277" s="210"/>
      <c r="BS1277" s="210"/>
      <c r="BT1277" s="210"/>
      <c r="BU1277" s="210"/>
      <c r="BV1277" s="210"/>
      <c r="BW1277" s="210"/>
      <c r="BX1277" s="210"/>
      <c r="BY1277" s="210"/>
      <c r="BZ1277" s="210"/>
      <c r="CA1277" s="210"/>
      <c r="CB1277" s="210"/>
      <c r="CC1277" s="210"/>
      <c r="CD1277" s="210"/>
      <c r="CE1277" s="210"/>
      <c r="CF1277" s="210"/>
      <c r="CG1277" s="210"/>
      <c r="CH1277" s="210"/>
      <c r="CI1277" s="210"/>
      <c r="CJ1277" s="210"/>
      <c r="CK1277" s="210"/>
    </row>
    <row r="1278">
      <c r="A1278" s="220"/>
      <c r="F1278" s="190"/>
      <c r="G1278" s="190"/>
      <c r="L1278" s="220"/>
      <c r="M1278" s="220"/>
      <c r="O1278" s="210"/>
      <c r="P1278" s="210"/>
      <c r="Q1278" s="210"/>
      <c r="R1278" s="210"/>
      <c r="S1278" s="210"/>
      <c r="T1278" s="210"/>
      <c r="U1278" s="210"/>
      <c r="V1278" s="210"/>
      <c r="W1278" s="210"/>
      <c r="X1278" s="210"/>
      <c r="Y1278" s="210"/>
      <c r="Z1278" s="210"/>
      <c r="AA1278" s="210"/>
      <c r="AB1278" s="210"/>
      <c r="AC1278" s="210"/>
      <c r="AD1278" s="210"/>
      <c r="AE1278" s="210"/>
      <c r="AF1278" s="210"/>
      <c r="AG1278" s="210"/>
      <c r="AH1278" s="210"/>
      <c r="AI1278" s="210"/>
      <c r="AJ1278" s="210"/>
      <c r="AK1278" s="210"/>
      <c r="AL1278" s="210"/>
      <c r="AM1278" s="214"/>
      <c r="AN1278" s="210"/>
      <c r="AO1278" s="210"/>
      <c r="AP1278" s="210"/>
      <c r="AQ1278" s="210"/>
      <c r="AR1278" s="210"/>
      <c r="AS1278" s="210"/>
      <c r="AT1278" s="210"/>
      <c r="AU1278" s="210"/>
      <c r="AV1278" s="210"/>
      <c r="AW1278" s="210"/>
      <c r="AX1278" s="210"/>
      <c r="AY1278" s="210"/>
      <c r="AZ1278" s="210"/>
      <c r="BA1278" s="210"/>
      <c r="BB1278" s="210"/>
      <c r="BC1278" s="210"/>
      <c r="BD1278" s="210"/>
      <c r="BE1278" s="210"/>
      <c r="BF1278" s="210"/>
      <c r="BG1278" s="210"/>
      <c r="BH1278" s="210"/>
      <c r="BI1278" s="210"/>
      <c r="BJ1278" s="210"/>
      <c r="BK1278" s="210"/>
      <c r="BL1278" s="210"/>
      <c r="BM1278" s="210"/>
      <c r="BN1278" s="210"/>
      <c r="BO1278" s="210"/>
      <c r="BP1278" s="210"/>
      <c r="BQ1278" s="210"/>
      <c r="BR1278" s="210"/>
      <c r="BS1278" s="210"/>
      <c r="BT1278" s="210"/>
      <c r="BU1278" s="210"/>
      <c r="BV1278" s="210"/>
      <c r="BW1278" s="210"/>
      <c r="BX1278" s="210"/>
      <c r="BY1278" s="210"/>
      <c r="BZ1278" s="210"/>
      <c r="CA1278" s="210"/>
      <c r="CB1278" s="210"/>
      <c r="CC1278" s="210"/>
      <c r="CD1278" s="210"/>
      <c r="CE1278" s="210"/>
      <c r="CF1278" s="210"/>
      <c r="CG1278" s="210"/>
      <c r="CH1278" s="210"/>
      <c r="CI1278" s="210"/>
      <c r="CJ1278" s="210"/>
      <c r="CK1278" s="210"/>
    </row>
    <row r="1279">
      <c r="A1279" s="220"/>
      <c r="F1279" s="190"/>
      <c r="G1279" s="190"/>
      <c r="L1279" s="220"/>
      <c r="M1279" s="220"/>
      <c r="O1279" s="210"/>
      <c r="P1279" s="210"/>
      <c r="Q1279" s="210"/>
      <c r="R1279" s="210"/>
      <c r="S1279" s="210"/>
      <c r="T1279" s="210"/>
      <c r="U1279" s="210"/>
      <c r="V1279" s="210"/>
      <c r="W1279" s="210"/>
      <c r="X1279" s="210"/>
      <c r="Y1279" s="210"/>
      <c r="Z1279" s="210"/>
      <c r="AA1279" s="210"/>
      <c r="AB1279" s="210"/>
      <c r="AC1279" s="210"/>
      <c r="AD1279" s="210"/>
      <c r="AE1279" s="210"/>
      <c r="AF1279" s="210"/>
      <c r="AG1279" s="210"/>
      <c r="AH1279" s="210"/>
      <c r="AI1279" s="210"/>
      <c r="AJ1279" s="210"/>
      <c r="AK1279" s="210"/>
      <c r="AL1279" s="210"/>
      <c r="AM1279" s="214"/>
      <c r="AN1279" s="210"/>
      <c r="AO1279" s="210"/>
      <c r="AP1279" s="210"/>
      <c r="AQ1279" s="210"/>
      <c r="AR1279" s="210"/>
      <c r="AS1279" s="210"/>
      <c r="AT1279" s="210"/>
      <c r="AU1279" s="210"/>
      <c r="AV1279" s="210"/>
      <c r="AW1279" s="210"/>
      <c r="AX1279" s="210"/>
      <c r="AY1279" s="210"/>
      <c r="AZ1279" s="210"/>
      <c r="BA1279" s="210"/>
      <c r="BB1279" s="210"/>
      <c r="BC1279" s="210"/>
      <c r="BD1279" s="210"/>
      <c r="BE1279" s="210"/>
      <c r="BF1279" s="210"/>
      <c r="BG1279" s="210"/>
      <c r="BH1279" s="210"/>
      <c r="BI1279" s="210"/>
      <c r="BJ1279" s="210"/>
      <c r="BK1279" s="210"/>
      <c r="BL1279" s="210"/>
      <c r="BM1279" s="210"/>
      <c r="BN1279" s="210"/>
      <c r="BO1279" s="210"/>
      <c r="BP1279" s="210"/>
      <c r="BQ1279" s="210"/>
      <c r="BR1279" s="210"/>
      <c r="BS1279" s="210"/>
      <c r="BT1279" s="210"/>
      <c r="BU1279" s="210"/>
      <c r="BV1279" s="210"/>
      <c r="BW1279" s="210"/>
      <c r="BX1279" s="210"/>
      <c r="BY1279" s="210"/>
      <c r="BZ1279" s="210"/>
      <c r="CA1279" s="210"/>
      <c r="CB1279" s="210"/>
      <c r="CC1279" s="210"/>
      <c r="CD1279" s="210"/>
      <c r="CE1279" s="210"/>
      <c r="CF1279" s="210"/>
      <c r="CG1279" s="210"/>
      <c r="CH1279" s="210"/>
      <c r="CI1279" s="210"/>
      <c r="CJ1279" s="210"/>
      <c r="CK1279" s="210"/>
    </row>
    <row r="1280">
      <c r="A1280" s="220"/>
      <c r="F1280" s="190"/>
      <c r="G1280" s="190"/>
      <c r="L1280" s="220"/>
      <c r="M1280" s="220"/>
      <c r="O1280" s="210"/>
      <c r="P1280" s="210"/>
      <c r="Q1280" s="210"/>
      <c r="R1280" s="210"/>
      <c r="S1280" s="210"/>
      <c r="T1280" s="210"/>
      <c r="U1280" s="210"/>
      <c r="V1280" s="210"/>
      <c r="W1280" s="210"/>
      <c r="X1280" s="210"/>
      <c r="Y1280" s="210"/>
      <c r="Z1280" s="210"/>
      <c r="AA1280" s="210"/>
      <c r="AB1280" s="210"/>
      <c r="AC1280" s="210"/>
      <c r="AD1280" s="210"/>
      <c r="AE1280" s="210"/>
      <c r="AF1280" s="210"/>
      <c r="AG1280" s="210"/>
      <c r="AH1280" s="210"/>
      <c r="AI1280" s="210"/>
      <c r="AJ1280" s="210"/>
      <c r="AK1280" s="210"/>
      <c r="AL1280" s="210"/>
      <c r="AM1280" s="214"/>
      <c r="AN1280" s="210"/>
      <c r="AO1280" s="210"/>
      <c r="AP1280" s="210"/>
      <c r="AQ1280" s="210"/>
      <c r="AR1280" s="210"/>
      <c r="AS1280" s="210"/>
      <c r="AT1280" s="210"/>
      <c r="AU1280" s="210"/>
      <c r="AV1280" s="210"/>
      <c r="AW1280" s="210"/>
      <c r="AX1280" s="210"/>
      <c r="AY1280" s="210"/>
      <c r="AZ1280" s="210"/>
      <c r="BA1280" s="210"/>
      <c r="BB1280" s="210"/>
      <c r="BC1280" s="210"/>
      <c r="BD1280" s="210"/>
      <c r="BE1280" s="210"/>
      <c r="BF1280" s="210"/>
      <c r="BG1280" s="210"/>
      <c r="BH1280" s="210"/>
      <c r="BI1280" s="210"/>
      <c r="BJ1280" s="210"/>
      <c r="BK1280" s="210"/>
      <c r="BL1280" s="210"/>
      <c r="BM1280" s="210"/>
      <c r="BN1280" s="210"/>
      <c r="BO1280" s="210"/>
      <c r="BP1280" s="210"/>
      <c r="BQ1280" s="210"/>
      <c r="BR1280" s="210"/>
      <c r="BS1280" s="210"/>
      <c r="BT1280" s="210"/>
      <c r="BU1280" s="210"/>
      <c r="BV1280" s="210"/>
      <c r="BW1280" s="210"/>
      <c r="BX1280" s="210"/>
      <c r="BY1280" s="210"/>
      <c r="BZ1280" s="210"/>
      <c r="CA1280" s="210"/>
      <c r="CB1280" s="210"/>
      <c r="CC1280" s="210"/>
      <c r="CD1280" s="210"/>
      <c r="CE1280" s="210"/>
      <c r="CF1280" s="210"/>
      <c r="CG1280" s="210"/>
      <c r="CH1280" s="210"/>
      <c r="CI1280" s="210"/>
      <c r="CJ1280" s="210"/>
      <c r="CK1280" s="210"/>
    </row>
    <row r="1281">
      <c r="A1281" s="220"/>
      <c r="F1281" s="190"/>
      <c r="G1281" s="190"/>
      <c r="L1281" s="220"/>
      <c r="M1281" s="220"/>
      <c r="O1281" s="210"/>
      <c r="P1281" s="210"/>
      <c r="Q1281" s="210"/>
      <c r="R1281" s="210"/>
      <c r="S1281" s="210"/>
      <c r="T1281" s="210"/>
      <c r="U1281" s="210"/>
      <c r="V1281" s="210"/>
      <c r="W1281" s="210"/>
      <c r="X1281" s="210"/>
      <c r="Y1281" s="210"/>
      <c r="Z1281" s="210"/>
      <c r="AA1281" s="210"/>
      <c r="AB1281" s="210"/>
      <c r="AC1281" s="210"/>
      <c r="AD1281" s="210"/>
      <c r="AE1281" s="210"/>
      <c r="AF1281" s="210"/>
      <c r="AG1281" s="210"/>
      <c r="AH1281" s="210"/>
      <c r="AI1281" s="210"/>
      <c r="AJ1281" s="210"/>
      <c r="AK1281" s="210"/>
      <c r="AL1281" s="210"/>
      <c r="AM1281" s="214"/>
      <c r="AN1281" s="210"/>
      <c r="AO1281" s="210"/>
      <c r="AP1281" s="210"/>
      <c r="AQ1281" s="210"/>
      <c r="AR1281" s="210"/>
      <c r="AS1281" s="210"/>
      <c r="AT1281" s="210"/>
      <c r="AU1281" s="210"/>
      <c r="AV1281" s="210"/>
      <c r="AW1281" s="210"/>
      <c r="AX1281" s="210"/>
      <c r="AY1281" s="210"/>
      <c r="AZ1281" s="210"/>
      <c r="BA1281" s="210"/>
      <c r="BB1281" s="210"/>
      <c r="BC1281" s="210"/>
      <c r="BD1281" s="210"/>
      <c r="BE1281" s="210"/>
      <c r="BF1281" s="210"/>
      <c r="BG1281" s="210"/>
      <c r="BH1281" s="210"/>
      <c r="BI1281" s="210"/>
      <c r="BJ1281" s="210"/>
      <c r="BK1281" s="210"/>
      <c r="BL1281" s="210"/>
      <c r="BM1281" s="210"/>
      <c r="BN1281" s="210"/>
      <c r="BO1281" s="210"/>
      <c r="BP1281" s="210"/>
      <c r="BQ1281" s="210"/>
      <c r="BR1281" s="210"/>
      <c r="BS1281" s="210"/>
      <c r="BT1281" s="210"/>
      <c r="BU1281" s="210"/>
      <c r="BV1281" s="210"/>
      <c r="BW1281" s="210"/>
      <c r="BX1281" s="210"/>
      <c r="BY1281" s="210"/>
      <c r="BZ1281" s="210"/>
      <c r="CA1281" s="210"/>
      <c r="CB1281" s="210"/>
      <c r="CC1281" s="210"/>
      <c r="CD1281" s="210"/>
      <c r="CE1281" s="210"/>
      <c r="CF1281" s="210"/>
      <c r="CG1281" s="210"/>
      <c r="CH1281" s="210"/>
      <c r="CI1281" s="210"/>
      <c r="CJ1281" s="210"/>
      <c r="CK1281" s="210"/>
    </row>
    <row r="1282">
      <c r="A1282" s="220"/>
      <c r="F1282" s="190"/>
      <c r="G1282" s="190"/>
      <c r="L1282" s="220"/>
      <c r="M1282" s="220"/>
      <c r="O1282" s="210"/>
      <c r="P1282" s="210"/>
      <c r="Q1282" s="210"/>
      <c r="R1282" s="210"/>
      <c r="S1282" s="210"/>
      <c r="T1282" s="210"/>
      <c r="U1282" s="210"/>
      <c r="V1282" s="210"/>
      <c r="W1282" s="210"/>
      <c r="X1282" s="210"/>
      <c r="Y1282" s="210"/>
      <c r="Z1282" s="210"/>
      <c r="AA1282" s="210"/>
      <c r="AB1282" s="210"/>
      <c r="AC1282" s="210"/>
      <c r="AD1282" s="210"/>
      <c r="AE1282" s="210"/>
      <c r="AF1282" s="210"/>
      <c r="AG1282" s="210"/>
      <c r="AH1282" s="210"/>
      <c r="AI1282" s="210"/>
      <c r="AJ1282" s="210"/>
      <c r="AK1282" s="210"/>
      <c r="AL1282" s="210"/>
      <c r="AM1282" s="214"/>
      <c r="AN1282" s="210"/>
      <c r="AO1282" s="210"/>
      <c r="AP1282" s="210"/>
      <c r="AQ1282" s="210"/>
      <c r="AR1282" s="210"/>
      <c r="AS1282" s="210"/>
      <c r="AT1282" s="210"/>
      <c r="AU1282" s="210"/>
      <c r="AV1282" s="210"/>
      <c r="AW1282" s="210"/>
      <c r="AX1282" s="210"/>
      <c r="AY1282" s="210"/>
      <c r="AZ1282" s="210"/>
      <c r="BA1282" s="210"/>
      <c r="BB1282" s="210"/>
      <c r="BC1282" s="210"/>
      <c r="BD1282" s="210"/>
      <c r="BE1282" s="210"/>
      <c r="BF1282" s="210"/>
      <c r="BG1282" s="210"/>
      <c r="BH1282" s="210"/>
      <c r="BI1282" s="210"/>
      <c r="BJ1282" s="210"/>
      <c r="BK1282" s="210"/>
      <c r="BL1282" s="210"/>
      <c r="BM1282" s="210"/>
      <c r="BN1282" s="210"/>
      <c r="BO1282" s="210"/>
      <c r="BP1282" s="210"/>
      <c r="BQ1282" s="210"/>
      <c r="BR1282" s="210"/>
      <c r="BS1282" s="210"/>
      <c r="BT1282" s="210"/>
      <c r="BU1282" s="210"/>
      <c r="BV1282" s="210"/>
      <c r="BW1282" s="210"/>
      <c r="BX1282" s="210"/>
      <c r="BY1282" s="210"/>
      <c r="BZ1282" s="210"/>
      <c r="CA1282" s="210"/>
      <c r="CB1282" s="210"/>
      <c r="CC1282" s="210"/>
      <c r="CD1282" s="210"/>
      <c r="CE1282" s="210"/>
      <c r="CF1282" s="210"/>
      <c r="CG1282" s="210"/>
      <c r="CH1282" s="210"/>
      <c r="CI1282" s="210"/>
      <c r="CJ1282" s="210"/>
      <c r="CK1282" s="210"/>
    </row>
    <row r="1283">
      <c r="A1283" s="220"/>
      <c r="F1283" s="190"/>
      <c r="G1283" s="190"/>
      <c r="L1283" s="220"/>
      <c r="M1283" s="220"/>
      <c r="O1283" s="210"/>
      <c r="P1283" s="210"/>
      <c r="Q1283" s="210"/>
      <c r="R1283" s="210"/>
      <c r="S1283" s="210"/>
      <c r="T1283" s="210"/>
      <c r="U1283" s="210"/>
      <c r="V1283" s="210"/>
      <c r="W1283" s="210"/>
      <c r="X1283" s="210"/>
      <c r="Y1283" s="210"/>
      <c r="Z1283" s="210"/>
      <c r="AA1283" s="210"/>
      <c r="AB1283" s="210"/>
      <c r="AC1283" s="210"/>
      <c r="AD1283" s="210"/>
      <c r="AE1283" s="210"/>
      <c r="AF1283" s="210"/>
      <c r="AG1283" s="210"/>
      <c r="AH1283" s="210"/>
      <c r="AI1283" s="210"/>
      <c r="AJ1283" s="210"/>
      <c r="AK1283" s="210"/>
      <c r="AL1283" s="210"/>
      <c r="AM1283" s="214"/>
      <c r="AN1283" s="210"/>
      <c r="AO1283" s="210"/>
      <c r="AP1283" s="210"/>
      <c r="AQ1283" s="210"/>
      <c r="AR1283" s="210"/>
      <c r="AS1283" s="210"/>
      <c r="AT1283" s="210"/>
      <c r="AU1283" s="210"/>
      <c r="AV1283" s="210"/>
      <c r="AW1283" s="210"/>
      <c r="AX1283" s="210"/>
      <c r="AY1283" s="210"/>
      <c r="AZ1283" s="210"/>
      <c r="BA1283" s="210"/>
      <c r="BB1283" s="210"/>
      <c r="BC1283" s="210"/>
      <c r="BD1283" s="210"/>
      <c r="BE1283" s="210"/>
      <c r="BF1283" s="210"/>
      <c r="BG1283" s="210"/>
      <c r="BH1283" s="210"/>
      <c r="BI1283" s="210"/>
      <c r="BJ1283" s="210"/>
      <c r="BK1283" s="210"/>
      <c r="BL1283" s="210"/>
      <c r="BM1283" s="210"/>
      <c r="BN1283" s="210"/>
      <c r="BO1283" s="210"/>
      <c r="BP1283" s="210"/>
      <c r="BQ1283" s="210"/>
      <c r="BR1283" s="210"/>
      <c r="BS1283" s="210"/>
      <c r="BT1283" s="210"/>
      <c r="BU1283" s="210"/>
      <c r="BV1283" s="210"/>
      <c r="BW1283" s="210"/>
      <c r="BX1283" s="210"/>
      <c r="BY1283" s="210"/>
      <c r="BZ1283" s="210"/>
      <c r="CA1283" s="210"/>
      <c r="CB1283" s="210"/>
      <c r="CC1283" s="210"/>
      <c r="CD1283" s="210"/>
      <c r="CE1283" s="210"/>
      <c r="CF1283" s="210"/>
      <c r="CG1283" s="210"/>
      <c r="CH1283" s="210"/>
      <c r="CI1283" s="210"/>
      <c r="CJ1283" s="210"/>
      <c r="CK1283" s="210"/>
    </row>
    <row r="1284">
      <c r="A1284" s="220"/>
      <c r="F1284" s="190"/>
      <c r="G1284" s="190"/>
      <c r="L1284" s="220"/>
      <c r="M1284" s="220"/>
      <c r="O1284" s="210"/>
      <c r="P1284" s="210"/>
      <c r="Q1284" s="210"/>
      <c r="R1284" s="210"/>
      <c r="S1284" s="210"/>
      <c r="T1284" s="210"/>
      <c r="U1284" s="210"/>
      <c r="V1284" s="210"/>
      <c r="W1284" s="210"/>
      <c r="X1284" s="210"/>
      <c r="Y1284" s="210"/>
      <c r="Z1284" s="210"/>
      <c r="AA1284" s="210"/>
      <c r="AB1284" s="210"/>
      <c r="AC1284" s="210"/>
      <c r="AD1284" s="210"/>
      <c r="AE1284" s="210"/>
      <c r="AF1284" s="210"/>
      <c r="AG1284" s="210"/>
      <c r="AH1284" s="210"/>
      <c r="AI1284" s="210"/>
      <c r="AJ1284" s="210"/>
      <c r="AK1284" s="210"/>
      <c r="AL1284" s="210"/>
      <c r="AM1284" s="214"/>
      <c r="AN1284" s="210"/>
      <c r="AO1284" s="210"/>
      <c r="AP1284" s="210"/>
      <c r="AQ1284" s="210"/>
      <c r="AR1284" s="210"/>
      <c r="AS1284" s="210"/>
      <c r="AT1284" s="210"/>
      <c r="AU1284" s="210"/>
      <c r="AV1284" s="210"/>
      <c r="AW1284" s="210"/>
      <c r="AX1284" s="210"/>
      <c r="AY1284" s="210"/>
      <c r="AZ1284" s="210"/>
      <c r="BA1284" s="210"/>
      <c r="BB1284" s="210"/>
      <c r="BC1284" s="210"/>
      <c r="BD1284" s="210"/>
      <c r="BE1284" s="210"/>
      <c r="BF1284" s="210"/>
      <c r="BG1284" s="210"/>
      <c r="BH1284" s="210"/>
      <c r="BI1284" s="210"/>
      <c r="BJ1284" s="210"/>
      <c r="BK1284" s="210"/>
      <c r="BL1284" s="210"/>
      <c r="BM1284" s="210"/>
      <c r="BN1284" s="210"/>
      <c r="BO1284" s="210"/>
      <c r="BP1284" s="210"/>
      <c r="BQ1284" s="210"/>
      <c r="BR1284" s="210"/>
      <c r="BS1284" s="210"/>
      <c r="BT1284" s="210"/>
      <c r="BU1284" s="210"/>
      <c r="BV1284" s="210"/>
      <c r="BW1284" s="210"/>
      <c r="BX1284" s="210"/>
      <c r="BY1284" s="210"/>
      <c r="BZ1284" s="210"/>
      <c r="CA1284" s="210"/>
      <c r="CB1284" s="210"/>
      <c r="CC1284" s="210"/>
      <c r="CD1284" s="210"/>
      <c r="CE1284" s="210"/>
      <c r="CF1284" s="210"/>
      <c r="CG1284" s="210"/>
      <c r="CH1284" s="210"/>
      <c r="CI1284" s="210"/>
      <c r="CJ1284" s="210"/>
      <c r="CK1284" s="210"/>
    </row>
    <row r="1285">
      <c r="A1285" s="220"/>
      <c r="F1285" s="190"/>
      <c r="G1285" s="190"/>
      <c r="L1285" s="220"/>
      <c r="M1285" s="220"/>
      <c r="O1285" s="210"/>
      <c r="P1285" s="210"/>
      <c r="Q1285" s="210"/>
      <c r="R1285" s="210"/>
      <c r="S1285" s="210"/>
      <c r="T1285" s="210"/>
      <c r="U1285" s="210"/>
      <c r="V1285" s="210"/>
      <c r="W1285" s="210"/>
      <c r="X1285" s="210"/>
      <c r="Y1285" s="210"/>
      <c r="Z1285" s="210"/>
      <c r="AA1285" s="210"/>
      <c r="AB1285" s="210"/>
      <c r="AC1285" s="210"/>
      <c r="AD1285" s="210"/>
      <c r="AE1285" s="210"/>
      <c r="AF1285" s="210"/>
      <c r="AG1285" s="210"/>
      <c r="AH1285" s="210"/>
      <c r="AI1285" s="210"/>
      <c r="AJ1285" s="210"/>
      <c r="AK1285" s="210"/>
      <c r="AL1285" s="210"/>
      <c r="AM1285" s="214"/>
      <c r="AN1285" s="210"/>
      <c r="AO1285" s="210"/>
      <c r="AP1285" s="210"/>
      <c r="AQ1285" s="210"/>
      <c r="AR1285" s="210"/>
      <c r="AS1285" s="210"/>
      <c r="AT1285" s="210"/>
      <c r="AU1285" s="210"/>
      <c r="AV1285" s="210"/>
      <c r="AW1285" s="210"/>
      <c r="AX1285" s="210"/>
      <c r="AY1285" s="210"/>
      <c r="AZ1285" s="210"/>
      <c r="BA1285" s="210"/>
      <c r="BB1285" s="210"/>
      <c r="BC1285" s="210"/>
      <c r="BD1285" s="210"/>
      <c r="BE1285" s="210"/>
      <c r="BF1285" s="210"/>
      <c r="BG1285" s="210"/>
      <c r="BH1285" s="210"/>
      <c r="BI1285" s="210"/>
      <c r="BJ1285" s="210"/>
      <c r="BK1285" s="210"/>
      <c r="BL1285" s="210"/>
      <c r="BM1285" s="210"/>
      <c r="BN1285" s="210"/>
      <c r="BO1285" s="210"/>
      <c r="BP1285" s="210"/>
      <c r="BQ1285" s="210"/>
      <c r="BR1285" s="210"/>
      <c r="BS1285" s="210"/>
      <c r="BT1285" s="210"/>
      <c r="BU1285" s="210"/>
      <c r="BV1285" s="210"/>
      <c r="BW1285" s="210"/>
      <c r="BX1285" s="210"/>
      <c r="BY1285" s="210"/>
      <c r="BZ1285" s="210"/>
      <c r="CA1285" s="210"/>
      <c r="CB1285" s="210"/>
      <c r="CC1285" s="210"/>
      <c r="CD1285" s="210"/>
      <c r="CE1285" s="210"/>
      <c r="CF1285" s="210"/>
      <c r="CG1285" s="210"/>
      <c r="CH1285" s="210"/>
      <c r="CI1285" s="210"/>
      <c r="CJ1285" s="210"/>
      <c r="CK1285" s="210"/>
    </row>
    <row r="1286">
      <c r="A1286" s="220"/>
      <c r="F1286" s="190"/>
      <c r="G1286" s="190"/>
      <c r="L1286" s="220"/>
      <c r="M1286" s="220"/>
      <c r="O1286" s="210"/>
      <c r="P1286" s="210"/>
      <c r="Q1286" s="210"/>
      <c r="R1286" s="210"/>
      <c r="S1286" s="210"/>
      <c r="T1286" s="210"/>
      <c r="U1286" s="210"/>
      <c r="V1286" s="210"/>
      <c r="W1286" s="210"/>
      <c r="X1286" s="210"/>
      <c r="Y1286" s="210"/>
      <c r="Z1286" s="210"/>
      <c r="AA1286" s="210"/>
      <c r="AB1286" s="210"/>
      <c r="AC1286" s="210"/>
      <c r="AD1286" s="210"/>
      <c r="AE1286" s="210"/>
      <c r="AF1286" s="210"/>
      <c r="AG1286" s="210"/>
      <c r="AH1286" s="210"/>
      <c r="AI1286" s="210"/>
      <c r="AJ1286" s="210"/>
      <c r="AK1286" s="210"/>
      <c r="AL1286" s="210"/>
      <c r="AM1286" s="214"/>
      <c r="AN1286" s="210"/>
      <c r="AO1286" s="210"/>
      <c r="AP1286" s="210"/>
      <c r="AQ1286" s="210"/>
      <c r="AR1286" s="210"/>
      <c r="AS1286" s="210"/>
      <c r="AT1286" s="210"/>
      <c r="AU1286" s="210"/>
      <c r="AV1286" s="210"/>
      <c r="AW1286" s="210"/>
      <c r="AX1286" s="210"/>
      <c r="AY1286" s="210"/>
      <c r="AZ1286" s="210"/>
      <c r="BA1286" s="210"/>
      <c r="BB1286" s="210"/>
      <c r="BC1286" s="210"/>
      <c r="BD1286" s="210"/>
      <c r="BE1286" s="210"/>
      <c r="BF1286" s="210"/>
      <c r="BG1286" s="210"/>
      <c r="BH1286" s="210"/>
      <c r="BI1286" s="210"/>
      <c r="BJ1286" s="210"/>
      <c r="BK1286" s="210"/>
      <c r="BL1286" s="210"/>
      <c r="BM1286" s="210"/>
      <c r="BN1286" s="210"/>
      <c r="BO1286" s="210"/>
      <c r="BP1286" s="210"/>
      <c r="BQ1286" s="210"/>
      <c r="BR1286" s="210"/>
      <c r="BS1286" s="210"/>
      <c r="BT1286" s="210"/>
      <c r="BU1286" s="210"/>
      <c r="BV1286" s="210"/>
      <c r="BW1286" s="210"/>
      <c r="BX1286" s="210"/>
      <c r="BY1286" s="210"/>
      <c r="BZ1286" s="210"/>
      <c r="CA1286" s="210"/>
      <c r="CB1286" s="210"/>
      <c r="CC1286" s="210"/>
      <c r="CD1286" s="210"/>
      <c r="CE1286" s="210"/>
      <c r="CF1286" s="210"/>
      <c r="CG1286" s="210"/>
      <c r="CH1286" s="210"/>
      <c r="CI1286" s="210"/>
      <c r="CJ1286" s="210"/>
      <c r="CK1286" s="210"/>
    </row>
    <row r="1287">
      <c r="A1287" s="220"/>
      <c r="F1287" s="190"/>
      <c r="G1287" s="190"/>
      <c r="L1287" s="220"/>
      <c r="M1287" s="220"/>
      <c r="O1287" s="210"/>
      <c r="P1287" s="210"/>
      <c r="Q1287" s="210"/>
      <c r="R1287" s="210"/>
      <c r="S1287" s="210"/>
      <c r="T1287" s="210"/>
      <c r="U1287" s="210"/>
      <c r="V1287" s="210"/>
      <c r="W1287" s="210"/>
      <c r="X1287" s="210"/>
      <c r="Y1287" s="210"/>
      <c r="Z1287" s="210"/>
      <c r="AA1287" s="210"/>
      <c r="AB1287" s="210"/>
      <c r="AC1287" s="210"/>
      <c r="AD1287" s="210"/>
      <c r="AE1287" s="210"/>
      <c r="AF1287" s="210"/>
      <c r="AG1287" s="210"/>
      <c r="AH1287" s="210"/>
      <c r="AI1287" s="210"/>
      <c r="AJ1287" s="210"/>
      <c r="AK1287" s="210"/>
      <c r="AL1287" s="210"/>
      <c r="AM1287" s="214"/>
      <c r="AN1287" s="210"/>
      <c r="AO1287" s="210"/>
      <c r="AP1287" s="210"/>
      <c r="AQ1287" s="210"/>
      <c r="AR1287" s="210"/>
      <c r="AS1287" s="210"/>
      <c r="AT1287" s="210"/>
      <c r="AU1287" s="210"/>
      <c r="AV1287" s="210"/>
      <c r="AW1287" s="210"/>
      <c r="AX1287" s="210"/>
      <c r="AY1287" s="210"/>
      <c r="AZ1287" s="210"/>
      <c r="BA1287" s="210"/>
      <c r="BB1287" s="210"/>
      <c r="BC1287" s="210"/>
      <c r="BD1287" s="210"/>
      <c r="BE1287" s="210"/>
      <c r="BF1287" s="210"/>
      <c r="BG1287" s="210"/>
      <c r="BH1287" s="210"/>
      <c r="BI1287" s="210"/>
      <c r="BJ1287" s="210"/>
      <c r="BK1287" s="210"/>
      <c r="BL1287" s="210"/>
      <c r="BM1287" s="210"/>
      <c r="BN1287" s="210"/>
      <c r="BO1287" s="210"/>
      <c r="BP1287" s="210"/>
      <c r="BQ1287" s="210"/>
      <c r="BR1287" s="210"/>
      <c r="BS1287" s="210"/>
      <c r="BT1287" s="210"/>
      <c r="BU1287" s="210"/>
      <c r="BV1287" s="210"/>
      <c r="BW1287" s="210"/>
      <c r="BX1287" s="210"/>
      <c r="BY1287" s="210"/>
      <c r="BZ1287" s="210"/>
      <c r="CA1287" s="210"/>
      <c r="CB1287" s="210"/>
      <c r="CC1287" s="210"/>
      <c r="CD1287" s="210"/>
      <c r="CE1287" s="210"/>
      <c r="CF1287" s="210"/>
      <c r="CG1287" s="210"/>
      <c r="CH1287" s="210"/>
      <c r="CI1287" s="210"/>
      <c r="CJ1287" s="210"/>
      <c r="CK1287" s="210"/>
    </row>
    <row r="1288">
      <c r="A1288" s="220"/>
      <c r="F1288" s="190"/>
      <c r="G1288" s="190"/>
      <c r="L1288" s="220"/>
      <c r="M1288" s="220"/>
      <c r="O1288" s="210"/>
      <c r="P1288" s="210"/>
      <c r="Q1288" s="210"/>
      <c r="R1288" s="210"/>
      <c r="S1288" s="210"/>
      <c r="T1288" s="210"/>
      <c r="U1288" s="210"/>
      <c r="V1288" s="210"/>
      <c r="W1288" s="210"/>
      <c r="X1288" s="210"/>
      <c r="Y1288" s="210"/>
      <c r="Z1288" s="210"/>
      <c r="AA1288" s="210"/>
      <c r="AB1288" s="210"/>
      <c r="AC1288" s="210"/>
      <c r="AD1288" s="210"/>
      <c r="AE1288" s="210"/>
      <c r="AF1288" s="210"/>
      <c r="AG1288" s="210"/>
      <c r="AH1288" s="210"/>
      <c r="AI1288" s="210"/>
      <c r="AJ1288" s="210"/>
      <c r="AK1288" s="210"/>
      <c r="AL1288" s="210"/>
      <c r="AM1288" s="214"/>
      <c r="AN1288" s="210"/>
      <c r="AO1288" s="210"/>
      <c r="AP1288" s="210"/>
      <c r="AQ1288" s="210"/>
      <c r="AR1288" s="210"/>
      <c r="AS1288" s="210"/>
      <c r="AT1288" s="210"/>
      <c r="AU1288" s="210"/>
      <c r="AV1288" s="210"/>
      <c r="AW1288" s="210"/>
      <c r="AX1288" s="210"/>
      <c r="AY1288" s="210"/>
      <c r="AZ1288" s="210"/>
      <c r="BA1288" s="210"/>
      <c r="BB1288" s="210"/>
      <c r="BC1288" s="210"/>
      <c r="BD1288" s="210"/>
      <c r="BE1288" s="210"/>
      <c r="BF1288" s="210"/>
      <c r="BG1288" s="210"/>
      <c r="BH1288" s="210"/>
      <c r="BI1288" s="210"/>
      <c r="BJ1288" s="210"/>
      <c r="BK1288" s="210"/>
      <c r="BL1288" s="210"/>
      <c r="BM1288" s="210"/>
      <c r="BN1288" s="210"/>
      <c r="BO1288" s="210"/>
      <c r="BP1288" s="210"/>
      <c r="BQ1288" s="210"/>
      <c r="BR1288" s="210"/>
      <c r="BS1288" s="210"/>
      <c r="BT1288" s="210"/>
      <c r="BU1288" s="210"/>
      <c r="BV1288" s="210"/>
      <c r="BW1288" s="210"/>
      <c r="BX1288" s="210"/>
      <c r="BY1288" s="210"/>
      <c r="BZ1288" s="210"/>
      <c r="CA1288" s="210"/>
      <c r="CB1288" s="210"/>
      <c r="CC1288" s="210"/>
      <c r="CD1288" s="210"/>
      <c r="CE1288" s="210"/>
      <c r="CF1288" s="210"/>
      <c r="CG1288" s="210"/>
      <c r="CH1288" s="210"/>
      <c r="CI1288" s="210"/>
      <c r="CJ1288" s="210"/>
      <c r="CK1288" s="210"/>
    </row>
    <row r="1289">
      <c r="A1289" s="220"/>
      <c r="F1289" s="190"/>
      <c r="G1289" s="190"/>
      <c r="L1289" s="220"/>
      <c r="M1289" s="220"/>
      <c r="O1289" s="210"/>
      <c r="P1289" s="210"/>
      <c r="Q1289" s="210"/>
      <c r="R1289" s="210"/>
      <c r="S1289" s="210"/>
      <c r="T1289" s="210"/>
      <c r="U1289" s="210"/>
      <c r="V1289" s="210"/>
      <c r="W1289" s="210"/>
      <c r="X1289" s="210"/>
      <c r="Y1289" s="210"/>
      <c r="Z1289" s="210"/>
      <c r="AA1289" s="210"/>
      <c r="AB1289" s="210"/>
      <c r="AC1289" s="210"/>
      <c r="AD1289" s="210"/>
      <c r="AE1289" s="210"/>
      <c r="AF1289" s="210"/>
      <c r="AG1289" s="210"/>
      <c r="AH1289" s="210"/>
      <c r="AI1289" s="210"/>
      <c r="AJ1289" s="210"/>
      <c r="AK1289" s="210"/>
      <c r="AL1289" s="210"/>
      <c r="AM1289" s="214"/>
      <c r="AN1289" s="210"/>
      <c r="AO1289" s="210"/>
      <c r="AP1289" s="210"/>
      <c r="AQ1289" s="210"/>
      <c r="AR1289" s="210"/>
      <c r="AS1289" s="210"/>
      <c r="AT1289" s="210"/>
      <c r="AU1289" s="210"/>
      <c r="AV1289" s="210"/>
      <c r="AW1289" s="210"/>
      <c r="AX1289" s="210"/>
      <c r="AY1289" s="210"/>
      <c r="AZ1289" s="210"/>
      <c r="BA1289" s="210"/>
      <c r="BB1289" s="210"/>
      <c r="BC1289" s="210"/>
      <c r="BD1289" s="210"/>
      <c r="BE1289" s="210"/>
      <c r="BF1289" s="210"/>
      <c r="BG1289" s="210"/>
      <c r="BH1289" s="210"/>
      <c r="BI1289" s="210"/>
      <c r="BJ1289" s="210"/>
      <c r="BK1289" s="210"/>
      <c r="BL1289" s="210"/>
      <c r="BM1289" s="210"/>
      <c r="BN1289" s="210"/>
      <c r="BO1289" s="210"/>
      <c r="BP1289" s="210"/>
      <c r="BQ1289" s="210"/>
      <c r="BR1289" s="210"/>
      <c r="BS1289" s="210"/>
      <c r="BT1289" s="210"/>
      <c r="BU1289" s="210"/>
      <c r="BV1289" s="210"/>
      <c r="BW1289" s="210"/>
      <c r="BX1289" s="210"/>
      <c r="BY1289" s="210"/>
      <c r="BZ1289" s="210"/>
      <c r="CA1289" s="210"/>
      <c r="CB1289" s="210"/>
      <c r="CC1289" s="210"/>
      <c r="CD1289" s="210"/>
      <c r="CE1289" s="210"/>
      <c r="CF1289" s="210"/>
      <c r="CG1289" s="210"/>
      <c r="CH1289" s="210"/>
      <c r="CI1289" s="210"/>
      <c r="CJ1289" s="210"/>
      <c r="CK1289" s="210"/>
    </row>
    <row r="1290">
      <c r="A1290" s="220"/>
      <c r="F1290" s="190"/>
      <c r="G1290" s="190"/>
      <c r="L1290" s="220"/>
      <c r="M1290" s="220"/>
      <c r="O1290" s="210"/>
      <c r="P1290" s="210"/>
      <c r="Q1290" s="210"/>
      <c r="R1290" s="210"/>
      <c r="S1290" s="210"/>
      <c r="T1290" s="210"/>
      <c r="U1290" s="210"/>
      <c r="V1290" s="210"/>
      <c r="W1290" s="210"/>
      <c r="X1290" s="210"/>
      <c r="Y1290" s="210"/>
      <c r="Z1290" s="210"/>
      <c r="AA1290" s="210"/>
      <c r="AB1290" s="210"/>
      <c r="AC1290" s="210"/>
      <c r="AD1290" s="210"/>
      <c r="AE1290" s="210"/>
      <c r="AF1290" s="210"/>
      <c r="AG1290" s="210"/>
      <c r="AH1290" s="210"/>
      <c r="AI1290" s="210"/>
      <c r="AJ1290" s="210"/>
      <c r="AK1290" s="210"/>
      <c r="AL1290" s="210"/>
      <c r="AM1290" s="214"/>
      <c r="AN1290" s="210"/>
      <c r="AO1290" s="210"/>
      <c r="AP1290" s="210"/>
      <c r="AQ1290" s="210"/>
      <c r="AR1290" s="210"/>
      <c r="AS1290" s="210"/>
      <c r="AT1290" s="210"/>
      <c r="AU1290" s="210"/>
      <c r="AV1290" s="210"/>
      <c r="AW1290" s="210"/>
      <c r="AX1290" s="210"/>
      <c r="AY1290" s="210"/>
      <c r="AZ1290" s="210"/>
      <c r="BA1290" s="210"/>
      <c r="BB1290" s="210"/>
      <c r="BC1290" s="210"/>
      <c r="BD1290" s="210"/>
      <c r="BE1290" s="210"/>
      <c r="BF1290" s="210"/>
      <c r="BG1290" s="210"/>
      <c r="BH1290" s="210"/>
      <c r="BI1290" s="210"/>
      <c r="BJ1290" s="210"/>
      <c r="BK1290" s="210"/>
      <c r="BL1290" s="210"/>
      <c r="BM1290" s="210"/>
      <c r="BN1290" s="210"/>
      <c r="BO1290" s="210"/>
      <c r="BP1290" s="210"/>
      <c r="BQ1290" s="210"/>
      <c r="BR1290" s="210"/>
      <c r="BS1290" s="210"/>
      <c r="BT1290" s="210"/>
      <c r="BU1290" s="210"/>
      <c r="BV1290" s="210"/>
      <c r="BW1290" s="210"/>
      <c r="BX1290" s="210"/>
      <c r="BY1290" s="210"/>
      <c r="BZ1290" s="210"/>
      <c r="CA1290" s="210"/>
      <c r="CB1290" s="210"/>
      <c r="CC1290" s="210"/>
      <c r="CD1290" s="210"/>
      <c r="CE1290" s="210"/>
      <c r="CF1290" s="210"/>
      <c r="CG1290" s="210"/>
      <c r="CH1290" s="210"/>
      <c r="CI1290" s="210"/>
      <c r="CJ1290" s="210"/>
      <c r="CK1290" s="210"/>
    </row>
    <row r="1291">
      <c r="A1291" s="220"/>
      <c r="F1291" s="190"/>
      <c r="G1291" s="190"/>
      <c r="L1291" s="220"/>
      <c r="M1291" s="220"/>
      <c r="O1291" s="210"/>
      <c r="P1291" s="210"/>
      <c r="Q1291" s="210"/>
      <c r="R1291" s="210"/>
      <c r="S1291" s="210"/>
      <c r="T1291" s="210"/>
      <c r="U1291" s="210"/>
      <c r="V1291" s="210"/>
      <c r="W1291" s="210"/>
      <c r="X1291" s="210"/>
      <c r="Y1291" s="210"/>
      <c r="Z1291" s="210"/>
      <c r="AA1291" s="210"/>
      <c r="AB1291" s="210"/>
      <c r="AC1291" s="210"/>
      <c r="AD1291" s="210"/>
      <c r="AE1291" s="210"/>
      <c r="AF1291" s="210"/>
      <c r="AG1291" s="210"/>
      <c r="AH1291" s="210"/>
      <c r="AI1291" s="210"/>
      <c r="AJ1291" s="210"/>
      <c r="AK1291" s="210"/>
      <c r="AL1291" s="210"/>
      <c r="AM1291" s="214"/>
      <c r="AN1291" s="210"/>
      <c r="AO1291" s="210"/>
      <c r="AP1291" s="210"/>
      <c r="AQ1291" s="210"/>
      <c r="AR1291" s="210"/>
      <c r="AS1291" s="210"/>
      <c r="AT1291" s="210"/>
      <c r="AU1291" s="210"/>
      <c r="AV1291" s="210"/>
      <c r="AW1291" s="210"/>
      <c r="AX1291" s="210"/>
      <c r="AY1291" s="210"/>
      <c r="AZ1291" s="210"/>
      <c r="BA1291" s="210"/>
      <c r="BB1291" s="210"/>
      <c r="BC1291" s="210"/>
      <c r="BD1291" s="210"/>
      <c r="BE1291" s="210"/>
      <c r="BF1291" s="210"/>
      <c r="BG1291" s="210"/>
      <c r="BH1291" s="210"/>
      <c r="BI1291" s="210"/>
      <c r="BJ1291" s="210"/>
      <c r="BK1291" s="210"/>
      <c r="BL1291" s="210"/>
      <c r="BM1291" s="210"/>
      <c r="BN1291" s="210"/>
      <c r="BO1291" s="210"/>
      <c r="BP1291" s="210"/>
      <c r="BQ1291" s="210"/>
      <c r="BR1291" s="210"/>
      <c r="BS1291" s="210"/>
      <c r="BT1291" s="210"/>
      <c r="BU1291" s="210"/>
      <c r="BV1291" s="210"/>
      <c r="BW1291" s="210"/>
      <c r="BX1291" s="210"/>
      <c r="BY1291" s="210"/>
      <c r="BZ1291" s="210"/>
      <c r="CA1291" s="210"/>
      <c r="CB1291" s="210"/>
      <c r="CC1291" s="210"/>
      <c r="CD1291" s="210"/>
      <c r="CE1291" s="210"/>
      <c r="CF1291" s="210"/>
      <c r="CG1291" s="210"/>
      <c r="CH1291" s="210"/>
      <c r="CI1291" s="210"/>
      <c r="CJ1291" s="210"/>
      <c r="CK1291" s="210"/>
    </row>
    <row r="1292">
      <c r="A1292" s="220"/>
      <c r="F1292" s="190"/>
      <c r="G1292" s="190"/>
      <c r="L1292" s="220"/>
      <c r="M1292" s="220"/>
      <c r="O1292" s="210"/>
      <c r="P1292" s="210"/>
      <c r="Q1292" s="210"/>
      <c r="R1292" s="210"/>
      <c r="S1292" s="210"/>
      <c r="T1292" s="210"/>
      <c r="U1292" s="210"/>
      <c r="V1292" s="210"/>
      <c r="W1292" s="210"/>
      <c r="X1292" s="210"/>
      <c r="Y1292" s="210"/>
      <c r="Z1292" s="210"/>
      <c r="AA1292" s="210"/>
      <c r="AB1292" s="210"/>
      <c r="AC1292" s="210"/>
      <c r="AD1292" s="210"/>
      <c r="AE1292" s="210"/>
      <c r="AF1292" s="210"/>
      <c r="AG1292" s="210"/>
      <c r="AH1292" s="210"/>
      <c r="AI1292" s="210"/>
      <c r="AJ1292" s="210"/>
      <c r="AK1292" s="210"/>
      <c r="AL1292" s="210"/>
      <c r="AM1292" s="214"/>
      <c r="AN1292" s="210"/>
      <c r="AO1292" s="210"/>
      <c r="AP1292" s="210"/>
      <c r="AQ1292" s="210"/>
      <c r="AR1292" s="210"/>
      <c r="AS1292" s="210"/>
      <c r="AT1292" s="210"/>
      <c r="AU1292" s="210"/>
      <c r="AV1292" s="210"/>
      <c r="AW1292" s="210"/>
      <c r="AX1292" s="210"/>
      <c r="AY1292" s="210"/>
      <c r="AZ1292" s="210"/>
      <c r="BA1292" s="210"/>
      <c r="BB1292" s="210"/>
      <c r="BC1292" s="210"/>
      <c r="BD1292" s="210"/>
      <c r="BE1292" s="210"/>
      <c r="BF1292" s="210"/>
      <c r="BG1292" s="210"/>
      <c r="BH1292" s="210"/>
      <c r="BI1292" s="210"/>
      <c r="BJ1292" s="210"/>
      <c r="BK1292" s="210"/>
      <c r="BL1292" s="210"/>
      <c r="BM1292" s="210"/>
      <c r="BN1292" s="210"/>
      <c r="BO1292" s="210"/>
      <c r="BP1292" s="210"/>
      <c r="BQ1292" s="210"/>
      <c r="BR1292" s="210"/>
      <c r="BS1292" s="210"/>
      <c r="BT1292" s="210"/>
      <c r="BU1292" s="210"/>
      <c r="BV1292" s="210"/>
      <c r="BW1292" s="210"/>
      <c r="BX1292" s="210"/>
      <c r="BY1292" s="210"/>
      <c r="BZ1292" s="210"/>
      <c r="CA1292" s="210"/>
      <c r="CB1292" s="210"/>
      <c r="CC1292" s="210"/>
      <c r="CD1292" s="210"/>
      <c r="CE1292" s="210"/>
      <c r="CF1292" s="210"/>
      <c r="CG1292" s="210"/>
      <c r="CH1292" s="210"/>
      <c r="CI1292" s="210"/>
      <c r="CJ1292" s="210"/>
      <c r="CK1292" s="210"/>
    </row>
    <row r="1293">
      <c r="A1293" s="220"/>
      <c r="F1293" s="190"/>
      <c r="G1293" s="190"/>
      <c r="L1293" s="220"/>
      <c r="M1293" s="220"/>
      <c r="O1293" s="210"/>
      <c r="P1293" s="210"/>
      <c r="Q1293" s="210"/>
      <c r="R1293" s="210"/>
      <c r="S1293" s="210"/>
      <c r="T1293" s="210"/>
      <c r="U1293" s="210"/>
      <c r="V1293" s="210"/>
      <c r="W1293" s="210"/>
      <c r="X1293" s="210"/>
      <c r="Y1293" s="210"/>
      <c r="Z1293" s="210"/>
      <c r="AA1293" s="210"/>
      <c r="AB1293" s="210"/>
      <c r="AC1293" s="210"/>
      <c r="AD1293" s="210"/>
      <c r="AE1293" s="210"/>
      <c r="AF1293" s="210"/>
      <c r="AG1293" s="210"/>
      <c r="AH1293" s="210"/>
      <c r="AI1293" s="210"/>
      <c r="AJ1293" s="210"/>
      <c r="AK1293" s="210"/>
      <c r="AL1293" s="210"/>
      <c r="AM1293" s="214"/>
      <c r="AN1293" s="210"/>
      <c r="AO1293" s="210"/>
      <c r="AP1293" s="210"/>
      <c r="AQ1293" s="210"/>
      <c r="AR1293" s="210"/>
      <c r="AS1293" s="210"/>
      <c r="AT1293" s="210"/>
      <c r="AU1293" s="210"/>
      <c r="AV1293" s="210"/>
      <c r="AW1293" s="210"/>
      <c r="AX1293" s="210"/>
      <c r="AY1293" s="210"/>
      <c r="AZ1293" s="210"/>
      <c r="BA1293" s="210"/>
      <c r="BB1293" s="210"/>
      <c r="BC1293" s="210"/>
      <c r="BD1293" s="210"/>
      <c r="BE1293" s="210"/>
      <c r="BF1293" s="210"/>
      <c r="BG1293" s="210"/>
      <c r="BH1293" s="210"/>
      <c r="BI1293" s="210"/>
      <c r="BJ1293" s="210"/>
      <c r="BK1293" s="210"/>
      <c r="BL1293" s="210"/>
      <c r="BM1293" s="210"/>
      <c r="BN1293" s="210"/>
      <c r="BO1293" s="210"/>
      <c r="BP1293" s="210"/>
      <c r="BQ1293" s="210"/>
      <c r="BR1293" s="210"/>
      <c r="BS1293" s="210"/>
      <c r="BT1293" s="210"/>
      <c r="BU1293" s="210"/>
      <c r="BV1293" s="210"/>
      <c r="BW1293" s="210"/>
      <c r="BX1293" s="210"/>
      <c r="BY1293" s="210"/>
      <c r="BZ1293" s="210"/>
      <c r="CA1293" s="210"/>
      <c r="CB1293" s="210"/>
      <c r="CC1293" s="210"/>
      <c r="CD1293" s="210"/>
      <c r="CE1293" s="210"/>
      <c r="CF1293" s="210"/>
      <c r="CG1293" s="210"/>
      <c r="CH1293" s="210"/>
      <c r="CI1293" s="210"/>
      <c r="CJ1293" s="210"/>
      <c r="CK1293" s="210"/>
    </row>
    <row r="1294">
      <c r="A1294" s="220"/>
      <c r="F1294" s="190"/>
      <c r="G1294" s="190"/>
      <c r="L1294" s="220"/>
      <c r="M1294" s="220"/>
      <c r="O1294" s="210"/>
      <c r="P1294" s="210"/>
      <c r="Q1294" s="210"/>
      <c r="R1294" s="210"/>
      <c r="S1294" s="210"/>
      <c r="T1294" s="210"/>
      <c r="U1294" s="210"/>
      <c r="V1294" s="210"/>
      <c r="W1294" s="210"/>
      <c r="X1294" s="210"/>
      <c r="Y1294" s="210"/>
      <c r="Z1294" s="210"/>
      <c r="AA1294" s="210"/>
      <c r="AB1294" s="210"/>
      <c r="AC1294" s="210"/>
      <c r="AD1294" s="210"/>
      <c r="AE1294" s="210"/>
      <c r="AF1294" s="210"/>
      <c r="AG1294" s="210"/>
      <c r="AH1294" s="210"/>
      <c r="AI1294" s="210"/>
      <c r="AJ1294" s="210"/>
      <c r="AK1294" s="210"/>
      <c r="AL1294" s="210"/>
      <c r="AM1294" s="214"/>
      <c r="AN1294" s="210"/>
      <c r="AO1294" s="210"/>
      <c r="AP1294" s="210"/>
      <c r="AQ1294" s="210"/>
      <c r="AR1294" s="210"/>
      <c r="AS1294" s="210"/>
      <c r="AT1294" s="210"/>
      <c r="AU1294" s="210"/>
      <c r="AV1294" s="210"/>
      <c r="AW1294" s="210"/>
      <c r="AX1294" s="210"/>
      <c r="AY1294" s="210"/>
      <c r="AZ1294" s="210"/>
      <c r="BA1294" s="210"/>
      <c r="BB1294" s="210"/>
      <c r="BC1294" s="210"/>
      <c r="BD1294" s="210"/>
      <c r="BE1294" s="210"/>
      <c r="BF1294" s="210"/>
      <c r="BG1294" s="210"/>
      <c r="BH1294" s="210"/>
      <c r="BI1294" s="210"/>
      <c r="BJ1294" s="210"/>
      <c r="BK1294" s="210"/>
      <c r="BL1294" s="210"/>
      <c r="BM1294" s="210"/>
      <c r="BN1294" s="210"/>
      <c r="BO1294" s="210"/>
      <c r="BP1294" s="210"/>
      <c r="BQ1294" s="210"/>
      <c r="BR1294" s="210"/>
      <c r="BS1294" s="210"/>
      <c r="BT1294" s="210"/>
      <c r="BU1294" s="210"/>
      <c r="BV1294" s="210"/>
      <c r="BW1294" s="210"/>
      <c r="BX1294" s="210"/>
      <c r="BY1294" s="210"/>
      <c r="BZ1294" s="210"/>
      <c r="CA1294" s="210"/>
      <c r="CB1294" s="210"/>
      <c r="CC1294" s="210"/>
      <c r="CD1294" s="210"/>
      <c r="CE1294" s="210"/>
      <c r="CF1294" s="210"/>
      <c r="CG1294" s="210"/>
      <c r="CH1294" s="210"/>
      <c r="CI1294" s="210"/>
      <c r="CJ1294" s="210"/>
      <c r="CK1294" s="210"/>
    </row>
    <row r="1295">
      <c r="A1295" s="220"/>
      <c r="F1295" s="190"/>
      <c r="G1295" s="190"/>
      <c r="L1295" s="220"/>
      <c r="M1295" s="220"/>
      <c r="O1295" s="210"/>
      <c r="P1295" s="210"/>
      <c r="Q1295" s="210"/>
      <c r="R1295" s="210"/>
      <c r="S1295" s="210"/>
      <c r="T1295" s="210"/>
      <c r="U1295" s="210"/>
      <c r="V1295" s="210"/>
      <c r="W1295" s="210"/>
      <c r="X1295" s="210"/>
      <c r="Y1295" s="210"/>
      <c r="Z1295" s="210"/>
      <c r="AA1295" s="210"/>
      <c r="AB1295" s="210"/>
      <c r="AC1295" s="210"/>
      <c r="AD1295" s="210"/>
      <c r="AE1295" s="210"/>
      <c r="AF1295" s="210"/>
      <c r="AG1295" s="210"/>
      <c r="AH1295" s="210"/>
      <c r="AI1295" s="210"/>
      <c r="AJ1295" s="210"/>
      <c r="AK1295" s="210"/>
      <c r="AL1295" s="210"/>
      <c r="AM1295" s="214"/>
      <c r="AN1295" s="210"/>
      <c r="AO1295" s="210"/>
      <c r="AP1295" s="210"/>
      <c r="AQ1295" s="210"/>
      <c r="AR1295" s="210"/>
      <c r="AS1295" s="210"/>
      <c r="AT1295" s="210"/>
      <c r="AU1295" s="210"/>
      <c r="AV1295" s="210"/>
      <c r="AW1295" s="210"/>
      <c r="AX1295" s="210"/>
      <c r="AY1295" s="210"/>
      <c r="AZ1295" s="210"/>
      <c r="BA1295" s="210"/>
      <c r="BB1295" s="210"/>
      <c r="BC1295" s="210"/>
      <c r="BD1295" s="210"/>
      <c r="BE1295" s="210"/>
      <c r="BF1295" s="210"/>
      <c r="BG1295" s="210"/>
      <c r="BH1295" s="210"/>
      <c r="BI1295" s="210"/>
      <c r="BJ1295" s="210"/>
      <c r="BK1295" s="210"/>
      <c r="BL1295" s="210"/>
      <c r="BM1295" s="210"/>
      <c r="BN1295" s="210"/>
      <c r="BO1295" s="210"/>
      <c r="BP1295" s="210"/>
      <c r="BQ1295" s="210"/>
      <c r="BR1295" s="210"/>
      <c r="BS1295" s="210"/>
      <c r="BT1295" s="210"/>
      <c r="BU1295" s="210"/>
      <c r="BV1295" s="210"/>
      <c r="BW1295" s="210"/>
      <c r="BX1295" s="210"/>
      <c r="BY1295" s="210"/>
      <c r="BZ1295" s="210"/>
      <c r="CA1295" s="210"/>
      <c r="CB1295" s="210"/>
      <c r="CC1295" s="210"/>
      <c r="CD1295" s="210"/>
      <c r="CE1295" s="210"/>
      <c r="CF1295" s="210"/>
      <c r="CG1295" s="210"/>
      <c r="CH1295" s="210"/>
      <c r="CI1295" s="210"/>
      <c r="CJ1295" s="210"/>
      <c r="CK1295" s="210"/>
    </row>
    <row r="1296">
      <c r="A1296" s="220"/>
      <c r="F1296" s="190"/>
      <c r="G1296" s="190"/>
      <c r="L1296" s="220"/>
      <c r="M1296" s="220"/>
      <c r="O1296" s="210"/>
      <c r="P1296" s="210"/>
      <c r="Q1296" s="210"/>
      <c r="R1296" s="210"/>
      <c r="S1296" s="210"/>
      <c r="T1296" s="210"/>
      <c r="U1296" s="210"/>
      <c r="V1296" s="210"/>
      <c r="W1296" s="210"/>
      <c r="X1296" s="210"/>
      <c r="Y1296" s="210"/>
      <c r="Z1296" s="210"/>
      <c r="AA1296" s="210"/>
      <c r="AB1296" s="210"/>
      <c r="AC1296" s="210"/>
      <c r="AD1296" s="210"/>
      <c r="AE1296" s="210"/>
      <c r="AF1296" s="210"/>
      <c r="AG1296" s="210"/>
      <c r="AH1296" s="210"/>
      <c r="AI1296" s="210"/>
      <c r="AJ1296" s="210"/>
      <c r="AK1296" s="210"/>
      <c r="AL1296" s="210"/>
      <c r="AM1296" s="214"/>
      <c r="AN1296" s="210"/>
      <c r="AO1296" s="210"/>
      <c r="AP1296" s="210"/>
      <c r="AQ1296" s="210"/>
      <c r="AR1296" s="210"/>
      <c r="AS1296" s="210"/>
      <c r="AT1296" s="210"/>
      <c r="AU1296" s="210"/>
      <c r="AV1296" s="210"/>
      <c r="AW1296" s="210"/>
      <c r="AX1296" s="210"/>
      <c r="AY1296" s="210"/>
      <c r="AZ1296" s="210"/>
      <c r="BA1296" s="210"/>
      <c r="BB1296" s="210"/>
      <c r="BC1296" s="210"/>
      <c r="BD1296" s="210"/>
      <c r="BE1296" s="210"/>
      <c r="BF1296" s="210"/>
      <c r="BG1296" s="210"/>
      <c r="BH1296" s="210"/>
      <c r="BI1296" s="210"/>
      <c r="BJ1296" s="210"/>
      <c r="BK1296" s="210"/>
      <c r="BL1296" s="210"/>
      <c r="BM1296" s="210"/>
      <c r="BN1296" s="210"/>
      <c r="BO1296" s="210"/>
      <c r="BP1296" s="210"/>
      <c r="BQ1296" s="210"/>
      <c r="BR1296" s="210"/>
      <c r="BS1296" s="210"/>
      <c r="BT1296" s="210"/>
      <c r="BU1296" s="210"/>
      <c r="BV1296" s="210"/>
      <c r="BW1296" s="210"/>
      <c r="BX1296" s="210"/>
      <c r="BY1296" s="210"/>
      <c r="BZ1296" s="210"/>
      <c r="CA1296" s="210"/>
      <c r="CB1296" s="210"/>
      <c r="CC1296" s="210"/>
      <c r="CD1296" s="210"/>
      <c r="CE1296" s="210"/>
      <c r="CF1296" s="210"/>
      <c r="CG1296" s="210"/>
      <c r="CH1296" s="210"/>
      <c r="CI1296" s="210"/>
      <c r="CJ1296" s="210"/>
      <c r="CK1296" s="210"/>
    </row>
    <row r="1297">
      <c r="A1297" s="220"/>
      <c r="F1297" s="190"/>
      <c r="G1297" s="190"/>
      <c r="L1297" s="220"/>
      <c r="M1297" s="220"/>
      <c r="O1297" s="210"/>
      <c r="P1297" s="210"/>
      <c r="Q1297" s="210"/>
      <c r="R1297" s="210"/>
      <c r="S1297" s="210"/>
      <c r="T1297" s="210"/>
      <c r="U1297" s="210"/>
      <c r="V1297" s="210"/>
      <c r="W1297" s="210"/>
      <c r="X1297" s="210"/>
      <c r="Y1297" s="210"/>
      <c r="Z1297" s="210"/>
      <c r="AA1297" s="210"/>
      <c r="AB1297" s="210"/>
      <c r="AC1297" s="210"/>
      <c r="AD1297" s="210"/>
      <c r="AE1297" s="210"/>
      <c r="AF1297" s="210"/>
      <c r="AG1297" s="210"/>
      <c r="AH1297" s="210"/>
      <c r="AI1297" s="210"/>
      <c r="AJ1297" s="210"/>
      <c r="AK1297" s="210"/>
      <c r="AL1297" s="210"/>
      <c r="AM1297" s="214"/>
      <c r="AN1297" s="210"/>
      <c r="AO1297" s="210"/>
      <c r="AP1297" s="210"/>
      <c r="AQ1297" s="210"/>
      <c r="AR1297" s="210"/>
      <c r="AS1297" s="210"/>
      <c r="AT1297" s="210"/>
      <c r="AU1297" s="210"/>
      <c r="AV1297" s="210"/>
      <c r="AW1297" s="210"/>
      <c r="AX1297" s="210"/>
      <c r="AY1297" s="210"/>
      <c r="AZ1297" s="210"/>
      <c r="BA1297" s="210"/>
      <c r="BB1297" s="210"/>
      <c r="BC1297" s="210"/>
      <c r="BD1297" s="210"/>
      <c r="BE1297" s="210"/>
      <c r="BF1297" s="210"/>
      <c r="BG1297" s="210"/>
      <c r="BH1297" s="210"/>
      <c r="BI1297" s="210"/>
      <c r="BJ1297" s="210"/>
      <c r="BK1297" s="210"/>
      <c r="BL1297" s="210"/>
      <c r="BM1297" s="210"/>
      <c r="BN1297" s="210"/>
      <c r="BO1297" s="210"/>
      <c r="BP1297" s="210"/>
      <c r="BQ1297" s="210"/>
      <c r="BR1297" s="210"/>
      <c r="BS1297" s="210"/>
      <c r="BT1297" s="210"/>
      <c r="BU1297" s="210"/>
      <c r="BV1297" s="210"/>
      <c r="BW1297" s="210"/>
      <c r="BX1297" s="210"/>
      <c r="BY1297" s="210"/>
      <c r="BZ1297" s="210"/>
      <c r="CA1297" s="210"/>
      <c r="CB1297" s="210"/>
      <c r="CC1297" s="210"/>
      <c r="CD1297" s="210"/>
      <c r="CE1297" s="210"/>
      <c r="CF1297" s="210"/>
      <c r="CG1297" s="210"/>
      <c r="CH1297" s="210"/>
      <c r="CI1297" s="210"/>
      <c r="CJ1297" s="210"/>
      <c r="CK1297" s="210"/>
    </row>
    <row r="1298">
      <c r="A1298" s="220"/>
      <c r="F1298" s="190"/>
      <c r="G1298" s="190"/>
      <c r="L1298" s="220"/>
      <c r="M1298" s="220"/>
      <c r="O1298" s="210"/>
      <c r="P1298" s="210"/>
      <c r="Q1298" s="210"/>
      <c r="R1298" s="210"/>
      <c r="S1298" s="210"/>
      <c r="T1298" s="210"/>
      <c r="U1298" s="210"/>
      <c r="V1298" s="210"/>
      <c r="W1298" s="210"/>
      <c r="X1298" s="210"/>
      <c r="Y1298" s="210"/>
      <c r="Z1298" s="210"/>
      <c r="AA1298" s="210"/>
      <c r="AB1298" s="210"/>
      <c r="AC1298" s="210"/>
      <c r="AD1298" s="210"/>
      <c r="AE1298" s="210"/>
      <c r="AF1298" s="210"/>
      <c r="AG1298" s="210"/>
      <c r="AH1298" s="210"/>
      <c r="AI1298" s="210"/>
      <c r="AJ1298" s="210"/>
      <c r="AK1298" s="210"/>
      <c r="AL1298" s="210"/>
      <c r="AM1298" s="214"/>
      <c r="AN1298" s="210"/>
      <c r="AO1298" s="210"/>
      <c r="AP1298" s="210"/>
      <c r="AQ1298" s="210"/>
      <c r="AR1298" s="210"/>
      <c r="AS1298" s="210"/>
      <c r="AT1298" s="210"/>
      <c r="AU1298" s="210"/>
      <c r="AV1298" s="210"/>
      <c r="AW1298" s="210"/>
      <c r="AX1298" s="210"/>
      <c r="AY1298" s="210"/>
      <c r="AZ1298" s="210"/>
      <c r="BA1298" s="210"/>
      <c r="BB1298" s="210"/>
      <c r="BC1298" s="210"/>
      <c r="BD1298" s="210"/>
      <c r="BE1298" s="210"/>
      <c r="BF1298" s="210"/>
      <c r="BG1298" s="210"/>
      <c r="BH1298" s="210"/>
      <c r="BI1298" s="210"/>
      <c r="BJ1298" s="210"/>
      <c r="BK1298" s="210"/>
      <c r="BL1298" s="210"/>
      <c r="BM1298" s="210"/>
      <c r="BN1298" s="210"/>
      <c r="BO1298" s="210"/>
      <c r="BP1298" s="210"/>
      <c r="BQ1298" s="210"/>
      <c r="BR1298" s="210"/>
      <c r="BS1298" s="210"/>
      <c r="BT1298" s="210"/>
      <c r="BU1298" s="210"/>
      <c r="BV1298" s="210"/>
      <c r="BW1298" s="210"/>
      <c r="BX1298" s="210"/>
      <c r="BY1298" s="210"/>
      <c r="BZ1298" s="210"/>
      <c r="CA1298" s="210"/>
      <c r="CB1298" s="210"/>
      <c r="CC1298" s="210"/>
      <c r="CD1298" s="210"/>
      <c r="CE1298" s="210"/>
      <c r="CF1298" s="210"/>
      <c r="CG1298" s="210"/>
      <c r="CH1298" s="210"/>
      <c r="CI1298" s="210"/>
      <c r="CJ1298" s="210"/>
      <c r="CK1298" s="210"/>
    </row>
    <row r="1299">
      <c r="A1299" s="220"/>
      <c r="F1299" s="190"/>
      <c r="G1299" s="190"/>
      <c r="L1299" s="220"/>
      <c r="M1299" s="220"/>
      <c r="O1299" s="210"/>
      <c r="P1299" s="210"/>
      <c r="Q1299" s="210"/>
      <c r="R1299" s="210"/>
      <c r="S1299" s="210"/>
      <c r="T1299" s="210"/>
      <c r="U1299" s="210"/>
      <c r="V1299" s="210"/>
      <c r="W1299" s="210"/>
      <c r="X1299" s="210"/>
      <c r="Y1299" s="210"/>
      <c r="Z1299" s="210"/>
      <c r="AA1299" s="210"/>
      <c r="AB1299" s="210"/>
      <c r="AC1299" s="210"/>
      <c r="AD1299" s="210"/>
      <c r="AE1299" s="210"/>
      <c r="AF1299" s="210"/>
      <c r="AG1299" s="210"/>
      <c r="AH1299" s="210"/>
      <c r="AI1299" s="210"/>
      <c r="AJ1299" s="210"/>
      <c r="AK1299" s="210"/>
      <c r="AL1299" s="210"/>
      <c r="AM1299" s="214"/>
      <c r="AN1299" s="210"/>
      <c r="AO1299" s="210"/>
      <c r="AP1299" s="210"/>
      <c r="AQ1299" s="210"/>
      <c r="AR1299" s="210"/>
      <c r="AS1299" s="210"/>
      <c r="AT1299" s="210"/>
      <c r="AU1299" s="210"/>
      <c r="AV1299" s="210"/>
      <c r="AW1299" s="210"/>
      <c r="AX1299" s="210"/>
      <c r="AY1299" s="210"/>
      <c r="AZ1299" s="210"/>
      <c r="BA1299" s="210"/>
      <c r="BB1299" s="210"/>
      <c r="BC1299" s="210"/>
      <c r="BD1299" s="210"/>
      <c r="BE1299" s="210"/>
      <c r="BF1299" s="210"/>
      <c r="BG1299" s="210"/>
      <c r="BH1299" s="210"/>
      <c r="BI1299" s="210"/>
      <c r="BJ1299" s="210"/>
      <c r="BK1299" s="210"/>
      <c r="BL1299" s="210"/>
      <c r="BM1299" s="210"/>
      <c r="BN1299" s="210"/>
      <c r="BO1299" s="210"/>
      <c r="BP1299" s="210"/>
      <c r="BQ1299" s="210"/>
      <c r="BR1299" s="210"/>
      <c r="BS1299" s="210"/>
      <c r="BT1299" s="210"/>
      <c r="BU1299" s="210"/>
      <c r="BV1299" s="210"/>
      <c r="BW1299" s="210"/>
      <c r="BX1299" s="210"/>
      <c r="BY1299" s="210"/>
      <c r="BZ1299" s="210"/>
      <c r="CA1299" s="210"/>
      <c r="CB1299" s="210"/>
      <c r="CC1299" s="210"/>
      <c r="CD1299" s="210"/>
      <c r="CE1299" s="210"/>
      <c r="CF1299" s="210"/>
      <c r="CG1299" s="210"/>
      <c r="CH1299" s="210"/>
      <c r="CI1299" s="210"/>
      <c r="CJ1299" s="210"/>
      <c r="CK1299" s="210"/>
    </row>
    <row r="1300">
      <c r="A1300" s="220"/>
      <c r="F1300" s="190"/>
      <c r="G1300" s="190"/>
      <c r="L1300" s="220"/>
      <c r="M1300" s="220"/>
      <c r="O1300" s="210"/>
      <c r="P1300" s="210"/>
      <c r="Q1300" s="210"/>
      <c r="R1300" s="210"/>
      <c r="S1300" s="210"/>
      <c r="T1300" s="210"/>
      <c r="U1300" s="210"/>
      <c r="V1300" s="210"/>
      <c r="W1300" s="210"/>
      <c r="X1300" s="210"/>
      <c r="Y1300" s="210"/>
      <c r="Z1300" s="210"/>
      <c r="AA1300" s="210"/>
      <c r="AB1300" s="210"/>
      <c r="AC1300" s="210"/>
      <c r="AD1300" s="210"/>
      <c r="AE1300" s="210"/>
      <c r="AF1300" s="210"/>
      <c r="AG1300" s="210"/>
      <c r="AH1300" s="210"/>
      <c r="AI1300" s="210"/>
      <c r="AJ1300" s="210"/>
      <c r="AK1300" s="210"/>
      <c r="AL1300" s="210"/>
      <c r="AM1300" s="214"/>
      <c r="AN1300" s="210"/>
      <c r="AO1300" s="210"/>
      <c r="AP1300" s="210"/>
      <c r="AQ1300" s="210"/>
      <c r="AR1300" s="210"/>
      <c r="AS1300" s="210"/>
      <c r="AT1300" s="210"/>
      <c r="AU1300" s="210"/>
      <c r="AV1300" s="210"/>
      <c r="AW1300" s="210"/>
      <c r="AX1300" s="210"/>
      <c r="AY1300" s="210"/>
      <c r="AZ1300" s="210"/>
      <c r="BA1300" s="210"/>
      <c r="BB1300" s="210"/>
      <c r="BC1300" s="210"/>
      <c r="BD1300" s="210"/>
      <c r="BE1300" s="210"/>
      <c r="BF1300" s="210"/>
      <c r="BG1300" s="210"/>
      <c r="BH1300" s="210"/>
      <c r="BI1300" s="210"/>
      <c r="BJ1300" s="210"/>
      <c r="BK1300" s="210"/>
      <c r="BL1300" s="210"/>
      <c r="BM1300" s="210"/>
      <c r="BN1300" s="210"/>
      <c r="BO1300" s="210"/>
      <c r="BP1300" s="210"/>
      <c r="BQ1300" s="210"/>
      <c r="BR1300" s="210"/>
      <c r="BS1300" s="210"/>
      <c r="BT1300" s="210"/>
      <c r="BU1300" s="210"/>
      <c r="BV1300" s="210"/>
      <c r="BW1300" s="210"/>
      <c r="BX1300" s="210"/>
      <c r="BY1300" s="210"/>
      <c r="BZ1300" s="210"/>
      <c r="CA1300" s="210"/>
      <c r="CB1300" s="210"/>
      <c r="CC1300" s="210"/>
      <c r="CD1300" s="210"/>
      <c r="CE1300" s="210"/>
      <c r="CF1300" s="210"/>
      <c r="CG1300" s="210"/>
      <c r="CH1300" s="210"/>
      <c r="CI1300" s="210"/>
      <c r="CJ1300" s="210"/>
      <c r="CK1300" s="210"/>
    </row>
    <row r="1301">
      <c r="A1301" s="220"/>
      <c r="F1301" s="190"/>
      <c r="G1301" s="190"/>
      <c r="L1301" s="220"/>
      <c r="M1301" s="220"/>
      <c r="O1301" s="210"/>
      <c r="P1301" s="210"/>
      <c r="Q1301" s="210"/>
      <c r="R1301" s="210"/>
      <c r="S1301" s="210"/>
      <c r="T1301" s="210"/>
      <c r="U1301" s="210"/>
      <c r="V1301" s="210"/>
      <c r="W1301" s="210"/>
      <c r="X1301" s="210"/>
      <c r="Y1301" s="210"/>
      <c r="Z1301" s="210"/>
      <c r="AA1301" s="210"/>
      <c r="AB1301" s="210"/>
      <c r="AC1301" s="210"/>
      <c r="AD1301" s="210"/>
      <c r="AE1301" s="210"/>
      <c r="AF1301" s="210"/>
      <c r="AG1301" s="210"/>
      <c r="AH1301" s="210"/>
      <c r="AI1301" s="210"/>
      <c r="AJ1301" s="210"/>
      <c r="AK1301" s="210"/>
      <c r="AL1301" s="210"/>
      <c r="AM1301" s="214"/>
      <c r="AN1301" s="210"/>
      <c r="AO1301" s="210"/>
      <c r="AP1301" s="210"/>
      <c r="AQ1301" s="210"/>
      <c r="AR1301" s="210"/>
      <c r="AS1301" s="210"/>
      <c r="AT1301" s="210"/>
      <c r="AU1301" s="210"/>
      <c r="AV1301" s="210"/>
      <c r="AW1301" s="210"/>
      <c r="AX1301" s="210"/>
      <c r="AY1301" s="210"/>
      <c r="AZ1301" s="210"/>
      <c r="BA1301" s="210"/>
      <c r="BB1301" s="210"/>
      <c r="BC1301" s="210"/>
      <c r="BD1301" s="210"/>
      <c r="BE1301" s="210"/>
      <c r="BF1301" s="210"/>
      <c r="BG1301" s="210"/>
      <c r="BH1301" s="210"/>
      <c r="BI1301" s="210"/>
      <c r="BJ1301" s="210"/>
      <c r="BK1301" s="210"/>
      <c r="BL1301" s="210"/>
      <c r="BM1301" s="210"/>
      <c r="BN1301" s="210"/>
      <c r="BO1301" s="210"/>
      <c r="BP1301" s="210"/>
      <c r="BQ1301" s="210"/>
      <c r="BR1301" s="210"/>
      <c r="BS1301" s="210"/>
      <c r="BT1301" s="210"/>
      <c r="BU1301" s="210"/>
      <c r="BV1301" s="210"/>
      <c r="BW1301" s="210"/>
      <c r="BX1301" s="210"/>
      <c r="BY1301" s="210"/>
      <c r="BZ1301" s="210"/>
      <c r="CA1301" s="210"/>
      <c r="CB1301" s="210"/>
      <c r="CC1301" s="210"/>
      <c r="CD1301" s="210"/>
      <c r="CE1301" s="210"/>
      <c r="CF1301" s="210"/>
      <c r="CG1301" s="210"/>
      <c r="CH1301" s="210"/>
      <c r="CI1301" s="210"/>
      <c r="CJ1301" s="210"/>
      <c r="CK1301" s="210"/>
    </row>
    <row r="1302">
      <c r="A1302" s="220"/>
      <c r="F1302" s="190"/>
      <c r="G1302" s="190"/>
      <c r="L1302" s="220"/>
      <c r="M1302" s="220"/>
      <c r="O1302" s="210"/>
      <c r="P1302" s="210"/>
      <c r="Q1302" s="210"/>
      <c r="R1302" s="210"/>
      <c r="S1302" s="210"/>
      <c r="T1302" s="210"/>
      <c r="U1302" s="210"/>
      <c r="V1302" s="210"/>
      <c r="W1302" s="210"/>
      <c r="X1302" s="210"/>
      <c r="Y1302" s="210"/>
      <c r="Z1302" s="210"/>
      <c r="AA1302" s="210"/>
      <c r="AB1302" s="210"/>
      <c r="AC1302" s="210"/>
      <c r="AD1302" s="210"/>
      <c r="AE1302" s="210"/>
      <c r="AF1302" s="210"/>
      <c r="AG1302" s="210"/>
      <c r="AH1302" s="210"/>
      <c r="AI1302" s="210"/>
      <c r="AJ1302" s="210"/>
      <c r="AK1302" s="210"/>
      <c r="AL1302" s="210"/>
      <c r="AM1302" s="214"/>
      <c r="AN1302" s="210"/>
      <c r="AO1302" s="210"/>
      <c r="AP1302" s="210"/>
      <c r="AQ1302" s="210"/>
      <c r="AR1302" s="210"/>
      <c r="AS1302" s="210"/>
      <c r="AT1302" s="210"/>
      <c r="AU1302" s="210"/>
      <c r="AV1302" s="210"/>
      <c r="AW1302" s="210"/>
      <c r="AX1302" s="210"/>
      <c r="AY1302" s="210"/>
      <c r="AZ1302" s="210"/>
      <c r="BA1302" s="210"/>
      <c r="BB1302" s="210"/>
      <c r="BC1302" s="210"/>
      <c r="BD1302" s="210"/>
      <c r="BE1302" s="210"/>
      <c r="BF1302" s="210"/>
      <c r="BG1302" s="210"/>
      <c r="BH1302" s="210"/>
      <c r="BI1302" s="210"/>
      <c r="BJ1302" s="210"/>
      <c r="BK1302" s="210"/>
      <c r="BL1302" s="210"/>
      <c r="BM1302" s="210"/>
      <c r="BN1302" s="210"/>
      <c r="BO1302" s="210"/>
      <c r="BP1302" s="210"/>
      <c r="BQ1302" s="210"/>
      <c r="BR1302" s="210"/>
      <c r="BS1302" s="210"/>
      <c r="BT1302" s="210"/>
      <c r="BU1302" s="210"/>
      <c r="BV1302" s="210"/>
      <c r="BW1302" s="210"/>
      <c r="BX1302" s="210"/>
      <c r="BY1302" s="210"/>
      <c r="BZ1302" s="210"/>
      <c r="CA1302" s="210"/>
      <c r="CB1302" s="210"/>
      <c r="CC1302" s="210"/>
      <c r="CD1302" s="210"/>
      <c r="CE1302" s="210"/>
      <c r="CF1302" s="210"/>
      <c r="CG1302" s="210"/>
      <c r="CH1302" s="210"/>
      <c r="CI1302" s="210"/>
      <c r="CJ1302" s="210"/>
      <c r="CK1302" s="210"/>
    </row>
    <row r="1303">
      <c r="A1303" s="220"/>
      <c r="F1303" s="190"/>
      <c r="G1303" s="190"/>
      <c r="L1303" s="220"/>
      <c r="M1303" s="220"/>
      <c r="O1303" s="210"/>
      <c r="P1303" s="210"/>
      <c r="Q1303" s="210"/>
      <c r="R1303" s="210"/>
      <c r="S1303" s="210"/>
      <c r="T1303" s="210"/>
      <c r="U1303" s="210"/>
      <c r="V1303" s="210"/>
      <c r="W1303" s="210"/>
      <c r="X1303" s="210"/>
      <c r="Y1303" s="210"/>
      <c r="Z1303" s="210"/>
      <c r="AA1303" s="210"/>
      <c r="AB1303" s="210"/>
      <c r="AC1303" s="210"/>
      <c r="AD1303" s="210"/>
      <c r="AE1303" s="210"/>
      <c r="AF1303" s="210"/>
      <c r="AG1303" s="210"/>
      <c r="AH1303" s="210"/>
      <c r="AI1303" s="210"/>
      <c r="AJ1303" s="210"/>
      <c r="AK1303" s="210"/>
      <c r="AL1303" s="210"/>
      <c r="AM1303" s="214"/>
      <c r="AN1303" s="210"/>
      <c r="AO1303" s="210"/>
      <c r="AP1303" s="210"/>
      <c r="AQ1303" s="210"/>
      <c r="AR1303" s="210"/>
      <c r="AS1303" s="210"/>
      <c r="AT1303" s="210"/>
      <c r="AU1303" s="210"/>
      <c r="AV1303" s="210"/>
      <c r="AW1303" s="210"/>
      <c r="AX1303" s="210"/>
      <c r="AY1303" s="210"/>
      <c r="AZ1303" s="210"/>
      <c r="BA1303" s="210"/>
      <c r="BB1303" s="210"/>
      <c r="BC1303" s="210"/>
      <c r="BD1303" s="210"/>
      <c r="BE1303" s="210"/>
      <c r="BF1303" s="210"/>
      <c r="BG1303" s="210"/>
      <c r="BH1303" s="210"/>
      <c r="BI1303" s="210"/>
      <c r="BJ1303" s="210"/>
      <c r="BK1303" s="210"/>
      <c r="BL1303" s="210"/>
      <c r="BM1303" s="210"/>
      <c r="BN1303" s="210"/>
      <c r="BO1303" s="210"/>
      <c r="BP1303" s="210"/>
      <c r="BQ1303" s="210"/>
      <c r="BR1303" s="210"/>
      <c r="BS1303" s="210"/>
      <c r="BT1303" s="210"/>
      <c r="BU1303" s="210"/>
      <c r="BV1303" s="210"/>
      <c r="BW1303" s="210"/>
      <c r="BX1303" s="210"/>
      <c r="BY1303" s="210"/>
      <c r="BZ1303" s="210"/>
      <c r="CA1303" s="210"/>
      <c r="CB1303" s="210"/>
      <c r="CC1303" s="210"/>
      <c r="CD1303" s="210"/>
      <c r="CE1303" s="210"/>
      <c r="CF1303" s="210"/>
      <c r="CG1303" s="210"/>
      <c r="CH1303" s="210"/>
      <c r="CI1303" s="210"/>
      <c r="CJ1303" s="210"/>
      <c r="CK1303" s="210"/>
    </row>
    <row r="1304">
      <c r="A1304" s="220"/>
      <c r="F1304" s="190"/>
      <c r="G1304" s="190"/>
      <c r="L1304" s="220"/>
      <c r="M1304" s="220"/>
      <c r="O1304" s="210"/>
      <c r="P1304" s="210"/>
      <c r="Q1304" s="210"/>
      <c r="R1304" s="210"/>
      <c r="S1304" s="210"/>
      <c r="T1304" s="210"/>
      <c r="U1304" s="210"/>
      <c r="V1304" s="210"/>
      <c r="W1304" s="210"/>
      <c r="X1304" s="210"/>
      <c r="Y1304" s="210"/>
      <c r="Z1304" s="210"/>
      <c r="AA1304" s="210"/>
      <c r="AB1304" s="210"/>
      <c r="AC1304" s="210"/>
      <c r="AD1304" s="210"/>
      <c r="AE1304" s="210"/>
      <c r="AF1304" s="210"/>
      <c r="AG1304" s="210"/>
      <c r="AH1304" s="210"/>
      <c r="AI1304" s="210"/>
      <c r="AJ1304" s="210"/>
      <c r="AK1304" s="210"/>
      <c r="AL1304" s="210"/>
      <c r="AM1304" s="214"/>
      <c r="AN1304" s="210"/>
      <c r="AO1304" s="210"/>
      <c r="AP1304" s="210"/>
      <c r="AQ1304" s="210"/>
      <c r="AR1304" s="210"/>
      <c r="AS1304" s="210"/>
      <c r="AT1304" s="210"/>
      <c r="AU1304" s="210"/>
      <c r="AV1304" s="210"/>
      <c r="AW1304" s="210"/>
      <c r="AX1304" s="210"/>
      <c r="AY1304" s="210"/>
      <c r="AZ1304" s="210"/>
      <c r="BA1304" s="210"/>
      <c r="BB1304" s="210"/>
      <c r="BC1304" s="210"/>
      <c r="BD1304" s="210"/>
      <c r="BE1304" s="210"/>
      <c r="BF1304" s="210"/>
      <c r="BG1304" s="210"/>
      <c r="BH1304" s="210"/>
      <c r="BI1304" s="210"/>
      <c r="BJ1304" s="210"/>
      <c r="BK1304" s="210"/>
      <c r="BL1304" s="210"/>
      <c r="BM1304" s="210"/>
      <c r="BN1304" s="210"/>
      <c r="BO1304" s="210"/>
      <c r="BP1304" s="210"/>
      <c r="BQ1304" s="210"/>
      <c r="BR1304" s="210"/>
      <c r="BS1304" s="210"/>
      <c r="BT1304" s="210"/>
      <c r="BU1304" s="210"/>
      <c r="BV1304" s="210"/>
      <c r="BW1304" s="210"/>
      <c r="BX1304" s="210"/>
      <c r="BY1304" s="210"/>
      <c r="BZ1304" s="210"/>
      <c r="CA1304" s="210"/>
      <c r="CB1304" s="210"/>
      <c r="CC1304" s="210"/>
      <c r="CD1304" s="210"/>
      <c r="CE1304" s="210"/>
      <c r="CF1304" s="210"/>
      <c r="CG1304" s="210"/>
      <c r="CH1304" s="210"/>
      <c r="CI1304" s="210"/>
      <c r="CJ1304" s="210"/>
      <c r="CK1304" s="210"/>
    </row>
    <row r="1305">
      <c r="A1305" s="220"/>
      <c r="F1305" s="190"/>
      <c r="G1305" s="190"/>
      <c r="L1305" s="220"/>
      <c r="M1305" s="220"/>
      <c r="O1305" s="210"/>
      <c r="P1305" s="210"/>
      <c r="Q1305" s="210"/>
      <c r="R1305" s="210"/>
      <c r="S1305" s="210"/>
      <c r="T1305" s="210"/>
      <c r="U1305" s="210"/>
      <c r="V1305" s="210"/>
      <c r="W1305" s="210"/>
      <c r="X1305" s="210"/>
      <c r="Y1305" s="210"/>
      <c r="Z1305" s="210"/>
      <c r="AA1305" s="210"/>
      <c r="AB1305" s="210"/>
      <c r="AC1305" s="210"/>
      <c r="AD1305" s="210"/>
      <c r="AE1305" s="210"/>
      <c r="AF1305" s="210"/>
      <c r="AG1305" s="210"/>
      <c r="AH1305" s="210"/>
      <c r="AI1305" s="210"/>
      <c r="AJ1305" s="210"/>
      <c r="AK1305" s="210"/>
      <c r="AL1305" s="210"/>
      <c r="AM1305" s="214"/>
      <c r="AN1305" s="210"/>
      <c r="AO1305" s="210"/>
      <c r="AP1305" s="210"/>
      <c r="AQ1305" s="210"/>
      <c r="AR1305" s="210"/>
      <c r="AS1305" s="210"/>
      <c r="AT1305" s="210"/>
      <c r="AU1305" s="210"/>
      <c r="AV1305" s="210"/>
      <c r="AW1305" s="210"/>
      <c r="AX1305" s="210"/>
      <c r="AY1305" s="210"/>
      <c r="AZ1305" s="210"/>
      <c r="BA1305" s="210"/>
      <c r="BB1305" s="210"/>
      <c r="BC1305" s="210"/>
      <c r="BD1305" s="210"/>
      <c r="BE1305" s="210"/>
      <c r="BF1305" s="210"/>
      <c r="BG1305" s="210"/>
      <c r="BH1305" s="210"/>
      <c r="BI1305" s="210"/>
      <c r="BJ1305" s="210"/>
      <c r="BK1305" s="210"/>
      <c r="BL1305" s="210"/>
      <c r="BM1305" s="210"/>
      <c r="BN1305" s="210"/>
      <c r="BO1305" s="210"/>
      <c r="BP1305" s="210"/>
      <c r="BQ1305" s="210"/>
      <c r="BR1305" s="210"/>
      <c r="BS1305" s="210"/>
      <c r="BT1305" s="210"/>
      <c r="BU1305" s="210"/>
      <c r="BV1305" s="210"/>
      <c r="BW1305" s="210"/>
      <c r="BX1305" s="210"/>
      <c r="BY1305" s="210"/>
      <c r="BZ1305" s="210"/>
      <c r="CA1305" s="210"/>
      <c r="CB1305" s="210"/>
      <c r="CC1305" s="210"/>
      <c r="CD1305" s="210"/>
      <c r="CE1305" s="210"/>
      <c r="CF1305" s="210"/>
      <c r="CG1305" s="210"/>
      <c r="CH1305" s="210"/>
      <c r="CI1305" s="210"/>
      <c r="CJ1305" s="210"/>
      <c r="CK1305" s="210"/>
    </row>
    <row r="1306">
      <c r="A1306" s="220"/>
      <c r="F1306" s="190"/>
      <c r="G1306" s="190"/>
      <c r="L1306" s="220"/>
      <c r="M1306" s="220"/>
      <c r="O1306" s="210"/>
      <c r="P1306" s="210"/>
      <c r="Q1306" s="210"/>
      <c r="R1306" s="210"/>
      <c r="S1306" s="210"/>
      <c r="T1306" s="210"/>
      <c r="U1306" s="210"/>
      <c r="V1306" s="210"/>
      <c r="W1306" s="210"/>
      <c r="X1306" s="210"/>
      <c r="Y1306" s="210"/>
      <c r="Z1306" s="210"/>
      <c r="AA1306" s="210"/>
      <c r="AB1306" s="210"/>
      <c r="AC1306" s="210"/>
      <c r="AD1306" s="210"/>
      <c r="AE1306" s="210"/>
      <c r="AF1306" s="210"/>
      <c r="AG1306" s="210"/>
      <c r="AH1306" s="210"/>
      <c r="AI1306" s="210"/>
      <c r="AJ1306" s="210"/>
      <c r="AK1306" s="210"/>
      <c r="AL1306" s="210"/>
      <c r="AM1306" s="214"/>
      <c r="AN1306" s="210"/>
      <c r="AO1306" s="210"/>
      <c r="AP1306" s="210"/>
      <c r="AQ1306" s="210"/>
      <c r="AR1306" s="210"/>
      <c r="AS1306" s="210"/>
      <c r="AT1306" s="210"/>
      <c r="AU1306" s="210"/>
      <c r="AV1306" s="210"/>
      <c r="AW1306" s="210"/>
      <c r="AX1306" s="210"/>
      <c r="AY1306" s="210"/>
      <c r="AZ1306" s="210"/>
      <c r="BA1306" s="210"/>
      <c r="BB1306" s="210"/>
      <c r="BC1306" s="210"/>
      <c r="BD1306" s="210"/>
      <c r="BE1306" s="210"/>
      <c r="BF1306" s="210"/>
      <c r="BG1306" s="210"/>
      <c r="BH1306" s="210"/>
      <c r="BI1306" s="210"/>
      <c r="BJ1306" s="210"/>
      <c r="BK1306" s="210"/>
      <c r="BL1306" s="210"/>
      <c r="BM1306" s="210"/>
      <c r="BN1306" s="210"/>
      <c r="BO1306" s="210"/>
      <c r="BP1306" s="210"/>
      <c r="BQ1306" s="210"/>
      <c r="BR1306" s="210"/>
      <c r="BS1306" s="210"/>
      <c r="BT1306" s="210"/>
      <c r="BU1306" s="210"/>
      <c r="BV1306" s="210"/>
      <c r="BW1306" s="210"/>
      <c r="BX1306" s="210"/>
      <c r="BY1306" s="210"/>
      <c r="BZ1306" s="210"/>
      <c r="CA1306" s="210"/>
      <c r="CB1306" s="210"/>
      <c r="CC1306" s="210"/>
      <c r="CD1306" s="210"/>
      <c r="CE1306" s="210"/>
      <c r="CF1306" s="210"/>
      <c r="CG1306" s="210"/>
      <c r="CH1306" s="210"/>
      <c r="CI1306" s="210"/>
      <c r="CJ1306" s="210"/>
      <c r="CK1306" s="210"/>
    </row>
    <row r="1307">
      <c r="A1307" s="220"/>
      <c r="F1307" s="190"/>
      <c r="G1307" s="190"/>
      <c r="L1307" s="220"/>
      <c r="M1307" s="220"/>
      <c r="O1307" s="210"/>
      <c r="P1307" s="210"/>
      <c r="Q1307" s="210"/>
      <c r="R1307" s="210"/>
      <c r="S1307" s="210"/>
      <c r="T1307" s="210"/>
      <c r="U1307" s="210"/>
      <c r="V1307" s="210"/>
      <c r="W1307" s="210"/>
      <c r="X1307" s="210"/>
      <c r="Y1307" s="210"/>
      <c r="Z1307" s="210"/>
      <c r="AA1307" s="210"/>
      <c r="AB1307" s="210"/>
      <c r="AC1307" s="210"/>
      <c r="AD1307" s="210"/>
      <c r="AE1307" s="210"/>
      <c r="AF1307" s="210"/>
      <c r="AG1307" s="210"/>
      <c r="AH1307" s="210"/>
      <c r="AI1307" s="210"/>
      <c r="AJ1307" s="210"/>
      <c r="AK1307" s="210"/>
      <c r="AL1307" s="210"/>
      <c r="AM1307" s="214"/>
      <c r="AN1307" s="210"/>
      <c r="AO1307" s="210"/>
      <c r="AP1307" s="210"/>
      <c r="AQ1307" s="210"/>
      <c r="AR1307" s="210"/>
      <c r="AS1307" s="210"/>
      <c r="AT1307" s="210"/>
      <c r="AU1307" s="210"/>
      <c r="AV1307" s="210"/>
      <c r="AW1307" s="210"/>
      <c r="AX1307" s="210"/>
      <c r="AY1307" s="210"/>
      <c r="AZ1307" s="210"/>
      <c r="BA1307" s="210"/>
      <c r="BB1307" s="210"/>
      <c r="BC1307" s="210"/>
      <c r="BD1307" s="210"/>
      <c r="BE1307" s="210"/>
      <c r="BF1307" s="210"/>
      <c r="BG1307" s="210"/>
      <c r="BH1307" s="210"/>
      <c r="BI1307" s="210"/>
      <c r="BJ1307" s="210"/>
      <c r="BK1307" s="210"/>
      <c r="BL1307" s="210"/>
      <c r="BM1307" s="210"/>
      <c r="BN1307" s="210"/>
      <c r="BO1307" s="210"/>
      <c r="BP1307" s="210"/>
      <c r="BQ1307" s="210"/>
      <c r="BR1307" s="210"/>
      <c r="BS1307" s="210"/>
      <c r="BT1307" s="210"/>
      <c r="BU1307" s="210"/>
      <c r="BV1307" s="210"/>
      <c r="BW1307" s="210"/>
      <c r="BX1307" s="210"/>
      <c r="BY1307" s="210"/>
      <c r="BZ1307" s="210"/>
      <c r="CA1307" s="210"/>
      <c r="CB1307" s="210"/>
      <c r="CC1307" s="210"/>
      <c r="CD1307" s="210"/>
      <c r="CE1307" s="210"/>
      <c r="CF1307" s="210"/>
      <c r="CG1307" s="210"/>
      <c r="CH1307" s="210"/>
      <c r="CI1307" s="210"/>
      <c r="CJ1307" s="210"/>
      <c r="CK1307" s="210"/>
    </row>
    <row r="1308">
      <c r="A1308" s="220"/>
      <c r="F1308" s="190"/>
      <c r="G1308" s="190"/>
      <c r="L1308" s="220"/>
      <c r="M1308" s="220"/>
      <c r="O1308" s="210"/>
      <c r="P1308" s="210"/>
      <c r="Q1308" s="210"/>
      <c r="R1308" s="210"/>
      <c r="S1308" s="210"/>
      <c r="T1308" s="210"/>
      <c r="U1308" s="210"/>
      <c r="V1308" s="210"/>
      <c r="W1308" s="210"/>
      <c r="X1308" s="210"/>
      <c r="Y1308" s="210"/>
      <c r="Z1308" s="210"/>
      <c r="AA1308" s="210"/>
      <c r="AB1308" s="210"/>
      <c r="AC1308" s="210"/>
      <c r="AD1308" s="210"/>
      <c r="AE1308" s="210"/>
      <c r="AF1308" s="210"/>
      <c r="AG1308" s="210"/>
      <c r="AH1308" s="210"/>
      <c r="AI1308" s="210"/>
      <c r="AJ1308" s="210"/>
      <c r="AK1308" s="210"/>
      <c r="AL1308" s="210"/>
      <c r="AM1308" s="214"/>
      <c r="AN1308" s="210"/>
      <c r="AO1308" s="210"/>
      <c r="AP1308" s="210"/>
      <c r="AQ1308" s="210"/>
      <c r="AR1308" s="210"/>
      <c r="AS1308" s="210"/>
      <c r="AT1308" s="210"/>
      <c r="AU1308" s="210"/>
      <c r="AV1308" s="210"/>
      <c r="AW1308" s="210"/>
      <c r="AX1308" s="210"/>
      <c r="AY1308" s="210"/>
      <c r="AZ1308" s="210"/>
      <c r="BA1308" s="210"/>
      <c r="BB1308" s="210"/>
      <c r="BC1308" s="210"/>
      <c r="BD1308" s="210"/>
      <c r="BE1308" s="210"/>
      <c r="BF1308" s="210"/>
      <c r="BG1308" s="210"/>
      <c r="BH1308" s="210"/>
      <c r="BI1308" s="210"/>
      <c r="BJ1308" s="210"/>
      <c r="BK1308" s="210"/>
      <c r="BL1308" s="210"/>
      <c r="BM1308" s="210"/>
      <c r="BN1308" s="210"/>
      <c r="BO1308" s="210"/>
      <c r="BP1308" s="210"/>
      <c r="BQ1308" s="210"/>
      <c r="BR1308" s="210"/>
      <c r="BS1308" s="210"/>
      <c r="BT1308" s="210"/>
      <c r="BU1308" s="210"/>
      <c r="BV1308" s="210"/>
      <c r="BW1308" s="210"/>
      <c r="BX1308" s="210"/>
      <c r="BY1308" s="210"/>
      <c r="BZ1308" s="210"/>
      <c r="CA1308" s="210"/>
      <c r="CB1308" s="210"/>
      <c r="CC1308" s="210"/>
      <c r="CD1308" s="210"/>
      <c r="CE1308" s="210"/>
      <c r="CF1308" s="210"/>
      <c r="CG1308" s="210"/>
      <c r="CH1308" s="210"/>
      <c r="CI1308" s="210"/>
      <c r="CJ1308" s="210"/>
      <c r="CK1308" s="210"/>
    </row>
    <row r="1309">
      <c r="A1309" s="220"/>
      <c r="F1309" s="190"/>
      <c r="G1309" s="190"/>
      <c r="L1309" s="220"/>
      <c r="M1309" s="220"/>
      <c r="O1309" s="210"/>
      <c r="P1309" s="210"/>
      <c r="Q1309" s="210"/>
      <c r="R1309" s="210"/>
      <c r="S1309" s="210"/>
      <c r="T1309" s="210"/>
      <c r="U1309" s="210"/>
      <c r="V1309" s="210"/>
      <c r="W1309" s="210"/>
      <c r="X1309" s="210"/>
      <c r="Y1309" s="210"/>
      <c r="Z1309" s="210"/>
      <c r="AA1309" s="210"/>
      <c r="AB1309" s="210"/>
      <c r="AC1309" s="210"/>
      <c r="AD1309" s="210"/>
      <c r="AE1309" s="210"/>
      <c r="AF1309" s="210"/>
      <c r="AG1309" s="210"/>
      <c r="AH1309" s="210"/>
      <c r="AI1309" s="210"/>
      <c r="AJ1309" s="210"/>
      <c r="AK1309" s="210"/>
      <c r="AL1309" s="210"/>
      <c r="AM1309" s="214"/>
      <c r="AN1309" s="210"/>
      <c r="AO1309" s="210"/>
      <c r="AP1309" s="210"/>
      <c r="AQ1309" s="210"/>
      <c r="AR1309" s="210"/>
      <c r="AS1309" s="210"/>
      <c r="AT1309" s="210"/>
      <c r="AU1309" s="210"/>
      <c r="AV1309" s="210"/>
      <c r="AW1309" s="210"/>
      <c r="AX1309" s="210"/>
      <c r="AY1309" s="210"/>
      <c r="AZ1309" s="210"/>
      <c r="BA1309" s="210"/>
      <c r="BB1309" s="210"/>
      <c r="BC1309" s="210"/>
      <c r="BD1309" s="210"/>
      <c r="BE1309" s="210"/>
      <c r="BF1309" s="210"/>
      <c r="BG1309" s="210"/>
      <c r="BH1309" s="210"/>
      <c r="BI1309" s="210"/>
      <c r="BJ1309" s="210"/>
      <c r="BK1309" s="210"/>
      <c r="BL1309" s="210"/>
      <c r="BM1309" s="210"/>
      <c r="BN1309" s="210"/>
      <c r="BO1309" s="210"/>
      <c r="BP1309" s="210"/>
      <c r="BQ1309" s="210"/>
      <c r="BR1309" s="210"/>
      <c r="BS1309" s="210"/>
      <c r="BT1309" s="210"/>
      <c r="BU1309" s="210"/>
      <c r="BV1309" s="210"/>
      <c r="BW1309" s="210"/>
      <c r="BX1309" s="210"/>
      <c r="BY1309" s="210"/>
      <c r="BZ1309" s="210"/>
      <c r="CA1309" s="210"/>
      <c r="CB1309" s="210"/>
      <c r="CC1309" s="210"/>
      <c r="CD1309" s="210"/>
      <c r="CE1309" s="210"/>
      <c r="CF1309" s="210"/>
      <c r="CG1309" s="210"/>
      <c r="CH1309" s="210"/>
      <c r="CI1309" s="210"/>
      <c r="CJ1309" s="210"/>
      <c r="CK1309" s="210"/>
    </row>
    <row r="1310">
      <c r="A1310" s="220"/>
      <c r="F1310" s="190"/>
      <c r="G1310" s="190"/>
      <c r="L1310" s="220"/>
      <c r="M1310" s="220"/>
      <c r="O1310" s="210"/>
      <c r="P1310" s="210"/>
      <c r="Q1310" s="210"/>
      <c r="R1310" s="210"/>
      <c r="S1310" s="210"/>
      <c r="T1310" s="210"/>
      <c r="U1310" s="210"/>
      <c r="V1310" s="210"/>
      <c r="W1310" s="210"/>
      <c r="X1310" s="210"/>
      <c r="Y1310" s="210"/>
      <c r="Z1310" s="210"/>
      <c r="AA1310" s="210"/>
      <c r="AB1310" s="210"/>
      <c r="AC1310" s="210"/>
      <c r="AD1310" s="210"/>
      <c r="AE1310" s="210"/>
      <c r="AF1310" s="210"/>
      <c r="AG1310" s="210"/>
      <c r="AH1310" s="210"/>
      <c r="AI1310" s="210"/>
      <c r="AJ1310" s="210"/>
      <c r="AK1310" s="210"/>
      <c r="AL1310" s="210"/>
      <c r="AM1310" s="214"/>
      <c r="AN1310" s="210"/>
      <c r="AO1310" s="210"/>
      <c r="AP1310" s="210"/>
      <c r="AQ1310" s="210"/>
      <c r="AR1310" s="210"/>
      <c r="AS1310" s="210"/>
      <c r="AT1310" s="210"/>
      <c r="AU1310" s="210"/>
      <c r="AV1310" s="210"/>
      <c r="AW1310" s="210"/>
      <c r="AX1310" s="210"/>
      <c r="AY1310" s="210"/>
      <c r="AZ1310" s="210"/>
      <c r="BA1310" s="210"/>
      <c r="BB1310" s="210"/>
      <c r="BC1310" s="210"/>
      <c r="BD1310" s="210"/>
      <c r="BE1310" s="210"/>
      <c r="BF1310" s="210"/>
      <c r="BG1310" s="210"/>
      <c r="BH1310" s="210"/>
      <c r="BI1310" s="210"/>
      <c r="BJ1310" s="210"/>
      <c r="BK1310" s="210"/>
      <c r="BL1310" s="210"/>
      <c r="BM1310" s="210"/>
      <c r="BN1310" s="210"/>
      <c r="BO1310" s="210"/>
      <c r="BP1310" s="210"/>
      <c r="BQ1310" s="210"/>
      <c r="BR1310" s="210"/>
      <c r="BS1310" s="210"/>
      <c r="BT1310" s="210"/>
      <c r="BU1310" s="210"/>
      <c r="BV1310" s="210"/>
      <c r="BW1310" s="210"/>
      <c r="BX1310" s="210"/>
      <c r="BY1310" s="210"/>
      <c r="BZ1310" s="210"/>
      <c r="CA1310" s="210"/>
      <c r="CB1310" s="210"/>
      <c r="CC1310" s="210"/>
      <c r="CD1310" s="210"/>
      <c r="CE1310" s="210"/>
      <c r="CF1310" s="210"/>
      <c r="CG1310" s="210"/>
      <c r="CH1310" s="210"/>
      <c r="CI1310" s="210"/>
      <c r="CJ1310" s="210"/>
      <c r="CK1310" s="210"/>
    </row>
    <row r="1311">
      <c r="A1311" s="220"/>
      <c r="F1311" s="190"/>
      <c r="G1311" s="190"/>
      <c r="L1311" s="220"/>
      <c r="M1311" s="220"/>
      <c r="O1311" s="210"/>
      <c r="P1311" s="210"/>
      <c r="Q1311" s="210"/>
      <c r="R1311" s="210"/>
      <c r="S1311" s="210"/>
      <c r="T1311" s="210"/>
      <c r="U1311" s="210"/>
      <c r="V1311" s="210"/>
      <c r="W1311" s="210"/>
      <c r="X1311" s="210"/>
      <c r="Y1311" s="210"/>
      <c r="Z1311" s="210"/>
      <c r="AA1311" s="210"/>
      <c r="AB1311" s="210"/>
      <c r="AC1311" s="210"/>
      <c r="AD1311" s="210"/>
      <c r="AE1311" s="210"/>
      <c r="AF1311" s="210"/>
      <c r="AG1311" s="210"/>
      <c r="AH1311" s="210"/>
      <c r="AI1311" s="210"/>
      <c r="AJ1311" s="210"/>
      <c r="AK1311" s="210"/>
      <c r="AL1311" s="210"/>
      <c r="AM1311" s="214"/>
      <c r="AN1311" s="210"/>
      <c r="AO1311" s="210"/>
      <c r="AP1311" s="210"/>
      <c r="AQ1311" s="210"/>
      <c r="AR1311" s="210"/>
      <c r="AS1311" s="210"/>
      <c r="AT1311" s="210"/>
      <c r="AU1311" s="210"/>
      <c r="AV1311" s="210"/>
      <c r="AW1311" s="210"/>
      <c r="AX1311" s="210"/>
      <c r="AY1311" s="210"/>
      <c r="AZ1311" s="210"/>
      <c r="BA1311" s="210"/>
      <c r="BB1311" s="210"/>
      <c r="BC1311" s="210"/>
      <c r="BD1311" s="210"/>
      <c r="BE1311" s="210"/>
      <c r="BF1311" s="210"/>
      <c r="BG1311" s="210"/>
      <c r="BH1311" s="210"/>
      <c r="BI1311" s="210"/>
      <c r="BJ1311" s="210"/>
      <c r="BK1311" s="210"/>
      <c r="BL1311" s="210"/>
      <c r="BM1311" s="210"/>
      <c r="BN1311" s="210"/>
      <c r="BO1311" s="210"/>
      <c r="BP1311" s="210"/>
      <c r="BQ1311" s="210"/>
      <c r="BR1311" s="210"/>
      <c r="BS1311" s="210"/>
      <c r="BT1311" s="210"/>
      <c r="BU1311" s="210"/>
      <c r="BV1311" s="210"/>
      <c r="BW1311" s="210"/>
      <c r="BX1311" s="210"/>
      <c r="BY1311" s="210"/>
      <c r="BZ1311" s="210"/>
      <c r="CA1311" s="210"/>
      <c r="CB1311" s="210"/>
      <c r="CC1311" s="210"/>
      <c r="CD1311" s="210"/>
      <c r="CE1311" s="210"/>
      <c r="CF1311" s="210"/>
      <c r="CG1311" s="210"/>
      <c r="CH1311" s="210"/>
      <c r="CI1311" s="210"/>
      <c r="CJ1311" s="210"/>
      <c r="CK1311" s="210"/>
    </row>
    <row r="1312">
      <c r="A1312" s="220"/>
      <c r="F1312" s="190"/>
      <c r="G1312" s="190"/>
      <c r="L1312" s="220"/>
      <c r="M1312" s="220"/>
      <c r="O1312" s="210"/>
      <c r="P1312" s="210"/>
      <c r="Q1312" s="210"/>
      <c r="R1312" s="210"/>
      <c r="S1312" s="210"/>
      <c r="T1312" s="210"/>
      <c r="U1312" s="210"/>
      <c r="V1312" s="210"/>
      <c r="W1312" s="210"/>
      <c r="X1312" s="210"/>
      <c r="Y1312" s="210"/>
      <c r="Z1312" s="210"/>
      <c r="AA1312" s="210"/>
      <c r="AB1312" s="210"/>
      <c r="AC1312" s="210"/>
      <c r="AD1312" s="210"/>
      <c r="AE1312" s="210"/>
      <c r="AF1312" s="210"/>
      <c r="AG1312" s="210"/>
      <c r="AH1312" s="210"/>
      <c r="AI1312" s="210"/>
      <c r="AJ1312" s="210"/>
      <c r="AK1312" s="210"/>
      <c r="AL1312" s="210"/>
      <c r="AM1312" s="214"/>
      <c r="AN1312" s="210"/>
      <c r="AO1312" s="210"/>
      <c r="AP1312" s="210"/>
      <c r="AQ1312" s="210"/>
      <c r="AR1312" s="210"/>
      <c r="AS1312" s="210"/>
      <c r="AT1312" s="210"/>
      <c r="AU1312" s="210"/>
      <c r="AV1312" s="210"/>
      <c r="AW1312" s="210"/>
      <c r="AX1312" s="210"/>
      <c r="AY1312" s="210"/>
      <c r="AZ1312" s="210"/>
      <c r="BA1312" s="210"/>
      <c r="BB1312" s="210"/>
      <c r="BC1312" s="210"/>
      <c r="BD1312" s="210"/>
      <c r="BE1312" s="210"/>
      <c r="BF1312" s="210"/>
      <c r="BG1312" s="210"/>
      <c r="BH1312" s="210"/>
      <c r="BI1312" s="210"/>
      <c r="BJ1312" s="210"/>
      <c r="BK1312" s="210"/>
      <c r="BL1312" s="210"/>
      <c r="BM1312" s="210"/>
      <c r="BN1312" s="210"/>
      <c r="BO1312" s="210"/>
      <c r="BP1312" s="210"/>
      <c r="BQ1312" s="210"/>
      <c r="BR1312" s="210"/>
      <c r="BS1312" s="210"/>
      <c r="BT1312" s="210"/>
      <c r="BU1312" s="210"/>
      <c r="BV1312" s="210"/>
      <c r="BW1312" s="210"/>
      <c r="BX1312" s="210"/>
      <c r="BY1312" s="210"/>
      <c r="BZ1312" s="210"/>
      <c r="CA1312" s="210"/>
      <c r="CB1312" s="210"/>
      <c r="CC1312" s="210"/>
      <c r="CD1312" s="210"/>
      <c r="CE1312" s="210"/>
      <c r="CF1312" s="210"/>
      <c r="CG1312" s="210"/>
      <c r="CH1312" s="210"/>
      <c r="CI1312" s="210"/>
      <c r="CJ1312" s="210"/>
      <c r="CK1312" s="210"/>
    </row>
    <row r="1313">
      <c r="A1313" s="220"/>
      <c r="F1313" s="190"/>
      <c r="G1313" s="190"/>
      <c r="L1313" s="220"/>
      <c r="M1313" s="220"/>
      <c r="O1313" s="210"/>
      <c r="P1313" s="210"/>
      <c r="Q1313" s="210"/>
      <c r="R1313" s="210"/>
      <c r="S1313" s="210"/>
      <c r="T1313" s="210"/>
      <c r="U1313" s="210"/>
      <c r="V1313" s="210"/>
      <c r="W1313" s="210"/>
      <c r="X1313" s="210"/>
      <c r="Y1313" s="210"/>
      <c r="Z1313" s="210"/>
      <c r="AA1313" s="210"/>
      <c r="AB1313" s="210"/>
      <c r="AC1313" s="210"/>
      <c r="AD1313" s="210"/>
      <c r="AE1313" s="210"/>
      <c r="AF1313" s="210"/>
      <c r="AG1313" s="210"/>
      <c r="AH1313" s="210"/>
      <c r="AI1313" s="210"/>
      <c r="AJ1313" s="210"/>
      <c r="AK1313" s="210"/>
      <c r="AL1313" s="210"/>
      <c r="AM1313" s="214"/>
      <c r="AN1313" s="210"/>
      <c r="AO1313" s="210"/>
      <c r="AP1313" s="210"/>
      <c r="AQ1313" s="210"/>
      <c r="AR1313" s="210"/>
      <c r="AS1313" s="210"/>
      <c r="AT1313" s="210"/>
      <c r="AU1313" s="210"/>
      <c r="AV1313" s="210"/>
      <c r="AW1313" s="210"/>
      <c r="AX1313" s="210"/>
      <c r="AY1313" s="210"/>
      <c r="AZ1313" s="210"/>
      <c r="BA1313" s="210"/>
      <c r="BB1313" s="210"/>
      <c r="BC1313" s="210"/>
      <c r="BD1313" s="210"/>
      <c r="BE1313" s="210"/>
      <c r="BF1313" s="210"/>
      <c r="BG1313" s="210"/>
      <c r="BH1313" s="210"/>
      <c r="BI1313" s="210"/>
      <c r="BJ1313" s="210"/>
      <c r="BK1313" s="210"/>
      <c r="BL1313" s="210"/>
      <c r="BM1313" s="210"/>
      <c r="BN1313" s="210"/>
      <c r="BO1313" s="210"/>
      <c r="BP1313" s="210"/>
      <c r="BQ1313" s="210"/>
      <c r="BR1313" s="210"/>
      <c r="BS1313" s="210"/>
      <c r="BT1313" s="210"/>
      <c r="BU1313" s="210"/>
      <c r="BV1313" s="210"/>
      <c r="BW1313" s="210"/>
      <c r="BX1313" s="210"/>
      <c r="BY1313" s="210"/>
      <c r="BZ1313" s="210"/>
      <c r="CA1313" s="210"/>
      <c r="CB1313" s="210"/>
      <c r="CC1313" s="210"/>
      <c r="CD1313" s="210"/>
      <c r="CE1313" s="210"/>
      <c r="CF1313" s="210"/>
      <c r="CG1313" s="210"/>
      <c r="CH1313" s="210"/>
      <c r="CI1313" s="210"/>
      <c r="CJ1313" s="210"/>
      <c r="CK1313" s="210"/>
    </row>
    <row r="1314">
      <c r="A1314" s="220"/>
      <c r="F1314" s="190"/>
      <c r="G1314" s="190"/>
      <c r="L1314" s="220"/>
      <c r="M1314" s="220"/>
      <c r="O1314" s="210"/>
      <c r="P1314" s="210"/>
      <c r="Q1314" s="210"/>
      <c r="R1314" s="210"/>
      <c r="S1314" s="210"/>
      <c r="T1314" s="210"/>
      <c r="U1314" s="210"/>
      <c r="V1314" s="210"/>
      <c r="W1314" s="210"/>
      <c r="X1314" s="210"/>
      <c r="Y1314" s="210"/>
      <c r="Z1314" s="210"/>
      <c r="AA1314" s="210"/>
      <c r="AB1314" s="210"/>
      <c r="AC1314" s="210"/>
      <c r="AD1314" s="210"/>
      <c r="AE1314" s="210"/>
      <c r="AF1314" s="210"/>
      <c r="AG1314" s="210"/>
      <c r="AH1314" s="210"/>
      <c r="AI1314" s="210"/>
      <c r="AJ1314" s="210"/>
      <c r="AK1314" s="210"/>
      <c r="AL1314" s="210"/>
      <c r="AM1314" s="214"/>
      <c r="AN1314" s="210"/>
      <c r="AO1314" s="210"/>
      <c r="AP1314" s="210"/>
      <c r="AQ1314" s="210"/>
      <c r="AR1314" s="210"/>
      <c r="AS1314" s="210"/>
      <c r="AT1314" s="210"/>
      <c r="AU1314" s="210"/>
      <c r="AV1314" s="210"/>
      <c r="AW1314" s="210"/>
      <c r="AX1314" s="210"/>
      <c r="AY1314" s="210"/>
      <c r="AZ1314" s="210"/>
      <c r="BA1314" s="210"/>
      <c r="BB1314" s="210"/>
      <c r="BC1314" s="210"/>
      <c r="BD1314" s="210"/>
      <c r="BE1314" s="210"/>
      <c r="BF1314" s="210"/>
      <c r="BG1314" s="210"/>
      <c r="BH1314" s="210"/>
      <c r="BI1314" s="210"/>
      <c r="BJ1314" s="210"/>
      <c r="BK1314" s="210"/>
      <c r="BL1314" s="210"/>
      <c r="BM1314" s="210"/>
      <c r="BN1314" s="210"/>
      <c r="BO1314" s="210"/>
      <c r="BP1314" s="210"/>
      <c r="BQ1314" s="210"/>
      <c r="BR1314" s="210"/>
      <c r="BS1314" s="210"/>
      <c r="BT1314" s="210"/>
      <c r="BU1314" s="210"/>
      <c r="BV1314" s="210"/>
      <c r="BW1314" s="210"/>
      <c r="BX1314" s="210"/>
      <c r="BY1314" s="210"/>
      <c r="BZ1314" s="210"/>
      <c r="CA1314" s="210"/>
      <c r="CB1314" s="210"/>
      <c r="CC1314" s="210"/>
      <c r="CD1314" s="210"/>
      <c r="CE1314" s="210"/>
      <c r="CF1314" s="210"/>
      <c r="CG1314" s="210"/>
      <c r="CH1314" s="210"/>
      <c r="CI1314" s="210"/>
      <c r="CJ1314" s="210"/>
      <c r="CK1314" s="210"/>
    </row>
    <row r="1315">
      <c r="A1315" s="220"/>
      <c r="F1315" s="190"/>
      <c r="G1315" s="190"/>
      <c r="L1315" s="220"/>
      <c r="M1315" s="220"/>
      <c r="O1315" s="210"/>
      <c r="P1315" s="210"/>
      <c r="Q1315" s="210"/>
      <c r="R1315" s="210"/>
      <c r="S1315" s="210"/>
      <c r="T1315" s="210"/>
      <c r="U1315" s="210"/>
      <c r="V1315" s="210"/>
      <c r="W1315" s="210"/>
      <c r="X1315" s="210"/>
      <c r="Y1315" s="210"/>
      <c r="Z1315" s="210"/>
      <c r="AA1315" s="210"/>
      <c r="AB1315" s="210"/>
      <c r="AC1315" s="210"/>
      <c r="AD1315" s="210"/>
      <c r="AE1315" s="210"/>
      <c r="AF1315" s="210"/>
      <c r="AG1315" s="210"/>
      <c r="AH1315" s="210"/>
      <c r="AI1315" s="210"/>
      <c r="AJ1315" s="210"/>
      <c r="AK1315" s="210"/>
      <c r="AL1315" s="210"/>
      <c r="AM1315" s="214"/>
      <c r="AN1315" s="210"/>
      <c r="AO1315" s="210"/>
      <c r="AP1315" s="210"/>
      <c r="AQ1315" s="210"/>
      <c r="AR1315" s="210"/>
      <c r="AS1315" s="210"/>
      <c r="AT1315" s="210"/>
      <c r="AU1315" s="210"/>
      <c r="AV1315" s="210"/>
      <c r="AW1315" s="210"/>
      <c r="AX1315" s="210"/>
      <c r="AY1315" s="210"/>
      <c r="AZ1315" s="210"/>
      <c r="BA1315" s="210"/>
      <c r="BB1315" s="210"/>
      <c r="BC1315" s="210"/>
      <c r="BD1315" s="210"/>
      <c r="BE1315" s="210"/>
      <c r="BF1315" s="210"/>
      <c r="BG1315" s="210"/>
      <c r="BH1315" s="210"/>
      <c r="BI1315" s="210"/>
      <c r="BJ1315" s="210"/>
      <c r="BK1315" s="210"/>
      <c r="BL1315" s="210"/>
      <c r="BM1315" s="210"/>
      <c r="BN1315" s="210"/>
      <c r="BO1315" s="210"/>
      <c r="BP1315" s="210"/>
      <c r="BQ1315" s="210"/>
      <c r="BR1315" s="210"/>
      <c r="BS1315" s="210"/>
      <c r="BT1315" s="210"/>
      <c r="BU1315" s="210"/>
      <c r="BV1315" s="210"/>
      <c r="BW1315" s="210"/>
      <c r="BX1315" s="210"/>
      <c r="BY1315" s="210"/>
      <c r="BZ1315" s="210"/>
      <c r="CA1315" s="210"/>
      <c r="CB1315" s="210"/>
      <c r="CC1315" s="210"/>
      <c r="CD1315" s="210"/>
      <c r="CE1315" s="210"/>
      <c r="CF1315" s="210"/>
      <c r="CG1315" s="210"/>
      <c r="CH1315" s="210"/>
      <c r="CI1315" s="210"/>
      <c r="CJ1315" s="210"/>
      <c r="CK1315" s="210"/>
    </row>
    <row r="1316">
      <c r="A1316" s="220"/>
      <c r="F1316" s="190"/>
      <c r="G1316" s="190"/>
      <c r="L1316" s="220"/>
      <c r="M1316" s="220"/>
      <c r="O1316" s="210"/>
      <c r="P1316" s="210"/>
      <c r="Q1316" s="210"/>
      <c r="R1316" s="210"/>
      <c r="S1316" s="210"/>
      <c r="T1316" s="210"/>
      <c r="U1316" s="210"/>
      <c r="V1316" s="210"/>
      <c r="W1316" s="210"/>
      <c r="X1316" s="210"/>
      <c r="Y1316" s="210"/>
      <c r="Z1316" s="210"/>
      <c r="AA1316" s="210"/>
      <c r="AB1316" s="210"/>
      <c r="AC1316" s="210"/>
      <c r="AD1316" s="210"/>
      <c r="AE1316" s="210"/>
      <c r="AF1316" s="210"/>
      <c r="AG1316" s="210"/>
      <c r="AH1316" s="210"/>
      <c r="AI1316" s="210"/>
      <c r="AJ1316" s="210"/>
      <c r="AK1316" s="210"/>
      <c r="AL1316" s="210"/>
      <c r="AM1316" s="214"/>
      <c r="AN1316" s="210"/>
      <c r="AO1316" s="210"/>
      <c r="AP1316" s="210"/>
      <c r="AQ1316" s="210"/>
      <c r="AR1316" s="210"/>
      <c r="AS1316" s="210"/>
      <c r="AT1316" s="210"/>
      <c r="AU1316" s="210"/>
      <c r="AV1316" s="210"/>
      <c r="AW1316" s="210"/>
      <c r="AX1316" s="210"/>
      <c r="AY1316" s="210"/>
      <c r="AZ1316" s="210"/>
      <c r="BA1316" s="210"/>
      <c r="BB1316" s="210"/>
      <c r="BC1316" s="210"/>
      <c r="BD1316" s="210"/>
      <c r="BE1316" s="210"/>
      <c r="BF1316" s="210"/>
      <c r="BG1316" s="210"/>
      <c r="BH1316" s="210"/>
      <c r="BI1316" s="210"/>
      <c r="BJ1316" s="210"/>
      <c r="BK1316" s="210"/>
      <c r="BL1316" s="210"/>
      <c r="BM1316" s="210"/>
      <c r="BN1316" s="210"/>
      <c r="BO1316" s="210"/>
      <c r="BP1316" s="210"/>
      <c r="BQ1316" s="210"/>
      <c r="BR1316" s="210"/>
      <c r="BS1316" s="210"/>
      <c r="BT1316" s="210"/>
      <c r="BU1316" s="210"/>
      <c r="BV1316" s="210"/>
      <c r="BW1316" s="210"/>
      <c r="BX1316" s="210"/>
      <c r="BY1316" s="210"/>
      <c r="BZ1316" s="210"/>
      <c r="CA1316" s="210"/>
      <c r="CB1316" s="210"/>
      <c r="CC1316" s="210"/>
      <c r="CD1316" s="210"/>
      <c r="CE1316" s="210"/>
      <c r="CF1316" s="210"/>
      <c r="CG1316" s="210"/>
      <c r="CH1316" s="210"/>
      <c r="CI1316" s="210"/>
      <c r="CJ1316" s="210"/>
      <c r="CK1316" s="210"/>
    </row>
    <row r="1317">
      <c r="A1317" s="220"/>
      <c r="F1317" s="190"/>
      <c r="G1317" s="190"/>
      <c r="L1317" s="220"/>
      <c r="M1317" s="220"/>
      <c r="O1317" s="210"/>
      <c r="P1317" s="210"/>
      <c r="Q1317" s="210"/>
      <c r="R1317" s="210"/>
      <c r="S1317" s="210"/>
      <c r="T1317" s="210"/>
      <c r="U1317" s="210"/>
      <c r="V1317" s="210"/>
      <c r="W1317" s="210"/>
      <c r="X1317" s="210"/>
      <c r="Y1317" s="210"/>
      <c r="Z1317" s="210"/>
      <c r="AA1317" s="210"/>
      <c r="AB1317" s="210"/>
      <c r="AC1317" s="210"/>
      <c r="AD1317" s="210"/>
      <c r="AE1317" s="210"/>
      <c r="AF1317" s="210"/>
      <c r="AG1317" s="210"/>
      <c r="AH1317" s="210"/>
      <c r="AI1317" s="210"/>
      <c r="AJ1317" s="210"/>
      <c r="AK1317" s="210"/>
      <c r="AL1317" s="210"/>
      <c r="AM1317" s="214"/>
      <c r="AN1317" s="210"/>
      <c r="AO1317" s="210"/>
      <c r="AP1317" s="210"/>
      <c r="AQ1317" s="210"/>
      <c r="AR1317" s="210"/>
      <c r="AS1317" s="210"/>
      <c r="AT1317" s="210"/>
      <c r="AU1317" s="210"/>
      <c r="AV1317" s="210"/>
      <c r="AW1317" s="210"/>
      <c r="AX1317" s="210"/>
      <c r="AY1317" s="210"/>
      <c r="AZ1317" s="210"/>
      <c r="BA1317" s="210"/>
      <c r="BB1317" s="210"/>
      <c r="BC1317" s="210"/>
      <c r="BD1317" s="210"/>
      <c r="BE1317" s="210"/>
      <c r="BF1317" s="210"/>
      <c r="BG1317" s="210"/>
      <c r="BH1317" s="210"/>
      <c r="BI1317" s="210"/>
      <c r="BJ1317" s="210"/>
      <c r="BK1317" s="210"/>
      <c r="BL1317" s="210"/>
      <c r="BM1317" s="210"/>
      <c r="BN1317" s="210"/>
      <c r="BO1317" s="210"/>
      <c r="BP1317" s="210"/>
      <c r="BQ1317" s="210"/>
      <c r="BR1317" s="210"/>
      <c r="BS1317" s="210"/>
      <c r="BT1317" s="210"/>
      <c r="BU1317" s="210"/>
      <c r="BV1317" s="210"/>
      <c r="BW1317" s="210"/>
      <c r="BX1317" s="210"/>
      <c r="BY1317" s="210"/>
      <c r="BZ1317" s="210"/>
      <c r="CA1317" s="210"/>
      <c r="CB1317" s="210"/>
      <c r="CC1317" s="210"/>
      <c r="CD1317" s="210"/>
      <c r="CE1317" s="210"/>
      <c r="CF1317" s="210"/>
      <c r="CG1317" s="210"/>
      <c r="CH1317" s="210"/>
      <c r="CI1317" s="210"/>
      <c r="CJ1317" s="210"/>
      <c r="CK1317" s="210"/>
    </row>
    <row r="1318">
      <c r="A1318" s="220"/>
      <c r="F1318" s="190"/>
      <c r="G1318" s="190"/>
      <c r="L1318" s="220"/>
      <c r="M1318" s="220"/>
      <c r="O1318" s="210"/>
      <c r="P1318" s="210"/>
      <c r="Q1318" s="210"/>
      <c r="R1318" s="210"/>
      <c r="S1318" s="210"/>
      <c r="T1318" s="210"/>
      <c r="U1318" s="210"/>
      <c r="V1318" s="210"/>
      <c r="W1318" s="210"/>
      <c r="X1318" s="210"/>
      <c r="Y1318" s="210"/>
      <c r="Z1318" s="210"/>
      <c r="AA1318" s="210"/>
      <c r="AB1318" s="210"/>
      <c r="AC1318" s="210"/>
      <c r="AD1318" s="210"/>
      <c r="AE1318" s="210"/>
      <c r="AF1318" s="210"/>
      <c r="AG1318" s="210"/>
      <c r="AH1318" s="210"/>
      <c r="AI1318" s="210"/>
      <c r="AJ1318" s="210"/>
      <c r="AK1318" s="210"/>
      <c r="AL1318" s="210"/>
      <c r="AM1318" s="214"/>
      <c r="AN1318" s="210"/>
      <c r="AO1318" s="210"/>
      <c r="AP1318" s="210"/>
      <c r="AQ1318" s="210"/>
      <c r="AR1318" s="210"/>
      <c r="AS1318" s="210"/>
      <c r="AT1318" s="210"/>
      <c r="AU1318" s="210"/>
      <c r="AV1318" s="210"/>
      <c r="AW1318" s="210"/>
      <c r="AX1318" s="210"/>
      <c r="AY1318" s="210"/>
      <c r="AZ1318" s="210"/>
      <c r="BA1318" s="210"/>
      <c r="BB1318" s="210"/>
      <c r="BC1318" s="210"/>
      <c r="BD1318" s="210"/>
      <c r="BE1318" s="210"/>
      <c r="BF1318" s="210"/>
      <c r="BG1318" s="210"/>
      <c r="BH1318" s="210"/>
      <c r="BI1318" s="210"/>
      <c r="BJ1318" s="210"/>
      <c r="BK1318" s="210"/>
      <c r="BL1318" s="210"/>
      <c r="BM1318" s="210"/>
      <c r="BN1318" s="210"/>
      <c r="BO1318" s="210"/>
      <c r="BP1318" s="210"/>
      <c r="BQ1318" s="210"/>
      <c r="BR1318" s="210"/>
      <c r="BS1318" s="210"/>
      <c r="BT1318" s="210"/>
      <c r="BU1318" s="210"/>
      <c r="BV1318" s="210"/>
      <c r="BW1318" s="210"/>
      <c r="BX1318" s="210"/>
      <c r="BY1318" s="210"/>
      <c r="BZ1318" s="210"/>
      <c r="CA1318" s="210"/>
      <c r="CB1318" s="210"/>
      <c r="CC1318" s="210"/>
      <c r="CD1318" s="210"/>
      <c r="CE1318" s="210"/>
      <c r="CF1318" s="210"/>
      <c r="CG1318" s="210"/>
      <c r="CH1318" s="210"/>
      <c r="CI1318" s="210"/>
      <c r="CJ1318" s="210"/>
      <c r="CK1318" s="210"/>
    </row>
    <row r="1319">
      <c r="A1319" s="220"/>
      <c r="F1319" s="190"/>
      <c r="G1319" s="190"/>
      <c r="L1319" s="220"/>
      <c r="M1319" s="220"/>
      <c r="O1319" s="210"/>
      <c r="P1319" s="210"/>
      <c r="Q1319" s="210"/>
      <c r="R1319" s="210"/>
      <c r="S1319" s="210"/>
      <c r="T1319" s="210"/>
      <c r="U1319" s="210"/>
      <c r="V1319" s="210"/>
      <c r="W1319" s="210"/>
      <c r="X1319" s="210"/>
      <c r="Y1319" s="210"/>
      <c r="Z1319" s="210"/>
      <c r="AA1319" s="210"/>
      <c r="AB1319" s="210"/>
      <c r="AC1319" s="210"/>
      <c r="AD1319" s="210"/>
      <c r="AE1319" s="210"/>
      <c r="AF1319" s="210"/>
      <c r="AG1319" s="210"/>
      <c r="AH1319" s="210"/>
      <c r="AI1319" s="210"/>
      <c r="AJ1319" s="210"/>
      <c r="AK1319" s="210"/>
      <c r="AL1319" s="210"/>
      <c r="AM1319" s="214"/>
      <c r="AN1319" s="210"/>
      <c r="AO1319" s="210"/>
      <c r="AP1319" s="210"/>
      <c r="AQ1319" s="210"/>
      <c r="AR1319" s="210"/>
      <c r="AS1319" s="210"/>
      <c r="AT1319" s="210"/>
      <c r="AU1319" s="210"/>
      <c r="AV1319" s="210"/>
      <c r="AW1319" s="210"/>
      <c r="AX1319" s="210"/>
      <c r="AY1319" s="210"/>
      <c r="AZ1319" s="210"/>
      <c r="BA1319" s="210"/>
      <c r="BB1319" s="210"/>
      <c r="BC1319" s="210"/>
      <c r="BD1319" s="210"/>
      <c r="BE1319" s="210"/>
      <c r="BF1319" s="210"/>
      <c r="BG1319" s="210"/>
      <c r="BH1319" s="210"/>
      <c r="BI1319" s="210"/>
      <c r="BJ1319" s="210"/>
      <c r="BK1319" s="210"/>
      <c r="BL1319" s="210"/>
      <c r="BM1319" s="210"/>
      <c r="BN1319" s="210"/>
      <c r="BO1319" s="210"/>
      <c r="BP1319" s="210"/>
      <c r="BQ1319" s="210"/>
      <c r="BR1319" s="210"/>
      <c r="BS1319" s="210"/>
      <c r="BT1319" s="210"/>
      <c r="BU1319" s="210"/>
      <c r="BV1319" s="210"/>
      <c r="BW1319" s="210"/>
      <c r="BX1319" s="210"/>
      <c r="BY1319" s="210"/>
      <c r="BZ1319" s="210"/>
      <c r="CA1319" s="210"/>
      <c r="CB1319" s="210"/>
      <c r="CC1319" s="210"/>
      <c r="CD1319" s="210"/>
      <c r="CE1319" s="210"/>
      <c r="CF1319" s="210"/>
      <c r="CG1319" s="210"/>
      <c r="CH1319" s="210"/>
      <c r="CI1319" s="210"/>
      <c r="CJ1319" s="210"/>
      <c r="CK1319" s="210"/>
    </row>
    <row r="1320">
      <c r="A1320" s="220"/>
      <c r="F1320" s="190"/>
      <c r="G1320" s="190"/>
      <c r="L1320" s="220"/>
      <c r="M1320" s="220"/>
      <c r="O1320" s="210"/>
      <c r="P1320" s="210"/>
      <c r="Q1320" s="210"/>
      <c r="R1320" s="210"/>
      <c r="S1320" s="210"/>
      <c r="T1320" s="210"/>
      <c r="U1320" s="210"/>
      <c r="V1320" s="210"/>
      <c r="W1320" s="210"/>
      <c r="X1320" s="210"/>
      <c r="Y1320" s="210"/>
      <c r="Z1320" s="210"/>
      <c r="AA1320" s="210"/>
      <c r="AB1320" s="210"/>
      <c r="AC1320" s="210"/>
      <c r="AD1320" s="210"/>
      <c r="AE1320" s="210"/>
      <c r="AF1320" s="210"/>
      <c r="AG1320" s="210"/>
      <c r="AH1320" s="210"/>
      <c r="AI1320" s="210"/>
      <c r="AJ1320" s="210"/>
      <c r="AK1320" s="210"/>
      <c r="AL1320" s="210"/>
      <c r="AM1320" s="214"/>
      <c r="AN1320" s="210"/>
      <c r="AO1320" s="210"/>
      <c r="AP1320" s="210"/>
      <c r="AQ1320" s="210"/>
      <c r="AR1320" s="210"/>
      <c r="AS1320" s="210"/>
      <c r="AT1320" s="210"/>
      <c r="AU1320" s="210"/>
      <c r="AV1320" s="210"/>
      <c r="AW1320" s="210"/>
      <c r="AX1320" s="210"/>
      <c r="AY1320" s="210"/>
      <c r="AZ1320" s="210"/>
      <c r="BA1320" s="210"/>
      <c r="BB1320" s="210"/>
      <c r="BC1320" s="210"/>
      <c r="BD1320" s="210"/>
      <c r="BE1320" s="210"/>
      <c r="BF1320" s="210"/>
      <c r="BG1320" s="210"/>
      <c r="BH1320" s="210"/>
      <c r="BI1320" s="210"/>
      <c r="BJ1320" s="210"/>
      <c r="BK1320" s="210"/>
      <c r="BL1320" s="210"/>
      <c r="BM1320" s="210"/>
      <c r="BN1320" s="210"/>
      <c r="BO1320" s="210"/>
      <c r="BP1320" s="210"/>
      <c r="BQ1320" s="210"/>
      <c r="BR1320" s="210"/>
      <c r="BS1320" s="210"/>
      <c r="BT1320" s="210"/>
      <c r="BU1320" s="210"/>
      <c r="BV1320" s="210"/>
      <c r="BW1320" s="210"/>
      <c r="BX1320" s="210"/>
      <c r="BY1320" s="210"/>
      <c r="BZ1320" s="210"/>
      <c r="CA1320" s="210"/>
      <c r="CB1320" s="210"/>
      <c r="CC1320" s="210"/>
      <c r="CD1320" s="210"/>
      <c r="CE1320" s="210"/>
      <c r="CF1320" s="210"/>
      <c r="CG1320" s="210"/>
      <c r="CH1320" s="210"/>
      <c r="CI1320" s="210"/>
      <c r="CJ1320" s="210"/>
      <c r="CK1320" s="210"/>
    </row>
    <row r="1321">
      <c r="A1321" s="220"/>
      <c r="F1321" s="190"/>
      <c r="G1321" s="190"/>
      <c r="L1321" s="220"/>
      <c r="M1321" s="220"/>
      <c r="O1321" s="210"/>
      <c r="P1321" s="210"/>
      <c r="Q1321" s="210"/>
      <c r="R1321" s="210"/>
      <c r="S1321" s="210"/>
      <c r="T1321" s="210"/>
      <c r="U1321" s="210"/>
      <c r="V1321" s="210"/>
      <c r="W1321" s="210"/>
      <c r="X1321" s="210"/>
      <c r="Y1321" s="210"/>
      <c r="Z1321" s="210"/>
      <c r="AA1321" s="210"/>
      <c r="AB1321" s="210"/>
      <c r="AC1321" s="210"/>
      <c r="AD1321" s="210"/>
      <c r="AE1321" s="210"/>
      <c r="AF1321" s="210"/>
      <c r="AG1321" s="210"/>
      <c r="AH1321" s="210"/>
      <c r="AI1321" s="210"/>
      <c r="AJ1321" s="210"/>
      <c r="AK1321" s="210"/>
      <c r="AL1321" s="210"/>
      <c r="AM1321" s="214"/>
      <c r="AN1321" s="210"/>
      <c r="AO1321" s="210"/>
      <c r="AP1321" s="210"/>
      <c r="AQ1321" s="210"/>
      <c r="AR1321" s="210"/>
      <c r="AS1321" s="210"/>
      <c r="AT1321" s="210"/>
      <c r="AU1321" s="210"/>
      <c r="AV1321" s="210"/>
      <c r="AW1321" s="210"/>
      <c r="AX1321" s="210"/>
      <c r="AY1321" s="210"/>
      <c r="AZ1321" s="210"/>
      <c r="BA1321" s="210"/>
      <c r="BB1321" s="210"/>
      <c r="BC1321" s="210"/>
      <c r="BD1321" s="210"/>
      <c r="BE1321" s="210"/>
      <c r="BF1321" s="210"/>
      <c r="BG1321" s="210"/>
      <c r="BH1321" s="210"/>
      <c r="BI1321" s="210"/>
      <c r="BJ1321" s="210"/>
      <c r="BK1321" s="210"/>
      <c r="BL1321" s="210"/>
      <c r="BM1321" s="210"/>
      <c r="BN1321" s="210"/>
      <c r="BO1321" s="210"/>
      <c r="BP1321" s="210"/>
      <c r="BQ1321" s="210"/>
      <c r="BR1321" s="210"/>
      <c r="BS1321" s="210"/>
      <c r="BT1321" s="210"/>
      <c r="BU1321" s="210"/>
      <c r="BV1321" s="210"/>
      <c r="BW1321" s="210"/>
      <c r="BX1321" s="210"/>
      <c r="BY1321" s="210"/>
      <c r="BZ1321" s="210"/>
      <c r="CA1321" s="210"/>
      <c r="CB1321" s="210"/>
      <c r="CC1321" s="210"/>
      <c r="CD1321" s="210"/>
      <c r="CE1321" s="210"/>
      <c r="CF1321" s="210"/>
      <c r="CG1321" s="210"/>
      <c r="CH1321" s="210"/>
      <c r="CI1321" s="210"/>
      <c r="CJ1321" s="210"/>
      <c r="CK1321" s="210"/>
    </row>
    <row r="1322">
      <c r="A1322" s="220"/>
      <c r="F1322" s="190"/>
      <c r="G1322" s="190"/>
      <c r="L1322" s="220"/>
      <c r="M1322" s="220"/>
      <c r="O1322" s="210"/>
      <c r="P1322" s="210"/>
      <c r="Q1322" s="210"/>
      <c r="R1322" s="210"/>
      <c r="S1322" s="210"/>
      <c r="T1322" s="210"/>
      <c r="U1322" s="210"/>
      <c r="V1322" s="210"/>
      <c r="W1322" s="210"/>
      <c r="X1322" s="210"/>
      <c r="Y1322" s="210"/>
      <c r="Z1322" s="210"/>
      <c r="AA1322" s="210"/>
      <c r="AB1322" s="210"/>
      <c r="AC1322" s="210"/>
      <c r="AD1322" s="210"/>
      <c r="AE1322" s="210"/>
      <c r="AF1322" s="210"/>
      <c r="AG1322" s="210"/>
      <c r="AH1322" s="210"/>
      <c r="AI1322" s="210"/>
      <c r="AJ1322" s="210"/>
      <c r="AK1322" s="210"/>
      <c r="AL1322" s="210"/>
      <c r="AM1322" s="214"/>
      <c r="AN1322" s="210"/>
      <c r="AO1322" s="210"/>
      <c r="AP1322" s="210"/>
      <c r="AQ1322" s="210"/>
      <c r="AR1322" s="210"/>
      <c r="AS1322" s="210"/>
      <c r="AT1322" s="210"/>
      <c r="AU1322" s="210"/>
      <c r="AV1322" s="210"/>
      <c r="AW1322" s="210"/>
      <c r="AX1322" s="210"/>
      <c r="AY1322" s="210"/>
      <c r="AZ1322" s="210"/>
      <c r="BA1322" s="210"/>
      <c r="BB1322" s="210"/>
      <c r="BC1322" s="210"/>
      <c r="BD1322" s="210"/>
      <c r="BE1322" s="210"/>
      <c r="BF1322" s="210"/>
      <c r="BG1322" s="210"/>
      <c r="BH1322" s="210"/>
      <c r="BI1322" s="210"/>
      <c r="BJ1322" s="210"/>
      <c r="BK1322" s="210"/>
      <c r="BL1322" s="210"/>
      <c r="BM1322" s="210"/>
      <c r="BN1322" s="210"/>
      <c r="BO1322" s="210"/>
      <c r="BP1322" s="210"/>
      <c r="BQ1322" s="210"/>
      <c r="BR1322" s="210"/>
      <c r="BS1322" s="210"/>
      <c r="BT1322" s="210"/>
      <c r="BU1322" s="210"/>
      <c r="BV1322" s="210"/>
      <c r="BW1322" s="210"/>
      <c r="BX1322" s="210"/>
      <c r="BY1322" s="210"/>
      <c r="BZ1322" s="210"/>
      <c r="CA1322" s="210"/>
      <c r="CB1322" s="210"/>
      <c r="CC1322" s="210"/>
      <c r="CD1322" s="210"/>
      <c r="CE1322" s="210"/>
      <c r="CF1322" s="210"/>
      <c r="CG1322" s="210"/>
      <c r="CH1322" s="210"/>
      <c r="CI1322" s="210"/>
      <c r="CJ1322" s="210"/>
      <c r="CK1322" s="210"/>
    </row>
    <row r="1323">
      <c r="A1323" s="220"/>
      <c r="F1323" s="190"/>
      <c r="G1323" s="190"/>
      <c r="L1323" s="220"/>
      <c r="M1323" s="220"/>
      <c r="O1323" s="210"/>
      <c r="P1323" s="210"/>
      <c r="Q1323" s="210"/>
      <c r="R1323" s="210"/>
      <c r="S1323" s="210"/>
      <c r="T1323" s="210"/>
      <c r="U1323" s="210"/>
      <c r="V1323" s="210"/>
      <c r="W1323" s="210"/>
      <c r="X1323" s="210"/>
      <c r="Y1323" s="210"/>
      <c r="Z1323" s="210"/>
      <c r="AA1323" s="210"/>
      <c r="AB1323" s="210"/>
      <c r="AC1323" s="210"/>
      <c r="AD1323" s="210"/>
      <c r="AE1323" s="210"/>
      <c r="AF1323" s="210"/>
      <c r="AG1323" s="210"/>
      <c r="AH1323" s="210"/>
      <c r="AI1323" s="210"/>
      <c r="AJ1323" s="210"/>
      <c r="AK1323" s="210"/>
      <c r="AL1323" s="210"/>
      <c r="AM1323" s="214"/>
      <c r="AN1323" s="210"/>
      <c r="AO1323" s="210"/>
      <c r="AP1323" s="210"/>
      <c r="AQ1323" s="210"/>
      <c r="AR1323" s="210"/>
      <c r="AS1323" s="210"/>
      <c r="AT1323" s="210"/>
      <c r="AU1323" s="210"/>
      <c r="AV1323" s="210"/>
      <c r="AW1323" s="210"/>
      <c r="AX1323" s="210"/>
      <c r="AY1323" s="210"/>
      <c r="AZ1323" s="210"/>
      <c r="BA1323" s="210"/>
      <c r="BB1323" s="210"/>
      <c r="BC1323" s="210"/>
      <c r="BD1323" s="210"/>
      <c r="BE1323" s="210"/>
      <c r="BF1323" s="210"/>
      <c r="BG1323" s="210"/>
      <c r="BH1323" s="210"/>
      <c r="BI1323" s="210"/>
      <c r="BJ1323" s="210"/>
      <c r="BK1323" s="210"/>
      <c r="BL1323" s="210"/>
      <c r="BM1323" s="210"/>
      <c r="BN1323" s="210"/>
      <c r="BO1323" s="210"/>
      <c r="BP1323" s="210"/>
      <c r="BQ1323" s="210"/>
      <c r="BR1323" s="210"/>
      <c r="BS1323" s="210"/>
      <c r="BT1323" s="210"/>
      <c r="BU1323" s="210"/>
      <c r="BV1323" s="210"/>
      <c r="BW1323" s="210"/>
      <c r="BX1323" s="210"/>
      <c r="BY1323" s="210"/>
      <c r="BZ1323" s="210"/>
      <c r="CA1323" s="210"/>
      <c r="CB1323" s="210"/>
      <c r="CC1323" s="210"/>
      <c r="CD1323" s="210"/>
      <c r="CE1323" s="210"/>
      <c r="CF1323" s="210"/>
      <c r="CG1323" s="210"/>
      <c r="CH1323" s="210"/>
      <c r="CI1323" s="210"/>
      <c r="CJ1323" s="210"/>
      <c r="CK1323" s="210"/>
    </row>
    <row r="1324">
      <c r="A1324" s="220"/>
      <c r="F1324" s="190"/>
      <c r="G1324" s="190"/>
      <c r="L1324" s="220"/>
      <c r="M1324" s="220"/>
      <c r="O1324" s="210"/>
      <c r="P1324" s="210"/>
      <c r="Q1324" s="210"/>
      <c r="R1324" s="210"/>
      <c r="S1324" s="210"/>
      <c r="T1324" s="210"/>
      <c r="U1324" s="210"/>
      <c r="V1324" s="210"/>
      <c r="W1324" s="210"/>
      <c r="X1324" s="210"/>
      <c r="Y1324" s="210"/>
      <c r="Z1324" s="210"/>
      <c r="AA1324" s="210"/>
      <c r="AB1324" s="210"/>
      <c r="AC1324" s="210"/>
      <c r="AD1324" s="210"/>
      <c r="AE1324" s="210"/>
      <c r="AF1324" s="210"/>
      <c r="AG1324" s="210"/>
      <c r="AH1324" s="210"/>
      <c r="AI1324" s="210"/>
      <c r="AJ1324" s="210"/>
      <c r="AK1324" s="210"/>
      <c r="AL1324" s="210"/>
      <c r="AM1324" s="214"/>
      <c r="AN1324" s="210"/>
      <c r="AO1324" s="210"/>
      <c r="AP1324" s="210"/>
      <c r="AQ1324" s="210"/>
      <c r="AR1324" s="210"/>
      <c r="AS1324" s="210"/>
      <c r="AT1324" s="210"/>
      <c r="AU1324" s="210"/>
      <c r="AV1324" s="210"/>
      <c r="AW1324" s="210"/>
      <c r="AX1324" s="210"/>
      <c r="AY1324" s="210"/>
      <c r="AZ1324" s="210"/>
      <c r="BA1324" s="210"/>
      <c r="BB1324" s="210"/>
      <c r="BC1324" s="210"/>
      <c r="BD1324" s="210"/>
      <c r="BE1324" s="210"/>
      <c r="BF1324" s="210"/>
      <c r="BG1324" s="210"/>
      <c r="BH1324" s="210"/>
      <c r="BI1324" s="210"/>
      <c r="BJ1324" s="210"/>
      <c r="BK1324" s="210"/>
      <c r="BL1324" s="210"/>
      <c r="BM1324" s="210"/>
      <c r="BN1324" s="210"/>
      <c r="BO1324" s="210"/>
      <c r="BP1324" s="210"/>
      <c r="BQ1324" s="210"/>
      <c r="BR1324" s="210"/>
      <c r="BS1324" s="210"/>
      <c r="BT1324" s="210"/>
      <c r="BU1324" s="210"/>
      <c r="BV1324" s="210"/>
      <c r="BW1324" s="210"/>
      <c r="BX1324" s="210"/>
      <c r="BY1324" s="210"/>
      <c r="BZ1324" s="210"/>
      <c r="CA1324" s="210"/>
      <c r="CB1324" s="210"/>
      <c r="CC1324" s="210"/>
      <c r="CD1324" s="210"/>
      <c r="CE1324" s="210"/>
      <c r="CF1324" s="210"/>
      <c r="CG1324" s="210"/>
      <c r="CH1324" s="210"/>
      <c r="CI1324" s="210"/>
      <c r="CJ1324" s="210"/>
      <c r="CK1324" s="210"/>
    </row>
    <row r="1325">
      <c r="A1325" s="220"/>
      <c r="F1325" s="190"/>
      <c r="G1325" s="190"/>
      <c r="L1325" s="220"/>
      <c r="M1325" s="220"/>
      <c r="O1325" s="210"/>
      <c r="P1325" s="210"/>
      <c r="Q1325" s="210"/>
      <c r="R1325" s="210"/>
      <c r="S1325" s="210"/>
      <c r="T1325" s="210"/>
      <c r="U1325" s="210"/>
      <c r="V1325" s="210"/>
      <c r="W1325" s="210"/>
      <c r="X1325" s="210"/>
      <c r="Y1325" s="210"/>
      <c r="Z1325" s="210"/>
      <c r="AA1325" s="210"/>
      <c r="AB1325" s="210"/>
      <c r="AC1325" s="210"/>
      <c r="AD1325" s="210"/>
      <c r="AE1325" s="210"/>
      <c r="AF1325" s="210"/>
      <c r="AG1325" s="210"/>
      <c r="AH1325" s="210"/>
      <c r="AI1325" s="210"/>
      <c r="AJ1325" s="210"/>
      <c r="AK1325" s="210"/>
      <c r="AL1325" s="210"/>
      <c r="AM1325" s="214"/>
      <c r="AN1325" s="210"/>
      <c r="AO1325" s="210"/>
      <c r="AP1325" s="210"/>
      <c r="AQ1325" s="210"/>
      <c r="AR1325" s="210"/>
      <c r="AS1325" s="210"/>
      <c r="AT1325" s="210"/>
      <c r="AU1325" s="210"/>
      <c r="AV1325" s="210"/>
      <c r="AW1325" s="210"/>
      <c r="AX1325" s="210"/>
      <c r="AY1325" s="210"/>
      <c r="AZ1325" s="210"/>
      <c r="BA1325" s="210"/>
      <c r="BB1325" s="210"/>
      <c r="BC1325" s="210"/>
      <c r="BD1325" s="210"/>
      <c r="BE1325" s="210"/>
      <c r="BF1325" s="210"/>
      <c r="BG1325" s="210"/>
      <c r="BH1325" s="210"/>
      <c r="BI1325" s="210"/>
      <c r="BJ1325" s="210"/>
      <c r="BK1325" s="210"/>
      <c r="BL1325" s="210"/>
      <c r="BM1325" s="210"/>
      <c r="BN1325" s="210"/>
      <c r="BO1325" s="210"/>
      <c r="BP1325" s="210"/>
      <c r="BQ1325" s="210"/>
      <c r="BR1325" s="210"/>
      <c r="BS1325" s="210"/>
      <c r="BT1325" s="210"/>
      <c r="BU1325" s="210"/>
      <c r="BV1325" s="210"/>
      <c r="BW1325" s="210"/>
      <c r="BX1325" s="210"/>
      <c r="BY1325" s="210"/>
      <c r="BZ1325" s="210"/>
      <c r="CA1325" s="210"/>
      <c r="CB1325" s="210"/>
      <c r="CC1325" s="210"/>
      <c r="CD1325" s="210"/>
      <c r="CE1325" s="210"/>
      <c r="CF1325" s="210"/>
      <c r="CG1325" s="210"/>
      <c r="CH1325" s="210"/>
      <c r="CI1325" s="210"/>
      <c r="CJ1325" s="210"/>
      <c r="CK1325" s="210"/>
    </row>
    <row r="1326">
      <c r="A1326" s="220"/>
      <c r="F1326" s="190"/>
      <c r="G1326" s="190"/>
      <c r="L1326" s="220"/>
      <c r="M1326" s="220"/>
      <c r="O1326" s="210"/>
      <c r="P1326" s="210"/>
      <c r="Q1326" s="210"/>
      <c r="R1326" s="210"/>
      <c r="S1326" s="210"/>
      <c r="T1326" s="210"/>
      <c r="U1326" s="210"/>
      <c r="V1326" s="210"/>
      <c r="W1326" s="210"/>
      <c r="X1326" s="210"/>
      <c r="Y1326" s="210"/>
      <c r="Z1326" s="210"/>
      <c r="AA1326" s="210"/>
      <c r="AB1326" s="210"/>
      <c r="AC1326" s="210"/>
      <c r="AD1326" s="210"/>
      <c r="AE1326" s="210"/>
      <c r="AF1326" s="210"/>
      <c r="AG1326" s="210"/>
      <c r="AH1326" s="210"/>
      <c r="AI1326" s="210"/>
      <c r="AJ1326" s="210"/>
      <c r="AK1326" s="210"/>
      <c r="AL1326" s="210"/>
      <c r="AM1326" s="214"/>
      <c r="AN1326" s="210"/>
      <c r="AO1326" s="210"/>
      <c r="AP1326" s="210"/>
      <c r="AQ1326" s="210"/>
      <c r="AR1326" s="210"/>
      <c r="AS1326" s="210"/>
      <c r="AT1326" s="210"/>
      <c r="AU1326" s="210"/>
      <c r="AV1326" s="210"/>
      <c r="AW1326" s="210"/>
      <c r="AX1326" s="210"/>
      <c r="AY1326" s="210"/>
      <c r="AZ1326" s="210"/>
      <c r="BA1326" s="210"/>
      <c r="BB1326" s="210"/>
      <c r="BC1326" s="210"/>
      <c r="BD1326" s="210"/>
      <c r="BE1326" s="210"/>
      <c r="BF1326" s="210"/>
      <c r="BG1326" s="210"/>
      <c r="BH1326" s="210"/>
      <c r="BI1326" s="210"/>
      <c r="BJ1326" s="210"/>
      <c r="BK1326" s="210"/>
      <c r="BL1326" s="210"/>
      <c r="BM1326" s="210"/>
      <c r="BN1326" s="210"/>
      <c r="BO1326" s="210"/>
      <c r="BP1326" s="210"/>
      <c r="BQ1326" s="210"/>
      <c r="BR1326" s="210"/>
      <c r="BS1326" s="210"/>
      <c r="BT1326" s="210"/>
      <c r="BU1326" s="210"/>
      <c r="BV1326" s="210"/>
      <c r="BW1326" s="210"/>
      <c r="BX1326" s="210"/>
      <c r="BY1326" s="210"/>
      <c r="BZ1326" s="210"/>
      <c r="CA1326" s="210"/>
      <c r="CB1326" s="210"/>
      <c r="CC1326" s="210"/>
      <c r="CD1326" s="210"/>
      <c r="CE1326" s="210"/>
      <c r="CF1326" s="210"/>
      <c r="CG1326" s="210"/>
      <c r="CH1326" s="210"/>
      <c r="CI1326" s="210"/>
      <c r="CJ1326" s="210"/>
      <c r="CK1326" s="210"/>
    </row>
    <row r="1327">
      <c r="A1327" s="220"/>
      <c r="F1327" s="190"/>
      <c r="G1327" s="190"/>
      <c r="L1327" s="220"/>
      <c r="M1327" s="220"/>
      <c r="O1327" s="210"/>
      <c r="P1327" s="210"/>
      <c r="Q1327" s="210"/>
      <c r="R1327" s="210"/>
      <c r="S1327" s="210"/>
      <c r="T1327" s="210"/>
      <c r="U1327" s="210"/>
      <c r="V1327" s="210"/>
      <c r="W1327" s="210"/>
      <c r="X1327" s="210"/>
      <c r="Y1327" s="210"/>
      <c r="Z1327" s="210"/>
      <c r="AA1327" s="210"/>
      <c r="AB1327" s="210"/>
      <c r="AC1327" s="210"/>
      <c r="AD1327" s="210"/>
      <c r="AE1327" s="210"/>
      <c r="AF1327" s="210"/>
      <c r="AG1327" s="210"/>
      <c r="AH1327" s="210"/>
      <c r="AI1327" s="210"/>
      <c r="AJ1327" s="210"/>
      <c r="AK1327" s="210"/>
      <c r="AL1327" s="210"/>
      <c r="AM1327" s="214"/>
      <c r="AN1327" s="210"/>
      <c r="AO1327" s="210"/>
      <c r="AP1327" s="210"/>
      <c r="AQ1327" s="210"/>
      <c r="AR1327" s="210"/>
      <c r="AS1327" s="210"/>
      <c r="AT1327" s="210"/>
      <c r="AU1327" s="210"/>
      <c r="AV1327" s="210"/>
      <c r="AW1327" s="210"/>
      <c r="AX1327" s="210"/>
      <c r="AY1327" s="210"/>
      <c r="AZ1327" s="210"/>
      <c r="BA1327" s="210"/>
      <c r="BB1327" s="210"/>
      <c r="BC1327" s="210"/>
      <c r="BD1327" s="210"/>
      <c r="BE1327" s="210"/>
      <c r="BF1327" s="210"/>
      <c r="BG1327" s="210"/>
      <c r="BH1327" s="210"/>
      <c r="BI1327" s="210"/>
      <c r="BJ1327" s="210"/>
      <c r="BK1327" s="210"/>
      <c r="BL1327" s="210"/>
      <c r="BM1327" s="210"/>
      <c r="BN1327" s="210"/>
      <c r="BO1327" s="210"/>
      <c r="BP1327" s="210"/>
      <c r="BQ1327" s="210"/>
      <c r="BR1327" s="210"/>
      <c r="BS1327" s="210"/>
      <c r="BT1327" s="210"/>
      <c r="BU1327" s="210"/>
      <c r="BV1327" s="210"/>
      <c r="BW1327" s="210"/>
      <c r="BX1327" s="210"/>
      <c r="BY1327" s="210"/>
      <c r="BZ1327" s="210"/>
      <c r="CA1327" s="210"/>
      <c r="CB1327" s="210"/>
      <c r="CC1327" s="210"/>
      <c r="CD1327" s="210"/>
      <c r="CE1327" s="210"/>
      <c r="CF1327" s="210"/>
      <c r="CG1327" s="210"/>
      <c r="CH1327" s="210"/>
      <c r="CI1327" s="210"/>
      <c r="CJ1327" s="210"/>
      <c r="CK1327" s="210"/>
    </row>
    <row r="1328">
      <c r="A1328" s="220"/>
      <c r="F1328" s="190"/>
      <c r="G1328" s="190"/>
      <c r="L1328" s="220"/>
      <c r="M1328" s="220"/>
      <c r="O1328" s="210"/>
      <c r="P1328" s="210"/>
      <c r="Q1328" s="210"/>
      <c r="R1328" s="210"/>
      <c r="S1328" s="210"/>
      <c r="T1328" s="210"/>
      <c r="U1328" s="210"/>
      <c r="V1328" s="210"/>
      <c r="W1328" s="210"/>
      <c r="X1328" s="210"/>
      <c r="Y1328" s="210"/>
      <c r="Z1328" s="210"/>
      <c r="AA1328" s="210"/>
      <c r="AB1328" s="210"/>
      <c r="AC1328" s="210"/>
      <c r="AD1328" s="210"/>
      <c r="AE1328" s="210"/>
      <c r="AF1328" s="210"/>
      <c r="AG1328" s="210"/>
      <c r="AH1328" s="210"/>
      <c r="AI1328" s="210"/>
      <c r="AJ1328" s="210"/>
      <c r="AK1328" s="210"/>
      <c r="AL1328" s="210"/>
      <c r="AM1328" s="214"/>
      <c r="AN1328" s="210"/>
      <c r="AO1328" s="210"/>
      <c r="AP1328" s="210"/>
      <c r="AQ1328" s="210"/>
      <c r="AR1328" s="210"/>
      <c r="AS1328" s="210"/>
      <c r="AT1328" s="210"/>
      <c r="AU1328" s="210"/>
      <c r="AV1328" s="210"/>
      <c r="AW1328" s="210"/>
      <c r="AX1328" s="210"/>
      <c r="AY1328" s="210"/>
      <c r="AZ1328" s="210"/>
      <c r="BA1328" s="210"/>
      <c r="BB1328" s="210"/>
      <c r="BC1328" s="210"/>
      <c r="BD1328" s="210"/>
      <c r="BE1328" s="210"/>
      <c r="BF1328" s="210"/>
      <c r="BG1328" s="210"/>
      <c r="BH1328" s="210"/>
      <c r="BI1328" s="210"/>
      <c r="BJ1328" s="210"/>
      <c r="BK1328" s="210"/>
      <c r="BL1328" s="210"/>
      <c r="BM1328" s="210"/>
      <c r="BN1328" s="210"/>
      <c r="BO1328" s="210"/>
      <c r="BP1328" s="210"/>
      <c r="BQ1328" s="210"/>
      <c r="BR1328" s="210"/>
      <c r="BS1328" s="210"/>
      <c r="BT1328" s="210"/>
      <c r="BU1328" s="210"/>
      <c r="BV1328" s="210"/>
      <c r="BW1328" s="210"/>
      <c r="BX1328" s="210"/>
      <c r="BY1328" s="210"/>
      <c r="BZ1328" s="210"/>
      <c r="CA1328" s="210"/>
      <c r="CB1328" s="210"/>
      <c r="CC1328" s="210"/>
      <c r="CD1328" s="210"/>
      <c r="CE1328" s="210"/>
      <c r="CF1328" s="210"/>
      <c r="CG1328" s="210"/>
      <c r="CH1328" s="210"/>
      <c r="CI1328" s="210"/>
      <c r="CJ1328" s="210"/>
      <c r="CK1328" s="210"/>
    </row>
    <row r="1329">
      <c r="A1329" s="220"/>
      <c r="F1329" s="190"/>
      <c r="G1329" s="190"/>
      <c r="L1329" s="220"/>
      <c r="M1329" s="220"/>
      <c r="O1329" s="210"/>
      <c r="P1329" s="210"/>
      <c r="Q1329" s="210"/>
      <c r="R1329" s="210"/>
      <c r="S1329" s="210"/>
      <c r="T1329" s="210"/>
      <c r="U1329" s="210"/>
      <c r="V1329" s="210"/>
      <c r="W1329" s="210"/>
      <c r="X1329" s="210"/>
      <c r="Y1329" s="210"/>
      <c r="Z1329" s="210"/>
      <c r="AA1329" s="210"/>
      <c r="AB1329" s="210"/>
      <c r="AC1329" s="210"/>
      <c r="AD1329" s="210"/>
      <c r="AE1329" s="210"/>
      <c r="AF1329" s="210"/>
      <c r="AG1329" s="210"/>
      <c r="AH1329" s="210"/>
      <c r="AI1329" s="210"/>
      <c r="AJ1329" s="210"/>
      <c r="AK1329" s="210"/>
      <c r="AL1329" s="210"/>
      <c r="AM1329" s="214"/>
      <c r="AN1329" s="210"/>
      <c r="AO1329" s="210"/>
      <c r="AP1329" s="210"/>
      <c r="AQ1329" s="210"/>
      <c r="AR1329" s="210"/>
      <c r="AS1329" s="210"/>
      <c r="AT1329" s="210"/>
      <c r="AU1329" s="210"/>
      <c r="AV1329" s="210"/>
      <c r="AW1329" s="210"/>
      <c r="AX1329" s="210"/>
      <c r="AY1329" s="210"/>
      <c r="AZ1329" s="210"/>
      <c r="BA1329" s="210"/>
      <c r="BB1329" s="210"/>
      <c r="BC1329" s="210"/>
      <c r="BD1329" s="210"/>
      <c r="BE1329" s="210"/>
      <c r="BF1329" s="210"/>
      <c r="BG1329" s="210"/>
      <c r="BH1329" s="210"/>
      <c r="BI1329" s="210"/>
      <c r="BJ1329" s="210"/>
      <c r="BK1329" s="210"/>
      <c r="BL1329" s="210"/>
      <c r="BM1329" s="210"/>
      <c r="BN1329" s="210"/>
      <c r="BO1329" s="210"/>
      <c r="BP1329" s="210"/>
      <c r="BQ1329" s="210"/>
      <c r="BR1329" s="210"/>
      <c r="BS1329" s="210"/>
      <c r="BT1329" s="210"/>
      <c r="BU1329" s="210"/>
      <c r="BV1329" s="210"/>
      <c r="BW1329" s="210"/>
      <c r="BX1329" s="210"/>
      <c r="BY1329" s="210"/>
      <c r="BZ1329" s="210"/>
      <c r="CA1329" s="210"/>
      <c r="CB1329" s="210"/>
      <c r="CC1329" s="210"/>
      <c r="CD1329" s="210"/>
      <c r="CE1329" s="210"/>
      <c r="CF1329" s="210"/>
      <c r="CG1329" s="210"/>
      <c r="CH1329" s="210"/>
      <c r="CI1329" s="210"/>
      <c r="CJ1329" s="210"/>
      <c r="CK1329" s="210"/>
    </row>
    <row r="1330">
      <c r="A1330" s="220"/>
      <c r="F1330" s="190"/>
      <c r="G1330" s="190"/>
      <c r="L1330" s="220"/>
      <c r="M1330" s="220"/>
      <c r="O1330" s="210"/>
      <c r="P1330" s="210"/>
      <c r="Q1330" s="210"/>
      <c r="R1330" s="210"/>
      <c r="S1330" s="210"/>
      <c r="T1330" s="210"/>
      <c r="U1330" s="210"/>
      <c r="V1330" s="210"/>
      <c r="W1330" s="210"/>
      <c r="X1330" s="210"/>
      <c r="Y1330" s="210"/>
      <c r="Z1330" s="210"/>
      <c r="AA1330" s="210"/>
      <c r="AB1330" s="210"/>
      <c r="AC1330" s="210"/>
      <c r="AD1330" s="210"/>
      <c r="AE1330" s="210"/>
      <c r="AF1330" s="210"/>
      <c r="AG1330" s="210"/>
      <c r="AH1330" s="210"/>
      <c r="AI1330" s="210"/>
      <c r="AJ1330" s="210"/>
      <c r="AK1330" s="210"/>
      <c r="AL1330" s="210"/>
      <c r="AM1330" s="214"/>
      <c r="AN1330" s="210"/>
      <c r="AO1330" s="210"/>
      <c r="AP1330" s="210"/>
      <c r="AQ1330" s="210"/>
      <c r="AR1330" s="210"/>
      <c r="AS1330" s="210"/>
      <c r="AT1330" s="210"/>
      <c r="AU1330" s="210"/>
      <c r="AV1330" s="210"/>
      <c r="AW1330" s="210"/>
      <c r="AX1330" s="210"/>
      <c r="AY1330" s="210"/>
      <c r="AZ1330" s="210"/>
      <c r="BA1330" s="210"/>
      <c r="BB1330" s="210"/>
      <c r="BC1330" s="210"/>
      <c r="BD1330" s="210"/>
      <c r="BE1330" s="210"/>
      <c r="BF1330" s="210"/>
      <c r="BG1330" s="210"/>
      <c r="BH1330" s="210"/>
      <c r="BI1330" s="210"/>
      <c r="BJ1330" s="210"/>
      <c r="BK1330" s="210"/>
      <c r="BL1330" s="210"/>
      <c r="BM1330" s="210"/>
      <c r="BN1330" s="210"/>
      <c r="BO1330" s="210"/>
      <c r="BP1330" s="210"/>
      <c r="BQ1330" s="210"/>
      <c r="BR1330" s="210"/>
      <c r="BS1330" s="210"/>
      <c r="BT1330" s="210"/>
      <c r="BU1330" s="210"/>
      <c r="BV1330" s="210"/>
      <c r="BW1330" s="210"/>
      <c r="BX1330" s="210"/>
      <c r="BY1330" s="210"/>
      <c r="BZ1330" s="210"/>
      <c r="CA1330" s="210"/>
      <c r="CB1330" s="210"/>
      <c r="CC1330" s="210"/>
      <c r="CD1330" s="210"/>
      <c r="CE1330" s="210"/>
      <c r="CF1330" s="210"/>
      <c r="CG1330" s="210"/>
      <c r="CH1330" s="210"/>
      <c r="CI1330" s="210"/>
      <c r="CJ1330" s="210"/>
      <c r="CK1330" s="210"/>
    </row>
    <row r="1331">
      <c r="A1331" s="220"/>
      <c r="F1331" s="190"/>
      <c r="G1331" s="190"/>
      <c r="L1331" s="220"/>
      <c r="M1331" s="220"/>
      <c r="O1331" s="210"/>
      <c r="P1331" s="210"/>
      <c r="Q1331" s="210"/>
      <c r="R1331" s="210"/>
      <c r="S1331" s="210"/>
      <c r="T1331" s="210"/>
      <c r="U1331" s="210"/>
      <c r="V1331" s="210"/>
      <c r="W1331" s="210"/>
      <c r="X1331" s="210"/>
      <c r="Y1331" s="210"/>
      <c r="Z1331" s="210"/>
      <c r="AA1331" s="210"/>
      <c r="AB1331" s="210"/>
      <c r="AC1331" s="210"/>
      <c r="AD1331" s="210"/>
      <c r="AE1331" s="210"/>
      <c r="AF1331" s="210"/>
      <c r="AG1331" s="210"/>
      <c r="AH1331" s="210"/>
      <c r="AI1331" s="210"/>
      <c r="AJ1331" s="210"/>
      <c r="AK1331" s="210"/>
      <c r="AL1331" s="210"/>
      <c r="AM1331" s="214"/>
      <c r="AN1331" s="210"/>
      <c r="AO1331" s="210"/>
      <c r="AP1331" s="210"/>
      <c r="AQ1331" s="210"/>
      <c r="AR1331" s="210"/>
      <c r="AS1331" s="210"/>
      <c r="AT1331" s="210"/>
      <c r="AU1331" s="210"/>
      <c r="AV1331" s="210"/>
      <c r="AW1331" s="210"/>
      <c r="AX1331" s="210"/>
      <c r="AY1331" s="210"/>
      <c r="AZ1331" s="210"/>
      <c r="BA1331" s="210"/>
      <c r="BB1331" s="210"/>
      <c r="BC1331" s="210"/>
      <c r="BD1331" s="210"/>
      <c r="BE1331" s="210"/>
      <c r="BF1331" s="210"/>
      <c r="BG1331" s="210"/>
      <c r="BH1331" s="210"/>
      <c r="BI1331" s="210"/>
      <c r="BJ1331" s="210"/>
      <c r="BK1331" s="210"/>
      <c r="BL1331" s="210"/>
      <c r="BM1331" s="210"/>
      <c r="BN1331" s="210"/>
      <c r="BO1331" s="210"/>
      <c r="BP1331" s="210"/>
      <c r="BQ1331" s="210"/>
      <c r="BR1331" s="210"/>
      <c r="BS1331" s="210"/>
      <c r="BT1331" s="210"/>
      <c r="BU1331" s="210"/>
      <c r="BV1331" s="210"/>
      <c r="BW1331" s="210"/>
      <c r="BX1331" s="210"/>
      <c r="BY1331" s="210"/>
      <c r="BZ1331" s="210"/>
      <c r="CA1331" s="210"/>
      <c r="CB1331" s="210"/>
      <c r="CC1331" s="210"/>
      <c r="CD1331" s="210"/>
      <c r="CE1331" s="210"/>
      <c r="CF1331" s="210"/>
      <c r="CG1331" s="210"/>
      <c r="CH1331" s="210"/>
      <c r="CI1331" s="210"/>
      <c r="CJ1331" s="210"/>
      <c r="CK1331" s="210"/>
    </row>
    <row r="1332">
      <c r="A1332" s="220"/>
      <c r="F1332" s="190"/>
      <c r="G1332" s="190"/>
      <c r="L1332" s="220"/>
      <c r="M1332" s="220"/>
      <c r="O1332" s="210"/>
      <c r="P1332" s="210"/>
      <c r="Q1332" s="210"/>
      <c r="R1332" s="210"/>
      <c r="S1332" s="210"/>
      <c r="T1332" s="210"/>
      <c r="U1332" s="210"/>
      <c r="V1332" s="210"/>
      <c r="W1332" s="210"/>
      <c r="X1332" s="210"/>
      <c r="Y1332" s="210"/>
      <c r="Z1332" s="210"/>
      <c r="AA1332" s="210"/>
      <c r="AB1332" s="210"/>
      <c r="AC1332" s="210"/>
      <c r="AD1332" s="210"/>
      <c r="AE1332" s="210"/>
      <c r="AF1332" s="210"/>
      <c r="AG1332" s="210"/>
      <c r="AH1332" s="210"/>
      <c r="AI1332" s="210"/>
      <c r="AJ1332" s="210"/>
      <c r="AK1332" s="210"/>
      <c r="AL1332" s="210"/>
      <c r="AM1332" s="214"/>
      <c r="AN1332" s="210"/>
      <c r="AO1332" s="210"/>
      <c r="AP1332" s="210"/>
      <c r="AQ1332" s="210"/>
      <c r="AR1332" s="210"/>
      <c r="AS1332" s="210"/>
      <c r="AT1332" s="210"/>
      <c r="AU1332" s="210"/>
      <c r="AV1332" s="210"/>
      <c r="AW1332" s="210"/>
      <c r="AX1332" s="210"/>
      <c r="AY1332" s="210"/>
      <c r="AZ1332" s="210"/>
      <c r="BA1332" s="210"/>
      <c r="BB1332" s="210"/>
      <c r="BC1332" s="210"/>
      <c r="BD1332" s="210"/>
      <c r="BE1332" s="210"/>
      <c r="BF1332" s="210"/>
      <c r="BG1332" s="210"/>
      <c r="BH1332" s="210"/>
      <c r="BI1332" s="210"/>
      <c r="BJ1332" s="210"/>
      <c r="BK1332" s="210"/>
      <c r="BL1332" s="210"/>
      <c r="BM1332" s="210"/>
      <c r="BN1332" s="210"/>
      <c r="BO1332" s="210"/>
      <c r="BP1332" s="210"/>
      <c r="BQ1332" s="210"/>
      <c r="BR1332" s="210"/>
      <c r="BS1332" s="210"/>
      <c r="BT1332" s="210"/>
      <c r="BU1332" s="210"/>
      <c r="BV1332" s="210"/>
      <c r="BW1332" s="210"/>
      <c r="BX1332" s="210"/>
      <c r="BY1332" s="210"/>
      <c r="BZ1332" s="210"/>
      <c r="CA1332" s="210"/>
      <c r="CB1332" s="210"/>
      <c r="CC1332" s="210"/>
      <c r="CD1332" s="210"/>
      <c r="CE1332" s="210"/>
      <c r="CF1332" s="210"/>
      <c r="CG1332" s="210"/>
      <c r="CH1332" s="210"/>
      <c r="CI1332" s="210"/>
      <c r="CJ1332" s="210"/>
      <c r="CK1332" s="210"/>
    </row>
    <row r="1333">
      <c r="A1333" s="220"/>
      <c r="F1333" s="190"/>
      <c r="G1333" s="190"/>
      <c r="L1333" s="220"/>
      <c r="M1333" s="220"/>
      <c r="O1333" s="210"/>
      <c r="P1333" s="210"/>
      <c r="Q1333" s="210"/>
      <c r="R1333" s="210"/>
      <c r="S1333" s="210"/>
      <c r="T1333" s="210"/>
      <c r="U1333" s="210"/>
      <c r="V1333" s="210"/>
      <c r="W1333" s="210"/>
      <c r="X1333" s="210"/>
      <c r="Y1333" s="210"/>
      <c r="Z1333" s="210"/>
      <c r="AA1333" s="210"/>
      <c r="AB1333" s="210"/>
      <c r="AC1333" s="210"/>
      <c r="AD1333" s="210"/>
      <c r="AE1333" s="210"/>
      <c r="AF1333" s="210"/>
      <c r="AG1333" s="210"/>
      <c r="AH1333" s="210"/>
      <c r="AI1333" s="210"/>
      <c r="AJ1333" s="210"/>
      <c r="AK1333" s="210"/>
      <c r="AL1333" s="210"/>
      <c r="AM1333" s="214"/>
      <c r="AN1333" s="210"/>
      <c r="AO1333" s="210"/>
      <c r="AP1333" s="210"/>
      <c r="AQ1333" s="210"/>
      <c r="AR1333" s="210"/>
      <c r="AS1333" s="210"/>
      <c r="AT1333" s="210"/>
      <c r="AU1333" s="210"/>
      <c r="AV1333" s="210"/>
      <c r="AW1333" s="210"/>
      <c r="AX1333" s="210"/>
      <c r="AY1333" s="210"/>
      <c r="AZ1333" s="210"/>
      <c r="BA1333" s="210"/>
      <c r="BB1333" s="210"/>
      <c r="BC1333" s="210"/>
      <c r="BD1333" s="210"/>
      <c r="BE1333" s="210"/>
      <c r="BF1333" s="210"/>
      <c r="BG1333" s="210"/>
      <c r="BH1333" s="210"/>
      <c r="BI1333" s="210"/>
      <c r="BJ1333" s="210"/>
      <c r="BK1333" s="210"/>
      <c r="BL1333" s="210"/>
      <c r="BM1333" s="210"/>
      <c r="BN1333" s="210"/>
      <c r="BO1333" s="210"/>
      <c r="BP1333" s="210"/>
      <c r="BQ1333" s="210"/>
      <c r="BR1333" s="210"/>
      <c r="BS1333" s="210"/>
      <c r="BT1333" s="210"/>
      <c r="BU1333" s="210"/>
      <c r="BV1333" s="210"/>
      <c r="BW1333" s="210"/>
      <c r="BX1333" s="210"/>
      <c r="BY1333" s="210"/>
      <c r="BZ1333" s="210"/>
      <c r="CA1333" s="210"/>
      <c r="CB1333" s="210"/>
      <c r="CC1333" s="210"/>
      <c r="CD1333" s="210"/>
      <c r="CE1333" s="210"/>
      <c r="CF1333" s="210"/>
      <c r="CG1333" s="210"/>
      <c r="CH1333" s="210"/>
      <c r="CI1333" s="210"/>
      <c r="CJ1333" s="210"/>
      <c r="CK1333" s="210"/>
    </row>
    <row r="1334">
      <c r="A1334" s="220"/>
      <c r="F1334" s="190"/>
      <c r="G1334" s="190"/>
      <c r="L1334" s="220"/>
      <c r="M1334" s="220"/>
      <c r="O1334" s="210"/>
      <c r="P1334" s="210"/>
      <c r="Q1334" s="210"/>
      <c r="R1334" s="210"/>
      <c r="S1334" s="210"/>
      <c r="T1334" s="210"/>
      <c r="U1334" s="210"/>
      <c r="V1334" s="210"/>
      <c r="W1334" s="210"/>
      <c r="X1334" s="210"/>
      <c r="Y1334" s="210"/>
      <c r="Z1334" s="210"/>
      <c r="AA1334" s="210"/>
      <c r="AB1334" s="210"/>
      <c r="AC1334" s="210"/>
      <c r="AD1334" s="210"/>
      <c r="AE1334" s="210"/>
      <c r="AF1334" s="210"/>
      <c r="AG1334" s="210"/>
      <c r="AH1334" s="210"/>
      <c r="AI1334" s="210"/>
      <c r="AJ1334" s="210"/>
      <c r="AK1334" s="210"/>
      <c r="AL1334" s="210"/>
      <c r="AM1334" s="214"/>
      <c r="AN1334" s="210"/>
      <c r="AO1334" s="210"/>
      <c r="AP1334" s="210"/>
      <c r="AQ1334" s="210"/>
      <c r="AR1334" s="210"/>
      <c r="AS1334" s="210"/>
      <c r="AT1334" s="210"/>
      <c r="AU1334" s="210"/>
      <c r="AV1334" s="210"/>
      <c r="AW1334" s="210"/>
      <c r="AX1334" s="210"/>
      <c r="AY1334" s="210"/>
      <c r="AZ1334" s="210"/>
      <c r="BA1334" s="210"/>
      <c r="BB1334" s="210"/>
      <c r="BC1334" s="210"/>
      <c r="BD1334" s="210"/>
      <c r="BE1334" s="210"/>
      <c r="BF1334" s="210"/>
      <c r="BG1334" s="210"/>
      <c r="BH1334" s="210"/>
      <c r="BI1334" s="210"/>
      <c r="BJ1334" s="210"/>
      <c r="BK1334" s="210"/>
      <c r="BL1334" s="210"/>
      <c r="BM1334" s="210"/>
      <c r="BN1334" s="210"/>
      <c r="BO1334" s="210"/>
      <c r="BP1334" s="210"/>
      <c r="BQ1334" s="210"/>
      <c r="BR1334" s="210"/>
      <c r="BS1334" s="210"/>
      <c r="BT1334" s="210"/>
      <c r="BU1334" s="210"/>
      <c r="BV1334" s="210"/>
      <c r="BW1334" s="210"/>
      <c r="BX1334" s="210"/>
      <c r="BY1334" s="210"/>
      <c r="BZ1334" s="210"/>
      <c r="CA1334" s="210"/>
      <c r="CB1334" s="210"/>
      <c r="CC1334" s="210"/>
      <c r="CD1334" s="210"/>
      <c r="CE1334" s="210"/>
      <c r="CF1334" s="210"/>
      <c r="CG1334" s="210"/>
      <c r="CH1334" s="210"/>
      <c r="CI1334" s="210"/>
      <c r="CJ1334" s="210"/>
      <c r="CK1334" s="210"/>
    </row>
    <row r="1335">
      <c r="A1335" s="220"/>
      <c r="F1335" s="190"/>
      <c r="G1335" s="190"/>
      <c r="L1335" s="220"/>
      <c r="M1335" s="220"/>
      <c r="O1335" s="210"/>
      <c r="P1335" s="210"/>
      <c r="Q1335" s="210"/>
      <c r="R1335" s="210"/>
      <c r="S1335" s="210"/>
      <c r="T1335" s="210"/>
      <c r="U1335" s="210"/>
      <c r="V1335" s="210"/>
      <c r="W1335" s="210"/>
      <c r="X1335" s="210"/>
      <c r="Y1335" s="210"/>
      <c r="Z1335" s="210"/>
      <c r="AA1335" s="210"/>
      <c r="AB1335" s="210"/>
      <c r="AC1335" s="210"/>
      <c r="AD1335" s="210"/>
      <c r="AE1335" s="210"/>
      <c r="AF1335" s="210"/>
      <c r="AG1335" s="210"/>
      <c r="AH1335" s="210"/>
      <c r="AI1335" s="210"/>
      <c r="AJ1335" s="210"/>
      <c r="AK1335" s="210"/>
      <c r="AL1335" s="210"/>
      <c r="AM1335" s="214"/>
      <c r="AN1335" s="210"/>
      <c r="AO1335" s="210"/>
      <c r="AP1335" s="210"/>
      <c r="AQ1335" s="210"/>
      <c r="AR1335" s="210"/>
      <c r="AS1335" s="210"/>
      <c r="AT1335" s="210"/>
      <c r="AU1335" s="210"/>
      <c r="AV1335" s="210"/>
      <c r="AW1335" s="210"/>
      <c r="AX1335" s="210"/>
      <c r="AY1335" s="210"/>
      <c r="AZ1335" s="210"/>
      <c r="BA1335" s="210"/>
      <c r="BB1335" s="210"/>
      <c r="BC1335" s="210"/>
      <c r="BD1335" s="210"/>
      <c r="BE1335" s="210"/>
      <c r="BF1335" s="210"/>
      <c r="BG1335" s="210"/>
      <c r="BH1335" s="210"/>
      <c r="BI1335" s="210"/>
      <c r="BJ1335" s="210"/>
      <c r="BK1335" s="210"/>
      <c r="BL1335" s="210"/>
      <c r="BM1335" s="210"/>
      <c r="BN1335" s="210"/>
      <c r="BO1335" s="210"/>
      <c r="BP1335" s="210"/>
      <c r="BQ1335" s="210"/>
      <c r="BR1335" s="210"/>
      <c r="BS1335" s="210"/>
      <c r="BT1335" s="210"/>
      <c r="BU1335" s="210"/>
      <c r="BV1335" s="210"/>
      <c r="BW1335" s="210"/>
      <c r="BX1335" s="210"/>
      <c r="BY1335" s="210"/>
      <c r="BZ1335" s="210"/>
      <c r="CA1335" s="210"/>
      <c r="CB1335" s="210"/>
      <c r="CC1335" s="210"/>
      <c r="CD1335" s="210"/>
      <c r="CE1335" s="210"/>
      <c r="CF1335" s="210"/>
      <c r="CG1335" s="210"/>
      <c r="CH1335" s="210"/>
      <c r="CI1335" s="210"/>
      <c r="CJ1335" s="210"/>
      <c r="CK1335" s="210"/>
    </row>
    <row r="1336">
      <c r="A1336" s="220"/>
      <c r="F1336" s="190"/>
      <c r="G1336" s="190"/>
      <c r="L1336" s="220"/>
      <c r="M1336" s="220"/>
      <c r="O1336" s="210"/>
      <c r="P1336" s="210"/>
      <c r="Q1336" s="210"/>
      <c r="R1336" s="210"/>
      <c r="S1336" s="210"/>
      <c r="T1336" s="210"/>
      <c r="U1336" s="210"/>
      <c r="V1336" s="210"/>
      <c r="W1336" s="210"/>
      <c r="X1336" s="210"/>
      <c r="Y1336" s="210"/>
      <c r="Z1336" s="210"/>
      <c r="AA1336" s="210"/>
      <c r="AB1336" s="210"/>
      <c r="AC1336" s="210"/>
      <c r="AD1336" s="210"/>
      <c r="AE1336" s="210"/>
      <c r="AF1336" s="210"/>
      <c r="AG1336" s="210"/>
      <c r="AH1336" s="210"/>
      <c r="AI1336" s="210"/>
      <c r="AJ1336" s="210"/>
      <c r="AK1336" s="210"/>
      <c r="AL1336" s="210"/>
      <c r="AM1336" s="214"/>
      <c r="AN1336" s="210"/>
      <c r="AO1336" s="210"/>
      <c r="AP1336" s="210"/>
      <c r="AQ1336" s="210"/>
      <c r="AR1336" s="210"/>
      <c r="AS1336" s="210"/>
      <c r="AT1336" s="210"/>
      <c r="AU1336" s="210"/>
      <c r="AV1336" s="210"/>
      <c r="AW1336" s="210"/>
      <c r="AX1336" s="210"/>
      <c r="AY1336" s="210"/>
      <c r="AZ1336" s="210"/>
      <c r="BA1336" s="210"/>
      <c r="BB1336" s="210"/>
      <c r="BC1336" s="210"/>
      <c r="BD1336" s="210"/>
      <c r="BE1336" s="210"/>
      <c r="BF1336" s="210"/>
      <c r="BG1336" s="210"/>
      <c r="BH1336" s="210"/>
      <c r="BI1336" s="210"/>
      <c r="BJ1336" s="210"/>
      <c r="BK1336" s="210"/>
      <c r="BL1336" s="210"/>
      <c r="BM1336" s="210"/>
      <c r="BN1336" s="210"/>
      <c r="BO1336" s="210"/>
      <c r="BP1336" s="210"/>
      <c r="BQ1336" s="210"/>
      <c r="BR1336" s="210"/>
      <c r="BS1336" s="210"/>
      <c r="BT1336" s="210"/>
      <c r="BU1336" s="210"/>
      <c r="BV1336" s="210"/>
      <c r="BW1336" s="210"/>
      <c r="BX1336" s="210"/>
      <c r="BY1336" s="210"/>
      <c r="BZ1336" s="210"/>
      <c r="CA1336" s="210"/>
      <c r="CB1336" s="210"/>
      <c r="CC1336" s="210"/>
      <c r="CD1336" s="210"/>
      <c r="CE1336" s="210"/>
      <c r="CF1336" s="210"/>
      <c r="CG1336" s="210"/>
      <c r="CH1336" s="210"/>
      <c r="CI1336" s="210"/>
      <c r="CJ1336" s="210"/>
      <c r="CK1336" s="210"/>
    </row>
    <row r="1337">
      <c r="A1337" s="220"/>
      <c r="F1337" s="190"/>
      <c r="G1337" s="190"/>
      <c r="L1337" s="220"/>
      <c r="M1337" s="220"/>
      <c r="O1337" s="210"/>
      <c r="P1337" s="210"/>
      <c r="Q1337" s="210"/>
      <c r="R1337" s="210"/>
      <c r="S1337" s="210"/>
      <c r="T1337" s="210"/>
      <c r="U1337" s="210"/>
      <c r="V1337" s="210"/>
      <c r="W1337" s="210"/>
      <c r="X1337" s="210"/>
      <c r="Y1337" s="210"/>
      <c r="Z1337" s="210"/>
      <c r="AA1337" s="210"/>
      <c r="AB1337" s="210"/>
      <c r="AC1337" s="210"/>
      <c r="AD1337" s="210"/>
      <c r="AE1337" s="210"/>
      <c r="AF1337" s="210"/>
      <c r="AG1337" s="210"/>
      <c r="AH1337" s="210"/>
      <c r="AI1337" s="210"/>
      <c r="AJ1337" s="210"/>
      <c r="AK1337" s="210"/>
      <c r="AL1337" s="210"/>
      <c r="AM1337" s="214"/>
      <c r="AN1337" s="210"/>
      <c r="AO1337" s="210"/>
      <c r="AP1337" s="210"/>
      <c r="AQ1337" s="210"/>
      <c r="AR1337" s="210"/>
      <c r="AS1337" s="210"/>
      <c r="AT1337" s="210"/>
      <c r="AU1337" s="210"/>
      <c r="AV1337" s="210"/>
      <c r="AW1337" s="210"/>
      <c r="AX1337" s="210"/>
      <c r="AY1337" s="210"/>
      <c r="AZ1337" s="210"/>
      <c r="BA1337" s="210"/>
      <c r="BB1337" s="210"/>
      <c r="BC1337" s="210"/>
      <c r="BD1337" s="210"/>
      <c r="BE1337" s="210"/>
      <c r="BF1337" s="210"/>
      <c r="BG1337" s="210"/>
      <c r="BH1337" s="210"/>
      <c r="BI1337" s="210"/>
      <c r="BJ1337" s="210"/>
      <c r="BK1337" s="210"/>
      <c r="BL1337" s="210"/>
      <c r="BM1337" s="210"/>
      <c r="BN1337" s="210"/>
      <c r="BO1337" s="210"/>
      <c r="BP1337" s="210"/>
      <c r="BQ1337" s="210"/>
      <c r="BR1337" s="210"/>
      <c r="BS1337" s="210"/>
      <c r="BT1337" s="210"/>
      <c r="BU1337" s="210"/>
      <c r="BV1337" s="210"/>
      <c r="BW1337" s="210"/>
      <c r="BX1337" s="210"/>
      <c r="BY1337" s="210"/>
      <c r="BZ1337" s="210"/>
      <c r="CA1337" s="210"/>
      <c r="CB1337" s="210"/>
      <c r="CC1337" s="210"/>
      <c r="CD1337" s="210"/>
      <c r="CE1337" s="210"/>
      <c r="CF1337" s="210"/>
      <c r="CG1337" s="210"/>
      <c r="CH1337" s="210"/>
      <c r="CI1337" s="210"/>
      <c r="CJ1337" s="210"/>
      <c r="CK1337" s="210"/>
    </row>
    <row r="1338">
      <c r="A1338" s="220"/>
      <c r="F1338" s="190"/>
      <c r="G1338" s="190"/>
      <c r="L1338" s="220"/>
      <c r="M1338" s="220"/>
      <c r="O1338" s="210"/>
      <c r="P1338" s="210"/>
      <c r="Q1338" s="210"/>
      <c r="R1338" s="210"/>
      <c r="S1338" s="210"/>
      <c r="T1338" s="210"/>
      <c r="U1338" s="210"/>
      <c r="V1338" s="210"/>
      <c r="W1338" s="210"/>
      <c r="X1338" s="210"/>
      <c r="Y1338" s="210"/>
      <c r="Z1338" s="210"/>
      <c r="AA1338" s="210"/>
      <c r="AB1338" s="210"/>
      <c r="AC1338" s="210"/>
      <c r="AD1338" s="210"/>
      <c r="AE1338" s="210"/>
      <c r="AF1338" s="210"/>
      <c r="AG1338" s="210"/>
      <c r="AH1338" s="210"/>
      <c r="AI1338" s="210"/>
      <c r="AJ1338" s="210"/>
      <c r="AK1338" s="210"/>
      <c r="AL1338" s="210"/>
      <c r="AM1338" s="214"/>
      <c r="AN1338" s="210"/>
      <c r="AO1338" s="210"/>
      <c r="AP1338" s="210"/>
      <c r="AQ1338" s="210"/>
      <c r="AR1338" s="210"/>
      <c r="AS1338" s="210"/>
      <c r="AT1338" s="210"/>
      <c r="AU1338" s="210"/>
      <c r="AV1338" s="210"/>
      <c r="AW1338" s="210"/>
      <c r="AX1338" s="210"/>
      <c r="AY1338" s="210"/>
      <c r="AZ1338" s="210"/>
      <c r="BA1338" s="210"/>
      <c r="BB1338" s="210"/>
      <c r="BC1338" s="210"/>
      <c r="BD1338" s="210"/>
      <c r="BE1338" s="210"/>
      <c r="BF1338" s="210"/>
      <c r="BG1338" s="210"/>
      <c r="BH1338" s="210"/>
      <c r="BI1338" s="210"/>
      <c r="BJ1338" s="210"/>
      <c r="BK1338" s="210"/>
      <c r="BL1338" s="210"/>
      <c r="BM1338" s="210"/>
      <c r="BN1338" s="210"/>
      <c r="BO1338" s="210"/>
      <c r="BP1338" s="210"/>
      <c r="BQ1338" s="210"/>
      <c r="BR1338" s="210"/>
      <c r="BS1338" s="210"/>
      <c r="BT1338" s="210"/>
      <c r="BU1338" s="210"/>
      <c r="BV1338" s="210"/>
      <c r="BW1338" s="210"/>
      <c r="BX1338" s="210"/>
      <c r="BY1338" s="210"/>
      <c r="BZ1338" s="210"/>
      <c r="CA1338" s="210"/>
      <c r="CB1338" s="210"/>
      <c r="CC1338" s="210"/>
      <c r="CD1338" s="210"/>
      <c r="CE1338" s="210"/>
      <c r="CF1338" s="210"/>
      <c r="CG1338" s="210"/>
      <c r="CH1338" s="210"/>
      <c r="CI1338" s="210"/>
      <c r="CJ1338" s="210"/>
      <c r="CK1338" s="210"/>
    </row>
    <row r="1339">
      <c r="A1339" s="220"/>
      <c r="F1339" s="190"/>
      <c r="G1339" s="190"/>
      <c r="L1339" s="220"/>
      <c r="M1339" s="220"/>
      <c r="O1339" s="210"/>
      <c r="P1339" s="210"/>
      <c r="Q1339" s="210"/>
      <c r="R1339" s="210"/>
      <c r="S1339" s="210"/>
      <c r="T1339" s="210"/>
      <c r="U1339" s="210"/>
      <c r="V1339" s="210"/>
      <c r="W1339" s="210"/>
      <c r="X1339" s="210"/>
      <c r="Y1339" s="210"/>
      <c r="Z1339" s="210"/>
      <c r="AA1339" s="210"/>
      <c r="AB1339" s="210"/>
      <c r="AC1339" s="210"/>
      <c r="AD1339" s="210"/>
      <c r="AE1339" s="210"/>
      <c r="AF1339" s="210"/>
      <c r="AG1339" s="210"/>
      <c r="AH1339" s="210"/>
      <c r="AI1339" s="210"/>
      <c r="AJ1339" s="210"/>
      <c r="AK1339" s="210"/>
      <c r="AL1339" s="210"/>
      <c r="AM1339" s="214"/>
      <c r="AN1339" s="210"/>
      <c r="AO1339" s="210"/>
      <c r="AP1339" s="210"/>
      <c r="AQ1339" s="210"/>
      <c r="AR1339" s="210"/>
      <c r="AS1339" s="210"/>
      <c r="AT1339" s="210"/>
      <c r="AU1339" s="210"/>
      <c r="AV1339" s="210"/>
      <c r="AW1339" s="210"/>
      <c r="AX1339" s="210"/>
      <c r="AY1339" s="210"/>
      <c r="AZ1339" s="210"/>
      <c r="BA1339" s="210"/>
      <c r="BB1339" s="210"/>
      <c r="BC1339" s="210"/>
      <c r="BD1339" s="210"/>
      <c r="BE1339" s="210"/>
      <c r="BF1339" s="210"/>
      <c r="BG1339" s="210"/>
      <c r="BH1339" s="210"/>
      <c r="BI1339" s="210"/>
      <c r="BJ1339" s="210"/>
      <c r="BK1339" s="210"/>
      <c r="BL1339" s="210"/>
      <c r="BM1339" s="210"/>
      <c r="BN1339" s="210"/>
      <c r="BO1339" s="210"/>
      <c r="BP1339" s="210"/>
      <c r="BQ1339" s="210"/>
      <c r="BR1339" s="210"/>
      <c r="BS1339" s="210"/>
      <c r="BT1339" s="210"/>
      <c r="BU1339" s="210"/>
      <c r="BV1339" s="210"/>
      <c r="BW1339" s="210"/>
      <c r="BX1339" s="210"/>
      <c r="BY1339" s="210"/>
      <c r="BZ1339" s="210"/>
      <c r="CA1339" s="210"/>
      <c r="CB1339" s="210"/>
      <c r="CC1339" s="210"/>
      <c r="CD1339" s="210"/>
      <c r="CE1339" s="210"/>
      <c r="CF1339" s="210"/>
      <c r="CG1339" s="210"/>
      <c r="CH1339" s="210"/>
      <c r="CI1339" s="210"/>
      <c r="CJ1339" s="210"/>
      <c r="CK1339" s="210"/>
    </row>
    <row r="1340">
      <c r="A1340" s="220"/>
      <c r="F1340" s="190"/>
      <c r="G1340" s="190"/>
      <c r="L1340" s="220"/>
      <c r="M1340" s="220"/>
      <c r="O1340" s="210"/>
      <c r="P1340" s="210"/>
      <c r="Q1340" s="210"/>
      <c r="R1340" s="210"/>
      <c r="S1340" s="210"/>
      <c r="T1340" s="210"/>
      <c r="U1340" s="210"/>
      <c r="V1340" s="210"/>
      <c r="W1340" s="210"/>
      <c r="X1340" s="210"/>
      <c r="Y1340" s="210"/>
      <c r="Z1340" s="210"/>
      <c r="AA1340" s="210"/>
      <c r="AB1340" s="210"/>
      <c r="AC1340" s="210"/>
      <c r="AD1340" s="210"/>
      <c r="AE1340" s="210"/>
      <c r="AF1340" s="210"/>
      <c r="AG1340" s="210"/>
      <c r="AH1340" s="210"/>
      <c r="AI1340" s="210"/>
      <c r="AJ1340" s="210"/>
      <c r="AK1340" s="210"/>
      <c r="AL1340" s="210"/>
      <c r="AM1340" s="214"/>
      <c r="AN1340" s="210"/>
      <c r="AO1340" s="210"/>
      <c r="AP1340" s="210"/>
      <c r="AQ1340" s="210"/>
      <c r="AR1340" s="210"/>
      <c r="AS1340" s="210"/>
      <c r="AT1340" s="210"/>
      <c r="AU1340" s="210"/>
      <c r="AV1340" s="210"/>
      <c r="AW1340" s="210"/>
      <c r="AX1340" s="210"/>
      <c r="AY1340" s="210"/>
      <c r="AZ1340" s="210"/>
      <c r="BA1340" s="210"/>
      <c r="BB1340" s="210"/>
      <c r="BC1340" s="210"/>
      <c r="BD1340" s="210"/>
      <c r="BE1340" s="210"/>
      <c r="BF1340" s="210"/>
      <c r="BG1340" s="210"/>
      <c r="BH1340" s="210"/>
      <c r="BI1340" s="210"/>
      <c r="BJ1340" s="210"/>
      <c r="BK1340" s="210"/>
      <c r="BL1340" s="210"/>
      <c r="BM1340" s="210"/>
      <c r="BN1340" s="210"/>
      <c r="BO1340" s="210"/>
      <c r="BP1340" s="210"/>
      <c r="BQ1340" s="210"/>
      <c r="BR1340" s="210"/>
      <c r="BS1340" s="210"/>
      <c r="BT1340" s="210"/>
      <c r="BU1340" s="210"/>
      <c r="BV1340" s="210"/>
      <c r="BW1340" s="210"/>
      <c r="BX1340" s="210"/>
      <c r="BY1340" s="210"/>
      <c r="BZ1340" s="210"/>
      <c r="CA1340" s="210"/>
      <c r="CB1340" s="210"/>
      <c r="CC1340" s="210"/>
      <c r="CD1340" s="210"/>
      <c r="CE1340" s="210"/>
      <c r="CF1340" s="210"/>
      <c r="CG1340" s="210"/>
      <c r="CH1340" s="210"/>
      <c r="CI1340" s="210"/>
      <c r="CJ1340" s="210"/>
      <c r="CK1340" s="210"/>
    </row>
    <row r="1341">
      <c r="A1341" s="220"/>
      <c r="F1341" s="190"/>
      <c r="G1341" s="190"/>
      <c r="L1341" s="220"/>
      <c r="M1341" s="220"/>
      <c r="O1341" s="210"/>
      <c r="P1341" s="210"/>
      <c r="Q1341" s="210"/>
      <c r="R1341" s="210"/>
      <c r="S1341" s="210"/>
      <c r="T1341" s="210"/>
      <c r="U1341" s="210"/>
      <c r="V1341" s="210"/>
      <c r="W1341" s="210"/>
      <c r="X1341" s="210"/>
      <c r="Y1341" s="210"/>
      <c r="Z1341" s="210"/>
      <c r="AA1341" s="210"/>
      <c r="AB1341" s="210"/>
      <c r="AC1341" s="210"/>
      <c r="AD1341" s="210"/>
      <c r="AE1341" s="210"/>
      <c r="AF1341" s="210"/>
      <c r="AG1341" s="210"/>
      <c r="AH1341" s="210"/>
      <c r="AI1341" s="210"/>
      <c r="AJ1341" s="210"/>
      <c r="AK1341" s="210"/>
      <c r="AL1341" s="210"/>
      <c r="AM1341" s="214"/>
      <c r="AN1341" s="210"/>
      <c r="AO1341" s="210"/>
      <c r="AP1341" s="210"/>
      <c r="AQ1341" s="210"/>
      <c r="AR1341" s="210"/>
      <c r="AS1341" s="210"/>
      <c r="AT1341" s="210"/>
      <c r="AU1341" s="210"/>
      <c r="AV1341" s="210"/>
      <c r="AW1341" s="210"/>
      <c r="AX1341" s="210"/>
      <c r="AY1341" s="210"/>
      <c r="AZ1341" s="210"/>
      <c r="BA1341" s="210"/>
      <c r="BB1341" s="210"/>
      <c r="BC1341" s="210"/>
      <c r="BD1341" s="210"/>
      <c r="BE1341" s="210"/>
      <c r="BF1341" s="210"/>
      <c r="BG1341" s="210"/>
      <c r="BH1341" s="210"/>
      <c r="BI1341" s="210"/>
      <c r="BJ1341" s="210"/>
      <c r="BK1341" s="210"/>
      <c r="BL1341" s="210"/>
      <c r="BM1341" s="210"/>
      <c r="BN1341" s="210"/>
      <c r="BO1341" s="210"/>
      <c r="BP1341" s="210"/>
      <c r="BQ1341" s="210"/>
      <c r="BR1341" s="210"/>
      <c r="BS1341" s="210"/>
      <c r="BT1341" s="210"/>
      <c r="BU1341" s="210"/>
      <c r="BV1341" s="210"/>
      <c r="BW1341" s="210"/>
      <c r="BX1341" s="210"/>
      <c r="BY1341" s="210"/>
      <c r="BZ1341" s="210"/>
      <c r="CA1341" s="210"/>
      <c r="CB1341" s="210"/>
      <c r="CC1341" s="210"/>
      <c r="CD1341" s="210"/>
      <c r="CE1341" s="210"/>
      <c r="CF1341" s="210"/>
      <c r="CG1341" s="210"/>
      <c r="CH1341" s="210"/>
      <c r="CI1341" s="210"/>
      <c r="CJ1341" s="210"/>
      <c r="CK1341" s="210"/>
    </row>
    <row r="1342">
      <c r="A1342" s="220"/>
      <c r="F1342" s="190"/>
      <c r="G1342" s="190"/>
      <c r="L1342" s="220"/>
      <c r="M1342" s="220"/>
      <c r="O1342" s="210"/>
      <c r="P1342" s="210"/>
      <c r="Q1342" s="210"/>
      <c r="R1342" s="210"/>
      <c r="S1342" s="210"/>
      <c r="T1342" s="210"/>
      <c r="U1342" s="210"/>
      <c r="V1342" s="210"/>
      <c r="W1342" s="210"/>
      <c r="X1342" s="210"/>
      <c r="Y1342" s="210"/>
      <c r="Z1342" s="210"/>
      <c r="AA1342" s="210"/>
      <c r="AB1342" s="210"/>
      <c r="AC1342" s="210"/>
      <c r="AD1342" s="210"/>
      <c r="AE1342" s="210"/>
      <c r="AF1342" s="210"/>
      <c r="AG1342" s="210"/>
      <c r="AH1342" s="210"/>
      <c r="AI1342" s="210"/>
      <c r="AJ1342" s="210"/>
      <c r="AK1342" s="210"/>
      <c r="AL1342" s="210"/>
      <c r="AM1342" s="214"/>
      <c r="AN1342" s="210"/>
      <c r="AO1342" s="210"/>
      <c r="AP1342" s="210"/>
      <c r="AQ1342" s="210"/>
      <c r="AR1342" s="210"/>
      <c r="AS1342" s="210"/>
      <c r="AT1342" s="210"/>
      <c r="AU1342" s="210"/>
      <c r="AV1342" s="210"/>
      <c r="AW1342" s="210"/>
      <c r="AX1342" s="210"/>
      <c r="AY1342" s="210"/>
      <c r="AZ1342" s="210"/>
      <c r="BA1342" s="210"/>
      <c r="BB1342" s="210"/>
      <c r="BC1342" s="210"/>
      <c r="BD1342" s="210"/>
      <c r="BE1342" s="210"/>
      <c r="BF1342" s="210"/>
      <c r="BG1342" s="210"/>
      <c r="BH1342" s="210"/>
      <c r="BI1342" s="210"/>
      <c r="BJ1342" s="210"/>
      <c r="BK1342" s="210"/>
      <c r="BL1342" s="210"/>
      <c r="BM1342" s="210"/>
      <c r="BN1342" s="210"/>
      <c r="BO1342" s="210"/>
      <c r="BP1342" s="210"/>
      <c r="BQ1342" s="210"/>
      <c r="BR1342" s="210"/>
      <c r="BS1342" s="210"/>
      <c r="BT1342" s="210"/>
      <c r="BU1342" s="210"/>
      <c r="BV1342" s="210"/>
      <c r="BW1342" s="210"/>
      <c r="BX1342" s="210"/>
      <c r="BY1342" s="210"/>
      <c r="BZ1342" s="210"/>
      <c r="CA1342" s="210"/>
      <c r="CB1342" s="210"/>
      <c r="CC1342" s="210"/>
      <c r="CD1342" s="210"/>
      <c r="CE1342" s="210"/>
      <c r="CF1342" s="210"/>
      <c r="CG1342" s="210"/>
      <c r="CH1342" s="210"/>
      <c r="CI1342" s="210"/>
      <c r="CJ1342" s="210"/>
      <c r="CK1342" s="210"/>
    </row>
    <row r="1343">
      <c r="A1343" s="220"/>
      <c r="F1343" s="190"/>
      <c r="G1343" s="190"/>
      <c r="L1343" s="220"/>
      <c r="M1343" s="220"/>
      <c r="O1343" s="210"/>
      <c r="P1343" s="210"/>
      <c r="Q1343" s="210"/>
      <c r="R1343" s="210"/>
      <c r="S1343" s="210"/>
      <c r="T1343" s="210"/>
      <c r="U1343" s="210"/>
      <c r="V1343" s="210"/>
      <c r="W1343" s="210"/>
      <c r="X1343" s="210"/>
      <c r="Y1343" s="210"/>
      <c r="Z1343" s="210"/>
      <c r="AA1343" s="210"/>
      <c r="AB1343" s="210"/>
      <c r="AC1343" s="210"/>
      <c r="AD1343" s="210"/>
      <c r="AE1343" s="210"/>
      <c r="AF1343" s="210"/>
      <c r="AG1343" s="210"/>
      <c r="AH1343" s="210"/>
      <c r="AI1343" s="210"/>
      <c r="AJ1343" s="210"/>
      <c r="AK1343" s="210"/>
      <c r="AL1343" s="210"/>
      <c r="AM1343" s="214"/>
      <c r="AN1343" s="210"/>
      <c r="AO1343" s="210"/>
      <c r="AP1343" s="210"/>
      <c r="AQ1343" s="210"/>
      <c r="AR1343" s="210"/>
      <c r="AS1343" s="210"/>
      <c r="AT1343" s="210"/>
      <c r="AU1343" s="210"/>
      <c r="AV1343" s="210"/>
      <c r="AW1343" s="210"/>
      <c r="AX1343" s="210"/>
      <c r="AY1343" s="210"/>
      <c r="AZ1343" s="210"/>
      <c r="BA1343" s="210"/>
      <c r="BB1343" s="210"/>
      <c r="BC1343" s="210"/>
      <c r="BD1343" s="210"/>
      <c r="BE1343" s="210"/>
      <c r="BF1343" s="210"/>
      <c r="BG1343" s="210"/>
      <c r="BH1343" s="210"/>
      <c r="BI1343" s="210"/>
      <c r="BJ1343" s="210"/>
      <c r="BK1343" s="210"/>
      <c r="BL1343" s="210"/>
      <c r="BM1343" s="210"/>
      <c r="BN1343" s="210"/>
      <c r="BO1343" s="210"/>
      <c r="BP1343" s="210"/>
      <c r="BQ1343" s="210"/>
      <c r="BR1343" s="210"/>
      <c r="BS1343" s="210"/>
      <c r="BT1343" s="210"/>
      <c r="BU1343" s="210"/>
      <c r="BV1343" s="210"/>
      <c r="BW1343" s="210"/>
      <c r="BX1343" s="210"/>
      <c r="BY1343" s="210"/>
      <c r="BZ1343" s="210"/>
      <c r="CA1343" s="210"/>
      <c r="CB1343" s="210"/>
      <c r="CC1343" s="210"/>
      <c r="CD1343" s="210"/>
      <c r="CE1343" s="210"/>
      <c r="CF1343" s="210"/>
      <c r="CG1343" s="210"/>
      <c r="CH1343" s="210"/>
      <c r="CI1343" s="210"/>
      <c r="CJ1343" s="210"/>
      <c r="CK1343" s="210"/>
    </row>
    <row r="1344">
      <c r="A1344" s="220"/>
      <c r="F1344" s="190"/>
      <c r="G1344" s="190"/>
      <c r="L1344" s="220"/>
      <c r="M1344" s="220"/>
      <c r="O1344" s="210"/>
      <c r="P1344" s="210"/>
      <c r="Q1344" s="210"/>
      <c r="R1344" s="210"/>
      <c r="S1344" s="210"/>
      <c r="T1344" s="210"/>
      <c r="U1344" s="210"/>
      <c r="V1344" s="210"/>
      <c r="W1344" s="210"/>
      <c r="X1344" s="210"/>
      <c r="Y1344" s="210"/>
      <c r="Z1344" s="210"/>
      <c r="AA1344" s="210"/>
      <c r="AB1344" s="210"/>
      <c r="AC1344" s="210"/>
      <c r="AD1344" s="210"/>
      <c r="AE1344" s="210"/>
      <c r="AF1344" s="210"/>
      <c r="AG1344" s="210"/>
      <c r="AH1344" s="210"/>
      <c r="AI1344" s="210"/>
      <c r="AJ1344" s="210"/>
      <c r="AK1344" s="210"/>
      <c r="AL1344" s="210"/>
      <c r="AM1344" s="214"/>
      <c r="AN1344" s="210"/>
      <c r="AO1344" s="210"/>
      <c r="AP1344" s="210"/>
      <c r="AQ1344" s="210"/>
      <c r="AR1344" s="210"/>
      <c r="AS1344" s="210"/>
      <c r="AT1344" s="210"/>
      <c r="AU1344" s="210"/>
      <c r="AV1344" s="210"/>
      <c r="AW1344" s="210"/>
      <c r="AX1344" s="210"/>
      <c r="AY1344" s="210"/>
      <c r="AZ1344" s="210"/>
      <c r="BA1344" s="210"/>
      <c r="BB1344" s="210"/>
      <c r="BC1344" s="210"/>
      <c r="BD1344" s="210"/>
      <c r="BE1344" s="210"/>
      <c r="BF1344" s="210"/>
      <c r="BG1344" s="210"/>
      <c r="BH1344" s="210"/>
      <c r="BI1344" s="210"/>
      <c r="BJ1344" s="210"/>
      <c r="BK1344" s="210"/>
      <c r="BL1344" s="210"/>
      <c r="BM1344" s="210"/>
      <c r="BN1344" s="210"/>
      <c r="BO1344" s="210"/>
      <c r="BP1344" s="210"/>
      <c r="BQ1344" s="210"/>
      <c r="BR1344" s="210"/>
      <c r="BS1344" s="210"/>
      <c r="BT1344" s="210"/>
      <c r="BU1344" s="210"/>
      <c r="BV1344" s="210"/>
      <c r="BW1344" s="210"/>
      <c r="BX1344" s="210"/>
      <c r="BY1344" s="210"/>
      <c r="BZ1344" s="210"/>
      <c r="CA1344" s="210"/>
      <c r="CB1344" s="210"/>
      <c r="CC1344" s="210"/>
      <c r="CD1344" s="210"/>
      <c r="CE1344" s="210"/>
      <c r="CF1344" s="210"/>
      <c r="CG1344" s="210"/>
      <c r="CH1344" s="210"/>
      <c r="CI1344" s="210"/>
      <c r="CJ1344" s="210"/>
      <c r="CK1344" s="210"/>
    </row>
    <row r="1345">
      <c r="A1345" s="220"/>
      <c r="F1345" s="190"/>
      <c r="G1345" s="190"/>
      <c r="L1345" s="220"/>
      <c r="M1345" s="220"/>
      <c r="O1345" s="210"/>
      <c r="P1345" s="210"/>
      <c r="Q1345" s="210"/>
      <c r="R1345" s="210"/>
      <c r="S1345" s="210"/>
      <c r="T1345" s="210"/>
      <c r="U1345" s="210"/>
      <c r="V1345" s="210"/>
      <c r="W1345" s="210"/>
      <c r="X1345" s="210"/>
      <c r="Y1345" s="210"/>
      <c r="Z1345" s="210"/>
      <c r="AA1345" s="210"/>
      <c r="AB1345" s="210"/>
      <c r="AC1345" s="210"/>
      <c r="AD1345" s="210"/>
      <c r="AE1345" s="210"/>
      <c r="AF1345" s="210"/>
      <c r="AG1345" s="210"/>
      <c r="AH1345" s="210"/>
      <c r="AI1345" s="210"/>
      <c r="AJ1345" s="210"/>
      <c r="AK1345" s="210"/>
      <c r="AL1345" s="210"/>
      <c r="AM1345" s="214"/>
      <c r="AN1345" s="210"/>
      <c r="AO1345" s="210"/>
      <c r="AP1345" s="210"/>
      <c r="AQ1345" s="210"/>
      <c r="AR1345" s="210"/>
      <c r="AS1345" s="210"/>
      <c r="AT1345" s="210"/>
      <c r="AU1345" s="210"/>
      <c r="AV1345" s="210"/>
      <c r="AW1345" s="210"/>
      <c r="AX1345" s="210"/>
      <c r="AY1345" s="210"/>
      <c r="AZ1345" s="210"/>
      <c r="BA1345" s="210"/>
      <c r="BB1345" s="210"/>
      <c r="BC1345" s="210"/>
      <c r="BD1345" s="210"/>
      <c r="BE1345" s="210"/>
      <c r="BF1345" s="210"/>
      <c r="BG1345" s="210"/>
      <c r="BH1345" s="210"/>
      <c r="BI1345" s="210"/>
      <c r="BJ1345" s="210"/>
      <c r="BK1345" s="210"/>
      <c r="BL1345" s="210"/>
      <c r="BM1345" s="210"/>
      <c r="BN1345" s="210"/>
      <c r="BO1345" s="210"/>
      <c r="BP1345" s="210"/>
      <c r="BQ1345" s="210"/>
      <c r="BR1345" s="210"/>
      <c r="BS1345" s="210"/>
      <c r="BT1345" s="210"/>
      <c r="BU1345" s="210"/>
      <c r="BV1345" s="210"/>
      <c r="BW1345" s="210"/>
      <c r="BX1345" s="210"/>
      <c r="BY1345" s="210"/>
      <c r="BZ1345" s="210"/>
      <c r="CA1345" s="210"/>
      <c r="CB1345" s="210"/>
      <c r="CC1345" s="210"/>
      <c r="CD1345" s="210"/>
      <c r="CE1345" s="210"/>
      <c r="CF1345" s="210"/>
      <c r="CG1345" s="210"/>
      <c r="CH1345" s="210"/>
      <c r="CI1345" s="210"/>
      <c r="CJ1345" s="210"/>
      <c r="CK1345" s="210"/>
    </row>
    <row r="1346">
      <c r="A1346" s="220"/>
      <c r="F1346" s="190"/>
      <c r="G1346" s="190"/>
      <c r="L1346" s="220"/>
      <c r="M1346" s="220"/>
      <c r="O1346" s="210"/>
      <c r="P1346" s="210"/>
      <c r="Q1346" s="210"/>
      <c r="R1346" s="210"/>
      <c r="S1346" s="210"/>
      <c r="T1346" s="210"/>
      <c r="U1346" s="210"/>
      <c r="V1346" s="210"/>
      <c r="W1346" s="210"/>
      <c r="X1346" s="210"/>
      <c r="Y1346" s="210"/>
      <c r="Z1346" s="210"/>
      <c r="AA1346" s="210"/>
      <c r="AB1346" s="210"/>
      <c r="AC1346" s="210"/>
      <c r="AD1346" s="210"/>
      <c r="AE1346" s="210"/>
      <c r="AF1346" s="210"/>
      <c r="AG1346" s="210"/>
      <c r="AH1346" s="210"/>
      <c r="AI1346" s="210"/>
      <c r="AJ1346" s="210"/>
      <c r="AK1346" s="210"/>
      <c r="AL1346" s="210"/>
      <c r="AM1346" s="214"/>
      <c r="AN1346" s="210"/>
      <c r="AO1346" s="210"/>
      <c r="AP1346" s="210"/>
      <c r="AQ1346" s="210"/>
      <c r="AR1346" s="210"/>
      <c r="AS1346" s="210"/>
      <c r="AT1346" s="210"/>
      <c r="AU1346" s="210"/>
      <c r="AV1346" s="210"/>
      <c r="AW1346" s="210"/>
      <c r="AX1346" s="210"/>
      <c r="AY1346" s="210"/>
      <c r="AZ1346" s="210"/>
      <c r="BA1346" s="210"/>
      <c r="BB1346" s="210"/>
      <c r="BC1346" s="210"/>
      <c r="BD1346" s="210"/>
      <c r="BE1346" s="210"/>
      <c r="BF1346" s="210"/>
      <c r="BG1346" s="210"/>
      <c r="BH1346" s="210"/>
      <c r="BI1346" s="210"/>
      <c r="BJ1346" s="210"/>
      <c r="BK1346" s="210"/>
      <c r="BL1346" s="210"/>
      <c r="BM1346" s="210"/>
      <c r="BN1346" s="210"/>
      <c r="BO1346" s="210"/>
      <c r="BP1346" s="210"/>
      <c r="BQ1346" s="210"/>
      <c r="BR1346" s="210"/>
      <c r="BS1346" s="210"/>
      <c r="BT1346" s="210"/>
      <c r="BU1346" s="210"/>
      <c r="BV1346" s="210"/>
      <c r="BW1346" s="210"/>
      <c r="BX1346" s="210"/>
      <c r="BY1346" s="210"/>
      <c r="BZ1346" s="210"/>
      <c r="CA1346" s="210"/>
      <c r="CB1346" s="210"/>
      <c r="CC1346" s="210"/>
      <c r="CD1346" s="210"/>
      <c r="CE1346" s="210"/>
      <c r="CF1346" s="210"/>
      <c r="CG1346" s="210"/>
      <c r="CH1346" s="210"/>
      <c r="CI1346" s="210"/>
      <c r="CJ1346" s="210"/>
      <c r="CK1346" s="210"/>
    </row>
    <row r="1347">
      <c r="A1347" s="220"/>
      <c r="F1347" s="190"/>
      <c r="G1347" s="190"/>
      <c r="L1347" s="220"/>
      <c r="M1347" s="220"/>
      <c r="O1347" s="210"/>
      <c r="P1347" s="210"/>
      <c r="Q1347" s="210"/>
      <c r="R1347" s="210"/>
      <c r="S1347" s="210"/>
      <c r="T1347" s="210"/>
      <c r="U1347" s="210"/>
      <c r="V1347" s="210"/>
      <c r="W1347" s="210"/>
      <c r="X1347" s="210"/>
      <c r="Y1347" s="210"/>
      <c r="Z1347" s="210"/>
      <c r="AA1347" s="210"/>
      <c r="AB1347" s="210"/>
      <c r="AC1347" s="210"/>
      <c r="AD1347" s="210"/>
      <c r="AE1347" s="210"/>
      <c r="AF1347" s="210"/>
      <c r="AG1347" s="210"/>
      <c r="AH1347" s="210"/>
      <c r="AI1347" s="210"/>
      <c r="AJ1347" s="210"/>
      <c r="AK1347" s="210"/>
      <c r="AL1347" s="210"/>
      <c r="AM1347" s="214"/>
      <c r="AN1347" s="210"/>
      <c r="AO1347" s="210"/>
      <c r="AP1347" s="210"/>
      <c r="AQ1347" s="210"/>
      <c r="AR1347" s="210"/>
      <c r="AS1347" s="210"/>
      <c r="AT1347" s="210"/>
      <c r="AU1347" s="210"/>
      <c r="AV1347" s="210"/>
      <c r="AW1347" s="210"/>
      <c r="AX1347" s="210"/>
      <c r="AY1347" s="210"/>
      <c r="AZ1347" s="210"/>
      <c r="BA1347" s="210"/>
      <c r="BB1347" s="210"/>
      <c r="BC1347" s="210"/>
      <c r="BD1347" s="210"/>
      <c r="BE1347" s="210"/>
      <c r="BF1347" s="210"/>
      <c r="BG1347" s="210"/>
      <c r="BH1347" s="210"/>
      <c r="BI1347" s="210"/>
      <c r="BJ1347" s="210"/>
      <c r="BK1347" s="210"/>
      <c r="BL1347" s="210"/>
      <c r="BM1347" s="210"/>
      <c r="BN1347" s="210"/>
      <c r="BO1347" s="210"/>
      <c r="BP1347" s="210"/>
      <c r="BQ1347" s="210"/>
      <c r="BR1347" s="210"/>
      <c r="BS1347" s="210"/>
      <c r="BT1347" s="210"/>
      <c r="BU1347" s="210"/>
      <c r="BV1347" s="210"/>
      <c r="BW1347" s="210"/>
      <c r="BX1347" s="210"/>
      <c r="BY1347" s="210"/>
      <c r="BZ1347" s="210"/>
      <c r="CA1347" s="210"/>
      <c r="CB1347" s="210"/>
      <c r="CC1347" s="210"/>
      <c r="CD1347" s="210"/>
      <c r="CE1347" s="210"/>
      <c r="CF1347" s="210"/>
      <c r="CG1347" s="210"/>
      <c r="CH1347" s="210"/>
      <c r="CI1347" s="210"/>
      <c r="CJ1347" s="210"/>
      <c r="CK1347" s="210"/>
    </row>
    <row r="1348">
      <c r="A1348" s="220"/>
      <c r="F1348" s="190"/>
      <c r="G1348" s="190"/>
      <c r="L1348" s="220"/>
      <c r="M1348" s="220"/>
      <c r="O1348" s="210"/>
      <c r="P1348" s="210"/>
      <c r="Q1348" s="210"/>
      <c r="R1348" s="210"/>
      <c r="S1348" s="210"/>
      <c r="T1348" s="210"/>
      <c r="U1348" s="210"/>
      <c r="V1348" s="210"/>
      <c r="W1348" s="210"/>
      <c r="X1348" s="210"/>
      <c r="Y1348" s="210"/>
      <c r="Z1348" s="210"/>
      <c r="AA1348" s="210"/>
      <c r="AB1348" s="210"/>
      <c r="AC1348" s="210"/>
      <c r="AD1348" s="210"/>
      <c r="AE1348" s="210"/>
      <c r="AF1348" s="210"/>
      <c r="AG1348" s="210"/>
      <c r="AH1348" s="210"/>
      <c r="AI1348" s="210"/>
      <c r="AJ1348" s="210"/>
      <c r="AK1348" s="210"/>
      <c r="AL1348" s="210"/>
      <c r="AM1348" s="214"/>
      <c r="AN1348" s="210"/>
      <c r="AO1348" s="210"/>
      <c r="AP1348" s="210"/>
      <c r="AQ1348" s="210"/>
      <c r="AR1348" s="210"/>
      <c r="AS1348" s="210"/>
      <c r="AT1348" s="210"/>
      <c r="AU1348" s="210"/>
      <c r="AV1348" s="210"/>
      <c r="AW1348" s="210"/>
      <c r="AX1348" s="210"/>
      <c r="AY1348" s="210"/>
      <c r="AZ1348" s="210"/>
      <c r="BA1348" s="210"/>
      <c r="BB1348" s="210"/>
      <c r="BC1348" s="210"/>
      <c r="BD1348" s="210"/>
      <c r="BE1348" s="210"/>
      <c r="BF1348" s="210"/>
      <c r="BG1348" s="210"/>
      <c r="BH1348" s="210"/>
      <c r="BI1348" s="210"/>
      <c r="BJ1348" s="210"/>
      <c r="BK1348" s="210"/>
      <c r="BL1348" s="210"/>
      <c r="BM1348" s="210"/>
      <c r="BN1348" s="210"/>
      <c r="BO1348" s="210"/>
      <c r="BP1348" s="210"/>
      <c r="BQ1348" s="210"/>
      <c r="BR1348" s="210"/>
      <c r="BS1348" s="210"/>
      <c r="BT1348" s="210"/>
      <c r="BU1348" s="210"/>
      <c r="BV1348" s="210"/>
      <c r="BW1348" s="210"/>
      <c r="BX1348" s="210"/>
      <c r="BY1348" s="210"/>
      <c r="BZ1348" s="210"/>
      <c r="CA1348" s="210"/>
      <c r="CB1348" s="210"/>
      <c r="CC1348" s="210"/>
      <c r="CD1348" s="210"/>
      <c r="CE1348" s="210"/>
      <c r="CF1348" s="210"/>
      <c r="CG1348" s="210"/>
      <c r="CH1348" s="210"/>
      <c r="CI1348" s="210"/>
      <c r="CJ1348" s="210"/>
      <c r="CK1348" s="210"/>
    </row>
    <row r="1349">
      <c r="A1349" s="220"/>
      <c r="F1349" s="190"/>
      <c r="G1349" s="190"/>
      <c r="L1349" s="220"/>
      <c r="M1349" s="220"/>
      <c r="O1349" s="210"/>
      <c r="P1349" s="210"/>
      <c r="Q1349" s="210"/>
      <c r="R1349" s="210"/>
      <c r="S1349" s="210"/>
      <c r="T1349" s="210"/>
      <c r="U1349" s="210"/>
      <c r="V1349" s="210"/>
      <c r="W1349" s="210"/>
      <c r="X1349" s="210"/>
      <c r="Y1349" s="210"/>
      <c r="Z1349" s="210"/>
      <c r="AA1349" s="210"/>
      <c r="AB1349" s="210"/>
      <c r="AC1349" s="210"/>
      <c r="AD1349" s="210"/>
      <c r="AE1349" s="210"/>
      <c r="AF1349" s="210"/>
      <c r="AG1349" s="210"/>
      <c r="AH1349" s="210"/>
      <c r="AI1349" s="210"/>
      <c r="AJ1349" s="210"/>
      <c r="AK1349" s="210"/>
      <c r="AL1349" s="210"/>
      <c r="AM1349" s="214"/>
      <c r="AN1349" s="210"/>
      <c r="AO1349" s="210"/>
      <c r="AP1349" s="210"/>
      <c r="AQ1349" s="210"/>
      <c r="AR1349" s="210"/>
      <c r="AS1349" s="210"/>
      <c r="AT1349" s="210"/>
      <c r="AU1349" s="210"/>
      <c r="AV1349" s="210"/>
      <c r="AW1349" s="210"/>
      <c r="AX1349" s="210"/>
      <c r="AY1349" s="210"/>
      <c r="AZ1349" s="210"/>
      <c r="BA1349" s="210"/>
      <c r="BB1349" s="210"/>
      <c r="BC1349" s="210"/>
      <c r="BD1349" s="210"/>
      <c r="BE1349" s="210"/>
      <c r="BF1349" s="210"/>
      <c r="BG1349" s="210"/>
      <c r="BH1349" s="210"/>
      <c r="BI1349" s="210"/>
      <c r="BJ1349" s="210"/>
      <c r="BK1349" s="210"/>
      <c r="BL1349" s="210"/>
      <c r="BM1349" s="210"/>
      <c r="BN1349" s="210"/>
      <c r="BO1349" s="210"/>
      <c r="BP1349" s="210"/>
      <c r="BQ1349" s="210"/>
      <c r="BR1349" s="210"/>
      <c r="BS1349" s="210"/>
      <c r="BT1349" s="210"/>
      <c r="BU1349" s="210"/>
      <c r="BV1349" s="210"/>
      <c r="BW1349" s="210"/>
      <c r="BX1349" s="210"/>
      <c r="BY1349" s="210"/>
      <c r="BZ1349" s="210"/>
      <c r="CA1349" s="210"/>
      <c r="CB1349" s="210"/>
      <c r="CC1349" s="210"/>
      <c r="CD1349" s="210"/>
      <c r="CE1349" s="210"/>
      <c r="CF1349" s="210"/>
      <c r="CG1349" s="210"/>
      <c r="CH1349" s="210"/>
      <c r="CI1349" s="210"/>
      <c r="CJ1349" s="210"/>
      <c r="CK1349" s="210"/>
    </row>
    <row r="1350">
      <c r="A1350" s="220"/>
      <c r="F1350" s="190"/>
      <c r="G1350" s="190"/>
      <c r="L1350" s="220"/>
      <c r="M1350" s="220"/>
      <c r="O1350" s="210"/>
      <c r="P1350" s="210"/>
      <c r="Q1350" s="210"/>
      <c r="R1350" s="210"/>
      <c r="S1350" s="210"/>
      <c r="T1350" s="210"/>
      <c r="U1350" s="210"/>
      <c r="V1350" s="210"/>
      <c r="W1350" s="210"/>
      <c r="X1350" s="210"/>
      <c r="Y1350" s="210"/>
      <c r="Z1350" s="210"/>
      <c r="AA1350" s="210"/>
      <c r="AB1350" s="210"/>
      <c r="AC1350" s="210"/>
      <c r="AD1350" s="210"/>
      <c r="AE1350" s="210"/>
      <c r="AF1350" s="210"/>
      <c r="AG1350" s="210"/>
      <c r="AH1350" s="210"/>
      <c r="AI1350" s="210"/>
      <c r="AJ1350" s="210"/>
      <c r="AK1350" s="210"/>
      <c r="AL1350" s="210"/>
      <c r="AM1350" s="214"/>
      <c r="AN1350" s="210"/>
      <c r="AO1350" s="210"/>
      <c r="AP1350" s="210"/>
      <c r="AQ1350" s="210"/>
      <c r="AR1350" s="210"/>
      <c r="AS1350" s="210"/>
      <c r="AT1350" s="210"/>
      <c r="AU1350" s="210"/>
      <c r="AV1350" s="210"/>
      <c r="AW1350" s="210"/>
      <c r="AX1350" s="210"/>
      <c r="AY1350" s="210"/>
      <c r="AZ1350" s="210"/>
      <c r="BA1350" s="210"/>
      <c r="BB1350" s="210"/>
      <c r="BC1350" s="210"/>
      <c r="BD1350" s="210"/>
      <c r="BE1350" s="210"/>
      <c r="BF1350" s="210"/>
      <c r="BG1350" s="210"/>
      <c r="BH1350" s="210"/>
      <c r="BI1350" s="210"/>
      <c r="BJ1350" s="210"/>
      <c r="BK1350" s="210"/>
      <c r="BL1350" s="210"/>
      <c r="BM1350" s="210"/>
      <c r="BN1350" s="210"/>
      <c r="BO1350" s="210"/>
      <c r="BP1350" s="210"/>
      <c r="BQ1350" s="210"/>
      <c r="BR1350" s="210"/>
      <c r="BS1350" s="210"/>
      <c r="BT1350" s="210"/>
      <c r="BU1350" s="210"/>
      <c r="BV1350" s="210"/>
      <c r="BW1350" s="210"/>
      <c r="BX1350" s="210"/>
      <c r="BY1350" s="210"/>
      <c r="BZ1350" s="210"/>
      <c r="CA1350" s="210"/>
      <c r="CB1350" s="210"/>
      <c r="CC1350" s="210"/>
      <c r="CD1350" s="210"/>
      <c r="CE1350" s="210"/>
      <c r="CF1350" s="210"/>
      <c r="CG1350" s="210"/>
      <c r="CH1350" s="210"/>
      <c r="CI1350" s="210"/>
      <c r="CJ1350" s="210"/>
      <c r="CK1350" s="210"/>
    </row>
    <row r="1351">
      <c r="A1351" s="220"/>
      <c r="F1351" s="190"/>
      <c r="G1351" s="190"/>
      <c r="L1351" s="220"/>
      <c r="M1351" s="220"/>
      <c r="O1351" s="210"/>
      <c r="P1351" s="210"/>
      <c r="Q1351" s="210"/>
      <c r="R1351" s="210"/>
      <c r="S1351" s="210"/>
      <c r="T1351" s="210"/>
      <c r="U1351" s="210"/>
      <c r="V1351" s="210"/>
      <c r="W1351" s="210"/>
      <c r="X1351" s="210"/>
      <c r="Y1351" s="210"/>
      <c r="Z1351" s="210"/>
      <c r="AA1351" s="210"/>
      <c r="AB1351" s="210"/>
      <c r="AC1351" s="210"/>
      <c r="AD1351" s="210"/>
      <c r="AE1351" s="210"/>
      <c r="AF1351" s="210"/>
      <c r="AG1351" s="210"/>
      <c r="AH1351" s="210"/>
      <c r="AI1351" s="210"/>
      <c r="AJ1351" s="210"/>
      <c r="AK1351" s="210"/>
      <c r="AL1351" s="210"/>
      <c r="AM1351" s="214"/>
      <c r="AN1351" s="210"/>
      <c r="AO1351" s="210"/>
      <c r="AP1351" s="210"/>
      <c r="AQ1351" s="210"/>
      <c r="AR1351" s="210"/>
      <c r="AS1351" s="210"/>
      <c r="AT1351" s="210"/>
      <c r="AU1351" s="210"/>
      <c r="AV1351" s="210"/>
      <c r="AW1351" s="210"/>
      <c r="AX1351" s="210"/>
      <c r="AY1351" s="210"/>
      <c r="AZ1351" s="210"/>
      <c r="BA1351" s="210"/>
      <c r="BB1351" s="210"/>
      <c r="BC1351" s="210"/>
      <c r="BD1351" s="210"/>
      <c r="BE1351" s="210"/>
      <c r="BF1351" s="210"/>
      <c r="BG1351" s="210"/>
      <c r="BH1351" s="210"/>
      <c r="BI1351" s="210"/>
      <c r="BJ1351" s="210"/>
      <c r="BK1351" s="210"/>
      <c r="BL1351" s="210"/>
      <c r="BM1351" s="210"/>
      <c r="BN1351" s="210"/>
      <c r="BO1351" s="210"/>
      <c r="BP1351" s="210"/>
      <c r="BQ1351" s="210"/>
      <c r="BR1351" s="210"/>
      <c r="BS1351" s="210"/>
      <c r="BT1351" s="210"/>
      <c r="BU1351" s="210"/>
      <c r="BV1351" s="210"/>
      <c r="BW1351" s="210"/>
      <c r="BX1351" s="210"/>
      <c r="BY1351" s="210"/>
      <c r="BZ1351" s="210"/>
      <c r="CA1351" s="210"/>
      <c r="CB1351" s="210"/>
      <c r="CC1351" s="210"/>
      <c r="CD1351" s="210"/>
      <c r="CE1351" s="210"/>
      <c r="CF1351" s="210"/>
      <c r="CG1351" s="210"/>
      <c r="CH1351" s="210"/>
      <c r="CI1351" s="210"/>
      <c r="CJ1351" s="210"/>
      <c r="CK1351" s="210"/>
    </row>
    <row r="1352">
      <c r="A1352" s="220"/>
      <c r="F1352" s="190"/>
      <c r="G1352" s="190"/>
      <c r="L1352" s="220"/>
      <c r="M1352" s="220"/>
      <c r="O1352" s="210"/>
      <c r="P1352" s="210"/>
      <c r="Q1352" s="210"/>
      <c r="R1352" s="210"/>
      <c r="S1352" s="210"/>
      <c r="T1352" s="210"/>
      <c r="U1352" s="210"/>
      <c r="V1352" s="210"/>
      <c r="W1352" s="210"/>
      <c r="X1352" s="210"/>
      <c r="Y1352" s="210"/>
      <c r="Z1352" s="210"/>
      <c r="AA1352" s="210"/>
      <c r="AB1352" s="210"/>
      <c r="AC1352" s="210"/>
      <c r="AD1352" s="210"/>
      <c r="AE1352" s="210"/>
      <c r="AF1352" s="210"/>
      <c r="AG1352" s="210"/>
      <c r="AH1352" s="210"/>
      <c r="AI1352" s="210"/>
      <c r="AJ1352" s="210"/>
      <c r="AK1352" s="210"/>
      <c r="AL1352" s="210"/>
      <c r="AM1352" s="214"/>
      <c r="AN1352" s="210"/>
      <c r="AO1352" s="210"/>
      <c r="AP1352" s="210"/>
      <c r="AQ1352" s="210"/>
      <c r="AR1352" s="210"/>
      <c r="AS1352" s="210"/>
      <c r="AT1352" s="210"/>
      <c r="AU1352" s="210"/>
      <c r="AV1352" s="210"/>
      <c r="AW1352" s="210"/>
      <c r="AX1352" s="210"/>
      <c r="AY1352" s="210"/>
      <c r="AZ1352" s="210"/>
      <c r="BA1352" s="210"/>
      <c r="BB1352" s="210"/>
      <c r="BC1352" s="210"/>
      <c r="BD1352" s="210"/>
      <c r="BE1352" s="210"/>
      <c r="BF1352" s="210"/>
      <c r="BG1352" s="210"/>
      <c r="BH1352" s="210"/>
      <c r="BI1352" s="210"/>
      <c r="BJ1352" s="210"/>
      <c r="BK1352" s="210"/>
      <c r="BL1352" s="210"/>
      <c r="BM1352" s="210"/>
      <c r="BN1352" s="210"/>
      <c r="BO1352" s="210"/>
      <c r="BP1352" s="210"/>
      <c r="BQ1352" s="210"/>
      <c r="BR1352" s="210"/>
      <c r="BS1352" s="210"/>
      <c r="BT1352" s="210"/>
      <c r="BU1352" s="210"/>
      <c r="BV1352" s="210"/>
      <c r="BW1352" s="210"/>
      <c r="BX1352" s="210"/>
      <c r="BY1352" s="210"/>
      <c r="BZ1352" s="210"/>
      <c r="CA1352" s="210"/>
      <c r="CB1352" s="210"/>
      <c r="CC1352" s="210"/>
      <c r="CD1352" s="210"/>
      <c r="CE1352" s="210"/>
      <c r="CF1352" s="210"/>
      <c r="CG1352" s="210"/>
      <c r="CH1352" s="210"/>
      <c r="CI1352" s="210"/>
      <c r="CJ1352" s="210"/>
      <c r="CK1352" s="210"/>
    </row>
    <row r="1353">
      <c r="A1353" s="220"/>
      <c r="F1353" s="190"/>
      <c r="G1353" s="190"/>
      <c r="L1353" s="220"/>
      <c r="M1353" s="220"/>
      <c r="O1353" s="210"/>
      <c r="P1353" s="210"/>
      <c r="Q1353" s="210"/>
      <c r="R1353" s="210"/>
      <c r="S1353" s="210"/>
      <c r="T1353" s="210"/>
      <c r="U1353" s="210"/>
      <c r="V1353" s="210"/>
      <c r="W1353" s="210"/>
      <c r="X1353" s="210"/>
      <c r="Y1353" s="210"/>
      <c r="Z1353" s="210"/>
      <c r="AA1353" s="210"/>
      <c r="AB1353" s="210"/>
      <c r="AC1353" s="210"/>
      <c r="AD1353" s="210"/>
      <c r="AE1353" s="210"/>
      <c r="AF1353" s="210"/>
      <c r="AG1353" s="210"/>
      <c r="AH1353" s="210"/>
      <c r="AI1353" s="210"/>
      <c r="AJ1353" s="210"/>
      <c r="AK1353" s="210"/>
      <c r="AL1353" s="210"/>
      <c r="AM1353" s="214"/>
      <c r="AN1353" s="210"/>
      <c r="AO1353" s="210"/>
      <c r="AP1353" s="210"/>
      <c r="AQ1353" s="210"/>
      <c r="AR1353" s="210"/>
      <c r="AS1353" s="210"/>
      <c r="AT1353" s="210"/>
      <c r="AU1353" s="210"/>
      <c r="AV1353" s="210"/>
      <c r="AW1353" s="210"/>
      <c r="AX1353" s="210"/>
      <c r="AY1353" s="210"/>
      <c r="AZ1353" s="210"/>
      <c r="BA1353" s="210"/>
      <c r="BB1353" s="210"/>
      <c r="BC1353" s="210"/>
      <c r="BD1353" s="210"/>
      <c r="BE1353" s="210"/>
      <c r="BF1353" s="210"/>
      <c r="BG1353" s="210"/>
      <c r="BH1353" s="210"/>
      <c r="BI1353" s="210"/>
      <c r="BJ1353" s="210"/>
      <c r="BK1353" s="210"/>
      <c r="BL1353" s="210"/>
      <c r="BM1353" s="210"/>
      <c r="BN1353" s="210"/>
      <c r="BO1353" s="210"/>
      <c r="BP1353" s="210"/>
      <c r="BQ1353" s="210"/>
      <c r="BR1353" s="210"/>
      <c r="BS1353" s="210"/>
      <c r="BT1353" s="210"/>
      <c r="BU1353" s="210"/>
      <c r="BV1353" s="210"/>
      <c r="BW1353" s="210"/>
      <c r="BX1353" s="210"/>
      <c r="BY1353" s="210"/>
      <c r="BZ1353" s="210"/>
      <c r="CA1353" s="210"/>
      <c r="CB1353" s="210"/>
      <c r="CC1353" s="210"/>
      <c r="CD1353" s="210"/>
      <c r="CE1353" s="210"/>
      <c r="CF1353" s="210"/>
      <c r="CG1353" s="210"/>
      <c r="CH1353" s="210"/>
      <c r="CI1353" s="210"/>
      <c r="CJ1353" s="210"/>
      <c r="CK1353" s="210"/>
    </row>
    <row r="1354">
      <c r="A1354" s="220"/>
      <c r="F1354" s="190"/>
      <c r="G1354" s="190"/>
      <c r="L1354" s="220"/>
      <c r="M1354" s="220"/>
      <c r="O1354" s="210"/>
      <c r="P1354" s="210"/>
      <c r="Q1354" s="210"/>
      <c r="R1354" s="210"/>
      <c r="S1354" s="210"/>
      <c r="T1354" s="210"/>
      <c r="U1354" s="210"/>
      <c r="V1354" s="210"/>
      <c r="W1354" s="210"/>
      <c r="X1354" s="210"/>
      <c r="Y1354" s="210"/>
      <c r="Z1354" s="210"/>
      <c r="AA1354" s="210"/>
      <c r="AB1354" s="210"/>
      <c r="AC1354" s="210"/>
      <c r="AD1354" s="210"/>
      <c r="AE1354" s="210"/>
      <c r="AF1354" s="210"/>
      <c r="AG1354" s="210"/>
      <c r="AH1354" s="210"/>
      <c r="AI1354" s="210"/>
      <c r="AJ1354" s="210"/>
      <c r="AK1354" s="210"/>
      <c r="AL1354" s="210"/>
      <c r="AM1354" s="214"/>
      <c r="AN1354" s="210"/>
      <c r="AO1354" s="210"/>
      <c r="AP1354" s="210"/>
      <c r="AQ1354" s="210"/>
      <c r="AR1354" s="210"/>
      <c r="AS1354" s="210"/>
      <c r="AT1354" s="210"/>
      <c r="AU1354" s="210"/>
      <c r="AV1354" s="210"/>
      <c r="AW1354" s="210"/>
      <c r="AX1354" s="210"/>
      <c r="AY1354" s="210"/>
      <c r="AZ1354" s="210"/>
      <c r="BA1354" s="210"/>
      <c r="BB1354" s="210"/>
      <c r="BC1354" s="210"/>
      <c r="BD1354" s="210"/>
      <c r="BE1354" s="210"/>
      <c r="BF1354" s="210"/>
      <c r="BG1354" s="210"/>
      <c r="BH1354" s="210"/>
      <c r="BI1354" s="210"/>
      <c r="BJ1354" s="210"/>
      <c r="BK1354" s="210"/>
      <c r="BL1354" s="210"/>
      <c r="BM1354" s="210"/>
      <c r="BN1354" s="210"/>
      <c r="BO1354" s="210"/>
      <c r="BP1354" s="210"/>
      <c r="BQ1354" s="210"/>
      <c r="BR1354" s="210"/>
      <c r="BS1354" s="210"/>
      <c r="BT1354" s="210"/>
      <c r="BU1354" s="210"/>
      <c r="BV1354" s="210"/>
      <c r="BW1354" s="210"/>
      <c r="BX1354" s="210"/>
      <c r="BY1354" s="210"/>
      <c r="BZ1354" s="210"/>
      <c r="CA1354" s="210"/>
      <c r="CB1354" s="210"/>
      <c r="CC1354" s="210"/>
      <c r="CD1354" s="210"/>
      <c r="CE1354" s="210"/>
      <c r="CF1354" s="210"/>
      <c r="CG1354" s="210"/>
      <c r="CH1354" s="210"/>
      <c r="CI1354" s="210"/>
      <c r="CJ1354" s="210"/>
      <c r="CK1354" s="210"/>
    </row>
    <row r="1355">
      <c r="A1355" s="220"/>
      <c r="F1355" s="190"/>
      <c r="G1355" s="190"/>
      <c r="L1355" s="220"/>
      <c r="M1355" s="220"/>
      <c r="O1355" s="210"/>
      <c r="P1355" s="210"/>
      <c r="Q1355" s="210"/>
      <c r="R1355" s="210"/>
      <c r="S1355" s="210"/>
      <c r="T1355" s="210"/>
      <c r="U1355" s="210"/>
      <c r="V1355" s="210"/>
      <c r="W1355" s="210"/>
      <c r="X1355" s="210"/>
      <c r="Y1355" s="210"/>
      <c r="Z1355" s="210"/>
      <c r="AA1355" s="210"/>
      <c r="AB1355" s="210"/>
      <c r="AC1355" s="210"/>
      <c r="AD1355" s="210"/>
      <c r="AE1355" s="210"/>
      <c r="AF1355" s="210"/>
      <c r="AG1355" s="210"/>
      <c r="AH1355" s="210"/>
      <c r="AI1355" s="210"/>
      <c r="AJ1355" s="210"/>
      <c r="AK1355" s="210"/>
      <c r="AL1355" s="210"/>
      <c r="AM1355" s="214"/>
      <c r="AN1355" s="210"/>
      <c r="AO1355" s="210"/>
      <c r="AP1355" s="210"/>
      <c r="AQ1355" s="210"/>
      <c r="AR1355" s="210"/>
      <c r="AS1355" s="210"/>
      <c r="AT1355" s="210"/>
      <c r="AU1355" s="210"/>
      <c r="AV1355" s="210"/>
      <c r="AW1355" s="210"/>
      <c r="AX1355" s="210"/>
      <c r="AY1355" s="210"/>
      <c r="AZ1355" s="210"/>
      <c r="BA1355" s="210"/>
      <c r="BB1355" s="210"/>
      <c r="BC1355" s="210"/>
      <c r="BD1355" s="210"/>
      <c r="BE1355" s="210"/>
      <c r="BF1355" s="210"/>
      <c r="BG1355" s="210"/>
      <c r="BH1355" s="210"/>
      <c r="BI1355" s="210"/>
      <c r="BJ1355" s="210"/>
      <c r="BK1355" s="210"/>
      <c r="BL1355" s="210"/>
      <c r="BM1355" s="210"/>
      <c r="BN1355" s="210"/>
      <c r="BO1355" s="210"/>
      <c r="BP1355" s="210"/>
      <c r="BQ1355" s="210"/>
      <c r="BR1355" s="210"/>
      <c r="BS1355" s="210"/>
      <c r="BT1355" s="210"/>
      <c r="BU1355" s="210"/>
      <c r="BV1355" s="210"/>
      <c r="BW1355" s="210"/>
      <c r="BX1355" s="210"/>
      <c r="BY1355" s="210"/>
      <c r="BZ1355" s="210"/>
      <c r="CA1355" s="210"/>
      <c r="CB1355" s="210"/>
      <c r="CC1355" s="210"/>
      <c r="CD1355" s="210"/>
      <c r="CE1355" s="210"/>
      <c r="CF1355" s="210"/>
      <c r="CG1355" s="210"/>
      <c r="CH1355" s="210"/>
      <c r="CI1355" s="210"/>
      <c r="CJ1355" s="210"/>
      <c r="CK1355" s="210"/>
    </row>
    <row r="1356">
      <c r="A1356" s="220"/>
      <c r="F1356" s="190"/>
      <c r="G1356" s="190"/>
      <c r="L1356" s="220"/>
      <c r="M1356" s="220"/>
      <c r="O1356" s="210"/>
      <c r="P1356" s="210"/>
      <c r="Q1356" s="210"/>
      <c r="R1356" s="210"/>
      <c r="S1356" s="210"/>
      <c r="T1356" s="210"/>
      <c r="U1356" s="210"/>
      <c r="V1356" s="210"/>
      <c r="W1356" s="210"/>
      <c r="X1356" s="210"/>
      <c r="Y1356" s="210"/>
      <c r="Z1356" s="210"/>
      <c r="AA1356" s="210"/>
      <c r="AB1356" s="210"/>
      <c r="AC1356" s="210"/>
      <c r="AD1356" s="210"/>
      <c r="AE1356" s="210"/>
      <c r="AF1356" s="210"/>
      <c r="AG1356" s="210"/>
      <c r="AH1356" s="210"/>
      <c r="AI1356" s="210"/>
      <c r="AJ1356" s="210"/>
      <c r="AK1356" s="210"/>
      <c r="AL1356" s="210"/>
      <c r="AM1356" s="214"/>
      <c r="AN1356" s="210"/>
      <c r="AO1356" s="210"/>
      <c r="AP1356" s="210"/>
      <c r="AQ1356" s="210"/>
      <c r="AR1356" s="210"/>
      <c r="AS1356" s="210"/>
      <c r="AT1356" s="210"/>
      <c r="AU1356" s="210"/>
      <c r="AV1356" s="210"/>
      <c r="AW1356" s="210"/>
      <c r="AX1356" s="210"/>
      <c r="AY1356" s="210"/>
      <c r="AZ1356" s="210"/>
      <c r="BA1356" s="210"/>
      <c r="BB1356" s="210"/>
      <c r="BC1356" s="210"/>
      <c r="BD1356" s="210"/>
      <c r="BE1356" s="210"/>
      <c r="BF1356" s="210"/>
      <c r="BG1356" s="210"/>
      <c r="BH1356" s="210"/>
      <c r="BI1356" s="210"/>
      <c r="BJ1356" s="210"/>
      <c r="BK1356" s="210"/>
      <c r="BL1356" s="210"/>
      <c r="BM1356" s="210"/>
      <c r="BN1356" s="210"/>
      <c r="BO1356" s="210"/>
      <c r="BP1356" s="210"/>
      <c r="BQ1356" s="210"/>
      <c r="BR1356" s="210"/>
      <c r="BS1356" s="210"/>
      <c r="BT1356" s="210"/>
      <c r="BU1356" s="210"/>
      <c r="BV1356" s="210"/>
      <c r="BW1356" s="210"/>
      <c r="BX1356" s="210"/>
      <c r="BY1356" s="210"/>
      <c r="BZ1356" s="210"/>
      <c r="CA1356" s="210"/>
      <c r="CB1356" s="210"/>
      <c r="CC1356" s="210"/>
      <c r="CD1356" s="210"/>
      <c r="CE1356" s="210"/>
      <c r="CF1356" s="210"/>
      <c r="CG1356" s="210"/>
      <c r="CH1356" s="210"/>
      <c r="CI1356" s="210"/>
      <c r="CJ1356" s="210"/>
      <c r="CK1356" s="210"/>
    </row>
    <row r="1357">
      <c r="A1357" s="220"/>
      <c r="F1357" s="190"/>
      <c r="G1357" s="190"/>
      <c r="L1357" s="220"/>
      <c r="M1357" s="220"/>
      <c r="O1357" s="210"/>
      <c r="P1357" s="210"/>
      <c r="Q1357" s="210"/>
      <c r="R1357" s="210"/>
      <c r="S1357" s="210"/>
      <c r="T1357" s="210"/>
      <c r="U1357" s="210"/>
      <c r="V1357" s="210"/>
      <c r="W1357" s="210"/>
      <c r="X1357" s="210"/>
      <c r="Y1357" s="210"/>
      <c r="Z1357" s="210"/>
      <c r="AA1357" s="210"/>
      <c r="AB1357" s="210"/>
      <c r="AC1357" s="210"/>
      <c r="AD1357" s="210"/>
      <c r="AE1357" s="210"/>
      <c r="AF1357" s="210"/>
      <c r="AG1357" s="210"/>
      <c r="AH1357" s="210"/>
      <c r="AI1357" s="210"/>
      <c r="AJ1357" s="210"/>
      <c r="AK1357" s="210"/>
      <c r="AL1357" s="210"/>
      <c r="AM1357" s="214"/>
      <c r="AN1357" s="210"/>
      <c r="AO1357" s="210"/>
      <c r="AP1357" s="210"/>
      <c r="AQ1357" s="210"/>
      <c r="AR1357" s="210"/>
      <c r="AS1357" s="210"/>
      <c r="AT1357" s="210"/>
      <c r="AU1357" s="210"/>
      <c r="AV1357" s="210"/>
      <c r="AW1357" s="210"/>
      <c r="AX1357" s="210"/>
      <c r="AY1357" s="210"/>
      <c r="AZ1357" s="210"/>
      <c r="BA1357" s="210"/>
      <c r="BB1357" s="210"/>
      <c r="BC1357" s="210"/>
      <c r="BD1357" s="210"/>
      <c r="BE1357" s="210"/>
      <c r="BF1357" s="210"/>
      <c r="BG1357" s="210"/>
      <c r="BH1357" s="210"/>
      <c r="BI1357" s="210"/>
      <c r="BJ1357" s="210"/>
      <c r="BK1357" s="210"/>
      <c r="BL1357" s="210"/>
      <c r="BM1357" s="210"/>
      <c r="BN1357" s="210"/>
      <c r="BO1357" s="210"/>
      <c r="BP1357" s="210"/>
      <c r="BQ1357" s="210"/>
      <c r="BR1357" s="210"/>
      <c r="BS1357" s="210"/>
      <c r="BT1357" s="210"/>
      <c r="BU1357" s="210"/>
      <c r="BV1357" s="210"/>
      <c r="BW1357" s="210"/>
      <c r="BX1357" s="210"/>
      <c r="BY1357" s="210"/>
      <c r="BZ1357" s="210"/>
      <c r="CA1357" s="210"/>
      <c r="CB1357" s="210"/>
      <c r="CC1357" s="210"/>
      <c r="CD1357" s="210"/>
      <c r="CE1357" s="210"/>
      <c r="CF1357" s="210"/>
      <c r="CG1357" s="210"/>
      <c r="CH1357" s="210"/>
      <c r="CI1357" s="210"/>
      <c r="CJ1357" s="210"/>
      <c r="CK1357" s="210"/>
    </row>
    <row r="1358">
      <c r="A1358" s="220"/>
      <c r="F1358" s="190"/>
      <c r="G1358" s="190"/>
      <c r="L1358" s="220"/>
      <c r="M1358" s="220"/>
      <c r="O1358" s="210"/>
      <c r="P1358" s="210"/>
      <c r="Q1358" s="210"/>
      <c r="R1358" s="210"/>
      <c r="S1358" s="210"/>
      <c r="T1358" s="210"/>
      <c r="U1358" s="210"/>
      <c r="V1358" s="210"/>
      <c r="W1358" s="210"/>
      <c r="X1358" s="210"/>
      <c r="Y1358" s="210"/>
      <c r="Z1358" s="210"/>
      <c r="AA1358" s="210"/>
      <c r="AB1358" s="210"/>
      <c r="AC1358" s="210"/>
      <c r="AD1358" s="210"/>
      <c r="AE1358" s="210"/>
      <c r="AF1358" s="210"/>
      <c r="AG1358" s="210"/>
      <c r="AH1358" s="210"/>
      <c r="AI1358" s="210"/>
      <c r="AJ1358" s="210"/>
      <c r="AK1358" s="210"/>
      <c r="AL1358" s="210"/>
      <c r="AM1358" s="214"/>
      <c r="AN1358" s="210"/>
      <c r="AO1358" s="210"/>
      <c r="AP1358" s="210"/>
      <c r="AQ1358" s="210"/>
      <c r="AR1358" s="210"/>
      <c r="AS1358" s="210"/>
      <c r="AT1358" s="210"/>
      <c r="AU1358" s="210"/>
      <c r="AV1358" s="210"/>
      <c r="AW1358" s="210"/>
      <c r="AX1358" s="210"/>
      <c r="AY1358" s="210"/>
      <c r="AZ1358" s="210"/>
      <c r="BA1358" s="210"/>
      <c r="BB1358" s="210"/>
      <c r="BC1358" s="210"/>
      <c r="BD1358" s="210"/>
      <c r="BE1358" s="210"/>
      <c r="BF1358" s="210"/>
      <c r="BG1358" s="210"/>
      <c r="BH1358" s="210"/>
      <c r="BI1358" s="210"/>
      <c r="BJ1358" s="210"/>
      <c r="BK1358" s="210"/>
      <c r="BL1358" s="210"/>
      <c r="BM1358" s="210"/>
      <c r="BN1358" s="210"/>
      <c r="BO1358" s="210"/>
      <c r="BP1358" s="210"/>
      <c r="BQ1358" s="210"/>
      <c r="BR1358" s="210"/>
      <c r="BS1358" s="210"/>
      <c r="BT1358" s="210"/>
      <c r="BU1358" s="210"/>
      <c r="BV1358" s="210"/>
      <c r="BW1358" s="210"/>
      <c r="BX1358" s="210"/>
      <c r="BY1358" s="210"/>
      <c r="BZ1358" s="210"/>
      <c r="CA1358" s="210"/>
      <c r="CB1358" s="210"/>
      <c r="CC1358" s="210"/>
      <c r="CD1358" s="210"/>
      <c r="CE1358" s="210"/>
      <c r="CF1358" s="210"/>
      <c r="CG1358" s="210"/>
      <c r="CH1358" s="210"/>
      <c r="CI1358" s="210"/>
      <c r="CJ1358" s="210"/>
      <c r="CK1358" s="210"/>
    </row>
    <row r="1359">
      <c r="A1359" s="220"/>
      <c r="F1359" s="190"/>
      <c r="G1359" s="190"/>
      <c r="L1359" s="220"/>
      <c r="M1359" s="220"/>
      <c r="O1359" s="210"/>
      <c r="P1359" s="210"/>
      <c r="Q1359" s="210"/>
      <c r="R1359" s="210"/>
      <c r="S1359" s="210"/>
      <c r="T1359" s="210"/>
      <c r="U1359" s="210"/>
      <c r="V1359" s="210"/>
      <c r="W1359" s="210"/>
      <c r="X1359" s="210"/>
      <c r="Y1359" s="210"/>
      <c r="Z1359" s="210"/>
      <c r="AA1359" s="210"/>
      <c r="AB1359" s="210"/>
      <c r="AC1359" s="210"/>
      <c r="AD1359" s="210"/>
      <c r="AE1359" s="210"/>
      <c r="AF1359" s="210"/>
      <c r="AG1359" s="210"/>
      <c r="AH1359" s="210"/>
      <c r="AI1359" s="210"/>
      <c r="AJ1359" s="210"/>
      <c r="AK1359" s="210"/>
      <c r="AL1359" s="210"/>
      <c r="AM1359" s="214"/>
      <c r="AN1359" s="210"/>
      <c r="AO1359" s="210"/>
      <c r="AP1359" s="210"/>
      <c r="AQ1359" s="210"/>
      <c r="AR1359" s="210"/>
      <c r="AS1359" s="210"/>
      <c r="AT1359" s="210"/>
      <c r="AU1359" s="210"/>
      <c r="AV1359" s="210"/>
      <c r="AW1359" s="210"/>
      <c r="AX1359" s="210"/>
      <c r="AY1359" s="210"/>
      <c r="AZ1359" s="210"/>
      <c r="BA1359" s="210"/>
      <c r="BB1359" s="210"/>
      <c r="BC1359" s="210"/>
      <c r="BD1359" s="210"/>
      <c r="BE1359" s="210"/>
      <c r="BF1359" s="210"/>
      <c r="BG1359" s="210"/>
      <c r="BH1359" s="210"/>
      <c r="BI1359" s="210"/>
      <c r="BJ1359" s="210"/>
      <c r="BK1359" s="210"/>
      <c r="BL1359" s="210"/>
      <c r="BM1359" s="210"/>
      <c r="BN1359" s="210"/>
      <c r="BO1359" s="210"/>
      <c r="BP1359" s="210"/>
      <c r="BQ1359" s="210"/>
      <c r="BR1359" s="210"/>
      <c r="BS1359" s="210"/>
      <c r="BT1359" s="210"/>
      <c r="BU1359" s="210"/>
      <c r="BV1359" s="210"/>
      <c r="BW1359" s="210"/>
      <c r="BX1359" s="210"/>
      <c r="BY1359" s="210"/>
      <c r="BZ1359" s="210"/>
      <c r="CA1359" s="210"/>
      <c r="CB1359" s="210"/>
      <c r="CC1359" s="210"/>
      <c r="CD1359" s="210"/>
      <c r="CE1359" s="210"/>
      <c r="CF1359" s="210"/>
      <c r="CG1359" s="210"/>
      <c r="CH1359" s="210"/>
      <c r="CI1359" s="210"/>
      <c r="CJ1359" s="210"/>
      <c r="CK1359" s="210"/>
    </row>
    <row r="1360">
      <c r="A1360" s="220"/>
      <c r="F1360" s="190"/>
      <c r="G1360" s="190"/>
      <c r="L1360" s="220"/>
      <c r="M1360" s="220"/>
      <c r="O1360" s="210"/>
      <c r="P1360" s="210"/>
      <c r="Q1360" s="210"/>
      <c r="R1360" s="210"/>
      <c r="S1360" s="210"/>
      <c r="T1360" s="210"/>
      <c r="U1360" s="210"/>
      <c r="V1360" s="210"/>
      <c r="W1360" s="210"/>
      <c r="X1360" s="210"/>
      <c r="Y1360" s="210"/>
      <c r="Z1360" s="210"/>
      <c r="AA1360" s="210"/>
      <c r="AB1360" s="210"/>
      <c r="AC1360" s="210"/>
      <c r="AD1360" s="210"/>
      <c r="AE1360" s="210"/>
      <c r="AF1360" s="210"/>
      <c r="AG1360" s="210"/>
      <c r="AH1360" s="210"/>
      <c r="AI1360" s="210"/>
      <c r="AJ1360" s="210"/>
      <c r="AK1360" s="210"/>
      <c r="AL1360" s="210"/>
      <c r="AM1360" s="214"/>
      <c r="AN1360" s="210"/>
      <c r="AO1360" s="210"/>
      <c r="AP1360" s="210"/>
      <c r="AQ1360" s="210"/>
      <c r="AR1360" s="210"/>
      <c r="AS1360" s="210"/>
      <c r="AT1360" s="210"/>
      <c r="AU1360" s="210"/>
      <c r="AV1360" s="210"/>
      <c r="AW1360" s="210"/>
      <c r="AX1360" s="210"/>
      <c r="AY1360" s="210"/>
      <c r="AZ1360" s="210"/>
      <c r="BA1360" s="210"/>
      <c r="BB1360" s="210"/>
      <c r="BC1360" s="210"/>
      <c r="BD1360" s="210"/>
      <c r="BE1360" s="210"/>
      <c r="BF1360" s="210"/>
      <c r="BG1360" s="210"/>
      <c r="BH1360" s="210"/>
      <c r="BI1360" s="210"/>
      <c r="BJ1360" s="210"/>
      <c r="BK1360" s="210"/>
      <c r="BL1360" s="210"/>
      <c r="BM1360" s="210"/>
      <c r="BN1360" s="210"/>
      <c r="BO1360" s="210"/>
      <c r="BP1360" s="210"/>
      <c r="BQ1360" s="210"/>
      <c r="BR1360" s="210"/>
      <c r="BS1360" s="210"/>
      <c r="BT1360" s="210"/>
      <c r="BU1360" s="210"/>
      <c r="BV1360" s="210"/>
      <c r="BW1360" s="210"/>
      <c r="BX1360" s="210"/>
      <c r="BY1360" s="210"/>
      <c r="BZ1360" s="210"/>
      <c r="CA1360" s="210"/>
      <c r="CB1360" s="210"/>
      <c r="CC1360" s="210"/>
      <c r="CD1360" s="210"/>
      <c r="CE1360" s="210"/>
      <c r="CF1360" s="210"/>
      <c r="CG1360" s="210"/>
      <c r="CH1360" s="210"/>
      <c r="CI1360" s="210"/>
      <c r="CJ1360" s="210"/>
      <c r="CK1360" s="210"/>
    </row>
    <row r="1361">
      <c r="A1361" s="220"/>
      <c r="F1361" s="190"/>
      <c r="G1361" s="190"/>
      <c r="L1361" s="220"/>
      <c r="M1361" s="220"/>
      <c r="O1361" s="210"/>
      <c r="P1361" s="210"/>
      <c r="Q1361" s="210"/>
      <c r="R1361" s="210"/>
      <c r="S1361" s="210"/>
      <c r="T1361" s="210"/>
      <c r="U1361" s="210"/>
      <c r="V1361" s="210"/>
      <c r="W1361" s="210"/>
      <c r="X1361" s="210"/>
      <c r="Y1361" s="210"/>
      <c r="Z1361" s="210"/>
      <c r="AA1361" s="210"/>
      <c r="AB1361" s="210"/>
      <c r="AC1361" s="210"/>
      <c r="AD1361" s="210"/>
      <c r="AE1361" s="210"/>
      <c r="AF1361" s="210"/>
      <c r="AG1361" s="210"/>
      <c r="AH1361" s="210"/>
      <c r="AI1361" s="210"/>
      <c r="AJ1361" s="210"/>
      <c r="AK1361" s="210"/>
      <c r="AL1361" s="210"/>
      <c r="AM1361" s="214"/>
      <c r="AN1361" s="210"/>
      <c r="AO1361" s="210"/>
      <c r="AP1361" s="210"/>
      <c r="AQ1361" s="210"/>
      <c r="AR1361" s="210"/>
      <c r="AS1361" s="210"/>
      <c r="AT1361" s="210"/>
      <c r="AU1361" s="210"/>
      <c r="AV1361" s="210"/>
      <c r="AW1361" s="210"/>
      <c r="AX1361" s="210"/>
      <c r="AY1361" s="210"/>
      <c r="AZ1361" s="210"/>
      <c r="BA1361" s="210"/>
      <c r="BB1361" s="210"/>
      <c r="BC1361" s="210"/>
      <c r="BD1361" s="210"/>
      <c r="BE1361" s="210"/>
      <c r="BF1361" s="210"/>
      <c r="BG1361" s="210"/>
      <c r="BH1361" s="210"/>
      <c r="BI1361" s="210"/>
      <c r="BJ1361" s="210"/>
      <c r="BK1361" s="210"/>
      <c r="BL1361" s="210"/>
      <c r="BM1361" s="210"/>
      <c r="BN1361" s="210"/>
      <c r="BO1361" s="210"/>
      <c r="BP1361" s="210"/>
      <c r="BQ1361" s="210"/>
      <c r="BR1361" s="210"/>
      <c r="BS1361" s="210"/>
      <c r="BT1361" s="210"/>
      <c r="BU1361" s="210"/>
      <c r="BV1361" s="210"/>
      <c r="BW1361" s="210"/>
      <c r="BX1361" s="210"/>
      <c r="BY1361" s="210"/>
      <c r="BZ1361" s="210"/>
      <c r="CA1361" s="210"/>
      <c r="CB1361" s="210"/>
      <c r="CC1361" s="210"/>
      <c r="CD1361" s="210"/>
      <c r="CE1361" s="210"/>
      <c r="CF1361" s="210"/>
      <c r="CG1361" s="210"/>
      <c r="CH1361" s="210"/>
      <c r="CI1361" s="210"/>
      <c r="CJ1361" s="210"/>
      <c r="CK1361" s="210"/>
    </row>
    <row r="1362">
      <c r="A1362" s="220"/>
      <c r="F1362" s="190"/>
      <c r="G1362" s="190"/>
      <c r="L1362" s="220"/>
      <c r="M1362" s="220"/>
      <c r="O1362" s="210"/>
      <c r="P1362" s="210"/>
      <c r="Q1362" s="210"/>
      <c r="R1362" s="210"/>
      <c r="S1362" s="210"/>
      <c r="T1362" s="210"/>
      <c r="U1362" s="210"/>
      <c r="V1362" s="210"/>
      <c r="W1362" s="210"/>
      <c r="X1362" s="210"/>
      <c r="Y1362" s="210"/>
      <c r="Z1362" s="210"/>
      <c r="AA1362" s="210"/>
      <c r="AB1362" s="210"/>
      <c r="AC1362" s="210"/>
      <c r="AD1362" s="210"/>
      <c r="AE1362" s="210"/>
      <c r="AF1362" s="210"/>
      <c r="AG1362" s="210"/>
      <c r="AH1362" s="210"/>
      <c r="AI1362" s="210"/>
      <c r="AJ1362" s="210"/>
      <c r="AK1362" s="210"/>
      <c r="AL1362" s="210"/>
      <c r="AM1362" s="214"/>
      <c r="AN1362" s="210"/>
      <c r="AO1362" s="210"/>
      <c r="AP1362" s="210"/>
      <c r="AQ1362" s="210"/>
      <c r="AR1362" s="210"/>
      <c r="AS1362" s="210"/>
      <c r="AT1362" s="210"/>
      <c r="AU1362" s="210"/>
      <c r="AV1362" s="210"/>
      <c r="AW1362" s="210"/>
      <c r="AX1362" s="210"/>
      <c r="AY1362" s="210"/>
      <c r="AZ1362" s="210"/>
      <c r="BA1362" s="210"/>
      <c r="BB1362" s="210"/>
      <c r="BC1362" s="210"/>
      <c r="BD1362" s="210"/>
      <c r="BE1362" s="210"/>
      <c r="BF1362" s="210"/>
      <c r="BG1362" s="210"/>
      <c r="BH1362" s="210"/>
      <c r="BI1362" s="210"/>
      <c r="BJ1362" s="210"/>
      <c r="BK1362" s="210"/>
      <c r="BL1362" s="210"/>
      <c r="BM1362" s="210"/>
      <c r="BN1362" s="210"/>
      <c r="BO1362" s="210"/>
      <c r="BP1362" s="210"/>
      <c r="BQ1362" s="210"/>
      <c r="BR1362" s="210"/>
      <c r="BS1362" s="210"/>
      <c r="BT1362" s="210"/>
      <c r="BU1362" s="210"/>
      <c r="BV1362" s="210"/>
      <c r="BW1362" s="210"/>
      <c r="BX1362" s="210"/>
      <c r="BY1362" s="210"/>
      <c r="BZ1362" s="210"/>
      <c r="CA1362" s="210"/>
      <c r="CB1362" s="210"/>
      <c r="CC1362" s="210"/>
      <c r="CD1362" s="210"/>
      <c r="CE1362" s="210"/>
      <c r="CF1362" s="210"/>
      <c r="CG1362" s="210"/>
      <c r="CH1362" s="210"/>
      <c r="CI1362" s="210"/>
      <c r="CJ1362" s="210"/>
      <c r="CK1362" s="210"/>
    </row>
    <row r="1363">
      <c r="A1363" s="220"/>
      <c r="F1363" s="190"/>
      <c r="G1363" s="190"/>
      <c r="L1363" s="220"/>
      <c r="M1363" s="220"/>
      <c r="O1363" s="210"/>
      <c r="P1363" s="210"/>
      <c r="Q1363" s="210"/>
      <c r="R1363" s="210"/>
      <c r="S1363" s="210"/>
      <c r="T1363" s="210"/>
      <c r="U1363" s="210"/>
      <c r="V1363" s="210"/>
      <c r="W1363" s="210"/>
      <c r="X1363" s="210"/>
      <c r="Y1363" s="210"/>
      <c r="Z1363" s="210"/>
      <c r="AA1363" s="210"/>
      <c r="AB1363" s="210"/>
      <c r="AC1363" s="210"/>
      <c r="AD1363" s="210"/>
      <c r="AE1363" s="210"/>
      <c r="AF1363" s="210"/>
      <c r="AG1363" s="210"/>
      <c r="AH1363" s="210"/>
      <c r="AI1363" s="210"/>
      <c r="AJ1363" s="210"/>
      <c r="AK1363" s="210"/>
      <c r="AL1363" s="210"/>
      <c r="AM1363" s="214"/>
      <c r="AN1363" s="210"/>
      <c r="AO1363" s="210"/>
      <c r="AP1363" s="210"/>
      <c r="AQ1363" s="210"/>
      <c r="AR1363" s="210"/>
      <c r="AS1363" s="210"/>
      <c r="AT1363" s="210"/>
      <c r="AU1363" s="210"/>
      <c r="AV1363" s="210"/>
      <c r="AW1363" s="210"/>
      <c r="AX1363" s="210"/>
      <c r="AY1363" s="210"/>
      <c r="AZ1363" s="210"/>
      <c r="BA1363" s="210"/>
      <c r="BB1363" s="210"/>
      <c r="BC1363" s="210"/>
      <c r="BD1363" s="210"/>
      <c r="BE1363" s="210"/>
      <c r="BF1363" s="210"/>
      <c r="BG1363" s="210"/>
      <c r="BH1363" s="210"/>
      <c r="BI1363" s="210"/>
      <c r="BJ1363" s="210"/>
      <c r="BK1363" s="210"/>
      <c r="BL1363" s="210"/>
      <c r="BM1363" s="210"/>
      <c r="BN1363" s="210"/>
      <c r="BO1363" s="210"/>
      <c r="BP1363" s="210"/>
      <c r="BQ1363" s="210"/>
      <c r="BR1363" s="210"/>
      <c r="BS1363" s="210"/>
      <c r="BT1363" s="210"/>
      <c r="BU1363" s="210"/>
      <c r="BV1363" s="210"/>
      <c r="BW1363" s="210"/>
      <c r="BX1363" s="210"/>
      <c r="BY1363" s="210"/>
      <c r="BZ1363" s="210"/>
      <c r="CA1363" s="210"/>
      <c r="CB1363" s="210"/>
      <c r="CC1363" s="210"/>
      <c r="CD1363" s="210"/>
      <c r="CE1363" s="210"/>
      <c r="CF1363" s="210"/>
      <c r="CG1363" s="210"/>
      <c r="CH1363" s="210"/>
      <c r="CI1363" s="210"/>
      <c r="CJ1363" s="210"/>
      <c r="CK1363" s="210"/>
    </row>
    <row r="1364">
      <c r="A1364" s="220"/>
      <c r="F1364" s="190"/>
      <c r="G1364" s="190"/>
      <c r="L1364" s="220"/>
      <c r="M1364" s="220"/>
      <c r="O1364" s="210"/>
      <c r="P1364" s="210"/>
      <c r="Q1364" s="210"/>
      <c r="R1364" s="210"/>
      <c r="S1364" s="210"/>
      <c r="T1364" s="210"/>
      <c r="U1364" s="210"/>
      <c r="V1364" s="210"/>
      <c r="W1364" s="210"/>
      <c r="X1364" s="210"/>
      <c r="Y1364" s="210"/>
      <c r="Z1364" s="210"/>
      <c r="AA1364" s="210"/>
      <c r="AB1364" s="210"/>
      <c r="AC1364" s="210"/>
      <c r="AD1364" s="210"/>
      <c r="AE1364" s="210"/>
      <c r="AF1364" s="210"/>
      <c r="AG1364" s="210"/>
      <c r="AH1364" s="210"/>
      <c r="AI1364" s="210"/>
      <c r="AJ1364" s="210"/>
      <c r="AK1364" s="210"/>
      <c r="AL1364" s="210"/>
      <c r="AM1364" s="214"/>
      <c r="AN1364" s="210"/>
      <c r="AO1364" s="210"/>
      <c r="AP1364" s="210"/>
      <c r="AQ1364" s="210"/>
      <c r="AR1364" s="210"/>
      <c r="AS1364" s="210"/>
      <c r="AT1364" s="210"/>
      <c r="AU1364" s="210"/>
      <c r="AV1364" s="210"/>
      <c r="AW1364" s="210"/>
      <c r="AX1364" s="210"/>
      <c r="AY1364" s="210"/>
      <c r="AZ1364" s="210"/>
      <c r="BA1364" s="210"/>
      <c r="BB1364" s="210"/>
      <c r="BC1364" s="210"/>
      <c r="BD1364" s="210"/>
      <c r="BE1364" s="210"/>
      <c r="BF1364" s="210"/>
      <c r="BG1364" s="210"/>
      <c r="BH1364" s="210"/>
      <c r="BI1364" s="210"/>
      <c r="BJ1364" s="210"/>
      <c r="BK1364" s="210"/>
      <c r="BL1364" s="210"/>
      <c r="BM1364" s="210"/>
      <c r="BN1364" s="210"/>
      <c r="BO1364" s="210"/>
      <c r="BP1364" s="210"/>
      <c r="BQ1364" s="210"/>
      <c r="BR1364" s="210"/>
      <c r="BS1364" s="210"/>
      <c r="BT1364" s="210"/>
      <c r="BU1364" s="210"/>
      <c r="BV1364" s="210"/>
      <c r="BW1364" s="210"/>
      <c r="BX1364" s="210"/>
      <c r="BY1364" s="210"/>
      <c r="BZ1364" s="210"/>
      <c r="CA1364" s="210"/>
      <c r="CB1364" s="210"/>
      <c r="CC1364" s="210"/>
      <c r="CD1364" s="210"/>
      <c r="CE1364" s="210"/>
      <c r="CF1364" s="210"/>
      <c r="CG1364" s="210"/>
      <c r="CH1364" s="210"/>
      <c r="CI1364" s="210"/>
      <c r="CJ1364" s="210"/>
      <c r="CK1364" s="210"/>
    </row>
    <row r="1365">
      <c r="A1365" s="220"/>
      <c r="F1365" s="190"/>
      <c r="G1365" s="190"/>
      <c r="L1365" s="220"/>
      <c r="M1365" s="220"/>
      <c r="O1365" s="210"/>
      <c r="P1365" s="210"/>
      <c r="Q1365" s="210"/>
      <c r="R1365" s="210"/>
      <c r="S1365" s="210"/>
      <c r="T1365" s="210"/>
      <c r="U1365" s="210"/>
      <c r="V1365" s="210"/>
      <c r="W1365" s="210"/>
      <c r="X1365" s="210"/>
      <c r="Y1365" s="210"/>
      <c r="Z1365" s="210"/>
      <c r="AA1365" s="210"/>
      <c r="AB1365" s="210"/>
      <c r="AC1365" s="210"/>
      <c r="AD1365" s="210"/>
      <c r="AE1365" s="210"/>
      <c r="AF1365" s="210"/>
      <c r="AG1365" s="210"/>
      <c r="AH1365" s="210"/>
      <c r="AI1365" s="210"/>
      <c r="AJ1365" s="210"/>
      <c r="AK1365" s="210"/>
      <c r="AL1365" s="210"/>
      <c r="AM1365" s="214"/>
      <c r="AN1365" s="210"/>
      <c r="AO1365" s="210"/>
      <c r="AP1365" s="210"/>
      <c r="AQ1365" s="210"/>
      <c r="AR1365" s="210"/>
      <c r="AS1365" s="210"/>
      <c r="AT1365" s="210"/>
      <c r="AU1365" s="210"/>
      <c r="AV1365" s="210"/>
      <c r="AW1365" s="210"/>
      <c r="AX1365" s="210"/>
      <c r="AY1365" s="210"/>
      <c r="AZ1365" s="210"/>
      <c r="BA1365" s="210"/>
      <c r="BB1365" s="210"/>
      <c r="BC1365" s="210"/>
      <c r="BD1365" s="210"/>
      <c r="BE1365" s="210"/>
      <c r="BF1365" s="210"/>
      <c r="BG1365" s="210"/>
      <c r="BH1365" s="210"/>
      <c r="BI1365" s="210"/>
      <c r="BJ1365" s="210"/>
      <c r="BK1365" s="210"/>
      <c r="BL1365" s="210"/>
      <c r="BM1365" s="210"/>
      <c r="BN1365" s="210"/>
      <c r="BO1365" s="210"/>
      <c r="BP1365" s="210"/>
      <c r="BQ1365" s="210"/>
      <c r="BR1365" s="210"/>
      <c r="BS1365" s="210"/>
      <c r="BT1365" s="210"/>
      <c r="BU1365" s="210"/>
      <c r="BV1365" s="210"/>
      <c r="BW1365" s="210"/>
      <c r="BX1365" s="210"/>
      <c r="BY1365" s="210"/>
      <c r="BZ1365" s="210"/>
      <c r="CA1365" s="210"/>
      <c r="CB1365" s="210"/>
      <c r="CC1365" s="210"/>
      <c r="CD1365" s="210"/>
      <c r="CE1365" s="210"/>
      <c r="CF1365" s="210"/>
      <c r="CG1365" s="210"/>
      <c r="CH1365" s="210"/>
      <c r="CI1365" s="210"/>
      <c r="CJ1365" s="210"/>
      <c r="CK1365" s="210"/>
    </row>
    <row r="1366">
      <c r="A1366" s="220"/>
      <c r="F1366" s="190"/>
      <c r="G1366" s="190"/>
      <c r="L1366" s="220"/>
      <c r="M1366" s="220"/>
      <c r="O1366" s="210"/>
      <c r="P1366" s="210"/>
      <c r="Q1366" s="210"/>
      <c r="R1366" s="210"/>
      <c r="S1366" s="210"/>
      <c r="T1366" s="210"/>
      <c r="U1366" s="210"/>
      <c r="V1366" s="210"/>
      <c r="W1366" s="210"/>
      <c r="X1366" s="210"/>
      <c r="Y1366" s="210"/>
      <c r="Z1366" s="210"/>
      <c r="AA1366" s="210"/>
      <c r="AB1366" s="210"/>
      <c r="AC1366" s="210"/>
      <c r="AD1366" s="210"/>
      <c r="AE1366" s="210"/>
      <c r="AF1366" s="210"/>
      <c r="AG1366" s="210"/>
      <c r="AH1366" s="210"/>
      <c r="AI1366" s="210"/>
      <c r="AJ1366" s="210"/>
      <c r="AK1366" s="210"/>
      <c r="AL1366" s="210"/>
      <c r="AM1366" s="214"/>
      <c r="AN1366" s="210"/>
      <c r="AO1366" s="210"/>
      <c r="AP1366" s="210"/>
      <c r="AQ1366" s="210"/>
      <c r="AR1366" s="210"/>
      <c r="AS1366" s="210"/>
      <c r="AT1366" s="210"/>
      <c r="AU1366" s="210"/>
      <c r="AV1366" s="210"/>
      <c r="AW1366" s="210"/>
      <c r="AX1366" s="210"/>
      <c r="AY1366" s="210"/>
      <c r="AZ1366" s="210"/>
      <c r="BA1366" s="210"/>
      <c r="BB1366" s="210"/>
      <c r="BC1366" s="210"/>
      <c r="BD1366" s="210"/>
      <c r="BE1366" s="210"/>
      <c r="BF1366" s="210"/>
      <c r="BG1366" s="210"/>
      <c r="BH1366" s="210"/>
      <c r="BI1366" s="210"/>
      <c r="BJ1366" s="210"/>
      <c r="BK1366" s="210"/>
      <c r="BL1366" s="210"/>
      <c r="BM1366" s="210"/>
      <c r="BN1366" s="210"/>
      <c r="BO1366" s="210"/>
      <c r="BP1366" s="210"/>
      <c r="BQ1366" s="210"/>
      <c r="BR1366" s="210"/>
      <c r="BS1366" s="210"/>
      <c r="BT1366" s="210"/>
      <c r="BU1366" s="210"/>
      <c r="BV1366" s="210"/>
      <c r="BW1366" s="210"/>
      <c r="BX1366" s="210"/>
      <c r="BY1366" s="210"/>
      <c r="BZ1366" s="210"/>
      <c r="CA1366" s="210"/>
      <c r="CB1366" s="210"/>
      <c r="CC1366" s="210"/>
      <c r="CD1366" s="210"/>
      <c r="CE1366" s="210"/>
      <c r="CF1366" s="210"/>
      <c r="CG1366" s="210"/>
      <c r="CH1366" s="210"/>
      <c r="CI1366" s="210"/>
      <c r="CJ1366" s="210"/>
      <c r="CK1366" s="210"/>
    </row>
    <row r="1367">
      <c r="A1367" s="220"/>
      <c r="F1367" s="190"/>
      <c r="G1367" s="190"/>
      <c r="L1367" s="220"/>
      <c r="M1367" s="220"/>
      <c r="O1367" s="210"/>
      <c r="P1367" s="210"/>
      <c r="Q1367" s="210"/>
      <c r="R1367" s="210"/>
      <c r="S1367" s="210"/>
      <c r="T1367" s="210"/>
      <c r="U1367" s="210"/>
      <c r="V1367" s="210"/>
      <c r="W1367" s="210"/>
      <c r="X1367" s="210"/>
      <c r="Y1367" s="210"/>
      <c r="Z1367" s="210"/>
      <c r="AA1367" s="210"/>
      <c r="AB1367" s="210"/>
      <c r="AC1367" s="210"/>
      <c r="AD1367" s="210"/>
      <c r="AE1367" s="210"/>
      <c r="AF1367" s="210"/>
      <c r="AG1367" s="210"/>
      <c r="AH1367" s="210"/>
      <c r="AI1367" s="210"/>
      <c r="AJ1367" s="210"/>
      <c r="AK1367" s="210"/>
      <c r="AL1367" s="210"/>
      <c r="AM1367" s="214"/>
      <c r="AN1367" s="210"/>
      <c r="AO1367" s="210"/>
      <c r="AP1367" s="210"/>
      <c r="AQ1367" s="210"/>
      <c r="AR1367" s="210"/>
      <c r="AS1367" s="210"/>
      <c r="AT1367" s="210"/>
      <c r="AU1367" s="210"/>
      <c r="AV1367" s="210"/>
      <c r="AW1367" s="210"/>
      <c r="AX1367" s="210"/>
      <c r="AY1367" s="210"/>
      <c r="AZ1367" s="210"/>
      <c r="BA1367" s="210"/>
      <c r="BB1367" s="210"/>
      <c r="BC1367" s="210"/>
      <c r="BD1367" s="210"/>
      <c r="BE1367" s="210"/>
      <c r="BF1367" s="210"/>
      <c r="BG1367" s="210"/>
      <c r="BH1367" s="210"/>
      <c r="BI1367" s="210"/>
      <c r="BJ1367" s="210"/>
      <c r="BK1367" s="210"/>
      <c r="BL1367" s="210"/>
      <c r="BM1367" s="210"/>
      <c r="BN1367" s="210"/>
      <c r="BO1367" s="210"/>
      <c r="BP1367" s="210"/>
      <c r="BQ1367" s="210"/>
      <c r="BR1367" s="210"/>
      <c r="BS1367" s="210"/>
      <c r="BT1367" s="210"/>
      <c r="BU1367" s="210"/>
      <c r="BV1367" s="210"/>
      <c r="BW1367" s="210"/>
      <c r="BX1367" s="210"/>
      <c r="BY1367" s="210"/>
      <c r="BZ1367" s="210"/>
      <c r="CA1367" s="210"/>
      <c r="CB1367" s="210"/>
      <c r="CC1367" s="210"/>
      <c r="CD1367" s="210"/>
      <c r="CE1367" s="210"/>
      <c r="CF1367" s="210"/>
      <c r="CG1367" s="210"/>
      <c r="CH1367" s="210"/>
      <c r="CI1367" s="210"/>
      <c r="CJ1367" s="210"/>
      <c r="CK1367" s="210"/>
    </row>
    <row r="1368">
      <c r="A1368" s="220"/>
      <c r="F1368" s="190"/>
      <c r="G1368" s="190"/>
      <c r="L1368" s="220"/>
      <c r="M1368" s="220"/>
      <c r="O1368" s="210"/>
      <c r="P1368" s="210"/>
      <c r="Q1368" s="210"/>
      <c r="R1368" s="210"/>
      <c r="S1368" s="210"/>
      <c r="T1368" s="210"/>
      <c r="U1368" s="210"/>
      <c r="V1368" s="210"/>
      <c r="W1368" s="210"/>
      <c r="X1368" s="210"/>
      <c r="Y1368" s="210"/>
      <c r="Z1368" s="210"/>
      <c r="AA1368" s="210"/>
      <c r="AB1368" s="210"/>
      <c r="AC1368" s="210"/>
      <c r="AD1368" s="210"/>
      <c r="AE1368" s="210"/>
      <c r="AF1368" s="210"/>
      <c r="AG1368" s="210"/>
      <c r="AH1368" s="210"/>
      <c r="AI1368" s="210"/>
      <c r="AJ1368" s="210"/>
      <c r="AK1368" s="210"/>
      <c r="AL1368" s="210"/>
      <c r="AM1368" s="214"/>
      <c r="AN1368" s="210"/>
      <c r="AO1368" s="210"/>
      <c r="AP1368" s="210"/>
      <c r="AQ1368" s="210"/>
      <c r="AR1368" s="210"/>
      <c r="AS1368" s="210"/>
      <c r="AT1368" s="210"/>
      <c r="AU1368" s="210"/>
      <c r="AV1368" s="210"/>
      <c r="AW1368" s="210"/>
      <c r="AX1368" s="210"/>
      <c r="AY1368" s="210"/>
      <c r="AZ1368" s="210"/>
      <c r="BA1368" s="210"/>
      <c r="BB1368" s="210"/>
      <c r="BC1368" s="210"/>
      <c r="BD1368" s="210"/>
      <c r="BE1368" s="210"/>
      <c r="BF1368" s="210"/>
      <c r="BG1368" s="210"/>
      <c r="BH1368" s="210"/>
      <c r="BI1368" s="210"/>
      <c r="BJ1368" s="210"/>
      <c r="BK1368" s="210"/>
      <c r="BL1368" s="210"/>
      <c r="BM1368" s="210"/>
      <c r="BN1368" s="210"/>
      <c r="BO1368" s="210"/>
      <c r="BP1368" s="210"/>
      <c r="BQ1368" s="210"/>
      <c r="BR1368" s="210"/>
      <c r="BS1368" s="210"/>
      <c r="BT1368" s="210"/>
      <c r="BU1368" s="210"/>
      <c r="BV1368" s="210"/>
      <c r="BW1368" s="210"/>
      <c r="BX1368" s="210"/>
      <c r="BY1368" s="210"/>
      <c r="BZ1368" s="210"/>
      <c r="CA1368" s="210"/>
      <c r="CB1368" s="210"/>
      <c r="CC1368" s="210"/>
      <c r="CD1368" s="210"/>
      <c r="CE1368" s="210"/>
      <c r="CF1368" s="210"/>
      <c r="CG1368" s="210"/>
      <c r="CH1368" s="210"/>
      <c r="CI1368" s="210"/>
      <c r="CJ1368" s="210"/>
      <c r="CK1368" s="210"/>
    </row>
    <row r="1369">
      <c r="A1369" s="220"/>
      <c r="F1369" s="190"/>
      <c r="G1369" s="190"/>
      <c r="L1369" s="220"/>
      <c r="M1369" s="220"/>
      <c r="O1369" s="210"/>
      <c r="P1369" s="210"/>
      <c r="Q1369" s="210"/>
      <c r="R1369" s="210"/>
      <c r="S1369" s="210"/>
      <c r="T1369" s="210"/>
      <c r="U1369" s="210"/>
      <c r="V1369" s="210"/>
      <c r="W1369" s="210"/>
      <c r="X1369" s="210"/>
      <c r="Y1369" s="210"/>
      <c r="Z1369" s="210"/>
      <c r="AA1369" s="210"/>
      <c r="AB1369" s="210"/>
      <c r="AC1369" s="210"/>
      <c r="AD1369" s="210"/>
      <c r="AE1369" s="210"/>
      <c r="AF1369" s="210"/>
      <c r="AG1369" s="210"/>
      <c r="AH1369" s="210"/>
      <c r="AI1369" s="210"/>
      <c r="AJ1369" s="210"/>
      <c r="AK1369" s="210"/>
      <c r="AL1369" s="210"/>
      <c r="AM1369" s="214"/>
      <c r="AN1369" s="210"/>
      <c r="AO1369" s="210"/>
      <c r="AP1369" s="210"/>
      <c r="AQ1369" s="210"/>
      <c r="AR1369" s="210"/>
      <c r="AS1369" s="210"/>
      <c r="AT1369" s="210"/>
      <c r="AU1369" s="210"/>
      <c r="AV1369" s="210"/>
      <c r="AW1369" s="210"/>
      <c r="AX1369" s="210"/>
      <c r="AY1369" s="210"/>
      <c r="AZ1369" s="210"/>
      <c r="BA1369" s="210"/>
      <c r="BB1369" s="210"/>
      <c r="BC1369" s="210"/>
      <c r="BD1369" s="210"/>
      <c r="BE1369" s="210"/>
      <c r="BF1369" s="210"/>
      <c r="BG1369" s="210"/>
      <c r="BH1369" s="210"/>
      <c r="BI1369" s="210"/>
      <c r="BJ1369" s="210"/>
      <c r="BK1369" s="210"/>
      <c r="BL1369" s="210"/>
      <c r="BM1369" s="210"/>
      <c r="BN1369" s="210"/>
      <c r="BO1369" s="210"/>
      <c r="BP1369" s="210"/>
      <c r="BQ1369" s="210"/>
      <c r="BR1369" s="210"/>
      <c r="BS1369" s="210"/>
      <c r="BT1369" s="210"/>
      <c r="BU1369" s="210"/>
      <c r="BV1369" s="210"/>
      <c r="BW1369" s="210"/>
      <c r="BX1369" s="210"/>
      <c r="BY1369" s="210"/>
      <c r="BZ1369" s="210"/>
      <c r="CA1369" s="210"/>
      <c r="CB1369" s="210"/>
      <c r="CC1369" s="210"/>
      <c r="CD1369" s="210"/>
      <c r="CE1369" s="210"/>
      <c r="CF1369" s="210"/>
      <c r="CG1369" s="210"/>
      <c r="CH1369" s="210"/>
      <c r="CI1369" s="210"/>
      <c r="CJ1369" s="210"/>
      <c r="CK1369" s="210"/>
    </row>
    <row r="1370">
      <c r="A1370" s="220"/>
      <c r="F1370" s="190"/>
      <c r="G1370" s="190"/>
      <c r="L1370" s="220"/>
      <c r="M1370" s="220"/>
      <c r="O1370" s="210"/>
      <c r="P1370" s="210"/>
      <c r="Q1370" s="210"/>
      <c r="R1370" s="210"/>
      <c r="S1370" s="210"/>
      <c r="T1370" s="210"/>
      <c r="U1370" s="210"/>
      <c r="V1370" s="210"/>
      <c r="W1370" s="210"/>
      <c r="X1370" s="210"/>
      <c r="Y1370" s="210"/>
      <c r="Z1370" s="210"/>
      <c r="AA1370" s="210"/>
      <c r="AB1370" s="210"/>
      <c r="AC1370" s="210"/>
      <c r="AD1370" s="210"/>
      <c r="AE1370" s="210"/>
      <c r="AF1370" s="210"/>
      <c r="AG1370" s="210"/>
      <c r="AH1370" s="210"/>
      <c r="AI1370" s="210"/>
      <c r="AJ1370" s="210"/>
      <c r="AK1370" s="210"/>
      <c r="AL1370" s="210"/>
      <c r="AM1370" s="214"/>
      <c r="AN1370" s="210"/>
      <c r="AO1370" s="210"/>
      <c r="AP1370" s="210"/>
      <c r="AQ1370" s="210"/>
      <c r="AR1370" s="210"/>
      <c r="AS1370" s="210"/>
      <c r="AT1370" s="210"/>
      <c r="AU1370" s="210"/>
      <c r="AV1370" s="210"/>
      <c r="AW1370" s="210"/>
      <c r="AX1370" s="210"/>
      <c r="AY1370" s="210"/>
      <c r="AZ1370" s="210"/>
      <c r="BA1370" s="210"/>
      <c r="BB1370" s="210"/>
      <c r="BC1370" s="210"/>
      <c r="BD1370" s="210"/>
      <c r="BE1370" s="210"/>
      <c r="BF1370" s="210"/>
      <c r="BG1370" s="210"/>
      <c r="BH1370" s="210"/>
      <c r="BI1370" s="210"/>
      <c r="BJ1370" s="210"/>
      <c r="BK1370" s="210"/>
      <c r="BL1370" s="210"/>
      <c r="BM1370" s="210"/>
      <c r="BN1370" s="210"/>
      <c r="BO1370" s="210"/>
      <c r="BP1370" s="210"/>
      <c r="BQ1370" s="210"/>
      <c r="BR1370" s="210"/>
      <c r="BS1370" s="210"/>
      <c r="BT1370" s="210"/>
      <c r="BU1370" s="210"/>
      <c r="BV1370" s="210"/>
      <c r="BW1370" s="210"/>
      <c r="BX1370" s="210"/>
      <c r="BY1370" s="210"/>
      <c r="BZ1370" s="210"/>
      <c r="CA1370" s="210"/>
      <c r="CB1370" s="210"/>
      <c r="CC1370" s="210"/>
      <c r="CD1370" s="210"/>
      <c r="CE1370" s="210"/>
      <c r="CF1370" s="210"/>
      <c r="CG1370" s="210"/>
      <c r="CH1370" s="210"/>
      <c r="CI1370" s="210"/>
      <c r="CJ1370" s="210"/>
      <c r="CK1370" s="210"/>
    </row>
    <row r="1371">
      <c r="A1371" s="220"/>
      <c r="F1371" s="190"/>
      <c r="G1371" s="190"/>
      <c r="L1371" s="220"/>
      <c r="M1371" s="220"/>
      <c r="O1371" s="210"/>
      <c r="P1371" s="210"/>
      <c r="Q1371" s="210"/>
      <c r="R1371" s="210"/>
      <c r="S1371" s="210"/>
      <c r="T1371" s="210"/>
      <c r="U1371" s="210"/>
      <c r="V1371" s="210"/>
      <c r="W1371" s="210"/>
      <c r="X1371" s="210"/>
      <c r="Y1371" s="210"/>
      <c r="Z1371" s="210"/>
      <c r="AA1371" s="210"/>
      <c r="AB1371" s="210"/>
      <c r="AC1371" s="210"/>
      <c r="AD1371" s="210"/>
      <c r="AE1371" s="210"/>
      <c r="AF1371" s="210"/>
      <c r="AG1371" s="210"/>
      <c r="AH1371" s="210"/>
      <c r="AI1371" s="210"/>
      <c r="AJ1371" s="210"/>
      <c r="AK1371" s="210"/>
      <c r="AL1371" s="210"/>
      <c r="AM1371" s="214"/>
      <c r="AN1371" s="210"/>
      <c r="AO1371" s="210"/>
      <c r="AP1371" s="210"/>
      <c r="AQ1371" s="210"/>
      <c r="AR1371" s="210"/>
      <c r="AS1371" s="210"/>
      <c r="AT1371" s="210"/>
      <c r="AU1371" s="210"/>
      <c r="AV1371" s="210"/>
      <c r="AW1371" s="210"/>
      <c r="AX1371" s="210"/>
      <c r="AY1371" s="210"/>
      <c r="AZ1371" s="210"/>
      <c r="BA1371" s="210"/>
      <c r="BB1371" s="210"/>
      <c r="BC1371" s="210"/>
      <c r="BD1371" s="210"/>
      <c r="BE1371" s="210"/>
      <c r="BF1371" s="210"/>
      <c r="BG1371" s="210"/>
      <c r="BH1371" s="210"/>
      <c r="BI1371" s="210"/>
      <c r="BJ1371" s="210"/>
      <c r="BK1371" s="210"/>
      <c r="BL1371" s="210"/>
      <c r="BM1371" s="210"/>
      <c r="BN1371" s="210"/>
      <c r="BO1371" s="210"/>
      <c r="BP1371" s="210"/>
      <c r="BQ1371" s="210"/>
      <c r="BR1371" s="210"/>
      <c r="BS1371" s="210"/>
      <c r="BT1371" s="210"/>
      <c r="BU1371" s="210"/>
      <c r="BV1371" s="210"/>
      <c r="BW1371" s="210"/>
      <c r="BX1371" s="210"/>
      <c r="BY1371" s="210"/>
      <c r="BZ1371" s="210"/>
      <c r="CA1371" s="210"/>
      <c r="CB1371" s="210"/>
      <c r="CC1371" s="210"/>
      <c r="CD1371" s="210"/>
      <c r="CE1371" s="210"/>
      <c r="CF1371" s="210"/>
      <c r="CG1371" s="210"/>
      <c r="CH1371" s="210"/>
      <c r="CI1371" s="210"/>
      <c r="CJ1371" s="210"/>
      <c r="CK1371" s="210"/>
    </row>
    <row r="1372">
      <c r="A1372" s="220"/>
      <c r="F1372" s="190"/>
      <c r="G1372" s="190"/>
      <c r="L1372" s="220"/>
      <c r="M1372" s="220"/>
      <c r="O1372" s="210"/>
      <c r="P1372" s="210"/>
      <c r="Q1372" s="210"/>
      <c r="R1372" s="210"/>
      <c r="S1372" s="210"/>
      <c r="T1372" s="210"/>
      <c r="U1372" s="210"/>
      <c r="V1372" s="210"/>
      <c r="W1372" s="210"/>
      <c r="X1372" s="210"/>
      <c r="Y1372" s="210"/>
      <c r="Z1372" s="210"/>
      <c r="AA1372" s="210"/>
      <c r="AB1372" s="210"/>
      <c r="AC1372" s="210"/>
      <c r="AD1372" s="210"/>
      <c r="AE1372" s="210"/>
      <c r="AF1372" s="210"/>
      <c r="AG1372" s="210"/>
      <c r="AH1372" s="210"/>
      <c r="AI1372" s="210"/>
      <c r="AJ1372" s="210"/>
      <c r="AK1372" s="210"/>
      <c r="AL1372" s="210"/>
      <c r="AM1372" s="214"/>
      <c r="AN1372" s="210"/>
      <c r="AO1372" s="210"/>
      <c r="AP1372" s="210"/>
      <c r="AQ1372" s="210"/>
      <c r="AR1372" s="210"/>
      <c r="AS1372" s="210"/>
      <c r="AT1372" s="210"/>
      <c r="AU1372" s="210"/>
      <c r="AV1372" s="210"/>
      <c r="AW1372" s="210"/>
      <c r="AX1372" s="210"/>
      <c r="AY1372" s="210"/>
      <c r="AZ1372" s="210"/>
      <c r="BA1372" s="210"/>
      <c r="BB1372" s="210"/>
      <c r="BC1372" s="210"/>
      <c r="BD1372" s="210"/>
      <c r="BE1372" s="210"/>
      <c r="BF1372" s="210"/>
      <c r="BG1372" s="210"/>
      <c r="BH1372" s="210"/>
      <c r="BI1372" s="210"/>
      <c r="BJ1372" s="210"/>
      <c r="BK1372" s="210"/>
      <c r="BL1372" s="210"/>
      <c r="BM1372" s="210"/>
      <c r="BN1372" s="210"/>
      <c r="BO1372" s="210"/>
      <c r="BP1372" s="210"/>
      <c r="BQ1372" s="210"/>
      <c r="BR1372" s="210"/>
      <c r="BS1372" s="210"/>
      <c r="BT1372" s="210"/>
      <c r="BU1372" s="210"/>
      <c r="BV1372" s="210"/>
      <c r="BW1372" s="210"/>
      <c r="BX1372" s="210"/>
      <c r="BY1372" s="210"/>
      <c r="BZ1372" s="210"/>
      <c r="CA1372" s="210"/>
      <c r="CB1372" s="210"/>
      <c r="CC1372" s="210"/>
      <c r="CD1372" s="210"/>
      <c r="CE1372" s="210"/>
      <c r="CF1372" s="210"/>
      <c r="CG1372" s="210"/>
      <c r="CH1372" s="210"/>
      <c r="CI1372" s="210"/>
      <c r="CJ1372" s="210"/>
      <c r="CK1372" s="210"/>
    </row>
    <row r="1373">
      <c r="A1373" s="220"/>
      <c r="F1373" s="190"/>
      <c r="G1373" s="190"/>
      <c r="L1373" s="220"/>
      <c r="M1373" s="220"/>
      <c r="O1373" s="210"/>
      <c r="P1373" s="210"/>
      <c r="Q1373" s="210"/>
      <c r="R1373" s="210"/>
      <c r="S1373" s="210"/>
      <c r="T1373" s="210"/>
      <c r="U1373" s="210"/>
      <c r="V1373" s="210"/>
      <c r="W1373" s="210"/>
      <c r="X1373" s="210"/>
      <c r="Y1373" s="210"/>
      <c r="Z1373" s="210"/>
      <c r="AA1373" s="210"/>
      <c r="AB1373" s="210"/>
      <c r="AC1373" s="210"/>
      <c r="AD1373" s="210"/>
      <c r="AE1373" s="210"/>
      <c r="AF1373" s="210"/>
      <c r="AG1373" s="210"/>
      <c r="AH1373" s="210"/>
      <c r="AI1373" s="210"/>
      <c r="AJ1373" s="210"/>
      <c r="AK1373" s="210"/>
      <c r="AL1373" s="210"/>
      <c r="AM1373" s="214"/>
      <c r="AN1373" s="210"/>
      <c r="AO1373" s="210"/>
      <c r="AP1373" s="210"/>
      <c r="AQ1373" s="210"/>
      <c r="AR1373" s="210"/>
      <c r="AS1373" s="210"/>
      <c r="AT1373" s="210"/>
      <c r="AU1373" s="210"/>
      <c r="AV1373" s="210"/>
      <c r="AW1373" s="210"/>
      <c r="AX1373" s="210"/>
      <c r="AY1373" s="210"/>
      <c r="AZ1373" s="210"/>
      <c r="BA1373" s="210"/>
      <c r="BB1373" s="210"/>
      <c r="BC1373" s="210"/>
      <c r="BD1373" s="210"/>
      <c r="BE1373" s="210"/>
      <c r="BF1373" s="210"/>
      <c r="BG1373" s="210"/>
      <c r="BH1373" s="210"/>
      <c r="BI1373" s="210"/>
      <c r="BJ1373" s="210"/>
      <c r="BK1373" s="210"/>
      <c r="BL1373" s="210"/>
      <c r="BM1373" s="210"/>
      <c r="BN1373" s="210"/>
      <c r="BO1373" s="210"/>
      <c r="BP1373" s="210"/>
      <c r="BQ1373" s="210"/>
      <c r="BR1373" s="210"/>
      <c r="BS1373" s="210"/>
      <c r="BT1373" s="210"/>
      <c r="BU1373" s="210"/>
      <c r="BV1373" s="210"/>
      <c r="BW1373" s="210"/>
      <c r="BX1373" s="210"/>
      <c r="BY1373" s="210"/>
      <c r="BZ1373" s="210"/>
      <c r="CA1373" s="210"/>
      <c r="CB1373" s="210"/>
      <c r="CC1373" s="210"/>
      <c r="CD1373" s="210"/>
      <c r="CE1373" s="210"/>
      <c r="CF1373" s="210"/>
      <c r="CG1373" s="210"/>
      <c r="CH1373" s="210"/>
      <c r="CI1373" s="210"/>
      <c r="CJ1373" s="210"/>
      <c r="CK1373" s="210"/>
    </row>
    <row r="1374">
      <c r="A1374" s="220"/>
      <c r="F1374" s="190"/>
      <c r="G1374" s="190"/>
      <c r="L1374" s="220"/>
      <c r="M1374" s="220"/>
      <c r="O1374" s="210"/>
      <c r="P1374" s="210"/>
      <c r="Q1374" s="210"/>
      <c r="R1374" s="210"/>
      <c r="S1374" s="210"/>
      <c r="T1374" s="210"/>
      <c r="U1374" s="210"/>
      <c r="V1374" s="210"/>
      <c r="W1374" s="210"/>
      <c r="X1374" s="210"/>
      <c r="Y1374" s="210"/>
      <c r="Z1374" s="210"/>
      <c r="AA1374" s="210"/>
      <c r="AB1374" s="210"/>
      <c r="AC1374" s="210"/>
      <c r="AD1374" s="210"/>
      <c r="AE1374" s="210"/>
      <c r="AF1374" s="210"/>
      <c r="AG1374" s="210"/>
      <c r="AH1374" s="210"/>
      <c r="AI1374" s="210"/>
      <c r="AJ1374" s="210"/>
      <c r="AK1374" s="210"/>
      <c r="AL1374" s="210"/>
      <c r="AM1374" s="214"/>
      <c r="AN1374" s="210"/>
      <c r="AO1374" s="210"/>
      <c r="AP1374" s="210"/>
      <c r="AQ1374" s="210"/>
      <c r="AR1374" s="210"/>
      <c r="AS1374" s="210"/>
      <c r="AT1374" s="210"/>
      <c r="AU1374" s="210"/>
      <c r="AV1374" s="210"/>
      <c r="AW1374" s="210"/>
      <c r="AX1374" s="210"/>
      <c r="AY1374" s="210"/>
      <c r="AZ1374" s="210"/>
      <c r="BA1374" s="210"/>
      <c r="BB1374" s="210"/>
      <c r="BC1374" s="210"/>
      <c r="BD1374" s="210"/>
      <c r="BE1374" s="210"/>
      <c r="BF1374" s="210"/>
      <c r="BG1374" s="210"/>
      <c r="BH1374" s="210"/>
      <c r="BI1374" s="210"/>
      <c r="BJ1374" s="210"/>
      <c r="BK1374" s="210"/>
      <c r="BL1374" s="210"/>
      <c r="BM1374" s="210"/>
      <c r="BN1374" s="210"/>
      <c r="BO1374" s="210"/>
      <c r="BP1374" s="210"/>
      <c r="BQ1374" s="210"/>
      <c r="BR1374" s="210"/>
      <c r="BS1374" s="210"/>
      <c r="BT1374" s="210"/>
      <c r="BU1374" s="210"/>
      <c r="BV1374" s="210"/>
      <c r="BW1374" s="210"/>
      <c r="BX1374" s="210"/>
      <c r="BY1374" s="210"/>
      <c r="BZ1374" s="210"/>
      <c r="CA1374" s="210"/>
      <c r="CB1374" s="210"/>
      <c r="CC1374" s="210"/>
      <c r="CD1374" s="210"/>
      <c r="CE1374" s="210"/>
      <c r="CF1374" s="210"/>
      <c r="CG1374" s="210"/>
      <c r="CH1374" s="210"/>
      <c r="CI1374" s="210"/>
      <c r="CJ1374" s="210"/>
      <c r="CK1374" s="210"/>
    </row>
    <row r="1375">
      <c r="A1375" s="220"/>
      <c r="F1375" s="190"/>
      <c r="G1375" s="190"/>
      <c r="L1375" s="220"/>
      <c r="M1375" s="220"/>
      <c r="O1375" s="210"/>
      <c r="P1375" s="210"/>
      <c r="Q1375" s="210"/>
      <c r="R1375" s="210"/>
      <c r="S1375" s="210"/>
      <c r="T1375" s="210"/>
      <c r="U1375" s="210"/>
      <c r="V1375" s="210"/>
      <c r="W1375" s="210"/>
      <c r="X1375" s="210"/>
      <c r="Y1375" s="210"/>
      <c r="Z1375" s="210"/>
      <c r="AA1375" s="210"/>
      <c r="AB1375" s="210"/>
      <c r="AC1375" s="210"/>
      <c r="AD1375" s="210"/>
      <c r="AE1375" s="210"/>
      <c r="AF1375" s="210"/>
      <c r="AG1375" s="210"/>
      <c r="AH1375" s="210"/>
      <c r="AI1375" s="210"/>
      <c r="AJ1375" s="210"/>
      <c r="AK1375" s="210"/>
      <c r="AL1375" s="210"/>
      <c r="AM1375" s="214"/>
      <c r="AN1375" s="210"/>
      <c r="AO1375" s="210"/>
      <c r="AP1375" s="210"/>
      <c r="AQ1375" s="210"/>
      <c r="AR1375" s="210"/>
      <c r="AS1375" s="210"/>
      <c r="AT1375" s="210"/>
      <c r="AU1375" s="210"/>
      <c r="AV1375" s="210"/>
      <c r="AW1375" s="210"/>
      <c r="AX1375" s="210"/>
      <c r="AY1375" s="210"/>
      <c r="AZ1375" s="210"/>
      <c r="BA1375" s="210"/>
      <c r="BB1375" s="210"/>
      <c r="BC1375" s="210"/>
      <c r="BD1375" s="210"/>
      <c r="BE1375" s="210"/>
      <c r="BF1375" s="210"/>
      <c r="BG1375" s="210"/>
      <c r="BH1375" s="210"/>
      <c r="BI1375" s="210"/>
      <c r="BJ1375" s="210"/>
      <c r="BK1375" s="210"/>
      <c r="BL1375" s="210"/>
      <c r="BM1375" s="210"/>
      <c r="BN1375" s="210"/>
      <c r="BO1375" s="210"/>
      <c r="BP1375" s="210"/>
      <c r="BQ1375" s="210"/>
      <c r="BR1375" s="210"/>
      <c r="BS1375" s="210"/>
      <c r="BT1375" s="210"/>
      <c r="BU1375" s="210"/>
      <c r="BV1375" s="210"/>
      <c r="BW1375" s="210"/>
      <c r="BX1375" s="210"/>
      <c r="BY1375" s="210"/>
      <c r="BZ1375" s="210"/>
      <c r="CA1375" s="210"/>
      <c r="CB1375" s="210"/>
      <c r="CC1375" s="210"/>
      <c r="CD1375" s="210"/>
      <c r="CE1375" s="210"/>
      <c r="CF1375" s="210"/>
      <c r="CG1375" s="210"/>
      <c r="CH1375" s="210"/>
      <c r="CI1375" s="210"/>
      <c r="CJ1375" s="210"/>
      <c r="CK1375" s="210"/>
    </row>
    <row r="1376">
      <c r="A1376" s="220"/>
      <c r="F1376" s="190"/>
      <c r="G1376" s="190"/>
      <c r="L1376" s="220"/>
      <c r="M1376" s="220"/>
      <c r="O1376" s="210"/>
      <c r="P1376" s="210"/>
      <c r="Q1376" s="210"/>
      <c r="R1376" s="210"/>
      <c r="S1376" s="210"/>
      <c r="T1376" s="210"/>
      <c r="U1376" s="210"/>
      <c r="V1376" s="210"/>
      <c r="W1376" s="210"/>
      <c r="X1376" s="210"/>
      <c r="Y1376" s="210"/>
      <c r="Z1376" s="210"/>
      <c r="AA1376" s="210"/>
      <c r="AB1376" s="210"/>
      <c r="AC1376" s="210"/>
      <c r="AD1376" s="210"/>
      <c r="AE1376" s="210"/>
      <c r="AF1376" s="210"/>
      <c r="AG1376" s="210"/>
      <c r="AH1376" s="210"/>
      <c r="AI1376" s="210"/>
      <c r="AJ1376" s="210"/>
      <c r="AK1376" s="210"/>
      <c r="AL1376" s="210"/>
      <c r="AM1376" s="214"/>
      <c r="AN1376" s="210"/>
      <c r="AO1376" s="210"/>
      <c r="AP1376" s="210"/>
      <c r="AQ1376" s="210"/>
      <c r="AR1376" s="210"/>
      <c r="AS1376" s="210"/>
      <c r="AT1376" s="210"/>
      <c r="AU1376" s="210"/>
      <c r="AV1376" s="210"/>
      <c r="AW1376" s="210"/>
      <c r="AX1376" s="210"/>
      <c r="AY1376" s="210"/>
      <c r="AZ1376" s="210"/>
      <c r="BA1376" s="210"/>
      <c r="BB1376" s="210"/>
      <c r="BC1376" s="210"/>
      <c r="BD1376" s="210"/>
      <c r="BE1376" s="210"/>
      <c r="BF1376" s="210"/>
      <c r="BG1376" s="210"/>
      <c r="BH1376" s="210"/>
      <c r="BI1376" s="210"/>
      <c r="BJ1376" s="210"/>
      <c r="BK1376" s="210"/>
      <c r="BL1376" s="210"/>
      <c r="BM1376" s="210"/>
      <c r="BN1376" s="210"/>
      <c r="BO1376" s="210"/>
      <c r="BP1376" s="210"/>
      <c r="BQ1376" s="210"/>
      <c r="BR1376" s="210"/>
      <c r="BS1376" s="210"/>
      <c r="BT1376" s="210"/>
      <c r="BU1376" s="210"/>
      <c r="BV1376" s="210"/>
      <c r="BW1376" s="210"/>
      <c r="BX1376" s="210"/>
      <c r="BY1376" s="210"/>
      <c r="BZ1376" s="210"/>
      <c r="CA1376" s="210"/>
      <c r="CB1376" s="210"/>
      <c r="CC1376" s="210"/>
      <c r="CD1376" s="210"/>
      <c r="CE1376" s="210"/>
      <c r="CF1376" s="210"/>
      <c r="CG1376" s="210"/>
      <c r="CH1376" s="210"/>
      <c r="CI1376" s="210"/>
      <c r="CJ1376" s="210"/>
      <c r="CK1376" s="210"/>
    </row>
    <row r="1377">
      <c r="A1377" s="220"/>
      <c r="F1377" s="190"/>
      <c r="G1377" s="190"/>
      <c r="L1377" s="220"/>
      <c r="M1377" s="220"/>
      <c r="O1377" s="210"/>
      <c r="P1377" s="210"/>
      <c r="Q1377" s="210"/>
      <c r="R1377" s="210"/>
      <c r="S1377" s="210"/>
      <c r="T1377" s="210"/>
      <c r="U1377" s="210"/>
      <c r="V1377" s="210"/>
      <c r="W1377" s="210"/>
      <c r="X1377" s="210"/>
      <c r="Y1377" s="210"/>
      <c r="Z1377" s="210"/>
      <c r="AA1377" s="210"/>
      <c r="AB1377" s="210"/>
      <c r="AC1377" s="210"/>
      <c r="AD1377" s="210"/>
      <c r="AE1377" s="210"/>
      <c r="AF1377" s="210"/>
      <c r="AG1377" s="210"/>
      <c r="AH1377" s="210"/>
      <c r="AI1377" s="210"/>
      <c r="AJ1377" s="210"/>
      <c r="AK1377" s="210"/>
      <c r="AL1377" s="210"/>
      <c r="AM1377" s="214"/>
      <c r="AN1377" s="210"/>
      <c r="AO1377" s="210"/>
      <c r="AP1377" s="210"/>
      <c r="AQ1377" s="210"/>
      <c r="AR1377" s="210"/>
      <c r="AS1377" s="210"/>
      <c r="AT1377" s="210"/>
      <c r="AU1377" s="210"/>
      <c r="AV1377" s="210"/>
      <c r="AW1377" s="210"/>
      <c r="AX1377" s="210"/>
      <c r="AY1377" s="210"/>
      <c r="AZ1377" s="210"/>
      <c r="BA1377" s="210"/>
      <c r="BB1377" s="210"/>
      <c r="BC1377" s="210"/>
      <c r="BD1377" s="210"/>
      <c r="BE1377" s="210"/>
      <c r="BF1377" s="210"/>
      <c r="BG1377" s="210"/>
      <c r="BH1377" s="210"/>
      <c r="BI1377" s="210"/>
      <c r="BJ1377" s="210"/>
      <c r="BK1377" s="210"/>
      <c r="BL1377" s="210"/>
      <c r="BM1377" s="210"/>
      <c r="BN1377" s="210"/>
      <c r="BO1377" s="210"/>
      <c r="BP1377" s="210"/>
      <c r="BQ1377" s="210"/>
      <c r="BR1377" s="210"/>
      <c r="BS1377" s="210"/>
      <c r="BT1377" s="210"/>
      <c r="BU1377" s="210"/>
      <c r="BV1377" s="210"/>
      <c r="BW1377" s="210"/>
      <c r="BX1377" s="210"/>
      <c r="BY1377" s="210"/>
      <c r="BZ1377" s="210"/>
      <c r="CA1377" s="210"/>
      <c r="CB1377" s="210"/>
      <c r="CC1377" s="210"/>
      <c r="CD1377" s="210"/>
      <c r="CE1377" s="210"/>
      <c r="CF1377" s="210"/>
      <c r="CG1377" s="210"/>
      <c r="CH1377" s="210"/>
      <c r="CI1377" s="210"/>
      <c r="CJ1377" s="210"/>
      <c r="CK1377" s="210"/>
    </row>
    <row r="1378">
      <c r="A1378" s="220"/>
      <c r="F1378" s="190"/>
      <c r="G1378" s="190"/>
      <c r="L1378" s="220"/>
      <c r="M1378" s="220"/>
      <c r="O1378" s="210"/>
      <c r="P1378" s="210"/>
      <c r="Q1378" s="210"/>
      <c r="R1378" s="210"/>
      <c r="S1378" s="210"/>
      <c r="T1378" s="210"/>
      <c r="U1378" s="210"/>
      <c r="V1378" s="210"/>
      <c r="W1378" s="210"/>
      <c r="X1378" s="210"/>
      <c r="Y1378" s="210"/>
      <c r="Z1378" s="210"/>
      <c r="AA1378" s="210"/>
      <c r="AB1378" s="210"/>
      <c r="AC1378" s="210"/>
      <c r="AD1378" s="210"/>
      <c r="AE1378" s="210"/>
      <c r="AF1378" s="210"/>
      <c r="AG1378" s="210"/>
      <c r="AH1378" s="210"/>
      <c r="AI1378" s="210"/>
      <c r="AJ1378" s="210"/>
      <c r="AK1378" s="210"/>
      <c r="AL1378" s="210"/>
      <c r="AM1378" s="214"/>
      <c r="AN1378" s="210"/>
      <c r="AO1378" s="210"/>
      <c r="AP1378" s="210"/>
      <c r="AQ1378" s="210"/>
      <c r="AR1378" s="210"/>
      <c r="AS1378" s="210"/>
      <c r="AT1378" s="210"/>
      <c r="AU1378" s="210"/>
      <c r="AV1378" s="210"/>
      <c r="AW1378" s="210"/>
      <c r="AX1378" s="210"/>
      <c r="AY1378" s="210"/>
      <c r="AZ1378" s="210"/>
      <c r="BA1378" s="210"/>
      <c r="BB1378" s="210"/>
      <c r="BC1378" s="210"/>
      <c r="BD1378" s="210"/>
      <c r="BE1378" s="210"/>
      <c r="BF1378" s="210"/>
      <c r="BG1378" s="210"/>
      <c r="BH1378" s="210"/>
      <c r="BI1378" s="210"/>
      <c r="BJ1378" s="210"/>
      <c r="BK1378" s="210"/>
      <c r="BL1378" s="210"/>
      <c r="BM1378" s="210"/>
      <c r="BN1378" s="210"/>
      <c r="BO1378" s="210"/>
      <c r="BP1378" s="210"/>
      <c r="BQ1378" s="210"/>
      <c r="BR1378" s="210"/>
      <c r="BS1378" s="210"/>
      <c r="BT1378" s="210"/>
      <c r="BU1378" s="210"/>
      <c r="BV1378" s="210"/>
      <c r="BW1378" s="210"/>
      <c r="BX1378" s="210"/>
      <c r="BY1378" s="210"/>
      <c r="BZ1378" s="210"/>
      <c r="CA1378" s="210"/>
      <c r="CB1378" s="210"/>
      <c r="CC1378" s="210"/>
      <c r="CD1378" s="210"/>
      <c r="CE1378" s="210"/>
      <c r="CF1378" s="210"/>
      <c r="CG1378" s="210"/>
      <c r="CH1378" s="210"/>
      <c r="CI1378" s="210"/>
      <c r="CJ1378" s="210"/>
      <c r="CK1378" s="210"/>
    </row>
    <row r="1379">
      <c r="A1379" s="220"/>
      <c r="F1379" s="190"/>
      <c r="G1379" s="190"/>
      <c r="L1379" s="220"/>
      <c r="M1379" s="220"/>
      <c r="O1379" s="210"/>
      <c r="P1379" s="210"/>
      <c r="Q1379" s="210"/>
      <c r="R1379" s="210"/>
      <c r="S1379" s="210"/>
      <c r="T1379" s="210"/>
      <c r="U1379" s="210"/>
      <c r="V1379" s="210"/>
      <c r="W1379" s="210"/>
      <c r="X1379" s="210"/>
      <c r="Y1379" s="210"/>
      <c r="Z1379" s="210"/>
      <c r="AA1379" s="210"/>
      <c r="AB1379" s="210"/>
      <c r="AC1379" s="210"/>
      <c r="AD1379" s="210"/>
      <c r="AE1379" s="210"/>
      <c r="AF1379" s="210"/>
      <c r="AG1379" s="210"/>
      <c r="AH1379" s="210"/>
      <c r="AI1379" s="210"/>
      <c r="AJ1379" s="210"/>
      <c r="AK1379" s="210"/>
      <c r="AL1379" s="210"/>
      <c r="AM1379" s="214"/>
      <c r="AN1379" s="210"/>
      <c r="AO1379" s="210"/>
      <c r="AP1379" s="210"/>
      <c r="AQ1379" s="210"/>
      <c r="AR1379" s="210"/>
      <c r="AS1379" s="210"/>
      <c r="AT1379" s="210"/>
      <c r="AU1379" s="210"/>
      <c r="AV1379" s="210"/>
      <c r="AW1379" s="210"/>
      <c r="AX1379" s="210"/>
      <c r="AY1379" s="210"/>
      <c r="AZ1379" s="210"/>
      <c r="BA1379" s="210"/>
      <c r="BB1379" s="210"/>
      <c r="BC1379" s="210"/>
      <c r="BD1379" s="210"/>
      <c r="BE1379" s="210"/>
      <c r="BF1379" s="210"/>
      <c r="BG1379" s="210"/>
      <c r="BH1379" s="210"/>
      <c r="BI1379" s="210"/>
      <c r="BJ1379" s="210"/>
      <c r="BK1379" s="210"/>
      <c r="BL1379" s="210"/>
      <c r="BM1379" s="210"/>
      <c r="BN1379" s="210"/>
      <c r="BO1379" s="210"/>
      <c r="BP1379" s="210"/>
      <c r="BQ1379" s="210"/>
      <c r="BR1379" s="210"/>
      <c r="BS1379" s="210"/>
      <c r="BT1379" s="210"/>
      <c r="BU1379" s="210"/>
      <c r="BV1379" s="210"/>
      <c r="BW1379" s="210"/>
      <c r="BX1379" s="210"/>
      <c r="BY1379" s="210"/>
      <c r="BZ1379" s="210"/>
      <c r="CA1379" s="210"/>
      <c r="CB1379" s="210"/>
      <c r="CC1379" s="210"/>
      <c r="CD1379" s="210"/>
      <c r="CE1379" s="210"/>
      <c r="CF1379" s="210"/>
      <c r="CG1379" s="210"/>
      <c r="CH1379" s="210"/>
      <c r="CI1379" s="210"/>
      <c r="CJ1379" s="210"/>
      <c r="CK1379" s="210"/>
    </row>
    <row r="1380">
      <c r="A1380" s="220"/>
      <c r="F1380" s="190"/>
      <c r="G1380" s="190"/>
      <c r="L1380" s="220"/>
      <c r="M1380" s="220"/>
      <c r="O1380" s="210"/>
      <c r="P1380" s="210"/>
      <c r="Q1380" s="210"/>
      <c r="R1380" s="210"/>
      <c r="S1380" s="210"/>
      <c r="T1380" s="210"/>
      <c r="U1380" s="210"/>
      <c r="V1380" s="210"/>
      <c r="W1380" s="210"/>
      <c r="X1380" s="210"/>
      <c r="Y1380" s="210"/>
      <c r="Z1380" s="210"/>
      <c r="AA1380" s="210"/>
      <c r="AB1380" s="210"/>
      <c r="AC1380" s="210"/>
      <c r="AD1380" s="210"/>
      <c r="AE1380" s="210"/>
      <c r="AF1380" s="210"/>
      <c r="AG1380" s="210"/>
      <c r="AH1380" s="210"/>
      <c r="AI1380" s="210"/>
      <c r="AJ1380" s="210"/>
      <c r="AK1380" s="210"/>
      <c r="AL1380" s="210"/>
      <c r="AM1380" s="214"/>
      <c r="AN1380" s="210"/>
      <c r="AO1380" s="210"/>
      <c r="AP1380" s="210"/>
      <c r="AQ1380" s="210"/>
      <c r="AR1380" s="210"/>
      <c r="AS1380" s="210"/>
      <c r="AT1380" s="210"/>
      <c r="AU1380" s="210"/>
      <c r="AV1380" s="210"/>
      <c r="AW1380" s="210"/>
      <c r="AX1380" s="210"/>
      <c r="AY1380" s="210"/>
      <c r="AZ1380" s="210"/>
      <c r="BA1380" s="210"/>
      <c r="BB1380" s="210"/>
      <c r="BC1380" s="210"/>
      <c r="BD1380" s="210"/>
      <c r="BE1380" s="210"/>
      <c r="BF1380" s="210"/>
      <c r="BG1380" s="210"/>
      <c r="BH1380" s="210"/>
      <c r="BI1380" s="210"/>
      <c r="BJ1380" s="210"/>
      <c r="BK1380" s="210"/>
      <c r="BL1380" s="210"/>
      <c r="BM1380" s="210"/>
      <c r="BN1380" s="210"/>
      <c r="BO1380" s="210"/>
      <c r="BP1380" s="210"/>
      <c r="BQ1380" s="210"/>
      <c r="BR1380" s="210"/>
      <c r="BS1380" s="210"/>
      <c r="BT1380" s="210"/>
      <c r="BU1380" s="210"/>
      <c r="BV1380" s="210"/>
      <c r="BW1380" s="210"/>
      <c r="BX1380" s="210"/>
      <c r="BY1380" s="210"/>
      <c r="BZ1380" s="210"/>
      <c r="CA1380" s="210"/>
      <c r="CB1380" s="210"/>
      <c r="CC1380" s="210"/>
      <c r="CD1380" s="210"/>
      <c r="CE1380" s="210"/>
      <c r="CF1380" s="210"/>
      <c r="CG1380" s="210"/>
      <c r="CH1380" s="210"/>
      <c r="CI1380" s="210"/>
      <c r="CJ1380" s="210"/>
      <c r="CK1380" s="210"/>
    </row>
    <row r="1381">
      <c r="A1381" s="220"/>
      <c r="F1381" s="190"/>
      <c r="G1381" s="190"/>
      <c r="L1381" s="220"/>
      <c r="M1381" s="220"/>
      <c r="O1381" s="210"/>
      <c r="P1381" s="210"/>
      <c r="Q1381" s="210"/>
      <c r="R1381" s="210"/>
      <c r="S1381" s="210"/>
      <c r="T1381" s="210"/>
      <c r="U1381" s="210"/>
      <c r="V1381" s="210"/>
      <c r="W1381" s="210"/>
      <c r="X1381" s="210"/>
      <c r="Y1381" s="210"/>
      <c r="Z1381" s="210"/>
      <c r="AA1381" s="210"/>
      <c r="AB1381" s="210"/>
      <c r="AC1381" s="210"/>
      <c r="AD1381" s="210"/>
      <c r="AE1381" s="210"/>
      <c r="AF1381" s="210"/>
      <c r="AG1381" s="210"/>
      <c r="AH1381" s="210"/>
      <c r="AI1381" s="210"/>
      <c r="AJ1381" s="210"/>
      <c r="AK1381" s="210"/>
      <c r="AL1381" s="210"/>
      <c r="AM1381" s="214"/>
      <c r="AN1381" s="210"/>
      <c r="AO1381" s="210"/>
      <c r="AP1381" s="210"/>
      <c r="AQ1381" s="210"/>
      <c r="AR1381" s="210"/>
      <c r="AS1381" s="210"/>
      <c r="AT1381" s="210"/>
      <c r="AU1381" s="210"/>
      <c r="AV1381" s="210"/>
      <c r="AW1381" s="210"/>
      <c r="AX1381" s="210"/>
      <c r="AY1381" s="210"/>
      <c r="AZ1381" s="210"/>
      <c r="BA1381" s="210"/>
      <c r="BB1381" s="210"/>
      <c r="BC1381" s="210"/>
      <c r="BD1381" s="210"/>
      <c r="BE1381" s="210"/>
      <c r="BF1381" s="210"/>
      <c r="BG1381" s="210"/>
      <c r="BH1381" s="210"/>
      <c r="BI1381" s="210"/>
      <c r="BJ1381" s="210"/>
      <c r="BK1381" s="210"/>
      <c r="BL1381" s="210"/>
      <c r="BM1381" s="210"/>
      <c r="BN1381" s="210"/>
      <c r="BO1381" s="210"/>
      <c r="BP1381" s="210"/>
      <c r="BQ1381" s="210"/>
      <c r="BR1381" s="210"/>
      <c r="BS1381" s="210"/>
      <c r="BT1381" s="210"/>
      <c r="BU1381" s="210"/>
      <c r="BV1381" s="210"/>
      <c r="BW1381" s="210"/>
      <c r="BX1381" s="210"/>
      <c r="BY1381" s="210"/>
      <c r="BZ1381" s="210"/>
      <c r="CA1381" s="210"/>
      <c r="CB1381" s="210"/>
      <c r="CC1381" s="210"/>
      <c r="CD1381" s="210"/>
      <c r="CE1381" s="210"/>
      <c r="CF1381" s="210"/>
      <c r="CG1381" s="210"/>
      <c r="CH1381" s="210"/>
      <c r="CI1381" s="210"/>
      <c r="CJ1381" s="210"/>
      <c r="CK1381" s="210"/>
    </row>
    <row r="1382">
      <c r="A1382" s="220"/>
      <c r="F1382" s="190"/>
      <c r="G1382" s="190"/>
      <c r="L1382" s="220"/>
      <c r="M1382" s="220"/>
      <c r="O1382" s="210"/>
      <c r="P1382" s="210"/>
      <c r="Q1382" s="210"/>
      <c r="R1382" s="210"/>
      <c r="S1382" s="210"/>
      <c r="T1382" s="210"/>
      <c r="U1382" s="210"/>
      <c r="V1382" s="210"/>
      <c r="W1382" s="210"/>
      <c r="X1382" s="210"/>
      <c r="Y1382" s="210"/>
      <c r="Z1382" s="210"/>
      <c r="AA1382" s="210"/>
      <c r="AB1382" s="210"/>
      <c r="AC1382" s="210"/>
      <c r="AD1382" s="210"/>
      <c r="AE1382" s="210"/>
      <c r="AF1382" s="210"/>
      <c r="AG1382" s="210"/>
      <c r="AH1382" s="210"/>
      <c r="AI1382" s="210"/>
      <c r="AJ1382" s="210"/>
      <c r="AK1382" s="210"/>
      <c r="AL1382" s="210"/>
      <c r="AM1382" s="214"/>
      <c r="AN1382" s="210"/>
      <c r="AO1382" s="210"/>
      <c r="AP1382" s="210"/>
      <c r="AQ1382" s="210"/>
      <c r="AR1382" s="210"/>
      <c r="AS1382" s="210"/>
      <c r="AT1382" s="210"/>
      <c r="AU1382" s="210"/>
      <c r="AV1382" s="210"/>
      <c r="AW1382" s="210"/>
      <c r="AX1382" s="210"/>
      <c r="AY1382" s="210"/>
      <c r="AZ1382" s="210"/>
      <c r="BA1382" s="210"/>
      <c r="BB1382" s="210"/>
      <c r="BC1382" s="210"/>
      <c r="BD1382" s="210"/>
      <c r="BE1382" s="210"/>
      <c r="BF1382" s="210"/>
      <c r="BG1382" s="210"/>
      <c r="BH1382" s="210"/>
      <c r="BI1382" s="210"/>
      <c r="BJ1382" s="210"/>
      <c r="BK1382" s="210"/>
      <c r="BL1382" s="210"/>
      <c r="BM1382" s="210"/>
      <c r="BN1382" s="210"/>
      <c r="BO1382" s="210"/>
      <c r="BP1382" s="210"/>
      <c r="BQ1382" s="210"/>
      <c r="BR1382" s="210"/>
      <c r="BS1382" s="210"/>
      <c r="BT1382" s="210"/>
      <c r="BU1382" s="210"/>
      <c r="BV1382" s="210"/>
      <c r="BW1382" s="210"/>
      <c r="BX1382" s="210"/>
      <c r="BY1382" s="210"/>
      <c r="BZ1382" s="210"/>
      <c r="CA1382" s="210"/>
      <c r="CB1382" s="210"/>
      <c r="CC1382" s="210"/>
      <c r="CD1382" s="210"/>
      <c r="CE1382" s="210"/>
      <c r="CF1382" s="210"/>
      <c r="CG1382" s="210"/>
      <c r="CH1382" s="210"/>
      <c r="CI1382" s="210"/>
      <c r="CJ1382" s="210"/>
      <c r="CK1382" s="210"/>
    </row>
    <row r="1383">
      <c r="A1383" s="220"/>
      <c r="F1383" s="190"/>
      <c r="G1383" s="190"/>
      <c r="L1383" s="220"/>
      <c r="M1383" s="220"/>
      <c r="O1383" s="210"/>
      <c r="P1383" s="210"/>
      <c r="Q1383" s="210"/>
      <c r="R1383" s="210"/>
      <c r="S1383" s="210"/>
      <c r="T1383" s="210"/>
      <c r="U1383" s="210"/>
      <c r="V1383" s="210"/>
      <c r="W1383" s="210"/>
      <c r="X1383" s="210"/>
      <c r="Y1383" s="210"/>
      <c r="Z1383" s="210"/>
      <c r="AA1383" s="210"/>
      <c r="AB1383" s="210"/>
      <c r="AC1383" s="210"/>
      <c r="AD1383" s="210"/>
      <c r="AE1383" s="210"/>
      <c r="AF1383" s="210"/>
      <c r="AG1383" s="210"/>
      <c r="AH1383" s="210"/>
      <c r="AI1383" s="210"/>
      <c r="AJ1383" s="210"/>
      <c r="AK1383" s="210"/>
      <c r="AL1383" s="210"/>
      <c r="AM1383" s="214"/>
      <c r="AN1383" s="210"/>
      <c r="AO1383" s="210"/>
      <c r="AP1383" s="210"/>
      <c r="AQ1383" s="210"/>
      <c r="AR1383" s="210"/>
      <c r="AS1383" s="210"/>
      <c r="AT1383" s="210"/>
      <c r="AU1383" s="210"/>
      <c r="AV1383" s="210"/>
      <c r="AW1383" s="210"/>
      <c r="AX1383" s="210"/>
      <c r="AY1383" s="210"/>
      <c r="AZ1383" s="210"/>
      <c r="BA1383" s="210"/>
      <c r="BB1383" s="210"/>
      <c r="BC1383" s="210"/>
      <c r="BD1383" s="210"/>
      <c r="BE1383" s="210"/>
      <c r="BF1383" s="210"/>
      <c r="BG1383" s="210"/>
      <c r="BH1383" s="210"/>
      <c r="BI1383" s="210"/>
      <c r="BJ1383" s="210"/>
      <c r="BK1383" s="210"/>
      <c r="BL1383" s="210"/>
      <c r="BM1383" s="210"/>
      <c r="BN1383" s="210"/>
      <c r="BO1383" s="210"/>
      <c r="BP1383" s="210"/>
      <c r="BQ1383" s="210"/>
      <c r="BR1383" s="210"/>
      <c r="BS1383" s="210"/>
      <c r="BT1383" s="210"/>
      <c r="BU1383" s="210"/>
      <c r="BV1383" s="210"/>
      <c r="BW1383" s="210"/>
      <c r="BX1383" s="210"/>
      <c r="BY1383" s="210"/>
      <c r="BZ1383" s="210"/>
      <c r="CA1383" s="210"/>
      <c r="CB1383" s="210"/>
      <c r="CC1383" s="210"/>
      <c r="CD1383" s="210"/>
      <c r="CE1383" s="210"/>
      <c r="CF1383" s="210"/>
      <c r="CG1383" s="210"/>
      <c r="CH1383" s="210"/>
      <c r="CI1383" s="210"/>
      <c r="CJ1383" s="210"/>
      <c r="CK1383" s="210"/>
    </row>
    <row r="1384">
      <c r="A1384" s="220"/>
      <c r="F1384" s="190"/>
      <c r="G1384" s="190"/>
      <c r="L1384" s="220"/>
      <c r="M1384" s="220"/>
      <c r="O1384" s="210"/>
      <c r="P1384" s="210"/>
      <c r="Q1384" s="210"/>
      <c r="R1384" s="210"/>
      <c r="S1384" s="210"/>
      <c r="T1384" s="210"/>
      <c r="U1384" s="210"/>
      <c r="V1384" s="210"/>
      <c r="W1384" s="210"/>
      <c r="X1384" s="210"/>
      <c r="Y1384" s="210"/>
      <c r="Z1384" s="210"/>
      <c r="AA1384" s="210"/>
      <c r="AB1384" s="210"/>
      <c r="AC1384" s="210"/>
      <c r="AD1384" s="210"/>
      <c r="AE1384" s="210"/>
      <c r="AF1384" s="210"/>
      <c r="AG1384" s="210"/>
      <c r="AH1384" s="210"/>
      <c r="AI1384" s="210"/>
      <c r="AJ1384" s="210"/>
      <c r="AK1384" s="210"/>
      <c r="AL1384" s="210"/>
      <c r="AM1384" s="214"/>
      <c r="AN1384" s="210"/>
      <c r="AO1384" s="210"/>
      <c r="AP1384" s="210"/>
      <c r="AQ1384" s="210"/>
      <c r="AR1384" s="210"/>
      <c r="AS1384" s="210"/>
      <c r="AT1384" s="210"/>
      <c r="AU1384" s="210"/>
      <c r="AV1384" s="210"/>
      <c r="AW1384" s="210"/>
      <c r="AX1384" s="210"/>
      <c r="AY1384" s="210"/>
      <c r="AZ1384" s="210"/>
      <c r="BA1384" s="210"/>
      <c r="BB1384" s="210"/>
      <c r="BC1384" s="210"/>
      <c r="BD1384" s="210"/>
      <c r="BE1384" s="210"/>
      <c r="BF1384" s="210"/>
      <c r="BG1384" s="210"/>
      <c r="BH1384" s="210"/>
      <c r="BI1384" s="210"/>
      <c r="BJ1384" s="210"/>
      <c r="BK1384" s="210"/>
      <c r="BL1384" s="210"/>
      <c r="BM1384" s="210"/>
      <c r="BN1384" s="210"/>
      <c r="BO1384" s="210"/>
      <c r="BP1384" s="210"/>
      <c r="BQ1384" s="210"/>
      <c r="BR1384" s="210"/>
      <c r="BS1384" s="210"/>
      <c r="BT1384" s="210"/>
      <c r="BU1384" s="210"/>
      <c r="BV1384" s="210"/>
      <c r="BW1384" s="210"/>
      <c r="BX1384" s="210"/>
      <c r="BY1384" s="210"/>
      <c r="BZ1384" s="210"/>
      <c r="CA1384" s="210"/>
      <c r="CB1384" s="210"/>
      <c r="CC1384" s="210"/>
      <c r="CD1384" s="210"/>
      <c r="CE1384" s="210"/>
      <c r="CF1384" s="210"/>
      <c r="CG1384" s="210"/>
      <c r="CH1384" s="210"/>
      <c r="CI1384" s="210"/>
      <c r="CJ1384" s="210"/>
      <c r="CK1384" s="210"/>
    </row>
    <row r="1385">
      <c r="A1385" s="220"/>
      <c r="F1385" s="190"/>
      <c r="G1385" s="190"/>
      <c r="L1385" s="220"/>
      <c r="M1385" s="220"/>
      <c r="O1385" s="210"/>
      <c r="P1385" s="210"/>
      <c r="Q1385" s="210"/>
      <c r="R1385" s="210"/>
      <c r="S1385" s="210"/>
      <c r="T1385" s="210"/>
      <c r="U1385" s="210"/>
      <c r="V1385" s="210"/>
      <c r="W1385" s="210"/>
      <c r="X1385" s="210"/>
      <c r="Y1385" s="210"/>
      <c r="Z1385" s="210"/>
      <c r="AA1385" s="210"/>
      <c r="AB1385" s="210"/>
      <c r="AC1385" s="210"/>
      <c r="AD1385" s="210"/>
      <c r="AE1385" s="210"/>
      <c r="AF1385" s="210"/>
      <c r="AG1385" s="210"/>
      <c r="AH1385" s="210"/>
      <c r="AI1385" s="210"/>
      <c r="AJ1385" s="210"/>
      <c r="AK1385" s="210"/>
      <c r="AL1385" s="210"/>
      <c r="AM1385" s="214"/>
      <c r="AN1385" s="210"/>
      <c r="AO1385" s="210"/>
      <c r="AP1385" s="210"/>
      <c r="AQ1385" s="210"/>
      <c r="AR1385" s="210"/>
      <c r="AS1385" s="210"/>
      <c r="AT1385" s="210"/>
      <c r="AU1385" s="210"/>
      <c r="AV1385" s="210"/>
      <c r="AW1385" s="210"/>
      <c r="AX1385" s="210"/>
      <c r="AY1385" s="210"/>
      <c r="AZ1385" s="210"/>
      <c r="BA1385" s="210"/>
      <c r="BB1385" s="210"/>
      <c r="BC1385" s="210"/>
      <c r="BD1385" s="210"/>
      <c r="BE1385" s="210"/>
      <c r="BF1385" s="210"/>
      <c r="BG1385" s="210"/>
      <c r="BH1385" s="210"/>
      <c r="BI1385" s="210"/>
      <c r="BJ1385" s="210"/>
      <c r="BK1385" s="210"/>
      <c r="BL1385" s="210"/>
      <c r="BM1385" s="210"/>
      <c r="BN1385" s="210"/>
      <c r="BO1385" s="210"/>
      <c r="BP1385" s="210"/>
      <c r="BQ1385" s="210"/>
      <c r="BR1385" s="210"/>
      <c r="BS1385" s="210"/>
      <c r="BT1385" s="210"/>
      <c r="BU1385" s="210"/>
      <c r="BV1385" s="210"/>
      <c r="BW1385" s="210"/>
      <c r="BX1385" s="210"/>
      <c r="BY1385" s="210"/>
      <c r="BZ1385" s="210"/>
      <c r="CA1385" s="210"/>
      <c r="CB1385" s="210"/>
      <c r="CC1385" s="210"/>
      <c r="CD1385" s="210"/>
      <c r="CE1385" s="210"/>
      <c r="CF1385" s="210"/>
      <c r="CG1385" s="210"/>
      <c r="CH1385" s="210"/>
      <c r="CI1385" s="210"/>
      <c r="CJ1385" s="210"/>
      <c r="CK1385" s="210"/>
    </row>
    <row r="1386">
      <c r="A1386" s="220"/>
      <c r="F1386" s="190"/>
      <c r="G1386" s="190"/>
      <c r="L1386" s="220"/>
      <c r="M1386" s="220"/>
      <c r="O1386" s="210"/>
      <c r="P1386" s="210"/>
      <c r="Q1386" s="210"/>
      <c r="R1386" s="210"/>
      <c r="S1386" s="210"/>
      <c r="T1386" s="210"/>
      <c r="U1386" s="210"/>
      <c r="V1386" s="210"/>
      <c r="W1386" s="210"/>
      <c r="X1386" s="210"/>
      <c r="Y1386" s="210"/>
      <c r="Z1386" s="210"/>
      <c r="AA1386" s="210"/>
      <c r="AB1386" s="210"/>
      <c r="AC1386" s="210"/>
      <c r="AD1386" s="210"/>
      <c r="AE1386" s="210"/>
      <c r="AF1386" s="210"/>
      <c r="AG1386" s="210"/>
      <c r="AH1386" s="210"/>
      <c r="AI1386" s="210"/>
      <c r="AJ1386" s="210"/>
      <c r="AK1386" s="210"/>
      <c r="AL1386" s="210"/>
      <c r="AM1386" s="214"/>
      <c r="AN1386" s="210"/>
      <c r="AO1386" s="210"/>
      <c r="AP1386" s="210"/>
      <c r="AQ1386" s="210"/>
      <c r="AR1386" s="210"/>
      <c r="AS1386" s="210"/>
      <c r="AT1386" s="210"/>
      <c r="AU1386" s="210"/>
      <c r="AV1386" s="210"/>
      <c r="AW1386" s="210"/>
      <c r="AX1386" s="210"/>
      <c r="AY1386" s="210"/>
      <c r="AZ1386" s="210"/>
      <c r="BA1386" s="210"/>
      <c r="BB1386" s="210"/>
      <c r="BC1386" s="210"/>
      <c r="BD1386" s="210"/>
      <c r="BE1386" s="210"/>
      <c r="BF1386" s="210"/>
      <c r="BG1386" s="210"/>
      <c r="BH1386" s="210"/>
      <c r="BI1386" s="210"/>
      <c r="BJ1386" s="210"/>
      <c r="BK1386" s="210"/>
      <c r="BL1386" s="210"/>
      <c r="BM1386" s="210"/>
      <c r="BN1386" s="210"/>
      <c r="BO1386" s="210"/>
      <c r="BP1386" s="210"/>
      <c r="BQ1386" s="210"/>
      <c r="BR1386" s="210"/>
      <c r="BS1386" s="210"/>
      <c r="BT1386" s="210"/>
      <c r="BU1386" s="210"/>
      <c r="BV1386" s="210"/>
      <c r="BW1386" s="210"/>
      <c r="BX1386" s="210"/>
      <c r="BY1386" s="210"/>
      <c r="BZ1386" s="210"/>
      <c r="CA1386" s="210"/>
      <c r="CB1386" s="210"/>
      <c r="CC1386" s="210"/>
      <c r="CD1386" s="210"/>
      <c r="CE1386" s="210"/>
      <c r="CF1386" s="210"/>
      <c r="CG1386" s="210"/>
      <c r="CH1386" s="210"/>
      <c r="CI1386" s="210"/>
      <c r="CJ1386" s="210"/>
      <c r="CK1386" s="210"/>
    </row>
    <row r="1387">
      <c r="A1387" s="220"/>
      <c r="F1387" s="190"/>
      <c r="G1387" s="190"/>
      <c r="L1387" s="220"/>
      <c r="M1387" s="220"/>
      <c r="O1387" s="210"/>
      <c r="P1387" s="210"/>
      <c r="Q1387" s="210"/>
      <c r="R1387" s="210"/>
      <c r="S1387" s="210"/>
      <c r="T1387" s="210"/>
      <c r="U1387" s="210"/>
      <c r="V1387" s="210"/>
      <c r="W1387" s="210"/>
      <c r="X1387" s="210"/>
      <c r="Y1387" s="210"/>
      <c r="Z1387" s="210"/>
      <c r="AA1387" s="210"/>
      <c r="AB1387" s="210"/>
      <c r="AC1387" s="210"/>
      <c r="AD1387" s="210"/>
      <c r="AE1387" s="210"/>
      <c r="AF1387" s="210"/>
      <c r="AG1387" s="210"/>
      <c r="AH1387" s="210"/>
      <c r="AI1387" s="210"/>
      <c r="AJ1387" s="210"/>
      <c r="AK1387" s="210"/>
      <c r="AL1387" s="210"/>
      <c r="AM1387" s="214"/>
      <c r="AN1387" s="210"/>
      <c r="AO1387" s="210"/>
      <c r="AP1387" s="210"/>
      <c r="AQ1387" s="210"/>
      <c r="AR1387" s="210"/>
      <c r="AS1387" s="210"/>
      <c r="AT1387" s="210"/>
      <c r="AU1387" s="210"/>
      <c r="AV1387" s="210"/>
      <c r="AW1387" s="210"/>
      <c r="AX1387" s="210"/>
      <c r="AY1387" s="210"/>
      <c r="AZ1387" s="210"/>
      <c r="BA1387" s="210"/>
      <c r="BB1387" s="210"/>
      <c r="BC1387" s="210"/>
      <c r="BD1387" s="210"/>
      <c r="BE1387" s="210"/>
      <c r="BF1387" s="210"/>
      <c r="BG1387" s="210"/>
      <c r="BH1387" s="210"/>
      <c r="BI1387" s="210"/>
      <c r="BJ1387" s="210"/>
      <c r="BK1387" s="210"/>
      <c r="BL1387" s="210"/>
      <c r="BM1387" s="210"/>
      <c r="BN1387" s="210"/>
      <c r="BO1387" s="210"/>
      <c r="BP1387" s="210"/>
      <c r="BQ1387" s="210"/>
      <c r="BR1387" s="210"/>
      <c r="BS1387" s="210"/>
      <c r="BT1387" s="210"/>
      <c r="BU1387" s="210"/>
      <c r="BV1387" s="210"/>
      <c r="BW1387" s="210"/>
      <c r="BX1387" s="210"/>
      <c r="BY1387" s="210"/>
      <c r="BZ1387" s="210"/>
      <c r="CA1387" s="210"/>
      <c r="CB1387" s="210"/>
      <c r="CC1387" s="210"/>
      <c r="CD1387" s="210"/>
      <c r="CE1387" s="210"/>
      <c r="CF1387" s="210"/>
      <c r="CG1387" s="210"/>
      <c r="CH1387" s="210"/>
      <c r="CI1387" s="210"/>
      <c r="CJ1387" s="210"/>
      <c r="CK1387" s="210"/>
    </row>
    <row r="1388">
      <c r="A1388" s="220"/>
      <c r="F1388" s="190"/>
      <c r="G1388" s="190"/>
      <c r="L1388" s="220"/>
      <c r="M1388" s="220"/>
      <c r="O1388" s="210"/>
      <c r="P1388" s="210"/>
      <c r="Q1388" s="210"/>
      <c r="R1388" s="210"/>
      <c r="S1388" s="210"/>
      <c r="T1388" s="210"/>
      <c r="U1388" s="210"/>
      <c r="V1388" s="210"/>
      <c r="W1388" s="210"/>
      <c r="X1388" s="210"/>
      <c r="Y1388" s="210"/>
      <c r="Z1388" s="210"/>
      <c r="AA1388" s="210"/>
      <c r="AB1388" s="210"/>
      <c r="AC1388" s="210"/>
      <c r="AD1388" s="210"/>
      <c r="AE1388" s="210"/>
      <c r="AF1388" s="210"/>
      <c r="AG1388" s="210"/>
      <c r="AH1388" s="210"/>
      <c r="AI1388" s="210"/>
      <c r="AJ1388" s="210"/>
      <c r="AK1388" s="210"/>
      <c r="AL1388" s="210"/>
      <c r="AM1388" s="214"/>
      <c r="AN1388" s="210"/>
      <c r="AO1388" s="210"/>
      <c r="AP1388" s="210"/>
      <c r="AQ1388" s="210"/>
      <c r="AR1388" s="210"/>
      <c r="AS1388" s="210"/>
      <c r="AT1388" s="210"/>
      <c r="AU1388" s="210"/>
      <c r="AV1388" s="210"/>
      <c r="AW1388" s="210"/>
      <c r="AX1388" s="210"/>
      <c r="AY1388" s="210"/>
      <c r="AZ1388" s="210"/>
      <c r="BA1388" s="210"/>
      <c r="BB1388" s="210"/>
      <c r="BC1388" s="210"/>
      <c r="BD1388" s="210"/>
      <c r="BE1388" s="210"/>
      <c r="BF1388" s="210"/>
      <c r="BG1388" s="210"/>
      <c r="BH1388" s="210"/>
      <c r="BI1388" s="210"/>
      <c r="BJ1388" s="210"/>
      <c r="BK1388" s="210"/>
      <c r="BL1388" s="210"/>
      <c r="BM1388" s="210"/>
      <c r="BN1388" s="210"/>
      <c r="BO1388" s="210"/>
      <c r="BP1388" s="210"/>
      <c r="BQ1388" s="210"/>
      <c r="BR1388" s="210"/>
      <c r="BS1388" s="210"/>
      <c r="BT1388" s="210"/>
      <c r="BU1388" s="210"/>
      <c r="BV1388" s="210"/>
      <c r="BW1388" s="210"/>
      <c r="BX1388" s="210"/>
      <c r="BY1388" s="210"/>
      <c r="BZ1388" s="210"/>
      <c r="CA1388" s="210"/>
      <c r="CB1388" s="210"/>
      <c r="CC1388" s="210"/>
      <c r="CD1388" s="210"/>
      <c r="CE1388" s="210"/>
      <c r="CF1388" s="210"/>
      <c r="CG1388" s="210"/>
      <c r="CH1388" s="210"/>
      <c r="CI1388" s="210"/>
      <c r="CJ1388" s="210"/>
      <c r="CK1388" s="210"/>
    </row>
    <row r="1389">
      <c r="A1389" s="220"/>
      <c r="F1389" s="190"/>
      <c r="G1389" s="190"/>
      <c r="L1389" s="220"/>
      <c r="M1389" s="220"/>
      <c r="O1389" s="210"/>
      <c r="P1389" s="210"/>
      <c r="Q1389" s="210"/>
      <c r="R1389" s="210"/>
      <c r="S1389" s="210"/>
      <c r="T1389" s="210"/>
      <c r="U1389" s="210"/>
      <c r="V1389" s="210"/>
      <c r="W1389" s="210"/>
      <c r="X1389" s="210"/>
      <c r="Y1389" s="210"/>
      <c r="Z1389" s="210"/>
      <c r="AA1389" s="210"/>
      <c r="AB1389" s="210"/>
      <c r="AC1389" s="210"/>
      <c r="AD1389" s="210"/>
      <c r="AE1389" s="210"/>
      <c r="AF1389" s="210"/>
      <c r="AG1389" s="210"/>
      <c r="AH1389" s="210"/>
      <c r="AI1389" s="210"/>
      <c r="AJ1389" s="210"/>
      <c r="AK1389" s="210"/>
      <c r="AL1389" s="210"/>
      <c r="AM1389" s="214"/>
      <c r="AN1389" s="210"/>
      <c r="AO1389" s="210"/>
      <c r="AP1389" s="210"/>
      <c r="AQ1389" s="210"/>
      <c r="AR1389" s="210"/>
      <c r="AS1389" s="210"/>
      <c r="AT1389" s="210"/>
      <c r="AU1389" s="210"/>
      <c r="AV1389" s="210"/>
      <c r="AW1389" s="210"/>
      <c r="AX1389" s="210"/>
      <c r="AY1389" s="210"/>
      <c r="AZ1389" s="210"/>
      <c r="BA1389" s="210"/>
      <c r="BB1389" s="210"/>
      <c r="BC1389" s="210"/>
      <c r="BD1389" s="210"/>
      <c r="BE1389" s="210"/>
      <c r="BF1389" s="210"/>
      <c r="BG1389" s="210"/>
      <c r="BH1389" s="210"/>
      <c r="BI1389" s="210"/>
      <c r="BJ1389" s="210"/>
      <c r="BK1389" s="210"/>
      <c r="BL1389" s="210"/>
      <c r="BM1389" s="210"/>
      <c r="BN1389" s="210"/>
      <c r="BO1389" s="210"/>
      <c r="BP1389" s="210"/>
      <c r="BQ1389" s="210"/>
      <c r="BR1389" s="210"/>
      <c r="BS1389" s="210"/>
      <c r="BT1389" s="210"/>
      <c r="BU1389" s="210"/>
      <c r="BV1389" s="210"/>
      <c r="BW1389" s="210"/>
      <c r="BX1389" s="210"/>
      <c r="BY1389" s="210"/>
      <c r="BZ1389" s="210"/>
      <c r="CA1389" s="210"/>
      <c r="CB1389" s="210"/>
      <c r="CC1389" s="210"/>
      <c r="CD1389" s="210"/>
      <c r="CE1389" s="210"/>
      <c r="CF1389" s="210"/>
      <c r="CG1389" s="210"/>
      <c r="CH1389" s="210"/>
      <c r="CI1389" s="210"/>
      <c r="CJ1389" s="210"/>
      <c r="CK1389" s="210"/>
    </row>
    <row r="1390">
      <c r="A1390" s="220"/>
      <c r="F1390" s="190"/>
      <c r="G1390" s="190"/>
      <c r="L1390" s="220"/>
      <c r="M1390" s="220"/>
      <c r="O1390" s="210"/>
      <c r="P1390" s="210"/>
      <c r="Q1390" s="210"/>
      <c r="R1390" s="210"/>
      <c r="S1390" s="210"/>
      <c r="T1390" s="210"/>
      <c r="U1390" s="210"/>
      <c r="V1390" s="210"/>
      <c r="W1390" s="210"/>
      <c r="X1390" s="210"/>
      <c r="Y1390" s="210"/>
      <c r="Z1390" s="210"/>
      <c r="AA1390" s="210"/>
      <c r="AB1390" s="210"/>
      <c r="AC1390" s="210"/>
      <c r="AD1390" s="210"/>
      <c r="AE1390" s="210"/>
      <c r="AF1390" s="210"/>
      <c r="AG1390" s="210"/>
      <c r="AH1390" s="210"/>
      <c r="AI1390" s="210"/>
      <c r="AJ1390" s="210"/>
      <c r="AK1390" s="210"/>
      <c r="AL1390" s="210"/>
      <c r="AM1390" s="214"/>
      <c r="AN1390" s="210"/>
      <c r="AO1390" s="210"/>
      <c r="AP1390" s="210"/>
      <c r="AQ1390" s="210"/>
      <c r="AR1390" s="210"/>
      <c r="AS1390" s="210"/>
      <c r="AT1390" s="210"/>
      <c r="AU1390" s="210"/>
      <c r="AV1390" s="210"/>
      <c r="AW1390" s="210"/>
      <c r="AX1390" s="210"/>
      <c r="AY1390" s="210"/>
      <c r="AZ1390" s="210"/>
      <c r="BA1390" s="210"/>
      <c r="BB1390" s="210"/>
      <c r="BC1390" s="210"/>
      <c r="BD1390" s="210"/>
      <c r="BE1390" s="210"/>
      <c r="BF1390" s="210"/>
      <c r="BG1390" s="210"/>
      <c r="BH1390" s="210"/>
      <c r="BI1390" s="210"/>
      <c r="BJ1390" s="210"/>
      <c r="BK1390" s="210"/>
      <c r="BL1390" s="210"/>
      <c r="BM1390" s="210"/>
      <c r="BN1390" s="210"/>
      <c r="BO1390" s="210"/>
      <c r="BP1390" s="210"/>
      <c r="BQ1390" s="210"/>
      <c r="BR1390" s="210"/>
      <c r="BS1390" s="210"/>
      <c r="BT1390" s="210"/>
      <c r="BU1390" s="210"/>
      <c r="BV1390" s="210"/>
      <c r="BW1390" s="210"/>
      <c r="BX1390" s="210"/>
      <c r="BY1390" s="210"/>
      <c r="BZ1390" s="210"/>
      <c r="CA1390" s="210"/>
      <c r="CB1390" s="210"/>
      <c r="CC1390" s="210"/>
      <c r="CD1390" s="210"/>
      <c r="CE1390" s="210"/>
      <c r="CF1390" s="210"/>
      <c r="CG1390" s="210"/>
      <c r="CH1390" s="210"/>
      <c r="CI1390" s="210"/>
      <c r="CJ1390" s="210"/>
      <c r="CK1390" s="210"/>
    </row>
    <row r="1391">
      <c r="A1391" s="220"/>
      <c r="F1391" s="190"/>
      <c r="G1391" s="190"/>
      <c r="L1391" s="220"/>
      <c r="M1391" s="220"/>
      <c r="O1391" s="210"/>
      <c r="P1391" s="210"/>
      <c r="Q1391" s="210"/>
      <c r="R1391" s="210"/>
      <c r="S1391" s="210"/>
      <c r="T1391" s="210"/>
      <c r="U1391" s="210"/>
      <c r="V1391" s="210"/>
      <c r="W1391" s="210"/>
      <c r="X1391" s="210"/>
      <c r="Y1391" s="210"/>
      <c r="Z1391" s="210"/>
      <c r="AA1391" s="210"/>
      <c r="AB1391" s="210"/>
      <c r="AC1391" s="210"/>
      <c r="AD1391" s="210"/>
      <c r="AE1391" s="210"/>
      <c r="AF1391" s="210"/>
      <c r="AG1391" s="210"/>
      <c r="AH1391" s="210"/>
      <c r="AI1391" s="210"/>
      <c r="AJ1391" s="210"/>
      <c r="AK1391" s="210"/>
      <c r="AL1391" s="210"/>
      <c r="AM1391" s="214"/>
      <c r="AN1391" s="210"/>
      <c r="AO1391" s="210"/>
      <c r="AP1391" s="210"/>
      <c r="AQ1391" s="210"/>
      <c r="AR1391" s="210"/>
      <c r="AS1391" s="210"/>
      <c r="AT1391" s="210"/>
      <c r="AU1391" s="210"/>
      <c r="AV1391" s="210"/>
      <c r="AW1391" s="210"/>
      <c r="AX1391" s="210"/>
      <c r="AY1391" s="210"/>
      <c r="AZ1391" s="210"/>
      <c r="BA1391" s="210"/>
      <c r="BB1391" s="210"/>
      <c r="BC1391" s="210"/>
      <c r="BD1391" s="210"/>
      <c r="BE1391" s="210"/>
      <c r="BF1391" s="210"/>
      <c r="BG1391" s="210"/>
      <c r="BH1391" s="210"/>
      <c r="BI1391" s="210"/>
      <c r="BJ1391" s="210"/>
      <c r="BK1391" s="210"/>
      <c r="BL1391" s="210"/>
      <c r="BM1391" s="210"/>
      <c r="BN1391" s="210"/>
      <c r="BO1391" s="210"/>
      <c r="BP1391" s="210"/>
      <c r="BQ1391" s="210"/>
      <c r="BR1391" s="210"/>
      <c r="BS1391" s="210"/>
      <c r="BT1391" s="210"/>
      <c r="BU1391" s="210"/>
      <c r="BV1391" s="210"/>
      <c r="BW1391" s="210"/>
      <c r="BX1391" s="210"/>
      <c r="BY1391" s="210"/>
      <c r="BZ1391" s="210"/>
      <c r="CA1391" s="210"/>
      <c r="CB1391" s="210"/>
      <c r="CC1391" s="210"/>
      <c r="CD1391" s="210"/>
      <c r="CE1391" s="210"/>
      <c r="CF1391" s="210"/>
      <c r="CG1391" s="210"/>
      <c r="CH1391" s="210"/>
      <c r="CI1391" s="210"/>
      <c r="CJ1391" s="210"/>
      <c r="CK1391" s="210"/>
    </row>
    <row r="1392">
      <c r="A1392" s="220"/>
      <c r="F1392" s="190"/>
      <c r="G1392" s="190"/>
      <c r="L1392" s="220"/>
      <c r="M1392" s="220"/>
      <c r="O1392" s="210"/>
      <c r="P1392" s="210"/>
      <c r="Q1392" s="210"/>
      <c r="R1392" s="210"/>
      <c r="S1392" s="210"/>
      <c r="T1392" s="210"/>
      <c r="U1392" s="210"/>
      <c r="V1392" s="210"/>
      <c r="W1392" s="210"/>
      <c r="X1392" s="210"/>
      <c r="Y1392" s="210"/>
      <c r="Z1392" s="210"/>
      <c r="AA1392" s="210"/>
      <c r="AB1392" s="210"/>
      <c r="AC1392" s="210"/>
      <c r="AD1392" s="210"/>
      <c r="AE1392" s="210"/>
      <c r="AF1392" s="210"/>
      <c r="AG1392" s="210"/>
      <c r="AH1392" s="210"/>
      <c r="AI1392" s="210"/>
      <c r="AJ1392" s="210"/>
      <c r="AK1392" s="210"/>
      <c r="AL1392" s="210"/>
      <c r="AM1392" s="214"/>
      <c r="AN1392" s="210"/>
      <c r="AO1392" s="210"/>
      <c r="AP1392" s="210"/>
      <c r="AQ1392" s="210"/>
      <c r="AR1392" s="210"/>
      <c r="AS1392" s="210"/>
      <c r="AT1392" s="210"/>
      <c r="AU1392" s="210"/>
      <c r="AV1392" s="210"/>
      <c r="AW1392" s="210"/>
      <c r="AX1392" s="210"/>
      <c r="AY1392" s="210"/>
      <c r="AZ1392" s="210"/>
      <c r="BA1392" s="210"/>
      <c r="BB1392" s="210"/>
      <c r="BC1392" s="210"/>
      <c r="BD1392" s="210"/>
      <c r="BE1392" s="210"/>
      <c r="BF1392" s="210"/>
      <c r="BG1392" s="210"/>
      <c r="BH1392" s="210"/>
      <c r="BI1392" s="210"/>
      <c r="BJ1392" s="210"/>
      <c r="BK1392" s="210"/>
      <c r="BL1392" s="210"/>
      <c r="BM1392" s="210"/>
      <c r="BN1392" s="210"/>
      <c r="BO1392" s="210"/>
      <c r="BP1392" s="210"/>
      <c r="BQ1392" s="210"/>
      <c r="BR1392" s="210"/>
      <c r="BS1392" s="210"/>
      <c r="BT1392" s="210"/>
      <c r="BU1392" s="210"/>
      <c r="BV1392" s="210"/>
      <c r="BW1392" s="210"/>
      <c r="BX1392" s="210"/>
      <c r="BY1392" s="210"/>
      <c r="BZ1392" s="210"/>
      <c r="CA1392" s="210"/>
      <c r="CB1392" s="210"/>
      <c r="CC1392" s="210"/>
      <c r="CD1392" s="210"/>
      <c r="CE1392" s="210"/>
      <c r="CF1392" s="210"/>
      <c r="CG1392" s="210"/>
      <c r="CH1392" s="210"/>
      <c r="CI1392" s="210"/>
      <c r="CJ1392" s="210"/>
      <c r="CK1392" s="210"/>
    </row>
    <row r="1393">
      <c r="A1393" s="220"/>
      <c r="F1393" s="190"/>
      <c r="G1393" s="190"/>
      <c r="L1393" s="220"/>
      <c r="M1393" s="220"/>
      <c r="O1393" s="210"/>
      <c r="P1393" s="210"/>
      <c r="Q1393" s="210"/>
      <c r="R1393" s="210"/>
      <c r="S1393" s="210"/>
      <c r="T1393" s="210"/>
      <c r="U1393" s="210"/>
      <c r="V1393" s="210"/>
      <c r="W1393" s="210"/>
      <c r="X1393" s="210"/>
      <c r="Y1393" s="210"/>
      <c r="Z1393" s="210"/>
      <c r="AA1393" s="210"/>
      <c r="AB1393" s="210"/>
      <c r="AC1393" s="210"/>
      <c r="AD1393" s="210"/>
      <c r="AE1393" s="210"/>
      <c r="AF1393" s="210"/>
      <c r="AG1393" s="210"/>
      <c r="AH1393" s="210"/>
      <c r="AI1393" s="210"/>
      <c r="AJ1393" s="210"/>
      <c r="AK1393" s="210"/>
      <c r="AL1393" s="210"/>
      <c r="AM1393" s="214"/>
      <c r="AN1393" s="210"/>
      <c r="AO1393" s="210"/>
      <c r="AP1393" s="210"/>
      <c r="AQ1393" s="210"/>
      <c r="AR1393" s="210"/>
      <c r="AS1393" s="210"/>
      <c r="AT1393" s="210"/>
      <c r="AU1393" s="210"/>
      <c r="AV1393" s="210"/>
      <c r="AW1393" s="210"/>
      <c r="AX1393" s="210"/>
      <c r="AY1393" s="210"/>
      <c r="AZ1393" s="210"/>
      <c r="BA1393" s="210"/>
      <c r="BB1393" s="210"/>
      <c r="BC1393" s="210"/>
      <c r="BD1393" s="210"/>
      <c r="BE1393" s="210"/>
      <c r="BF1393" s="210"/>
      <c r="BG1393" s="210"/>
      <c r="BH1393" s="210"/>
      <c r="BI1393" s="210"/>
      <c r="BJ1393" s="210"/>
      <c r="BK1393" s="210"/>
      <c r="BL1393" s="210"/>
      <c r="BM1393" s="210"/>
      <c r="BN1393" s="210"/>
      <c r="BO1393" s="210"/>
      <c r="BP1393" s="210"/>
      <c r="BQ1393" s="210"/>
      <c r="BR1393" s="210"/>
      <c r="BS1393" s="210"/>
      <c r="BT1393" s="210"/>
      <c r="BU1393" s="210"/>
      <c r="BV1393" s="210"/>
      <c r="BW1393" s="210"/>
      <c r="BX1393" s="210"/>
      <c r="BY1393" s="210"/>
      <c r="BZ1393" s="210"/>
      <c r="CA1393" s="210"/>
      <c r="CB1393" s="210"/>
      <c r="CC1393" s="210"/>
      <c r="CD1393" s="210"/>
      <c r="CE1393" s="210"/>
      <c r="CF1393" s="210"/>
      <c r="CG1393" s="210"/>
      <c r="CH1393" s="210"/>
      <c r="CI1393" s="210"/>
      <c r="CJ1393" s="210"/>
      <c r="CK1393" s="210"/>
    </row>
    <row r="1394">
      <c r="A1394" s="220"/>
      <c r="F1394" s="190"/>
      <c r="G1394" s="190"/>
      <c r="L1394" s="220"/>
      <c r="M1394" s="220"/>
      <c r="O1394" s="210"/>
      <c r="P1394" s="210"/>
      <c r="Q1394" s="210"/>
      <c r="R1394" s="210"/>
      <c r="S1394" s="210"/>
      <c r="T1394" s="210"/>
      <c r="U1394" s="210"/>
      <c r="V1394" s="210"/>
      <c r="W1394" s="210"/>
      <c r="X1394" s="210"/>
      <c r="Y1394" s="210"/>
      <c r="Z1394" s="210"/>
      <c r="AA1394" s="210"/>
      <c r="AB1394" s="210"/>
      <c r="AC1394" s="210"/>
      <c r="AD1394" s="210"/>
      <c r="AE1394" s="210"/>
      <c r="AF1394" s="210"/>
      <c r="AG1394" s="210"/>
      <c r="AH1394" s="210"/>
      <c r="AI1394" s="210"/>
      <c r="AJ1394" s="210"/>
      <c r="AK1394" s="210"/>
      <c r="AL1394" s="210"/>
      <c r="AM1394" s="214"/>
      <c r="AN1394" s="210"/>
      <c r="AO1394" s="210"/>
      <c r="AP1394" s="210"/>
      <c r="AQ1394" s="210"/>
      <c r="AR1394" s="210"/>
      <c r="AS1394" s="210"/>
      <c r="AT1394" s="210"/>
      <c r="AU1394" s="210"/>
      <c r="AV1394" s="210"/>
      <c r="AW1394" s="210"/>
      <c r="AX1394" s="210"/>
      <c r="AY1394" s="210"/>
      <c r="AZ1394" s="210"/>
      <c r="BA1394" s="210"/>
      <c r="BB1394" s="210"/>
      <c r="BC1394" s="210"/>
      <c r="BD1394" s="210"/>
      <c r="BE1394" s="210"/>
      <c r="BF1394" s="210"/>
      <c r="BG1394" s="210"/>
      <c r="BH1394" s="210"/>
      <c r="BI1394" s="210"/>
      <c r="BJ1394" s="210"/>
      <c r="BK1394" s="210"/>
      <c r="BL1394" s="210"/>
      <c r="BM1394" s="210"/>
      <c r="BN1394" s="210"/>
      <c r="BO1394" s="210"/>
      <c r="BP1394" s="210"/>
      <c r="BQ1394" s="210"/>
      <c r="BR1394" s="210"/>
      <c r="BS1394" s="210"/>
      <c r="BT1394" s="210"/>
      <c r="BU1394" s="210"/>
      <c r="BV1394" s="210"/>
      <c r="BW1394" s="210"/>
      <c r="BX1394" s="210"/>
      <c r="BY1394" s="210"/>
      <c r="BZ1394" s="210"/>
      <c r="CA1394" s="210"/>
      <c r="CB1394" s="210"/>
      <c r="CC1394" s="210"/>
      <c r="CD1394" s="210"/>
      <c r="CE1394" s="210"/>
      <c r="CF1394" s="210"/>
      <c r="CG1394" s="210"/>
      <c r="CH1394" s="210"/>
      <c r="CI1394" s="210"/>
      <c r="CJ1394" s="210"/>
      <c r="CK1394" s="210"/>
    </row>
    <row r="1395">
      <c r="A1395" s="220"/>
      <c r="F1395" s="190"/>
      <c r="G1395" s="190"/>
      <c r="L1395" s="220"/>
      <c r="M1395" s="220"/>
      <c r="O1395" s="210"/>
      <c r="P1395" s="210"/>
      <c r="Q1395" s="210"/>
      <c r="R1395" s="210"/>
      <c r="S1395" s="210"/>
      <c r="T1395" s="210"/>
      <c r="U1395" s="210"/>
      <c r="V1395" s="210"/>
      <c r="W1395" s="210"/>
      <c r="X1395" s="210"/>
      <c r="Y1395" s="210"/>
      <c r="Z1395" s="210"/>
      <c r="AA1395" s="210"/>
      <c r="AB1395" s="210"/>
      <c r="AC1395" s="210"/>
      <c r="AD1395" s="210"/>
      <c r="AE1395" s="210"/>
      <c r="AF1395" s="210"/>
      <c r="AG1395" s="210"/>
      <c r="AH1395" s="210"/>
      <c r="AI1395" s="210"/>
      <c r="AJ1395" s="210"/>
      <c r="AK1395" s="210"/>
      <c r="AL1395" s="210"/>
      <c r="AM1395" s="214"/>
      <c r="AN1395" s="210"/>
      <c r="AO1395" s="210"/>
      <c r="AP1395" s="210"/>
      <c r="AQ1395" s="210"/>
      <c r="AR1395" s="210"/>
      <c r="AS1395" s="210"/>
      <c r="AT1395" s="210"/>
      <c r="AU1395" s="210"/>
      <c r="AV1395" s="210"/>
      <c r="AW1395" s="210"/>
      <c r="AX1395" s="210"/>
      <c r="AY1395" s="210"/>
      <c r="AZ1395" s="210"/>
      <c r="BA1395" s="210"/>
      <c r="BB1395" s="210"/>
      <c r="BC1395" s="210"/>
      <c r="BD1395" s="210"/>
      <c r="BE1395" s="210"/>
      <c r="BF1395" s="210"/>
      <c r="BG1395" s="210"/>
      <c r="BH1395" s="210"/>
      <c r="BI1395" s="210"/>
      <c r="BJ1395" s="210"/>
      <c r="BK1395" s="210"/>
      <c r="BL1395" s="210"/>
      <c r="BM1395" s="210"/>
      <c r="BN1395" s="210"/>
      <c r="BO1395" s="210"/>
      <c r="BP1395" s="210"/>
      <c r="BQ1395" s="210"/>
      <c r="BR1395" s="210"/>
      <c r="BS1395" s="210"/>
      <c r="BT1395" s="210"/>
      <c r="BU1395" s="210"/>
      <c r="BV1395" s="210"/>
      <c r="BW1395" s="210"/>
      <c r="BX1395" s="210"/>
      <c r="BY1395" s="210"/>
      <c r="BZ1395" s="210"/>
      <c r="CA1395" s="210"/>
      <c r="CB1395" s="210"/>
      <c r="CC1395" s="210"/>
      <c r="CD1395" s="210"/>
      <c r="CE1395" s="210"/>
      <c r="CF1395" s="210"/>
      <c r="CG1395" s="210"/>
      <c r="CH1395" s="210"/>
      <c r="CI1395" s="210"/>
      <c r="CJ1395" s="210"/>
      <c r="CK1395" s="210"/>
    </row>
    <row r="1396">
      <c r="A1396" s="220"/>
      <c r="F1396" s="190"/>
      <c r="G1396" s="190"/>
      <c r="L1396" s="220"/>
      <c r="M1396" s="220"/>
      <c r="O1396" s="210"/>
      <c r="P1396" s="210"/>
      <c r="Q1396" s="210"/>
      <c r="R1396" s="210"/>
      <c r="S1396" s="210"/>
      <c r="T1396" s="210"/>
      <c r="U1396" s="210"/>
      <c r="V1396" s="210"/>
      <c r="W1396" s="210"/>
      <c r="X1396" s="210"/>
      <c r="Y1396" s="210"/>
      <c r="Z1396" s="210"/>
      <c r="AA1396" s="210"/>
      <c r="AB1396" s="210"/>
      <c r="AC1396" s="210"/>
      <c r="AD1396" s="210"/>
      <c r="AE1396" s="210"/>
      <c r="AF1396" s="210"/>
      <c r="AG1396" s="210"/>
      <c r="AH1396" s="210"/>
      <c r="AI1396" s="210"/>
      <c r="AJ1396" s="210"/>
      <c r="AK1396" s="210"/>
      <c r="AL1396" s="210"/>
      <c r="AM1396" s="214"/>
      <c r="AN1396" s="210"/>
      <c r="AO1396" s="210"/>
      <c r="AP1396" s="210"/>
      <c r="AQ1396" s="210"/>
      <c r="AR1396" s="210"/>
      <c r="AS1396" s="210"/>
      <c r="AT1396" s="210"/>
      <c r="AU1396" s="210"/>
      <c r="AV1396" s="210"/>
      <c r="AW1396" s="210"/>
      <c r="AX1396" s="210"/>
      <c r="AY1396" s="210"/>
      <c r="AZ1396" s="210"/>
      <c r="BA1396" s="210"/>
      <c r="BB1396" s="210"/>
      <c r="BC1396" s="210"/>
      <c r="BD1396" s="210"/>
      <c r="BE1396" s="210"/>
      <c r="BF1396" s="210"/>
      <c r="BG1396" s="210"/>
      <c r="BH1396" s="210"/>
      <c r="BI1396" s="210"/>
      <c r="BJ1396" s="210"/>
      <c r="BK1396" s="210"/>
      <c r="BL1396" s="210"/>
      <c r="BM1396" s="210"/>
      <c r="BN1396" s="210"/>
      <c r="BO1396" s="210"/>
      <c r="BP1396" s="210"/>
      <c r="BQ1396" s="210"/>
      <c r="BR1396" s="210"/>
      <c r="BS1396" s="210"/>
      <c r="BT1396" s="210"/>
      <c r="BU1396" s="210"/>
      <c r="BV1396" s="210"/>
      <c r="BW1396" s="210"/>
      <c r="BX1396" s="210"/>
      <c r="BY1396" s="210"/>
      <c r="BZ1396" s="210"/>
      <c r="CA1396" s="210"/>
      <c r="CB1396" s="210"/>
      <c r="CC1396" s="210"/>
      <c r="CD1396" s="210"/>
      <c r="CE1396" s="210"/>
      <c r="CF1396" s="210"/>
      <c r="CG1396" s="210"/>
      <c r="CH1396" s="210"/>
      <c r="CI1396" s="210"/>
      <c r="CJ1396" s="210"/>
      <c r="CK1396" s="210"/>
    </row>
    <row r="1397">
      <c r="A1397" s="220"/>
      <c r="F1397" s="190"/>
      <c r="G1397" s="190"/>
      <c r="L1397" s="220"/>
      <c r="M1397" s="220"/>
      <c r="O1397" s="210"/>
      <c r="P1397" s="210"/>
      <c r="Q1397" s="210"/>
      <c r="R1397" s="210"/>
      <c r="S1397" s="210"/>
      <c r="T1397" s="210"/>
      <c r="U1397" s="210"/>
      <c r="V1397" s="210"/>
      <c r="W1397" s="210"/>
      <c r="X1397" s="210"/>
      <c r="Y1397" s="210"/>
      <c r="Z1397" s="210"/>
      <c r="AA1397" s="210"/>
      <c r="AB1397" s="210"/>
      <c r="AC1397" s="210"/>
      <c r="AD1397" s="210"/>
      <c r="AE1397" s="210"/>
      <c r="AF1397" s="210"/>
      <c r="AG1397" s="210"/>
      <c r="AH1397" s="210"/>
      <c r="AI1397" s="210"/>
      <c r="AJ1397" s="210"/>
      <c r="AK1397" s="210"/>
      <c r="AL1397" s="210"/>
      <c r="AM1397" s="214"/>
      <c r="AN1397" s="210"/>
      <c r="AO1397" s="210"/>
      <c r="AP1397" s="210"/>
      <c r="AQ1397" s="210"/>
      <c r="AR1397" s="210"/>
      <c r="AS1397" s="210"/>
      <c r="AT1397" s="210"/>
      <c r="AU1397" s="210"/>
      <c r="AV1397" s="210"/>
      <c r="AW1397" s="210"/>
      <c r="AX1397" s="210"/>
      <c r="AY1397" s="210"/>
      <c r="AZ1397" s="210"/>
      <c r="BA1397" s="210"/>
      <c r="BB1397" s="210"/>
      <c r="BC1397" s="210"/>
      <c r="BD1397" s="210"/>
      <c r="BE1397" s="210"/>
      <c r="BF1397" s="210"/>
      <c r="BG1397" s="210"/>
      <c r="BH1397" s="210"/>
      <c r="BI1397" s="210"/>
      <c r="BJ1397" s="210"/>
      <c r="BK1397" s="210"/>
      <c r="BL1397" s="210"/>
      <c r="BM1397" s="210"/>
      <c r="BN1397" s="210"/>
      <c r="BO1397" s="210"/>
      <c r="BP1397" s="210"/>
      <c r="BQ1397" s="210"/>
      <c r="BR1397" s="210"/>
      <c r="BS1397" s="210"/>
      <c r="BT1397" s="210"/>
      <c r="BU1397" s="210"/>
      <c r="BV1397" s="210"/>
      <c r="BW1397" s="210"/>
      <c r="BX1397" s="210"/>
      <c r="BY1397" s="210"/>
      <c r="BZ1397" s="210"/>
      <c r="CA1397" s="210"/>
      <c r="CB1397" s="210"/>
      <c r="CC1397" s="210"/>
      <c r="CD1397" s="210"/>
      <c r="CE1397" s="210"/>
      <c r="CF1397" s="210"/>
      <c r="CG1397" s="210"/>
      <c r="CH1397" s="210"/>
      <c r="CI1397" s="210"/>
      <c r="CJ1397" s="210"/>
      <c r="CK1397" s="210"/>
    </row>
    <row r="1398">
      <c r="A1398" s="220"/>
      <c r="F1398" s="190"/>
      <c r="G1398" s="190"/>
      <c r="L1398" s="220"/>
      <c r="M1398" s="220"/>
      <c r="O1398" s="210"/>
      <c r="P1398" s="210"/>
      <c r="Q1398" s="210"/>
      <c r="R1398" s="210"/>
      <c r="S1398" s="210"/>
      <c r="T1398" s="210"/>
      <c r="U1398" s="210"/>
      <c r="V1398" s="210"/>
      <c r="W1398" s="210"/>
      <c r="X1398" s="210"/>
      <c r="Y1398" s="210"/>
      <c r="Z1398" s="210"/>
      <c r="AA1398" s="210"/>
      <c r="AB1398" s="210"/>
      <c r="AC1398" s="210"/>
      <c r="AD1398" s="210"/>
      <c r="AE1398" s="210"/>
      <c r="AF1398" s="210"/>
      <c r="AG1398" s="210"/>
      <c r="AH1398" s="210"/>
      <c r="AI1398" s="210"/>
      <c r="AJ1398" s="210"/>
      <c r="AK1398" s="210"/>
      <c r="AL1398" s="210"/>
      <c r="AM1398" s="214"/>
      <c r="AN1398" s="210"/>
      <c r="AO1398" s="210"/>
      <c r="AP1398" s="210"/>
      <c r="AQ1398" s="210"/>
      <c r="AR1398" s="210"/>
      <c r="AS1398" s="210"/>
      <c r="AT1398" s="210"/>
      <c r="AU1398" s="210"/>
      <c r="AV1398" s="210"/>
      <c r="AW1398" s="210"/>
      <c r="AX1398" s="210"/>
      <c r="AY1398" s="210"/>
      <c r="AZ1398" s="210"/>
      <c r="BA1398" s="210"/>
      <c r="BB1398" s="210"/>
      <c r="BC1398" s="210"/>
      <c r="BD1398" s="210"/>
      <c r="BE1398" s="210"/>
      <c r="BF1398" s="210"/>
      <c r="BG1398" s="210"/>
      <c r="BH1398" s="210"/>
      <c r="BI1398" s="210"/>
      <c r="BJ1398" s="210"/>
      <c r="BK1398" s="210"/>
      <c r="BL1398" s="210"/>
      <c r="BM1398" s="210"/>
      <c r="BN1398" s="210"/>
      <c r="BO1398" s="210"/>
      <c r="BP1398" s="210"/>
      <c r="BQ1398" s="210"/>
      <c r="BR1398" s="210"/>
      <c r="BS1398" s="210"/>
      <c r="BT1398" s="210"/>
      <c r="BU1398" s="210"/>
      <c r="BV1398" s="210"/>
      <c r="BW1398" s="210"/>
      <c r="BX1398" s="210"/>
      <c r="BY1398" s="210"/>
      <c r="BZ1398" s="210"/>
      <c r="CA1398" s="210"/>
      <c r="CB1398" s="210"/>
      <c r="CC1398" s="210"/>
      <c r="CD1398" s="210"/>
      <c r="CE1398" s="210"/>
      <c r="CF1398" s="210"/>
      <c r="CG1398" s="210"/>
      <c r="CH1398" s="210"/>
      <c r="CI1398" s="210"/>
      <c r="CJ1398" s="210"/>
      <c r="CK1398" s="210"/>
    </row>
    <row r="1399">
      <c r="A1399" s="220"/>
      <c r="F1399" s="190"/>
      <c r="G1399" s="190"/>
      <c r="L1399" s="220"/>
      <c r="M1399" s="220"/>
      <c r="O1399" s="210"/>
      <c r="P1399" s="210"/>
      <c r="Q1399" s="210"/>
      <c r="R1399" s="210"/>
      <c r="S1399" s="210"/>
      <c r="T1399" s="210"/>
      <c r="U1399" s="210"/>
      <c r="V1399" s="210"/>
      <c r="W1399" s="210"/>
      <c r="X1399" s="210"/>
      <c r="Y1399" s="210"/>
      <c r="Z1399" s="210"/>
      <c r="AA1399" s="210"/>
      <c r="AB1399" s="210"/>
      <c r="AC1399" s="210"/>
      <c r="AD1399" s="210"/>
      <c r="AE1399" s="210"/>
      <c r="AF1399" s="210"/>
      <c r="AG1399" s="210"/>
      <c r="AH1399" s="210"/>
      <c r="AI1399" s="210"/>
      <c r="AJ1399" s="210"/>
      <c r="AK1399" s="210"/>
      <c r="AL1399" s="210"/>
      <c r="AM1399" s="214"/>
      <c r="AN1399" s="210"/>
      <c r="AO1399" s="210"/>
      <c r="AP1399" s="210"/>
      <c r="AQ1399" s="210"/>
      <c r="AR1399" s="210"/>
      <c r="AS1399" s="210"/>
      <c r="AT1399" s="210"/>
      <c r="AU1399" s="210"/>
      <c r="AV1399" s="210"/>
      <c r="AW1399" s="210"/>
      <c r="AX1399" s="210"/>
      <c r="AY1399" s="210"/>
      <c r="AZ1399" s="210"/>
      <c r="BA1399" s="210"/>
      <c r="BB1399" s="210"/>
      <c r="BC1399" s="210"/>
      <c r="BD1399" s="210"/>
      <c r="BE1399" s="210"/>
      <c r="BF1399" s="210"/>
      <c r="BG1399" s="210"/>
      <c r="BH1399" s="210"/>
      <c r="BI1399" s="210"/>
      <c r="BJ1399" s="210"/>
      <c r="BK1399" s="210"/>
      <c r="BL1399" s="210"/>
      <c r="BM1399" s="210"/>
      <c r="BN1399" s="210"/>
      <c r="BO1399" s="210"/>
      <c r="BP1399" s="210"/>
      <c r="BQ1399" s="210"/>
      <c r="BR1399" s="210"/>
      <c r="BS1399" s="210"/>
      <c r="BT1399" s="210"/>
      <c r="BU1399" s="210"/>
      <c r="BV1399" s="210"/>
      <c r="BW1399" s="210"/>
      <c r="BX1399" s="210"/>
      <c r="BY1399" s="210"/>
      <c r="BZ1399" s="210"/>
      <c r="CA1399" s="210"/>
      <c r="CB1399" s="210"/>
      <c r="CC1399" s="210"/>
      <c r="CD1399" s="210"/>
      <c r="CE1399" s="210"/>
      <c r="CF1399" s="210"/>
      <c r="CG1399" s="210"/>
      <c r="CH1399" s="210"/>
      <c r="CI1399" s="210"/>
      <c r="CJ1399" s="210"/>
      <c r="CK1399" s="210"/>
    </row>
    <row r="1400">
      <c r="A1400" s="220"/>
      <c r="F1400" s="190"/>
      <c r="G1400" s="190"/>
      <c r="L1400" s="220"/>
      <c r="M1400" s="220"/>
      <c r="O1400" s="210"/>
      <c r="P1400" s="210"/>
      <c r="Q1400" s="210"/>
      <c r="R1400" s="210"/>
      <c r="S1400" s="210"/>
      <c r="T1400" s="210"/>
      <c r="U1400" s="210"/>
      <c r="V1400" s="210"/>
      <c r="W1400" s="210"/>
      <c r="X1400" s="210"/>
      <c r="Y1400" s="210"/>
      <c r="Z1400" s="210"/>
      <c r="AA1400" s="210"/>
      <c r="AB1400" s="210"/>
      <c r="AC1400" s="210"/>
      <c r="AD1400" s="210"/>
      <c r="AE1400" s="210"/>
      <c r="AF1400" s="210"/>
      <c r="AG1400" s="210"/>
      <c r="AH1400" s="210"/>
      <c r="AI1400" s="210"/>
      <c r="AJ1400" s="210"/>
      <c r="AK1400" s="210"/>
      <c r="AL1400" s="210"/>
      <c r="AM1400" s="214"/>
      <c r="AN1400" s="210"/>
      <c r="AO1400" s="210"/>
      <c r="AP1400" s="210"/>
      <c r="AQ1400" s="210"/>
      <c r="AR1400" s="210"/>
      <c r="AS1400" s="210"/>
      <c r="AT1400" s="210"/>
      <c r="AU1400" s="210"/>
      <c r="AV1400" s="210"/>
      <c r="AW1400" s="210"/>
      <c r="AX1400" s="210"/>
      <c r="AY1400" s="210"/>
      <c r="AZ1400" s="210"/>
      <c r="BA1400" s="210"/>
      <c r="BB1400" s="210"/>
      <c r="BC1400" s="210"/>
      <c r="BD1400" s="210"/>
      <c r="BE1400" s="210"/>
      <c r="BF1400" s="210"/>
      <c r="BG1400" s="210"/>
      <c r="BH1400" s="210"/>
      <c r="BI1400" s="210"/>
      <c r="BJ1400" s="210"/>
      <c r="BK1400" s="210"/>
      <c r="BL1400" s="210"/>
      <c r="BM1400" s="210"/>
      <c r="BN1400" s="210"/>
      <c r="BO1400" s="210"/>
      <c r="BP1400" s="210"/>
      <c r="BQ1400" s="210"/>
      <c r="BR1400" s="210"/>
      <c r="BS1400" s="210"/>
      <c r="BT1400" s="210"/>
      <c r="BU1400" s="210"/>
      <c r="BV1400" s="210"/>
      <c r="BW1400" s="210"/>
      <c r="BX1400" s="210"/>
      <c r="BY1400" s="210"/>
      <c r="BZ1400" s="210"/>
      <c r="CA1400" s="210"/>
      <c r="CB1400" s="210"/>
      <c r="CC1400" s="210"/>
      <c r="CD1400" s="210"/>
      <c r="CE1400" s="210"/>
      <c r="CF1400" s="210"/>
      <c r="CG1400" s="210"/>
      <c r="CH1400" s="210"/>
      <c r="CI1400" s="210"/>
      <c r="CJ1400" s="210"/>
      <c r="CK1400" s="210"/>
    </row>
    <row r="1401">
      <c r="A1401" s="220"/>
      <c r="F1401" s="190"/>
      <c r="G1401" s="190"/>
      <c r="L1401" s="220"/>
      <c r="M1401" s="220"/>
      <c r="O1401" s="210"/>
      <c r="P1401" s="210"/>
      <c r="Q1401" s="210"/>
      <c r="R1401" s="210"/>
      <c r="S1401" s="210"/>
      <c r="T1401" s="210"/>
      <c r="U1401" s="210"/>
      <c r="V1401" s="210"/>
      <c r="W1401" s="210"/>
      <c r="X1401" s="210"/>
      <c r="Y1401" s="210"/>
      <c r="Z1401" s="210"/>
      <c r="AA1401" s="210"/>
      <c r="AB1401" s="210"/>
      <c r="AC1401" s="210"/>
      <c r="AD1401" s="210"/>
      <c r="AE1401" s="210"/>
      <c r="AF1401" s="210"/>
      <c r="AG1401" s="210"/>
      <c r="AH1401" s="210"/>
      <c r="AI1401" s="210"/>
      <c r="AJ1401" s="210"/>
      <c r="AK1401" s="210"/>
      <c r="AL1401" s="210"/>
      <c r="AM1401" s="214"/>
      <c r="AN1401" s="210"/>
      <c r="AO1401" s="210"/>
      <c r="AP1401" s="210"/>
      <c r="AQ1401" s="210"/>
      <c r="AR1401" s="210"/>
      <c r="AS1401" s="210"/>
      <c r="AT1401" s="210"/>
      <c r="AU1401" s="210"/>
      <c r="AV1401" s="210"/>
      <c r="AW1401" s="210"/>
      <c r="AX1401" s="210"/>
      <c r="AY1401" s="210"/>
      <c r="AZ1401" s="210"/>
      <c r="BA1401" s="210"/>
      <c r="BB1401" s="210"/>
      <c r="BC1401" s="210"/>
      <c r="BD1401" s="210"/>
      <c r="BE1401" s="210"/>
      <c r="BF1401" s="210"/>
      <c r="BG1401" s="210"/>
      <c r="BH1401" s="210"/>
      <c r="BI1401" s="210"/>
      <c r="BJ1401" s="210"/>
      <c r="BK1401" s="210"/>
      <c r="BL1401" s="210"/>
      <c r="BM1401" s="210"/>
      <c r="BN1401" s="210"/>
      <c r="BO1401" s="210"/>
      <c r="BP1401" s="210"/>
      <c r="BQ1401" s="210"/>
      <c r="BR1401" s="210"/>
      <c r="BS1401" s="210"/>
      <c r="BT1401" s="210"/>
      <c r="BU1401" s="210"/>
      <c r="BV1401" s="210"/>
      <c r="BW1401" s="210"/>
      <c r="BX1401" s="210"/>
      <c r="BY1401" s="210"/>
      <c r="BZ1401" s="210"/>
      <c r="CA1401" s="210"/>
      <c r="CB1401" s="210"/>
      <c r="CC1401" s="210"/>
      <c r="CD1401" s="210"/>
      <c r="CE1401" s="210"/>
      <c r="CF1401" s="210"/>
      <c r="CG1401" s="210"/>
      <c r="CH1401" s="210"/>
      <c r="CI1401" s="210"/>
      <c r="CJ1401" s="210"/>
      <c r="CK1401" s="210"/>
    </row>
    <row r="1402">
      <c r="A1402" s="220"/>
      <c r="F1402" s="190"/>
      <c r="G1402" s="190"/>
      <c r="L1402" s="220"/>
      <c r="M1402" s="220"/>
      <c r="O1402" s="210"/>
      <c r="P1402" s="210"/>
      <c r="Q1402" s="210"/>
      <c r="R1402" s="210"/>
      <c r="S1402" s="210"/>
      <c r="T1402" s="210"/>
      <c r="U1402" s="210"/>
      <c r="V1402" s="210"/>
      <c r="W1402" s="210"/>
      <c r="X1402" s="210"/>
      <c r="Y1402" s="210"/>
      <c r="Z1402" s="210"/>
      <c r="AA1402" s="210"/>
      <c r="AB1402" s="210"/>
      <c r="AC1402" s="210"/>
      <c r="AD1402" s="210"/>
      <c r="AE1402" s="210"/>
      <c r="AF1402" s="210"/>
      <c r="AG1402" s="210"/>
      <c r="AH1402" s="210"/>
      <c r="AI1402" s="210"/>
      <c r="AJ1402" s="210"/>
      <c r="AK1402" s="210"/>
      <c r="AL1402" s="210"/>
      <c r="AM1402" s="214"/>
      <c r="AN1402" s="210"/>
      <c r="AO1402" s="210"/>
      <c r="AP1402" s="210"/>
      <c r="AQ1402" s="210"/>
      <c r="AR1402" s="210"/>
      <c r="AS1402" s="210"/>
      <c r="AT1402" s="210"/>
      <c r="AU1402" s="210"/>
      <c r="AV1402" s="210"/>
      <c r="AW1402" s="210"/>
      <c r="AX1402" s="210"/>
      <c r="AY1402" s="210"/>
      <c r="AZ1402" s="210"/>
      <c r="BA1402" s="210"/>
      <c r="BB1402" s="210"/>
      <c r="BC1402" s="210"/>
      <c r="BD1402" s="210"/>
      <c r="BE1402" s="210"/>
      <c r="BF1402" s="210"/>
      <c r="BG1402" s="210"/>
      <c r="BH1402" s="210"/>
      <c r="BI1402" s="210"/>
      <c r="BJ1402" s="210"/>
      <c r="BK1402" s="210"/>
      <c r="BL1402" s="210"/>
      <c r="BM1402" s="210"/>
      <c r="BN1402" s="210"/>
      <c r="BO1402" s="210"/>
      <c r="BP1402" s="210"/>
      <c r="BQ1402" s="210"/>
      <c r="BR1402" s="210"/>
      <c r="BS1402" s="210"/>
      <c r="BT1402" s="210"/>
      <c r="BU1402" s="210"/>
      <c r="BV1402" s="210"/>
      <c r="BW1402" s="210"/>
      <c r="BX1402" s="210"/>
      <c r="BY1402" s="210"/>
      <c r="BZ1402" s="210"/>
      <c r="CA1402" s="210"/>
      <c r="CB1402" s="210"/>
      <c r="CC1402" s="210"/>
      <c r="CD1402" s="210"/>
      <c r="CE1402" s="210"/>
      <c r="CF1402" s="210"/>
      <c r="CG1402" s="210"/>
      <c r="CH1402" s="210"/>
      <c r="CI1402" s="210"/>
      <c r="CJ1402" s="210"/>
      <c r="CK1402" s="210"/>
    </row>
    <row r="1403">
      <c r="A1403" s="220"/>
      <c r="F1403" s="190"/>
      <c r="G1403" s="190"/>
      <c r="L1403" s="220"/>
      <c r="M1403" s="220"/>
      <c r="O1403" s="210"/>
      <c r="P1403" s="210"/>
      <c r="Q1403" s="210"/>
      <c r="R1403" s="210"/>
      <c r="S1403" s="210"/>
      <c r="T1403" s="210"/>
      <c r="U1403" s="210"/>
      <c r="V1403" s="210"/>
      <c r="W1403" s="210"/>
      <c r="X1403" s="210"/>
      <c r="Y1403" s="210"/>
      <c r="Z1403" s="210"/>
      <c r="AA1403" s="210"/>
      <c r="AB1403" s="210"/>
      <c r="AC1403" s="210"/>
      <c r="AD1403" s="210"/>
      <c r="AE1403" s="210"/>
      <c r="AF1403" s="210"/>
      <c r="AG1403" s="210"/>
      <c r="AH1403" s="210"/>
      <c r="AI1403" s="210"/>
      <c r="AJ1403" s="210"/>
      <c r="AK1403" s="210"/>
      <c r="AL1403" s="210"/>
      <c r="AM1403" s="214"/>
      <c r="AN1403" s="210"/>
      <c r="AO1403" s="210"/>
      <c r="AP1403" s="210"/>
      <c r="AQ1403" s="210"/>
      <c r="AR1403" s="210"/>
      <c r="AS1403" s="210"/>
      <c r="AT1403" s="210"/>
      <c r="AU1403" s="210"/>
      <c r="AV1403" s="210"/>
      <c r="AW1403" s="210"/>
      <c r="AX1403" s="210"/>
      <c r="AY1403" s="210"/>
      <c r="AZ1403" s="210"/>
      <c r="BA1403" s="210"/>
      <c r="BB1403" s="210"/>
      <c r="BC1403" s="210"/>
      <c r="BD1403" s="210"/>
      <c r="BE1403" s="210"/>
      <c r="BF1403" s="210"/>
      <c r="BG1403" s="210"/>
      <c r="BH1403" s="210"/>
      <c r="BI1403" s="210"/>
      <c r="BJ1403" s="210"/>
      <c r="BK1403" s="210"/>
      <c r="BL1403" s="210"/>
      <c r="BM1403" s="210"/>
      <c r="BN1403" s="210"/>
      <c r="BO1403" s="210"/>
      <c r="BP1403" s="210"/>
      <c r="BQ1403" s="210"/>
      <c r="BR1403" s="210"/>
      <c r="BS1403" s="210"/>
      <c r="BT1403" s="210"/>
      <c r="BU1403" s="210"/>
      <c r="BV1403" s="210"/>
      <c r="BW1403" s="210"/>
      <c r="BX1403" s="210"/>
      <c r="BY1403" s="210"/>
      <c r="BZ1403" s="210"/>
      <c r="CA1403" s="210"/>
      <c r="CB1403" s="210"/>
      <c r="CC1403" s="210"/>
      <c r="CD1403" s="210"/>
      <c r="CE1403" s="210"/>
      <c r="CF1403" s="210"/>
      <c r="CG1403" s="210"/>
      <c r="CH1403" s="210"/>
      <c r="CI1403" s="210"/>
      <c r="CJ1403" s="210"/>
      <c r="CK1403" s="210"/>
    </row>
    <row r="1404">
      <c r="A1404" s="220"/>
      <c r="F1404" s="190"/>
      <c r="G1404" s="190"/>
      <c r="L1404" s="220"/>
      <c r="M1404" s="220"/>
      <c r="O1404" s="210"/>
      <c r="P1404" s="210"/>
      <c r="Q1404" s="210"/>
      <c r="R1404" s="210"/>
      <c r="S1404" s="210"/>
      <c r="T1404" s="210"/>
      <c r="U1404" s="210"/>
      <c r="V1404" s="210"/>
      <c r="W1404" s="210"/>
      <c r="X1404" s="210"/>
      <c r="Y1404" s="210"/>
      <c r="Z1404" s="210"/>
      <c r="AA1404" s="210"/>
      <c r="AB1404" s="210"/>
      <c r="AC1404" s="210"/>
      <c r="AD1404" s="210"/>
      <c r="AE1404" s="210"/>
      <c r="AF1404" s="210"/>
      <c r="AG1404" s="210"/>
      <c r="AH1404" s="210"/>
      <c r="AI1404" s="210"/>
      <c r="AJ1404" s="210"/>
      <c r="AK1404" s="210"/>
      <c r="AL1404" s="210"/>
      <c r="AM1404" s="214"/>
      <c r="AN1404" s="210"/>
      <c r="AO1404" s="210"/>
      <c r="AP1404" s="210"/>
      <c r="AQ1404" s="210"/>
      <c r="AR1404" s="210"/>
      <c r="AS1404" s="210"/>
      <c r="AT1404" s="210"/>
      <c r="AU1404" s="210"/>
      <c r="AV1404" s="210"/>
      <c r="AW1404" s="210"/>
      <c r="AX1404" s="210"/>
      <c r="AY1404" s="210"/>
      <c r="AZ1404" s="210"/>
      <c r="BA1404" s="210"/>
      <c r="BB1404" s="210"/>
      <c r="BC1404" s="210"/>
      <c r="BD1404" s="210"/>
      <c r="BE1404" s="210"/>
      <c r="BF1404" s="210"/>
      <c r="BG1404" s="210"/>
      <c r="BH1404" s="210"/>
      <c r="BI1404" s="210"/>
      <c r="BJ1404" s="210"/>
      <c r="BK1404" s="210"/>
      <c r="BL1404" s="210"/>
      <c r="BM1404" s="210"/>
      <c r="BN1404" s="210"/>
      <c r="BO1404" s="210"/>
      <c r="BP1404" s="210"/>
      <c r="BQ1404" s="210"/>
      <c r="BR1404" s="210"/>
      <c r="BS1404" s="210"/>
      <c r="BT1404" s="210"/>
      <c r="BU1404" s="210"/>
      <c r="BV1404" s="210"/>
      <c r="BW1404" s="210"/>
      <c r="BX1404" s="210"/>
      <c r="BY1404" s="210"/>
      <c r="BZ1404" s="210"/>
      <c r="CA1404" s="210"/>
      <c r="CB1404" s="210"/>
      <c r="CC1404" s="210"/>
      <c r="CD1404" s="210"/>
      <c r="CE1404" s="210"/>
      <c r="CF1404" s="210"/>
      <c r="CG1404" s="210"/>
      <c r="CH1404" s="210"/>
      <c r="CI1404" s="210"/>
      <c r="CJ1404" s="210"/>
      <c r="CK1404" s="210"/>
    </row>
    <row r="1405">
      <c r="A1405" s="220"/>
      <c r="F1405" s="190"/>
      <c r="G1405" s="190"/>
      <c r="L1405" s="220"/>
      <c r="M1405" s="220"/>
      <c r="O1405" s="210"/>
      <c r="P1405" s="210"/>
      <c r="Q1405" s="210"/>
      <c r="R1405" s="210"/>
      <c r="S1405" s="210"/>
      <c r="T1405" s="210"/>
      <c r="U1405" s="210"/>
      <c r="V1405" s="210"/>
      <c r="W1405" s="210"/>
      <c r="X1405" s="210"/>
      <c r="Y1405" s="210"/>
      <c r="Z1405" s="210"/>
      <c r="AA1405" s="210"/>
      <c r="AB1405" s="210"/>
      <c r="AC1405" s="210"/>
      <c r="AD1405" s="210"/>
      <c r="AE1405" s="210"/>
      <c r="AF1405" s="210"/>
      <c r="AG1405" s="210"/>
      <c r="AH1405" s="210"/>
      <c r="AI1405" s="210"/>
      <c r="AJ1405" s="210"/>
      <c r="AK1405" s="210"/>
      <c r="AL1405" s="210"/>
      <c r="AM1405" s="214"/>
      <c r="AN1405" s="210"/>
      <c r="AO1405" s="210"/>
      <c r="AP1405" s="210"/>
      <c r="AQ1405" s="210"/>
      <c r="AR1405" s="210"/>
      <c r="AS1405" s="210"/>
      <c r="AT1405" s="210"/>
      <c r="AU1405" s="210"/>
      <c r="AV1405" s="210"/>
      <c r="AW1405" s="210"/>
      <c r="AX1405" s="210"/>
      <c r="AY1405" s="210"/>
      <c r="AZ1405" s="210"/>
      <c r="BA1405" s="210"/>
      <c r="BB1405" s="210"/>
      <c r="BC1405" s="210"/>
      <c r="BD1405" s="210"/>
      <c r="BE1405" s="210"/>
      <c r="BF1405" s="210"/>
      <c r="BG1405" s="210"/>
      <c r="BH1405" s="210"/>
      <c r="BI1405" s="210"/>
      <c r="BJ1405" s="210"/>
      <c r="BK1405" s="210"/>
      <c r="BL1405" s="210"/>
      <c r="BM1405" s="210"/>
      <c r="BN1405" s="210"/>
      <c r="BO1405" s="210"/>
      <c r="BP1405" s="210"/>
      <c r="BQ1405" s="210"/>
      <c r="BR1405" s="210"/>
      <c r="BS1405" s="210"/>
      <c r="BT1405" s="210"/>
      <c r="BU1405" s="210"/>
      <c r="BV1405" s="210"/>
      <c r="BW1405" s="210"/>
      <c r="BX1405" s="210"/>
      <c r="BY1405" s="210"/>
      <c r="BZ1405" s="210"/>
      <c r="CA1405" s="210"/>
      <c r="CB1405" s="210"/>
      <c r="CC1405" s="210"/>
      <c r="CD1405" s="210"/>
      <c r="CE1405" s="210"/>
      <c r="CF1405" s="210"/>
      <c r="CG1405" s="210"/>
      <c r="CH1405" s="210"/>
      <c r="CI1405" s="210"/>
      <c r="CJ1405" s="210"/>
      <c r="CK1405" s="210"/>
    </row>
    <row r="1406">
      <c r="A1406" s="220"/>
      <c r="F1406" s="190"/>
      <c r="G1406" s="190"/>
      <c r="L1406" s="220"/>
      <c r="M1406" s="220"/>
      <c r="O1406" s="210"/>
      <c r="P1406" s="210"/>
      <c r="Q1406" s="210"/>
      <c r="R1406" s="210"/>
      <c r="S1406" s="210"/>
      <c r="T1406" s="210"/>
      <c r="U1406" s="210"/>
      <c r="V1406" s="210"/>
      <c r="W1406" s="210"/>
      <c r="X1406" s="210"/>
      <c r="Y1406" s="210"/>
      <c r="Z1406" s="210"/>
      <c r="AA1406" s="210"/>
      <c r="AB1406" s="210"/>
      <c r="AC1406" s="210"/>
      <c r="AD1406" s="210"/>
      <c r="AE1406" s="210"/>
      <c r="AF1406" s="210"/>
      <c r="AG1406" s="210"/>
      <c r="AH1406" s="210"/>
      <c r="AI1406" s="210"/>
      <c r="AJ1406" s="210"/>
      <c r="AK1406" s="210"/>
      <c r="AL1406" s="210"/>
      <c r="AM1406" s="214"/>
      <c r="AN1406" s="210"/>
      <c r="AO1406" s="210"/>
      <c r="AP1406" s="210"/>
      <c r="AQ1406" s="210"/>
      <c r="AR1406" s="210"/>
      <c r="AS1406" s="210"/>
      <c r="AT1406" s="210"/>
      <c r="AU1406" s="210"/>
      <c r="AV1406" s="210"/>
      <c r="AW1406" s="210"/>
      <c r="AX1406" s="210"/>
      <c r="AY1406" s="210"/>
      <c r="AZ1406" s="210"/>
      <c r="BA1406" s="210"/>
      <c r="BB1406" s="210"/>
      <c r="BC1406" s="210"/>
      <c r="BD1406" s="210"/>
      <c r="BE1406" s="210"/>
      <c r="BF1406" s="210"/>
      <c r="BG1406" s="210"/>
      <c r="BH1406" s="210"/>
      <c r="BI1406" s="210"/>
      <c r="BJ1406" s="210"/>
      <c r="BK1406" s="210"/>
      <c r="BL1406" s="210"/>
      <c r="BM1406" s="210"/>
      <c r="BN1406" s="210"/>
      <c r="BO1406" s="210"/>
      <c r="BP1406" s="210"/>
      <c r="BQ1406" s="210"/>
      <c r="BR1406" s="210"/>
      <c r="BS1406" s="210"/>
      <c r="BT1406" s="210"/>
      <c r="BU1406" s="210"/>
      <c r="BV1406" s="210"/>
      <c r="BW1406" s="210"/>
      <c r="BX1406" s="210"/>
      <c r="BY1406" s="210"/>
      <c r="BZ1406" s="210"/>
      <c r="CA1406" s="210"/>
      <c r="CB1406" s="210"/>
      <c r="CC1406" s="210"/>
      <c r="CD1406" s="210"/>
      <c r="CE1406" s="210"/>
      <c r="CF1406" s="210"/>
      <c r="CG1406" s="210"/>
      <c r="CH1406" s="210"/>
      <c r="CI1406" s="210"/>
      <c r="CJ1406" s="210"/>
      <c r="CK1406" s="210"/>
    </row>
    <row r="1407">
      <c r="A1407" s="220"/>
      <c r="F1407" s="190"/>
      <c r="G1407" s="190"/>
      <c r="L1407" s="220"/>
      <c r="M1407" s="220"/>
      <c r="O1407" s="210"/>
      <c r="P1407" s="210"/>
      <c r="Q1407" s="210"/>
      <c r="R1407" s="210"/>
      <c r="S1407" s="210"/>
      <c r="T1407" s="210"/>
      <c r="U1407" s="210"/>
      <c r="V1407" s="210"/>
      <c r="W1407" s="210"/>
      <c r="X1407" s="210"/>
      <c r="Y1407" s="210"/>
      <c r="Z1407" s="210"/>
      <c r="AA1407" s="210"/>
      <c r="AB1407" s="210"/>
      <c r="AC1407" s="210"/>
      <c r="AD1407" s="210"/>
      <c r="AE1407" s="210"/>
      <c r="AF1407" s="210"/>
      <c r="AG1407" s="210"/>
      <c r="AH1407" s="210"/>
      <c r="AI1407" s="210"/>
      <c r="AJ1407" s="210"/>
      <c r="AK1407" s="210"/>
      <c r="AL1407" s="210"/>
      <c r="AM1407" s="214"/>
      <c r="AN1407" s="210"/>
      <c r="AO1407" s="210"/>
      <c r="AP1407" s="210"/>
      <c r="AQ1407" s="210"/>
      <c r="AR1407" s="210"/>
      <c r="AS1407" s="210"/>
      <c r="AT1407" s="210"/>
      <c r="AU1407" s="210"/>
      <c r="AV1407" s="210"/>
      <c r="AW1407" s="210"/>
      <c r="AX1407" s="210"/>
      <c r="AY1407" s="210"/>
      <c r="AZ1407" s="210"/>
      <c r="BA1407" s="210"/>
      <c r="BB1407" s="210"/>
      <c r="BC1407" s="210"/>
      <c r="BD1407" s="210"/>
      <c r="BE1407" s="210"/>
      <c r="BF1407" s="210"/>
      <c r="BG1407" s="210"/>
      <c r="BH1407" s="210"/>
      <c r="BI1407" s="210"/>
      <c r="BJ1407" s="210"/>
      <c r="BK1407" s="210"/>
      <c r="BL1407" s="210"/>
      <c r="BM1407" s="210"/>
      <c r="BN1407" s="210"/>
      <c r="BO1407" s="210"/>
      <c r="BP1407" s="210"/>
      <c r="BQ1407" s="210"/>
      <c r="BR1407" s="210"/>
      <c r="BS1407" s="210"/>
      <c r="BT1407" s="210"/>
      <c r="BU1407" s="210"/>
      <c r="BV1407" s="210"/>
      <c r="BW1407" s="210"/>
      <c r="BX1407" s="210"/>
      <c r="BY1407" s="210"/>
      <c r="BZ1407" s="210"/>
      <c r="CA1407" s="210"/>
      <c r="CB1407" s="210"/>
      <c r="CC1407" s="210"/>
      <c r="CD1407" s="210"/>
      <c r="CE1407" s="210"/>
      <c r="CF1407" s="210"/>
      <c r="CG1407" s="210"/>
      <c r="CH1407" s="210"/>
      <c r="CI1407" s="210"/>
      <c r="CJ1407" s="210"/>
      <c r="CK1407" s="210"/>
    </row>
    <row r="1408">
      <c r="A1408" s="220"/>
      <c r="F1408" s="190"/>
      <c r="G1408" s="190"/>
      <c r="L1408" s="220"/>
      <c r="M1408" s="220"/>
      <c r="O1408" s="210"/>
      <c r="P1408" s="210"/>
      <c r="Q1408" s="210"/>
      <c r="R1408" s="210"/>
      <c r="S1408" s="210"/>
      <c r="T1408" s="210"/>
      <c r="U1408" s="210"/>
      <c r="V1408" s="210"/>
      <c r="W1408" s="210"/>
      <c r="X1408" s="210"/>
      <c r="Y1408" s="210"/>
      <c r="Z1408" s="210"/>
      <c r="AA1408" s="210"/>
      <c r="AB1408" s="210"/>
      <c r="AC1408" s="210"/>
      <c r="AD1408" s="210"/>
      <c r="AE1408" s="210"/>
      <c r="AF1408" s="210"/>
      <c r="AG1408" s="210"/>
      <c r="AH1408" s="210"/>
      <c r="AI1408" s="210"/>
      <c r="AJ1408" s="210"/>
      <c r="AK1408" s="210"/>
      <c r="AL1408" s="210"/>
      <c r="AM1408" s="214"/>
      <c r="AN1408" s="210"/>
      <c r="AO1408" s="210"/>
      <c r="AP1408" s="210"/>
      <c r="AQ1408" s="210"/>
      <c r="AR1408" s="210"/>
      <c r="AS1408" s="210"/>
      <c r="AT1408" s="210"/>
      <c r="AU1408" s="210"/>
      <c r="AV1408" s="210"/>
      <c r="AW1408" s="210"/>
      <c r="AX1408" s="210"/>
      <c r="AY1408" s="210"/>
      <c r="AZ1408" s="210"/>
      <c r="BA1408" s="210"/>
      <c r="BB1408" s="210"/>
      <c r="BC1408" s="210"/>
      <c r="BD1408" s="210"/>
      <c r="BE1408" s="210"/>
      <c r="BF1408" s="210"/>
      <c r="BG1408" s="210"/>
      <c r="BH1408" s="210"/>
      <c r="BI1408" s="210"/>
      <c r="BJ1408" s="210"/>
      <c r="BK1408" s="210"/>
      <c r="BL1408" s="210"/>
      <c r="BM1408" s="210"/>
      <c r="BN1408" s="210"/>
      <c r="BO1408" s="210"/>
      <c r="BP1408" s="210"/>
      <c r="BQ1408" s="210"/>
      <c r="BR1408" s="210"/>
      <c r="BS1408" s="210"/>
      <c r="BT1408" s="210"/>
      <c r="BU1408" s="210"/>
      <c r="BV1408" s="210"/>
      <c r="BW1408" s="210"/>
      <c r="BX1408" s="210"/>
      <c r="BY1408" s="210"/>
      <c r="BZ1408" s="210"/>
      <c r="CA1408" s="210"/>
      <c r="CB1408" s="210"/>
      <c r="CC1408" s="210"/>
      <c r="CD1408" s="210"/>
      <c r="CE1408" s="210"/>
      <c r="CF1408" s="210"/>
      <c r="CG1408" s="210"/>
      <c r="CH1408" s="210"/>
      <c r="CI1408" s="210"/>
      <c r="CJ1408" s="210"/>
      <c r="CK1408" s="210"/>
    </row>
    <row r="1409">
      <c r="A1409" s="220"/>
      <c r="F1409" s="190"/>
      <c r="G1409" s="190"/>
      <c r="L1409" s="220"/>
      <c r="M1409" s="220"/>
      <c r="O1409" s="210"/>
      <c r="P1409" s="210"/>
      <c r="Q1409" s="210"/>
      <c r="R1409" s="210"/>
      <c r="S1409" s="210"/>
      <c r="T1409" s="210"/>
      <c r="U1409" s="210"/>
      <c r="V1409" s="210"/>
      <c r="W1409" s="210"/>
      <c r="X1409" s="210"/>
      <c r="Y1409" s="210"/>
      <c r="Z1409" s="210"/>
      <c r="AA1409" s="210"/>
      <c r="AB1409" s="210"/>
      <c r="AC1409" s="210"/>
      <c r="AD1409" s="210"/>
      <c r="AE1409" s="210"/>
      <c r="AF1409" s="210"/>
      <c r="AG1409" s="210"/>
      <c r="AH1409" s="210"/>
      <c r="AI1409" s="210"/>
      <c r="AJ1409" s="210"/>
      <c r="AK1409" s="210"/>
      <c r="AL1409" s="210"/>
      <c r="AM1409" s="214"/>
      <c r="AN1409" s="210"/>
      <c r="AO1409" s="210"/>
      <c r="AP1409" s="210"/>
      <c r="AQ1409" s="210"/>
      <c r="AR1409" s="210"/>
      <c r="AS1409" s="210"/>
      <c r="AT1409" s="210"/>
      <c r="AU1409" s="210"/>
      <c r="AV1409" s="210"/>
      <c r="AW1409" s="210"/>
      <c r="AX1409" s="210"/>
      <c r="AY1409" s="210"/>
      <c r="AZ1409" s="210"/>
      <c r="BA1409" s="210"/>
      <c r="BB1409" s="210"/>
      <c r="BC1409" s="210"/>
      <c r="BD1409" s="210"/>
      <c r="BE1409" s="210"/>
      <c r="BF1409" s="210"/>
      <c r="BG1409" s="210"/>
      <c r="BH1409" s="210"/>
      <c r="BI1409" s="210"/>
      <c r="BJ1409" s="210"/>
      <c r="BK1409" s="210"/>
      <c r="BL1409" s="210"/>
      <c r="BM1409" s="210"/>
      <c r="BN1409" s="210"/>
      <c r="BO1409" s="210"/>
      <c r="BP1409" s="210"/>
      <c r="BQ1409" s="210"/>
      <c r="BR1409" s="210"/>
      <c r="BS1409" s="210"/>
      <c r="BT1409" s="210"/>
      <c r="BU1409" s="210"/>
      <c r="BV1409" s="210"/>
      <c r="BW1409" s="210"/>
      <c r="BX1409" s="210"/>
      <c r="BY1409" s="210"/>
      <c r="BZ1409" s="210"/>
      <c r="CA1409" s="210"/>
      <c r="CB1409" s="210"/>
      <c r="CC1409" s="210"/>
      <c r="CD1409" s="210"/>
      <c r="CE1409" s="210"/>
      <c r="CF1409" s="210"/>
      <c r="CG1409" s="210"/>
      <c r="CH1409" s="210"/>
      <c r="CI1409" s="210"/>
      <c r="CJ1409" s="210"/>
      <c r="CK1409" s="210"/>
    </row>
    <row r="1410">
      <c r="A1410" s="220"/>
      <c r="F1410" s="190"/>
      <c r="G1410" s="190"/>
      <c r="L1410" s="220"/>
      <c r="M1410" s="220"/>
      <c r="O1410" s="210"/>
      <c r="P1410" s="210"/>
      <c r="Q1410" s="210"/>
      <c r="R1410" s="210"/>
      <c r="S1410" s="210"/>
      <c r="T1410" s="210"/>
      <c r="U1410" s="210"/>
      <c r="V1410" s="210"/>
      <c r="W1410" s="210"/>
      <c r="X1410" s="210"/>
      <c r="Y1410" s="210"/>
      <c r="Z1410" s="210"/>
      <c r="AA1410" s="210"/>
      <c r="AB1410" s="210"/>
      <c r="AC1410" s="210"/>
      <c r="AD1410" s="210"/>
      <c r="AE1410" s="210"/>
      <c r="AF1410" s="210"/>
      <c r="AG1410" s="210"/>
      <c r="AH1410" s="210"/>
      <c r="AI1410" s="210"/>
      <c r="AJ1410" s="210"/>
      <c r="AK1410" s="210"/>
      <c r="AL1410" s="210"/>
      <c r="AM1410" s="214"/>
      <c r="AN1410" s="210"/>
      <c r="AO1410" s="210"/>
      <c r="AP1410" s="210"/>
      <c r="AQ1410" s="210"/>
      <c r="AR1410" s="210"/>
      <c r="AS1410" s="210"/>
      <c r="AT1410" s="210"/>
      <c r="AU1410" s="210"/>
      <c r="AV1410" s="210"/>
      <c r="AW1410" s="210"/>
      <c r="AX1410" s="210"/>
      <c r="AY1410" s="210"/>
      <c r="AZ1410" s="210"/>
      <c r="BA1410" s="210"/>
      <c r="BB1410" s="210"/>
      <c r="BC1410" s="210"/>
      <c r="BD1410" s="210"/>
      <c r="BE1410" s="210"/>
      <c r="BF1410" s="210"/>
      <c r="BG1410" s="210"/>
      <c r="BH1410" s="210"/>
      <c r="BI1410" s="210"/>
      <c r="BJ1410" s="210"/>
      <c r="BK1410" s="210"/>
      <c r="BL1410" s="210"/>
      <c r="BM1410" s="210"/>
      <c r="BN1410" s="210"/>
      <c r="BO1410" s="210"/>
      <c r="BP1410" s="210"/>
      <c r="BQ1410" s="210"/>
      <c r="BR1410" s="210"/>
      <c r="BS1410" s="210"/>
      <c r="BT1410" s="210"/>
      <c r="BU1410" s="210"/>
      <c r="BV1410" s="210"/>
      <c r="BW1410" s="210"/>
      <c r="BX1410" s="210"/>
      <c r="BY1410" s="210"/>
      <c r="BZ1410" s="210"/>
      <c r="CA1410" s="210"/>
      <c r="CB1410" s="210"/>
      <c r="CC1410" s="210"/>
      <c r="CD1410" s="210"/>
      <c r="CE1410" s="210"/>
      <c r="CF1410" s="210"/>
      <c r="CG1410" s="210"/>
      <c r="CH1410" s="210"/>
      <c r="CI1410" s="210"/>
      <c r="CJ1410" s="210"/>
      <c r="CK1410" s="210"/>
    </row>
    <row r="1411">
      <c r="A1411" s="220"/>
      <c r="F1411" s="190"/>
      <c r="G1411" s="190"/>
      <c r="L1411" s="220"/>
      <c r="M1411" s="220"/>
      <c r="O1411" s="210"/>
      <c r="P1411" s="210"/>
      <c r="Q1411" s="210"/>
      <c r="R1411" s="210"/>
      <c r="S1411" s="210"/>
      <c r="T1411" s="210"/>
      <c r="U1411" s="210"/>
      <c r="V1411" s="210"/>
      <c r="W1411" s="210"/>
      <c r="X1411" s="210"/>
      <c r="Y1411" s="210"/>
      <c r="Z1411" s="210"/>
      <c r="AA1411" s="210"/>
      <c r="AB1411" s="210"/>
      <c r="AC1411" s="210"/>
      <c r="AD1411" s="210"/>
      <c r="AE1411" s="210"/>
      <c r="AF1411" s="210"/>
      <c r="AG1411" s="210"/>
      <c r="AH1411" s="210"/>
      <c r="AI1411" s="210"/>
      <c r="AJ1411" s="210"/>
      <c r="AK1411" s="210"/>
      <c r="AL1411" s="210"/>
      <c r="AM1411" s="214"/>
      <c r="AN1411" s="210"/>
      <c r="AO1411" s="210"/>
      <c r="AP1411" s="210"/>
      <c r="AQ1411" s="210"/>
      <c r="AR1411" s="210"/>
      <c r="AS1411" s="210"/>
      <c r="AT1411" s="210"/>
      <c r="AU1411" s="210"/>
      <c r="AV1411" s="210"/>
      <c r="AW1411" s="210"/>
      <c r="AX1411" s="210"/>
      <c r="AY1411" s="210"/>
      <c r="AZ1411" s="210"/>
      <c r="BA1411" s="210"/>
      <c r="BB1411" s="210"/>
      <c r="BC1411" s="210"/>
      <c r="BD1411" s="210"/>
      <c r="BE1411" s="210"/>
      <c r="BF1411" s="210"/>
      <c r="BG1411" s="210"/>
      <c r="BH1411" s="210"/>
      <c r="BI1411" s="210"/>
      <c r="BJ1411" s="210"/>
      <c r="BK1411" s="210"/>
      <c r="BL1411" s="210"/>
      <c r="BM1411" s="210"/>
      <c r="BN1411" s="210"/>
      <c r="BO1411" s="210"/>
      <c r="BP1411" s="210"/>
      <c r="BQ1411" s="210"/>
      <c r="BR1411" s="210"/>
      <c r="BS1411" s="210"/>
      <c r="BT1411" s="210"/>
      <c r="BU1411" s="210"/>
      <c r="BV1411" s="210"/>
      <c r="BW1411" s="210"/>
      <c r="BX1411" s="210"/>
      <c r="BY1411" s="210"/>
      <c r="BZ1411" s="210"/>
      <c r="CA1411" s="210"/>
      <c r="CB1411" s="210"/>
      <c r="CC1411" s="210"/>
      <c r="CD1411" s="210"/>
      <c r="CE1411" s="210"/>
      <c r="CF1411" s="210"/>
      <c r="CG1411" s="210"/>
      <c r="CH1411" s="210"/>
      <c r="CI1411" s="210"/>
      <c r="CJ1411" s="210"/>
      <c r="CK1411" s="210"/>
    </row>
    <row r="1412">
      <c r="A1412" s="220"/>
      <c r="F1412" s="190"/>
      <c r="G1412" s="190"/>
      <c r="L1412" s="220"/>
      <c r="M1412" s="220"/>
      <c r="O1412" s="210"/>
      <c r="P1412" s="210"/>
      <c r="Q1412" s="210"/>
      <c r="R1412" s="210"/>
      <c r="S1412" s="210"/>
      <c r="T1412" s="210"/>
      <c r="U1412" s="210"/>
      <c r="V1412" s="210"/>
      <c r="W1412" s="210"/>
      <c r="X1412" s="210"/>
      <c r="Y1412" s="210"/>
      <c r="Z1412" s="210"/>
      <c r="AA1412" s="210"/>
      <c r="AB1412" s="210"/>
      <c r="AC1412" s="210"/>
      <c r="AD1412" s="210"/>
      <c r="AE1412" s="210"/>
      <c r="AF1412" s="210"/>
      <c r="AG1412" s="210"/>
      <c r="AH1412" s="210"/>
      <c r="AI1412" s="210"/>
      <c r="AJ1412" s="210"/>
      <c r="AK1412" s="210"/>
      <c r="AL1412" s="210"/>
      <c r="AM1412" s="214"/>
      <c r="AN1412" s="210"/>
      <c r="AO1412" s="210"/>
      <c r="AP1412" s="210"/>
      <c r="AQ1412" s="210"/>
      <c r="AR1412" s="210"/>
      <c r="AS1412" s="210"/>
      <c r="AT1412" s="210"/>
      <c r="AU1412" s="210"/>
      <c r="AV1412" s="210"/>
      <c r="AW1412" s="210"/>
      <c r="AX1412" s="210"/>
      <c r="AY1412" s="210"/>
      <c r="AZ1412" s="210"/>
      <c r="BA1412" s="210"/>
      <c r="BB1412" s="210"/>
      <c r="BC1412" s="210"/>
      <c r="BD1412" s="210"/>
      <c r="BE1412" s="210"/>
      <c r="BF1412" s="210"/>
      <c r="BG1412" s="210"/>
      <c r="BH1412" s="210"/>
      <c r="BI1412" s="210"/>
      <c r="BJ1412" s="210"/>
      <c r="BK1412" s="210"/>
      <c r="BL1412" s="210"/>
      <c r="BM1412" s="210"/>
      <c r="BN1412" s="210"/>
      <c r="BO1412" s="210"/>
      <c r="BP1412" s="210"/>
      <c r="BQ1412" s="210"/>
      <c r="BR1412" s="210"/>
      <c r="BS1412" s="210"/>
      <c r="BT1412" s="210"/>
      <c r="BU1412" s="210"/>
      <c r="BV1412" s="210"/>
      <c r="BW1412" s="210"/>
      <c r="BX1412" s="210"/>
      <c r="BY1412" s="210"/>
      <c r="BZ1412" s="210"/>
      <c r="CA1412" s="210"/>
      <c r="CB1412" s="210"/>
      <c r="CC1412" s="210"/>
      <c r="CD1412" s="210"/>
      <c r="CE1412" s="210"/>
      <c r="CF1412" s="210"/>
      <c r="CG1412" s="210"/>
      <c r="CH1412" s="210"/>
      <c r="CI1412" s="210"/>
      <c r="CJ1412" s="210"/>
      <c r="CK1412" s="210"/>
    </row>
    <row r="1413">
      <c r="A1413" s="220"/>
      <c r="F1413" s="190"/>
      <c r="G1413" s="190"/>
      <c r="L1413" s="220"/>
      <c r="M1413" s="220"/>
      <c r="O1413" s="210"/>
      <c r="P1413" s="210"/>
      <c r="Q1413" s="210"/>
      <c r="R1413" s="210"/>
      <c r="S1413" s="210"/>
      <c r="T1413" s="210"/>
      <c r="U1413" s="210"/>
      <c r="V1413" s="210"/>
      <c r="W1413" s="210"/>
      <c r="X1413" s="210"/>
      <c r="Y1413" s="210"/>
      <c r="Z1413" s="210"/>
      <c r="AA1413" s="210"/>
      <c r="AB1413" s="210"/>
      <c r="AC1413" s="210"/>
      <c r="AD1413" s="210"/>
      <c r="AE1413" s="210"/>
      <c r="AF1413" s="210"/>
      <c r="AG1413" s="210"/>
      <c r="AH1413" s="210"/>
      <c r="AI1413" s="210"/>
      <c r="AJ1413" s="210"/>
      <c r="AK1413" s="210"/>
      <c r="AL1413" s="210"/>
      <c r="AM1413" s="214"/>
      <c r="AN1413" s="210"/>
      <c r="AO1413" s="210"/>
      <c r="AP1413" s="210"/>
      <c r="AQ1413" s="210"/>
      <c r="AR1413" s="210"/>
      <c r="AS1413" s="210"/>
      <c r="AT1413" s="210"/>
      <c r="AU1413" s="210"/>
      <c r="AV1413" s="210"/>
      <c r="AW1413" s="210"/>
      <c r="AX1413" s="210"/>
      <c r="AY1413" s="210"/>
      <c r="AZ1413" s="210"/>
      <c r="BA1413" s="210"/>
      <c r="BB1413" s="210"/>
      <c r="BC1413" s="210"/>
      <c r="BD1413" s="210"/>
      <c r="BE1413" s="210"/>
      <c r="BF1413" s="210"/>
      <c r="BG1413" s="210"/>
      <c r="BH1413" s="210"/>
      <c r="BI1413" s="210"/>
      <c r="BJ1413" s="210"/>
      <c r="BK1413" s="210"/>
      <c r="BL1413" s="210"/>
      <c r="BM1413" s="210"/>
      <c r="BN1413" s="210"/>
      <c r="BO1413" s="210"/>
      <c r="BP1413" s="210"/>
      <c r="BQ1413" s="210"/>
      <c r="BR1413" s="210"/>
      <c r="BS1413" s="210"/>
      <c r="BT1413" s="210"/>
      <c r="BU1413" s="210"/>
      <c r="BV1413" s="210"/>
      <c r="BW1413" s="210"/>
      <c r="BX1413" s="210"/>
      <c r="BY1413" s="210"/>
      <c r="BZ1413" s="210"/>
      <c r="CA1413" s="210"/>
      <c r="CB1413" s="210"/>
      <c r="CC1413" s="210"/>
      <c r="CD1413" s="210"/>
      <c r="CE1413" s="210"/>
      <c r="CF1413" s="210"/>
      <c r="CG1413" s="210"/>
      <c r="CH1413" s="210"/>
      <c r="CI1413" s="210"/>
      <c r="CJ1413" s="210"/>
      <c r="CK1413" s="210"/>
    </row>
    <row r="1414">
      <c r="A1414" s="220"/>
      <c r="F1414" s="190"/>
      <c r="G1414" s="190"/>
      <c r="L1414" s="220"/>
      <c r="M1414" s="220"/>
      <c r="O1414" s="210"/>
      <c r="P1414" s="210"/>
      <c r="Q1414" s="210"/>
      <c r="R1414" s="210"/>
      <c r="S1414" s="210"/>
      <c r="T1414" s="210"/>
      <c r="U1414" s="210"/>
      <c r="V1414" s="210"/>
      <c r="W1414" s="210"/>
      <c r="X1414" s="210"/>
      <c r="Y1414" s="210"/>
      <c r="Z1414" s="210"/>
      <c r="AA1414" s="210"/>
      <c r="AB1414" s="210"/>
      <c r="AC1414" s="210"/>
      <c r="AD1414" s="210"/>
      <c r="AE1414" s="210"/>
      <c r="AF1414" s="210"/>
      <c r="AG1414" s="210"/>
      <c r="AH1414" s="210"/>
      <c r="AI1414" s="210"/>
      <c r="AJ1414" s="210"/>
      <c r="AK1414" s="210"/>
      <c r="AL1414" s="210"/>
      <c r="AM1414" s="214"/>
      <c r="AN1414" s="210"/>
      <c r="AO1414" s="210"/>
      <c r="AP1414" s="210"/>
      <c r="AQ1414" s="210"/>
      <c r="AR1414" s="210"/>
      <c r="AS1414" s="210"/>
      <c r="AT1414" s="210"/>
      <c r="AU1414" s="210"/>
      <c r="AV1414" s="210"/>
      <c r="AW1414" s="210"/>
      <c r="AX1414" s="210"/>
      <c r="AY1414" s="210"/>
      <c r="AZ1414" s="210"/>
      <c r="BA1414" s="210"/>
      <c r="BB1414" s="210"/>
      <c r="BC1414" s="210"/>
      <c r="BD1414" s="210"/>
      <c r="BE1414" s="210"/>
      <c r="BF1414" s="210"/>
      <c r="BG1414" s="210"/>
      <c r="BH1414" s="210"/>
      <c r="BI1414" s="210"/>
      <c r="BJ1414" s="210"/>
      <c r="BK1414" s="210"/>
      <c r="BL1414" s="210"/>
      <c r="BM1414" s="210"/>
      <c r="BN1414" s="210"/>
      <c r="BO1414" s="210"/>
      <c r="BP1414" s="210"/>
      <c r="BQ1414" s="210"/>
      <c r="BR1414" s="210"/>
      <c r="BS1414" s="210"/>
      <c r="BT1414" s="210"/>
      <c r="BU1414" s="210"/>
      <c r="BV1414" s="210"/>
      <c r="BW1414" s="210"/>
      <c r="BX1414" s="210"/>
      <c r="BY1414" s="210"/>
      <c r="BZ1414" s="210"/>
      <c r="CA1414" s="210"/>
      <c r="CB1414" s="210"/>
      <c r="CC1414" s="210"/>
      <c r="CD1414" s="210"/>
      <c r="CE1414" s="210"/>
      <c r="CF1414" s="210"/>
      <c r="CG1414" s="210"/>
      <c r="CH1414" s="210"/>
      <c r="CI1414" s="210"/>
      <c r="CJ1414" s="210"/>
      <c r="CK1414" s="210"/>
    </row>
    <row r="1415">
      <c r="A1415" s="220"/>
      <c r="F1415" s="190"/>
      <c r="G1415" s="190"/>
      <c r="L1415" s="220"/>
      <c r="M1415" s="220"/>
      <c r="O1415" s="210"/>
      <c r="P1415" s="210"/>
      <c r="Q1415" s="210"/>
      <c r="R1415" s="210"/>
      <c r="S1415" s="210"/>
      <c r="T1415" s="210"/>
      <c r="U1415" s="210"/>
      <c r="V1415" s="210"/>
      <c r="W1415" s="210"/>
      <c r="X1415" s="210"/>
      <c r="Y1415" s="210"/>
      <c r="Z1415" s="210"/>
      <c r="AA1415" s="210"/>
      <c r="AB1415" s="210"/>
      <c r="AC1415" s="210"/>
      <c r="AD1415" s="210"/>
      <c r="AE1415" s="210"/>
      <c r="AF1415" s="210"/>
      <c r="AG1415" s="210"/>
      <c r="AH1415" s="210"/>
      <c r="AI1415" s="210"/>
      <c r="AJ1415" s="210"/>
      <c r="AK1415" s="210"/>
      <c r="AL1415" s="210"/>
      <c r="AM1415" s="214"/>
      <c r="AN1415" s="210"/>
      <c r="AO1415" s="210"/>
      <c r="AP1415" s="210"/>
      <c r="AQ1415" s="210"/>
      <c r="AR1415" s="210"/>
      <c r="AS1415" s="210"/>
      <c r="AT1415" s="210"/>
      <c r="AU1415" s="210"/>
      <c r="AV1415" s="210"/>
      <c r="AW1415" s="210"/>
      <c r="AX1415" s="210"/>
      <c r="AY1415" s="210"/>
      <c r="AZ1415" s="210"/>
      <c r="BA1415" s="210"/>
      <c r="BB1415" s="210"/>
      <c r="BC1415" s="210"/>
      <c r="BD1415" s="210"/>
      <c r="BE1415" s="210"/>
      <c r="BF1415" s="210"/>
      <c r="BG1415" s="210"/>
      <c r="BH1415" s="210"/>
      <c r="BI1415" s="210"/>
      <c r="BJ1415" s="210"/>
      <c r="BK1415" s="210"/>
      <c r="BL1415" s="210"/>
      <c r="BM1415" s="210"/>
      <c r="BN1415" s="210"/>
      <c r="BO1415" s="210"/>
      <c r="BP1415" s="210"/>
      <c r="BQ1415" s="210"/>
      <c r="BR1415" s="210"/>
      <c r="BS1415" s="210"/>
      <c r="BT1415" s="210"/>
      <c r="BU1415" s="210"/>
      <c r="BV1415" s="210"/>
      <c r="BW1415" s="210"/>
      <c r="BX1415" s="210"/>
      <c r="BY1415" s="210"/>
      <c r="BZ1415" s="210"/>
      <c r="CA1415" s="210"/>
      <c r="CB1415" s="210"/>
      <c r="CC1415" s="210"/>
      <c r="CD1415" s="210"/>
      <c r="CE1415" s="210"/>
      <c r="CF1415" s="210"/>
      <c r="CG1415" s="210"/>
      <c r="CH1415" s="210"/>
      <c r="CI1415" s="210"/>
      <c r="CJ1415" s="210"/>
      <c r="CK1415" s="210"/>
    </row>
    <row r="1416">
      <c r="A1416" s="220"/>
      <c r="F1416" s="190"/>
      <c r="G1416" s="190"/>
      <c r="L1416" s="220"/>
      <c r="M1416" s="220"/>
      <c r="O1416" s="210"/>
      <c r="P1416" s="210"/>
      <c r="Q1416" s="210"/>
      <c r="R1416" s="210"/>
      <c r="S1416" s="210"/>
      <c r="T1416" s="210"/>
      <c r="U1416" s="210"/>
      <c r="V1416" s="210"/>
      <c r="W1416" s="210"/>
      <c r="X1416" s="210"/>
      <c r="Y1416" s="210"/>
      <c r="Z1416" s="210"/>
      <c r="AA1416" s="210"/>
      <c r="AB1416" s="210"/>
      <c r="AC1416" s="210"/>
      <c r="AD1416" s="210"/>
      <c r="AE1416" s="210"/>
      <c r="AF1416" s="210"/>
      <c r="AG1416" s="210"/>
      <c r="AH1416" s="210"/>
      <c r="AI1416" s="210"/>
      <c r="AJ1416" s="210"/>
      <c r="AK1416" s="210"/>
      <c r="AL1416" s="210"/>
      <c r="AM1416" s="214"/>
      <c r="AN1416" s="210"/>
      <c r="AO1416" s="210"/>
      <c r="AP1416" s="210"/>
      <c r="AQ1416" s="210"/>
      <c r="AR1416" s="210"/>
      <c r="AS1416" s="210"/>
      <c r="AT1416" s="210"/>
      <c r="AU1416" s="210"/>
      <c r="AV1416" s="210"/>
      <c r="AW1416" s="210"/>
      <c r="AX1416" s="210"/>
      <c r="AY1416" s="210"/>
      <c r="AZ1416" s="210"/>
      <c r="BA1416" s="210"/>
      <c r="BB1416" s="210"/>
      <c r="BC1416" s="210"/>
      <c r="BD1416" s="210"/>
      <c r="BE1416" s="210"/>
      <c r="BF1416" s="210"/>
      <c r="BG1416" s="210"/>
      <c r="BH1416" s="210"/>
      <c r="BI1416" s="210"/>
      <c r="BJ1416" s="210"/>
      <c r="BK1416" s="210"/>
      <c r="BL1416" s="210"/>
      <c r="BM1416" s="210"/>
      <c r="BN1416" s="210"/>
      <c r="BO1416" s="210"/>
      <c r="BP1416" s="210"/>
      <c r="BQ1416" s="210"/>
      <c r="BR1416" s="210"/>
      <c r="BS1416" s="210"/>
      <c r="BT1416" s="210"/>
      <c r="BU1416" s="210"/>
      <c r="BV1416" s="210"/>
      <c r="BW1416" s="210"/>
      <c r="BX1416" s="210"/>
      <c r="BY1416" s="210"/>
      <c r="BZ1416" s="210"/>
      <c r="CA1416" s="210"/>
      <c r="CB1416" s="210"/>
      <c r="CC1416" s="210"/>
      <c r="CD1416" s="210"/>
      <c r="CE1416" s="210"/>
      <c r="CF1416" s="210"/>
      <c r="CG1416" s="210"/>
      <c r="CH1416" s="210"/>
      <c r="CI1416" s="210"/>
      <c r="CJ1416" s="210"/>
      <c r="CK1416" s="210"/>
    </row>
    <row r="1417">
      <c r="A1417" s="220"/>
      <c r="F1417" s="190"/>
      <c r="G1417" s="190"/>
      <c r="L1417" s="220"/>
      <c r="M1417" s="220"/>
      <c r="O1417" s="210"/>
      <c r="P1417" s="210"/>
      <c r="Q1417" s="210"/>
      <c r="R1417" s="210"/>
      <c r="S1417" s="210"/>
      <c r="T1417" s="210"/>
      <c r="U1417" s="210"/>
      <c r="V1417" s="210"/>
      <c r="W1417" s="210"/>
      <c r="X1417" s="210"/>
      <c r="Y1417" s="210"/>
      <c r="Z1417" s="210"/>
      <c r="AA1417" s="210"/>
      <c r="AB1417" s="210"/>
      <c r="AC1417" s="210"/>
      <c r="AD1417" s="210"/>
      <c r="AE1417" s="210"/>
      <c r="AF1417" s="210"/>
      <c r="AG1417" s="210"/>
      <c r="AH1417" s="210"/>
      <c r="AI1417" s="210"/>
      <c r="AJ1417" s="210"/>
      <c r="AK1417" s="210"/>
      <c r="AL1417" s="210"/>
      <c r="AM1417" s="214"/>
      <c r="AN1417" s="210"/>
      <c r="AO1417" s="210"/>
      <c r="AP1417" s="210"/>
      <c r="AQ1417" s="210"/>
      <c r="AR1417" s="210"/>
      <c r="AS1417" s="210"/>
      <c r="AT1417" s="210"/>
      <c r="AU1417" s="210"/>
      <c r="AV1417" s="210"/>
      <c r="AW1417" s="210"/>
      <c r="AX1417" s="210"/>
      <c r="AY1417" s="210"/>
      <c r="AZ1417" s="210"/>
      <c r="BA1417" s="210"/>
      <c r="BB1417" s="210"/>
      <c r="BC1417" s="210"/>
      <c r="BD1417" s="210"/>
      <c r="BE1417" s="210"/>
      <c r="BF1417" s="210"/>
      <c r="BG1417" s="210"/>
      <c r="BH1417" s="210"/>
      <c r="BI1417" s="210"/>
      <c r="BJ1417" s="210"/>
      <c r="BK1417" s="210"/>
      <c r="BL1417" s="210"/>
      <c r="BM1417" s="210"/>
      <c r="BN1417" s="210"/>
      <c r="BO1417" s="210"/>
      <c r="BP1417" s="210"/>
      <c r="BQ1417" s="210"/>
      <c r="BR1417" s="210"/>
      <c r="BS1417" s="210"/>
      <c r="BT1417" s="210"/>
      <c r="BU1417" s="210"/>
      <c r="BV1417" s="210"/>
      <c r="BW1417" s="210"/>
      <c r="BX1417" s="210"/>
      <c r="BY1417" s="210"/>
      <c r="BZ1417" s="210"/>
      <c r="CA1417" s="210"/>
      <c r="CB1417" s="210"/>
      <c r="CC1417" s="210"/>
      <c r="CD1417" s="210"/>
      <c r="CE1417" s="210"/>
      <c r="CF1417" s="210"/>
      <c r="CG1417" s="210"/>
      <c r="CH1417" s="210"/>
      <c r="CI1417" s="210"/>
      <c r="CJ1417" s="210"/>
      <c r="CK1417" s="210"/>
    </row>
    <row r="1418">
      <c r="A1418" s="220"/>
      <c r="F1418" s="190"/>
      <c r="G1418" s="190"/>
      <c r="L1418" s="220"/>
      <c r="M1418" s="220"/>
      <c r="O1418" s="210"/>
      <c r="P1418" s="210"/>
      <c r="Q1418" s="210"/>
      <c r="R1418" s="210"/>
      <c r="S1418" s="210"/>
      <c r="T1418" s="210"/>
      <c r="U1418" s="210"/>
      <c r="V1418" s="210"/>
      <c r="W1418" s="210"/>
      <c r="X1418" s="210"/>
      <c r="Y1418" s="210"/>
      <c r="Z1418" s="210"/>
      <c r="AA1418" s="210"/>
      <c r="AB1418" s="210"/>
      <c r="AC1418" s="210"/>
      <c r="AD1418" s="210"/>
      <c r="AE1418" s="210"/>
      <c r="AF1418" s="210"/>
      <c r="AG1418" s="210"/>
      <c r="AH1418" s="210"/>
      <c r="AI1418" s="210"/>
      <c r="AJ1418" s="210"/>
      <c r="AK1418" s="210"/>
      <c r="AL1418" s="210"/>
      <c r="AM1418" s="214"/>
      <c r="AN1418" s="210"/>
      <c r="AO1418" s="210"/>
      <c r="AP1418" s="210"/>
      <c r="AQ1418" s="210"/>
      <c r="AR1418" s="210"/>
      <c r="AS1418" s="210"/>
      <c r="AT1418" s="210"/>
      <c r="AU1418" s="210"/>
      <c r="AV1418" s="210"/>
      <c r="AW1418" s="210"/>
      <c r="AX1418" s="210"/>
      <c r="AY1418" s="210"/>
      <c r="AZ1418" s="210"/>
      <c r="BA1418" s="210"/>
      <c r="BB1418" s="210"/>
      <c r="BC1418" s="210"/>
      <c r="BD1418" s="210"/>
      <c r="BE1418" s="210"/>
      <c r="BF1418" s="210"/>
      <c r="BG1418" s="210"/>
      <c r="BH1418" s="210"/>
      <c r="BI1418" s="210"/>
      <c r="BJ1418" s="210"/>
      <c r="BK1418" s="210"/>
      <c r="BL1418" s="210"/>
      <c r="BM1418" s="210"/>
      <c r="BN1418" s="210"/>
      <c r="BO1418" s="210"/>
      <c r="BP1418" s="210"/>
      <c r="BQ1418" s="210"/>
      <c r="BR1418" s="210"/>
      <c r="BS1418" s="210"/>
      <c r="BT1418" s="210"/>
      <c r="BU1418" s="210"/>
      <c r="BV1418" s="210"/>
      <c r="BW1418" s="210"/>
      <c r="BX1418" s="210"/>
      <c r="BY1418" s="210"/>
      <c r="BZ1418" s="210"/>
      <c r="CA1418" s="210"/>
      <c r="CB1418" s="210"/>
      <c r="CC1418" s="210"/>
      <c r="CD1418" s="210"/>
      <c r="CE1418" s="210"/>
      <c r="CF1418" s="210"/>
      <c r="CG1418" s="210"/>
      <c r="CH1418" s="210"/>
      <c r="CI1418" s="210"/>
      <c r="CJ1418" s="210"/>
      <c r="CK1418" s="210"/>
    </row>
    <row r="1419">
      <c r="A1419" s="220"/>
      <c r="F1419" s="190"/>
      <c r="G1419" s="190"/>
      <c r="L1419" s="220"/>
      <c r="M1419" s="220"/>
      <c r="O1419" s="210"/>
      <c r="P1419" s="210"/>
      <c r="Q1419" s="210"/>
      <c r="R1419" s="210"/>
      <c r="S1419" s="210"/>
      <c r="T1419" s="210"/>
      <c r="U1419" s="210"/>
      <c r="V1419" s="210"/>
      <c r="W1419" s="210"/>
      <c r="X1419" s="210"/>
      <c r="Y1419" s="210"/>
      <c r="Z1419" s="210"/>
      <c r="AA1419" s="210"/>
      <c r="AB1419" s="210"/>
      <c r="AC1419" s="210"/>
      <c r="AD1419" s="210"/>
      <c r="AE1419" s="210"/>
      <c r="AF1419" s="210"/>
      <c r="AG1419" s="210"/>
      <c r="AH1419" s="210"/>
      <c r="AI1419" s="210"/>
      <c r="AJ1419" s="210"/>
      <c r="AK1419" s="210"/>
      <c r="AL1419" s="210"/>
      <c r="AM1419" s="214"/>
      <c r="AN1419" s="210"/>
      <c r="AO1419" s="210"/>
      <c r="AP1419" s="210"/>
      <c r="AQ1419" s="210"/>
      <c r="AR1419" s="210"/>
      <c r="AS1419" s="210"/>
      <c r="AT1419" s="210"/>
      <c r="AU1419" s="210"/>
      <c r="AV1419" s="210"/>
      <c r="AW1419" s="210"/>
      <c r="AX1419" s="210"/>
      <c r="AY1419" s="210"/>
      <c r="AZ1419" s="210"/>
      <c r="BA1419" s="210"/>
      <c r="BB1419" s="210"/>
      <c r="BC1419" s="210"/>
      <c r="BD1419" s="210"/>
      <c r="BE1419" s="210"/>
      <c r="BF1419" s="210"/>
      <c r="BG1419" s="210"/>
      <c r="BH1419" s="210"/>
      <c r="BI1419" s="210"/>
      <c r="BJ1419" s="210"/>
      <c r="BK1419" s="210"/>
      <c r="BL1419" s="210"/>
      <c r="BM1419" s="210"/>
      <c r="BN1419" s="210"/>
      <c r="BO1419" s="210"/>
      <c r="BP1419" s="210"/>
      <c r="BQ1419" s="210"/>
      <c r="BR1419" s="210"/>
      <c r="BS1419" s="210"/>
      <c r="BT1419" s="210"/>
      <c r="BU1419" s="210"/>
      <c r="BV1419" s="210"/>
      <c r="BW1419" s="210"/>
      <c r="BX1419" s="210"/>
      <c r="BY1419" s="210"/>
      <c r="BZ1419" s="210"/>
      <c r="CA1419" s="210"/>
      <c r="CB1419" s="210"/>
      <c r="CC1419" s="210"/>
      <c r="CD1419" s="210"/>
      <c r="CE1419" s="210"/>
      <c r="CF1419" s="210"/>
      <c r="CG1419" s="210"/>
      <c r="CH1419" s="210"/>
      <c r="CI1419" s="210"/>
      <c r="CJ1419" s="210"/>
      <c r="CK1419" s="210"/>
    </row>
    <row r="1420">
      <c r="A1420" s="220"/>
      <c r="F1420" s="190"/>
      <c r="G1420" s="190"/>
      <c r="L1420" s="220"/>
      <c r="M1420" s="220"/>
      <c r="O1420" s="210"/>
      <c r="P1420" s="210"/>
      <c r="Q1420" s="210"/>
      <c r="R1420" s="210"/>
      <c r="S1420" s="210"/>
      <c r="T1420" s="210"/>
      <c r="U1420" s="210"/>
      <c r="V1420" s="210"/>
      <c r="W1420" s="210"/>
      <c r="X1420" s="210"/>
      <c r="Y1420" s="210"/>
      <c r="Z1420" s="210"/>
      <c r="AA1420" s="210"/>
      <c r="AB1420" s="210"/>
      <c r="AC1420" s="210"/>
      <c r="AD1420" s="210"/>
      <c r="AE1420" s="210"/>
      <c r="AF1420" s="210"/>
      <c r="AG1420" s="210"/>
      <c r="AH1420" s="210"/>
      <c r="AI1420" s="210"/>
      <c r="AJ1420" s="210"/>
      <c r="AK1420" s="210"/>
      <c r="AL1420" s="210"/>
      <c r="AM1420" s="214"/>
      <c r="AN1420" s="210"/>
      <c r="AO1420" s="210"/>
      <c r="AP1420" s="210"/>
      <c r="AQ1420" s="210"/>
      <c r="AR1420" s="210"/>
      <c r="AS1420" s="210"/>
      <c r="AT1420" s="210"/>
      <c r="AU1420" s="210"/>
      <c r="AV1420" s="210"/>
      <c r="AW1420" s="210"/>
      <c r="AX1420" s="210"/>
      <c r="AY1420" s="210"/>
      <c r="AZ1420" s="210"/>
      <c r="BA1420" s="210"/>
      <c r="BB1420" s="210"/>
      <c r="BC1420" s="210"/>
      <c r="BD1420" s="210"/>
      <c r="BE1420" s="210"/>
      <c r="BF1420" s="210"/>
      <c r="BG1420" s="210"/>
      <c r="BH1420" s="210"/>
      <c r="BI1420" s="210"/>
      <c r="BJ1420" s="210"/>
      <c r="BK1420" s="210"/>
      <c r="BL1420" s="210"/>
      <c r="BM1420" s="210"/>
      <c r="BN1420" s="210"/>
      <c r="BO1420" s="210"/>
      <c r="BP1420" s="210"/>
      <c r="BQ1420" s="210"/>
      <c r="BR1420" s="210"/>
      <c r="BS1420" s="210"/>
      <c r="BT1420" s="210"/>
      <c r="BU1420" s="210"/>
      <c r="BV1420" s="210"/>
      <c r="BW1420" s="210"/>
      <c r="BX1420" s="210"/>
      <c r="BY1420" s="210"/>
      <c r="BZ1420" s="210"/>
      <c r="CA1420" s="210"/>
      <c r="CB1420" s="210"/>
      <c r="CC1420" s="210"/>
      <c r="CD1420" s="210"/>
      <c r="CE1420" s="210"/>
      <c r="CF1420" s="210"/>
      <c r="CG1420" s="210"/>
      <c r="CH1420" s="210"/>
      <c r="CI1420" s="210"/>
      <c r="CJ1420" s="210"/>
      <c r="CK1420" s="210"/>
    </row>
    <row r="1421">
      <c r="A1421" s="220"/>
      <c r="F1421" s="190"/>
      <c r="G1421" s="190"/>
      <c r="L1421" s="220"/>
      <c r="M1421" s="220"/>
      <c r="O1421" s="210"/>
      <c r="P1421" s="210"/>
      <c r="Q1421" s="210"/>
      <c r="R1421" s="210"/>
      <c r="S1421" s="210"/>
      <c r="T1421" s="210"/>
      <c r="U1421" s="210"/>
      <c r="V1421" s="210"/>
      <c r="W1421" s="210"/>
      <c r="X1421" s="210"/>
      <c r="Y1421" s="210"/>
      <c r="Z1421" s="210"/>
      <c r="AA1421" s="210"/>
      <c r="AB1421" s="210"/>
      <c r="AC1421" s="210"/>
      <c r="AD1421" s="210"/>
      <c r="AE1421" s="210"/>
      <c r="AF1421" s="210"/>
      <c r="AG1421" s="210"/>
      <c r="AH1421" s="210"/>
      <c r="AI1421" s="210"/>
      <c r="AJ1421" s="210"/>
      <c r="AK1421" s="210"/>
      <c r="AL1421" s="210"/>
      <c r="AM1421" s="214"/>
      <c r="AN1421" s="210"/>
      <c r="AO1421" s="210"/>
      <c r="AP1421" s="210"/>
      <c r="AQ1421" s="210"/>
      <c r="AR1421" s="210"/>
      <c r="AS1421" s="210"/>
      <c r="AT1421" s="210"/>
      <c r="AU1421" s="210"/>
      <c r="AV1421" s="210"/>
      <c r="AW1421" s="210"/>
      <c r="AX1421" s="210"/>
      <c r="AY1421" s="210"/>
      <c r="AZ1421" s="210"/>
      <c r="BA1421" s="210"/>
      <c r="BB1421" s="210"/>
      <c r="BC1421" s="210"/>
      <c r="BD1421" s="210"/>
      <c r="BE1421" s="210"/>
      <c r="BF1421" s="210"/>
      <c r="BG1421" s="210"/>
      <c r="BH1421" s="210"/>
      <c r="BI1421" s="210"/>
      <c r="BJ1421" s="210"/>
      <c r="BK1421" s="210"/>
      <c r="BL1421" s="210"/>
      <c r="BM1421" s="210"/>
      <c r="BN1421" s="210"/>
      <c r="BO1421" s="210"/>
      <c r="BP1421" s="210"/>
      <c r="BQ1421" s="210"/>
      <c r="BR1421" s="210"/>
      <c r="BS1421" s="210"/>
      <c r="BT1421" s="210"/>
      <c r="BU1421" s="210"/>
      <c r="BV1421" s="210"/>
      <c r="BW1421" s="210"/>
      <c r="BX1421" s="210"/>
      <c r="BY1421" s="210"/>
      <c r="BZ1421" s="210"/>
      <c r="CA1421" s="210"/>
      <c r="CB1421" s="210"/>
      <c r="CC1421" s="210"/>
      <c r="CD1421" s="210"/>
      <c r="CE1421" s="210"/>
      <c r="CF1421" s="210"/>
      <c r="CG1421" s="210"/>
      <c r="CH1421" s="210"/>
      <c r="CI1421" s="210"/>
      <c r="CJ1421" s="210"/>
      <c r="CK1421" s="210"/>
    </row>
    <row r="1422">
      <c r="A1422" s="220"/>
      <c r="F1422" s="190"/>
      <c r="G1422" s="190"/>
      <c r="L1422" s="220"/>
      <c r="M1422" s="220"/>
      <c r="O1422" s="210"/>
      <c r="P1422" s="210"/>
      <c r="Q1422" s="210"/>
      <c r="R1422" s="210"/>
      <c r="S1422" s="210"/>
      <c r="T1422" s="210"/>
      <c r="U1422" s="210"/>
      <c r="V1422" s="210"/>
      <c r="W1422" s="210"/>
      <c r="X1422" s="210"/>
      <c r="Y1422" s="210"/>
      <c r="Z1422" s="210"/>
      <c r="AA1422" s="210"/>
      <c r="AB1422" s="210"/>
      <c r="AC1422" s="210"/>
      <c r="AD1422" s="210"/>
      <c r="AE1422" s="210"/>
      <c r="AF1422" s="210"/>
      <c r="AG1422" s="210"/>
      <c r="AH1422" s="210"/>
      <c r="AI1422" s="210"/>
      <c r="AJ1422" s="210"/>
      <c r="AK1422" s="210"/>
      <c r="AL1422" s="210"/>
      <c r="AM1422" s="214"/>
      <c r="AN1422" s="210"/>
      <c r="AO1422" s="210"/>
      <c r="AP1422" s="210"/>
      <c r="AQ1422" s="210"/>
      <c r="AR1422" s="210"/>
      <c r="AS1422" s="210"/>
      <c r="AT1422" s="210"/>
      <c r="AU1422" s="210"/>
      <c r="AV1422" s="210"/>
      <c r="AW1422" s="210"/>
      <c r="AX1422" s="210"/>
      <c r="AY1422" s="210"/>
      <c r="AZ1422" s="210"/>
      <c r="BA1422" s="210"/>
      <c r="BB1422" s="210"/>
      <c r="BC1422" s="210"/>
      <c r="BD1422" s="210"/>
      <c r="BE1422" s="210"/>
      <c r="BF1422" s="210"/>
      <c r="BG1422" s="210"/>
      <c r="BH1422" s="210"/>
      <c r="BI1422" s="210"/>
      <c r="BJ1422" s="210"/>
      <c r="BK1422" s="210"/>
      <c r="BL1422" s="210"/>
      <c r="BM1422" s="210"/>
      <c r="BN1422" s="210"/>
      <c r="BO1422" s="210"/>
      <c r="BP1422" s="210"/>
      <c r="BQ1422" s="210"/>
      <c r="BR1422" s="210"/>
      <c r="BS1422" s="210"/>
      <c r="BT1422" s="210"/>
      <c r="BU1422" s="210"/>
      <c r="BV1422" s="210"/>
      <c r="BW1422" s="210"/>
      <c r="BX1422" s="210"/>
      <c r="BY1422" s="210"/>
      <c r="BZ1422" s="210"/>
      <c r="CA1422" s="210"/>
      <c r="CB1422" s="210"/>
      <c r="CC1422" s="210"/>
      <c r="CD1422" s="210"/>
      <c r="CE1422" s="210"/>
      <c r="CF1422" s="210"/>
      <c r="CG1422" s="210"/>
      <c r="CH1422" s="210"/>
      <c r="CI1422" s="210"/>
      <c r="CJ1422" s="210"/>
      <c r="CK1422" s="210"/>
    </row>
    <row r="1423">
      <c r="A1423" s="220"/>
      <c r="F1423" s="190"/>
      <c r="G1423" s="190"/>
      <c r="L1423" s="220"/>
      <c r="M1423" s="220"/>
      <c r="O1423" s="210"/>
      <c r="P1423" s="210"/>
      <c r="Q1423" s="210"/>
      <c r="R1423" s="210"/>
      <c r="S1423" s="210"/>
      <c r="T1423" s="210"/>
      <c r="U1423" s="210"/>
      <c r="V1423" s="210"/>
      <c r="W1423" s="210"/>
      <c r="X1423" s="210"/>
      <c r="Y1423" s="210"/>
      <c r="Z1423" s="210"/>
      <c r="AA1423" s="210"/>
      <c r="AB1423" s="210"/>
      <c r="AC1423" s="210"/>
      <c r="AD1423" s="210"/>
      <c r="AE1423" s="210"/>
      <c r="AF1423" s="210"/>
      <c r="AG1423" s="210"/>
      <c r="AH1423" s="210"/>
      <c r="AI1423" s="210"/>
      <c r="AJ1423" s="210"/>
      <c r="AK1423" s="210"/>
      <c r="AL1423" s="210"/>
      <c r="AM1423" s="214"/>
      <c r="AN1423" s="210"/>
      <c r="AO1423" s="210"/>
      <c r="AP1423" s="210"/>
      <c r="AQ1423" s="210"/>
      <c r="AR1423" s="210"/>
      <c r="AS1423" s="210"/>
      <c r="AT1423" s="210"/>
      <c r="AU1423" s="210"/>
      <c r="AV1423" s="210"/>
      <c r="AW1423" s="210"/>
      <c r="AX1423" s="210"/>
      <c r="AY1423" s="210"/>
      <c r="AZ1423" s="210"/>
      <c r="BA1423" s="210"/>
      <c r="BB1423" s="210"/>
      <c r="BC1423" s="210"/>
      <c r="BD1423" s="210"/>
      <c r="BE1423" s="210"/>
      <c r="BF1423" s="210"/>
      <c r="BG1423" s="210"/>
      <c r="BH1423" s="210"/>
      <c r="BI1423" s="210"/>
      <c r="BJ1423" s="210"/>
      <c r="BK1423" s="210"/>
      <c r="BL1423" s="210"/>
      <c r="BM1423" s="210"/>
      <c r="BN1423" s="210"/>
      <c r="BO1423" s="210"/>
      <c r="BP1423" s="210"/>
      <c r="BQ1423" s="210"/>
      <c r="BR1423" s="210"/>
      <c r="BS1423" s="210"/>
      <c r="BT1423" s="210"/>
      <c r="BU1423" s="210"/>
      <c r="BV1423" s="210"/>
      <c r="BW1423" s="210"/>
      <c r="BX1423" s="210"/>
      <c r="BY1423" s="210"/>
      <c r="BZ1423" s="210"/>
      <c r="CA1423" s="210"/>
      <c r="CB1423" s="210"/>
      <c r="CC1423" s="210"/>
      <c r="CD1423" s="210"/>
      <c r="CE1423" s="210"/>
      <c r="CF1423" s="210"/>
      <c r="CG1423" s="210"/>
      <c r="CH1423" s="210"/>
      <c r="CI1423" s="210"/>
      <c r="CJ1423" s="210"/>
      <c r="CK1423" s="210"/>
    </row>
    <row r="1424">
      <c r="A1424" s="220"/>
      <c r="F1424" s="190"/>
      <c r="G1424" s="190"/>
      <c r="L1424" s="220"/>
      <c r="M1424" s="220"/>
      <c r="O1424" s="210"/>
      <c r="P1424" s="210"/>
      <c r="Q1424" s="210"/>
      <c r="R1424" s="210"/>
      <c r="S1424" s="210"/>
      <c r="T1424" s="210"/>
      <c r="U1424" s="210"/>
      <c r="V1424" s="210"/>
      <c r="W1424" s="210"/>
      <c r="X1424" s="210"/>
      <c r="Y1424" s="210"/>
      <c r="Z1424" s="210"/>
      <c r="AA1424" s="210"/>
      <c r="AB1424" s="210"/>
      <c r="AC1424" s="210"/>
      <c r="AD1424" s="210"/>
      <c r="AE1424" s="210"/>
      <c r="AF1424" s="210"/>
      <c r="AG1424" s="210"/>
      <c r="AH1424" s="210"/>
      <c r="AI1424" s="210"/>
      <c r="AJ1424" s="210"/>
      <c r="AK1424" s="210"/>
      <c r="AL1424" s="210"/>
      <c r="AM1424" s="214"/>
      <c r="AN1424" s="210"/>
      <c r="AO1424" s="210"/>
      <c r="AP1424" s="210"/>
      <c r="AQ1424" s="210"/>
      <c r="AR1424" s="210"/>
      <c r="AS1424" s="210"/>
      <c r="AT1424" s="210"/>
      <c r="AU1424" s="210"/>
      <c r="AV1424" s="210"/>
      <c r="AW1424" s="210"/>
      <c r="AX1424" s="210"/>
      <c r="AY1424" s="210"/>
      <c r="AZ1424" s="210"/>
      <c r="BA1424" s="210"/>
      <c r="BB1424" s="210"/>
      <c r="BC1424" s="210"/>
      <c r="BD1424" s="210"/>
      <c r="BE1424" s="210"/>
      <c r="BF1424" s="210"/>
      <c r="BG1424" s="210"/>
      <c r="BH1424" s="210"/>
      <c r="BI1424" s="210"/>
      <c r="BJ1424" s="210"/>
      <c r="BK1424" s="210"/>
      <c r="BL1424" s="210"/>
      <c r="BM1424" s="210"/>
      <c r="BN1424" s="210"/>
      <c r="BO1424" s="210"/>
      <c r="BP1424" s="210"/>
      <c r="BQ1424" s="210"/>
      <c r="BR1424" s="210"/>
      <c r="BS1424" s="210"/>
      <c r="BT1424" s="210"/>
      <c r="BU1424" s="210"/>
      <c r="BV1424" s="210"/>
      <c r="BW1424" s="210"/>
      <c r="BX1424" s="210"/>
      <c r="BY1424" s="210"/>
      <c r="BZ1424" s="210"/>
      <c r="CA1424" s="210"/>
      <c r="CB1424" s="210"/>
      <c r="CC1424" s="210"/>
      <c r="CD1424" s="210"/>
      <c r="CE1424" s="210"/>
      <c r="CF1424" s="210"/>
      <c r="CG1424" s="210"/>
      <c r="CH1424" s="210"/>
      <c r="CI1424" s="210"/>
      <c r="CJ1424" s="210"/>
      <c r="CK1424" s="210"/>
    </row>
    <row r="1425">
      <c r="A1425" s="220"/>
      <c r="F1425" s="190"/>
      <c r="G1425" s="190"/>
      <c r="L1425" s="220"/>
      <c r="M1425" s="220"/>
      <c r="O1425" s="210"/>
      <c r="P1425" s="210"/>
      <c r="Q1425" s="210"/>
      <c r="R1425" s="210"/>
      <c r="S1425" s="210"/>
      <c r="T1425" s="210"/>
      <c r="U1425" s="210"/>
      <c r="V1425" s="210"/>
      <c r="W1425" s="210"/>
      <c r="X1425" s="210"/>
      <c r="Y1425" s="210"/>
      <c r="Z1425" s="210"/>
      <c r="AA1425" s="210"/>
      <c r="AB1425" s="210"/>
      <c r="AC1425" s="210"/>
      <c r="AD1425" s="210"/>
      <c r="AE1425" s="210"/>
      <c r="AF1425" s="210"/>
      <c r="AG1425" s="210"/>
      <c r="AH1425" s="210"/>
      <c r="AI1425" s="210"/>
      <c r="AJ1425" s="210"/>
      <c r="AK1425" s="210"/>
      <c r="AL1425" s="210"/>
      <c r="AM1425" s="214"/>
      <c r="AN1425" s="210"/>
      <c r="AO1425" s="210"/>
      <c r="AP1425" s="210"/>
      <c r="AQ1425" s="210"/>
      <c r="AR1425" s="210"/>
      <c r="AS1425" s="210"/>
      <c r="AT1425" s="210"/>
      <c r="AU1425" s="210"/>
      <c r="AV1425" s="210"/>
      <c r="AW1425" s="210"/>
      <c r="AX1425" s="210"/>
      <c r="AY1425" s="210"/>
      <c r="AZ1425" s="210"/>
      <c r="BA1425" s="210"/>
      <c r="BB1425" s="210"/>
      <c r="BC1425" s="210"/>
      <c r="BD1425" s="210"/>
      <c r="BE1425" s="210"/>
      <c r="BF1425" s="210"/>
      <c r="BG1425" s="210"/>
      <c r="BH1425" s="210"/>
      <c r="BI1425" s="210"/>
      <c r="BJ1425" s="210"/>
      <c r="BK1425" s="210"/>
      <c r="BL1425" s="210"/>
      <c r="BM1425" s="210"/>
      <c r="BN1425" s="210"/>
      <c r="BO1425" s="210"/>
      <c r="BP1425" s="210"/>
      <c r="BQ1425" s="210"/>
      <c r="BR1425" s="210"/>
      <c r="BS1425" s="210"/>
      <c r="BT1425" s="210"/>
      <c r="BU1425" s="210"/>
      <c r="BV1425" s="210"/>
      <c r="BW1425" s="210"/>
      <c r="BX1425" s="210"/>
      <c r="BY1425" s="210"/>
      <c r="BZ1425" s="210"/>
      <c r="CA1425" s="210"/>
      <c r="CB1425" s="210"/>
      <c r="CC1425" s="210"/>
      <c r="CD1425" s="210"/>
      <c r="CE1425" s="210"/>
      <c r="CF1425" s="210"/>
      <c r="CG1425" s="210"/>
      <c r="CH1425" s="210"/>
      <c r="CI1425" s="210"/>
      <c r="CJ1425" s="210"/>
      <c r="CK1425" s="210"/>
    </row>
    <row r="1426">
      <c r="A1426" s="220"/>
      <c r="F1426" s="190"/>
      <c r="G1426" s="190"/>
      <c r="L1426" s="220"/>
      <c r="M1426" s="220"/>
      <c r="O1426" s="210"/>
      <c r="P1426" s="210"/>
      <c r="Q1426" s="210"/>
      <c r="R1426" s="210"/>
      <c r="S1426" s="210"/>
      <c r="T1426" s="210"/>
      <c r="U1426" s="210"/>
      <c r="V1426" s="210"/>
      <c r="W1426" s="210"/>
      <c r="X1426" s="210"/>
      <c r="Y1426" s="210"/>
      <c r="Z1426" s="210"/>
      <c r="AA1426" s="210"/>
      <c r="AB1426" s="210"/>
      <c r="AC1426" s="210"/>
      <c r="AD1426" s="210"/>
      <c r="AE1426" s="210"/>
      <c r="AF1426" s="210"/>
      <c r="AG1426" s="210"/>
      <c r="AH1426" s="210"/>
      <c r="AI1426" s="210"/>
      <c r="AJ1426" s="210"/>
      <c r="AK1426" s="210"/>
      <c r="AL1426" s="210"/>
      <c r="AM1426" s="214"/>
      <c r="AN1426" s="210"/>
      <c r="AO1426" s="210"/>
      <c r="AP1426" s="210"/>
      <c r="AQ1426" s="210"/>
      <c r="AR1426" s="210"/>
      <c r="AS1426" s="210"/>
      <c r="AT1426" s="210"/>
      <c r="AU1426" s="210"/>
      <c r="AV1426" s="210"/>
      <c r="AW1426" s="210"/>
      <c r="AX1426" s="210"/>
      <c r="AY1426" s="210"/>
      <c r="AZ1426" s="210"/>
      <c r="BA1426" s="210"/>
      <c r="BB1426" s="210"/>
      <c r="BC1426" s="210"/>
      <c r="BD1426" s="210"/>
      <c r="BE1426" s="210"/>
      <c r="BF1426" s="210"/>
      <c r="BG1426" s="210"/>
      <c r="BH1426" s="210"/>
      <c r="BI1426" s="210"/>
      <c r="BJ1426" s="210"/>
      <c r="BK1426" s="210"/>
      <c r="BL1426" s="210"/>
      <c r="BM1426" s="210"/>
      <c r="BN1426" s="210"/>
      <c r="BO1426" s="210"/>
      <c r="BP1426" s="210"/>
      <c r="BQ1426" s="210"/>
      <c r="BR1426" s="210"/>
      <c r="BS1426" s="210"/>
      <c r="BT1426" s="210"/>
      <c r="BU1426" s="210"/>
      <c r="BV1426" s="210"/>
      <c r="BW1426" s="210"/>
      <c r="BX1426" s="210"/>
      <c r="BY1426" s="210"/>
      <c r="BZ1426" s="210"/>
      <c r="CA1426" s="210"/>
      <c r="CB1426" s="210"/>
      <c r="CC1426" s="210"/>
      <c r="CD1426" s="210"/>
      <c r="CE1426" s="210"/>
      <c r="CF1426" s="210"/>
      <c r="CG1426" s="210"/>
      <c r="CH1426" s="210"/>
      <c r="CI1426" s="210"/>
      <c r="CJ1426" s="210"/>
      <c r="CK1426" s="210"/>
    </row>
    <row r="1427">
      <c r="A1427" s="220"/>
      <c r="F1427" s="190"/>
      <c r="G1427" s="190"/>
      <c r="L1427" s="220"/>
      <c r="M1427" s="220"/>
      <c r="O1427" s="210"/>
      <c r="P1427" s="210"/>
      <c r="Q1427" s="210"/>
      <c r="R1427" s="210"/>
      <c r="S1427" s="210"/>
      <c r="T1427" s="210"/>
      <c r="U1427" s="210"/>
      <c r="V1427" s="210"/>
      <c r="W1427" s="210"/>
      <c r="X1427" s="210"/>
      <c r="Y1427" s="210"/>
      <c r="Z1427" s="210"/>
      <c r="AA1427" s="210"/>
      <c r="AB1427" s="210"/>
      <c r="AC1427" s="210"/>
      <c r="AD1427" s="210"/>
      <c r="AE1427" s="210"/>
      <c r="AF1427" s="210"/>
      <c r="AG1427" s="210"/>
      <c r="AH1427" s="210"/>
      <c r="AI1427" s="210"/>
      <c r="AJ1427" s="210"/>
      <c r="AK1427" s="210"/>
      <c r="AL1427" s="210"/>
      <c r="AM1427" s="214"/>
      <c r="AN1427" s="210"/>
      <c r="AO1427" s="210"/>
      <c r="AP1427" s="210"/>
      <c r="AQ1427" s="210"/>
      <c r="AR1427" s="210"/>
      <c r="AS1427" s="210"/>
      <c r="AT1427" s="210"/>
      <c r="AU1427" s="210"/>
      <c r="AV1427" s="210"/>
      <c r="AW1427" s="210"/>
      <c r="AX1427" s="210"/>
      <c r="AY1427" s="210"/>
      <c r="AZ1427" s="210"/>
      <c r="BA1427" s="210"/>
      <c r="BB1427" s="210"/>
      <c r="BC1427" s="210"/>
      <c r="BD1427" s="210"/>
      <c r="BE1427" s="210"/>
      <c r="BF1427" s="210"/>
      <c r="BG1427" s="210"/>
      <c r="BH1427" s="210"/>
      <c r="BI1427" s="210"/>
      <c r="BJ1427" s="210"/>
      <c r="BK1427" s="210"/>
      <c r="BL1427" s="210"/>
      <c r="BM1427" s="210"/>
      <c r="BN1427" s="210"/>
      <c r="BO1427" s="210"/>
      <c r="BP1427" s="210"/>
      <c r="BQ1427" s="210"/>
      <c r="BR1427" s="210"/>
      <c r="BS1427" s="210"/>
      <c r="BT1427" s="210"/>
      <c r="BU1427" s="210"/>
      <c r="BV1427" s="210"/>
      <c r="BW1427" s="210"/>
      <c r="BX1427" s="210"/>
      <c r="BY1427" s="210"/>
      <c r="BZ1427" s="210"/>
      <c r="CA1427" s="210"/>
      <c r="CB1427" s="210"/>
      <c r="CC1427" s="210"/>
      <c r="CD1427" s="210"/>
      <c r="CE1427" s="210"/>
      <c r="CF1427" s="210"/>
      <c r="CG1427" s="210"/>
      <c r="CH1427" s="210"/>
      <c r="CI1427" s="210"/>
      <c r="CJ1427" s="210"/>
      <c r="CK1427" s="210"/>
    </row>
    <row r="1428">
      <c r="A1428" s="220"/>
      <c r="F1428" s="190"/>
      <c r="G1428" s="190"/>
      <c r="L1428" s="220"/>
      <c r="M1428" s="220"/>
      <c r="O1428" s="210"/>
      <c r="P1428" s="210"/>
      <c r="Q1428" s="210"/>
      <c r="R1428" s="210"/>
      <c r="S1428" s="210"/>
      <c r="T1428" s="210"/>
      <c r="U1428" s="210"/>
      <c r="V1428" s="210"/>
      <c r="W1428" s="210"/>
      <c r="X1428" s="210"/>
      <c r="Y1428" s="210"/>
      <c r="Z1428" s="210"/>
      <c r="AA1428" s="210"/>
      <c r="AB1428" s="210"/>
      <c r="AC1428" s="210"/>
      <c r="AD1428" s="210"/>
      <c r="AE1428" s="210"/>
      <c r="AF1428" s="210"/>
      <c r="AG1428" s="210"/>
      <c r="AH1428" s="210"/>
      <c r="AI1428" s="210"/>
      <c r="AJ1428" s="210"/>
      <c r="AK1428" s="210"/>
      <c r="AL1428" s="210"/>
      <c r="AM1428" s="214"/>
      <c r="AN1428" s="210"/>
      <c r="AO1428" s="210"/>
      <c r="AP1428" s="210"/>
      <c r="AQ1428" s="210"/>
      <c r="AR1428" s="210"/>
      <c r="AS1428" s="210"/>
      <c r="AT1428" s="210"/>
      <c r="AU1428" s="210"/>
      <c r="AV1428" s="210"/>
      <c r="AW1428" s="210"/>
      <c r="AX1428" s="210"/>
      <c r="AY1428" s="210"/>
      <c r="AZ1428" s="210"/>
      <c r="BA1428" s="210"/>
      <c r="BB1428" s="210"/>
      <c r="BC1428" s="210"/>
      <c r="BD1428" s="210"/>
      <c r="BE1428" s="210"/>
      <c r="BF1428" s="210"/>
      <c r="BG1428" s="210"/>
      <c r="BH1428" s="210"/>
      <c r="BI1428" s="210"/>
      <c r="BJ1428" s="210"/>
      <c r="BK1428" s="210"/>
      <c r="BL1428" s="210"/>
      <c r="BM1428" s="210"/>
      <c r="BN1428" s="210"/>
      <c r="BO1428" s="210"/>
      <c r="BP1428" s="210"/>
      <c r="BQ1428" s="210"/>
      <c r="BR1428" s="210"/>
      <c r="BS1428" s="210"/>
      <c r="BT1428" s="210"/>
      <c r="BU1428" s="210"/>
      <c r="BV1428" s="210"/>
      <c r="BW1428" s="210"/>
      <c r="BX1428" s="210"/>
      <c r="BY1428" s="210"/>
      <c r="BZ1428" s="210"/>
      <c r="CA1428" s="210"/>
      <c r="CB1428" s="210"/>
      <c r="CC1428" s="210"/>
      <c r="CD1428" s="210"/>
      <c r="CE1428" s="210"/>
      <c r="CF1428" s="210"/>
      <c r="CG1428" s="210"/>
      <c r="CH1428" s="210"/>
      <c r="CI1428" s="210"/>
      <c r="CJ1428" s="210"/>
      <c r="CK1428" s="210"/>
    </row>
    <row r="1429">
      <c r="A1429" s="220"/>
      <c r="F1429" s="190"/>
      <c r="G1429" s="190"/>
      <c r="L1429" s="220"/>
      <c r="M1429" s="220"/>
      <c r="O1429" s="210"/>
      <c r="P1429" s="210"/>
      <c r="Q1429" s="210"/>
      <c r="R1429" s="210"/>
      <c r="S1429" s="210"/>
      <c r="T1429" s="210"/>
      <c r="U1429" s="210"/>
      <c r="V1429" s="210"/>
      <c r="W1429" s="210"/>
      <c r="X1429" s="210"/>
      <c r="Y1429" s="210"/>
      <c r="Z1429" s="210"/>
      <c r="AA1429" s="210"/>
      <c r="AB1429" s="210"/>
      <c r="AC1429" s="210"/>
      <c r="AD1429" s="210"/>
      <c r="AE1429" s="210"/>
      <c r="AF1429" s="210"/>
      <c r="AG1429" s="210"/>
      <c r="AH1429" s="210"/>
      <c r="AI1429" s="210"/>
      <c r="AJ1429" s="210"/>
      <c r="AK1429" s="210"/>
      <c r="AL1429" s="210"/>
      <c r="AM1429" s="214"/>
      <c r="AN1429" s="210"/>
      <c r="AO1429" s="210"/>
      <c r="AP1429" s="210"/>
      <c r="AQ1429" s="210"/>
      <c r="AR1429" s="210"/>
      <c r="AS1429" s="210"/>
      <c r="AT1429" s="210"/>
      <c r="AU1429" s="210"/>
      <c r="AV1429" s="210"/>
      <c r="AW1429" s="210"/>
      <c r="AX1429" s="210"/>
      <c r="AY1429" s="210"/>
      <c r="AZ1429" s="210"/>
      <c r="BA1429" s="210"/>
      <c r="BB1429" s="210"/>
      <c r="BC1429" s="210"/>
      <c r="BD1429" s="210"/>
      <c r="BE1429" s="210"/>
      <c r="BF1429" s="210"/>
      <c r="BG1429" s="210"/>
      <c r="BH1429" s="210"/>
      <c r="BI1429" s="210"/>
      <c r="BJ1429" s="210"/>
      <c r="BK1429" s="210"/>
      <c r="BL1429" s="210"/>
      <c r="BM1429" s="210"/>
      <c r="BN1429" s="210"/>
      <c r="BO1429" s="210"/>
      <c r="BP1429" s="210"/>
      <c r="BQ1429" s="210"/>
      <c r="BR1429" s="210"/>
      <c r="BS1429" s="210"/>
      <c r="BT1429" s="210"/>
      <c r="BU1429" s="210"/>
      <c r="BV1429" s="210"/>
      <c r="BW1429" s="210"/>
      <c r="BX1429" s="210"/>
      <c r="BY1429" s="210"/>
      <c r="BZ1429" s="210"/>
      <c r="CA1429" s="210"/>
      <c r="CB1429" s="210"/>
      <c r="CC1429" s="210"/>
      <c r="CD1429" s="210"/>
      <c r="CE1429" s="210"/>
      <c r="CF1429" s="210"/>
      <c r="CG1429" s="210"/>
      <c r="CH1429" s="210"/>
      <c r="CI1429" s="210"/>
      <c r="CJ1429" s="210"/>
      <c r="CK1429" s="210"/>
    </row>
    <row r="1430">
      <c r="A1430" s="220"/>
      <c r="F1430" s="190"/>
      <c r="G1430" s="190"/>
      <c r="L1430" s="220"/>
      <c r="M1430" s="220"/>
      <c r="O1430" s="210"/>
      <c r="P1430" s="210"/>
      <c r="Q1430" s="210"/>
      <c r="R1430" s="210"/>
      <c r="S1430" s="210"/>
      <c r="T1430" s="210"/>
      <c r="U1430" s="210"/>
      <c r="V1430" s="210"/>
      <c r="W1430" s="210"/>
      <c r="X1430" s="210"/>
      <c r="Y1430" s="210"/>
      <c r="Z1430" s="210"/>
      <c r="AA1430" s="210"/>
      <c r="AB1430" s="210"/>
      <c r="AC1430" s="210"/>
      <c r="AD1430" s="210"/>
      <c r="AE1430" s="210"/>
      <c r="AF1430" s="210"/>
      <c r="AG1430" s="210"/>
      <c r="AH1430" s="210"/>
      <c r="AI1430" s="210"/>
      <c r="AJ1430" s="210"/>
      <c r="AK1430" s="210"/>
      <c r="AL1430" s="210"/>
      <c r="AM1430" s="214"/>
      <c r="AN1430" s="210"/>
      <c r="AO1430" s="210"/>
      <c r="AP1430" s="210"/>
      <c r="AQ1430" s="210"/>
      <c r="AR1430" s="210"/>
      <c r="AS1430" s="210"/>
      <c r="AT1430" s="210"/>
      <c r="AU1430" s="210"/>
      <c r="AV1430" s="210"/>
      <c r="AW1430" s="210"/>
      <c r="AX1430" s="210"/>
      <c r="AY1430" s="210"/>
      <c r="AZ1430" s="210"/>
      <c r="BA1430" s="210"/>
      <c r="BB1430" s="210"/>
      <c r="BC1430" s="210"/>
      <c r="BD1430" s="210"/>
      <c r="BE1430" s="210"/>
      <c r="BF1430" s="210"/>
      <c r="BG1430" s="210"/>
      <c r="BH1430" s="210"/>
      <c r="BI1430" s="210"/>
      <c r="BJ1430" s="210"/>
      <c r="BK1430" s="210"/>
      <c r="BL1430" s="210"/>
      <c r="BM1430" s="210"/>
      <c r="BN1430" s="210"/>
      <c r="BO1430" s="210"/>
      <c r="BP1430" s="210"/>
      <c r="BQ1430" s="210"/>
      <c r="BR1430" s="210"/>
      <c r="BS1430" s="210"/>
      <c r="BT1430" s="210"/>
      <c r="BU1430" s="210"/>
      <c r="BV1430" s="210"/>
      <c r="BW1430" s="210"/>
      <c r="BX1430" s="210"/>
      <c r="BY1430" s="210"/>
      <c r="BZ1430" s="210"/>
      <c r="CA1430" s="210"/>
      <c r="CB1430" s="210"/>
      <c r="CC1430" s="210"/>
      <c r="CD1430" s="210"/>
      <c r="CE1430" s="210"/>
      <c r="CF1430" s="210"/>
      <c r="CG1430" s="210"/>
      <c r="CH1430" s="210"/>
      <c r="CI1430" s="210"/>
      <c r="CJ1430" s="210"/>
      <c r="CK1430" s="210"/>
    </row>
    <row r="1431">
      <c r="A1431" s="220"/>
      <c r="F1431" s="190"/>
      <c r="G1431" s="190"/>
      <c r="L1431" s="220"/>
      <c r="M1431" s="220"/>
      <c r="O1431" s="210"/>
      <c r="P1431" s="210"/>
      <c r="Q1431" s="210"/>
      <c r="R1431" s="210"/>
      <c r="S1431" s="210"/>
      <c r="T1431" s="210"/>
      <c r="U1431" s="210"/>
      <c r="V1431" s="210"/>
      <c r="W1431" s="210"/>
      <c r="X1431" s="210"/>
      <c r="Y1431" s="210"/>
      <c r="Z1431" s="210"/>
      <c r="AA1431" s="210"/>
      <c r="AB1431" s="210"/>
      <c r="AC1431" s="210"/>
      <c r="AD1431" s="210"/>
      <c r="AE1431" s="210"/>
      <c r="AF1431" s="210"/>
      <c r="AG1431" s="210"/>
      <c r="AH1431" s="210"/>
      <c r="AI1431" s="210"/>
      <c r="AJ1431" s="210"/>
      <c r="AK1431" s="210"/>
      <c r="AL1431" s="210"/>
      <c r="AM1431" s="214"/>
      <c r="AN1431" s="210"/>
      <c r="AO1431" s="210"/>
      <c r="AP1431" s="210"/>
      <c r="AQ1431" s="210"/>
      <c r="AR1431" s="210"/>
      <c r="AS1431" s="210"/>
      <c r="AT1431" s="210"/>
      <c r="AU1431" s="210"/>
      <c r="AV1431" s="210"/>
      <c r="AW1431" s="210"/>
      <c r="AX1431" s="210"/>
      <c r="AY1431" s="210"/>
      <c r="AZ1431" s="210"/>
      <c r="BA1431" s="210"/>
      <c r="BB1431" s="210"/>
      <c r="BC1431" s="210"/>
      <c r="BD1431" s="210"/>
      <c r="BE1431" s="210"/>
      <c r="BF1431" s="210"/>
      <c r="BG1431" s="210"/>
      <c r="BH1431" s="210"/>
      <c r="BI1431" s="210"/>
      <c r="BJ1431" s="210"/>
      <c r="BK1431" s="210"/>
      <c r="BL1431" s="210"/>
      <c r="BM1431" s="210"/>
      <c r="BN1431" s="210"/>
      <c r="BO1431" s="210"/>
      <c r="BP1431" s="210"/>
      <c r="BQ1431" s="210"/>
      <c r="BR1431" s="210"/>
      <c r="BS1431" s="210"/>
      <c r="BT1431" s="210"/>
      <c r="BU1431" s="210"/>
      <c r="BV1431" s="210"/>
      <c r="BW1431" s="210"/>
      <c r="BX1431" s="210"/>
      <c r="BY1431" s="210"/>
      <c r="BZ1431" s="210"/>
      <c r="CA1431" s="210"/>
      <c r="CB1431" s="210"/>
      <c r="CC1431" s="210"/>
      <c r="CD1431" s="210"/>
      <c r="CE1431" s="210"/>
      <c r="CF1431" s="210"/>
      <c r="CG1431" s="210"/>
      <c r="CH1431" s="210"/>
      <c r="CI1431" s="210"/>
      <c r="CJ1431" s="210"/>
      <c r="CK1431" s="210"/>
    </row>
    <row r="1432">
      <c r="A1432" s="220"/>
      <c r="F1432" s="190"/>
      <c r="G1432" s="190"/>
      <c r="L1432" s="220"/>
      <c r="M1432" s="220"/>
      <c r="O1432" s="210"/>
      <c r="P1432" s="210"/>
      <c r="Q1432" s="210"/>
      <c r="R1432" s="210"/>
      <c r="S1432" s="210"/>
      <c r="T1432" s="210"/>
      <c r="U1432" s="210"/>
      <c r="V1432" s="210"/>
      <c r="W1432" s="210"/>
      <c r="X1432" s="210"/>
      <c r="Y1432" s="210"/>
      <c r="Z1432" s="210"/>
      <c r="AA1432" s="210"/>
      <c r="AB1432" s="210"/>
      <c r="AC1432" s="210"/>
      <c r="AD1432" s="210"/>
      <c r="AE1432" s="210"/>
      <c r="AF1432" s="210"/>
      <c r="AG1432" s="210"/>
      <c r="AH1432" s="210"/>
      <c r="AI1432" s="210"/>
      <c r="AJ1432" s="210"/>
      <c r="AK1432" s="210"/>
      <c r="AL1432" s="210"/>
      <c r="AM1432" s="214"/>
      <c r="AN1432" s="210"/>
      <c r="AO1432" s="210"/>
      <c r="AP1432" s="210"/>
      <c r="AQ1432" s="210"/>
      <c r="AR1432" s="210"/>
      <c r="AS1432" s="210"/>
      <c r="AT1432" s="210"/>
      <c r="AU1432" s="210"/>
      <c r="AV1432" s="210"/>
      <c r="AW1432" s="210"/>
      <c r="AX1432" s="210"/>
      <c r="AY1432" s="210"/>
      <c r="AZ1432" s="210"/>
      <c r="BA1432" s="210"/>
      <c r="BB1432" s="210"/>
      <c r="BC1432" s="210"/>
      <c r="BD1432" s="210"/>
      <c r="BE1432" s="210"/>
      <c r="BF1432" s="210"/>
      <c r="BG1432" s="210"/>
      <c r="BH1432" s="210"/>
      <c r="BI1432" s="210"/>
      <c r="BJ1432" s="210"/>
      <c r="BK1432" s="210"/>
      <c r="BL1432" s="210"/>
      <c r="BM1432" s="210"/>
      <c r="BN1432" s="210"/>
      <c r="BO1432" s="210"/>
      <c r="BP1432" s="210"/>
      <c r="BQ1432" s="210"/>
      <c r="BR1432" s="210"/>
      <c r="BS1432" s="210"/>
      <c r="BT1432" s="210"/>
      <c r="BU1432" s="210"/>
      <c r="BV1432" s="210"/>
      <c r="BW1432" s="210"/>
      <c r="BX1432" s="210"/>
      <c r="BY1432" s="210"/>
      <c r="BZ1432" s="210"/>
      <c r="CA1432" s="210"/>
      <c r="CB1432" s="210"/>
      <c r="CC1432" s="210"/>
      <c r="CD1432" s="210"/>
      <c r="CE1432" s="210"/>
      <c r="CF1432" s="210"/>
      <c r="CG1432" s="210"/>
      <c r="CH1432" s="210"/>
      <c r="CI1432" s="210"/>
      <c r="CJ1432" s="210"/>
      <c r="CK1432" s="210"/>
    </row>
    <row r="1433">
      <c r="A1433" s="220"/>
      <c r="F1433" s="190"/>
      <c r="G1433" s="190"/>
      <c r="L1433" s="220"/>
      <c r="M1433" s="220"/>
      <c r="O1433" s="210"/>
      <c r="P1433" s="210"/>
      <c r="Q1433" s="210"/>
      <c r="R1433" s="210"/>
      <c r="S1433" s="210"/>
      <c r="T1433" s="210"/>
      <c r="U1433" s="210"/>
      <c r="V1433" s="210"/>
      <c r="W1433" s="210"/>
      <c r="X1433" s="210"/>
      <c r="Y1433" s="210"/>
      <c r="Z1433" s="210"/>
      <c r="AA1433" s="210"/>
      <c r="AB1433" s="210"/>
      <c r="AC1433" s="210"/>
      <c r="AD1433" s="210"/>
      <c r="AE1433" s="210"/>
      <c r="AF1433" s="210"/>
      <c r="AG1433" s="210"/>
      <c r="AH1433" s="210"/>
      <c r="AI1433" s="210"/>
      <c r="AJ1433" s="210"/>
      <c r="AK1433" s="210"/>
      <c r="AL1433" s="210"/>
      <c r="AM1433" s="214"/>
      <c r="AN1433" s="210"/>
      <c r="AO1433" s="210"/>
      <c r="AP1433" s="210"/>
      <c r="AQ1433" s="210"/>
      <c r="AR1433" s="210"/>
      <c r="AS1433" s="210"/>
      <c r="AT1433" s="210"/>
      <c r="AU1433" s="210"/>
      <c r="AV1433" s="210"/>
      <c r="AW1433" s="210"/>
      <c r="AX1433" s="210"/>
      <c r="AY1433" s="210"/>
      <c r="AZ1433" s="210"/>
      <c r="BA1433" s="210"/>
      <c r="BB1433" s="210"/>
      <c r="BC1433" s="210"/>
      <c r="BD1433" s="210"/>
      <c r="BE1433" s="210"/>
      <c r="BF1433" s="210"/>
      <c r="BG1433" s="210"/>
      <c r="BH1433" s="210"/>
      <c r="BI1433" s="210"/>
      <c r="BJ1433" s="210"/>
      <c r="BK1433" s="210"/>
      <c r="BL1433" s="210"/>
      <c r="BM1433" s="210"/>
      <c r="BN1433" s="210"/>
      <c r="BO1433" s="210"/>
      <c r="BP1433" s="210"/>
      <c r="BQ1433" s="210"/>
      <c r="BR1433" s="210"/>
      <c r="BS1433" s="210"/>
      <c r="BT1433" s="210"/>
      <c r="BU1433" s="210"/>
      <c r="BV1433" s="210"/>
      <c r="BW1433" s="210"/>
      <c r="BX1433" s="210"/>
      <c r="BY1433" s="210"/>
      <c r="BZ1433" s="210"/>
      <c r="CA1433" s="210"/>
      <c r="CB1433" s="210"/>
      <c r="CC1433" s="210"/>
      <c r="CD1433" s="210"/>
      <c r="CE1433" s="210"/>
      <c r="CF1433" s="210"/>
      <c r="CG1433" s="210"/>
      <c r="CH1433" s="210"/>
      <c r="CI1433" s="210"/>
      <c r="CJ1433" s="210"/>
      <c r="CK1433" s="210"/>
    </row>
    <row r="1434">
      <c r="A1434" s="220"/>
      <c r="F1434" s="190"/>
      <c r="G1434" s="190"/>
      <c r="L1434" s="220"/>
      <c r="M1434" s="220"/>
      <c r="O1434" s="210"/>
      <c r="P1434" s="210"/>
      <c r="Q1434" s="210"/>
      <c r="R1434" s="210"/>
      <c r="S1434" s="210"/>
      <c r="T1434" s="210"/>
      <c r="U1434" s="210"/>
      <c r="V1434" s="210"/>
      <c r="W1434" s="210"/>
      <c r="X1434" s="210"/>
      <c r="Y1434" s="210"/>
      <c r="Z1434" s="210"/>
      <c r="AA1434" s="210"/>
      <c r="AB1434" s="210"/>
      <c r="AC1434" s="210"/>
      <c r="AD1434" s="210"/>
      <c r="AE1434" s="210"/>
      <c r="AF1434" s="210"/>
      <c r="AG1434" s="210"/>
      <c r="AH1434" s="210"/>
      <c r="AI1434" s="210"/>
      <c r="AJ1434" s="210"/>
      <c r="AK1434" s="210"/>
      <c r="AL1434" s="210"/>
      <c r="AM1434" s="214"/>
      <c r="AN1434" s="210"/>
      <c r="AO1434" s="210"/>
      <c r="AP1434" s="210"/>
      <c r="AQ1434" s="210"/>
      <c r="AR1434" s="210"/>
      <c r="AS1434" s="210"/>
      <c r="AT1434" s="210"/>
      <c r="AU1434" s="210"/>
      <c r="AV1434" s="210"/>
      <c r="AW1434" s="210"/>
      <c r="AX1434" s="210"/>
      <c r="AY1434" s="210"/>
      <c r="AZ1434" s="210"/>
      <c r="BA1434" s="210"/>
      <c r="BB1434" s="210"/>
      <c r="BC1434" s="210"/>
      <c r="BD1434" s="210"/>
      <c r="BE1434" s="210"/>
      <c r="BF1434" s="210"/>
      <c r="BG1434" s="210"/>
      <c r="BH1434" s="210"/>
      <c r="BI1434" s="210"/>
      <c r="BJ1434" s="210"/>
      <c r="BK1434" s="210"/>
      <c r="BL1434" s="210"/>
      <c r="BM1434" s="210"/>
      <c r="BN1434" s="210"/>
      <c r="BO1434" s="210"/>
      <c r="BP1434" s="210"/>
      <c r="BQ1434" s="210"/>
      <c r="BR1434" s="210"/>
      <c r="BS1434" s="210"/>
      <c r="BT1434" s="210"/>
      <c r="BU1434" s="210"/>
      <c r="BV1434" s="210"/>
      <c r="BW1434" s="210"/>
      <c r="BX1434" s="210"/>
      <c r="BY1434" s="210"/>
      <c r="BZ1434" s="210"/>
      <c r="CA1434" s="210"/>
      <c r="CB1434" s="210"/>
      <c r="CC1434" s="210"/>
      <c r="CD1434" s="210"/>
      <c r="CE1434" s="210"/>
      <c r="CF1434" s="210"/>
      <c r="CG1434" s="210"/>
      <c r="CH1434" s="210"/>
      <c r="CI1434" s="210"/>
      <c r="CJ1434" s="210"/>
      <c r="CK1434" s="210"/>
    </row>
    <row r="1435">
      <c r="A1435" s="220"/>
      <c r="F1435" s="190"/>
      <c r="G1435" s="190"/>
      <c r="L1435" s="220"/>
      <c r="M1435" s="220"/>
      <c r="O1435" s="210"/>
      <c r="P1435" s="210"/>
      <c r="Q1435" s="210"/>
      <c r="R1435" s="210"/>
      <c r="S1435" s="210"/>
      <c r="T1435" s="210"/>
      <c r="U1435" s="210"/>
      <c r="V1435" s="210"/>
      <c r="W1435" s="210"/>
      <c r="X1435" s="210"/>
      <c r="Y1435" s="210"/>
      <c r="Z1435" s="210"/>
      <c r="AA1435" s="210"/>
      <c r="AB1435" s="210"/>
      <c r="AC1435" s="210"/>
      <c r="AD1435" s="210"/>
      <c r="AE1435" s="210"/>
      <c r="AF1435" s="210"/>
      <c r="AG1435" s="210"/>
      <c r="AH1435" s="210"/>
      <c r="AI1435" s="210"/>
      <c r="AJ1435" s="210"/>
      <c r="AK1435" s="210"/>
      <c r="AL1435" s="210"/>
      <c r="AM1435" s="214"/>
      <c r="AN1435" s="210"/>
      <c r="AO1435" s="210"/>
      <c r="AP1435" s="210"/>
      <c r="AQ1435" s="210"/>
      <c r="AR1435" s="210"/>
      <c r="AS1435" s="210"/>
      <c r="AT1435" s="210"/>
      <c r="AU1435" s="210"/>
      <c r="AV1435" s="210"/>
      <c r="AW1435" s="210"/>
      <c r="AX1435" s="210"/>
      <c r="AY1435" s="210"/>
      <c r="AZ1435" s="210"/>
      <c r="BA1435" s="210"/>
      <c r="BB1435" s="210"/>
      <c r="BC1435" s="210"/>
      <c r="BD1435" s="210"/>
      <c r="BE1435" s="210"/>
      <c r="BF1435" s="210"/>
      <c r="BG1435" s="210"/>
      <c r="BH1435" s="210"/>
      <c r="BI1435" s="210"/>
      <c r="BJ1435" s="210"/>
      <c r="BK1435" s="210"/>
      <c r="BL1435" s="210"/>
      <c r="BM1435" s="210"/>
      <c r="BN1435" s="210"/>
      <c r="BO1435" s="210"/>
      <c r="BP1435" s="210"/>
      <c r="BQ1435" s="210"/>
      <c r="BR1435" s="210"/>
      <c r="BS1435" s="210"/>
      <c r="BT1435" s="210"/>
      <c r="BU1435" s="210"/>
      <c r="BV1435" s="210"/>
      <c r="BW1435" s="210"/>
      <c r="BX1435" s="210"/>
      <c r="BY1435" s="210"/>
      <c r="BZ1435" s="210"/>
      <c r="CA1435" s="210"/>
      <c r="CB1435" s="210"/>
      <c r="CC1435" s="210"/>
      <c r="CD1435" s="210"/>
      <c r="CE1435" s="210"/>
      <c r="CF1435" s="210"/>
      <c r="CG1435" s="210"/>
      <c r="CH1435" s="210"/>
      <c r="CI1435" s="210"/>
      <c r="CJ1435" s="210"/>
      <c r="CK1435" s="210"/>
    </row>
    <row r="1436">
      <c r="A1436" s="220"/>
      <c r="F1436" s="190"/>
      <c r="G1436" s="190"/>
      <c r="L1436" s="220"/>
      <c r="M1436" s="220"/>
      <c r="O1436" s="210"/>
      <c r="P1436" s="210"/>
      <c r="Q1436" s="210"/>
      <c r="R1436" s="210"/>
      <c r="S1436" s="210"/>
      <c r="T1436" s="210"/>
      <c r="U1436" s="210"/>
      <c r="V1436" s="210"/>
      <c r="W1436" s="210"/>
      <c r="X1436" s="210"/>
      <c r="Y1436" s="210"/>
      <c r="Z1436" s="210"/>
      <c r="AA1436" s="210"/>
      <c r="AB1436" s="210"/>
      <c r="AC1436" s="210"/>
      <c r="AD1436" s="210"/>
      <c r="AE1436" s="210"/>
      <c r="AF1436" s="210"/>
      <c r="AG1436" s="210"/>
      <c r="AH1436" s="210"/>
      <c r="AI1436" s="210"/>
      <c r="AJ1436" s="210"/>
      <c r="AK1436" s="210"/>
      <c r="AL1436" s="210"/>
      <c r="AM1436" s="214"/>
      <c r="AN1436" s="210"/>
      <c r="AO1436" s="210"/>
      <c r="AP1436" s="210"/>
      <c r="AQ1436" s="210"/>
      <c r="AR1436" s="210"/>
      <c r="AS1436" s="210"/>
      <c r="AT1436" s="210"/>
      <c r="AU1436" s="210"/>
      <c r="AV1436" s="210"/>
      <c r="AW1436" s="210"/>
      <c r="AX1436" s="210"/>
      <c r="AY1436" s="210"/>
      <c r="AZ1436" s="210"/>
      <c r="BA1436" s="210"/>
      <c r="BB1436" s="210"/>
      <c r="BC1436" s="210"/>
      <c r="BD1436" s="210"/>
      <c r="BE1436" s="210"/>
      <c r="BF1436" s="210"/>
      <c r="BG1436" s="210"/>
      <c r="BH1436" s="210"/>
      <c r="BI1436" s="210"/>
      <c r="BJ1436" s="210"/>
      <c r="BK1436" s="210"/>
      <c r="BL1436" s="210"/>
      <c r="BM1436" s="210"/>
      <c r="BN1436" s="210"/>
      <c r="BO1436" s="210"/>
      <c r="BP1436" s="210"/>
      <c r="BQ1436" s="210"/>
      <c r="BR1436" s="210"/>
      <c r="BS1436" s="210"/>
      <c r="BT1436" s="210"/>
      <c r="BU1436" s="210"/>
      <c r="BV1436" s="210"/>
      <c r="BW1436" s="210"/>
      <c r="BX1436" s="210"/>
      <c r="BY1436" s="210"/>
      <c r="BZ1436" s="210"/>
      <c r="CA1436" s="210"/>
      <c r="CB1436" s="210"/>
      <c r="CC1436" s="210"/>
      <c r="CD1436" s="210"/>
      <c r="CE1436" s="210"/>
      <c r="CF1436" s="210"/>
      <c r="CG1436" s="210"/>
      <c r="CH1436" s="210"/>
      <c r="CI1436" s="210"/>
      <c r="CJ1436" s="210"/>
      <c r="CK1436" s="210"/>
    </row>
    <row r="1437">
      <c r="A1437" s="220"/>
      <c r="F1437" s="190"/>
      <c r="G1437" s="190"/>
      <c r="L1437" s="220"/>
      <c r="M1437" s="220"/>
      <c r="O1437" s="210"/>
      <c r="P1437" s="210"/>
      <c r="Q1437" s="210"/>
      <c r="R1437" s="210"/>
      <c r="S1437" s="210"/>
      <c r="T1437" s="210"/>
      <c r="U1437" s="210"/>
      <c r="V1437" s="210"/>
      <c r="W1437" s="210"/>
      <c r="X1437" s="210"/>
      <c r="Y1437" s="210"/>
      <c r="Z1437" s="210"/>
      <c r="AA1437" s="210"/>
      <c r="AB1437" s="210"/>
      <c r="AC1437" s="210"/>
      <c r="AD1437" s="210"/>
      <c r="AE1437" s="210"/>
      <c r="AF1437" s="210"/>
      <c r="AG1437" s="210"/>
      <c r="AH1437" s="210"/>
      <c r="AI1437" s="210"/>
      <c r="AJ1437" s="210"/>
      <c r="AK1437" s="210"/>
      <c r="AL1437" s="210"/>
      <c r="AM1437" s="214"/>
      <c r="AN1437" s="210"/>
      <c r="AO1437" s="210"/>
      <c r="AP1437" s="210"/>
      <c r="AQ1437" s="210"/>
      <c r="AR1437" s="210"/>
      <c r="AS1437" s="210"/>
      <c r="AT1437" s="210"/>
      <c r="AU1437" s="210"/>
      <c r="AV1437" s="210"/>
      <c r="AW1437" s="210"/>
      <c r="AX1437" s="210"/>
      <c r="AY1437" s="210"/>
      <c r="AZ1437" s="210"/>
      <c r="BA1437" s="210"/>
      <c r="BB1437" s="210"/>
      <c r="BC1437" s="210"/>
      <c r="BD1437" s="210"/>
      <c r="BE1437" s="210"/>
      <c r="BF1437" s="210"/>
      <c r="BG1437" s="210"/>
      <c r="BH1437" s="210"/>
      <c r="BI1437" s="210"/>
      <c r="BJ1437" s="210"/>
      <c r="BK1437" s="210"/>
      <c r="BL1437" s="210"/>
      <c r="BM1437" s="210"/>
      <c r="BN1437" s="210"/>
      <c r="BO1437" s="210"/>
      <c r="BP1437" s="210"/>
      <c r="BQ1437" s="210"/>
      <c r="BR1437" s="210"/>
      <c r="BS1437" s="210"/>
      <c r="BT1437" s="210"/>
      <c r="BU1437" s="210"/>
      <c r="BV1437" s="210"/>
      <c r="BW1437" s="210"/>
      <c r="BX1437" s="210"/>
      <c r="BY1437" s="210"/>
      <c r="BZ1437" s="210"/>
      <c r="CA1437" s="210"/>
      <c r="CB1437" s="210"/>
      <c r="CC1437" s="210"/>
      <c r="CD1437" s="210"/>
      <c r="CE1437" s="210"/>
      <c r="CF1437" s="210"/>
      <c r="CG1437" s="210"/>
      <c r="CH1437" s="210"/>
      <c r="CI1437" s="210"/>
      <c r="CJ1437" s="210"/>
      <c r="CK1437" s="210"/>
    </row>
    <row r="1438">
      <c r="A1438" s="220"/>
      <c r="F1438" s="190"/>
      <c r="G1438" s="190"/>
      <c r="L1438" s="220"/>
      <c r="M1438" s="220"/>
      <c r="O1438" s="210"/>
      <c r="P1438" s="210"/>
      <c r="Q1438" s="210"/>
      <c r="R1438" s="210"/>
      <c r="S1438" s="210"/>
      <c r="T1438" s="210"/>
      <c r="U1438" s="210"/>
      <c r="V1438" s="210"/>
      <c r="W1438" s="210"/>
      <c r="X1438" s="210"/>
      <c r="Y1438" s="210"/>
      <c r="Z1438" s="210"/>
      <c r="AA1438" s="210"/>
      <c r="AB1438" s="210"/>
      <c r="AC1438" s="210"/>
      <c r="AD1438" s="210"/>
      <c r="AE1438" s="210"/>
      <c r="AF1438" s="210"/>
      <c r="AG1438" s="210"/>
      <c r="AH1438" s="210"/>
      <c r="AI1438" s="210"/>
      <c r="AJ1438" s="210"/>
      <c r="AK1438" s="210"/>
      <c r="AL1438" s="210"/>
      <c r="AM1438" s="214"/>
      <c r="AN1438" s="210"/>
      <c r="AO1438" s="210"/>
      <c r="AP1438" s="210"/>
      <c r="AQ1438" s="210"/>
      <c r="AR1438" s="210"/>
      <c r="AS1438" s="210"/>
      <c r="AT1438" s="210"/>
      <c r="AU1438" s="210"/>
      <c r="AV1438" s="210"/>
      <c r="AW1438" s="210"/>
      <c r="AX1438" s="210"/>
      <c r="AY1438" s="210"/>
      <c r="AZ1438" s="210"/>
      <c r="BA1438" s="210"/>
      <c r="BB1438" s="210"/>
      <c r="BC1438" s="210"/>
      <c r="BD1438" s="210"/>
      <c r="BE1438" s="210"/>
      <c r="BF1438" s="210"/>
      <c r="BG1438" s="210"/>
      <c r="BH1438" s="210"/>
      <c r="BI1438" s="210"/>
      <c r="BJ1438" s="210"/>
      <c r="BK1438" s="210"/>
      <c r="BL1438" s="210"/>
      <c r="BM1438" s="210"/>
      <c r="BN1438" s="210"/>
      <c r="BO1438" s="210"/>
      <c r="BP1438" s="210"/>
      <c r="BQ1438" s="210"/>
      <c r="BR1438" s="210"/>
      <c r="BS1438" s="210"/>
      <c r="BT1438" s="210"/>
      <c r="BU1438" s="210"/>
      <c r="BV1438" s="210"/>
      <c r="BW1438" s="210"/>
      <c r="BX1438" s="210"/>
      <c r="BY1438" s="210"/>
      <c r="BZ1438" s="210"/>
      <c r="CA1438" s="210"/>
      <c r="CB1438" s="210"/>
      <c r="CC1438" s="210"/>
      <c r="CD1438" s="210"/>
      <c r="CE1438" s="210"/>
      <c r="CF1438" s="210"/>
      <c r="CG1438" s="210"/>
      <c r="CH1438" s="210"/>
      <c r="CI1438" s="210"/>
      <c r="CJ1438" s="210"/>
      <c r="CK1438" s="210"/>
    </row>
    <row r="1439">
      <c r="A1439" s="220"/>
      <c r="F1439" s="190"/>
      <c r="G1439" s="190"/>
      <c r="L1439" s="220"/>
      <c r="M1439" s="220"/>
      <c r="O1439" s="210"/>
      <c r="P1439" s="210"/>
      <c r="Q1439" s="210"/>
      <c r="R1439" s="210"/>
      <c r="S1439" s="210"/>
      <c r="T1439" s="210"/>
      <c r="U1439" s="210"/>
      <c r="V1439" s="210"/>
      <c r="W1439" s="210"/>
      <c r="X1439" s="210"/>
      <c r="Y1439" s="210"/>
      <c r="Z1439" s="210"/>
      <c r="AA1439" s="210"/>
      <c r="AB1439" s="210"/>
      <c r="AC1439" s="210"/>
      <c r="AD1439" s="210"/>
      <c r="AE1439" s="210"/>
      <c r="AF1439" s="210"/>
      <c r="AG1439" s="210"/>
      <c r="AH1439" s="210"/>
      <c r="AI1439" s="210"/>
      <c r="AJ1439" s="210"/>
      <c r="AK1439" s="210"/>
      <c r="AL1439" s="210"/>
      <c r="AM1439" s="214"/>
      <c r="AN1439" s="210"/>
      <c r="AO1439" s="210"/>
      <c r="AP1439" s="210"/>
      <c r="AQ1439" s="210"/>
      <c r="AR1439" s="210"/>
      <c r="AS1439" s="210"/>
      <c r="AT1439" s="210"/>
      <c r="AU1439" s="210"/>
      <c r="AV1439" s="210"/>
      <c r="AW1439" s="210"/>
      <c r="AX1439" s="210"/>
      <c r="AY1439" s="210"/>
      <c r="AZ1439" s="210"/>
      <c r="BA1439" s="210"/>
      <c r="BB1439" s="210"/>
      <c r="BC1439" s="210"/>
      <c r="BD1439" s="210"/>
      <c r="BE1439" s="210"/>
      <c r="BF1439" s="210"/>
      <c r="BG1439" s="210"/>
      <c r="BH1439" s="210"/>
      <c r="BI1439" s="210"/>
      <c r="BJ1439" s="210"/>
      <c r="BK1439" s="210"/>
      <c r="BL1439" s="210"/>
      <c r="BM1439" s="210"/>
      <c r="BN1439" s="210"/>
      <c r="BO1439" s="210"/>
      <c r="BP1439" s="210"/>
      <c r="BQ1439" s="210"/>
      <c r="BR1439" s="210"/>
      <c r="BS1439" s="210"/>
      <c r="BT1439" s="210"/>
      <c r="BU1439" s="210"/>
      <c r="BV1439" s="210"/>
      <c r="BW1439" s="210"/>
      <c r="BX1439" s="210"/>
      <c r="BY1439" s="210"/>
      <c r="BZ1439" s="210"/>
      <c r="CA1439" s="210"/>
      <c r="CB1439" s="210"/>
      <c r="CC1439" s="210"/>
      <c r="CD1439" s="210"/>
      <c r="CE1439" s="210"/>
      <c r="CF1439" s="210"/>
      <c r="CG1439" s="210"/>
      <c r="CH1439" s="210"/>
      <c r="CI1439" s="210"/>
      <c r="CJ1439" s="210"/>
      <c r="CK1439" s="210"/>
    </row>
    <row r="1440">
      <c r="A1440" s="220"/>
      <c r="F1440" s="190"/>
      <c r="G1440" s="190"/>
      <c r="L1440" s="220"/>
      <c r="M1440" s="220"/>
      <c r="O1440" s="210"/>
      <c r="P1440" s="210"/>
      <c r="Q1440" s="210"/>
      <c r="R1440" s="210"/>
      <c r="S1440" s="210"/>
      <c r="T1440" s="210"/>
      <c r="U1440" s="210"/>
      <c r="V1440" s="210"/>
      <c r="W1440" s="210"/>
      <c r="X1440" s="210"/>
      <c r="Y1440" s="210"/>
      <c r="Z1440" s="210"/>
      <c r="AA1440" s="210"/>
      <c r="AB1440" s="210"/>
      <c r="AC1440" s="210"/>
      <c r="AD1440" s="210"/>
      <c r="AE1440" s="210"/>
      <c r="AF1440" s="210"/>
      <c r="AG1440" s="210"/>
      <c r="AH1440" s="210"/>
      <c r="AI1440" s="210"/>
      <c r="AJ1440" s="210"/>
      <c r="AK1440" s="210"/>
      <c r="AL1440" s="210"/>
      <c r="AM1440" s="214"/>
      <c r="AN1440" s="210"/>
      <c r="AO1440" s="210"/>
      <c r="AP1440" s="210"/>
      <c r="AQ1440" s="210"/>
      <c r="AR1440" s="210"/>
      <c r="AS1440" s="210"/>
      <c r="AT1440" s="210"/>
      <c r="AU1440" s="210"/>
      <c r="AV1440" s="210"/>
      <c r="AW1440" s="210"/>
      <c r="AX1440" s="210"/>
      <c r="AY1440" s="210"/>
      <c r="AZ1440" s="210"/>
      <c r="BA1440" s="210"/>
      <c r="BB1440" s="210"/>
      <c r="BC1440" s="210"/>
      <c r="BD1440" s="210"/>
      <c r="BE1440" s="210"/>
      <c r="BF1440" s="210"/>
      <c r="BG1440" s="210"/>
      <c r="BH1440" s="210"/>
      <c r="BI1440" s="210"/>
      <c r="BJ1440" s="210"/>
      <c r="BK1440" s="210"/>
      <c r="BL1440" s="210"/>
      <c r="BM1440" s="210"/>
      <c r="BN1440" s="210"/>
      <c r="BO1440" s="210"/>
      <c r="BP1440" s="210"/>
      <c r="BQ1440" s="210"/>
      <c r="BR1440" s="210"/>
      <c r="BS1440" s="210"/>
      <c r="BT1440" s="210"/>
      <c r="BU1440" s="210"/>
      <c r="BV1440" s="210"/>
      <c r="BW1440" s="210"/>
      <c r="BX1440" s="210"/>
      <c r="BY1440" s="210"/>
      <c r="BZ1440" s="210"/>
      <c r="CA1440" s="210"/>
      <c r="CB1440" s="210"/>
      <c r="CC1440" s="210"/>
      <c r="CD1440" s="210"/>
      <c r="CE1440" s="210"/>
      <c r="CF1440" s="210"/>
      <c r="CG1440" s="210"/>
      <c r="CH1440" s="210"/>
      <c r="CI1440" s="210"/>
      <c r="CJ1440" s="210"/>
      <c r="CK1440" s="210"/>
    </row>
    <row r="1441">
      <c r="A1441" s="220"/>
      <c r="F1441" s="190"/>
      <c r="G1441" s="190"/>
      <c r="L1441" s="220"/>
      <c r="M1441" s="220"/>
      <c r="O1441" s="210"/>
      <c r="P1441" s="210"/>
      <c r="Q1441" s="210"/>
      <c r="R1441" s="210"/>
      <c r="S1441" s="210"/>
      <c r="T1441" s="210"/>
      <c r="U1441" s="210"/>
      <c r="V1441" s="210"/>
      <c r="W1441" s="210"/>
      <c r="X1441" s="210"/>
      <c r="Y1441" s="210"/>
      <c r="Z1441" s="210"/>
      <c r="AA1441" s="210"/>
      <c r="AB1441" s="210"/>
      <c r="AC1441" s="210"/>
      <c r="AD1441" s="210"/>
      <c r="AE1441" s="210"/>
      <c r="AF1441" s="210"/>
      <c r="AG1441" s="210"/>
      <c r="AH1441" s="210"/>
      <c r="AI1441" s="210"/>
      <c r="AJ1441" s="210"/>
      <c r="AK1441" s="210"/>
      <c r="AL1441" s="210"/>
      <c r="AM1441" s="214"/>
      <c r="AN1441" s="210"/>
      <c r="AO1441" s="210"/>
      <c r="AP1441" s="210"/>
      <c r="AQ1441" s="210"/>
      <c r="AR1441" s="210"/>
      <c r="AS1441" s="210"/>
      <c r="AT1441" s="210"/>
      <c r="AU1441" s="210"/>
      <c r="AV1441" s="210"/>
      <c r="AW1441" s="210"/>
      <c r="AX1441" s="210"/>
      <c r="AY1441" s="210"/>
      <c r="AZ1441" s="210"/>
      <c r="BA1441" s="210"/>
      <c r="BB1441" s="210"/>
      <c r="BC1441" s="210"/>
      <c r="BD1441" s="210"/>
      <c r="BE1441" s="210"/>
      <c r="BF1441" s="210"/>
      <c r="BG1441" s="210"/>
      <c r="BH1441" s="210"/>
      <c r="BI1441" s="210"/>
      <c r="BJ1441" s="210"/>
      <c r="BK1441" s="210"/>
      <c r="BL1441" s="210"/>
      <c r="BM1441" s="210"/>
      <c r="BN1441" s="210"/>
      <c r="BO1441" s="210"/>
      <c r="BP1441" s="210"/>
      <c r="BQ1441" s="210"/>
      <c r="BR1441" s="210"/>
      <c r="BS1441" s="210"/>
      <c r="BT1441" s="210"/>
      <c r="BU1441" s="210"/>
      <c r="BV1441" s="210"/>
      <c r="BW1441" s="210"/>
      <c r="BX1441" s="210"/>
      <c r="BY1441" s="210"/>
      <c r="BZ1441" s="210"/>
      <c r="CA1441" s="210"/>
      <c r="CB1441" s="210"/>
      <c r="CC1441" s="210"/>
      <c r="CD1441" s="210"/>
      <c r="CE1441" s="210"/>
      <c r="CF1441" s="210"/>
      <c r="CG1441" s="210"/>
      <c r="CH1441" s="210"/>
      <c r="CI1441" s="210"/>
      <c r="CJ1441" s="210"/>
      <c r="CK1441" s="210"/>
    </row>
    <row r="1442">
      <c r="A1442" s="220"/>
      <c r="F1442" s="190"/>
      <c r="G1442" s="190"/>
      <c r="L1442" s="220"/>
      <c r="M1442" s="220"/>
      <c r="O1442" s="210"/>
      <c r="P1442" s="210"/>
      <c r="Q1442" s="210"/>
      <c r="R1442" s="210"/>
      <c r="S1442" s="210"/>
      <c r="T1442" s="210"/>
      <c r="U1442" s="210"/>
      <c r="V1442" s="210"/>
      <c r="W1442" s="210"/>
      <c r="X1442" s="210"/>
      <c r="Y1442" s="210"/>
      <c r="Z1442" s="210"/>
      <c r="AA1442" s="210"/>
      <c r="AB1442" s="210"/>
      <c r="AC1442" s="210"/>
      <c r="AD1442" s="210"/>
      <c r="AE1442" s="210"/>
      <c r="AF1442" s="210"/>
      <c r="AG1442" s="210"/>
      <c r="AH1442" s="210"/>
      <c r="AI1442" s="210"/>
      <c r="AJ1442" s="210"/>
      <c r="AK1442" s="210"/>
      <c r="AL1442" s="210"/>
      <c r="AM1442" s="214"/>
      <c r="AN1442" s="210"/>
      <c r="AO1442" s="210"/>
      <c r="AP1442" s="210"/>
      <c r="AQ1442" s="210"/>
      <c r="AR1442" s="210"/>
      <c r="AS1442" s="210"/>
      <c r="AT1442" s="210"/>
      <c r="AU1442" s="210"/>
      <c r="AV1442" s="210"/>
      <c r="AW1442" s="210"/>
      <c r="AX1442" s="210"/>
      <c r="AY1442" s="210"/>
      <c r="AZ1442" s="210"/>
      <c r="BA1442" s="210"/>
      <c r="BB1442" s="210"/>
      <c r="BC1442" s="210"/>
      <c r="BD1442" s="210"/>
      <c r="BE1442" s="210"/>
      <c r="BF1442" s="210"/>
      <c r="BG1442" s="210"/>
      <c r="BH1442" s="210"/>
      <c r="BI1442" s="210"/>
      <c r="BJ1442" s="210"/>
      <c r="BK1442" s="210"/>
      <c r="BL1442" s="210"/>
      <c r="BM1442" s="210"/>
      <c r="BN1442" s="210"/>
      <c r="BO1442" s="210"/>
      <c r="BP1442" s="210"/>
      <c r="BQ1442" s="210"/>
      <c r="BR1442" s="210"/>
      <c r="BS1442" s="210"/>
      <c r="BT1442" s="210"/>
      <c r="BU1442" s="210"/>
      <c r="BV1442" s="210"/>
      <c r="BW1442" s="210"/>
      <c r="BX1442" s="210"/>
      <c r="BY1442" s="210"/>
      <c r="BZ1442" s="210"/>
      <c r="CA1442" s="210"/>
      <c r="CB1442" s="210"/>
      <c r="CC1442" s="210"/>
      <c r="CD1442" s="210"/>
      <c r="CE1442" s="210"/>
      <c r="CF1442" s="210"/>
      <c r="CG1442" s="210"/>
      <c r="CH1442" s="210"/>
      <c r="CI1442" s="210"/>
      <c r="CJ1442" s="210"/>
      <c r="CK1442" s="210"/>
    </row>
    <row r="1443">
      <c r="A1443" s="220"/>
      <c r="F1443" s="190"/>
      <c r="G1443" s="190"/>
      <c r="L1443" s="220"/>
      <c r="M1443" s="220"/>
      <c r="O1443" s="210"/>
      <c r="P1443" s="210"/>
      <c r="Q1443" s="210"/>
      <c r="R1443" s="210"/>
      <c r="S1443" s="210"/>
      <c r="T1443" s="210"/>
      <c r="U1443" s="210"/>
      <c r="V1443" s="210"/>
      <c r="W1443" s="210"/>
      <c r="X1443" s="210"/>
      <c r="Y1443" s="210"/>
      <c r="Z1443" s="210"/>
      <c r="AA1443" s="210"/>
      <c r="AB1443" s="210"/>
      <c r="AC1443" s="210"/>
      <c r="AD1443" s="210"/>
      <c r="AE1443" s="210"/>
      <c r="AF1443" s="210"/>
      <c r="AG1443" s="210"/>
      <c r="AH1443" s="210"/>
      <c r="AI1443" s="210"/>
      <c r="AJ1443" s="210"/>
      <c r="AK1443" s="210"/>
      <c r="AL1443" s="210"/>
      <c r="AM1443" s="214"/>
      <c r="AN1443" s="210"/>
      <c r="AO1443" s="210"/>
      <c r="AP1443" s="210"/>
      <c r="AQ1443" s="210"/>
      <c r="AR1443" s="210"/>
      <c r="AS1443" s="210"/>
      <c r="AT1443" s="210"/>
      <c r="AU1443" s="210"/>
      <c r="AV1443" s="210"/>
      <c r="AW1443" s="210"/>
      <c r="AX1443" s="210"/>
      <c r="AY1443" s="210"/>
      <c r="AZ1443" s="210"/>
      <c r="BA1443" s="210"/>
      <c r="BB1443" s="210"/>
      <c r="BC1443" s="210"/>
      <c r="BD1443" s="210"/>
      <c r="BE1443" s="210"/>
      <c r="BF1443" s="210"/>
      <c r="BG1443" s="210"/>
      <c r="BH1443" s="210"/>
      <c r="BI1443" s="210"/>
      <c r="BJ1443" s="210"/>
      <c r="BK1443" s="210"/>
      <c r="BL1443" s="210"/>
      <c r="BM1443" s="210"/>
      <c r="BN1443" s="210"/>
      <c r="BO1443" s="210"/>
      <c r="BP1443" s="210"/>
      <c r="BQ1443" s="210"/>
      <c r="BR1443" s="210"/>
      <c r="BS1443" s="210"/>
      <c r="BT1443" s="210"/>
      <c r="BU1443" s="210"/>
      <c r="BV1443" s="210"/>
      <c r="BW1443" s="210"/>
      <c r="BX1443" s="210"/>
      <c r="BY1443" s="210"/>
      <c r="BZ1443" s="210"/>
      <c r="CA1443" s="210"/>
      <c r="CB1443" s="210"/>
      <c r="CC1443" s="210"/>
      <c r="CD1443" s="210"/>
      <c r="CE1443" s="210"/>
      <c r="CF1443" s="210"/>
      <c r="CG1443" s="210"/>
      <c r="CH1443" s="210"/>
      <c r="CI1443" s="210"/>
      <c r="CJ1443" s="210"/>
      <c r="CK1443" s="210"/>
    </row>
    <row r="1444">
      <c r="A1444" s="220"/>
      <c r="F1444" s="190"/>
      <c r="G1444" s="190"/>
      <c r="L1444" s="220"/>
      <c r="M1444" s="220"/>
      <c r="O1444" s="210"/>
      <c r="P1444" s="210"/>
      <c r="Q1444" s="210"/>
      <c r="R1444" s="210"/>
      <c r="S1444" s="210"/>
      <c r="T1444" s="210"/>
      <c r="U1444" s="210"/>
      <c r="V1444" s="210"/>
      <c r="W1444" s="210"/>
      <c r="X1444" s="210"/>
      <c r="Y1444" s="210"/>
      <c r="Z1444" s="210"/>
      <c r="AA1444" s="210"/>
      <c r="AB1444" s="210"/>
      <c r="AC1444" s="210"/>
      <c r="AD1444" s="210"/>
      <c r="AE1444" s="210"/>
      <c r="AF1444" s="210"/>
      <c r="AG1444" s="210"/>
      <c r="AH1444" s="210"/>
      <c r="AI1444" s="210"/>
      <c r="AJ1444" s="210"/>
      <c r="AK1444" s="210"/>
      <c r="AL1444" s="210"/>
      <c r="AM1444" s="214"/>
      <c r="AN1444" s="210"/>
      <c r="AO1444" s="210"/>
      <c r="AP1444" s="210"/>
      <c r="AQ1444" s="210"/>
      <c r="AR1444" s="210"/>
      <c r="AS1444" s="210"/>
      <c r="AT1444" s="210"/>
      <c r="AU1444" s="210"/>
      <c r="AV1444" s="210"/>
      <c r="AW1444" s="210"/>
      <c r="AX1444" s="210"/>
      <c r="AY1444" s="210"/>
      <c r="AZ1444" s="210"/>
      <c r="BA1444" s="210"/>
      <c r="BB1444" s="210"/>
      <c r="BC1444" s="210"/>
      <c r="BD1444" s="210"/>
      <c r="BE1444" s="210"/>
      <c r="BF1444" s="210"/>
      <c r="BG1444" s="210"/>
      <c r="BH1444" s="210"/>
      <c r="BI1444" s="210"/>
      <c r="BJ1444" s="210"/>
      <c r="BK1444" s="210"/>
      <c r="BL1444" s="210"/>
      <c r="BM1444" s="210"/>
      <c r="BN1444" s="210"/>
      <c r="BO1444" s="210"/>
      <c r="BP1444" s="210"/>
      <c r="BQ1444" s="210"/>
      <c r="BR1444" s="210"/>
      <c r="BS1444" s="210"/>
      <c r="BT1444" s="210"/>
      <c r="BU1444" s="210"/>
      <c r="BV1444" s="210"/>
      <c r="BW1444" s="210"/>
      <c r="BX1444" s="210"/>
      <c r="BY1444" s="210"/>
      <c r="BZ1444" s="210"/>
      <c r="CA1444" s="210"/>
      <c r="CB1444" s="210"/>
      <c r="CC1444" s="210"/>
      <c r="CD1444" s="210"/>
      <c r="CE1444" s="210"/>
      <c r="CF1444" s="210"/>
      <c r="CG1444" s="210"/>
      <c r="CH1444" s="210"/>
      <c r="CI1444" s="210"/>
      <c r="CJ1444" s="210"/>
      <c r="CK1444" s="210"/>
    </row>
    <row r="1445">
      <c r="A1445" s="220"/>
      <c r="F1445" s="190"/>
      <c r="G1445" s="190"/>
      <c r="L1445" s="220"/>
      <c r="M1445" s="220"/>
      <c r="O1445" s="210"/>
      <c r="P1445" s="210"/>
      <c r="Q1445" s="210"/>
      <c r="R1445" s="210"/>
      <c r="S1445" s="210"/>
      <c r="T1445" s="210"/>
      <c r="U1445" s="210"/>
      <c r="V1445" s="210"/>
      <c r="W1445" s="210"/>
      <c r="X1445" s="210"/>
      <c r="Y1445" s="210"/>
      <c r="Z1445" s="210"/>
      <c r="AA1445" s="210"/>
      <c r="AB1445" s="210"/>
      <c r="AC1445" s="210"/>
      <c r="AD1445" s="210"/>
      <c r="AE1445" s="210"/>
      <c r="AF1445" s="210"/>
      <c r="AG1445" s="210"/>
      <c r="AH1445" s="210"/>
      <c r="AI1445" s="210"/>
      <c r="AJ1445" s="210"/>
      <c r="AK1445" s="210"/>
      <c r="AL1445" s="210"/>
      <c r="AM1445" s="214"/>
      <c r="AN1445" s="210"/>
      <c r="AO1445" s="210"/>
      <c r="AP1445" s="210"/>
      <c r="AQ1445" s="210"/>
      <c r="AR1445" s="210"/>
      <c r="AS1445" s="210"/>
      <c r="AT1445" s="210"/>
      <c r="AU1445" s="210"/>
      <c r="AV1445" s="210"/>
      <c r="AW1445" s="210"/>
      <c r="AX1445" s="210"/>
      <c r="AY1445" s="210"/>
      <c r="AZ1445" s="210"/>
      <c r="BA1445" s="210"/>
      <c r="BB1445" s="210"/>
      <c r="BC1445" s="210"/>
      <c r="BD1445" s="210"/>
      <c r="BE1445" s="210"/>
      <c r="BF1445" s="210"/>
      <c r="BG1445" s="210"/>
      <c r="BH1445" s="210"/>
      <c r="BI1445" s="210"/>
      <c r="BJ1445" s="210"/>
      <c r="BK1445" s="210"/>
      <c r="BL1445" s="210"/>
      <c r="BM1445" s="210"/>
      <c r="BN1445" s="210"/>
      <c r="BO1445" s="210"/>
      <c r="BP1445" s="210"/>
      <c r="BQ1445" s="210"/>
      <c r="BR1445" s="210"/>
      <c r="BS1445" s="210"/>
      <c r="BT1445" s="210"/>
      <c r="BU1445" s="210"/>
      <c r="BV1445" s="210"/>
      <c r="BW1445" s="210"/>
      <c r="BX1445" s="210"/>
      <c r="BY1445" s="210"/>
      <c r="BZ1445" s="210"/>
      <c r="CA1445" s="210"/>
      <c r="CB1445" s="210"/>
      <c r="CC1445" s="210"/>
      <c r="CD1445" s="210"/>
      <c r="CE1445" s="210"/>
      <c r="CF1445" s="210"/>
      <c r="CG1445" s="210"/>
      <c r="CH1445" s="210"/>
      <c r="CI1445" s="210"/>
      <c r="CJ1445" s="210"/>
      <c r="CK1445" s="210"/>
    </row>
    <row r="1446">
      <c r="A1446" s="220"/>
      <c r="F1446" s="190"/>
      <c r="G1446" s="190"/>
      <c r="L1446" s="220"/>
      <c r="M1446" s="220"/>
      <c r="O1446" s="210"/>
      <c r="P1446" s="210"/>
      <c r="Q1446" s="210"/>
      <c r="R1446" s="210"/>
      <c r="S1446" s="210"/>
      <c r="T1446" s="210"/>
      <c r="U1446" s="210"/>
      <c r="V1446" s="210"/>
      <c r="W1446" s="210"/>
      <c r="X1446" s="210"/>
      <c r="Y1446" s="210"/>
      <c r="Z1446" s="210"/>
      <c r="AA1446" s="210"/>
      <c r="AB1446" s="210"/>
      <c r="AC1446" s="210"/>
      <c r="AD1446" s="210"/>
      <c r="AE1446" s="210"/>
      <c r="AF1446" s="210"/>
      <c r="AG1446" s="210"/>
      <c r="AH1446" s="210"/>
      <c r="AI1446" s="210"/>
      <c r="AJ1446" s="210"/>
      <c r="AK1446" s="210"/>
      <c r="AL1446" s="210"/>
      <c r="AM1446" s="214"/>
      <c r="AN1446" s="210"/>
      <c r="AO1446" s="210"/>
      <c r="AP1446" s="210"/>
      <c r="AQ1446" s="210"/>
      <c r="AR1446" s="210"/>
      <c r="AS1446" s="210"/>
      <c r="AT1446" s="210"/>
      <c r="AU1446" s="210"/>
      <c r="AV1446" s="210"/>
      <c r="AW1446" s="210"/>
      <c r="AX1446" s="210"/>
      <c r="AY1446" s="210"/>
      <c r="AZ1446" s="210"/>
      <c r="BA1446" s="210"/>
      <c r="BB1446" s="210"/>
      <c r="BC1446" s="210"/>
      <c r="BD1446" s="210"/>
      <c r="BE1446" s="210"/>
      <c r="BF1446" s="210"/>
      <c r="BG1446" s="210"/>
      <c r="BH1446" s="210"/>
      <c r="BI1446" s="210"/>
      <c r="BJ1446" s="210"/>
      <c r="BK1446" s="210"/>
      <c r="BL1446" s="210"/>
      <c r="BM1446" s="210"/>
      <c r="BN1446" s="210"/>
      <c r="BO1446" s="210"/>
      <c r="BP1446" s="210"/>
      <c r="BQ1446" s="210"/>
      <c r="BR1446" s="210"/>
      <c r="BS1446" s="210"/>
      <c r="BT1446" s="210"/>
      <c r="BU1446" s="210"/>
      <c r="BV1446" s="210"/>
      <c r="BW1446" s="210"/>
      <c r="BX1446" s="210"/>
      <c r="BY1446" s="210"/>
      <c r="BZ1446" s="210"/>
      <c r="CA1446" s="210"/>
      <c r="CB1446" s="210"/>
      <c r="CC1446" s="210"/>
      <c r="CD1446" s="210"/>
      <c r="CE1446" s="210"/>
      <c r="CF1446" s="210"/>
      <c r="CG1446" s="210"/>
      <c r="CH1446" s="210"/>
      <c r="CI1446" s="210"/>
      <c r="CJ1446" s="210"/>
      <c r="CK1446" s="210"/>
    </row>
    <row r="1447">
      <c r="A1447" s="220"/>
      <c r="F1447" s="190"/>
      <c r="G1447" s="190"/>
      <c r="L1447" s="220"/>
      <c r="M1447" s="220"/>
      <c r="O1447" s="210"/>
      <c r="P1447" s="210"/>
      <c r="Q1447" s="210"/>
      <c r="R1447" s="210"/>
      <c r="S1447" s="210"/>
      <c r="T1447" s="210"/>
      <c r="U1447" s="210"/>
      <c r="V1447" s="210"/>
      <c r="W1447" s="210"/>
      <c r="X1447" s="210"/>
      <c r="Y1447" s="210"/>
      <c r="Z1447" s="210"/>
      <c r="AA1447" s="210"/>
      <c r="AB1447" s="210"/>
      <c r="AC1447" s="210"/>
      <c r="AD1447" s="210"/>
      <c r="AE1447" s="210"/>
      <c r="AF1447" s="210"/>
      <c r="AG1447" s="210"/>
      <c r="AH1447" s="210"/>
      <c r="AI1447" s="210"/>
      <c r="AJ1447" s="210"/>
      <c r="AK1447" s="210"/>
      <c r="AL1447" s="210"/>
      <c r="AM1447" s="214"/>
      <c r="AN1447" s="210"/>
      <c r="AO1447" s="210"/>
      <c r="AP1447" s="210"/>
      <c r="AQ1447" s="210"/>
      <c r="AR1447" s="210"/>
      <c r="AS1447" s="210"/>
      <c r="AT1447" s="210"/>
      <c r="AU1447" s="210"/>
      <c r="AV1447" s="210"/>
      <c r="AW1447" s="210"/>
      <c r="AX1447" s="210"/>
      <c r="AY1447" s="210"/>
      <c r="AZ1447" s="210"/>
      <c r="BA1447" s="210"/>
      <c r="BB1447" s="210"/>
      <c r="BC1447" s="210"/>
      <c r="BD1447" s="210"/>
      <c r="BE1447" s="210"/>
      <c r="BF1447" s="210"/>
      <c r="BG1447" s="210"/>
      <c r="BH1447" s="210"/>
      <c r="BI1447" s="210"/>
      <c r="BJ1447" s="210"/>
      <c r="BK1447" s="210"/>
      <c r="BL1447" s="210"/>
      <c r="BM1447" s="210"/>
      <c r="BN1447" s="210"/>
      <c r="BO1447" s="210"/>
      <c r="BP1447" s="210"/>
      <c r="BQ1447" s="210"/>
      <c r="BR1447" s="210"/>
      <c r="BS1447" s="210"/>
      <c r="BT1447" s="210"/>
      <c r="BU1447" s="210"/>
      <c r="BV1447" s="210"/>
      <c r="BW1447" s="210"/>
      <c r="BX1447" s="210"/>
      <c r="BY1447" s="210"/>
      <c r="BZ1447" s="210"/>
      <c r="CA1447" s="210"/>
      <c r="CB1447" s="210"/>
      <c r="CC1447" s="210"/>
      <c r="CD1447" s="210"/>
      <c r="CE1447" s="210"/>
      <c r="CF1447" s="210"/>
      <c r="CG1447" s="210"/>
      <c r="CH1447" s="210"/>
      <c r="CI1447" s="210"/>
      <c r="CJ1447" s="210"/>
      <c r="CK1447" s="210"/>
    </row>
    <row r="1448">
      <c r="A1448" s="220"/>
      <c r="F1448" s="190"/>
      <c r="G1448" s="190"/>
      <c r="L1448" s="220"/>
      <c r="M1448" s="220"/>
      <c r="O1448" s="210"/>
      <c r="P1448" s="210"/>
      <c r="Q1448" s="210"/>
      <c r="R1448" s="210"/>
      <c r="S1448" s="210"/>
      <c r="T1448" s="210"/>
      <c r="U1448" s="210"/>
      <c r="V1448" s="210"/>
      <c r="W1448" s="210"/>
      <c r="X1448" s="210"/>
      <c r="Y1448" s="210"/>
      <c r="Z1448" s="210"/>
      <c r="AA1448" s="210"/>
      <c r="AB1448" s="210"/>
      <c r="AC1448" s="210"/>
      <c r="AD1448" s="210"/>
      <c r="AE1448" s="210"/>
      <c r="AF1448" s="210"/>
      <c r="AG1448" s="210"/>
      <c r="AH1448" s="210"/>
      <c r="AI1448" s="210"/>
      <c r="AJ1448" s="210"/>
      <c r="AK1448" s="210"/>
      <c r="AL1448" s="210"/>
      <c r="AM1448" s="214"/>
      <c r="AN1448" s="210"/>
      <c r="AO1448" s="210"/>
      <c r="AP1448" s="210"/>
      <c r="AQ1448" s="210"/>
      <c r="AR1448" s="210"/>
      <c r="AS1448" s="210"/>
      <c r="AT1448" s="210"/>
      <c r="AU1448" s="210"/>
      <c r="AV1448" s="210"/>
      <c r="AW1448" s="210"/>
      <c r="AX1448" s="210"/>
      <c r="AY1448" s="210"/>
      <c r="AZ1448" s="210"/>
      <c r="BA1448" s="210"/>
      <c r="BB1448" s="210"/>
      <c r="BC1448" s="210"/>
      <c r="BD1448" s="210"/>
      <c r="BE1448" s="210"/>
      <c r="BF1448" s="210"/>
      <c r="BG1448" s="210"/>
      <c r="BH1448" s="210"/>
      <c r="BI1448" s="210"/>
      <c r="BJ1448" s="210"/>
      <c r="BK1448" s="210"/>
      <c r="BL1448" s="210"/>
      <c r="BM1448" s="210"/>
      <c r="BN1448" s="210"/>
      <c r="BO1448" s="210"/>
      <c r="BP1448" s="210"/>
      <c r="BQ1448" s="210"/>
      <c r="BR1448" s="210"/>
      <c r="BS1448" s="210"/>
      <c r="BT1448" s="210"/>
      <c r="BU1448" s="210"/>
      <c r="BV1448" s="210"/>
      <c r="BW1448" s="210"/>
      <c r="BX1448" s="210"/>
      <c r="BY1448" s="210"/>
      <c r="BZ1448" s="210"/>
      <c r="CA1448" s="210"/>
      <c r="CB1448" s="210"/>
      <c r="CC1448" s="210"/>
      <c r="CD1448" s="210"/>
      <c r="CE1448" s="210"/>
      <c r="CF1448" s="210"/>
      <c r="CG1448" s="210"/>
      <c r="CH1448" s="210"/>
      <c r="CI1448" s="210"/>
      <c r="CJ1448" s="210"/>
      <c r="CK1448" s="210"/>
    </row>
    <row r="1449">
      <c r="A1449" s="220"/>
      <c r="F1449" s="190"/>
      <c r="G1449" s="190"/>
      <c r="L1449" s="220"/>
      <c r="M1449" s="220"/>
      <c r="O1449" s="210"/>
      <c r="P1449" s="210"/>
      <c r="Q1449" s="210"/>
      <c r="R1449" s="210"/>
      <c r="S1449" s="210"/>
      <c r="T1449" s="210"/>
      <c r="U1449" s="210"/>
      <c r="V1449" s="210"/>
      <c r="W1449" s="210"/>
      <c r="X1449" s="210"/>
      <c r="Y1449" s="210"/>
      <c r="Z1449" s="210"/>
      <c r="AA1449" s="210"/>
      <c r="AB1449" s="210"/>
      <c r="AC1449" s="210"/>
      <c r="AD1449" s="210"/>
      <c r="AE1449" s="210"/>
      <c r="AF1449" s="210"/>
      <c r="AG1449" s="210"/>
      <c r="AH1449" s="210"/>
      <c r="AI1449" s="210"/>
      <c r="AJ1449" s="210"/>
      <c r="AK1449" s="210"/>
      <c r="AL1449" s="210"/>
      <c r="AM1449" s="214"/>
      <c r="AN1449" s="210"/>
      <c r="AO1449" s="210"/>
      <c r="AP1449" s="210"/>
      <c r="AQ1449" s="210"/>
      <c r="AR1449" s="210"/>
      <c r="AS1449" s="210"/>
      <c r="AT1449" s="210"/>
      <c r="AU1449" s="210"/>
      <c r="AV1449" s="210"/>
      <c r="AW1449" s="210"/>
      <c r="AX1449" s="210"/>
      <c r="AY1449" s="210"/>
      <c r="AZ1449" s="210"/>
      <c r="BA1449" s="210"/>
      <c r="BB1449" s="210"/>
      <c r="BC1449" s="210"/>
      <c r="BD1449" s="210"/>
      <c r="BE1449" s="210"/>
      <c r="BF1449" s="210"/>
      <c r="BG1449" s="210"/>
      <c r="BH1449" s="210"/>
      <c r="BI1449" s="210"/>
      <c r="BJ1449" s="210"/>
      <c r="BK1449" s="210"/>
      <c r="BL1449" s="210"/>
      <c r="BM1449" s="210"/>
      <c r="BN1449" s="210"/>
      <c r="BO1449" s="210"/>
      <c r="BP1449" s="210"/>
      <c r="BQ1449" s="210"/>
      <c r="BR1449" s="210"/>
      <c r="BS1449" s="210"/>
      <c r="BT1449" s="210"/>
      <c r="BU1449" s="210"/>
      <c r="BV1449" s="210"/>
      <c r="BW1449" s="210"/>
      <c r="BX1449" s="210"/>
      <c r="BY1449" s="210"/>
      <c r="BZ1449" s="210"/>
      <c r="CA1449" s="210"/>
      <c r="CB1449" s="210"/>
      <c r="CC1449" s="210"/>
      <c r="CD1449" s="210"/>
      <c r="CE1449" s="210"/>
      <c r="CF1449" s="210"/>
      <c r="CG1449" s="210"/>
      <c r="CH1449" s="210"/>
      <c r="CI1449" s="210"/>
      <c r="CJ1449" s="210"/>
      <c r="CK1449" s="210"/>
    </row>
    <row r="1450">
      <c r="A1450" s="220"/>
      <c r="F1450" s="190"/>
      <c r="G1450" s="190"/>
      <c r="L1450" s="220"/>
      <c r="M1450" s="220"/>
      <c r="O1450" s="210"/>
      <c r="P1450" s="210"/>
      <c r="Q1450" s="210"/>
      <c r="R1450" s="210"/>
      <c r="S1450" s="210"/>
      <c r="T1450" s="210"/>
      <c r="U1450" s="210"/>
      <c r="V1450" s="210"/>
      <c r="W1450" s="210"/>
      <c r="X1450" s="210"/>
      <c r="Y1450" s="210"/>
      <c r="Z1450" s="210"/>
      <c r="AA1450" s="210"/>
      <c r="AB1450" s="210"/>
      <c r="AC1450" s="210"/>
      <c r="AD1450" s="210"/>
      <c r="AE1450" s="210"/>
      <c r="AF1450" s="210"/>
      <c r="AG1450" s="210"/>
      <c r="AH1450" s="210"/>
      <c r="AI1450" s="210"/>
      <c r="AJ1450" s="210"/>
      <c r="AK1450" s="210"/>
      <c r="AL1450" s="210"/>
      <c r="AM1450" s="214"/>
      <c r="AN1450" s="210"/>
      <c r="AO1450" s="210"/>
      <c r="AP1450" s="210"/>
      <c r="AQ1450" s="210"/>
      <c r="AR1450" s="210"/>
      <c r="AS1450" s="210"/>
      <c r="AT1450" s="210"/>
      <c r="AU1450" s="210"/>
      <c r="AV1450" s="210"/>
      <c r="AW1450" s="210"/>
      <c r="AX1450" s="210"/>
      <c r="AY1450" s="210"/>
      <c r="AZ1450" s="210"/>
      <c r="BA1450" s="210"/>
      <c r="BB1450" s="210"/>
      <c r="BC1450" s="210"/>
      <c r="BD1450" s="210"/>
      <c r="BE1450" s="210"/>
      <c r="BF1450" s="210"/>
      <c r="BG1450" s="210"/>
      <c r="BH1450" s="210"/>
      <c r="BI1450" s="210"/>
      <c r="BJ1450" s="210"/>
      <c r="BK1450" s="210"/>
      <c r="BL1450" s="210"/>
      <c r="BM1450" s="210"/>
      <c r="BN1450" s="210"/>
      <c r="BO1450" s="210"/>
      <c r="BP1450" s="210"/>
      <c r="BQ1450" s="210"/>
      <c r="BR1450" s="210"/>
      <c r="BS1450" s="210"/>
      <c r="BT1450" s="210"/>
      <c r="BU1450" s="210"/>
      <c r="BV1450" s="210"/>
      <c r="BW1450" s="210"/>
      <c r="BX1450" s="210"/>
      <c r="BY1450" s="210"/>
      <c r="BZ1450" s="210"/>
      <c r="CA1450" s="210"/>
      <c r="CB1450" s="210"/>
      <c r="CC1450" s="210"/>
      <c r="CD1450" s="210"/>
      <c r="CE1450" s="210"/>
      <c r="CF1450" s="210"/>
      <c r="CG1450" s="210"/>
      <c r="CH1450" s="210"/>
      <c r="CI1450" s="210"/>
      <c r="CJ1450" s="210"/>
      <c r="CK1450" s="210"/>
    </row>
    <row r="1451">
      <c r="A1451" s="220"/>
      <c r="F1451" s="190"/>
      <c r="G1451" s="190"/>
      <c r="L1451" s="220"/>
      <c r="M1451" s="220"/>
      <c r="O1451" s="210"/>
      <c r="P1451" s="210"/>
      <c r="Q1451" s="210"/>
      <c r="R1451" s="210"/>
      <c r="S1451" s="210"/>
      <c r="T1451" s="210"/>
      <c r="U1451" s="210"/>
      <c r="V1451" s="210"/>
      <c r="W1451" s="210"/>
      <c r="X1451" s="210"/>
      <c r="Y1451" s="210"/>
      <c r="Z1451" s="210"/>
      <c r="AA1451" s="210"/>
      <c r="AB1451" s="210"/>
      <c r="AC1451" s="210"/>
      <c r="AD1451" s="210"/>
      <c r="AE1451" s="210"/>
      <c r="AF1451" s="210"/>
      <c r="AG1451" s="210"/>
      <c r="AH1451" s="210"/>
      <c r="AI1451" s="210"/>
      <c r="AJ1451" s="210"/>
      <c r="AK1451" s="210"/>
      <c r="AL1451" s="210"/>
      <c r="AM1451" s="214"/>
      <c r="AN1451" s="210"/>
      <c r="AO1451" s="210"/>
      <c r="AP1451" s="210"/>
      <c r="AQ1451" s="210"/>
      <c r="AR1451" s="210"/>
      <c r="AS1451" s="210"/>
      <c r="AT1451" s="210"/>
      <c r="AU1451" s="210"/>
      <c r="AV1451" s="210"/>
      <c r="AW1451" s="210"/>
      <c r="AX1451" s="210"/>
      <c r="AY1451" s="210"/>
      <c r="AZ1451" s="210"/>
      <c r="BA1451" s="210"/>
      <c r="BB1451" s="210"/>
      <c r="BC1451" s="210"/>
      <c r="BD1451" s="210"/>
      <c r="BE1451" s="210"/>
      <c r="BF1451" s="210"/>
      <c r="BG1451" s="210"/>
      <c r="BH1451" s="210"/>
      <c r="BI1451" s="210"/>
      <c r="BJ1451" s="210"/>
      <c r="BK1451" s="210"/>
      <c r="BL1451" s="210"/>
      <c r="BM1451" s="210"/>
      <c r="BN1451" s="210"/>
      <c r="BO1451" s="210"/>
      <c r="BP1451" s="210"/>
      <c r="BQ1451" s="210"/>
      <c r="BR1451" s="210"/>
      <c r="BS1451" s="210"/>
      <c r="BT1451" s="210"/>
      <c r="BU1451" s="210"/>
      <c r="BV1451" s="210"/>
      <c r="BW1451" s="210"/>
      <c r="BX1451" s="210"/>
      <c r="BY1451" s="210"/>
      <c r="BZ1451" s="210"/>
      <c r="CA1451" s="210"/>
      <c r="CB1451" s="210"/>
      <c r="CC1451" s="210"/>
      <c r="CD1451" s="210"/>
      <c r="CE1451" s="210"/>
      <c r="CF1451" s="210"/>
      <c r="CG1451" s="210"/>
      <c r="CH1451" s="210"/>
      <c r="CI1451" s="210"/>
      <c r="CJ1451" s="210"/>
      <c r="CK1451" s="210"/>
    </row>
    <row r="1452">
      <c r="A1452" s="220"/>
      <c r="F1452" s="190"/>
      <c r="G1452" s="190"/>
      <c r="L1452" s="220"/>
      <c r="M1452" s="220"/>
      <c r="O1452" s="210"/>
      <c r="P1452" s="210"/>
      <c r="Q1452" s="210"/>
      <c r="R1452" s="210"/>
      <c r="S1452" s="210"/>
      <c r="T1452" s="210"/>
      <c r="U1452" s="210"/>
      <c r="V1452" s="210"/>
      <c r="W1452" s="210"/>
      <c r="X1452" s="210"/>
      <c r="Y1452" s="210"/>
      <c r="Z1452" s="210"/>
      <c r="AA1452" s="210"/>
      <c r="AB1452" s="210"/>
      <c r="AC1452" s="210"/>
      <c r="AD1452" s="210"/>
      <c r="AE1452" s="210"/>
      <c r="AF1452" s="210"/>
      <c r="AG1452" s="210"/>
      <c r="AH1452" s="210"/>
      <c r="AI1452" s="210"/>
      <c r="AJ1452" s="210"/>
      <c r="AK1452" s="210"/>
      <c r="AL1452" s="210"/>
      <c r="AM1452" s="214"/>
      <c r="AN1452" s="210"/>
      <c r="AO1452" s="210"/>
      <c r="AP1452" s="210"/>
      <c r="AQ1452" s="210"/>
      <c r="AR1452" s="210"/>
      <c r="AS1452" s="210"/>
      <c r="AT1452" s="210"/>
      <c r="AU1452" s="210"/>
      <c r="AV1452" s="210"/>
      <c r="AW1452" s="210"/>
      <c r="AX1452" s="210"/>
      <c r="AY1452" s="210"/>
      <c r="AZ1452" s="210"/>
      <c r="BA1452" s="210"/>
      <c r="BB1452" s="210"/>
      <c r="BC1452" s="210"/>
      <c r="BD1452" s="210"/>
      <c r="BE1452" s="210"/>
      <c r="BF1452" s="210"/>
      <c r="BG1452" s="210"/>
      <c r="BH1452" s="210"/>
      <c r="BI1452" s="210"/>
      <c r="BJ1452" s="210"/>
      <c r="BK1452" s="210"/>
      <c r="BL1452" s="210"/>
      <c r="BM1452" s="210"/>
      <c r="BN1452" s="210"/>
      <c r="BO1452" s="210"/>
      <c r="BP1452" s="210"/>
      <c r="BQ1452" s="210"/>
      <c r="BR1452" s="210"/>
      <c r="BS1452" s="210"/>
      <c r="BT1452" s="210"/>
      <c r="BU1452" s="210"/>
      <c r="BV1452" s="210"/>
      <c r="BW1452" s="210"/>
      <c r="BX1452" s="210"/>
      <c r="BY1452" s="210"/>
      <c r="BZ1452" s="210"/>
      <c r="CA1452" s="210"/>
      <c r="CB1452" s="210"/>
      <c r="CC1452" s="210"/>
      <c r="CD1452" s="210"/>
      <c r="CE1452" s="210"/>
      <c r="CF1452" s="210"/>
      <c r="CG1452" s="210"/>
      <c r="CH1452" s="210"/>
      <c r="CI1452" s="210"/>
      <c r="CJ1452" s="210"/>
      <c r="CK1452" s="210"/>
    </row>
    <row r="1453">
      <c r="A1453" s="220"/>
      <c r="F1453" s="190"/>
      <c r="G1453" s="190"/>
      <c r="L1453" s="220"/>
      <c r="M1453" s="220"/>
      <c r="O1453" s="210"/>
      <c r="P1453" s="210"/>
      <c r="Q1453" s="210"/>
      <c r="R1453" s="210"/>
      <c r="S1453" s="210"/>
      <c r="T1453" s="210"/>
      <c r="U1453" s="210"/>
      <c r="V1453" s="210"/>
      <c r="W1453" s="210"/>
      <c r="X1453" s="210"/>
      <c r="Y1453" s="210"/>
      <c r="Z1453" s="210"/>
      <c r="AA1453" s="210"/>
      <c r="AB1453" s="210"/>
      <c r="AC1453" s="210"/>
      <c r="AD1453" s="210"/>
      <c r="AE1453" s="210"/>
      <c r="AF1453" s="210"/>
      <c r="AG1453" s="210"/>
      <c r="AH1453" s="210"/>
      <c r="AI1453" s="210"/>
      <c r="AJ1453" s="210"/>
      <c r="AK1453" s="210"/>
      <c r="AL1453" s="210"/>
      <c r="AM1453" s="214"/>
      <c r="AN1453" s="210"/>
      <c r="AO1453" s="210"/>
      <c r="AP1453" s="210"/>
      <c r="AQ1453" s="210"/>
      <c r="AR1453" s="210"/>
      <c r="AS1453" s="210"/>
      <c r="AT1453" s="210"/>
      <c r="AU1453" s="210"/>
      <c r="AV1453" s="210"/>
      <c r="AW1453" s="210"/>
      <c r="AX1453" s="210"/>
      <c r="AY1453" s="210"/>
      <c r="AZ1453" s="210"/>
      <c r="BA1453" s="210"/>
      <c r="BB1453" s="210"/>
      <c r="BC1453" s="210"/>
      <c r="BD1453" s="210"/>
      <c r="BE1453" s="210"/>
      <c r="BF1453" s="210"/>
      <c r="BG1453" s="210"/>
      <c r="BH1453" s="210"/>
      <c r="BI1453" s="210"/>
      <c r="BJ1453" s="210"/>
      <c r="BK1453" s="210"/>
      <c r="BL1453" s="210"/>
      <c r="BM1453" s="210"/>
      <c r="BN1453" s="210"/>
      <c r="BO1453" s="210"/>
      <c r="BP1453" s="210"/>
      <c r="BQ1453" s="210"/>
      <c r="BR1453" s="210"/>
      <c r="BS1453" s="210"/>
      <c r="BT1453" s="210"/>
      <c r="BU1453" s="210"/>
      <c r="BV1453" s="210"/>
      <c r="BW1453" s="210"/>
      <c r="BX1453" s="210"/>
      <c r="BY1453" s="210"/>
      <c r="BZ1453" s="210"/>
      <c r="CA1453" s="210"/>
      <c r="CB1453" s="210"/>
      <c r="CC1453" s="210"/>
      <c r="CD1453" s="210"/>
      <c r="CE1453" s="210"/>
      <c r="CF1453" s="210"/>
      <c r="CG1453" s="210"/>
      <c r="CH1453" s="210"/>
      <c r="CI1453" s="210"/>
      <c r="CJ1453" s="210"/>
      <c r="CK1453" s="210"/>
    </row>
    <row r="1454">
      <c r="A1454" s="220"/>
      <c r="F1454" s="190"/>
      <c r="G1454" s="190"/>
      <c r="L1454" s="220"/>
      <c r="M1454" s="220"/>
      <c r="O1454" s="210"/>
      <c r="P1454" s="210"/>
      <c r="Q1454" s="210"/>
      <c r="R1454" s="210"/>
      <c r="S1454" s="210"/>
      <c r="T1454" s="210"/>
      <c r="U1454" s="210"/>
      <c r="V1454" s="210"/>
      <c r="W1454" s="210"/>
      <c r="X1454" s="210"/>
      <c r="Y1454" s="210"/>
      <c r="Z1454" s="210"/>
      <c r="AA1454" s="210"/>
      <c r="AB1454" s="210"/>
      <c r="AC1454" s="210"/>
      <c r="AD1454" s="210"/>
      <c r="AE1454" s="210"/>
      <c r="AF1454" s="210"/>
      <c r="AG1454" s="210"/>
      <c r="AH1454" s="210"/>
      <c r="AI1454" s="210"/>
      <c r="AJ1454" s="210"/>
      <c r="AK1454" s="210"/>
      <c r="AL1454" s="210"/>
      <c r="AM1454" s="214"/>
      <c r="AN1454" s="210"/>
      <c r="AO1454" s="210"/>
      <c r="AP1454" s="210"/>
      <c r="AQ1454" s="210"/>
      <c r="AR1454" s="210"/>
      <c r="AS1454" s="210"/>
      <c r="AT1454" s="210"/>
      <c r="AU1454" s="210"/>
      <c r="AV1454" s="210"/>
      <c r="AW1454" s="210"/>
      <c r="AX1454" s="210"/>
      <c r="AY1454" s="210"/>
      <c r="AZ1454" s="210"/>
      <c r="BA1454" s="210"/>
      <c r="BB1454" s="210"/>
      <c r="BC1454" s="210"/>
      <c r="BD1454" s="210"/>
      <c r="BE1454" s="210"/>
      <c r="BF1454" s="210"/>
      <c r="BG1454" s="210"/>
      <c r="BH1454" s="210"/>
      <c r="BI1454" s="210"/>
      <c r="BJ1454" s="210"/>
      <c r="BK1454" s="210"/>
      <c r="BL1454" s="210"/>
      <c r="BM1454" s="210"/>
      <c r="BN1454" s="210"/>
      <c r="BO1454" s="210"/>
      <c r="BP1454" s="210"/>
      <c r="BQ1454" s="210"/>
      <c r="BR1454" s="210"/>
      <c r="BS1454" s="210"/>
      <c r="BT1454" s="210"/>
      <c r="BU1454" s="210"/>
      <c r="BV1454" s="210"/>
      <c r="BW1454" s="210"/>
      <c r="BX1454" s="210"/>
      <c r="BY1454" s="210"/>
      <c r="BZ1454" s="210"/>
      <c r="CA1454" s="210"/>
      <c r="CB1454" s="210"/>
      <c r="CC1454" s="210"/>
      <c r="CD1454" s="210"/>
      <c r="CE1454" s="210"/>
      <c r="CF1454" s="210"/>
      <c r="CG1454" s="210"/>
      <c r="CH1454" s="210"/>
      <c r="CI1454" s="210"/>
      <c r="CJ1454" s="210"/>
      <c r="CK1454" s="210"/>
    </row>
    <row r="1455">
      <c r="A1455" s="220"/>
      <c r="F1455" s="190"/>
      <c r="G1455" s="190"/>
      <c r="L1455" s="220"/>
      <c r="M1455" s="220"/>
      <c r="O1455" s="210"/>
      <c r="P1455" s="210"/>
      <c r="Q1455" s="210"/>
      <c r="R1455" s="210"/>
      <c r="S1455" s="210"/>
      <c r="T1455" s="210"/>
      <c r="U1455" s="210"/>
      <c r="V1455" s="210"/>
      <c r="W1455" s="210"/>
      <c r="X1455" s="210"/>
      <c r="Y1455" s="210"/>
      <c r="Z1455" s="210"/>
      <c r="AA1455" s="210"/>
      <c r="AB1455" s="210"/>
      <c r="AC1455" s="210"/>
      <c r="AD1455" s="210"/>
      <c r="AE1455" s="210"/>
      <c r="AF1455" s="210"/>
      <c r="AG1455" s="210"/>
      <c r="AH1455" s="210"/>
      <c r="AI1455" s="210"/>
      <c r="AJ1455" s="210"/>
      <c r="AK1455" s="210"/>
      <c r="AL1455" s="210"/>
      <c r="AM1455" s="214"/>
      <c r="AN1455" s="210"/>
      <c r="AO1455" s="210"/>
      <c r="AP1455" s="210"/>
      <c r="AQ1455" s="210"/>
      <c r="AR1455" s="210"/>
      <c r="AS1455" s="210"/>
      <c r="AT1455" s="210"/>
      <c r="AU1455" s="210"/>
      <c r="AV1455" s="210"/>
      <c r="AW1455" s="210"/>
      <c r="AX1455" s="210"/>
      <c r="AY1455" s="210"/>
      <c r="AZ1455" s="210"/>
      <c r="BA1455" s="210"/>
      <c r="BB1455" s="210"/>
      <c r="BC1455" s="210"/>
      <c r="BD1455" s="210"/>
      <c r="BE1455" s="210"/>
      <c r="BF1455" s="210"/>
      <c r="BG1455" s="210"/>
      <c r="BH1455" s="210"/>
      <c r="BI1455" s="210"/>
      <c r="BJ1455" s="210"/>
      <c r="BK1455" s="210"/>
      <c r="BL1455" s="210"/>
      <c r="BM1455" s="210"/>
      <c r="BN1455" s="210"/>
      <c r="BO1455" s="210"/>
      <c r="BP1455" s="210"/>
      <c r="BQ1455" s="210"/>
      <c r="BR1455" s="210"/>
      <c r="BS1455" s="210"/>
      <c r="BT1455" s="210"/>
      <c r="BU1455" s="210"/>
      <c r="BV1455" s="210"/>
      <c r="BW1455" s="210"/>
      <c r="BX1455" s="210"/>
      <c r="BY1455" s="210"/>
      <c r="BZ1455" s="210"/>
      <c r="CA1455" s="210"/>
      <c r="CB1455" s="210"/>
      <c r="CC1455" s="210"/>
      <c r="CD1455" s="210"/>
      <c r="CE1455" s="210"/>
      <c r="CF1455" s="210"/>
      <c r="CG1455" s="210"/>
      <c r="CH1455" s="210"/>
      <c r="CI1455" s="210"/>
      <c r="CJ1455" s="210"/>
      <c r="CK1455" s="210"/>
    </row>
    <row r="1456">
      <c r="A1456" s="220"/>
      <c r="F1456" s="190"/>
      <c r="G1456" s="190"/>
      <c r="L1456" s="220"/>
      <c r="M1456" s="220"/>
      <c r="O1456" s="210"/>
      <c r="P1456" s="210"/>
      <c r="Q1456" s="210"/>
      <c r="R1456" s="210"/>
      <c r="S1456" s="210"/>
      <c r="T1456" s="210"/>
      <c r="U1456" s="210"/>
      <c r="V1456" s="210"/>
      <c r="W1456" s="210"/>
      <c r="X1456" s="210"/>
      <c r="Y1456" s="210"/>
      <c r="Z1456" s="210"/>
      <c r="AA1456" s="210"/>
      <c r="AB1456" s="210"/>
      <c r="AC1456" s="210"/>
      <c r="AD1456" s="210"/>
      <c r="AE1456" s="210"/>
      <c r="AF1456" s="210"/>
      <c r="AG1456" s="210"/>
      <c r="AH1456" s="210"/>
      <c r="AI1456" s="210"/>
      <c r="AJ1456" s="210"/>
      <c r="AK1456" s="210"/>
      <c r="AL1456" s="210"/>
      <c r="AM1456" s="214"/>
      <c r="AN1456" s="210"/>
      <c r="AO1456" s="210"/>
      <c r="AP1456" s="210"/>
      <c r="AQ1456" s="210"/>
      <c r="AR1456" s="210"/>
      <c r="AS1456" s="210"/>
      <c r="AT1456" s="210"/>
      <c r="AU1456" s="210"/>
      <c r="AV1456" s="210"/>
      <c r="AW1456" s="210"/>
      <c r="AX1456" s="210"/>
      <c r="AY1456" s="210"/>
      <c r="AZ1456" s="210"/>
      <c r="BA1456" s="210"/>
      <c r="BB1456" s="210"/>
      <c r="BC1456" s="210"/>
      <c r="BD1456" s="210"/>
      <c r="BE1456" s="210"/>
      <c r="BF1456" s="210"/>
      <c r="BG1456" s="210"/>
      <c r="BH1456" s="210"/>
      <c r="BI1456" s="210"/>
      <c r="BJ1456" s="210"/>
      <c r="BK1456" s="210"/>
      <c r="BL1456" s="210"/>
      <c r="BM1456" s="210"/>
      <c r="BN1456" s="210"/>
      <c r="BO1456" s="210"/>
      <c r="BP1456" s="210"/>
      <c r="BQ1456" s="210"/>
      <c r="BR1456" s="210"/>
      <c r="BS1456" s="210"/>
      <c r="BT1456" s="210"/>
      <c r="BU1456" s="210"/>
      <c r="BV1456" s="210"/>
      <c r="BW1456" s="210"/>
      <c r="BX1456" s="210"/>
      <c r="BY1456" s="210"/>
      <c r="BZ1456" s="210"/>
      <c r="CA1456" s="210"/>
      <c r="CB1456" s="210"/>
      <c r="CC1456" s="210"/>
      <c r="CD1456" s="210"/>
      <c r="CE1456" s="210"/>
      <c r="CF1456" s="210"/>
      <c r="CG1456" s="210"/>
      <c r="CH1456" s="210"/>
      <c r="CI1456" s="210"/>
      <c r="CJ1456" s="210"/>
      <c r="CK1456" s="210"/>
    </row>
    <row r="1457">
      <c r="A1457" s="220"/>
      <c r="F1457" s="190"/>
      <c r="G1457" s="190"/>
      <c r="L1457" s="220"/>
      <c r="M1457" s="220"/>
      <c r="O1457" s="210"/>
      <c r="P1457" s="210"/>
      <c r="Q1457" s="210"/>
      <c r="R1457" s="210"/>
      <c r="S1457" s="210"/>
      <c r="T1457" s="210"/>
      <c r="U1457" s="210"/>
      <c r="V1457" s="210"/>
      <c r="W1457" s="210"/>
      <c r="X1457" s="210"/>
      <c r="Y1457" s="210"/>
      <c r="Z1457" s="210"/>
      <c r="AA1457" s="210"/>
      <c r="AB1457" s="210"/>
      <c r="AC1457" s="210"/>
      <c r="AD1457" s="210"/>
      <c r="AE1457" s="210"/>
      <c r="AF1457" s="210"/>
      <c r="AG1457" s="210"/>
      <c r="AH1457" s="210"/>
      <c r="AI1457" s="210"/>
      <c r="AJ1457" s="210"/>
      <c r="AK1457" s="210"/>
      <c r="AL1457" s="210"/>
      <c r="AM1457" s="214"/>
      <c r="AN1457" s="210"/>
      <c r="AO1457" s="210"/>
      <c r="AP1457" s="210"/>
      <c r="AQ1457" s="210"/>
      <c r="AR1457" s="210"/>
      <c r="AS1457" s="210"/>
      <c r="AT1457" s="210"/>
      <c r="AU1457" s="210"/>
      <c r="AV1457" s="210"/>
      <c r="AW1457" s="210"/>
      <c r="AX1457" s="210"/>
      <c r="AY1457" s="210"/>
      <c r="AZ1457" s="210"/>
      <c r="BA1457" s="210"/>
      <c r="BB1457" s="210"/>
      <c r="BC1457" s="210"/>
      <c r="BD1457" s="210"/>
      <c r="BE1457" s="210"/>
      <c r="BF1457" s="210"/>
      <c r="BG1457" s="210"/>
      <c r="BH1457" s="210"/>
      <c r="BI1457" s="210"/>
      <c r="BJ1457" s="210"/>
      <c r="BK1457" s="210"/>
      <c r="BL1457" s="210"/>
      <c r="BM1457" s="210"/>
      <c r="BN1457" s="210"/>
      <c r="BO1457" s="210"/>
      <c r="BP1457" s="210"/>
      <c r="BQ1457" s="210"/>
      <c r="BR1457" s="210"/>
      <c r="BS1457" s="210"/>
      <c r="BT1457" s="210"/>
      <c r="BU1457" s="210"/>
      <c r="BV1457" s="210"/>
      <c r="BW1457" s="210"/>
      <c r="BX1457" s="210"/>
      <c r="BY1457" s="210"/>
      <c r="BZ1457" s="210"/>
      <c r="CA1457" s="210"/>
      <c r="CB1457" s="210"/>
      <c r="CC1457" s="210"/>
      <c r="CD1457" s="210"/>
      <c r="CE1457" s="210"/>
      <c r="CF1457" s="210"/>
      <c r="CG1457" s="210"/>
      <c r="CH1457" s="210"/>
      <c r="CI1457" s="210"/>
      <c r="CJ1457" s="210"/>
      <c r="CK1457" s="210"/>
    </row>
    <row r="1458">
      <c r="A1458" s="220"/>
      <c r="F1458" s="190"/>
      <c r="G1458" s="190"/>
      <c r="L1458" s="220"/>
      <c r="M1458" s="220"/>
      <c r="O1458" s="210"/>
      <c r="P1458" s="210"/>
      <c r="Q1458" s="210"/>
      <c r="R1458" s="210"/>
      <c r="S1458" s="210"/>
      <c r="T1458" s="210"/>
      <c r="U1458" s="210"/>
      <c r="V1458" s="210"/>
      <c r="W1458" s="210"/>
      <c r="X1458" s="210"/>
      <c r="Y1458" s="210"/>
      <c r="Z1458" s="210"/>
      <c r="AA1458" s="210"/>
      <c r="AB1458" s="210"/>
      <c r="AC1458" s="210"/>
      <c r="AD1458" s="210"/>
      <c r="AE1458" s="210"/>
      <c r="AF1458" s="210"/>
      <c r="AG1458" s="210"/>
      <c r="AH1458" s="210"/>
      <c r="AI1458" s="210"/>
      <c r="AJ1458" s="210"/>
      <c r="AK1458" s="210"/>
      <c r="AL1458" s="210"/>
      <c r="AM1458" s="214"/>
      <c r="AN1458" s="210"/>
      <c r="AO1458" s="210"/>
      <c r="AP1458" s="210"/>
      <c r="AQ1458" s="210"/>
      <c r="AR1458" s="210"/>
      <c r="AS1458" s="210"/>
      <c r="AT1458" s="210"/>
      <c r="AU1458" s="210"/>
      <c r="AV1458" s="210"/>
      <c r="AW1458" s="210"/>
      <c r="AX1458" s="210"/>
      <c r="AY1458" s="210"/>
      <c r="AZ1458" s="210"/>
      <c r="BA1458" s="210"/>
      <c r="BB1458" s="210"/>
      <c r="BC1458" s="210"/>
      <c r="BD1458" s="210"/>
      <c r="BE1458" s="210"/>
      <c r="BF1458" s="210"/>
      <c r="BG1458" s="210"/>
      <c r="BH1458" s="210"/>
      <c r="BI1458" s="210"/>
      <c r="BJ1458" s="210"/>
      <c r="BK1458" s="210"/>
      <c r="BL1458" s="210"/>
      <c r="BM1458" s="210"/>
      <c r="BN1458" s="210"/>
      <c r="BO1458" s="210"/>
      <c r="BP1458" s="210"/>
      <c r="BQ1458" s="210"/>
      <c r="BR1458" s="210"/>
      <c r="BS1458" s="210"/>
      <c r="BT1458" s="210"/>
      <c r="BU1458" s="210"/>
      <c r="BV1458" s="210"/>
      <c r="BW1458" s="210"/>
      <c r="BX1458" s="210"/>
      <c r="BY1458" s="210"/>
      <c r="BZ1458" s="210"/>
      <c r="CA1458" s="210"/>
      <c r="CB1458" s="210"/>
      <c r="CC1458" s="210"/>
      <c r="CD1458" s="210"/>
      <c r="CE1458" s="210"/>
      <c r="CF1458" s="210"/>
      <c r="CG1458" s="210"/>
      <c r="CH1458" s="210"/>
      <c r="CI1458" s="210"/>
      <c r="CJ1458" s="210"/>
      <c r="CK1458" s="210"/>
    </row>
    <row r="1459">
      <c r="A1459" s="220"/>
      <c r="F1459" s="190"/>
      <c r="G1459" s="190"/>
      <c r="L1459" s="220"/>
      <c r="M1459" s="220"/>
      <c r="O1459" s="210"/>
      <c r="P1459" s="210"/>
      <c r="Q1459" s="210"/>
      <c r="R1459" s="210"/>
      <c r="S1459" s="210"/>
      <c r="T1459" s="210"/>
      <c r="U1459" s="210"/>
      <c r="V1459" s="210"/>
      <c r="W1459" s="210"/>
      <c r="X1459" s="210"/>
      <c r="Y1459" s="210"/>
      <c r="Z1459" s="210"/>
      <c r="AA1459" s="210"/>
      <c r="AB1459" s="210"/>
      <c r="AC1459" s="210"/>
      <c r="AD1459" s="210"/>
      <c r="AE1459" s="210"/>
      <c r="AF1459" s="210"/>
      <c r="AG1459" s="210"/>
      <c r="AH1459" s="210"/>
      <c r="AI1459" s="210"/>
      <c r="AJ1459" s="210"/>
      <c r="AK1459" s="210"/>
      <c r="AL1459" s="210"/>
      <c r="AM1459" s="214"/>
      <c r="AN1459" s="210"/>
      <c r="AO1459" s="210"/>
      <c r="AP1459" s="210"/>
      <c r="AQ1459" s="210"/>
      <c r="AR1459" s="210"/>
      <c r="AS1459" s="210"/>
      <c r="AT1459" s="210"/>
      <c r="AU1459" s="210"/>
      <c r="AV1459" s="210"/>
      <c r="AW1459" s="210"/>
      <c r="AX1459" s="210"/>
      <c r="AY1459" s="210"/>
      <c r="AZ1459" s="210"/>
      <c r="BA1459" s="210"/>
      <c r="BB1459" s="210"/>
      <c r="BC1459" s="210"/>
      <c r="BD1459" s="210"/>
      <c r="BE1459" s="210"/>
      <c r="BF1459" s="210"/>
      <c r="BG1459" s="210"/>
      <c r="BH1459" s="210"/>
      <c r="BI1459" s="210"/>
      <c r="BJ1459" s="210"/>
      <c r="BK1459" s="210"/>
      <c r="BL1459" s="210"/>
      <c r="BM1459" s="210"/>
      <c r="BN1459" s="210"/>
      <c r="BO1459" s="210"/>
      <c r="BP1459" s="210"/>
      <c r="BQ1459" s="210"/>
      <c r="BR1459" s="210"/>
      <c r="BS1459" s="210"/>
      <c r="BT1459" s="210"/>
      <c r="BU1459" s="210"/>
      <c r="BV1459" s="210"/>
      <c r="BW1459" s="210"/>
      <c r="BX1459" s="210"/>
      <c r="BY1459" s="210"/>
      <c r="BZ1459" s="210"/>
      <c r="CA1459" s="210"/>
      <c r="CB1459" s="210"/>
      <c r="CC1459" s="210"/>
      <c r="CD1459" s="210"/>
      <c r="CE1459" s="210"/>
      <c r="CF1459" s="210"/>
      <c r="CG1459" s="210"/>
      <c r="CH1459" s="210"/>
      <c r="CI1459" s="210"/>
      <c r="CJ1459" s="210"/>
      <c r="CK1459" s="210"/>
    </row>
    <row r="1460">
      <c r="A1460" s="220"/>
      <c r="F1460" s="190"/>
      <c r="G1460" s="190"/>
      <c r="L1460" s="220"/>
      <c r="M1460" s="220"/>
      <c r="O1460" s="210"/>
      <c r="P1460" s="210"/>
      <c r="Q1460" s="210"/>
      <c r="R1460" s="210"/>
      <c r="S1460" s="210"/>
      <c r="T1460" s="210"/>
      <c r="U1460" s="210"/>
      <c r="V1460" s="210"/>
      <c r="W1460" s="210"/>
      <c r="X1460" s="210"/>
      <c r="Y1460" s="210"/>
      <c r="Z1460" s="210"/>
      <c r="AA1460" s="210"/>
      <c r="AB1460" s="210"/>
      <c r="AC1460" s="210"/>
      <c r="AD1460" s="210"/>
      <c r="AE1460" s="210"/>
      <c r="AF1460" s="210"/>
      <c r="AG1460" s="210"/>
      <c r="AH1460" s="210"/>
      <c r="AI1460" s="210"/>
      <c r="AJ1460" s="210"/>
      <c r="AK1460" s="210"/>
      <c r="AL1460" s="210"/>
      <c r="AM1460" s="214"/>
      <c r="AN1460" s="210"/>
      <c r="AO1460" s="210"/>
      <c r="AP1460" s="210"/>
      <c r="AQ1460" s="210"/>
      <c r="AR1460" s="210"/>
      <c r="AS1460" s="210"/>
      <c r="AT1460" s="210"/>
      <c r="AU1460" s="210"/>
      <c r="AV1460" s="210"/>
      <c r="AW1460" s="210"/>
      <c r="AX1460" s="210"/>
      <c r="AY1460" s="210"/>
      <c r="AZ1460" s="210"/>
      <c r="BA1460" s="210"/>
      <c r="BB1460" s="210"/>
      <c r="BC1460" s="210"/>
      <c r="BD1460" s="210"/>
      <c r="BE1460" s="210"/>
      <c r="BF1460" s="210"/>
      <c r="BG1460" s="210"/>
      <c r="BH1460" s="210"/>
      <c r="BI1460" s="210"/>
      <c r="BJ1460" s="210"/>
      <c r="BK1460" s="210"/>
      <c r="BL1460" s="210"/>
      <c r="BM1460" s="210"/>
      <c r="BN1460" s="210"/>
      <c r="BO1460" s="210"/>
      <c r="BP1460" s="210"/>
      <c r="BQ1460" s="210"/>
      <c r="BR1460" s="210"/>
      <c r="BS1460" s="210"/>
      <c r="BT1460" s="210"/>
      <c r="BU1460" s="210"/>
      <c r="BV1460" s="210"/>
      <c r="BW1460" s="210"/>
      <c r="BX1460" s="210"/>
      <c r="BY1460" s="210"/>
      <c r="BZ1460" s="210"/>
      <c r="CA1460" s="210"/>
      <c r="CB1460" s="210"/>
      <c r="CC1460" s="210"/>
      <c r="CD1460" s="210"/>
      <c r="CE1460" s="210"/>
      <c r="CF1460" s="210"/>
      <c r="CG1460" s="210"/>
      <c r="CH1460" s="210"/>
      <c r="CI1460" s="210"/>
      <c r="CJ1460" s="210"/>
      <c r="CK1460" s="210"/>
    </row>
    <row r="1461">
      <c r="A1461" s="220"/>
      <c r="F1461" s="190"/>
      <c r="G1461" s="190"/>
      <c r="L1461" s="220"/>
      <c r="M1461" s="220"/>
      <c r="O1461" s="210"/>
      <c r="P1461" s="210"/>
      <c r="Q1461" s="210"/>
      <c r="R1461" s="210"/>
      <c r="S1461" s="210"/>
      <c r="T1461" s="210"/>
      <c r="U1461" s="210"/>
      <c r="V1461" s="210"/>
      <c r="W1461" s="210"/>
      <c r="X1461" s="210"/>
      <c r="Y1461" s="210"/>
      <c r="Z1461" s="210"/>
      <c r="AA1461" s="210"/>
      <c r="AB1461" s="210"/>
      <c r="AC1461" s="210"/>
      <c r="AD1461" s="210"/>
      <c r="AE1461" s="210"/>
      <c r="AF1461" s="210"/>
      <c r="AG1461" s="210"/>
      <c r="AH1461" s="210"/>
      <c r="AI1461" s="210"/>
      <c r="AJ1461" s="210"/>
      <c r="AK1461" s="210"/>
      <c r="AL1461" s="210"/>
      <c r="AM1461" s="214"/>
      <c r="AN1461" s="210"/>
      <c r="AO1461" s="210"/>
      <c r="AP1461" s="210"/>
      <c r="AQ1461" s="210"/>
      <c r="AR1461" s="210"/>
      <c r="AS1461" s="210"/>
      <c r="AT1461" s="210"/>
      <c r="AU1461" s="210"/>
      <c r="AV1461" s="210"/>
      <c r="AW1461" s="210"/>
      <c r="AX1461" s="210"/>
      <c r="AY1461" s="210"/>
      <c r="AZ1461" s="210"/>
      <c r="BA1461" s="210"/>
      <c r="BB1461" s="210"/>
      <c r="BC1461" s="210"/>
      <c r="BD1461" s="210"/>
      <c r="BE1461" s="210"/>
      <c r="BF1461" s="210"/>
      <c r="BG1461" s="210"/>
      <c r="BH1461" s="210"/>
      <c r="BI1461" s="210"/>
      <c r="BJ1461" s="210"/>
      <c r="BK1461" s="210"/>
      <c r="BL1461" s="210"/>
      <c r="BM1461" s="210"/>
      <c r="BN1461" s="210"/>
      <c r="BO1461" s="210"/>
      <c r="BP1461" s="210"/>
      <c r="BQ1461" s="210"/>
      <c r="BR1461" s="210"/>
      <c r="BS1461" s="210"/>
      <c r="BT1461" s="210"/>
      <c r="BU1461" s="210"/>
      <c r="BV1461" s="210"/>
      <c r="BW1461" s="210"/>
      <c r="BX1461" s="210"/>
      <c r="BY1461" s="210"/>
      <c r="BZ1461" s="210"/>
      <c r="CA1461" s="210"/>
      <c r="CB1461" s="210"/>
      <c r="CC1461" s="210"/>
      <c r="CD1461" s="210"/>
      <c r="CE1461" s="210"/>
      <c r="CF1461" s="210"/>
      <c r="CG1461" s="210"/>
      <c r="CH1461" s="210"/>
      <c r="CI1461" s="210"/>
      <c r="CJ1461" s="210"/>
      <c r="CK1461" s="210"/>
    </row>
    <row r="1462">
      <c r="A1462" s="220"/>
      <c r="F1462" s="190"/>
      <c r="G1462" s="190"/>
      <c r="L1462" s="220"/>
      <c r="M1462" s="220"/>
      <c r="O1462" s="210"/>
      <c r="P1462" s="210"/>
      <c r="Q1462" s="210"/>
      <c r="R1462" s="210"/>
      <c r="S1462" s="210"/>
      <c r="T1462" s="210"/>
      <c r="U1462" s="210"/>
      <c r="V1462" s="210"/>
      <c r="W1462" s="210"/>
      <c r="X1462" s="210"/>
      <c r="Y1462" s="210"/>
      <c r="Z1462" s="210"/>
      <c r="AA1462" s="210"/>
      <c r="AB1462" s="210"/>
      <c r="AC1462" s="210"/>
      <c r="AD1462" s="210"/>
      <c r="AE1462" s="210"/>
      <c r="AF1462" s="210"/>
      <c r="AG1462" s="210"/>
      <c r="AH1462" s="210"/>
      <c r="AI1462" s="210"/>
      <c r="AJ1462" s="210"/>
      <c r="AK1462" s="210"/>
      <c r="AL1462" s="210"/>
      <c r="AM1462" s="214"/>
      <c r="AN1462" s="210"/>
      <c r="AO1462" s="210"/>
      <c r="AP1462" s="210"/>
      <c r="AQ1462" s="210"/>
      <c r="AR1462" s="210"/>
      <c r="AS1462" s="210"/>
      <c r="AT1462" s="210"/>
      <c r="AU1462" s="210"/>
      <c r="AV1462" s="210"/>
      <c r="AW1462" s="210"/>
      <c r="AX1462" s="210"/>
      <c r="AY1462" s="210"/>
      <c r="AZ1462" s="210"/>
      <c r="BA1462" s="210"/>
      <c r="BB1462" s="210"/>
      <c r="BC1462" s="210"/>
      <c r="BD1462" s="210"/>
      <c r="BE1462" s="210"/>
      <c r="BF1462" s="210"/>
      <c r="BG1462" s="210"/>
      <c r="BH1462" s="210"/>
      <c r="BI1462" s="210"/>
      <c r="BJ1462" s="210"/>
      <c r="BK1462" s="210"/>
      <c r="BL1462" s="210"/>
      <c r="BM1462" s="210"/>
      <c r="BN1462" s="210"/>
      <c r="BO1462" s="210"/>
      <c r="BP1462" s="210"/>
      <c r="BQ1462" s="210"/>
      <c r="BR1462" s="210"/>
      <c r="BS1462" s="210"/>
      <c r="BT1462" s="210"/>
      <c r="BU1462" s="210"/>
      <c r="BV1462" s="210"/>
      <c r="BW1462" s="210"/>
      <c r="BX1462" s="210"/>
      <c r="BY1462" s="210"/>
      <c r="BZ1462" s="210"/>
      <c r="CA1462" s="210"/>
      <c r="CB1462" s="210"/>
      <c r="CC1462" s="210"/>
      <c r="CD1462" s="210"/>
      <c r="CE1462" s="210"/>
      <c r="CF1462" s="210"/>
      <c r="CG1462" s="210"/>
      <c r="CH1462" s="210"/>
      <c r="CI1462" s="210"/>
      <c r="CJ1462" s="210"/>
      <c r="CK1462" s="210"/>
    </row>
    <row r="1463">
      <c r="A1463" s="220"/>
      <c r="F1463" s="190"/>
      <c r="G1463" s="190"/>
      <c r="L1463" s="220"/>
      <c r="M1463" s="220"/>
      <c r="O1463" s="210"/>
      <c r="P1463" s="210"/>
      <c r="Q1463" s="210"/>
      <c r="R1463" s="210"/>
      <c r="S1463" s="210"/>
      <c r="T1463" s="210"/>
      <c r="U1463" s="210"/>
      <c r="V1463" s="210"/>
      <c r="W1463" s="210"/>
      <c r="X1463" s="210"/>
      <c r="Y1463" s="210"/>
      <c r="Z1463" s="210"/>
      <c r="AA1463" s="210"/>
      <c r="AB1463" s="210"/>
      <c r="AC1463" s="210"/>
      <c r="AD1463" s="210"/>
      <c r="AE1463" s="210"/>
      <c r="AF1463" s="210"/>
      <c r="AG1463" s="210"/>
      <c r="AH1463" s="210"/>
      <c r="AI1463" s="210"/>
      <c r="AJ1463" s="210"/>
      <c r="AK1463" s="210"/>
      <c r="AL1463" s="210"/>
      <c r="AM1463" s="214"/>
      <c r="AN1463" s="210"/>
      <c r="AO1463" s="210"/>
      <c r="AP1463" s="210"/>
      <c r="AQ1463" s="210"/>
      <c r="AR1463" s="210"/>
      <c r="AS1463" s="210"/>
      <c r="AT1463" s="210"/>
      <c r="AU1463" s="210"/>
      <c r="AV1463" s="210"/>
      <c r="AW1463" s="210"/>
      <c r="AX1463" s="210"/>
      <c r="AY1463" s="210"/>
      <c r="AZ1463" s="210"/>
      <c r="BA1463" s="210"/>
      <c r="BB1463" s="210"/>
      <c r="BC1463" s="210"/>
      <c r="BD1463" s="210"/>
      <c r="BE1463" s="210"/>
      <c r="BF1463" s="210"/>
      <c r="BG1463" s="210"/>
      <c r="BH1463" s="210"/>
      <c r="BI1463" s="210"/>
      <c r="BJ1463" s="210"/>
      <c r="BK1463" s="210"/>
      <c r="BL1463" s="210"/>
      <c r="BM1463" s="210"/>
      <c r="BN1463" s="210"/>
      <c r="BO1463" s="210"/>
      <c r="BP1463" s="210"/>
      <c r="BQ1463" s="210"/>
      <c r="BR1463" s="210"/>
      <c r="BS1463" s="210"/>
      <c r="BT1463" s="210"/>
      <c r="BU1463" s="210"/>
      <c r="BV1463" s="210"/>
      <c r="BW1463" s="210"/>
      <c r="BX1463" s="210"/>
      <c r="BY1463" s="210"/>
      <c r="BZ1463" s="210"/>
      <c r="CA1463" s="210"/>
      <c r="CB1463" s="210"/>
      <c r="CC1463" s="210"/>
      <c r="CD1463" s="210"/>
      <c r="CE1463" s="210"/>
      <c r="CF1463" s="210"/>
      <c r="CG1463" s="210"/>
      <c r="CH1463" s="210"/>
      <c r="CI1463" s="210"/>
      <c r="CJ1463" s="210"/>
      <c r="CK1463" s="210"/>
    </row>
    <row r="1464">
      <c r="A1464" s="220"/>
      <c r="F1464" s="190"/>
      <c r="G1464" s="190"/>
      <c r="L1464" s="220"/>
      <c r="M1464" s="220"/>
      <c r="O1464" s="210"/>
      <c r="P1464" s="210"/>
      <c r="Q1464" s="210"/>
      <c r="R1464" s="210"/>
      <c r="S1464" s="210"/>
      <c r="T1464" s="210"/>
      <c r="U1464" s="210"/>
      <c r="V1464" s="210"/>
      <c r="W1464" s="210"/>
      <c r="X1464" s="210"/>
      <c r="Y1464" s="210"/>
      <c r="Z1464" s="210"/>
      <c r="AA1464" s="210"/>
      <c r="AB1464" s="210"/>
      <c r="AC1464" s="210"/>
      <c r="AD1464" s="210"/>
      <c r="AE1464" s="210"/>
      <c r="AF1464" s="210"/>
      <c r="AG1464" s="210"/>
      <c r="AH1464" s="210"/>
      <c r="AI1464" s="210"/>
      <c r="AJ1464" s="210"/>
      <c r="AK1464" s="210"/>
      <c r="AL1464" s="210"/>
      <c r="AM1464" s="214"/>
      <c r="AN1464" s="210"/>
      <c r="AO1464" s="210"/>
      <c r="AP1464" s="210"/>
      <c r="AQ1464" s="210"/>
      <c r="AR1464" s="210"/>
      <c r="AS1464" s="210"/>
      <c r="AT1464" s="210"/>
      <c r="AU1464" s="210"/>
      <c r="AV1464" s="210"/>
      <c r="AW1464" s="210"/>
      <c r="AX1464" s="210"/>
      <c r="AY1464" s="210"/>
      <c r="AZ1464" s="210"/>
      <c r="BA1464" s="210"/>
      <c r="BB1464" s="210"/>
      <c r="BC1464" s="210"/>
      <c r="BD1464" s="210"/>
      <c r="BE1464" s="210"/>
      <c r="BF1464" s="210"/>
      <c r="BG1464" s="210"/>
      <c r="BH1464" s="210"/>
      <c r="BI1464" s="210"/>
      <c r="BJ1464" s="210"/>
      <c r="BK1464" s="210"/>
      <c r="BL1464" s="210"/>
      <c r="BM1464" s="210"/>
      <c r="BN1464" s="210"/>
      <c r="BO1464" s="210"/>
      <c r="BP1464" s="210"/>
      <c r="BQ1464" s="210"/>
      <c r="BR1464" s="210"/>
      <c r="BS1464" s="210"/>
      <c r="BT1464" s="210"/>
      <c r="BU1464" s="210"/>
      <c r="BV1464" s="210"/>
      <c r="BW1464" s="210"/>
      <c r="BX1464" s="210"/>
      <c r="BY1464" s="210"/>
      <c r="BZ1464" s="210"/>
      <c r="CA1464" s="210"/>
      <c r="CB1464" s="210"/>
      <c r="CC1464" s="210"/>
      <c r="CD1464" s="210"/>
      <c r="CE1464" s="210"/>
      <c r="CF1464" s="210"/>
      <c r="CG1464" s="210"/>
      <c r="CH1464" s="210"/>
      <c r="CI1464" s="210"/>
      <c r="CJ1464" s="210"/>
      <c r="CK1464" s="210"/>
    </row>
    <row r="1465">
      <c r="A1465" s="220"/>
      <c r="F1465" s="190"/>
      <c r="G1465" s="190"/>
      <c r="L1465" s="220"/>
      <c r="M1465" s="220"/>
      <c r="O1465" s="210"/>
      <c r="P1465" s="210"/>
      <c r="Q1465" s="210"/>
      <c r="R1465" s="210"/>
      <c r="S1465" s="210"/>
      <c r="T1465" s="210"/>
      <c r="U1465" s="210"/>
      <c r="V1465" s="210"/>
      <c r="W1465" s="210"/>
      <c r="X1465" s="210"/>
      <c r="Y1465" s="210"/>
      <c r="Z1465" s="210"/>
      <c r="AA1465" s="210"/>
      <c r="AB1465" s="210"/>
      <c r="AC1465" s="210"/>
      <c r="AD1465" s="210"/>
      <c r="AE1465" s="210"/>
      <c r="AF1465" s="210"/>
      <c r="AG1465" s="210"/>
      <c r="AH1465" s="210"/>
      <c r="AI1465" s="210"/>
      <c r="AJ1465" s="210"/>
      <c r="AK1465" s="210"/>
      <c r="AL1465" s="210"/>
      <c r="AM1465" s="214"/>
      <c r="AN1465" s="210"/>
      <c r="AO1465" s="210"/>
      <c r="AP1465" s="210"/>
      <c r="AQ1465" s="210"/>
      <c r="AR1465" s="210"/>
      <c r="AS1465" s="210"/>
      <c r="AT1465" s="210"/>
      <c r="AU1465" s="210"/>
      <c r="AV1465" s="210"/>
      <c r="AW1465" s="210"/>
      <c r="AX1465" s="210"/>
      <c r="AY1465" s="210"/>
      <c r="AZ1465" s="210"/>
      <c r="BA1465" s="210"/>
      <c r="BB1465" s="210"/>
      <c r="BC1465" s="210"/>
      <c r="BD1465" s="210"/>
      <c r="BE1465" s="210"/>
      <c r="BF1465" s="210"/>
      <c r="BG1465" s="210"/>
      <c r="BH1465" s="210"/>
      <c r="BI1465" s="210"/>
      <c r="BJ1465" s="210"/>
      <c r="BK1465" s="210"/>
      <c r="BL1465" s="210"/>
      <c r="BM1465" s="210"/>
      <c r="BN1465" s="210"/>
      <c r="BO1465" s="210"/>
      <c r="BP1465" s="210"/>
      <c r="BQ1465" s="210"/>
      <c r="BR1465" s="210"/>
      <c r="BS1465" s="210"/>
      <c r="BT1465" s="210"/>
      <c r="BU1465" s="210"/>
      <c r="BV1465" s="210"/>
      <c r="BW1465" s="210"/>
      <c r="BX1465" s="210"/>
      <c r="BY1465" s="210"/>
      <c r="BZ1465" s="210"/>
      <c r="CA1465" s="210"/>
      <c r="CB1465" s="210"/>
      <c r="CC1465" s="210"/>
      <c r="CD1465" s="210"/>
      <c r="CE1465" s="210"/>
      <c r="CF1465" s="210"/>
      <c r="CG1465" s="210"/>
      <c r="CH1465" s="210"/>
      <c r="CI1465" s="210"/>
      <c r="CJ1465" s="210"/>
      <c r="CK1465" s="210"/>
    </row>
    <row r="1466">
      <c r="A1466" s="220"/>
      <c r="F1466" s="190"/>
      <c r="G1466" s="190"/>
      <c r="L1466" s="220"/>
      <c r="M1466" s="220"/>
      <c r="O1466" s="210"/>
      <c r="P1466" s="210"/>
      <c r="Q1466" s="210"/>
      <c r="R1466" s="210"/>
      <c r="S1466" s="210"/>
      <c r="T1466" s="210"/>
      <c r="U1466" s="210"/>
      <c r="V1466" s="210"/>
      <c r="W1466" s="210"/>
      <c r="X1466" s="210"/>
      <c r="Y1466" s="210"/>
      <c r="Z1466" s="210"/>
      <c r="AA1466" s="210"/>
      <c r="AB1466" s="210"/>
      <c r="AC1466" s="210"/>
      <c r="AD1466" s="210"/>
      <c r="AE1466" s="210"/>
      <c r="AF1466" s="210"/>
      <c r="AG1466" s="210"/>
      <c r="AH1466" s="210"/>
      <c r="AI1466" s="210"/>
      <c r="AJ1466" s="210"/>
      <c r="AK1466" s="210"/>
      <c r="AL1466" s="210"/>
      <c r="AM1466" s="214"/>
      <c r="AN1466" s="210"/>
      <c r="AO1466" s="210"/>
      <c r="AP1466" s="210"/>
      <c r="AQ1466" s="210"/>
      <c r="AR1466" s="210"/>
      <c r="AS1466" s="210"/>
      <c r="AT1466" s="210"/>
      <c r="AU1466" s="210"/>
      <c r="AV1466" s="210"/>
      <c r="AW1466" s="210"/>
      <c r="AX1466" s="210"/>
      <c r="AY1466" s="210"/>
      <c r="AZ1466" s="210"/>
      <c r="BA1466" s="210"/>
      <c r="BB1466" s="210"/>
      <c r="BC1466" s="210"/>
      <c r="BD1466" s="210"/>
      <c r="BE1466" s="210"/>
      <c r="BF1466" s="210"/>
      <c r="BG1466" s="210"/>
      <c r="BH1466" s="210"/>
      <c r="BI1466" s="210"/>
      <c r="BJ1466" s="210"/>
      <c r="BK1466" s="210"/>
      <c r="BL1466" s="210"/>
      <c r="BM1466" s="210"/>
      <c r="BN1466" s="210"/>
      <c r="BO1466" s="210"/>
      <c r="BP1466" s="210"/>
      <c r="BQ1466" s="210"/>
      <c r="BR1466" s="210"/>
      <c r="BS1466" s="210"/>
      <c r="BT1466" s="210"/>
      <c r="BU1466" s="210"/>
      <c r="BV1466" s="210"/>
      <c r="BW1466" s="210"/>
      <c r="BX1466" s="210"/>
      <c r="BY1466" s="210"/>
      <c r="BZ1466" s="210"/>
      <c r="CA1466" s="210"/>
      <c r="CB1466" s="210"/>
      <c r="CC1466" s="210"/>
      <c r="CD1466" s="210"/>
      <c r="CE1466" s="210"/>
      <c r="CF1466" s="210"/>
      <c r="CG1466" s="210"/>
      <c r="CH1466" s="210"/>
      <c r="CI1466" s="210"/>
      <c r="CJ1466" s="210"/>
      <c r="CK1466" s="210"/>
    </row>
    <row r="1467">
      <c r="A1467" s="220"/>
      <c r="F1467" s="190"/>
      <c r="G1467" s="190"/>
      <c r="L1467" s="220"/>
      <c r="M1467" s="220"/>
      <c r="O1467" s="210"/>
      <c r="P1467" s="210"/>
      <c r="Q1467" s="210"/>
      <c r="R1467" s="210"/>
      <c r="S1467" s="210"/>
      <c r="T1467" s="210"/>
      <c r="U1467" s="210"/>
      <c r="V1467" s="210"/>
      <c r="W1467" s="210"/>
      <c r="X1467" s="210"/>
      <c r="Y1467" s="210"/>
      <c r="Z1467" s="210"/>
      <c r="AA1467" s="210"/>
      <c r="AB1467" s="210"/>
      <c r="AC1467" s="210"/>
      <c r="AD1467" s="210"/>
      <c r="AE1467" s="210"/>
      <c r="AF1467" s="210"/>
      <c r="AG1467" s="210"/>
      <c r="AH1467" s="210"/>
      <c r="AI1467" s="210"/>
      <c r="AJ1467" s="210"/>
      <c r="AK1467" s="210"/>
      <c r="AL1467" s="210"/>
      <c r="AM1467" s="214"/>
      <c r="AN1467" s="210"/>
      <c r="AO1467" s="210"/>
      <c r="AP1467" s="210"/>
      <c r="AQ1467" s="210"/>
      <c r="AR1467" s="210"/>
      <c r="AS1467" s="210"/>
      <c r="AT1467" s="210"/>
      <c r="AU1467" s="210"/>
      <c r="AV1467" s="210"/>
      <c r="AW1467" s="210"/>
      <c r="AX1467" s="210"/>
      <c r="AY1467" s="210"/>
      <c r="AZ1467" s="210"/>
      <c r="BA1467" s="210"/>
      <c r="BB1467" s="210"/>
      <c r="BC1467" s="210"/>
      <c r="BD1467" s="210"/>
      <c r="BE1467" s="210"/>
      <c r="BF1467" s="210"/>
      <c r="BG1467" s="210"/>
      <c r="BH1467" s="210"/>
      <c r="BI1467" s="210"/>
      <c r="BJ1467" s="210"/>
      <c r="BK1467" s="210"/>
      <c r="BL1467" s="210"/>
      <c r="BM1467" s="210"/>
      <c r="BN1467" s="210"/>
      <c r="BO1467" s="210"/>
      <c r="BP1467" s="210"/>
      <c r="BQ1467" s="210"/>
      <c r="BR1467" s="210"/>
      <c r="BS1467" s="210"/>
      <c r="BT1467" s="210"/>
      <c r="BU1467" s="210"/>
      <c r="BV1467" s="210"/>
      <c r="BW1467" s="210"/>
      <c r="BX1467" s="210"/>
      <c r="BY1467" s="210"/>
      <c r="BZ1467" s="210"/>
      <c r="CA1467" s="210"/>
      <c r="CB1467" s="210"/>
      <c r="CC1467" s="210"/>
      <c r="CD1467" s="210"/>
      <c r="CE1467" s="210"/>
      <c r="CF1467" s="210"/>
      <c r="CG1467" s="210"/>
      <c r="CH1467" s="210"/>
      <c r="CI1467" s="210"/>
      <c r="CJ1467" s="210"/>
      <c r="CK1467" s="210"/>
    </row>
    <row r="1468">
      <c r="A1468" s="220"/>
      <c r="F1468" s="190"/>
      <c r="G1468" s="190"/>
      <c r="L1468" s="220"/>
      <c r="M1468" s="220"/>
      <c r="O1468" s="210"/>
      <c r="P1468" s="210"/>
      <c r="Q1468" s="210"/>
      <c r="R1468" s="210"/>
      <c r="S1468" s="210"/>
      <c r="T1468" s="210"/>
      <c r="U1468" s="210"/>
      <c r="V1468" s="210"/>
      <c r="W1468" s="210"/>
      <c r="X1468" s="210"/>
      <c r="Y1468" s="210"/>
      <c r="Z1468" s="210"/>
      <c r="AA1468" s="210"/>
      <c r="AB1468" s="210"/>
      <c r="AC1468" s="210"/>
      <c r="AD1468" s="210"/>
      <c r="AE1468" s="210"/>
      <c r="AF1468" s="210"/>
      <c r="AG1468" s="210"/>
      <c r="AH1468" s="210"/>
      <c r="AI1468" s="210"/>
      <c r="AJ1468" s="210"/>
      <c r="AK1468" s="210"/>
      <c r="AL1468" s="210"/>
      <c r="AM1468" s="214"/>
      <c r="AN1468" s="210"/>
      <c r="AO1468" s="210"/>
      <c r="AP1468" s="210"/>
      <c r="AQ1468" s="210"/>
      <c r="AR1468" s="210"/>
      <c r="AS1468" s="210"/>
      <c r="AT1468" s="210"/>
      <c r="AU1468" s="210"/>
      <c r="AV1468" s="210"/>
      <c r="AW1468" s="210"/>
      <c r="AX1468" s="210"/>
      <c r="AY1468" s="210"/>
      <c r="AZ1468" s="210"/>
      <c r="BA1468" s="210"/>
      <c r="BB1468" s="210"/>
      <c r="BC1468" s="210"/>
      <c r="BD1468" s="210"/>
      <c r="BE1468" s="210"/>
      <c r="BF1468" s="210"/>
      <c r="BG1468" s="210"/>
      <c r="BH1468" s="210"/>
      <c r="BI1468" s="210"/>
      <c r="BJ1468" s="210"/>
      <c r="BK1468" s="210"/>
      <c r="BL1468" s="210"/>
      <c r="BM1468" s="210"/>
      <c r="BN1468" s="210"/>
      <c r="BO1468" s="210"/>
      <c r="BP1468" s="210"/>
      <c r="BQ1468" s="210"/>
      <c r="BR1468" s="210"/>
      <c r="BS1468" s="210"/>
      <c r="BT1468" s="210"/>
      <c r="BU1468" s="210"/>
      <c r="BV1468" s="210"/>
      <c r="BW1468" s="210"/>
      <c r="BX1468" s="210"/>
      <c r="BY1468" s="210"/>
      <c r="BZ1468" s="210"/>
      <c r="CA1468" s="210"/>
      <c r="CB1468" s="210"/>
      <c r="CC1468" s="210"/>
      <c r="CD1468" s="210"/>
      <c r="CE1468" s="210"/>
      <c r="CF1468" s="210"/>
      <c r="CG1468" s="210"/>
      <c r="CH1468" s="210"/>
      <c r="CI1468" s="210"/>
      <c r="CJ1468" s="210"/>
      <c r="CK1468" s="210"/>
    </row>
    <row r="1469">
      <c r="A1469" s="220"/>
      <c r="F1469" s="190"/>
      <c r="G1469" s="190"/>
      <c r="L1469" s="220"/>
      <c r="M1469" s="220"/>
      <c r="O1469" s="210"/>
      <c r="P1469" s="210"/>
      <c r="Q1469" s="210"/>
      <c r="R1469" s="210"/>
      <c r="S1469" s="210"/>
      <c r="T1469" s="210"/>
      <c r="U1469" s="210"/>
      <c r="V1469" s="210"/>
      <c r="W1469" s="210"/>
      <c r="X1469" s="210"/>
      <c r="Y1469" s="210"/>
      <c r="Z1469" s="210"/>
      <c r="AA1469" s="210"/>
      <c r="AB1469" s="210"/>
      <c r="AC1469" s="210"/>
      <c r="AD1469" s="210"/>
      <c r="AE1469" s="210"/>
      <c r="AF1469" s="210"/>
      <c r="AG1469" s="210"/>
      <c r="AH1469" s="210"/>
      <c r="AI1469" s="210"/>
      <c r="AJ1469" s="210"/>
      <c r="AK1469" s="210"/>
      <c r="AL1469" s="210"/>
      <c r="AM1469" s="214"/>
      <c r="AN1469" s="210"/>
      <c r="AO1469" s="210"/>
      <c r="AP1469" s="210"/>
      <c r="AQ1469" s="210"/>
      <c r="AR1469" s="210"/>
      <c r="AS1469" s="210"/>
      <c r="AT1469" s="210"/>
      <c r="AU1469" s="210"/>
      <c r="AV1469" s="210"/>
      <c r="AW1469" s="210"/>
      <c r="AX1469" s="210"/>
      <c r="AY1469" s="210"/>
      <c r="AZ1469" s="210"/>
      <c r="BA1469" s="210"/>
      <c r="BB1469" s="210"/>
      <c r="BC1469" s="210"/>
      <c r="BD1469" s="210"/>
      <c r="BE1469" s="210"/>
      <c r="BF1469" s="210"/>
      <c r="BG1469" s="210"/>
      <c r="BH1469" s="210"/>
      <c r="BI1469" s="210"/>
      <c r="BJ1469" s="210"/>
      <c r="BK1469" s="210"/>
      <c r="BL1469" s="210"/>
      <c r="BM1469" s="210"/>
      <c r="BN1469" s="210"/>
      <c r="BO1469" s="210"/>
      <c r="BP1469" s="210"/>
      <c r="BQ1469" s="210"/>
      <c r="BR1469" s="210"/>
      <c r="BS1469" s="210"/>
      <c r="BT1469" s="210"/>
      <c r="BU1469" s="210"/>
      <c r="BV1469" s="210"/>
      <c r="BW1469" s="210"/>
      <c r="BX1469" s="210"/>
      <c r="BY1469" s="210"/>
      <c r="BZ1469" s="210"/>
      <c r="CA1469" s="210"/>
      <c r="CB1469" s="210"/>
      <c r="CC1469" s="210"/>
      <c r="CD1469" s="210"/>
      <c r="CE1469" s="210"/>
      <c r="CF1469" s="210"/>
      <c r="CG1469" s="210"/>
      <c r="CH1469" s="210"/>
      <c r="CI1469" s="210"/>
      <c r="CJ1469" s="210"/>
      <c r="CK1469" s="210"/>
    </row>
    <row r="1470">
      <c r="A1470" s="220"/>
      <c r="F1470" s="190"/>
      <c r="G1470" s="190"/>
      <c r="L1470" s="220"/>
      <c r="M1470" s="220"/>
      <c r="O1470" s="210"/>
      <c r="P1470" s="210"/>
      <c r="Q1470" s="210"/>
      <c r="R1470" s="210"/>
      <c r="S1470" s="210"/>
      <c r="T1470" s="210"/>
      <c r="U1470" s="210"/>
      <c r="V1470" s="210"/>
      <c r="W1470" s="210"/>
      <c r="X1470" s="210"/>
      <c r="Y1470" s="210"/>
      <c r="Z1470" s="210"/>
      <c r="AA1470" s="210"/>
      <c r="AB1470" s="210"/>
      <c r="AC1470" s="210"/>
      <c r="AD1470" s="210"/>
      <c r="AE1470" s="210"/>
      <c r="AF1470" s="210"/>
      <c r="AG1470" s="210"/>
      <c r="AH1470" s="210"/>
      <c r="AI1470" s="210"/>
      <c r="AJ1470" s="210"/>
      <c r="AK1470" s="210"/>
      <c r="AL1470" s="210"/>
      <c r="AM1470" s="214"/>
      <c r="AN1470" s="210"/>
      <c r="AO1470" s="210"/>
      <c r="AP1470" s="210"/>
      <c r="AQ1470" s="210"/>
      <c r="AR1470" s="210"/>
      <c r="AS1470" s="210"/>
      <c r="AT1470" s="210"/>
      <c r="AU1470" s="210"/>
      <c r="AV1470" s="210"/>
      <c r="AW1470" s="210"/>
      <c r="AX1470" s="210"/>
      <c r="AY1470" s="210"/>
      <c r="AZ1470" s="210"/>
      <c r="BA1470" s="210"/>
      <c r="BB1470" s="210"/>
      <c r="BC1470" s="210"/>
      <c r="BD1470" s="210"/>
      <c r="BE1470" s="210"/>
      <c r="BF1470" s="210"/>
      <c r="BG1470" s="210"/>
      <c r="BH1470" s="210"/>
      <c r="BI1470" s="210"/>
      <c r="BJ1470" s="210"/>
      <c r="BK1470" s="210"/>
      <c r="BL1470" s="210"/>
      <c r="BM1470" s="210"/>
      <c r="BN1470" s="210"/>
      <c r="BO1470" s="210"/>
      <c r="BP1470" s="210"/>
      <c r="BQ1470" s="210"/>
      <c r="BR1470" s="210"/>
      <c r="BS1470" s="210"/>
      <c r="BT1470" s="210"/>
      <c r="BU1470" s="210"/>
      <c r="BV1470" s="210"/>
      <c r="BW1470" s="210"/>
      <c r="BX1470" s="210"/>
      <c r="BY1470" s="210"/>
      <c r="BZ1470" s="210"/>
      <c r="CA1470" s="210"/>
      <c r="CB1470" s="210"/>
      <c r="CC1470" s="210"/>
      <c r="CD1470" s="210"/>
      <c r="CE1470" s="210"/>
      <c r="CF1470" s="210"/>
      <c r="CG1470" s="210"/>
      <c r="CH1470" s="210"/>
      <c r="CI1470" s="210"/>
      <c r="CJ1470" s="210"/>
      <c r="CK1470" s="210"/>
    </row>
    <row r="1471">
      <c r="A1471" s="220"/>
      <c r="F1471" s="190"/>
      <c r="G1471" s="190"/>
      <c r="L1471" s="220"/>
      <c r="M1471" s="220"/>
      <c r="O1471" s="210"/>
      <c r="P1471" s="210"/>
      <c r="Q1471" s="210"/>
      <c r="R1471" s="210"/>
      <c r="S1471" s="210"/>
      <c r="T1471" s="210"/>
      <c r="U1471" s="210"/>
      <c r="V1471" s="210"/>
      <c r="W1471" s="210"/>
      <c r="X1471" s="210"/>
      <c r="Y1471" s="210"/>
      <c r="Z1471" s="210"/>
      <c r="AA1471" s="210"/>
      <c r="AB1471" s="210"/>
      <c r="AC1471" s="210"/>
      <c r="AD1471" s="210"/>
      <c r="AE1471" s="210"/>
      <c r="AF1471" s="210"/>
      <c r="AG1471" s="210"/>
      <c r="AH1471" s="210"/>
      <c r="AI1471" s="210"/>
      <c r="AJ1471" s="210"/>
      <c r="AK1471" s="210"/>
      <c r="AL1471" s="210"/>
      <c r="AM1471" s="214"/>
      <c r="AN1471" s="210"/>
      <c r="AO1471" s="210"/>
      <c r="AP1471" s="210"/>
      <c r="AQ1471" s="210"/>
      <c r="AR1471" s="210"/>
      <c r="AS1471" s="210"/>
      <c r="AT1471" s="210"/>
      <c r="AU1471" s="210"/>
      <c r="AV1471" s="210"/>
      <c r="AW1471" s="210"/>
      <c r="AX1471" s="210"/>
      <c r="AY1471" s="210"/>
      <c r="AZ1471" s="210"/>
      <c r="BA1471" s="210"/>
      <c r="BB1471" s="210"/>
      <c r="BC1471" s="210"/>
      <c r="BD1471" s="210"/>
      <c r="BE1471" s="210"/>
      <c r="BF1471" s="210"/>
      <c r="BG1471" s="210"/>
      <c r="BH1471" s="210"/>
      <c r="BI1471" s="210"/>
      <c r="BJ1471" s="210"/>
      <c r="BK1471" s="210"/>
      <c r="BL1471" s="210"/>
      <c r="BM1471" s="210"/>
      <c r="BN1471" s="210"/>
      <c r="BO1471" s="210"/>
      <c r="BP1471" s="210"/>
      <c r="BQ1471" s="210"/>
      <c r="BR1471" s="210"/>
      <c r="BS1471" s="210"/>
      <c r="BT1471" s="210"/>
      <c r="BU1471" s="210"/>
      <c r="BV1471" s="210"/>
      <c r="BW1471" s="210"/>
      <c r="BX1471" s="210"/>
      <c r="BY1471" s="210"/>
      <c r="BZ1471" s="210"/>
      <c r="CA1471" s="210"/>
      <c r="CB1471" s="210"/>
      <c r="CC1471" s="210"/>
      <c r="CD1471" s="210"/>
      <c r="CE1471" s="210"/>
      <c r="CF1471" s="210"/>
      <c r="CG1471" s="210"/>
      <c r="CH1471" s="210"/>
      <c r="CI1471" s="210"/>
      <c r="CJ1471" s="210"/>
      <c r="CK1471" s="210"/>
    </row>
    <row r="1472">
      <c r="A1472" s="220"/>
      <c r="F1472" s="190"/>
      <c r="G1472" s="190"/>
      <c r="L1472" s="220"/>
      <c r="M1472" s="220"/>
      <c r="O1472" s="210"/>
      <c r="P1472" s="210"/>
      <c r="Q1472" s="210"/>
      <c r="R1472" s="210"/>
      <c r="S1472" s="210"/>
      <c r="T1472" s="210"/>
      <c r="U1472" s="210"/>
      <c r="V1472" s="210"/>
      <c r="W1472" s="210"/>
      <c r="X1472" s="210"/>
      <c r="Y1472" s="210"/>
      <c r="Z1472" s="210"/>
      <c r="AA1472" s="210"/>
      <c r="AB1472" s="210"/>
      <c r="AC1472" s="210"/>
      <c r="AD1472" s="210"/>
      <c r="AE1472" s="210"/>
      <c r="AF1472" s="210"/>
      <c r="AG1472" s="210"/>
      <c r="AH1472" s="210"/>
      <c r="AI1472" s="210"/>
      <c r="AJ1472" s="210"/>
      <c r="AK1472" s="210"/>
      <c r="AL1472" s="210"/>
      <c r="AM1472" s="214"/>
      <c r="AN1472" s="210"/>
      <c r="AO1472" s="210"/>
      <c r="AP1472" s="210"/>
      <c r="AQ1472" s="210"/>
      <c r="AR1472" s="210"/>
      <c r="AS1472" s="210"/>
      <c r="AT1472" s="210"/>
      <c r="AU1472" s="210"/>
      <c r="AV1472" s="210"/>
      <c r="AW1472" s="210"/>
      <c r="AX1472" s="210"/>
      <c r="AY1472" s="210"/>
      <c r="AZ1472" s="210"/>
      <c r="BA1472" s="210"/>
      <c r="BB1472" s="210"/>
      <c r="BC1472" s="210"/>
      <c r="BD1472" s="210"/>
      <c r="BE1472" s="210"/>
      <c r="BF1472" s="210"/>
      <c r="BG1472" s="210"/>
      <c r="BH1472" s="210"/>
      <c r="BI1472" s="210"/>
      <c r="BJ1472" s="210"/>
      <c r="BK1472" s="210"/>
      <c r="BL1472" s="210"/>
      <c r="BM1472" s="210"/>
      <c r="BN1472" s="210"/>
      <c r="BO1472" s="210"/>
      <c r="BP1472" s="210"/>
      <c r="BQ1472" s="210"/>
      <c r="BR1472" s="210"/>
      <c r="BS1472" s="210"/>
      <c r="BT1472" s="210"/>
      <c r="BU1472" s="210"/>
      <c r="BV1472" s="210"/>
      <c r="BW1472" s="210"/>
      <c r="BX1472" s="210"/>
      <c r="BY1472" s="210"/>
      <c r="BZ1472" s="210"/>
      <c r="CA1472" s="210"/>
      <c r="CB1472" s="210"/>
      <c r="CC1472" s="210"/>
      <c r="CD1472" s="210"/>
      <c r="CE1472" s="210"/>
      <c r="CF1472" s="210"/>
      <c r="CG1472" s="210"/>
      <c r="CH1472" s="210"/>
      <c r="CI1472" s="210"/>
      <c r="CJ1472" s="210"/>
      <c r="CK1472" s="210"/>
    </row>
    <row r="1473">
      <c r="A1473" s="220"/>
      <c r="F1473" s="190"/>
      <c r="G1473" s="190"/>
      <c r="L1473" s="220"/>
      <c r="M1473" s="220"/>
      <c r="O1473" s="210"/>
      <c r="P1473" s="210"/>
      <c r="Q1473" s="210"/>
      <c r="R1473" s="210"/>
      <c r="S1473" s="210"/>
      <c r="T1473" s="210"/>
      <c r="U1473" s="210"/>
      <c r="V1473" s="210"/>
      <c r="W1473" s="210"/>
      <c r="X1473" s="210"/>
      <c r="Y1473" s="210"/>
      <c r="Z1473" s="210"/>
      <c r="AA1473" s="210"/>
      <c r="AB1473" s="210"/>
      <c r="AC1473" s="210"/>
      <c r="AD1473" s="210"/>
      <c r="AE1473" s="210"/>
      <c r="AF1473" s="210"/>
      <c r="AG1473" s="210"/>
      <c r="AH1473" s="210"/>
      <c r="AI1473" s="210"/>
      <c r="AJ1473" s="210"/>
      <c r="AK1473" s="210"/>
      <c r="AL1473" s="210"/>
      <c r="AM1473" s="214"/>
      <c r="AN1473" s="210"/>
      <c r="AO1473" s="210"/>
      <c r="AP1473" s="210"/>
      <c r="AQ1473" s="210"/>
      <c r="AR1473" s="210"/>
      <c r="AS1473" s="210"/>
      <c r="AT1473" s="210"/>
      <c r="AU1473" s="210"/>
      <c r="AV1473" s="210"/>
      <c r="AW1473" s="210"/>
      <c r="AX1473" s="210"/>
      <c r="AY1473" s="210"/>
      <c r="AZ1473" s="210"/>
      <c r="BA1473" s="210"/>
      <c r="BB1473" s="210"/>
      <c r="BC1473" s="210"/>
      <c r="BD1473" s="210"/>
      <c r="BE1473" s="210"/>
      <c r="BF1473" s="210"/>
      <c r="BG1473" s="210"/>
      <c r="BH1473" s="210"/>
      <c r="BI1473" s="210"/>
      <c r="BJ1473" s="210"/>
      <c r="BK1473" s="210"/>
      <c r="BL1473" s="210"/>
      <c r="BM1473" s="210"/>
      <c r="BN1473" s="210"/>
      <c r="BO1473" s="210"/>
      <c r="BP1473" s="210"/>
      <c r="BQ1473" s="210"/>
      <c r="BR1473" s="210"/>
      <c r="BS1473" s="210"/>
      <c r="BT1473" s="210"/>
      <c r="BU1473" s="210"/>
      <c r="BV1473" s="210"/>
      <c r="BW1473" s="210"/>
      <c r="BX1473" s="210"/>
      <c r="BY1473" s="210"/>
      <c r="BZ1473" s="210"/>
      <c r="CA1473" s="210"/>
      <c r="CB1473" s="210"/>
      <c r="CC1473" s="210"/>
      <c r="CD1473" s="210"/>
      <c r="CE1473" s="210"/>
      <c r="CF1473" s="210"/>
      <c r="CG1473" s="210"/>
      <c r="CH1473" s="210"/>
      <c r="CI1473" s="210"/>
      <c r="CJ1473" s="210"/>
      <c r="CK1473" s="210"/>
    </row>
    <row r="1474">
      <c r="A1474" s="220"/>
      <c r="F1474" s="190"/>
      <c r="G1474" s="190"/>
      <c r="L1474" s="220"/>
      <c r="M1474" s="220"/>
      <c r="O1474" s="210"/>
      <c r="P1474" s="210"/>
      <c r="Q1474" s="210"/>
      <c r="R1474" s="210"/>
      <c r="S1474" s="210"/>
      <c r="T1474" s="210"/>
      <c r="U1474" s="210"/>
      <c r="V1474" s="210"/>
      <c r="W1474" s="210"/>
      <c r="X1474" s="210"/>
      <c r="Y1474" s="210"/>
      <c r="Z1474" s="210"/>
      <c r="AA1474" s="210"/>
      <c r="AB1474" s="210"/>
      <c r="AC1474" s="210"/>
      <c r="AD1474" s="210"/>
      <c r="AE1474" s="210"/>
      <c r="AF1474" s="210"/>
      <c r="AG1474" s="210"/>
      <c r="AH1474" s="210"/>
      <c r="AI1474" s="210"/>
      <c r="AJ1474" s="210"/>
      <c r="AK1474" s="210"/>
      <c r="AL1474" s="210"/>
      <c r="AM1474" s="214"/>
      <c r="AN1474" s="210"/>
      <c r="AO1474" s="210"/>
      <c r="AP1474" s="210"/>
      <c r="AQ1474" s="210"/>
      <c r="AR1474" s="210"/>
      <c r="AS1474" s="210"/>
      <c r="AT1474" s="210"/>
      <c r="AU1474" s="210"/>
      <c r="AV1474" s="210"/>
      <c r="AW1474" s="210"/>
      <c r="AX1474" s="210"/>
      <c r="AY1474" s="210"/>
      <c r="AZ1474" s="210"/>
      <c r="BA1474" s="210"/>
      <c r="BB1474" s="210"/>
      <c r="BC1474" s="210"/>
      <c r="BD1474" s="210"/>
      <c r="BE1474" s="210"/>
      <c r="BF1474" s="210"/>
      <c r="BG1474" s="210"/>
      <c r="BH1474" s="210"/>
      <c r="BI1474" s="210"/>
      <c r="BJ1474" s="210"/>
      <c r="BK1474" s="210"/>
      <c r="BL1474" s="210"/>
      <c r="BM1474" s="210"/>
      <c r="BN1474" s="210"/>
      <c r="BO1474" s="210"/>
      <c r="BP1474" s="210"/>
      <c r="BQ1474" s="210"/>
      <c r="BR1474" s="210"/>
      <c r="BS1474" s="210"/>
      <c r="BT1474" s="210"/>
      <c r="BU1474" s="210"/>
      <c r="BV1474" s="210"/>
      <c r="BW1474" s="210"/>
      <c r="BX1474" s="210"/>
      <c r="BY1474" s="210"/>
      <c r="BZ1474" s="210"/>
      <c r="CA1474" s="210"/>
      <c r="CB1474" s="210"/>
      <c r="CC1474" s="210"/>
      <c r="CD1474" s="210"/>
      <c r="CE1474" s="210"/>
      <c r="CF1474" s="210"/>
      <c r="CG1474" s="210"/>
      <c r="CH1474" s="210"/>
      <c r="CI1474" s="210"/>
      <c r="CJ1474" s="210"/>
      <c r="CK1474" s="210"/>
    </row>
    <row r="1475">
      <c r="A1475" s="220"/>
      <c r="F1475" s="190"/>
      <c r="G1475" s="190"/>
      <c r="L1475" s="220"/>
      <c r="M1475" s="220"/>
      <c r="O1475" s="210"/>
      <c r="P1475" s="210"/>
      <c r="Q1475" s="210"/>
      <c r="R1475" s="210"/>
      <c r="S1475" s="210"/>
      <c r="T1475" s="210"/>
      <c r="U1475" s="210"/>
      <c r="V1475" s="210"/>
      <c r="W1475" s="210"/>
      <c r="X1475" s="210"/>
      <c r="Y1475" s="210"/>
      <c r="Z1475" s="210"/>
      <c r="AA1475" s="210"/>
      <c r="AB1475" s="210"/>
      <c r="AC1475" s="210"/>
      <c r="AD1475" s="210"/>
      <c r="AE1475" s="210"/>
      <c r="AF1475" s="210"/>
      <c r="AG1475" s="210"/>
      <c r="AH1475" s="210"/>
      <c r="AI1475" s="210"/>
      <c r="AJ1475" s="210"/>
      <c r="AK1475" s="210"/>
      <c r="AL1475" s="210"/>
      <c r="AM1475" s="214"/>
      <c r="AN1475" s="210"/>
      <c r="AO1475" s="210"/>
      <c r="AP1475" s="210"/>
      <c r="AQ1475" s="210"/>
      <c r="AR1475" s="210"/>
      <c r="AS1475" s="210"/>
      <c r="AT1475" s="210"/>
      <c r="AU1475" s="210"/>
      <c r="AV1475" s="210"/>
      <c r="AW1475" s="210"/>
      <c r="AX1475" s="210"/>
      <c r="AY1475" s="210"/>
      <c r="AZ1475" s="210"/>
      <c r="BA1475" s="210"/>
      <c r="BB1475" s="210"/>
      <c r="BC1475" s="210"/>
      <c r="BD1475" s="210"/>
      <c r="BE1475" s="210"/>
      <c r="BF1475" s="210"/>
      <c r="BG1475" s="210"/>
      <c r="BH1475" s="210"/>
      <c r="BI1475" s="210"/>
      <c r="BJ1475" s="210"/>
      <c r="BK1475" s="210"/>
      <c r="BL1475" s="210"/>
      <c r="BM1475" s="210"/>
      <c r="BN1475" s="210"/>
      <c r="BO1475" s="210"/>
      <c r="BP1475" s="210"/>
      <c r="BQ1475" s="210"/>
      <c r="BR1475" s="210"/>
      <c r="BS1475" s="210"/>
      <c r="BT1475" s="210"/>
      <c r="BU1475" s="210"/>
      <c r="BV1475" s="210"/>
      <c r="BW1475" s="210"/>
      <c r="BX1475" s="210"/>
      <c r="BY1475" s="210"/>
      <c r="BZ1475" s="210"/>
      <c r="CA1475" s="210"/>
      <c r="CB1475" s="210"/>
      <c r="CC1475" s="210"/>
      <c r="CD1475" s="210"/>
      <c r="CE1475" s="210"/>
      <c r="CF1475" s="210"/>
      <c r="CG1475" s="210"/>
      <c r="CH1475" s="210"/>
      <c r="CI1475" s="210"/>
      <c r="CJ1475" s="210"/>
      <c r="CK1475" s="210"/>
    </row>
    <row r="1476">
      <c r="A1476" s="220"/>
      <c r="F1476" s="190"/>
      <c r="G1476" s="190"/>
      <c r="L1476" s="220"/>
      <c r="M1476" s="220"/>
      <c r="O1476" s="210"/>
      <c r="P1476" s="210"/>
      <c r="Q1476" s="210"/>
      <c r="R1476" s="210"/>
      <c r="S1476" s="210"/>
      <c r="T1476" s="210"/>
      <c r="U1476" s="210"/>
      <c r="V1476" s="210"/>
      <c r="W1476" s="210"/>
      <c r="X1476" s="210"/>
      <c r="Y1476" s="210"/>
      <c r="Z1476" s="210"/>
      <c r="AA1476" s="210"/>
      <c r="AB1476" s="210"/>
      <c r="AC1476" s="210"/>
      <c r="AD1476" s="210"/>
      <c r="AE1476" s="210"/>
      <c r="AF1476" s="210"/>
      <c r="AG1476" s="210"/>
      <c r="AH1476" s="210"/>
      <c r="AI1476" s="210"/>
      <c r="AJ1476" s="210"/>
      <c r="AK1476" s="210"/>
      <c r="AL1476" s="210"/>
      <c r="AM1476" s="214"/>
      <c r="AN1476" s="210"/>
      <c r="AO1476" s="210"/>
      <c r="AP1476" s="210"/>
      <c r="AQ1476" s="210"/>
      <c r="AR1476" s="210"/>
      <c r="AS1476" s="210"/>
      <c r="AT1476" s="210"/>
      <c r="AU1476" s="210"/>
      <c r="AV1476" s="210"/>
      <c r="AW1476" s="210"/>
      <c r="AX1476" s="210"/>
      <c r="AY1476" s="210"/>
      <c r="AZ1476" s="210"/>
      <c r="BA1476" s="210"/>
      <c r="BB1476" s="210"/>
      <c r="BC1476" s="210"/>
      <c r="BD1476" s="210"/>
      <c r="BE1476" s="210"/>
      <c r="BF1476" s="210"/>
      <c r="BG1476" s="210"/>
      <c r="BH1476" s="210"/>
      <c r="BI1476" s="210"/>
      <c r="BJ1476" s="210"/>
      <c r="BK1476" s="210"/>
      <c r="BL1476" s="210"/>
      <c r="BM1476" s="210"/>
      <c r="BN1476" s="210"/>
      <c r="BO1476" s="210"/>
      <c r="BP1476" s="210"/>
      <c r="BQ1476" s="210"/>
      <c r="BR1476" s="210"/>
      <c r="BS1476" s="210"/>
      <c r="BT1476" s="210"/>
      <c r="BU1476" s="210"/>
      <c r="BV1476" s="210"/>
      <c r="BW1476" s="210"/>
      <c r="BX1476" s="210"/>
      <c r="BY1476" s="210"/>
      <c r="BZ1476" s="210"/>
      <c r="CA1476" s="210"/>
      <c r="CB1476" s="210"/>
      <c r="CC1476" s="210"/>
      <c r="CD1476" s="210"/>
      <c r="CE1476" s="210"/>
      <c r="CF1476" s="210"/>
      <c r="CG1476" s="210"/>
      <c r="CH1476" s="210"/>
      <c r="CI1476" s="210"/>
      <c r="CJ1476" s="210"/>
      <c r="CK1476" s="210"/>
    </row>
    <row r="1477">
      <c r="A1477" s="220"/>
      <c r="F1477" s="190"/>
      <c r="G1477" s="190"/>
      <c r="L1477" s="220"/>
      <c r="M1477" s="220"/>
      <c r="O1477" s="210"/>
      <c r="P1477" s="210"/>
      <c r="Q1477" s="210"/>
      <c r="R1477" s="210"/>
      <c r="S1477" s="210"/>
      <c r="T1477" s="210"/>
      <c r="U1477" s="210"/>
      <c r="V1477" s="210"/>
      <c r="W1477" s="210"/>
      <c r="X1477" s="210"/>
      <c r="Y1477" s="210"/>
      <c r="Z1477" s="210"/>
      <c r="AA1477" s="210"/>
      <c r="AB1477" s="210"/>
      <c r="AC1477" s="210"/>
      <c r="AD1477" s="210"/>
      <c r="AE1477" s="210"/>
      <c r="AF1477" s="210"/>
      <c r="AG1477" s="210"/>
      <c r="AH1477" s="210"/>
      <c r="AI1477" s="210"/>
      <c r="AJ1477" s="210"/>
      <c r="AK1477" s="210"/>
      <c r="AL1477" s="210"/>
      <c r="AM1477" s="214"/>
      <c r="AN1477" s="210"/>
      <c r="AO1477" s="210"/>
      <c r="AP1477" s="210"/>
      <c r="AQ1477" s="210"/>
      <c r="AR1477" s="210"/>
      <c r="AS1477" s="210"/>
      <c r="AT1477" s="210"/>
      <c r="AU1477" s="210"/>
      <c r="AV1477" s="210"/>
      <c r="AW1477" s="210"/>
      <c r="AX1477" s="210"/>
      <c r="AY1477" s="210"/>
      <c r="AZ1477" s="210"/>
      <c r="BA1477" s="210"/>
      <c r="BB1477" s="210"/>
      <c r="BC1477" s="210"/>
      <c r="BD1477" s="210"/>
      <c r="BE1477" s="210"/>
      <c r="BF1477" s="210"/>
      <c r="BG1477" s="210"/>
      <c r="BH1477" s="210"/>
      <c r="BI1477" s="210"/>
      <c r="BJ1477" s="210"/>
      <c r="BK1477" s="210"/>
      <c r="BL1477" s="210"/>
      <c r="BM1477" s="210"/>
      <c r="BN1477" s="210"/>
      <c r="BO1477" s="210"/>
      <c r="BP1477" s="210"/>
      <c r="BQ1477" s="210"/>
      <c r="BR1477" s="210"/>
      <c r="BS1477" s="210"/>
      <c r="BT1477" s="210"/>
      <c r="BU1477" s="210"/>
      <c r="BV1477" s="210"/>
      <c r="BW1477" s="210"/>
      <c r="BX1477" s="210"/>
      <c r="BY1477" s="210"/>
      <c r="BZ1477" s="210"/>
      <c r="CA1477" s="210"/>
      <c r="CB1477" s="210"/>
      <c r="CC1477" s="210"/>
      <c r="CD1477" s="210"/>
      <c r="CE1477" s="210"/>
      <c r="CF1477" s="210"/>
      <c r="CG1477" s="210"/>
      <c r="CH1477" s="210"/>
      <c r="CI1477" s="210"/>
      <c r="CJ1477" s="210"/>
      <c r="CK1477" s="210"/>
    </row>
    <row r="1478">
      <c r="A1478" s="220"/>
      <c r="F1478" s="190"/>
      <c r="G1478" s="190"/>
      <c r="L1478" s="220"/>
      <c r="M1478" s="220"/>
      <c r="O1478" s="210"/>
      <c r="P1478" s="210"/>
      <c r="Q1478" s="210"/>
      <c r="R1478" s="210"/>
      <c r="S1478" s="210"/>
      <c r="T1478" s="210"/>
      <c r="U1478" s="210"/>
      <c r="V1478" s="210"/>
      <c r="W1478" s="210"/>
      <c r="X1478" s="210"/>
      <c r="Y1478" s="210"/>
      <c r="Z1478" s="210"/>
      <c r="AA1478" s="210"/>
      <c r="AB1478" s="210"/>
      <c r="AC1478" s="210"/>
      <c r="AD1478" s="210"/>
      <c r="AE1478" s="210"/>
      <c r="AF1478" s="210"/>
      <c r="AG1478" s="210"/>
      <c r="AH1478" s="210"/>
      <c r="AI1478" s="210"/>
      <c r="AJ1478" s="210"/>
      <c r="AK1478" s="210"/>
      <c r="AL1478" s="210"/>
      <c r="AM1478" s="214"/>
      <c r="AN1478" s="210"/>
      <c r="AO1478" s="210"/>
      <c r="AP1478" s="210"/>
      <c r="AQ1478" s="210"/>
      <c r="AR1478" s="210"/>
      <c r="AS1478" s="210"/>
      <c r="AT1478" s="210"/>
      <c r="AU1478" s="210"/>
      <c r="AV1478" s="210"/>
      <c r="AW1478" s="210"/>
      <c r="AX1478" s="210"/>
      <c r="AY1478" s="210"/>
      <c r="AZ1478" s="210"/>
      <c r="BA1478" s="210"/>
      <c r="BB1478" s="210"/>
      <c r="BC1478" s="210"/>
      <c r="BD1478" s="210"/>
      <c r="BE1478" s="210"/>
      <c r="BF1478" s="210"/>
      <c r="BG1478" s="210"/>
      <c r="BH1478" s="210"/>
      <c r="BI1478" s="210"/>
      <c r="BJ1478" s="210"/>
      <c r="BK1478" s="210"/>
      <c r="BL1478" s="210"/>
      <c r="BM1478" s="210"/>
      <c r="BN1478" s="210"/>
      <c r="BO1478" s="210"/>
      <c r="BP1478" s="210"/>
      <c r="BQ1478" s="210"/>
      <c r="BR1478" s="210"/>
      <c r="BS1478" s="210"/>
      <c r="BT1478" s="210"/>
      <c r="BU1478" s="210"/>
      <c r="BV1478" s="210"/>
      <c r="BW1478" s="210"/>
      <c r="BX1478" s="210"/>
      <c r="BY1478" s="210"/>
      <c r="BZ1478" s="210"/>
      <c r="CA1478" s="210"/>
      <c r="CB1478" s="210"/>
      <c r="CC1478" s="210"/>
      <c r="CD1478" s="210"/>
      <c r="CE1478" s="210"/>
      <c r="CF1478" s="210"/>
      <c r="CG1478" s="210"/>
      <c r="CH1478" s="210"/>
      <c r="CI1478" s="210"/>
      <c r="CJ1478" s="210"/>
      <c r="CK1478" s="210"/>
    </row>
    <row r="1479">
      <c r="A1479" s="220"/>
      <c r="F1479" s="190"/>
      <c r="G1479" s="190"/>
      <c r="L1479" s="220"/>
      <c r="M1479" s="220"/>
      <c r="O1479" s="210"/>
      <c r="P1479" s="210"/>
      <c r="Q1479" s="210"/>
      <c r="R1479" s="210"/>
      <c r="S1479" s="210"/>
      <c r="T1479" s="210"/>
      <c r="U1479" s="210"/>
      <c r="V1479" s="210"/>
      <c r="W1479" s="210"/>
      <c r="X1479" s="210"/>
      <c r="Y1479" s="210"/>
      <c r="Z1479" s="210"/>
      <c r="AA1479" s="210"/>
      <c r="AB1479" s="210"/>
      <c r="AC1479" s="210"/>
      <c r="AD1479" s="210"/>
      <c r="AE1479" s="210"/>
      <c r="AF1479" s="210"/>
      <c r="AG1479" s="210"/>
      <c r="AH1479" s="210"/>
      <c r="AI1479" s="210"/>
      <c r="AJ1479" s="210"/>
      <c r="AK1479" s="210"/>
      <c r="AL1479" s="210"/>
      <c r="AM1479" s="214"/>
      <c r="AN1479" s="210"/>
      <c r="AO1479" s="210"/>
      <c r="AP1479" s="210"/>
      <c r="AQ1479" s="210"/>
      <c r="AR1479" s="210"/>
      <c r="AS1479" s="210"/>
      <c r="AT1479" s="210"/>
      <c r="AU1479" s="210"/>
      <c r="AV1479" s="210"/>
      <c r="AW1479" s="210"/>
      <c r="AX1479" s="210"/>
      <c r="AY1479" s="210"/>
      <c r="AZ1479" s="210"/>
      <c r="BA1479" s="210"/>
      <c r="BB1479" s="210"/>
      <c r="BC1479" s="210"/>
      <c r="BD1479" s="210"/>
      <c r="BE1479" s="210"/>
      <c r="BF1479" s="210"/>
      <c r="BG1479" s="210"/>
      <c r="BH1479" s="210"/>
      <c r="BI1479" s="210"/>
      <c r="BJ1479" s="210"/>
      <c r="BK1479" s="210"/>
      <c r="BL1479" s="210"/>
      <c r="BM1479" s="210"/>
      <c r="BN1479" s="210"/>
      <c r="BO1479" s="210"/>
      <c r="BP1479" s="210"/>
      <c r="BQ1479" s="210"/>
      <c r="BR1479" s="210"/>
      <c r="BS1479" s="210"/>
      <c r="BT1479" s="210"/>
      <c r="BU1479" s="210"/>
      <c r="BV1479" s="210"/>
      <c r="BW1479" s="210"/>
      <c r="BX1479" s="210"/>
      <c r="BY1479" s="210"/>
      <c r="BZ1479" s="210"/>
      <c r="CA1479" s="210"/>
      <c r="CB1479" s="210"/>
      <c r="CC1479" s="210"/>
      <c r="CD1479" s="210"/>
      <c r="CE1479" s="210"/>
      <c r="CF1479" s="210"/>
      <c r="CG1479" s="210"/>
      <c r="CH1479" s="210"/>
      <c r="CI1479" s="210"/>
      <c r="CJ1479" s="210"/>
      <c r="CK1479" s="210"/>
    </row>
    <row r="1480">
      <c r="A1480" s="220"/>
      <c r="F1480" s="190"/>
      <c r="G1480" s="190"/>
      <c r="L1480" s="220"/>
      <c r="M1480" s="220"/>
      <c r="O1480" s="210"/>
      <c r="P1480" s="210"/>
      <c r="Q1480" s="210"/>
      <c r="R1480" s="210"/>
      <c r="S1480" s="210"/>
      <c r="T1480" s="210"/>
      <c r="U1480" s="210"/>
      <c r="V1480" s="210"/>
      <c r="W1480" s="210"/>
      <c r="X1480" s="210"/>
      <c r="Y1480" s="210"/>
      <c r="Z1480" s="210"/>
      <c r="AA1480" s="210"/>
      <c r="AB1480" s="210"/>
      <c r="AC1480" s="210"/>
      <c r="AD1480" s="210"/>
      <c r="AE1480" s="210"/>
      <c r="AF1480" s="210"/>
      <c r="AG1480" s="210"/>
      <c r="AH1480" s="210"/>
      <c r="AI1480" s="210"/>
      <c r="AJ1480" s="210"/>
      <c r="AK1480" s="210"/>
      <c r="AL1480" s="210"/>
      <c r="AM1480" s="214"/>
      <c r="AN1480" s="210"/>
      <c r="AO1480" s="210"/>
      <c r="AP1480" s="210"/>
      <c r="AQ1480" s="210"/>
      <c r="AR1480" s="210"/>
      <c r="AS1480" s="210"/>
      <c r="AT1480" s="210"/>
      <c r="AU1480" s="210"/>
      <c r="AV1480" s="210"/>
      <c r="AW1480" s="210"/>
      <c r="AX1480" s="210"/>
      <c r="AY1480" s="210"/>
      <c r="AZ1480" s="210"/>
      <c r="BA1480" s="210"/>
      <c r="BB1480" s="210"/>
      <c r="BC1480" s="210"/>
      <c r="BD1480" s="210"/>
      <c r="BE1480" s="210"/>
      <c r="BF1480" s="210"/>
      <c r="BG1480" s="210"/>
      <c r="BH1480" s="210"/>
      <c r="BI1480" s="210"/>
      <c r="BJ1480" s="210"/>
      <c r="BK1480" s="210"/>
      <c r="BL1480" s="210"/>
      <c r="BM1480" s="210"/>
      <c r="BN1480" s="210"/>
      <c r="BO1480" s="210"/>
      <c r="BP1480" s="210"/>
      <c r="BQ1480" s="210"/>
      <c r="BR1480" s="210"/>
      <c r="BS1480" s="210"/>
      <c r="BT1480" s="210"/>
      <c r="BU1480" s="210"/>
      <c r="BV1480" s="210"/>
      <c r="BW1480" s="210"/>
      <c r="BX1480" s="210"/>
      <c r="BY1480" s="210"/>
      <c r="BZ1480" s="210"/>
      <c r="CA1480" s="210"/>
      <c r="CB1480" s="210"/>
      <c r="CC1480" s="210"/>
      <c r="CD1480" s="210"/>
      <c r="CE1480" s="210"/>
      <c r="CF1480" s="210"/>
      <c r="CG1480" s="210"/>
      <c r="CH1480" s="210"/>
      <c r="CI1480" s="210"/>
      <c r="CJ1480" s="210"/>
      <c r="CK1480" s="210"/>
    </row>
    <row r="1481">
      <c r="A1481" s="220"/>
      <c r="F1481" s="190"/>
      <c r="G1481" s="190"/>
      <c r="L1481" s="220"/>
      <c r="M1481" s="220"/>
      <c r="O1481" s="210"/>
      <c r="P1481" s="210"/>
      <c r="Q1481" s="210"/>
      <c r="R1481" s="210"/>
      <c r="S1481" s="210"/>
      <c r="T1481" s="210"/>
      <c r="U1481" s="210"/>
      <c r="V1481" s="210"/>
      <c r="W1481" s="210"/>
      <c r="X1481" s="210"/>
      <c r="Y1481" s="210"/>
      <c r="Z1481" s="210"/>
      <c r="AA1481" s="210"/>
      <c r="AB1481" s="210"/>
      <c r="AC1481" s="210"/>
      <c r="AD1481" s="210"/>
      <c r="AE1481" s="210"/>
      <c r="AF1481" s="210"/>
      <c r="AG1481" s="210"/>
      <c r="AH1481" s="210"/>
      <c r="AI1481" s="210"/>
      <c r="AJ1481" s="210"/>
      <c r="AK1481" s="210"/>
      <c r="AL1481" s="210"/>
      <c r="AM1481" s="214"/>
      <c r="AN1481" s="210"/>
      <c r="AO1481" s="210"/>
      <c r="AP1481" s="210"/>
      <c r="AQ1481" s="210"/>
      <c r="AR1481" s="210"/>
      <c r="AS1481" s="210"/>
      <c r="AT1481" s="210"/>
      <c r="AU1481" s="210"/>
      <c r="AV1481" s="210"/>
      <c r="AW1481" s="210"/>
      <c r="AX1481" s="210"/>
      <c r="AY1481" s="210"/>
      <c r="AZ1481" s="210"/>
      <c r="BA1481" s="210"/>
      <c r="BB1481" s="210"/>
      <c r="BC1481" s="210"/>
      <c r="BD1481" s="210"/>
      <c r="BE1481" s="210"/>
      <c r="BF1481" s="210"/>
      <c r="BG1481" s="210"/>
      <c r="BH1481" s="210"/>
      <c r="BI1481" s="210"/>
      <c r="BJ1481" s="210"/>
      <c r="BK1481" s="210"/>
      <c r="BL1481" s="210"/>
      <c r="BM1481" s="210"/>
      <c r="BN1481" s="210"/>
      <c r="BO1481" s="210"/>
      <c r="BP1481" s="210"/>
      <c r="BQ1481" s="210"/>
      <c r="BR1481" s="210"/>
      <c r="BS1481" s="210"/>
      <c r="BT1481" s="210"/>
      <c r="BU1481" s="210"/>
      <c r="BV1481" s="210"/>
      <c r="BW1481" s="210"/>
      <c r="BX1481" s="210"/>
      <c r="BY1481" s="210"/>
      <c r="BZ1481" s="210"/>
      <c r="CA1481" s="210"/>
      <c r="CB1481" s="210"/>
      <c r="CC1481" s="210"/>
      <c r="CD1481" s="210"/>
      <c r="CE1481" s="210"/>
      <c r="CF1481" s="210"/>
      <c r="CG1481" s="210"/>
      <c r="CH1481" s="210"/>
      <c r="CI1481" s="210"/>
      <c r="CJ1481" s="210"/>
      <c r="CK1481" s="210"/>
    </row>
    <row r="1482">
      <c r="A1482" s="220"/>
      <c r="F1482" s="190"/>
      <c r="G1482" s="190"/>
      <c r="L1482" s="220"/>
      <c r="M1482" s="220"/>
      <c r="O1482" s="210"/>
      <c r="P1482" s="210"/>
      <c r="Q1482" s="210"/>
      <c r="R1482" s="210"/>
      <c r="S1482" s="210"/>
      <c r="T1482" s="210"/>
      <c r="U1482" s="210"/>
      <c r="V1482" s="210"/>
      <c r="W1482" s="210"/>
      <c r="X1482" s="210"/>
      <c r="Y1482" s="210"/>
      <c r="Z1482" s="210"/>
      <c r="AA1482" s="210"/>
      <c r="AB1482" s="210"/>
      <c r="AC1482" s="210"/>
      <c r="AD1482" s="210"/>
      <c r="AE1482" s="210"/>
      <c r="AF1482" s="210"/>
      <c r="AG1482" s="210"/>
      <c r="AH1482" s="210"/>
      <c r="AI1482" s="210"/>
      <c r="AJ1482" s="210"/>
      <c r="AK1482" s="210"/>
      <c r="AL1482" s="210"/>
      <c r="AM1482" s="214"/>
      <c r="AN1482" s="210"/>
      <c r="AO1482" s="210"/>
      <c r="AP1482" s="210"/>
      <c r="AQ1482" s="210"/>
      <c r="AR1482" s="210"/>
      <c r="AS1482" s="210"/>
      <c r="AT1482" s="210"/>
      <c r="AU1482" s="210"/>
      <c r="AV1482" s="210"/>
      <c r="AW1482" s="210"/>
      <c r="AX1482" s="210"/>
      <c r="AY1482" s="210"/>
      <c r="AZ1482" s="210"/>
      <c r="BA1482" s="210"/>
      <c r="BB1482" s="210"/>
      <c r="BC1482" s="210"/>
      <c r="BD1482" s="210"/>
      <c r="BE1482" s="210"/>
      <c r="BF1482" s="210"/>
      <c r="BG1482" s="210"/>
      <c r="BH1482" s="210"/>
      <c r="BI1482" s="210"/>
      <c r="BJ1482" s="210"/>
      <c r="BK1482" s="210"/>
      <c r="BL1482" s="210"/>
      <c r="BM1482" s="210"/>
      <c r="BN1482" s="210"/>
      <c r="BO1482" s="210"/>
      <c r="BP1482" s="210"/>
      <c r="BQ1482" s="210"/>
      <c r="BR1482" s="210"/>
      <c r="BS1482" s="210"/>
      <c r="BT1482" s="210"/>
      <c r="BU1482" s="210"/>
      <c r="BV1482" s="210"/>
      <c r="BW1482" s="210"/>
      <c r="BX1482" s="210"/>
      <c r="BY1482" s="210"/>
      <c r="BZ1482" s="210"/>
      <c r="CA1482" s="210"/>
      <c r="CB1482" s="210"/>
      <c r="CC1482" s="210"/>
      <c r="CD1482" s="210"/>
      <c r="CE1482" s="210"/>
      <c r="CF1482" s="210"/>
      <c r="CG1482" s="210"/>
      <c r="CH1482" s="210"/>
      <c r="CI1482" s="210"/>
      <c r="CJ1482" s="210"/>
      <c r="CK1482" s="210"/>
    </row>
    <row r="1483">
      <c r="A1483" s="220"/>
      <c r="F1483" s="190"/>
      <c r="G1483" s="190"/>
      <c r="L1483" s="220"/>
      <c r="M1483" s="220"/>
      <c r="O1483" s="210"/>
      <c r="P1483" s="210"/>
      <c r="Q1483" s="210"/>
      <c r="R1483" s="210"/>
      <c r="S1483" s="210"/>
      <c r="T1483" s="210"/>
      <c r="U1483" s="210"/>
      <c r="V1483" s="210"/>
      <c r="W1483" s="210"/>
      <c r="X1483" s="210"/>
      <c r="Y1483" s="210"/>
      <c r="Z1483" s="210"/>
      <c r="AA1483" s="210"/>
      <c r="AB1483" s="210"/>
      <c r="AC1483" s="210"/>
      <c r="AD1483" s="210"/>
      <c r="AE1483" s="210"/>
      <c r="AF1483" s="210"/>
      <c r="AG1483" s="210"/>
      <c r="AH1483" s="210"/>
      <c r="AI1483" s="210"/>
      <c r="AJ1483" s="210"/>
      <c r="AK1483" s="210"/>
      <c r="AL1483" s="210"/>
      <c r="AM1483" s="214"/>
      <c r="AN1483" s="210"/>
      <c r="AO1483" s="210"/>
      <c r="AP1483" s="210"/>
      <c r="AQ1483" s="210"/>
      <c r="AR1483" s="210"/>
      <c r="AS1483" s="210"/>
      <c r="AT1483" s="210"/>
      <c r="AU1483" s="210"/>
      <c r="AV1483" s="210"/>
      <c r="AW1483" s="210"/>
      <c r="AX1483" s="210"/>
      <c r="AY1483" s="210"/>
      <c r="AZ1483" s="210"/>
      <c r="BA1483" s="210"/>
      <c r="BB1483" s="210"/>
      <c r="BC1483" s="210"/>
      <c r="BD1483" s="210"/>
      <c r="BE1483" s="210"/>
      <c r="BF1483" s="210"/>
      <c r="BG1483" s="210"/>
      <c r="BH1483" s="210"/>
      <c r="BI1483" s="210"/>
      <c r="BJ1483" s="210"/>
      <c r="BK1483" s="210"/>
      <c r="BL1483" s="210"/>
      <c r="BM1483" s="210"/>
      <c r="BN1483" s="210"/>
      <c r="BO1483" s="210"/>
      <c r="BP1483" s="210"/>
      <c r="BQ1483" s="210"/>
      <c r="BR1483" s="210"/>
      <c r="BS1483" s="210"/>
      <c r="BT1483" s="210"/>
      <c r="BU1483" s="210"/>
      <c r="BV1483" s="210"/>
      <c r="BW1483" s="210"/>
      <c r="BX1483" s="210"/>
      <c r="BY1483" s="210"/>
      <c r="BZ1483" s="210"/>
      <c r="CA1483" s="210"/>
      <c r="CB1483" s="210"/>
      <c r="CC1483" s="210"/>
      <c r="CD1483" s="210"/>
      <c r="CE1483" s="210"/>
      <c r="CF1483" s="210"/>
      <c r="CG1483" s="210"/>
      <c r="CH1483" s="210"/>
      <c r="CI1483" s="210"/>
      <c r="CJ1483" s="210"/>
      <c r="CK1483" s="210"/>
    </row>
    <row r="1484">
      <c r="A1484" s="220"/>
      <c r="F1484" s="190"/>
      <c r="G1484" s="190"/>
      <c r="L1484" s="220"/>
      <c r="M1484" s="220"/>
      <c r="O1484" s="210"/>
      <c r="P1484" s="210"/>
      <c r="Q1484" s="210"/>
      <c r="R1484" s="210"/>
      <c r="S1484" s="210"/>
      <c r="T1484" s="210"/>
      <c r="U1484" s="210"/>
      <c r="V1484" s="210"/>
      <c r="W1484" s="210"/>
      <c r="X1484" s="210"/>
      <c r="Y1484" s="210"/>
      <c r="Z1484" s="210"/>
      <c r="AA1484" s="210"/>
      <c r="AB1484" s="210"/>
      <c r="AC1484" s="210"/>
      <c r="AD1484" s="210"/>
      <c r="AE1484" s="210"/>
      <c r="AF1484" s="210"/>
      <c r="AG1484" s="210"/>
      <c r="AH1484" s="210"/>
      <c r="AI1484" s="210"/>
      <c r="AJ1484" s="210"/>
      <c r="AK1484" s="210"/>
      <c r="AL1484" s="210"/>
      <c r="AM1484" s="214"/>
      <c r="AN1484" s="210"/>
      <c r="AO1484" s="210"/>
      <c r="AP1484" s="210"/>
      <c r="AQ1484" s="210"/>
      <c r="AR1484" s="210"/>
      <c r="AS1484" s="210"/>
      <c r="AT1484" s="210"/>
      <c r="AU1484" s="210"/>
      <c r="AV1484" s="210"/>
      <c r="AW1484" s="210"/>
      <c r="AX1484" s="210"/>
      <c r="AY1484" s="210"/>
      <c r="AZ1484" s="210"/>
      <c r="BA1484" s="210"/>
      <c r="BB1484" s="210"/>
      <c r="BC1484" s="210"/>
      <c r="BD1484" s="210"/>
      <c r="BE1484" s="210"/>
      <c r="BF1484" s="210"/>
      <c r="BG1484" s="210"/>
      <c r="BH1484" s="210"/>
      <c r="BI1484" s="210"/>
      <c r="BJ1484" s="210"/>
      <c r="BK1484" s="210"/>
      <c r="BL1484" s="210"/>
      <c r="BM1484" s="210"/>
      <c r="BN1484" s="210"/>
      <c r="BO1484" s="210"/>
      <c r="BP1484" s="210"/>
      <c r="BQ1484" s="210"/>
      <c r="BR1484" s="210"/>
      <c r="BS1484" s="210"/>
      <c r="BT1484" s="210"/>
      <c r="BU1484" s="210"/>
      <c r="BV1484" s="210"/>
      <c r="BW1484" s="210"/>
      <c r="BX1484" s="210"/>
      <c r="BY1484" s="210"/>
      <c r="BZ1484" s="210"/>
      <c r="CA1484" s="210"/>
      <c r="CB1484" s="210"/>
      <c r="CC1484" s="210"/>
      <c r="CD1484" s="210"/>
      <c r="CE1484" s="210"/>
      <c r="CF1484" s="210"/>
      <c r="CG1484" s="210"/>
      <c r="CH1484" s="210"/>
      <c r="CI1484" s="210"/>
      <c r="CJ1484" s="210"/>
      <c r="CK1484" s="210"/>
    </row>
    <row r="1485">
      <c r="A1485" s="220"/>
      <c r="F1485" s="190"/>
      <c r="G1485" s="190"/>
      <c r="L1485" s="220"/>
      <c r="M1485" s="220"/>
      <c r="O1485" s="210"/>
      <c r="P1485" s="210"/>
      <c r="Q1485" s="210"/>
      <c r="R1485" s="210"/>
      <c r="S1485" s="210"/>
      <c r="T1485" s="210"/>
      <c r="U1485" s="210"/>
      <c r="V1485" s="210"/>
      <c r="W1485" s="210"/>
      <c r="X1485" s="210"/>
      <c r="Y1485" s="210"/>
      <c r="Z1485" s="210"/>
      <c r="AA1485" s="210"/>
      <c r="AB1485" s="210"/>
      <c r="AC1485" s="210"/>
      <c r="AD1485" s="210"/>
      <c r="AE1485" s="210"/>
      <c r="AF1485" s="210"/>
      <c r="AG1485" s="210"/>
      <c r="AH1485" s="210"/>
      <c r="AI1485" s="210"/>
      <c r="AJ1485" s="210"/>
      <c r="AK1485" s="210"/>
      <c r="AL1485" s="210"/>
      <c r="AM1485" s="214"/>
      <c r="AN1485" s="210"/>
      <c r="AO1485" s="210"/>
      <c r="AP1485" s="210"/>
      <c r="AQ1485" s="210"/>
      <c r="AR1485" s="210"/>
      <c r="AS1485" s="210"/>
      <c r="AT1485" s="210"/>
      <c r="AU1485" s="210"/>
      <c r="AV1485" s="210"/>
      <c r="AW1485" s="210"/>
      <c r="AX1485" s="210"/>
      <c r="AY1485" s="210"/>
      <c r="AZ1485" s="210"/>
      <c r="BA1485" s="210"/>
      <c r="BB1485" s="210"/>
      <c r="BC1485" s="210"/>
      <c r="BD1485" s="210"/>
      <c r="BE1485" s="210"/>
      <c r="BF1485" s="210"/>
      <c r="BG1485" s="210"/>
      <c r="BH1485" s="210"/>
      <c r="BI1485" s="210"/>
      <c r="BJ1485" s="210"/>
      <c r="BK1485" s="210"/>
      <c r="BL1485" s="210"/>
      <c r="BM1485" s="210"/>
      <c r="BN1485" s="210"/>
      <c r="BO1485" s="210"/>
      <c r="BP1485" s="210"/>
      <c r="BQ1485" s="210"/>
      <c r="BR1485" s="210"/>
      <c r="BS1485" s="210"/>
      <c r="BT1485" s="210"/>
      <c r="BU1485" s="210"/>
      <c r="BV1485" s="210"/>
      <c r="BW1485" s="210"/>
      <c r="BX1485" s="210"/>
      <c r="BY1485" s="210"/>
      <c r="BZ1485" s="210"/>
      <c r="CA1485" s="210"/>
      <c r="CB1485" s="210"/>
      <c r="CC1485" s="210"/>
      <c r="CD1485" s="210"/>
      <c r="CE1485" s="210"/>
      <c r="CF1485" s="210"/>
      <c r="CG1485" s="210"/>
      <c r="CH1485" s="210"/>
      <c r="CI1485" s="210"/>
      <c r="CJ1485" s="210"/>
      <c r="CK1485" s="210"/>
    </row>
    <row r="1486">
      <c r="A1486" s="220"/>
      <c r="F1486" s="190"/>
      <c r="G1486" s="190"/>
      <c r="L1486" s="220"/>
      <c r="M1486" s="220"/>
      <c r="O1486" s="210"/>
      <c r="P1486" s="210"/>
      <c r="Q1486" s="210"/>
      <c r="R1486" s="210"/>
      <c r="S1486" s="210"/>
      <c r="T1486" s="210"/>
      <c r="U1486" s="210"/>
      <c r="V1486" s="210"/>
      <c r="W1486" s="210"/>
      <c r="X1486" s="210"/>
      <c r="Y1486" s="210"/>
      <c r="Z1486" s="210"/>
      <c r="AA1486" s="210"/>
      <c r="AB1486" s="210"/>
      <c r="AC1486" s="210"/>
      <c r="AD1486" s="210"/>
      <c r="AE1486" s="210"/>
      <c r="AF1486" s="210"/>
      <c r="AG1486" s="210"/>
      <c r="AH1486" s="210"/>
      <c r="AI1486" s="210"/>
      <c r="AJ1486" s="210"/>
      <c r="AK1486" s="210"/>
      <c r="AL1486" s="210"/>
      <c r="AM1486" s="214"/>
      <c r="AN1486" s="210"/>
      <c r="AO1486" s="210"/>
      <c r="AP1486" s="210"/>
      <c r="AQ1486" s="210"/>
      <c r="AR1486" s="210"/>
      <c r="AS1486" s="210"/>
      <c r="AT1486" s="210"/>
      <c r="AU1486" s="210"/>
      <c r="AV1486" s="210"/>
      <c r="AW1486" s="210"/>
      <c r="AX1486" s="210"/>
      <c r="AY1486" s="210"/>
      <c r="AZ1486" s="210"/>
      <c r="BA1486" s="210"/>
      <c r="BB1486" s="210"/>
      <c r="BC1486" s="210"/>
      <c r="BD1486" s="210"/>
      <c r="BE1486" s="210"/>
      <c r="BF1486" s="210"/>
      <c r="BG1486" s="210"/>
      <c r="BH1486" s="210"/>
      <c r="BI1486" s="210"/>
      <c r="BJ1486" s="210"/>
      <c r="BK1486" s="210"/>
      <c r="BL1486" s="210"/>
      <c r="BM1486" s="210"/>
      <c r="BN1486" s="210"/>
      <c r="BO1486" s="210"/>
      <c r="BP1486" s="210"/>
      <c r="BQ1486" s="210"/>
      <c r="BR1486" s="210"/>
      <c r="BS1486" s="210"/>
      <c r="BT1486" s="210"/>
      <c r="BU1486" s="210"/>
      <c r="BV1486" s="210"/>
      <c r="BW1486" s="210"/>
      <c r="BX1486" s="210"/>
      <c r="BY1486" s="210"/>
      <c r="BZ1486" s="210"/>
      <c r="CA1486" s="210"/>
      <c r="CB1486" s="210"/>
      <c r="CC1486" s="210"/>
      <c r="CD1486" s="210"/>
      <c r="CE1486" s="210"/>
      <c r="CF1486" s="210"/>
      <c r="CG1486" s="210"/>
      <c r="CH1486" s="210"/>
      <c r="CI1486" s="210"/>
      <c r="CJ1486" s="210"/>
      <c r="CK1486" s="210"/>
    </row>
    <row r="1487">
      <c r="A1487" s="220"/>
      <c r="F1487" s="190"/>
      <c r="G1487" s="190"/>
      <c r="L1487" s="220"/>
      <c r="M1487" s="220"/>
      <c r="O1487" s="210"/>
      <c r="P1487" s="210"/>
      <c r="Q1487" s="210"/>
      <c r="R1487" s="210"/>
      <c r="S1487" s="210"/>
      <c r="T1487" s="210"/>
      <c r="U1487" s="210"/>
      <c r="V1487" s="210"/>
      <c r="W1487" s="210"/>
      <c r="X1487" s="210"/>
      <c r="Y1487" s="210"/>
      <c r="Z1487" s="210"/>
      <c r="AA1487" s="210"/>
      <c r="AB1487" s="210"/>
      <c r="AC1487" s="210"/>
      <c r="AD1487" s="210"/>
      <c r="AE1487" s="210"/>
      <c r="AF1487" s="210"/>
      <c r="AG1487" s="210"/>
      <c r="AH1487" s="210"/>
      <c r="AI1487" s="210"/>
      <c r="AJ1487" s="210"/>
      <c r="AK1487" s="210"/>
      <c r="AL1487" s="210"/>
      <c r="AM1487" s="214"/>
      <c r="AN1487" s="210"/>
      <c r="AO1487" s="210"/>
      <c r="AP1487" s="210"/>
      <c r="AQ1487" s="210"/>
      <c r="AR1487" s="210"/>
      <c r="AS1487" s="210"/>
      <c r="AT1487" s="210"/>
      <c r="AU1487" s="210"/>
      <c r="AV1487" s="210"/>
      <c r="AW1487" s="210"/>
      <c r="AX1487" s="210"/>
      <c r="AY1487" s="210"/>
      <c r="AZ1487" s="210"/>
      <c r="BA1487" s="210"/>
      <c r="BB1487" s="210"/>
      <c r="BC1487" s="210"/>
      <c r="BD1487" s="210"/>
      <c r="BE1487" s="210"/>
      <c r="BF1487" s="210"/>
      <c r="BG1487" s="210"/>
      <c r="BH1487" s="210"/>
      <c r="BI1487" s="210"/>
      <c r="BJ1487" s="210"/>
      <c r="BK1487" s="210"/>
      <c r="BL1487" s="210"/>
      <c r="BM1487" s="210"/>
      <c r="BN1487" s="210"/>
      <c r="BO1487" s="210"/>
      <c r="BP1487" s="210"/>
      <c r="BQ1487" s="210"/>
      <c r="BR1487" s="210"/>
      <c r="BS1487" s="210"/>
      <c r="BT1487" s="210"/>
      <c r="BU1487" s="210"/>
      <c r="BV1487" s="210"/>
      <c r="BW1487" s="210"/>
      <c r="BX1487" s="210"/>
      <c r="BY1487" s="210"/>
      <c r="BZ1487" s="210"/>
      <c r="CA1487" s="210"/>
      <c r="CB1487" s="210"/>
      <c r="CC1487" s="210"/>
      <c r="CD1487" s="210"/>
      <c r="CE1487" s="210"/>
      <c r="CF1487" s="210"/>
      <c r="CG1487" s="210"/>
      <c r="CH1487" s="210"/>
      <c r="CI1487" s="210"/>
      <c r="CJ1487" s="210"/>
      <c r="CK1487" s="210"/>
    </row>
    <row r="1488">
      <c r="A1488" s="220"/>
      <c r="F1488" s="190"/>
      <c r="G1488" s="190"/>
      <c r="L1488" s="220"/>
      <c r="M1488" s="220"/>
      <c r="O1488" s="210"/>
      <c r="P1488" s="210"/>
      <c r="Q1488" s="210"/>
      <c r="R1488" s="210"/>
      <c r="S1488" s="210"/>
      <c r="T1488" s="210"/>
      <c r="U1488" s="210"/>
      <c r="V1488" s="210"/>
      <c r="W1488" s="210"/>
      <c r="X1488" s="210"/>
      <c r="Y1488" s="210"/>
      <c r="Z1488" s="210"/>
      <c r="AA1488" s="210"/>
      <c r="AB1488" s="210"/>
      <c r="AC1488" s="210"/>
      <c r="AD1488" s="210"/>
      <c r="AE1488" s="210"/>
      <c r="AF1488" s="210"/>
      <c r="AG1488" s="210"/>
      <c r="AH1488" s="210"/>
      <c r="AI1488" s="210"/>
      <c r="AJ1488" s="210"/>
      <c r="AK1488" s="210"/>
      <c r="AL1488" s="210"/>
      <c r="AM1488" s="214"/>
      <c r="AN1488" s="210"/>
      <c r="AO1488" s="210"/>
      <c r="AP1488" s="210"/>
      <c r="AQ1488" s="210"/>
      <c r="AR1488" s="210"/>
      <c r="AS1488" s="210"/>
      <c r="AT1488" s="210"/>
      <c r="AU1488" s="210"/>
      <c r="AV1488" s="210"/>
      <c r="AW1488" s="210"/>
      <c r="AX1488" s="210"/>
      <c r="AY1488" s="210"/>
      <c r="AZ1488" s="210"/>
      <c r="BA1488" s="210"/>
      <c r="BB1488" s="210"/>
      <c r="BC1488" s="210"/>
      <c r="BD1488" s="210"/>
      <c r="BE1488" s="210"/>
      <c r="BF1488" s="210"/>
      <c r="BG1488" s="210"/>
      <c r="BH1488" s="210"/>
      <c r="BI1488" s="210"/>
      <c r="BJ1488" s="210"/>
      <c r="BK1488" s="210"/>
      <c r="BL1488" s="210"/>
      <c r="BM1488" s="210"/>
      <c r="BN1488" s="210"/>
      <c r="BO1488" s="210"/>
      <c r="BP1488" s="210"/>
      <c r="BQ1488" s="210"/>
      <c r="BR1488" s="210"/>
      <c r="BS1488" s="210"/>
      <c r="BT1488" s="210"/>
      <c r="BU1488" s="210"/>
      <c r="BV1488" s="210"/>
      <c r="BW1488" s="210"/>
      <c r="BX1488" s="210"/>
      <c r="BY1488" s="210"/>
      <c r="BZ1488" s="210"/>
      <c r="CA1488" s="210"/>
      <c r="CB1488" s="210"/>
      <c r="CC1488" s="210"/>
      <c r="CD1488" s="210"/>
      <c r="CE1488" s="210"/>
      <c r="CF1488" s="210"/>
      <c r="CG1488" s="210"/>
      <c r="CH1488" s="210"/>
      <c r="CI1488" s="210"/>
      <c r="CJ1488" s="210"/>
      <c r="CK1488" s="210"/>
    </row>
    <row r="1489">
      <c r="A1489" s="220"/>
      <c r="F1489" s="190"/>
      <c r="G1489" s="190"/>
      <c r="L1489" s="220"/>
      <c r="M1489" s="220"/>
      <c r="O1489" s="210"/>
      <c r="P1489" s="210"/>
      <c r="Q1489" s="210"/>
      <c r="R1489" s="210"/>
      <c r="S1489" s="210"/>
      <c r="T1489" s="210"/>
      <c r="U1489" s="210"/>
      <c r="V1489" s="210"/>
      <c r="W1489" s="210"/>
      <c r="X1489" s="210"/>
      <c r="Y1489" s="210"/>
      <c r="Z1489" s="210"/>
      <c r="AA1489" s="210"/>
      <c r="AB1489" s="210"/>
      <c r="AC1489" s="210"/>
      <c r="AD1489" s="210"/>
      <c r="AE1489" s="210"/>
      <c r="AF1489" s="210"/>
      <c r="AG1489" s="210"/>
      <c r="AH1489" s="210"/>
      <c r="AI1489" s="210"/>
      <c r="AJ1489" s="210"/>
      <c r="AK1489" s="210"/>
      <c r="AL1489" s="210"/>
      <c r="AM1489" s="214"/>
      <c r="AN1489" s="210"/>
      <c r="AO1489" s="210"/>
      <c r="AP1489" s="210"/>
      <c r="AQ1489" s="210"/>
      <c r="AR1489" s="210"/>
      <c r="AS1489" s="210"/>
      <c r="AT1489" s="210"/>
      <c r="AU1489" s="210"/>
      <c r="AV1489" s="210"/>
      <c r="AW1489" s="210"/>
      <c r="AX1489" s="210"/>
      <c r="AY1489" s="210"/>
      <c r="AZ1489" s="210"/>
      <c r="BA1489" s="210"/>
      <c r="BB1489" s="210"/>
      <c r="BC1489" s="210"/>
      <c r="BD1489" s="210"/>
      <c r="BE1489" s="210"/>
      <c r="BF1489" s="210"/>
      <c r="BG1489" s="210"/>
      <c r="BH1489" s="210"/>
      <c r="BI1489" s="210"/>
      <c r="BJ1489" s="210"/>
      <c r="BK1489" s="210"/>
      <c r="BL1489" s="210"/>
      <c r="BM1489" s="210"/>
      <c r="BN1489" s="210"/>
      <c r="BO1489" s="210"/>
      <c r="BP1489" s="210"/>
      <c r="BQ1489" s="210"/>
      <c r="BR1489" s="210"/>
      <c r="BS1489" s="210"/>
      <c r="BT1489" s="210"/>
      <c r="BU1489" s="210"/>
      <c r="BV1489" s="210"/>
      <c r="BW1489" s="210"/>
      <c r="BX1489" s="210"/>
      <c r="BY1489" s="210"/>
      <c r="BZ1489" s="210"/>
      <c r="CA1489" s="210"/>
      <c r="CB1489" s="210"/>
      <c r="CC1489" s="210"/>
      <c r="CD1489" s="210"/>
      <c r="CE1489" s="210"/>
      <c r="CF1489" s="210"/>
      <c r="CG1489" s="210"/>
      <c r="CH1489" s="210"/>
      <c r="CI1489" s="210"/>
      <c r="CJ1489" s="210"/>
      <c r="CK1489" s="210"/>
    </row>
    <row r="1490">
      <c r="A1490" s="220"/>
      <c r="F1490" s="190"/>
      <c r="G1490" s="190"/>
      <c r="L1490" s="220"/>
      <c r="M1490" s="220"/>
      <c r="O1490" s="210"/>
      <c r="P1490" s="210"/>
      <c r="Q1490" s="210"/>
      <c r="R1490" s="210"/>
      <c r="S1490" s="210"/>
      <c r="T1490" s="210"/>
      <c r="U1490" s="210"/>
      <c r="V1490" s="210"/>
      <c r="W1490" s="210"/>
      <c r="X1490" s="210"/>
      <c r="Y1490" s="210"/>
      <c r="Z1490" s="210"/>
      <c r="AA1490" s="210"/>
      <c r="AB1490" s="210"/>
      <c r="AC1490" s="210"/>
      <c r="AD1490" s="210"/>
      <c r="AE1490" s="210"/>
      <c r="AF1490" s="210"/>
      <c r="AG1490" s="210"/>
      <c r="AH1490" s="210"/>
      <c r="AI1490" s="210"/>
      <c r="AJ1490" s="210"/>
      <c r="AK1490" s="210"/>
      <c r="AL1490" s="210"/>
      <c r="AM1490" s="214"/>
      <c r="AN1490" s="210"/>
      <c r="AO1490" s="210"/>
      <c r="AP1490" s="210"/>
      <c r="AQ1490" s="210"/>
      <c r="AR1490" s="210"/>
      <c r="AS1490" s="210"/>
      <c r="AT1490" s="210"/>
      <c r="AU1490" s="210"/>
      <c r="AV1490" s="210"/>
      <c r="AW1490" s="210"/>
      <c r="AX1490" s="210"/>
      <c r="AY1490" s="210"/>
      <c r="AZ1490" s="210"/>
      <c r="BA1490" s="210"/>
      <c r="BB1490" s="210"/>
      <c r="BC1490" s="210"/>
      <c r="BD1490" s="210"/>
      <c r="BE1490" s="210"/>
      <c r="BF1490" s="210"/>
      <c r="BG1490" s="210"/>
      <c r="BH1490" s="210"/>
      <c r="BI1490" s="210"/>
      <c r="BJ1490" s="210"/>
      <c r="BK1490" s="210"/>
      <c r="BL1490" s="210"/>
      <c r="BM1490" s="210"/>
      <c r="BN1490" s="210"/>
      <c r="BO1490" s="210"/>
      <c r="BP1490" s="210"/>
      <c r="BQ1490" s="210"/>
      <c r="BR1490" s="210"/>
      <c r="BS1490" s="210"/>
      <c r="BT1490" s="210"/>
      <c r="BU1490" s="210"/>
      <c r="BV1490" s="210"/>
      <c r="BW1490" s="210"/>
      <c r="BX1490" s="210"/>
      <c r="BY1490" s="210"/>
      <c r="BZ1490" s="210"/>
      <c r="CA1490" s="210"/>
      <c r="CB1490" s="210"/>
      <c r="CC1490" s="210"/>
      <c r="CD1490" s="210"/>
      <c r="CE1490" s="210"/>
      <c r="CF1490" s="210"/>
      <c r="CG1490" s="210"/>
      <c r="CH1490" s="210"/>
      <c r="CI1490" s="210"/>
      <c r="CJ1490" s="210"/>
      <c r="CK1490" s="210"/>
    </row>
    <row r="1491">
      <c r="A1491" s="220"/>
      <c r="F1491" s="190"/>
      <c r="G1491" s="190"/>
      <c r="L1491" s="220"/>
      <c r="M1491" s="220"/>
      <c r="O1491" s="210"/>
      <c r="P1491" s="210"/>
      <c r="Q1491" s="210"/>
      <c r="R1491" s="210"/>
      <c r="S1491" s="210"/>
      <c r="T1491" s="210"/>
      <c r="U1491" s="210"/>
      <c r="V1491" s="210"/>
      <c r="W1491" s="210"/>
      <c r="X1491" s="210"/>
      <c r="Y1491" s="210"/>
      <c r="Z1491" s="210"/>
      <c r="AA1491" s="210"/>
      <c r="AB1491" s="210"/>
      <c r="AC1491" s="210"/>
      <c r="AD1491" s="210"/>
      <c r="AE1491" s="210"/>
      <c r="AF1491" s="210"/>
      <c r="AG1491" s="210"/>
      <c r="AH1491" s="210"/>
      <c r="AI1491" s="210"/>
      <c r="AJ1491" s="210"/>
      <c r="AK1491" s="210"/>
      <c r="AL1491" s="210"/>
      <c r="AM1491" s="214"/>
      <c r="AN1491" s="210"/>
      <c r="AO1491" s="210"/>
      <c r="AP1491" s="210"/>
      <c r="AQ1491" s="210"/>
      <c r="AR1491" s="210"/>
      <c r="AS1491" s="210"/>
      <c r="AT1491" s="210"/>
      <c r="AU1491" s="210"/>
      <c r="AV1491" s="210"/>
      <c r="AW1491" s="210"/>
      <c r="AX1491" s="210"/>
      <c r="AY1491" s="210"/>
      <c r="AZ1491" s="210"/>
      <c r="BA1491" s="210"/>
      <c r="BB1491" s="210"/>
      <c r="BC1491" s="210"/>
      <c r="BD1491" s="210"/>
      <c r="BE1491" s="210"/>
      <c r="BF1491" s="210"/>
      <c r="BG1491" s="210"/>
      <c r="BH1491" s="210"/>
      <c r="BI1491" s="210"/>
      <c r="BJ1491" s="210"/>
      <c r="BK1491" s="210"/>
      <c r="BL1491" s="210"/>
      <c r="BM1491" s="210"/>
      <c r="BN1491" s="210"/>
      <c r="BO1491" s="210"/>
      <c r="BP1491" s="210"/>
      <c r="BQ1491" s="210"/>
      <c r="BR1491" s="210"/>
      <c r="BS1491" s="210"/>
      <c r="BT1491" s="210"/>
      <c r="BU1491" s="210"/>
      <c r="BV1491" s="210"/>
      <c r="BW1491" s="210"/>
      <c r="BX1491" s="210"/>
      <c r="BY1491" s="210"/>
      <c r="BZ1491" s="210"/>
      <c r="CA1491" s="210"/>
      <c r="CB1491" s="210"/>
      <c r="CC1491" s="210"/>
      <c r="CD1491" s="210"/>
      <c r="CE1491" s="210"/>
      <c r="CF1491" s="210"/>
      <c r="CG1491" s="210"/>
      <c r="CH1491" s="210"/>
      <c r="CI1491" s="210"/>
      <c r="CJ1491" s="210"/>
      <c r="CK1491" s="210"/>
    </row>
    <row r="1492">
      <c r="A1492" s="220"/>
      <c r="F1492" s="190"/>
      <c r="G1492" s="190"/>
      <c r="L1492" s="220"/>
      <c r="M1492" s="220"/>
      <c r="O1492" s="210"/>
      <c r="P1492" s="210"/>
      <c r="Q1492" s="210"/>
      <c r="R1492" s="210"/>
      <c r="S1492" s="210"/>
      <c r="T1492" s="210"/>
      <c r="U1492" s="210"/>
      <c r="V1492" s="210"/>
      <c r="W1492" s="210"/>
      <c r="X1492" s="210"/>
      <c r="Y1492" s="210"/>
      <c r="Z1492" s="210"/>
      <c r="AA1492" s="210"/>
      <c r="AB1492" s="210"/>
      <c r="AC1492" s="210"/>
      <c r="AD1492" s="210"/>
      <c r="AE1492" s="210"/>
      <c r="AF1492" s="210"/>
      <c r="AG1492" s="210"/>
      <c r="AH1492" s="210"/>
      <c r="AI1492" s="210"/>
      <c r="AJ1492" s="210"/>
      <c r="AK1492" s="210"/>
      <c r="AL1492" s="210"/>
      <c r="AM1492" s="214"/>
      <c r="AN1492" s="210"/>
      <c r="AO1492" s="210"/>
      <c r="AP1492" s="210"/>
      <c r="AQ1492" s="210"/>
      <c r="AR1492" s="210"/>
      <c r="AS1492" s="210"/>
      <c r="AT1492" s="210"/>
      <c r="AU1492" s="210"/>
      <c r="AV1492" s="210"/>
      <c r="AW1492" s="210"/>
      <c r="AX1492" s="210"/>
      <c r="AY1492" s="210"/>
      <c r="AZ1492" s="210"/>
      <c r="BA1492" s="210"/>
      <c r="BB1492" s="210"/>
      <c r="BC1492" s="210"/>
      <c r="BD1492" s="210"/>
      <c r="BE1492" s="210"/>
      <c r="BF1492" s="210"/>
      <c r="BG1492" s="210"/>
      <c r="BH1492" s="210"/>
      <c r="BI1492" s="210"/>
      <c r="BJ1492" s="210"/>
      <c r="BK1492" s="210"/>
      <c r="BL1492" s="210"/>
      <c r="BM1492" s="210"/>
      <c r="BN1492" s="210"/>
      <c r="BO1492" s="210"/>
      <c r="BP1492" s="210"/>
      <c r="BQ1492" s="210"/>
      <c r="BR1492" s="210"/>
      <c r="BS1492" s="210"/>
      <c r="BT1492" s="210"/>
      <c r="BU1492" s="210"/>
      <c r="BV1492" s="210"/>
      <c r="BW1492" s="210"/>
      <c r="BX1492" s="210"/>
      <c r="BY1492" s="210"/>
      <c r="BZ1492" s="210"/>
      <c r="CA1492" s="210"/>
      <c r="CB1492" s="210"/>
      <c r="CC1492" s="210"/>
      <c r="CD1492" s="210"/>
      <c r="CE1492" s="210"/>
      <c r="CF1492" s="210"/>
      <c r="CG1492" s="210"/>
      <c r="CH1492" s="210"/>
      <c r="CI1492" s="210"/>
      <c r="CJ1492" s="210"/>
      <c r="CK1492" s="210"/>
    </row>
    <row r="1493">
      <c r="A1493" s="220"/>
      <c r="F1493" s="190"/>
      <c r="G1493" s="190"/>
      <c r="L1493" s="220"/>
      <c r="M1493" s="220"/>
      <c r="O1493" s="210"/>
      <c r="P1493" s="210"/>
      <c r="Q1493" s="210"/>
      <c r="R1493" s="210"/>
      <c r="S1493" s="210"/>
      <c r="T1493" s="210"/>
      <c r="U1493" s="210"/>
      <c r="V1493" s="210"/>
      <c r="W1493" s="210"/>
      <c r="X1493" s="210"/>
      <c r="Y1493" s="210"/>
      <c r="Z1493" s="210"/>
      <c r="AA1493" s="210"/>
      <c r="AB1493" s="210"/>
      <c r="AC1493" s="210"/>
      <c r="AD1493" s="210"/>
      <c r="AE1493" s="210"/>
      <c r="AF1493" s="210"/>
      <c r="AG1493" s="210"/>
      <c r="AH1493" s="210"/>
      <c r="AI1493" s="210"/>
      <c r="AJ1493" s="210"/>
      <c r="AK1493" s="210"/>
      <c r="AL1493" s="210"/>
      <c r="AM1493" s="214"/>
      <c r="AN1493" s="210"/>
      <c r="AO1493" s="210"/>
      <c r="AP1493" s="210"/>
      <c r="AQ1493" s="210"/>
      <c r="AR1493" s="210"/>
      <c r="AS1493" s="210"/>
      <c r="AT1493" s="210"/>
      <c r="AU1493" s="210"/>
      <c r="AV1493" s="210"/>
      <c r="AW1493" s="210"/>
      <c r="AX1493" s="210"/>
      <c r="AY1493" s="210"/>
      <c r="AZ1493" s="210"/>
      <c r="BA1493" s="210"/>
      <c r="BB1493" s="210"/>
      <c r="BC1493" s="210"/>
      <c r="BD1493" s="210"/>
      <c r="BE1493" s="210"/>
      <c r="BF1493" s="210"/>
      <c r="BG1493" s="210"/>
      <c r="BH1493" s="210"/>
      <c r="BI1493" s="210"/>
      <c r="BJ1493" s="210"/>
      <c r="BK1493" s="210"/>
      <c r="BL1493" s="210"/>
      <c r="BM1493" s="210"/>
      <c r="BN1493" s="210"/>
      <c r="BO1493" s="210"/>
      <c r="BP1493" s="210"/>
      <c r="BQ1493" s="210"/>
      <c r="BR1493" s="210"/>
      <c r="BS1493" s="210"/>
      <c r="BT1493" s="210"/>
      <c r="BU1493" s="210"/>
      <c r="BV1493" s="210"/>
      <c r="BW1493" s="210"/>
      <c r="BX1493" s="210"/>
      <c r="BY1493" s="210"/>
      <c r="BZ1493" s="210"/>
      <c r="CA1493" s="210"/>
      <c r="CB1493" s="210"/>
      <c r="CC1493" s="210"/>
      <c r="CD1493" s="210"/>
      <c r="CE1493" s="210"/>
      <c r="CF1493" s="210"/>
      <c r="CG1493" s="210"/>
      <c r="CH1493" s="210"/>
      <c r="CI1493" s="210"/>
      <c r="CJ1493" s="210"/>
      <c r="CK1493" s="210"/>
    </row>
    <row r="1494">
      <c r="A1494" s="220"/>
      <c r="F1494" s="190"/>
      <c r="G1494" s="190"/>
      <c r="L1494" s="220"/>
      <c r="M1494" s="220"/>
      <c r="O1494" s="210"/>
      <c r="P1494" s="210"/>
      <c r="Q1494" s="210"/>
      <c r="R1494" s="210"/>
      <c r="S1494" s="210"/>
      <c r="T1494" s="210"/>
      <c r="U1494" s="210"/>
      <c r="V1494" s="210"/>
      <c r="W1494" s="210"/>
      <c r="X1494" s="210"/>
      <c r="Y1494" s="210"/>
      <c r="Z1494" s="210"/>
      <c r="AA1494" s="210"/>
      <c r="AB1494" s="210"/>
      <c r="AC1494" s="210"/>
      <c r="AD1494" s="210"/>
      <c r="AE1494" s="210"/>
      <c r="AF1494" s="210"/>
      <c r="AG1494" s="210"/>
      <c r="AH1494" s="210"/>
      <c r="AI1494" s="210"/>
      <c r="AJ1494" s="210"/>
      <c r="AK1494" s="210"/>
      <c r="AL1494" s="210"/>
      <c r="AM1494" s="214"/>
      <c r="AN1494" s="210"/>
      <c r="AO1494" s="210"/>
      <c r="AP1494" s="210"/>
      <c r="AQ1494" s="210"/>
      <c r="AR1494" s="210"/>
      <c r="AS1494" s="210"/>
      <c r="AT1494" s="210"/>
      <c r="AU1494" s="210"/>
      <c r="AV1494" s="210"/>
      <c r="AW1494" s="210"/>
      <c r="AX1494" s="210"/>
      <c r="AY1494" s="210"/>
      <c r="AZ1494" s="210"/>
      <c r="BA1494" s="210"/>
      <c r="BB1494" s="210"/>
      <c r="BC1494" s="210"/>
      <c r="BD1494" s="210"/>
      <c r="BE1494" s="210"/>
      <c r="BF1494" s="210"/>
      <c r="BG1494" s="210"/>
      <c r="BH1494" s="210"/>
      <c r="BI1494" s="210"/>
      <c r="BJ1494" s="210"/>
      <c r="BK1494" s="210"/>
      <c r="BL1494" s="210"/>
      <c r="BM1494" s="210"/>
      <c r="BN1494" s="210"/>
      <c r="BO1494" s="210"/>
      <c r="BP1494" s="210"/>
      <c r="BQ1494" s="210"/>
      <c r="BR1494" s="210"/>
      <c r="BS1494" s="210"/>
      <c r="BT1494" s="210"/>
      <c r="BU1494" s="210"/>
      <c r="BV1494" s="210"/>
      <c r="BW1494" s="210"/>
      <c r="BX1494" s="210"/>
      <c r="BY1494" s="210"/>
      <c r="BZ1494" s="210"/>
      <c r="CA1494" s="210"/>
      <c r="CB1494" s="210"/>
      <c r="CC1494" s="210"/>
      <c r="CD1494" s="210"/>
      <c r="CE1494" s="210"/>
      <c r="CF1494" s="210"/>
      <c r="CG1494" s="210"/>
      <c r="CH1494" s="210"/>
      <c r="CI1494" s="210"/>
      <c r="CJ1494" s="210"/>
      <c r="CK1494" s="210"/>
    </row>
    <row r="1495">
      <c r="A1495" s="220"/>
      <c r="F1495" s="190"/>
      <c r="G1495" s="190"/>
      <c r="L1495" s="220"/>
      <c r="M1495" s="220"/>
      <c r="O1495" s="210"/>
      <c r="P1495" s="210"/>
      <c r="Q1495" s="210"/>
      <c r="R1495" s="210"/>
      <c r="S1495" s="210"/>
      <c r="T1495" s="210"/>
      <c r="U1495" s="210"/>
      <c r="V1495" s="210"/>
      <c r="W1495" s="210"/>
      <c r="X1495" s="210"/>
      <c r="Y1495" s="210"/>
      <c r="Z1495" s="210"/>
      <c r="AA1495" s="210"/>
      <c r="AB1495" s="210"/>
      <c r="AC1495" s="210"/>
      <c r="AD1495" s="210"/>
      <c r="AE1495" s="210"/>
      <c r="AF1495" s="210"/>
      <c r="AG1495" s="210"/>
      <c r="AH1495" s="210"/>
      <c r="AI1495" s="210"/>
      <c r="AJ1495" s="210"/>
      <c r="AK1495" s="210"/>
      <c r="AL1495" s="210"/>
      <c r="AM1495" s="214"/>
      <c r="AN1495" s="210"/>
      <c r="AO1495" s="210"/>
      <c r="AP1495" s="210"/>
      <c r="AQ1495" s="210"/>
      <c r="AR1495" s="210"/>
      <c r="AS1495" s="210"/>
      <c r="AT1495" s="210"/>
      <c r="AU1495" s="210"/>
      <c r="AV1495" s="210"/>
      <c r="AW1495" s="210"/>
      <c r="AX1495" s="210"/>
      <c r="AY1495" s="210"/>
      <c r="AZ1495" s="210"/>
      <c r="BA1495" s="210"/>
      <c r="BB1495" s="210"/>
      <c r="BC1495" s="210"/>
      <c r="BD1495" s="210"/>
      <c r="BE1495" s="210"/>
      <c r="BF1495" s="210"/>
      <c r="BG1495" s="210"/>
      <c r="BH1495" s="210"/>
      <c r="BI1495" s="210"/>
      <c r="BJ1495" s="210"/>
      <c r="BK1495" s="210"/>
      <c r="BL1495" s="210"/>
      <c r="BM1495" s="210"/>
      <c r="BN1495" s="210"/>
      <c r="BO1495" s="210"/>
      <c r="BP1495" s="210"/>
      <c r="BQ1495" s="210"/>
      <c r="BR1495" s="210"/>
      <c r="BS1495" s="210"/>
      <c r="BT1495" s="210"/>
      <c r="BU1495" s="210"/>
      <c r="BV1495" s="210"/>
      <c r="BW1495" s="210"/>
      <c r="BX1495" s="210"/>
      <c r="BY1495" s="210"/>
      <c r="BZ1495" s="210"/>
      <c r="CA1495" s="210"/>
      <c r="CB1495" s="210"/>
      <c r="CC1495" s="210"/>
      <c r="CD1495" s="210"/>
      <c r="CE1495" s="210"/>
      <c r="CF1495" s="210"/>
      <c r="CG1495" s="210"/>
      <c r="CH1495" s="210"/>
      <c r="CI1495" s="210"/>
      <c r="CJ1495" s="210"/>
      <c r="CK1495" s="210"/>
    </row>
    <row r="1496">
      <c r="A1496" s="220"/>
      <c r="F1496" s="190"/>
      <c r="G1496" s="190"/>
      <c r="L1496" s="220"/>
      <c r="M1496" s="220"/>
      <c r="O1496" s="210"/>
      <c r="P1496" s="210"/>
      <c r="Q1496" s="210"/>
      <c r="R1496" s="210"/>
      <c r="S1496" s="210"/>
      <c r="T1496" s="210"/>
      <c r="U1496" s="210"/>
      <c r="V1496" s="210"/>
      <c r="W1496" s="210"/>
      <c r="X1496" s="210"/>
      <c r="Y1496" s="210"/>
      <c r="Z1496" s="210"/>
      <c r="AA1496" s="210"/>
      <c r="AB1496" s="210"/>
      <c r="AC1496" s="210"/>
      <c r="AD1496" s="210"/>
      <c r="AE1496" s="210"/>
      <c r="AF1496" s="210"/>
      <c r="AG1496" s="210"/>
      <c r="AH1496" s="210"/>
      <c r="AI1496" s="210"/>
      <c r="AJ1496" s="210"/>
      <c r="AK1496" s="210"/>
      <c r="AL1496" s="210"/>
      <c r="AM1496" s="214"/>
      <c r="AN1496" s="210"/>
      <c r="AO1496" s="210"/>
      <c r="AP1496" s="210"/>
      <c r="AQ1496" s="210"/>
      <c r="AR1496" s="210"/>
      <c r="AS1496" s="210"/>
      <c r="AT1496" s="210"/>
      <c r="AU1496" s="210"/>
      <c r="AV1496" s="210"/>
      <c r="AW1496" s="210"/>
      <c r="AX1496" s="210"/>
      <c r="AY1496" s="210"/>
      <c r="AZ1496" s="210"/>
      <c r="BA1496" s="210"/>
      <c r="BB1496" s="210"/>
      <c r="BC1496" s="210"/>
      <c r="BD1496" s="210"/>
      <c r="BE1496" s="210"/>
      <c r="BF1496" s="210"/>
      <c r="BG1496" s="210"/>
      <c r="BH1496" s="210"/>
      <c r="BI1496" s="210"/>
      <c r="BJ1496" s="210"/>
      <c r="BK1496" s="210"/>
      <c r="BL1496" s="210"/>
      <c r="BM1496" s="210"/>
      <c r="BN1496" s="210"/>
      <c r="BO1496" s="210"/>
      <c r="BP1496" s="210"/>
      <c r="BQ1496" s="210"/>
      <c r="BR1496" s="210"/>
      <c r="BS1496" s="210"/>
      <c r="BT1496" s="210"/>
      <c r="BU1496" s="210"/>
      <c r="BV1496" s="210"/>
      <c r="BW1496" s="210"/>
      <c r="BX1496" s="210"/>
      <c r="BY1496" s="210"/>
      <c r="BZ1496" s="210"/>
      <c r="CA1496" s="210"/>
      <c r="CB1496" s="210"/>
      <c r="CC1496" s="210"/>
      <c r="CD1496" s="210"/>
      <c r="CE1496" s="210"/>
      <c r="CF1496" s="210"/>
      <c r="CG1496" s="210"/>
      <c r="CH1496" s="210"/>
      <c r="CI1496" s="210"/>
      <c r="CJ1496" s="210"/>
      <c r="CK1496" s="210"/>
    </row>
    <row r="1497">
      <c r="A1497" s="220"/>
      <c r="F1497" s="190"/>
      <c r="G1497" s="190"/>
      <c r="L1497" s="220"/>
      <c r="M1497" s="220"/>
      <c r="O1497" s="210"/>
      <c r="P1497" s="210"/>
      <c r="Q1497" s="210"/>
      <c r="R1497" s="210"/>
      <c r="S1497" s="210"/>
      <c r="T1497" s="210"/>
      <c r="U1497" s="210"/>
      <c r="V1497" s="210"/>
      <c r="W1497" s="210"/>
      <c r="X1497" s="210"/>
      <c r="Y1497" s="210"/>
      <c r="Z1497" s="210"/>
      <c r="AA1497" s="210"/>
      <c r="AB1497" s="210"/>
      <c r="AC1497" s="210"/>
      <c r="AD1497" s="210"/>
      <c r="AE1497" s="210"/>
      <c r="AF1497" s="210"/>
      <c r="AG1497" s="210"/>
      <c r="AH1497" s="210"/>
      <c r="AI1497" s="210"/>
      <c r="AJ1497" s="210"/>
      <c r="AK1497" s="210"/>
      <c r="AL1497" s="210"/>
      <c r="AM1497" s="214"/>
      <c r="AN1497" s="210"/>
      <c r="AO1497" s="210"/>
      <c r="AP1497" s="210"/>
      <c r="AQ1497" s="210"/>
      <c r="AR1497" s="210"/>
      <c r="AS1497" s="210"/>
      <c r="AT1497" s="210"/>
      <c r="AU1497" s="210"/>
      <c r="AV1497" s="210"/>
      <c r="AW1497" s="210"/>
      <c r="AX1497" s="210"/>
      <c r="AY1497" s="210"/>
      <c r="AZ1497" s="210"/>
      <c r="BA1497" s="210"/>
      <c r="BB1497" s="210"/>
      <c r="BC1497" s="210"/>
      <c r="BD1497" s="210"/>
      <c r="BE1497" s="210"/>
      <c r="BF1497" s="210"/>
      <c r="BG1497" s="210"/>
      <c r="BH1497" s="210"/>
      <c r="BI1497" s="210"/>
      <c r="BJ1497" s="210"/>
      <c r="BK1497" s="210"/>
      <c r="BL1497" s="210"/>
      <c r="BM1497" s="210"/>
      <c r="BN1497" s="210"/>
      <c r="BO1497" s="210"/>
      <c r="BP1497" s="210"/>
      <c r="BQ1497" s="210"/>
      <c r="BR1497" s="210"/>
      <c r="BS1497" s="210"/>
      <c r="BT1497" s="210"/>
      <c r="BU1497" s="210"/>
      <c r="BV1497" s="210"/>
      <c r="BW1497" s="210"/>
      <c r="BX1497" s="210"/>
      <c r="BY1497" s="210"/>
      <c r="BZ1497" s="210"/>
      <c r="CA1497" s="210"/>
      <c r="CB1497" s="210"/>
      <c r="CC1497" s="210"/>
      <c r="CD1497" s="210"/>
      <c r="CE1497" s="210"/>
      <c r="CF1497" s="210"/>
      <c r="CG1497" s="210"/>
      <c r="CH1497" s="210"/>
      <c r="CI1497" s="210"/>
      <c r="CJ1497" s="210"/>
      <c r="CK1497" s="210"/>
    </row>
    <row r="1498">
      <c r="A1498" s="220"/>
      <c r="F1498" s="190"/>
      <c r="G1498" s="190"/>
      <c r="L1498" s="220"/>
      <c r="M1498" s="220"/>
      <c r="O1498" s="210"/>
      <c r="P1498" s="210"/>
      <c r="Q1498" s="210"/>
      <c r="R1498" s="210"/>
      <c r="S1498" s="210"/>
      <c r="T1498" s="210"/>
      <c r="U1498" s="210"/>
      <c r="V1498" s="210"/>
      <c r="W1498" s="210"/>
      <c r="X1498" s="210"/>
      <c r="Y1498" s="210"/>
      <c r="Z1498" s="210"/>
      <c r="AA1498" s="210"/>
      <c r="AB1498" s="210"/>
      <c r="AC1498" s="210"/>
      <c r="AD1498" s="210"/>
      <c r="AE1498" s="210"/>
      <c r="AF1498" s="210"/>
      <c r="AG1498" s="210"/>
      <c r="AH1498" s="210"/>
      <c r="AI1498" s="210"/>
      <c r="AJ1498" s="210"/>
      <c r="AK1498" s="210"/>
      <c r="AL1498" s="210"/>
      <c r="AM1498" s="214"/>
      <c r="AN1498" s="210"/>
      <c r="AO1498" s="210"/>
      <c r="AP1498" s="210"/>
      <c r="AQ1498" s="210"/>
      <c r="AR1498" s="210"/>
      <c r="AS1498" s="210"/>
      <c r="AT1498" s="210"/>
      <c r="AU1498" s="210"/>
      <c r="AV1498" s="210"/>
      <c r="AW1498" s="210"/>
      <c r="AX1498" s="210"/>
      <c r="AY1498" s="210"/>
      <c r="AZ1498" s="210"/>
      <c r="BA1498" s="210"/>
      <c r="BB1498" s="210"/>
      <c r="BC1498" s="210"/>
      <c r="BD1498" s="210"/>
      <c r="BE1498" s="210"/>
      <c r="BF1498" s="210"/>
      <c r="BG1498" s="210"/>
      <c r="BH1498" s="210"/>
      <c r="BI1498" s="210"/>
      <c r="BJ1498" s="210"/>
      <c r="BK1498" s="210"/>
      <c r="BL1498" s="210"/>
      <c r="BM1498" s="210"/>
      <c r="BN1498" s="210"/>
      <c r="BO1498" s="210"/>
      <c r="BP1498" s="210"/>
      <c r="BQ1498" s="210"/>
      <c r="BR1498" s="210"/>
      <c r="BS1498" s="210"/>
      <c r="BT1498" s="210"/>
      <c r="BU1498" s="210"/>
      <c r="BV1498" s="210"/>
      <c r="BW1498" s="210"/>
      <c r="BX1498" s="210"/>
      <c r="BY1498" s="210"/>
      <c r="BZ1498" s="210"/>
      <c r="CA1498" s="210"/>
      <c r="CB1498" s="210"/>
      <c r="CC1498" s="210"/>
      <c r="CD1498" s="210"/>
      <c r="CE1498" s="210"/>
      <c r="CF1498" s="210"/>
      <c r="CG1498" s="210"/>
      <c r="CH1498" s="210"/>
      <c r="CI1498" s="210"/>
      <c r="CJ1498" s="210"/>
      <c r="CK1498" s="210"/>
    </row>
    <row r="1499">
      <c r="A1499" s="220"/>
      <c r="F1499" s="190"/>
      <c r="G1499" s="190"/>
      <c r="L1499" s="220"/>
      <c r="M1499" s="220"/>
      <c r="O1499" s="210"/>
      <c r="P1499" s="210"/>
      <c r="Q1499" s="210"/>
      <c r="R1499" s="210"/>
      <c r="S1499" s="210"/>
      <c r="T1499" s="210"/>
      <c r="U1499" s="210"/>
      <c r="V1499" s="210"/>
      <c r="W1499" s="210"/>
      <c r="X1499" s="210"/>
      <c r="Y1499" s="210"/>
      <c r="Z1499" s="210"/>
      <c r="AA1499" s="210"/>
      <c r="AB1499" s="210"/>
      <c r="AC1499" s="210"/>
      <c r="AD1499" s="210"/>
      <c r="AE1499" s="210"/>
      <c r="AF1499" s="210"/>
      <c r="AG1499" s="210"/>
      <c r="AH1499" s="210"/>
      <c r="AI1499" s="210"/>
      <c r="AJ1499" s="210"/>
      <c r="AK1499" s="210"/>
      <c r="AL1499" s="210"/>
      <c r="AM1499" s="214"/>
      <c r="AN1499" s="210"/>
      <c r="AO1499" s="210"/>
      <c r="AP1499" s="210"/>
      <c r="AQ1499" s="210"/>
      <c r="AR1499" s="210"/>
      <c r="AS1499" s="210"/>
      <c r="AT1499" s="210"/>
      <c r="AU1499" s="210"/>
      <c r="AV1499" s="210"/>
      <c r="AW1499" s="210"/>
      <c r="AX1499" s="210"/>
      <c r="AY1499" s="210"/>
      <c r="AZ1499" s="210"/>
      <c r="BA1499" s="210"/>
      <c r="BB1499" s="210"/>
      <c r="BC1499" s="210"/>
      <c r="BD1499" s="210"/>
      <c r="BE1499" s="210"/>
      <c r="BF1499" s="210"/>
      <c r="BG1499" s="210"/>
      <c r="BH1499" s="210"/>
      <c r="BI1499" s="210"/>
      <c r="BJ1499" s="210"/>
      <c r="BK1499" s="210"/>
      <c r="BL1499" s="210"/>
      <c r="BM1499" s="210"/>
      <c r="BN1499" s="210"/>
      <c r="BO1499" s="210"/>
      <c r="BP1499" s="210"/>
      <c r="BQ1499" s="210"/>
      <c r="BR1499" s="210"/>
      <c r="BS1499" s="210"/>
      <c r="BT1499" s="210"/>
      <c r="BU1499" s="210"/>
      <c r="BV1499" s="210"/>
      <c r="BW1499" s="210"/>
      <c r="BX1499" s="210"/>
      <c r="BY1499" s="210"/>
      <c r="BZ1499" s="210"/>
      <c r="CA1499" s="210"/>
      <c r="CB1499" s="210"/>
      <c r="CC1499" s="210"/>
      <c r="CD1499" s="210"/>
      <c r="CE1499" s="210"/>
      <c r="CF1499" s="210"/>
      <c r="CG1499" s="210"/>
      <c r="CH1499" s="210"/>
      <c r="CI1499" s="210"/>
      <c r="CJ1499" s="210"/>
      <c r="CK1499" s="210"/>
    </row>
    <row r="1500">
      <c r="A1500" s="220"/>
      <c r="F1500" s="190"/>
      <c r="G1500" s="190"/>
      <c r="L1500" s="220"/>
      <c r="M1500" s="220"/>
      <c r="O1500" s="210"/>
      <c r="P1500" s="210"/>
      <c r="Q1500" s="210"/>
      <c r="R1500" s="210"/>
      <c r="S1500" s="210"/>
      <c r="T1500" s="210"/>
      <c r="U1500" s="210"/>
      <c r="V1500" s="210"/>
      <c r="W1500" s="210"/>
      <c r="X1500" s="210"/>
      <c r="Y1500" s="210"/>
      <c r="Z1500" s="210"/>
      <c r="AA1500" s="210"/>
      <c r="AB1500" s="210"/>
      <c r="AC1500" s="210"/>
      <c r="AD1500" s="210"/>
      <c r="AE1500" s="210"/>
      <c r="AF1500" s="210"/>
      <c r="AG1500" s="210"/>
      <c r="AH1500" s="210"/>
      <c r="AI1500" s="210"/>
      <c r="AJ1500" s="210"/>
      <c r="AK1500" s="210"/>
      <c r="AL1500" s="210"/>
      <c r="AM1500" s="214"/>
      <c r="AN1500" s="210"/>
      <c r="AO1500" s="210"/>
      <c r="AP1500" s="210"/>
      <c r="AQ1500" s="210"/>
      <c r="AR1500" s="210"/>
      <c r="AS1500" s="210"/>
      <c r="AT1500" s="210"/>
      <c r="AU1500" s="210"/>
      <c r="AV1500" s="210"/>
      <c r="AW1500" s="210"/>
      <c r="AX1500" s="210"/>
      <c r="AY1500" s="210"/>
      <c r="AZ1500" s="210"/>
      <c r="BA1500" s="210"/>
      <c r="BB1500" s="210"/>
      <c r="BC1500" s="210"/>
      <c r="BD1500" s="210"/>
      <c r="BE1500" s="210"/>
      <c r="BF1500" s="210"/>
      <c r="BG1500" s="210"/>
      <c r="BH1500" s="210"/>
      <c r="BI1500" s="210"/>
      <c r="BJ1500" s="210"/>
      <c r="BK1500" s="210"/>
      <c r="BL1500" s="210"/>
      <c r="BM1500" s="210"/>
      <c r="BN1500" s="210"/>
      <c r="BO1500" s="210"/>
      <c r="BP1500" s="210"/>
      <c r="BQ1500" s="210"/>
      <c r="BR1500" s="210"/>
      <c r="BS1500" s="210"/>
      <c r="BT1500" s="210"/>
      <c r="BU1500" s="210"/>
      <c r="BV1500" s="210"/>
      <c r="BW1500" s="210"/>
      <c r="BX1500" s="210"/>
      <c r="BY1500" s="210"/>
      <c r="BZ1500" s="210"/>
      <c r="CA1500" s="210"/>
      <c r="CB1500" s="210"/>
      <c r="CC1500" s="210"/>
      <c r="CD1500" s="210"/>
      <c r="CE1500" s="210"/>
      <c r="CF1500" s="210"/>
      <c r="CG1500" s="210"/>
      <c r="CH1500" s="210"/>
      <c r="CI1500" s="210"/>
      <c r="CJ1500" s="210"/>
      <c r="CK1500" s="210"/>
    </row>
    <row r="1501">
      <c r="A1501" s="220"/>
      <c r="F1501" s="190"/>
      <c r="G1501" s="190"/>
      <c r="L1501" s="220"/>
      <c r="M1501" s="220"/>
      <c r="O1501" s="210"/>
      <c r="P1501" s="210"/>
      <c r="Q1501" s="210"/>
      <c r="R1501" s="210"/>
      <c r="S1501" s="210"/>
      <c r="T1501" s="210"/>
      <c r="U1501" s="210"/>
      <c r="V1501" s="210"/>
      <c r="W1501" s="210"/>
      <c r="X1501" s="210"/>
      <c r="Y1501" s="210"/>
      <c r="Z1501" s="210"/>
      <c r="AA1501" s="210"/>
      <c r="AB1501" s="210"/>
      <c r="AC1501" s="210"/>
      <c r="AD1501" s="210"/>
      <c r="AE1501" s="210"/>
      <c r="AF1501" s="210"/>
      <c r="AG1501" s="210"/>
      <c r="AH1501" s="210"/>
      <c r="AI1501" s="210"/>
      <c r="AJ1501" s="210"/>
      <c r="AK1501" s="210"/>
      <c r="AL1501" s="210"/>
      <c r="AM1501" s="214"/>
      <c r="AN1501" s="210"/>
      <c r="AO1501" s="210"/>
      <c r="AP1501" s="210"/>
      <c r="AQ1501" s="210"/>
      <c r="AR1501" s="210"/>
      <c r="AS1501" s="210"/>
      <c r="AT1501" s="210"/>
      <c r="AU1501" s="210"/>
      <c r="AV1501" s="210"/>
      <c r="AW1501" s="210"/>
      <c r="AX1501" s="210"/>
      <c r="AY1501" s="210"/>
      <c r="AZ1501" s="210"/>
      <c r="BA1501" s="210"/>
      <c r="BB1501" s="210"/>
      <c r="BC1501" s="210"/>
      <c r="BD1501" s="210"/>
      <c r="BE1501" s="210"/>
      <c r="BF1501" s="210"/>
      <c r="BG1501" s="210"/>
      <c r="BH1501" s="210"/>
      <c r="BI1501" s="210"/>
      <c r="BJ1501" s="210"/>
      <c r="BK1501" s="210"/>
      <c r="BL1501" s="210"/>
      <c r="BM1501" s="210"/>
      <c r="BN1501" s="210"/>
      <c r="BO1501" s="210"/>
      <c r="BP1501" s="210"/>
      <c r="BQ1501" s="210"/>
      <c r="BR1501" s="210"/>
      <c r="BS1501" s="210"/>
      <c r="BT1501" s="210"/>
      <c r="BU1501" s="210"/>
      <c r="BV1501" s="210"/>
      <c r="BW1501" s="210"/>
      <c r="BX1501" s="210"/>
      <c r="BY1501" s="210"/>
      <c r="BZ1501" s="210"/>
      <c r="CA1501" s="210"/>
      <c r="CB1501" s="210"/>
      <c r="CC1501" s="210"/>
      <c r="CD1501" s="210"/>
      <c r="CE1501" s="210"/>
      <c r="CF1501" s="210"/>
      <c r="CG1501" s="210"/>
      <c r="CH1501" s="210"/>
      <c r="CI1501" s="210"/>
      <c r="CJ1501" s="210"/>
      <c r="CK1501" s="210"/>
    </row>
    <row r="1502">
      <c r="A1502" s="220"/>
      <c r="F1502" s="190"/>
      <c r="G1502" s="190"/>
      <c r="L1502" s="220"/>
      <c r="M1502" s="220"/>
      <c r="O1502" s="210"/>
      <c r="P1502" s="210"/>
      <c r="Q1502" s="210"/>
      <c r="R1502" s="210"/>
      <c r="S1502" s="210"/>
      <c r="T1502" s="210"/>
      <c r="U1502" s="210"/>
      <c r="V1502" s="210"/>
      <c r="W1502" s="210"/>
      <c r="X1502" s="210"/>
      <c r="Y1502" s="210"/>
      <c r="Z1502" s="210"/>
      <c r="AA1502" s="210"/>
      <c r="AB1502" s="210"/>
      <c r="AC1502" s="210"/>
      <c r="AD1502" s="210"/>
      <c r="AE1502" s="210"/>
      <c r="AF1502" s="210"/>
      <c r="AG1502" s="210"/>
      <c r="AH1502" s="210"/>
      <c r="AI1502" s="210"/>
      <c r="AJ1502" s="210"/>
      <c r="AK1502" s="210"/>
      <c r="AL1502" s="210"/>
      <c r="AM1502" s="214"/>
      <c r="AN1502" s="210"/>
      <c r="AO1502" s="210"/>
      <c r="AP1502" s="210"/>
      <c r="AQ1502" s="210"/>
      <c r="AR1502" s="210"/>
      <c r="AS1502" s="210"/>
      <c r="AT1502" s="210"/>
      <c r="AU1502" s="210"/>
      <c r="AV1502" s="210"/>
      <c r="AW1502" s="210"/>
      <c r="AX1502" s="210"/>
      <c r="AY1502" s="210"/>
      <c r="AZ1502" s="210"/>
      <c r="BA1502" s="210"/>
      <c r="BB1502" s="210"/>
      <c r="BC1502" s="210"/>
      <c r="BD1502" s="210"/>
      <c r="BE1502" s="210"/>
      <c r="BF1502" s="210"/>
      <c r="BG1502" s="210"/>
      <c r="BH1502" s="210"/>
      <c r="BI1502" s="210"/>
      <c r="BJ1502" s="210"/>
      <c r="BK1502" s="210"/>
      <c r="BL1502" s="210"/>
      <c r="BM1502" s="210"/>
      <c r="BN1502" s="210"/>
      <c r="BO1502" s="210"/>
      <c r="BP1502" s="210"/>
      <c r="BQ1502" s="210"/>
      <c r="BR1502" s="210"/>
      <c r="BS1502" s="210"/>
      <c r="BT1502" s="210"/>
      <c r="BU1502" s="210"/>
      <c r="BV1502" s="210"/>
      <c r="BW1502" s="210"/>
      <c r="BX1502" s="210"/>
      <c r="BY1502" s="210"/>
      <c r="BZ1502" s="210"/>
      <c r="CA1502" s="210"/>
      <c r="CB1502" s="210"/>
      <c r="CC1502" s="210"/>
      <c r="CD1502" s="210"/>
      <c r="CE1502" s="210"/>
      <c r="CF1502" s="210"/>
      <c r="CG1502" s="210"/>
      <c r="CH1502" s="210"/>
      <c r="CI1502" s="210"/>
      <c r="CJ1502" s="210"/>
      <c r="CK1502" s="210"/>
    </row>
    <row r="1503">
      <c r="A1503" s="220"/>
      <c r="F1503" s="190"/>
      <c r="G1503" s="190"/>
      <c r="L1503" s="220"/>
      <c r="M1503" s="220"/>
      <c r="O1503" s="210"/>
      <c r="P1503" s="210"/>
      <c r="Q1503" s="210"/>
      <c r="R1503" s="210"/>
      <c r="S1503" s="210"/>
      <c r="T1503" s="210"/>
      <c r="U1503" s="210"/>
      <c r="V1503" s="210"/>
      <c r="W1503" s="210"/>
      <c r="X1503" s="210"/>
      <c r="Y1503" s="210"/>
      <c r="Z1503" s="210"/>
      <c r="AA1503" s="210"/>
      <c r="AB1503" s="210"/>
      <c r="AC1503" s="210"/>
      <c r="AD1503" s="210"/>
      <c r="AE1503" s="210"/>
      <c r="AF1503" s="210"/>
      <c r="AG1503" s="210"/>
      <c r="AH1503" s="210"/>
      <c r="AI1503" s="210"/>
      <c r="AJ1503" s="210"/>
      <c r="AK1503" s="210"/>
      <c r="AL1503" s="210"/>
      <c r="AM1503" s="214"/>
      <c r="AN1503" s="210"/>
      <c r="AO1503" s="210"/>
      <c r="AP1503" s="210"/>
      <c r="AQ1503" s="210"/>
      <c r="AR1503" s="210"/>
      <c r="AS1503" s="210"/>
      <c r="AT1503" s="210"/>
      <c r="AU1503" s="210"/>
      <c r="AV1503" s="210"/>
      <c r="AW1503" s="210"/>
      <c r="AX1503" s="210"/>
      <c r="AY1503" s="210"/>
      <c r="AZ1503" s="210"/>
      <c r="BA1503" s="210"/>
      <c r="BB1503" s="210"/>
      <c r="BC1503" s="210"/>
      <c r="BD1503" s="210"/>
      <c r="BE1503" s="210"/>
      <c r="BF1503" s="210"/>
      <c r="BG1503" s="210"/>
      <c r="BH1503" s="210"/>
      <c r="BI1503" s="210"/>
      <c r="BJ1503" s="210"/>
      <c r="BK1503" s="210"/>
      <c r="BL1503" s="210"/>
      <c r="BM1503" s="210"/>
      <c r="BN1503" s="210"/>
      <c r="BO1503" s="210"/>
      <c r="BP1503" s="210"/>
      <c r="BQ1503" s="210"/>
      <c r="BR1503" s="210"/>
      <c r="BS1503" s="210"/>
      <c r="BT1503" s="210"/>
      <c r="BU1503" s="210"/>
      <c r="BV1503" s="210"/>
      <c r="BW1503" s="210"/>
      <c r="BX1503" s="210"/>
      <c r="BY1503" s="210"/>
      <c r="BZ1503" s="210"/>
      <c r="CA1503" s="210"/>
      <c r="CB1503" s="210"/>
      <c r="CC1503" s="210"/>
      <c r="CD1503" s="210"/>
      <c r="CE1503" s="210"/>
      <c r="CF1503" s="210"/>
      <c r="CG1503" s="210"/>
      <c r="CH1503" s="210"/>
      <c r="CI1503" s="210"/>
      <c r="CJ1503" s="210"/>
      <c r="CK1503" s="210"/>
    </row>
    <row r="1504">
      <c r="A1504" s="220"/>
      <c r="F1504" s="190"/>
      <c r="G1504" s="190"/>
      <c r="L1504" s="220"/>
      <c r="M1504" s="220"/>
      <c r="O1504" s="210"/>
      <c r="P1504" s="210"/>
      <c r="Q1504" s="210"/>
      <c r="R1504" s="210"/>
      <c r="S1504" s="210"/>
      <c r="T1504" s="210"/>
      <c r="U1504" s="210"/>
      <c r="V1504" s="210"/>
      <c r="W1504" s="210"/>
      <c r="X1504" s="210"/>
      <c r="Y1504" s="210"/>
      <c r="Z1504" s="210"/>
      <c r="AA1504" s="210"/>
      <c r="AB1504" s="210"/>
      <c r="AC1504" s="210"/>
      <c r="AD1504" s="210"/>
      <c r="AE1504" s="210"/>
      <c r="AF1504" s="210"/>
      <c r="AG1504" s="210"/>
      <c r="AH1504" s="210"/>
      <c r="AI1504" s="210"/>
      <c r="AJ1504" s="210"/>
      <c r="AK1504" s="210"/>
      <c r="AL1504" s="210"/>
      <c r="AM1504" s="214"/>
      <c r="AN1504" s="210"/>
      <c r="AO1504" s="210"/>
      <c r="AP1504" s="210"/>
      <c r="AQ1504" s="210"/>
      <c r="AR1504" s="210"/>
      <c r="AS1504" s="210"/>
      <c r="AT1504" s="210"/>
      <c r="AU1504" s="210"/>
      <c r="AV1504" s="210"/>
      <c r="AW1504" s="210"/>
      <c r="AX1504" s="210"/>
      <c r="AY1504" s="210"/>
      <c r="AZ1504" s="210"/>
      <c r="BA1504" s="210"/>
      <c r="BB1504" s="210"/>
      <c r="BC1504" s="210"/>
      <c r="BD1504" s="210"/>
      <c r="BE1504" s="210"/>
      <c r="BF1504" s="210"/>
      <c r="BG1504" s="210"/>
      <c r="BH1504" s="210"/>
      <c r="BI1504" s="210"/>
      <c r="BJ1504" s="210"/>
      <c r="BK1504" s="210"/>
      <c r="BL1504" s="210"/>
      <c r="BM1504" s="210"/>
      <c r="BN1504" s="210"/>
      <c r="BO1504" s="210"/>
      <c r="BP1504" s="210"/>
      <c r="BQ1504" s="210"/>
      <c r="BR1504" s="210"/>
      <c r="BS1504" s="210"/>
      <c r="BT1504" s="210"/>
      <c r="BU1504" s="210"/>
      <c r="BV1504" s="210"/>
      <c r="BW1504" s="210"/>
      <c r="BX1504" s="210"/>
      <c r="BY1504" s="210"/>
      <c r="BZ1504" s="210"/>
      <c r="CA1504" s="210"/>
      <c r="CB1504" s="210"/>
      <c r="CC1504" s="210"/>
      <c r="CD1504" s="210"/>
      <c r="CE1504" s="210"/>
      <c r="CF1504" s="210"/>
      <c r="CG1504" s="210"/>
      <c r="CH1504" s="210"/>
      <c r="CI1504" s="210"/>
      <c r="CJ1504" s="210"/>
      <c r="CK1504" s="210"/>
    </row>
    <row r="1505">
      <c r="A1505" s="220"/>
      <c r="F1505" s="190"/>
      <c r="G1505" s="190"/>
      <c r="L1505" s="220"/>
      <c r="M1505" s="220"/>
      <c r="O1505" s="210"/>
      <c r="P1505" s="210"/>
      <c r="Q1505" s="210"/>
      <c r="R1505" s="210"/>
      <c r="S1505" s="210"/>
      <c r="T1505" s="210"/>
      <c r="U1505" s="210"/>
      <c r="V1505" s="210"/>
      <c r="W1505" s="210"/>
      <c r="X1505" s="210"/>
      <c r="Y1505" s="210"/>
      <c r="Z1505" s="210"/>
      <c r="AA1505" s="210"/>
      <c r="AB1505" s="210"/>
      <c r="AC1505" s="210"/>
      <c r="AD1505" s="210"/>
      <c r="AE1505" s="210"/>
      <c r="AF1505" s="210"/>
      <c r="AG1505" s="210"/>
      <c r="AH1505" s="210"/>
      <c r="AI1505" s="210"/>
      <c r="AJ1505" s="210"/>
      <c r="AK1505" s="210"/>
      <c r="AL1505" s="210"/>
      <c r="AM1505" s="214"/>
      <c r="AN1505" s="210"/>
      <c r="AO1505" s="210"/>
      <c r="AP1505" s="210"/>
      <c r="AQ1505" s="210"/>
      <c r="AR1505" s="210"/>
      <c r="AS1505" s="210"/>
      <c r="AT1505" s="210"/>
      <c r="AU1505" s="210"/>
      <c r="AV1505" s="210"/>
      <c r="AW1505" s="210"/>
      <c r="AX1505" s="210"/>
      <c r="AY1505" s="210"/>
      <c r="AZ1505" s="210"/>
      <c r="BA1505" s="210"/>
      <c r="BB1505" s="210"/>
      <c r="BC1505" s="210"/>
      <c r="BD1505" s="210"/>
      <c r="BE1505" s="210"/>
      <c r="BF1505" s="210"/>
      <c r="BG1505" s="210"/>
      <c r="BH1505" s="210"/>
      <c r="BI1505" s="210"/>
      <c r="BJ1505" s="210"/>
      <c r="BK1505" s="210"/>
      <c r="BL1505" s="210"/>
      <c r="BM1505" s="210"/>
      <c r="BN1505" s="210"/>
      <c r="BO1505" s="210"/>
      <c r="BP1505" s="210"/>
      <c r="BQ1505" s="210"/>
      <c r="BR1505" s="210"/>
      <c r="BS1505" s="210"/>
      <c r="BT1505" s="210"/>
      <c r="BU1505" s="210"/>
      <c r="BV1505" s="210"/>
      <c r="BW1505" s="210"/>
      <c r="BX1505" s="210"/>
      <c r="BY1505" s="210"/>
      <c r="BZ1505" s="210"/>
      <c r="CA1505" s="210"/>
      <c r="CB1505" s="210"/>
      <c r="CC1505" s="210"/>
      <c r="CD1505" s="210"/>
      <c r="CE1505" s="210"/>
      <c r="CF1505" s="210"/>
      <c r="CG1505" s="210"/>
      <c r="CH1505" s="210"/>
      <c r="CI1505" s="210"/>
      <c r="CJ1505" s="210"/>
      <c r="CK1505" s="210"/>
    </row>
    <row r="1506">
      <c r="A1506" s="220"/>
      <c r="F1506" s="190"/>
      <c r="G1506" s="190"/>
      <c r="L1506" s="220"/>
      <c r="M1506" s="220"/>
      <c r="O1506" s="210"/>
      <c r="P1506" s="210"/>
      <c r="Q1506" s="210"/>
      <c r="R1506" s="210"/>
      <c r="S1506" s="210"/>
      <c r="T1506" s="210"/>
      <c r="U1506" s="210"/>
      <c r="V1506" s="210"/>
      <c r="W1506" s="210"/>
      <c r="X1506" s="210"/>
      <c r="Y1506" s="210"/>
      <c r="Z1506" s="210"/>
      <c r="AA1506" s="210"/>
      <c r="AB1506" s="210"/>
      <c r="AC1506" s="210"/>
      <c r="AD1506" s="210"/>
      <c r="AE1506" s="210"/>
      <c r="AF1506" s="210"/>
      <c r="AG1506" s="210"/>
      <c r="AH1506" s="210"/>
      <c r="AI1506" s="210"/>
      <c r="AJ1506" s="210"/>
      <c r="AK1506" s="210"/>
      <c r="AL1506" s="210"/>
      <c r="AM1506" s="214"/>
      <c r="AN1506" s="210"/>
      <c r="AO1506" s="210"/>
      <c r="AP1506" s="210"/>
      <c r="AQ1506" s="210"/>
      <c r="AR1506" s="210"/>
      <c r="AS1506" s="210"/>
      <c r="AT1506" s="210"/>
      <c r="AU1506" s="210"/>
      <c r="AV1506" s="210"/>
      <c r="AW1506" s="210"/>
      <c r="AX1506" s="210"/>
      <c r="AY1506" s="210"/>
      <c r="AZ1506" s="210"/>
      <c r="BA1506" s="210"/>
      <c r="BB1506" s="210"/>
      <c r="BC1506" s="210"/>
      <c r="BD1506" s="210"/>
      <c r="BE1506" s="210"/>
      <c r="BF1506" s="210"/>
      <c r="BG1506" s="210"/>
      <c r="BH1506" s="210"/>
      <c r="BI1506" s="210"/>
      <c r="BJ1506" s="210"/>
      <c r="BK1506" s="210"/>
      <c r="BL1506" s="210"/>
      <c r="BM1506" s="210"/>
      <c r="BN1506" s="210"/>
      <c r="BO1506" s="210"/>
      <c r="BP1506" s="210"/>
      <c r="BQ1506" s="210"/>
      <c r="BR1506" s="210"/>
      <c r="BS1506" s="210"/>
      <c r="BT1506" s="210"/>
      <c r="BU1506" s="210"/>
      <c r="BV1506" s="210"/>
      <c r="BW1506" s="210"/>
      <c r="BX1506" s="210"/>
      <c r="BY1506" s="210"/>
      <c r="BZ1506" s="210"/>
      <c r="CA1506" s="210"/>
      <c r="CB1506" s="210"/>
      <c r="CC1506" s="210"/>
      <c r="CD1506" s="210"/>
      <c r="CE1506" s="210"/>
      <c r="CF1506" s="210"/>
      <c r="CG1506" s="210"/>
      <c r="CH1506" s="210"/>
      <c r="CI1506" s="210"/>
      <c r="CJ1506" s="210"/>
      <c r="CK1506" s="210"/>
    </row>
    <row r="1507">
      <c r="A1507" s="220"/>
      <c r="F1507" s="190"/>
      <c r="G1507" s="190"/>
      <c r="L1507" s="220"/>
      <c r="M1507" s="220"/>
      <c r="O1507" s="210"/>
      <c r="P1507" s="210"/>
      <c r="Q1507" s="210"/>
      <c r="R1507" s="210"/>
      <c r="S1507" s="210"/>
      <c r="T1507" s="210"/>
      <c r="U1507" s="210"/>
      <c r="V1507" s="210"/>
      <c r="W1507" s="210"/>
      <c r="X1507" s="210"/>
      <c r="Y1507" s="210"/>
      <c r="Z1507" s="210"/>
      <c r="AA1507" s="210"/>
      <c r="AB1507" s="210"/>
      <c r="AC1507" s="210"/>
      <c r="AD1507" s="210"/>
      <c r="AE1507" s="210"/>
      <c r="AF1507" s="210"/>
      <c r="AG1507" s="210"/>
      <c r="AH1507" s="210"/>
      <c r="AI1507" s="210"/>
      <c r="AJ1507" s="210"/>
      <c r="AK1507" s="210"/>
      <c r="AL1507" s="210"/>
      <c r="AM1507" s="214"/>
      <c r="AN1507" s="210"/>
      <c r="AO1507" s="210"/>
      <c r="AP1507" s="210"/>
      <c r="AQ1507" s="210"/>
      <c r="AR1507" s="210"/>
      <c r="AS1507" s="210"/>
      <c r="AT1507" s="210"/>
      <c r="AU1507" s="210"/>
      <c r="AV1507" s="210"/>
      <c r="AW1507" s="210"/>
      <c r="AX1507" s="210"/>
      <c r="AY1507" s="210"/>
      <c r="AZ1507" s="210"/>
      <c r="BA1507" s="210"/>
      <c r="BB1507" s="210"/>
      <c r="BC1507" s="210"/>
      <c r="BD1507" s="210"/>
      <c r="BE1507" s="210"/>
      <c r="BF1507" s="210"/>
      <c r="BG1507" s="210"/>
      <c r="BH1507" s="210"/>
      <c r="BI1507" s="210"/>
      <c r="BJ1507" s="210"/>
      <c r="BK1507" s="210"/>
      <c r="BL1507" s="210"/>
      <c r="BM1507" s="210"/>
      <c r="BN1507" s="210"/>
      <c r="BO1507" s="210"/>
      <c r="BP1507" s="210"/>
      <c r="BQ1507" s="210"/>
      <c r="BR1507" s="210"/>
      <c r="BS1507" s="210"/>
      <c r="BT1507" s="210"/>
      <c r="BU1507" s="210"/>
      <c r="BV1507" s="210"/>
      <c r="BW1507" s="210"/>
      <c r="BX1507" s="210"/>
      <c r="BY1507" s="210"/>
      <c r="BZ1507" s="210"/>
      <c r="CA1507" s="210"/>
      <c r="CB1507" s="210"/>
      <c r="CC1507" s="210"/>
      <c r="CD1507" s="210"/>
      <c r="CE1507" s="210"/>
      <c r="CF1507" s="210"/>
      <c r="CG1507" s="210"/>
      <c r="CH1507" s="210"/>
      <c r="CI1507" s="210"/>
      <c r="CJ1507" s="210"/>
      <c r="CK1507" s="210"/>
    </row>
    <row r="1508">
      <c r="A1508" s="220"/>
      <c r="F1508" s="190"/>
      <c r="G1508" s="190"/>
      <c r="L1508" s="220"/>
      <c r="M1508" s="220"/>
      <c r="O1508" s="210"/>
      <c r="P1508" s="210"/>
      <c r="Q1508" s="210"/>
      <c r="R1508" s="210"/>
      <c r="S1508" s="210"/>
      <c r="T1508" s="210"/>
      <c r="U1508" s="210"/>
      <c r="V1508" s="210"/>
      <c r="W1508" s="210"/>
      <c r="X1508" s="210"/>
      <c r="Y1508" s="210"/>
      <c r="Z1508" s="210"/>
      <c r="AA1508" s="210"/>
      <c r="AB1508" s="210"/>
      <c r="AC1508" s="210"/>
      <c r="AD1508" s="210"/>
      <c r="AE1508" s="210"/>
      <c r="AF1508" s="210"/>
      <c r="AG1508" s="210"/>
      <c r="AH1508" s="210"/>
      <c r="AI1508" s="210"/>
      <c r="AJ1508" s="210"/>
      <c r="AK1508" s="210"/>
      <c r="AL1508" s="210"/>
      <c r="AM1508" s="214"/>
      <c r="AN1508" s="210"/>
      <c r="AO1508" s="210"/>
      <c r="AP1508" s="210"/>
      <c r="AQ1508" s="210"/>
      <c r="AR1508" s="210"/>
      <c r="AS1508" s="210"/>
      <c r="AT1508" s="210"/>
      <c r="AU1508" s="210"/>
      <c r="AV1508" s="210"/>
      <c r="AW1508" s="210"/>
      <c r="AX1508" s="210"/>
      <c r="AY1508" s="210"/>
      <c r="AZ1508" s="210"/>
      <c r="BA1508" s="210"/>
      <c r="BB1508" s="210"/>
      <c r="BC1508" s="210"/>
      <c r="BD1508" s="210"/>
      <c r="BE1508" s="210"/>
      <c r="BF1508" s="210"/>
      <c r="BG1508" s="210"/>
      <c r="BH1508" s="210"/>
      <c r="BI1508" s="210"/>
      <c r="BJ1508" s="210"/>
      <c r="BK1508" s="210"/>
      <c r="BL1508" s="210"/>
      <c r="BM1508" s="210"/>
      <c r="BN1508" s="210"/>
      <c r="BO1508" s="210"/>
      <c r="BP1508" s="210"/>
      <c r="BQ1508" s="210"/>
      <c r="BR1508" s="210"/>
      <c r="BS1508" s="210"/>
      <c r="BT1508" s="210"/>
      <c r="BU1508" s="210"/>
      <c r="BV1508" s="210"/>
      <c r="BW1508" s="210"/>
      <c r="BX1508" s="210"/>
      <c r="BY1508" s="210"/>
      <c r="BZ1508" s="210"/>
      <c r="CA1508" s="210"/>
      <c r="CB1508" s="210"/>
      <c r="CC1508" s="210"/>
      <c r="CD1508" s="210"/>
      <c r="CE1508" s="210"/>
      <c r="CF1508" s="210"/>
      <c r="CG1508" s="210"/>
      <c r="CH1508" s="210"/>
      <c r="CI1508" s="210"/>
      <c r="CJ1508" s="210"/>
      <c r="CK1508" s="210"/>
    </row>
    <row r="1509">
      <c r="A1509" s="220"/>
      <c r="F1509" s="190"/>
      <c r="G1509" s="190"/>
      <c r="L1509" s="220"/>
      <c r="M1509" s="220"/>
      <c r="O1509" s="210"/>
      <c r="P1509" s="210"/>
      <c r="Q1509" s="210"/>
      <c r="R1509" s="210"/>
      <c r="S1509" s="210"/>
      <c r="T1509" s="210"/>
      <c r="U1509" s="210"/>
      <c r="V1509" s="210"/>
      <c r="W1509" s="210"/>
      <c r="X1509" s="210"/>
      <c r="Y1509" s="210"/>
      <c r="Z1509" s="210"/>
      <c r="AA1509" s="210"/>
      <c r="AB1509" s="210"/>
      <c r="AC1509" s="210"/>
      <c r="AD1509" s="210"/>
      <c r="AE1509" s="210"/>
      <c r="AF1509" s="210"/>
      <c r="AG1509" s="210"/>
      <c r="AH1509" s="210"/>
      <c r="AI1509" s="210"/>
      <c r="AJ1509" s="210"/>
      <c r="AK1509" s="210"/>
      <c r="AL1509" s="210"/>
      <c r="AM1509" s="214"/>
      <c r="AN1509" s="210"/>
      <c r="AO1509" s="210"/>
      <c r="AP1509" s="210"/>
      <c r="AQ1509" s="210"/>
      <c r="AR1509" s="210"/>
      <c r="AS1509" s="210"/>
      <c r="AT1509" s="210"/>
      <c r="AU1509" s="210"/>
      <c r="AV1509" s="210"/>
      <c r="AW1509" s="210"/>
      <c r="AX1509" s="210"/>
      <c r="AY1509" s="210"/>
      <c r="AZ1509" s="210"/>
      <c r="BA1509" s="210"/>
      <c r="BB1509" s="210"/>
      <c r="BC1509" s="210"/>
      <c r="BD1509" s="210"/>
      <c r="BE1509" s="210"/>
      <c r="BF1509" s="210"/>
      <c r="BG1509" s="210"/>
      <c r="BH1509" s="210"/>
      <c r="BI1509" s="210"/>
      <c r="BJ1509" s="210"/>
      <c r="BK1509" s="210"/>
      <c r="BL1509" s="210"/>
      <c r="BM1509" s="210"/>
      <c r="BN1509" s="210"/>
      <c r="BO1509" s="210"/>
      <c r="BP1509" s="210"/>
      <c r="BQ1509" s="210"/>
      <c r="BR1509" s="210"/>
      <c r="BS1509" s="210"/>
      <c r="BT1509" s="210"/>
      <c r="BU1509" s="210"/>
      <c r="BV1509" s="210"/>
      <c r="BW1509" s="210"/>
      <c r="BX1509" s="210"/>
      <c r="BY1509" s="210"/>
      <c r="BZ1509" s="210"/>
      <c r="CA1509" s="210"/>
      <c r="CB1509" s="210"/>
      <c r="CC1509" s="210"/>
      <c r="CD1509" s="210"/>
      <c r="CE1509" s="210"/>
      <c r="CF1509" s="210"/>
      <c r="CG1509" s="210"/>
      <c r="CH1509" s="210"/>
      <c r="CI1509" s="210"/>
      <c r="CJ1509" s="210"/>
      <c r="CK1509" s="210"/>
    </row>
    <row r="1510">
      <c r="A1510" s="220"/>
      <c r="F1510" s="190"/>
      <c r="G1510" s="190"/>
      <c r="L1510" s="220"/>
      <c r="M1510" s="220"/>
      <c r="O1510" s="210"/>
      <c r="P1510" s="210"/>
      <c r="Q1510" s="210"/>
      <c r="R1510" s="210"/>
      <c r="S1510" s="210"/>
      <c r="T1510" s="210"/>
      <c r="U1510" s="210"/>
      <c r="V1510" s="210"/>
      <c r="W1510" s="210"/>
      <c r="X1510" s="210"/>
      <c r="Y1510" s="210"/>
      <c r="Z1510" s="210"/>
      <c r="AA1510" s="210"/>
      <c r="AB1510" s="210"/>
      <c r="AC1510" s="210"/>
      <c r="AD1510" s="210"/>
      <c r="AE1510" s="210"/>
      <c r="AF1510" s="210"/>
      <c r="AG1510" s="210"/>
      <c r="AH1510" s="210"/>
      <c r="AI1510" s="210"/>
      <c r="AJ1510" s="210"/>
      <c r="AK1510" s="210"/>
      <c r="AL1510" s="210"/>
      <c r="AM1510" s="214"/>
      <c r="AN1510" s="210"/>
      <c r="AO1510" s="210"/>
      <c r="AP1510" s="210"/>
      <c r="AQ1510" s="210"/>
      <c r="AR1510" s="210"/>
      <c r="AS1510" s="210"/>
      <c r="AT1510" s="210"/>
      <c r="AU1510" s="210"/>
      <c r="AV1510" s="210"/>
      <c r="AW1510" s="210"/>
      <c r="AX1510" s="210"/>
      <c r="AY1510" s="210"/>
      <c r="AZ1510" s="210"/>
      <c r="BA1510" s="210"/>
      <c r="BB1510" s="210"/>
      <c r="BC1510" s="210"/>
      <c r="BD1510" s="210"/>
      <c r="BE1510" s="210"/>
      <c r="BF1510" s="210"/>
      <c r="BG1510" s="210"/>
      <c r="BH1510" s="210"/>
      <c r="BI1510" s="210"/>
      <c r="BJ1510" s="210"/>
      <c r="BK1510" s="210"/>
      <c r="BL1510" s="210"/>
      <c r="BM1510" s="210"/>
      <c r="BN1510" s="210"/>
      <c r="BO1510" s="210"/>
      <c r="BP1510" s="210"/>
      <c r="BQ1510" s="210"/>
      <c r="BR1510" s="210"/>
      <c r="BS1510" s="210"/>
      <c r="BT1510" s="210"/>
      <c r="BU1510" s="210"/>
      <c r="BV1510" s="210"/>
      <c r="BW1510" s="210"/>
      <c r="BX1510" s="210"/>
      <c r="BY1510" s="210"/>
      <c r="BZ1510" s="210"/>
      <c r="CA1510" s="210"/>
      <c r="CB1510" s="210"/>
      <c r="CC1510" s="210"/>
      <c r="CD1510" s="210"/>
      <c r="CE1510" s="210"/>
      <c r="CF1510" s="210"/>
      <c r="CG1510" s="210"/>
      <c r="CH1510" s="210"/>
      <c r="CI1510" s="210"/>
      <c r="CJ1510" s="210"/>
      <c r="CK1510" s="210"/>
    </row>
    <row r="1511">
      <c r="A1511" s="220"/>
      <c r="F1511" s="190"/>
      <c r="G1511" s="190"/>
      <c r="L1511" s="220"/>
      <c r="M1511" s="220"/>
      <c r="O1511" s="210"/>
      <c r="P1511" s="210"/>
      <c r="Q1511" s="210"/>
      <c r="R1511" s="210"/>
      <c r="S1511" s="210"/>
      <c r="T1511" s="210"/>
      <c r="U1511" s="210"/>
      <c r="V1511" s="210"/>
      <c r="W1511" s="210"/>
      <c r="X1511" s="210"/>
      <c r="Y1511" s="210"/>
      <c r="Z1511" s="210"/>
      <c r="AA1511" s="210"/>
      <c r="AB1511" s="210"/>
      <c r="AC1511" s="210"/>
      <c r="AD1511" s="210"/>
      <c r="AE1511" s="210"/>
      <c r="AF1511" s="210"/>
      <c r="AG1511" s="210"/>
      <c r="AH1511" s="210"/>
      <c r="AI1511" s="210"/>
      <c r="AJ1511" s="210"/>
      <c r="AK1511" s="210"/>
      <c r="AL1511" s="210"/>
      <c r="AM1511" s="214"/>
      <c r="AN1511" s="210"/>
      <c r="AO1511" s="210"/>
      <c r="AP1511" s="210"/>
      <c r="AQ1511" s="210"/>
      <c r="AR1511" s="210"/>
      <c r="AS1511" s="210"/>
      <c r="AT1511" s="210"/>
      <c r="AU1511" s="210"/>
      <c r="AV1511" s="210"/>
      <c r="AW1511" s="210"/>
      <c r="AX1511" s="210"/>
      <c r="AY1511" s="210"/>
      <c r="AZ1511" s="210"/>
      <c r="BA1511" s="210"/>
      <c r="BB1511" s="210"/>
      <c r="BC1511" s="210"/>
      <c r="BD1511" s="210"/>
      <c r="BE1511" s="210"/>
      <c r="BF1511" s="210"/>
      <c r="BG1511" s="210"/>
      <c r="BH1511" s="210"/>
      <c r="BI1511" s="210"/>
      <c r="BJ1511" s="210"/>
      <c r="BK1511" s="210"/>
      <c r="BL1511" s="210"/>
      <c r="BM1511" s="210"/>
      <c r="BN1511" s="210"/>
      <c r="BO1511" s="210"/>
      <c r="BP1511" s="210"/>
      <c r="BQ1511" s="210"/>
      <c r="BR1511" s="210"/>
      <c r="BS1511" s="210"/>
      <c r="BT1511" s="210"/>
      <c r="BU1511" s="210"/>
      <c r="BV1511" s="210"/>
      <c r="BW1511" s="210"/>
      <c r="BX1511" s="210"/>
      <c r="BY1511" s="210"/>
      <c r="BZ1511" s="210"/>
      <c r="CA1511" s="210"/>
      <c r="CB1511" s="210"/>
      <c r="CC1511" s="210"/>
      <c r="CD1511" s="210"/>
      <c r="CE1511" s="210"/>
      <c r="CF1511" s="210"/>
      <c r="CG1511" s="210"/>
      <c r="CH1511" s="210"/>
      <c r="CI1511" s="210"/>
      <c r="CJ1511" s="210"/>
      <c r="CK1511" s="210"/>
    </row>
    <row r="1512">
      <c r="A1512" s="220"/>
      <c r="F1512" s="190"/>
      <c r="G1512" s="190"/>
      <c r="L1512" s="220"/>
      <c r="M1512" s="220"/>
      <c r="O1512" s="210"/>
      <c r="P1512" s="210"/>
      <c r="Q1512" s="210"/>
      <c r="R1512" s="210"/>
      <c r="S1512" s="210"/>
      <c r="T1512" s="210"/>
      <c r="U1512" s="210"/>
      <c r="V1512" s="210"/>
      <c r="W1512" s="210"/>
      <c r="X1512" s="210"/>
      <c r="Y1512" s="210"/>
      <c r="Z1512" s="210"/>
      <c r="AA1512" s="210"/>
      <c r="AB1512" s="210"/>
      <c r="AC1512" s="210"/>
      <c r="AD1512" s="210"/>
      <c r="AE1512" s="210"/>
      <c r="AF1512" s="210"/>
      <c r="AG1512" s="210"/>
      <c r="AH1512" s="210"/>
      <c r="AI1512" s="210"/>
      <c r="AJ1512" s="210"/>
      <c r="AK1512" s="210"/>
      <c r="AL1512" s="210"/>
      <c r="AM1512" s="214"/>
      <c r="AN1512" s="210"/>
      <c r="AO1512" s="210"/>
      <c r="AP1512" s="210"/>
      <c r="AQ1512" s="210"/>
      <c r="AR1512" s="210"/>
      <c r="AS1512" s="210"/>
      <c r="AT1512" s="210"/>
      <c r="AU1512" s="210"/>
      <c r="AV1512" s="210"/>
      <c r="AW1512" s="210"/>
      <c r="AX1512" s="210"/>
      <c r="AY1512" s="210"/>
      <c r="AZ1512" s="210"/>
      <c r="BA1512" s="210"/>
      <c r="BB1512" s="210"/>
      <c r="BC1512" s="210"/>
      <c r="BD1512" s="210"/>
      <c r="BE1512" s="210"/>
      <c r="BF1512" s="210"/>
      <c r="BG1512" s="210"/>
      <c r="BH1512" s="210"/>
      <c r="BI1512" s="210"/>
      <c r="BJ1512" s="210"/>
      <c r="BK1512" s="210"/>
      <c r="BL1512" s="210"/>
      <c r="BM1512" s="210"/>
      <c r="BN1512" s="210"/>
      <c r="BO1512" s="210"/>
      <c r="BP1512" s="210"/>
      <c r="BQ1512" s="210"/>
      <c r="BR1512" s="210"/>
      <c r="BS1512" s="210"/>
      <c r="BT1512" s="210"/>
      <c r="BU1512" s="210"/>
      <c r="BV1512" s="210"/>
      <c r="BW1512" s="210"/>
      <c r="BX1512" s="210"/>
      <c r="BY1512" s="210"/>
      <c r="BZ1512" s="210"/>
      <c r="CA1512" s="210"/>
      <c r="CB1512" s="210"/>
      <c r="CC1512" s="210"/>
      <c r="CD1512" s="210"/>
      <c r="CE1512" s="210"/>
      <c r="CF1512" s="210"/>
      <c r="CG1512" s="210"/>
      <c r="CH1512" s="210"/>
      <c r="CI1512" s="210"/>
      <c r="CJ1512" s="210"/>
      <c r="CK1512" s="210"/>
    </row>
    <row r="1513">
      <c r="A1513" s="220"/>
      <c r="F1513" s="190"/>
      <c r="G1513" s="190"/>
      <c r="L1513" s="220"/>
      <c r="M1513" s="220"/>
      <c r="O1513" s="210"/>
      <c r="P1513" s="210"/>
      <c r="Q1513" s="210"/>
      <c r="R1513" s="210"/>
      <c r="S1513" s="210"/>
      <c r="T1513" s="210"/>
      <c r="U1513" s="210"/>
      <c r="V1513" s="210"/>
      <c r="W1513" s="210"/>
      <c r="X1513" s="210"/>
      <c r="Y1513" s="210"/>
      <c r="Z1513" s="210"/>
      <c r="AA1513" s="210"/>
      <c r="AB1513" s="210"/>
      <c r="AC1513" s="210"/>
      <c r="AD1513" s="210"/>
      <c r="AE1513" s="210"/>
      <c r="AF1513" s="210"/>
      <c r="AG1513" s="210"/>
      <c r="AH1513" s="210"/>
      <c r="AI1513" s="210"/>
      <c r="AJ1513" s="210"/>
      <c r="AK1513" s="210"/>
      <c r="AL1513" s="210"/>
      <c r="AM1513" s="214"/>
      <c r="AN1513" s="210"/>
      <c r="AO1513" s="210"/>
      <c r="AP1513" s="210"/>
      <c r="AQ1513" s="210"/>
      <c r="AR1513" s="210"/>
      <c r="AS1513" s="210"/>
      <c r="AT1513" s="210"/>
      <c r="AU1513" s="210"/>
      <c r="AV1513" s="210"/>
      <c r="AW1513" s="210"/>
      <c r="AX1513" s="210"/>
      <c r="AY1513" s="210"/>
      <c r="AZ1513" s="210"/>
      <c r="BA1513" s="210"/>
      <c r="BB1513" s="210"/>
      <c r="BC1513" s="210"/>
      <c r="BD1513" s="210"/>
      <c r="BE1513" s="210"/>
      <c r="BF1513" s="210"/>
      <c r="BG1513" s="210"/>
      <c r="BH1513" s="210"/>
      <c r="BI1513" s="210"/>
      <c r="BJ1513" s="210"/>
      <c r="BK1513" s="210"/>
      <c r="BL1513" s="210"/>
      <c r="BM1513" s="210"/>
      <c r="BN1513" s="210"/>
      <c r="BO1513" s="210"/>
      <c r="BP1513" s="210"/>
      <c r="BQ1513" s="210"/>
      <c r="BR1513" s="210"/>
      <c r="BS1513" s="210"/>
      <c r="BT1513" s="210"/>
      <c r="BU1513" s="210"/>
      <c r="BV1513" s="210"/>
      <c r="BW1513" s="210"/>
      <c r="BX1513" s="210"/>
      <c r="BY1513" s="210"/>
      <c r="BZ1513" s="210"/>
      <c r="CA1513" s="210"/>
      <c r="CB1513" s="210"/>
      <c r="CC1513" s="210"/>
      <c r="CD1513" s="210"/>
      <c r="CE1513" s="210"/>
      <c r="CF1513" s="210"/>
      <c r="CG1513" s="210"/>
      <c r="CH1513" s="210"/>
      <c r="CI1513" s="210"/>
      <c r="CJ1513" s="210"/>
      <c r="CK1513" s="210"/>
    </row>
    <row r="1514">
      <c r="A1514" s="220"/>
      <c r="F1514" s="190"/>
      <c r="G1514" s="190"/>
      <c r="L1514" s="220"/>
      <c r="M1514" s="220"/>
      <c r="O1514" s="210"/>
      <c r="P1514" s="210"/>
      <c r="Q1514" s="210"/>
      <c r="R1514" s="210"/>
      <c r="S1514" s="210"/>
      <c r="T1514" s="210"/>
      <c r="U1514" s="210"/>
      <c r="V1514" s="210"/>
      <c r="W1514" s="210"/>
      <c r="X1514" s="210"/>
      <c r="Y1514" s="210"/>
      <c r="Z1514" s="210"/>
      <c r="AA1514" s="210"/>
      <c r="AB1514" s="210"/>
      <c r="AC1514" s="210"/>
      <c r="AD1514" s="210"/>
      <c r="AE1514" s="210"/>
      <c r="AF1514" s="210"/>
      <c r="AG1514" s="210"/>
      <c r="AH1514" s="210"/>
      <c r="AI1514" s="210"/>
      <c r="AJ1514" s="210"/>
      <c r="AK1514" s="210"/>
      <c r="AL1514" s="210"/>
      <c r="AM1514" s="214"/>
      <c r="AN1514" s="210"/>
      <c r="AO1514" s="210"/>
      <c r="AP1514" s="210"/>
      <c r="AQ1514" s="210"/>
      <c r="AR1514" s="210"/>
      <c r="AS1514" s="210"/>
      <c r="AT1514" s="210"/>
      <c r="AU1514" s="210"/>
      <c r="AV1514" s="210"/>
      <c r="AW1514" s="210"/>
      <c r="AX1514" s="210"/>
      <c r="AY1514" s="210"/>
      <c r="AZ1514" s="210"/>
      <c r="BA1514" s="210"/>
      <c r="BB1514" s="210"/>
      <c r="BC1514" s="210"/>
      <c r="BD1514" s="210"/>
      <c r="BE1514" s="210"/>
      <c r="BF1514" s="210"/>
      <c r="BG1514" s="210"/>
      <c r="BH1514" s="210"/>
      <c r="BI1514" s="210"/>
      <c r="BJ1514" s="210"/>
      <c r="BK1514" s="210"/>
      <c r="BL1514" s="210"/>
      <c r="BM1514" s="210"/>
      <c r="BN1514" s="210"/>
      <c r="BO1514" s="210"/>
      <c r="BP1514" s="210"/>
      <c r="BQ1514" s="210"/>
      <c r="BR1514" s="210"/>
      <c r="BS1514" s="210"/>
      <c r="BT1514" s="210"/>
      <c r="BU1514" s="210"/>
      <c r="BV1514" s="210"/>
      <c r="BW1514" s="210"/>
      <c r="BX1514" s="210"/>
      <c r="BY1514" s="210"/>
      <c r="BZ1514" s="210"/>
      <c r="CA1514" s="210"/>
      <c r="CB1514" s="210"/>
      <c r="CC1514" s="210"/>
      <c r="CD1514" s="210"/>
      <c r="CE1514" s="210"/>
      <c r="CF1514" s="210"/>
      <c r="CG1514" s="210"/>
      <c r="CH1514" s="210"/>
      <c r="CI1514" s="210"/>
      <c r="CJ1514" s="210"/>
      <c r="CK1514" s="210"/>
    </row>
    <row r="1515">
      <c r="A1515" s="220"/>
      <c r="F1515" s="190"/>
      <c r="G1515" s="190"/>
      <c r="L1515" s="220"/>
      <c r="M1515" s="220"/>
      <c r="O1515" s="210"/>
      <c r="P1515" s="210"/>
      <c r="Q1515" s="210"/>
      <c r="R1515" s="210"/>
      <c r="S1515" s="210"/>
      <c r="T1515" s="210"/>
      <c r="U1515" s="210"/>
      <c r="V1515" s="210"/>
      <c r="W1515" s="210"/>
      <c r="X1515" s="210"/>
      <c r="Y1515" s="210"/>
      <c r="Z1515" s="210"/>
      <c r="AA1515" s="210"/>
      <c r="AB1515" s="210"/>
      <c r="AC1515" s="210"/>
      <c r="AD1515" s="210"/>
      <c r="AE1515" s="210"/>
      <c r="AF1515" s="210"/>
      <c r="AG1515" s="210"/>
      <c r="AH1515" s="210"/>
      <c r="AI1515" s="210"/>
      <c r="AJ1515" s="210"/>
      <c r="AK1515" s="210"/>
      <c r="AL1515" s="210"/>
      <c r="AM1515" s="214"/>
      <c r="AN1515" s="210"/>
      <c r="AO1515" s="210"/>
      <c r="AP1515" s="210"/>
      <c r="AQ1515" s="210"/>
      <c r="AR1515" s="210"/>
      <c r="AS1515" s="210"/>
      <c r="AT1515" s="210"/>
      <c r="AU1515" s="210"/>
      <c r="AV1515" s="210"/>
      <c r="AW1515" s="210"/>
      <c r="AX1515" s="210"/>
      <c r="AY1515" s="210"/>
      <c r="AZ1515" s="210"/>
      <c r="BA1515" s="210"/>
      <c r="BB1515" s="210"/>
      <c r="BC1515" s="210"/>
      <c r="BD1515" s="210"/>
      <c r="BE1515" s="210"/>
      <c r="BF1515" s="210"/>
      <c r="BG1515" s="210"/>
      <c r="BH1515" s="210"/>
      <c r="BI1515" s="210"/>
      <c r="BJ1515" s="210"/>
      <c r="BK1515" s="210"/>
      <c r="BL1515" s="210"/>
      <c r="BM1515" s="210"/>
      <c r="BN1515" s="210"/>
      <c r="BO1515" s="210"/>
      <c r="BP1515" s="210"/>
      <c r="BQ1515" s="210"/>
      <c r="BR1515" s="210"/>
      <c r="BS1515" s="210"/>
      <c r="BT1515" s="210"/>
      <c r="BU1515" s="210"/>
      <c r="BV1515" s="210"/>
      <c r="BW1515" s="210"/>
      <c r="BX1515" s="210"/>
      <c r="BY1515" s="210"/>
      <c r="BZ1515" s="210"/>
      <c r="CA1515" s="210"/>
      <c r="CB1515" s="210"/>
      <c r="CC1515" s="210"/>
      <c r="CD1515" s="210"/>
      <c r="CE1515" s="210"/>
      <c r="CF1515" s="210"/>
      <c r="CG1515" s="210"/>
      <c r="CH1515" s="210"/>
      <c r="CI1515" s="210"/>
      <c r="CJ1515" s="210"/>
      <c r="CK1515" s="210"/>
    </row>
    <row r="1516">
      <c r="A1516" s="220"/>
      <c r="F1516" s="190"/>
      <c r="G1516" s="190"/>
      <c r="L1516" s="220"/>
      <c r="M1516" s="220"/>
      <c r="O1516" s="210"/>
      <c r="P1516" s="210"/>
      <c r="Q1516" s="210"/>
      <c r="R1516" s="210"/>
      <c r="S1516" s="210"/>
      <c r="T1516" s="210"/>
      <c r="U1516" s="210"/>
      <c r="V1516" s="210"/>
      <c r="W1516" s="210"/>
      <c r="X1516" s="210"/>
      <c r="Y1516" s="210"/>
      <c r="Z1516" s="210"/>
      <c r="AA1516" s="210"/>
      <c r="AB1516" s="210"/>
      <c r="AC1516" s="210"/>
      <c r="AD1516" s="210"/>
      <c r="AE1516" s="210"/>
      <c r="AF1516" s="210"/>
      <c r="AG1516" s="210"/>
      <c r="AH1516" s="210"/>
      <c r="AI1516" s="210"/>
      <c r="AJ1516" s="210"/>
      <c r="AK1516" s="210"/>
      <c r="AL1516" s="210"/>
      <c r="AM1516" s="214"/>
      <c r="AN1516" s="210"/>
      <c r="AO1516" s="210"/>
      <c r="AP1516" s="210"/>
      <c r="AQ1516" s="210"/>
      <c r="AR1516" s="210"/>
      <c r="AS1516" s="210"/>
      <c r="AT1516" s="210"/>
      <c r="AU1516" s="210"/>
      <c r="AV1516" s="210"/>
      <c r="AW1516" s="210"/>
      <c r="AX1516" s="210"/>
      <c r="AY1516" s="210"/>
      <c r="AZ1516" s="210"/>
      <c r="BA1516" s="210"/>
      <c r="BB1516" s="210"/>
      <c r="BC1516" s="210"/>
      <c r="BD1516" s="210"/>
      <c r="BE1516" s="210"/>
      <c r="BF1516" s="210"/>
      <c r="BG1516" s="210"/>
      <c r="BH1516" s="210"/>
      <c r="BI1516" s="210"/>
      <c r="BJ1516" s="210"/>
      <c r="BK1516" s="210"/>
      <c r="BL1516" s="210"/>
      <c r="BM1516" s="210"/>
      <c r="BN1516" s="210"/>
      <c r="BO1516" s="210"/>
      <c r="BP1516" s="210"/>
      <c r="BQ1516" s="210"/>
      <c r="BR1516" s="210"/>
      <c r="BS1516" s="210"/>
      <c r="BT1516" s="210"/>
      <c r="BU1516" s="210"/>
      <c r="BV1516" s="210"/>
      <c r="BW1516" s="210"/>
      <c r="BX1516" s="210"/>
      <c r="BY1516" s="210"/>
      <c r="BZ1516" s="210"/>
      <c r="CA1516" s="210"/>
      <c r="CB1516" s="210"/>
      <c r="CC1516" s="210"/>
      <c r="CD1516" s="210"/>
      <c r="CE1516" s="210"/>
      <c r="CF1516" s="210"/>
      <c r="CG1516" s="210"/>
      <c r="CH1516" s="210"/>
      <c r="CI1516" s="210"/>
      <c r="CJ1516" s="210"/>
      <c r="CK1516" s="210"/>
    </row>
    <row r="1517">
      <c r="A1517" s="220"/>
      <c r="F1517" s="190"/>
      <c r="G1517" s="190"/>
      <c r="L1517" s="220"/>
      <c r="M1517" s="220"/>
      <c r="O1517" s="210"/>
      <c r="P1517" s="210"/>
      <c r="Q1517" s="210"/>
      <c r="R1517" s="210"/>
      <c r="S1517" s="210"/>
      <c r="T1517" s="210"/>
      <c r="U1517" s="210"/>
      <c r="V1517" s="210"/>
      <c r="W1517" s="210"/>
      <c r="X1517" s="210"/>
      <c r="Y1517" s="210"/>
      <c r="Z1517" s="210"/>
      <c r="AA1517" s="210"/>
      <c r="AB1517" s="210"/>
      <c r="AC1517" s="210"/>
      <c r="AD1517" s="210"/>
      <c r="AE1517" s="210"/>
      <c r="AF1517" s="210"/>
      <c r="AG1517" s="210"/>
      <c r="AH1517" s="210"/>
      <c r="AI1517" s="210"/>
      <c r="AJ1517" s="210"/>
      <c r="AK1517" s="210"/>
      <c r="AL1517" s="210"/>
      <c r="AM1517" s="214"/>
      <c r="AN1517" s="210"/>
      <c r="AO1517" s="210"/>
      <c r="AP1517" s="210"/>
      <c r="AQ1517" s="210"/>
      <c r="AR1517" s="210"/>
      <c r="AS1517" s="210"/>
      <c r="AT1517" s="210"/>
      <c r="AU1517" s="210"/>
      <c r="AV1517" s="210"/>
      <c r="AW1517" s="210"/>
      <c r="AX1517" s="210"/>
      <c r="AY1517" s="210"/>
      <c r="AZ1517" s="210"/>
      <c r="BA1517" s="210"/>
      <c r="BB1517" s="210"/>
      <c r="BC1517" s="210"/>
      <c r="BD1517" s="210"/>
      <c r="BE1517" s="210"/>
      <c r="BF1517" s="210"/>
      <c r="BG1517" s="210"/>
      <c r="BH1517" s="210"/>
      <c r="BI1517" s="210"/>
      <c r="BJ1517" s="210"/>
      <c r="BK1517" s="210"/>
      <c r="BL1517" s="210"/>
      <c r="BM1517" s="210"/>
      <c r="BN1517" s="210"/>
      <c r="BO1517" s="210"/>
      <c r="BP1517" s="210"/>
      <c r="BQ1517" s="210"/>
      <c r="BR1517" s="210"/>
      <c r="BS1517" s="210"/>
      <c r="BT1517" s="210"/>
      <c r="BU1517" s="210"/>
      <c r="BV1517" s="210"/>
      <c r="BW1517" s="210"/>
      <c r="BX1517" s="210"/>
      <c r="BY1517" s="210"/>
      <c r="BZ1517" s="210"/>
      <c r="CA1517" s="210"/>
      <c r="CB1517" s="210"/>
      <c r="CC1517" s="210"/>
      <c r="CD1517" s="210"/>
      <c r="CE1517" s="210"/>
      <c r="CF1517" s="210"/>
      <c r="CG1517" s="210"/>
      <c r="CH1517" s="210"/>
      <c r="CI1517" s="210"/>
      <c r="CJ1517" s="210"/>
      <c r="CK1517" s="210"/>
    </row>
    <row r="1518">
      <c r="A1518" s="220"/>
      <c r="F1518" s="190"/>
      <c r="G1518" s="190"/>
      <c r="L1518" s="220"/>
      <c r="M1518" s="220"/>
      <c r="O1518" s="210"/>
      <c r="P1518" s="210"/>
      <c r="Q1518" s="210"/>
      <c r="R1518" s="210"/>
      <c r="S1518" s="210"/>
      <c r="T1518" s="210"/>
      <c r="U1518" s="210"/>
      <c r="V1518" s="210"/>
      <c r="W1518" s="210"/>
      <c r="X1518" s="210"/>
      <c r="Y1518" s="210"/>
      <c r="Z1518" s="210"/>
      <c r="AA1518" s="210"/>
      <c r="AB1518" s="210"/>
      <c r="AC1518" s="210"/>
      <c r="AD1518" s="210"/>
      <c r="AE1518" s="210"/>
      <c r="AF1518" s="210"/>
      <c r="AG1518" s="210"/>
      <c r="AH1518" s="210"/>
      <c r="AI1518" s="210"/>
      <c r="AJ1518" s="210"/>
      <c r="AK1518" s="210"/>
      <c r="AL1518" s="210"/>
      <c r="AM1518" s="214"/>
      <c r="AN1518" s="210"/>
      <c r="AO1518" s="210"/>
      <c r="AP1518" s="210"/>
      <c r="AQ1518" s="210"/>
      <c r="AR1518" s="210"/>
      <c r="AS1518" s="210"/>
      <c r="AT1518" s="210"/>
      <c r="AU1518" s="210"/>
      <c r="AV1518" s="210"/>
      <c r="AW1518" s="210"/>
      <c r="AX1518" s="210"/>
      <c r="AY1518" s="210"/>
      <c r="AZ1518" s="210"/>
      <c r="BA1518" s="210"/>
      <c r="BB1518" s="210"/>
      <c r="BC1518" s="210"/>
      <c r="BD1518" s="210"/>
      <c r="BE1518" s="210"/>
      <c r="BF1518" s="210"/>
      <c r="BG1518" s="210"/>
      <c r="BH1518" s="210"/>
      <c r="BI1518" s="210"/>
      <c r="BJ1518" s="210"/>
      <c r="BK1518" s="210"/>
      <c r="BL1518" s="210"/>
      <c r="BM1518" s="210"/>
      <c r="BN1518" s="210"/>
      <c r="BO1518" s="210"/>
      <c r="BP1518" s="210"/>
      <c r="BQ1518" s="210"/>
      <c r="BR1518" s="210"/>
      <c r="BS1518" s="210"/>
      <c r="BT1518" s="210"/>
      <c r="BU1518" s="210"/>
      <c r="BV1518" s="210"/>
      <c r="BW1518" s="210"/>
      <c r="BX1518" s="210"/>
      <c r="BY1518" s="210"/>
      <c r="BZ1518" s="210"/>
      <c r="CA1518" s="210"/>
      <c r="CB1518" s="210"/>
      <c r="CC1518" s="210"/>
      <c r="CD1518" s="210"/>
      <c r="CE1518" s="210"/>
      <c r="CF1518" s="210"/>
      <c r="CG1518" s="210"/>
      <c r="CH1518" s="210"/>
      <c r="CI1518" s="210"/>
      <c r="CJ1518" s="210"/>
      <c r="CK1518" s="210"/>
    </row>
    <row r="1519">
      <c r="A1519" s="220"/>
      <c r="F1519" s="190"/>
      <c r="G1519" s="190"/>
      <c r="L1519" s="220"/>
      <c r="M1519" s="220"/>
      <c r="O1519" s="210"/>
      <c r="P1519" s="210"/>
      <c r="Q1519" s="210"/>
      <c r="R1519" s="210"/>
      <c r="S1519" s="210"/>
      <c r="T1519" s="210"/>
      <c r="U1519" s="210"/>
      <c r="V1519" s="210"/>
      <c r="W1519" s="210"/>
      <c r="X1519" s="210"/>
      <c r="Y1519" s="210"/>
      <c r="Z1519" s="210"/>
      <c r="AA1519" s="210"/>
      <c r="AB1519" s="210"/>
      <c r="AC1519" s="210"/>
      <c r="AD1519" s="210"/>
      <c r="AE1519" s="210"/>
      <c r="AF1519" s="210"/>
      <c r="AG1519" s="210"/>
      <c r="AH1519" s="210"/>
      <c r="AI1519" s="210"/>
      <c r="AJ1519" s="210"/>
      <c r="AK1519" s="210"/>
      <c r="AL1519" s="210"/>
      <c r="AM1519" s="214"/>
      <c r="AN1519" s="210"/>
      <c r="AO1519" s="210"/>
      <c r="AP1519" s="210"/>
      <c r="AQ1519" s="210"/>
      <c r="AR1519" s="210"/>
      <c r="AS1519" s="210"/>
      <c r="AT1519" s="210"/>
      <c r="AU1519" s="210"/>
      <c r="AV1519" s="210"/>
      <c r="AW1519" s="210"/>
      <c r="AX1519" s="210"/>
      <c r="AY1519" s="210"/>
      <c r="AZ1519" s="210"/>
      <c r="BA1519" s="210"/>
      <c r="BB1519" s="210"/>
      <c r="BC1519" s="210"/>
      <c r="BD1519" s="210"/>
      <c r="BE1519" s="210"/>
      <c r="BF1519" s="210"/>
      <c r="BG1519" s="210"/>
      <c r="BH1519" s="210"/>
      <c r="BI1519" s="210"/>
      <c r="BJ1519" s="210"/>
      <c r="BK1519" s="210"/>
      <c r="BL1519" s="210"/>
      <c r="BM1519" s="210"/>
      <c r="BN1519" s="210"/>
      <c r="BO1519" s="210"/>
      <c r="BP1519" s="210"/>
      <c r="BQ1519" s="210"/>
      <c r="BR1519" s="210"/>
      <c r="BS1519" s="210"/>
      <c r="BT1519" s="210"/>
      <c r="BU1519" s="210"/>
      <c r="BV1519" s="210"/>
      <c r="BW1519" s="210"/>
      <c r="BX1519" s="210"/>
      <c r="BY1519" s="210"/>
      <c r="BZ1519" s="210"/>
      <c r="CA1519" s="210"/>
      <c r="CB1519" s="210"/>
      <c r="CC1519" s="210"/>
      <c r="CD1519" s="210"/>
      <c r="CE1519" s="210"/>
      <c r="CF1519" s="210"/>
      <c r="CG1519" s="210"/>
      <c r="CH1519" s="210"/>
      <c r="CI1519" s="210"/>
      <c r="CJ1519" s="210"/>
      <c r="CK1519" s="210"/>
    </row>
    <row r="1520">
      <c r="A1520" s="220"/>
      <c r="F1520" s="190"/>
      <c r="G1520" s="190"/>
      <c r="L1520" s="220"/>
      <c r="M1520" s="220"/>
      <c r="O1520" s="210"/>
      <c r="P1520" s="210"/>
      <c r="Q1520" s="210"/>
      <c r="R1520" s="210"/>
      <c r="S1520" s="210"/>
      <c r="T1520" s="210"/>
      <c r="U1520" s="210"/>
      <c r="V1520" s="210"/>
      <c r="W1520" s="210"/>
      <c r="X1520" s="210"/>
      <c r="Y1520" s="210"/>
      <c r="Z1520" s="210"/>
      <c r="AA1520" s="210"/>
      <c r="AB1520" s="210"/>
      <c r="AC1520" s="210"/>
      <c r="AD1520" s="210"/>
      <c r="AE1520" s="210"/>
      <c r="AF1520" s="210"/>
      <c r="AG1520" s="210"/>
      <c r="AH1520" s="210"/>
      <c r="AI1520" s="210"/>
      <c r="AJ1520" s="210"/>
      <c r="AK1520" s="210"/>
      <c r="AL1520" s="210"/>
      <c r="AM1520" s="214"/>
      <c r="AN1520" s="210"/>
      <c r="AO1520" s="210"/>
      <c r="AP1520" s="210"/>
      <c r="AQ1520" s="210"/>
      <c r="AR1520" s="210"/>
      <c r="AS1520" s="210"/>
      <c r="AT1520" s="210"/>
      <c r="AU1520" s="210"/>
      <c r="AV1520" s="210"/>
      <c r="AW1520" s="210"/>
      <c r="AX1520" s="210"/>
      <c r="AY1520" s="210"/>
      <c r="AZ1520" s="210"/>
      <c r="BA1520" s="210"/>
      <c r="BB1520" s="210"/>
      <c r="BC1520" s="210"/>
      <c r="BD1520" s="210"/>
      <c r="BE1520" s="210"/>
      <c r="BF1520" s="210"/>
      <c r="BG1520" s="210"/>
      <c r="BH1520" s="210"/>
      <c r="BI1520" s="210"/>
      <c r="BJ1520" s="210"/>
      <c r="BK1520" s="210"/>
      <c r="BL1520" s="210"/>
      <c r="BM1520" s="210"/>
      <c r="BN1520" s="210"/>
      <c r="BO1520" s="210"/>
      <c r="BP1520" s="210"/>
      <c r="BQ1520" s="210"/>
      <c r="BR1520" s="210"/>
      <c r="BS1520" s="210"/>
      <c r="BT1520" s="210"/>
      <c r="BU1520" s="210"/>
      <c r="BV1520" s="210"/>
      <c r="BW1520" s="210"/>
      <c r="BX1520" s="210"/>
      <c r="BY1520" s="210"/>
      <c r="BZ1520" s="210"/>
      <c r="CA1520" s="210"/>
      <c r="CB1520" s="210"/>
      <c r="CC1520" s="210"/>
      <c r="CD1520" s="210"/>
      <c r="CE1520" s="210"/>
      <c r="CF1520" s="210"/>
      <c r="CG1520" s="210"/>
      <c r="CH1520" s="210"/>
      <c r="CI1520" s="210"/>
      <c r="CJ1520" s="210"/>
      <c r="CK1520" s="210"/>
    </row>
    <row r="1521">
      <c r="A1521" s="220"/>
      <c r="F1521" s="190"/>
      <c r="G1521" s="190"/>
      <c r="L1521" s="220"/>
      <c r="M1521" s="220"/>
      <c r="O1521" s="210"/>
      <c r="P1521" s="210"/>
      <c r="Q1521" s="210"/>
      <c r="R1521" s="210"/>
      <c r="S1521" s="210"/>
      <c r="T1521" s="210"/>
      <c r="U1521" s="210"/>
      <c r="V1521" s="210"/>
      <c r="W1521" s="210"/>
      <c r="X1521" s="210"/>
      <c r="Y1521" s="210"/>
      <c r="Z1521" s="210"/>
      <c r="AA1521" s="210"/>
      <c r="AB1521" s="210"/>
      <c r="AC1521" s="210"/>
      <c r="AD1521" s="210"/>
      <c r="AE1521" s="210"/>
      <c r="AF1521" s="210"/>
      <c r="AG1521" s="210"/>
      <c r="AH1521" s="210"/>
      <c r="AI1521" s="210"/>
      <c r="AJ1521" s="210"/>
      <c r="AK1521" s="210"/>
      <c r="AL1521" s="210"/>
      <c r="AM1521" s="214"/>
      <c r="AN1521" s="210"/>
      <c r="AO1521" s="210"/>
      <c r="AP1521" s="210"/>
      <c r="AQ1521" s="210"/>
      <c r="AR1521" s="210"/>
      <c r="AS1521" s="210"/>
      <c r="AT1521" s="210"/>
      <c r="AU1521" s="210"/>
      <c r="AV1521" s="210"/>
      <c r="AW1521" s="210"/>
      <c r="AX1521" s="210"/>
      <c r="AY1521" s="210"/>
      <c r="AZ1521" s="210"/>
      <c r="BA1521" s="210"/>
      <c r="BB1521" s="210"/>
      <c r="BC1521" s="210"/>
      <c r="BD1521" s="210"/>
      <c r="BE1521" s="210"/>
      <c r="BF1521" s="210"/>
      <c r="BG1521" s="210"/>
      <c r="BH1521" s="210"/>
      <c r="BI1521" s="210"/>
      <c r="BJ1521" s="210"/>
      <c r="BK1521" s="210"/>
      <c r="BL1521" s="210"/>
      <c r="BM1521" s="210"/>
      <c r="BN1521" s="210"/>
      <c r="BO1521" s="210"/>
      <c r="BP1521" s="210"/>
      <c r="BQ1521" s="210"/>
      <c r="BR1521" s="210"/>
      <c r="BS1521" s="210"/>
      <c r="BT1521" s="210"/>
      <c r="BU1521" s="210"/>
      <c r="BV1521" s="210"/>
      <c r="BW1521" s="210"/>
      <c r="BX1521" s="210"/>
      <c r="BY1521" s="210"/>
      <c r="BZ1521" s="210"/>
      <c r="CA1521" s="210"/>
      <c r="CB1521" s="210"/>
      <c r="CC1521" s="210"/>
      <c r="CD1521" s="210"/>
      <c r="CE1521" s="210"/>
      <c r="CF1521" s="210"/>
      <c r="CG1521" s="210"/>
      <c r="CH1521" s="210"/>
      <c r="CI1521" s="210"/>
      <c r="CJ1521" s="210"/>
      <c r="CK1521" s="210"/>
    </row>
    <row r="1522">
      <c r="A1522" s="220"/>
      <c r="F1522" s="190"/>
      <c r="G1522" s="190"/>
      <c r="L1522" s="220"/>
      <c r="M1522" s="220"/>
      <c r="O1522" s="210"/>
      <c r="P1522" s="210"/>
      <c r="Q1522" s="210"/>
      <c r="R1522" s="210"/>
      <c r="S1522" s="210"/>
      <c r="T1522" s="210"/>
      <c r="U1522" s="210"/>
      <c r="V1522" s="210"/>
      <c r="W1522" s="210"/>
      <c r="X1522" s="210"/>
      <c r="Y1522" s="210"/>
      <c r="Z1522" s="210"/>
      <c r="AA1522" s="210"/>
      <c r="AB1522" s="210"/>
      <c r="AC1522" s="210"/>
      <c r="AD1522" s="210"/>
      <c r="AE1522" s="210"/>
      <c r="AF1522" s="210"/>
      <c r="AG1522" s="210"/>
      <c r="AH1522" s="210"/>
      <c r="AI1522" s="210"/>
      <c r="AJ1522" s="210"/>
      <c r="AK1522" s="210"/>
      <c r="AL1522" s="210"/>
      <c r="AM1522" s="214"/>
      <c r="AN1522" s="210"/>
      <c r="AO1522" s="210"/>
      <c r="AP1522" s="210"/>
      <c r="AQ1522" s="210"/>
      <c r="AR1522" s="210"/>
      <c r="AS1522" s="210"/>
      <c r="AT1522" s="210"/>
      <c r="AU1522" s="210"/>
      <c r="AV1522" s="210"/>
      <c r="AW1522" s="210"/>
      <c r="AX1522" s="210"/>
      <c r="AY1522" s="210"/>
      <c r="AZ1522" s="210"/>
      <c r="BA1522" s="210"/>
      <c r="BB1522" s="210"/>
      <c r="BC1522" s="210"/>
      <c r="BD1522" s="210"/>
      <c r="BE1522" s="210"/>
      <c r="BF1522" s="210"/>
      <c r="BG1522" s="210"/>
      <c r="BH1522" s="210"/>
      <c r="BI1522" s="210"/>
      <c r="BJ1522" s="210"/>
      <c r="BK1522" s="210"/>
      <c r="BL1522" s="210"/>
      <c r="BM1522" s="210"/>
      <c r="BN1522" s="210"/>
      <c r="BO1522" s="210"/>
      <c r="BP1522" s="210"/>
      <c r="BQ1522" s="210"/>
      <c r="BR1522" s="210"/>
      <c r="BS1522" s="210"/>
      <c r="BT1522" s="210"/>
      <c r="BU1522" s="210"/>
      <c r="BV1522" s="210"/>
      <c r="BW1522" s="210"/>
      <c r="BX1522" s="210"/>
      <c r="BY1522" s="210"/>
      <c r="BZ1522" s="210"/>
      <c r="CA1522" s="210"/>
      <c r="CB1522" s="210"/>
      <c r="CC1522" s="210"/>
      <c r="CD1522" s="210"/>
      <c r="CE1522" s="210"/>
      <c r="CF1522" s="210"/>
      <c r="CG1522" s="210"/>
      <c r="CH1522" s="210"/>
      <c r="CI1522" s="210"/>
      <c r="CJ1522" s="210"/>
      <c r="CK1522" s="210"/>
    </row>
    <row r="1523">
      <c r="A1523" s="220"/>
      <c r="F1523" s="190"/>
      <c r="G1523" s="190"/>
      <c r="L1523" s="220"/>
      <c r="M1523" s="220"/>
      <c r="O1523" s="210"/>
      <c r="P1523" s="210"/>
      <c r="Q1523" s="210"/>
      <c r="R1523" s="210"/>
      <c r="S1523" s="210"/>
      <c r="T1523" s="210"/>
      <c r="U1523" s="210"/>
      <c r="V1523" s="210"/>
      <c r="W1523" s="210"/>
      <c r="X1523" s="210"/>
      <c r="Y1523" s="210"/>
      <c r="Z1523" s="210"/>
      <c r="AA1523" s="210"/>
      <c r="AB1523" s="210"/>
      <c r="AC1523" s="210"/>
      <c r="AD1523" s="210"/>
      <c r="AE1523" s="210"/>
      <c r="AF1523" s="210"/>
      <c r="AG1523" s="210"/>
      <c r="AH1523" s="210"/>
      <c r="AI1523" s="210"/>
      <c r="AJ1523" s="210"/>
      <c r="AK1523" s="210"/>
      <c r="AL1523" s="210"/>
      <c r="AM1523" s="214"/>
      <c r="AN1523" s="210"/>
      <c r="AO1523" s="210"/>
      <c r="AP1523" s="210"/>
      <c r="AQ1523" s="210"/>
      <c r="AR1523" s="210"/>
      <c r="AS1523" s="210"/>
      <c r="AT1523" s="210"/>
      <c r="AU1523" s="210"/>
      <c r="AV1523" s="210"/>
      <c r="AW1523" s="210"/>
      <c r="AX1523" s="210"/>
      <c r="AY1523" s="210"/>
      <c r="AZ1523" s="210"/>
      <c r="BA1523" s="210"/>
      <c r="BB1523" s="210"/>
      <c r="BC1523" s="210"/>
      <c r="BD1523" s="210"/>
      <c r="BE1523" s="210"/>
      <c r="BF1523" s="210"/>
      <c r="BG1523" s="210"/>
      <c r="BH1523" s="210"/>
      <c r="BI1523" s="210"/>
      <c r="BJ1523" s="210"/>
      <c r="BK1523" s="210"/>
      <c r="BL1523" s="210"/>
      <c r="BM1523" s="210"/>
      <c r="BN1523" s="210"/>
      <c r="BO1523" s="210"/>
      <c r="BP1523" s="210"/>
      <c r="BQ1523" s="210"/>
      <c r="BR1523" s="210"/>
      <c r="BS1523" s="210"/>
      <c r="BT1523" s="210"/>
      <c r="BU1523" s="210"/>
      <c r="BV1523" s="210"/>
      <c r="BW1523" s="210"/>
      <c r="BX1523" s="210"/>
      <c r="BY1523" s="210"/>
      <c r="BZ1523" s="210"/>
      <c r="CA1523" s="210"/>
      <c r="CB1523" s="210"/>
      <c r="CC1523" s="210"/>
      <c r="CD1523" s="210"/>
      <c r="CE1523" s="210"/>
      <c r="CF1523" s="210"/>
      <c r="CG1523" s="210"/>
      <c r="CH1523" s="210"/>
      <c r="CI1523" s="210"/>
      <c r="CJ1523" s="210"/>
      <c r="CK1523" s="210"/>
    </row>
    <row r="1524">
      <c r="A1524" s="220"/>
      <c r="F1524" s="190"/>
      <c r="G1524" s="190"/>
      <c r="L1524" s="220"/>
      <c r="M1524" s="220"/>
      <c r="O1524" s="210"/>
      <c r="P1524" s="210"/>
      <c r="Q1524" s="210"/>
      <c r="R1524" s="210"/>
      <c r="S1524" s="210"/>
      <c r="T1524" s="210"/>
      <c r="U1524" s="210"/>
      <c r="V1524" s="210"/>
      <c r="W1524" s="210"/>
      <c r="X1524" s="210"/>
      <c r="Y1524" s="210"/>
      <c r="Z1524" s="210"/>
      <c r="AA1524" s="210"/>
      <c r="AB1524" s="210"/>
      <c r="AC1524" s="210"/>
      <c r="AD1524" s="210"/>
      <c r="AE1524" s="210"/>
      <c r="AF1524" s="210"/>
      <c r="AG1524" s="210"/>
      <c r="AH1524" s="210"/>
      <c r="AI1524" s="210"/>
      <c r="AJ1524" s="210"/>
      <c r="AK1524" s="210"/>
      <c r="AL1524" s="210"/>
      <c r="AM1524" s="214"/>
      <c r="AN1524" s="210"/>
      <c r="AO1524" s="210"/>
      <c r="AP1524" s="210"/>
      <c r="AQ1524" s="210"/>
      <c r="AR1524" s="210"/>
      <c r="AS1524" s="210"/>
      <c r="AT1524" s="210"/>
      <c r="AU1524" s="210"/>
      <c r="AV1524" s="210"/>
      <c r="AW1524" s="210"/>
      <c r="AX1524" s="210"/>
      <c r="AY1524" s="210"/>
      <c r="AZ1524" s="210"/>
      <c r="BA1524" s="210"/>
      <c r="BB1524" s="210"/>
      <c r="BC1524" s="210"/>
      <c r="BD1524" s="210"/>
      <c r="BE1524" s="210"/>
      <c r="BF1524" s="210"/>
      <c r="BG1524" s="210"/>
      <c r="BH1524" s="210"/>
      <c r="BI1524" s="210"/>
      <c r="BJ1524" s="210"/>
      <c r="BK1524" s="210"/>
      <c r="BL1524" s="210"/>
      <c r="BM1524" s="210"/>
      <c r="BN1524" s="210"/>
      <c r="BO1524" s="210"/>
      <c r="BP1524" s="210"/>
      <c r="BQ1524" s="210"/>
      <c r="BR1524" s="210"/>
      <c r="BS1524" s="210"/>
      <c r="BT1524" s="210"/>
      <c r="BU1524" s="210"/>
      <c r="BV1524" s="210"/>
      <c r="BW1524" s="210"/>
      <c r="BX1524" s="210"/>
      <c r="BY1524" s="210"/>
      <c r="BZ1524" s="210"/>
      <c r="CA1524" s="210"/>
      <c r="CB1524" s="210"/>
      <c r="CC1524" s="210"/>
      <c r="CD1524" s="210"/>
      <c r="CE1524" s="210"/>
      <c r="CF1524" s="210"/>
      <c r="CG1524" s="210"/>
      <c r="CH1524" s="210"/>
      <c r="CI1524" s="210"/>
      <c r="CJ1524" s="210"/>
      <c r="CK1524" s="210"/>
    </row>
    <row r="1525">
      <c r="A1525" s="220"/>
      <c r="F1525" s="190"/>
      <c r="G1525" s="190"/>
      <c r="L1525" s="220"/>
      <c r="M1525" s="220"/>
      <c r="O1525" s="210"/>
      <c r="P1525" s="210"/>
      <c r="Q1525" s="210"/>
      <c r="R1525" s="210"/>
      <c r="S1525" s="210"/>
      <c r="T1525" s="210"/>
      <c r="U1525" s="210"/>
      <c r="V1525" s="210"/>
      <c r="W1525" s="210"/>
      <c r="X1525" s="210"/>
      <c r="Y1525" s="210"/>
      <c r="Z1525" s="210"/>
      <c r="AA1525" s="210"/>
      <c r="AB1525" s="210"/>
      <c r="AC1525" s="210"/>
      <c r="AD1525" s="210"/>
      <c r="AE1525" s="210"/>
      <c r="AF1525" s="210"/>
      <c r="AG1525" s="210"/>
      <c r="AH1525" s="210"/>
      <c r="AI1525" s="210"/>
      <c r="AJ1525" s="210"/>
      <c r="AK1525" s="210"/>
      <c r="AL1525" s="210"/>
      <c r="AM1525" s="214"/>
      <c r="AN1525" s="210"/>
      <c r="AO1525" s="210"/>
      <c r="AP1525" s="210"/>
      <c r="AQ1525" s="210"/>
      <c r="AR1525" s="210"/>
      <c r="AS1525" s="210"/>
      <c r="AT1525" s="210"/>
      <c r="AU1525" s="210"/>
      <c r="AV1525" s="210"/>
      <c r="AW1525" s="210"/>
      <c r="AX1525" s="210"/>
      <c r="AY1525" s="210"/>
      <c r="AZ1525" s="210"/>
      <c r="BA1525" s="210"/>
      <c r="BB1525" s="210"/>
      <c r="BC1525" s="210"/>
      <c r="BD1525" s="210"/>
      <c r="BE1525" s="210"/>
      <c r="BF1525" s="210"/>
      <c r="BG1525" s="210"/>
      <c r="BH1525" s="210"/>
      <c r="BI1525" s="210"/>
      <c r="BJ1525" s="210"/>
      <c r="BK1525" s="210"/>
      <c r="BL1525" s="210"/>
      <c r="BM1525" s="210"/>
      <c r="BN1525" s="210"/>
      <c r="BO1525" s="210"/>
      <c r="BP1525" s="210"/>
      <c r="BQ1525" s="210"/>
      <c r="BR1525" s="210"/>
      <c r="BS1525" s="210"/>
      <c r="BT1525" s="210"/>
      <c r="BU1525" s="210"/>
      <c r="BV1525" s="210"/>
      <c r="BW1525" s="210"/>
      <c r="BX1525" s="210"/>
      <c r="BY1525" s="210"/>
      <c r="BZ1525" s="210"/>
      <c r="CA1525" s="210"/>
      <c r="CB1525" s="210"/>
      <c r="CC1525" s="210"/>
      <c r="CD1525" s="210"/>
      <c r="CE1525" s="210"/>
      <c r="CF1525" s="210"/>
      <c r="CG1525" s="210"/>
      <c r="CH1525" s="210"/>
      <c r="CI1525" s="210"/>
      <c r="CJ1525" s="210"/>
      <c r="CK1525" s="210"/>
    </row>
    <row r="1526">
      <c r="A1526" s="220"/>
      <c r="F1526" s="190"/>
      <c r="G1526" s="190"/>
      <c r="L1526" s="220"/>
      <c r="M1526" s="220"/>
      <c r="O1526" s="210"/>
      <c r="P1526" s="210"/>
      <c r="Q1526" s="210"/>
      <c r="R1526" s="210"/>
      <c r="S1526" s="210"/>
      <c r="T1526" s="210"/>
      <c r="U1526" s="210"/>
      <c r="V1526" s="210"/>
      <c r="W1526" s="210"/>
      <c r="X1526" s="210"/>
      <c r="Y1526" s="210"/>
      <c r="Z1526" s="210"/>
      <c r="AA1526" s="210"/>
      <c r="AB1526" s="210"/>
      <c r="AC1526" s="210"/>
      <c r="AD1526" s="210"/>
      <c r="AE1526" s="210"/>
      <c r="AF1526" s="210"/>
      <c r="AG1526" s="210"/>
      <c r="AH1526" s="210"/>
      <c r="AI1526" s="210"/>
      <c r="AJ1526" s="210"/>
      <c r="AK1526" s="210"/>
      <c r="AL1526" s="210"/>
      <c r="AM1526" s="214"/>
      <c r="AN1526" s="210"/>
      <c r="AO1526" s="210"/>
      <c r="AP1526" s="210"/>
      <c r="AQ1526" s="210"/>
      <c r="AR1526" s="210"/>
      <c r="AS1526" s="210"/>
      <c r="AT1526" s="210"/>
      <c r="AU1526" s="210"/>
      <c r="AV1526" s="210"/>
      <c r="AW1526" s="210"/>
      <c r="AX1526" s="210"/>
      <c r="AY1526" s="210"/>
      <c r="AZ1526" s="210"/>
      <c r="BA1526" s="210"/>
      <c r="BB1526" s="210"/>
      <c r="BC1526" s="210"/>
      <c r="BD1526" s="210"/>
      <c r="BE1526" s="210"/>
      <c r="BF1526" s="210"/>
      <c r="BG1526" s="210"/>
      <c r="BH1526" s="210"/>
      <c r="BI1526" s="210"/>
      <c r="BJ1526" s="210"/>
      <c r="BK1526" s="210"/>
      <c r="BL1526" s="210"/>
      <c r="BM1526" s="210"/>
      <c r="BN1526" s="210"/>
      <c r="BO1526" s="210"/>
      <c r="BP1526" s="210"/>
      <c r="BQ1526" s="210"/>
      <c r="BR1526" s="210"/>
      <c r="BS1526" s="210"/>
      <c r="BT1526" s="210"/>
      <c r="BU1526" s="210"/>
      <c r="BV1526" s="210"/>
      <c r="BW1526" s="210"/>
      <c r="BX1526" s="210"/>
      <c r="BY1526" s="210"/>
      <c r="BZ1526" s="210"/>
      <c r="CA1526" s="210"/>
      <c r="CB1526" s="210"/>
      <c r="CC1526" s="210"/>
      <c r="CD1526" s="210"/>
      <c r="CE1526" s="210"/>
      <c r="CF1526" s="210"/>
      <c r="CG1526" s="210"/>
      <c r="CH1526" s="210"/>
      <c r="CI1526" s="210"/>
      <c r="CJ1526" s="210"/>
      <c r="CK1526" s="210"/>
    </row>
    <row r="1527">
      <c r="A1527" s="220"/>
      <c r="F1527" s="190"/>
      <c r="G1527" s="190"/>
      <c r="L1527" s="220"/>
      <c r="M1527" s="220"/>
      <c r="O1527" s="210"/>
      <c r="P1527" s="210"/>
      <c r="Q1527" s="210"/>
      <c r="R1527" s="210"/>
      <c r="S1527" s="210"/>
      <c r="T1527" s="210"/>
      <c r="U1527" s="210"/>
      <c r="V1527" s="210"/>
      <c r="W1527" s="210"/>
      <c r="X1527" s="210"/>
      <c r="Y1527" s="210"/>
      <c r="Z1527" s="210"/>
      <c r="AA1527" s="210"/>
      <c r="AB1527" s="210"/>
      <c r="AC1527" s="210"/>
      <c r="AD1527" s="210"/>
      <c r="AE1527" s="210"/>
      <c r="AF1527" s="210"/>
      <c r="AG1527" s="210"/>
      <c r="AH1527" s="210"/>
      <c r="AI1527" s="210"/>
      <c r="AJ1527" s="210"/>
      <c r="AK1527" s="210"/>
      <c r="AL1527" s="210"/>
      <c r="AM1527" s="214"/>
      <c r="AN1527" s="210"/>
      <c r="AO1527" s="210"/>
      <c r="AP1527" s="210"/>
      <c r="AQ1527" s="210"/>
      <c r="AR1527" s="210"/>
      <c r="AS1527" s="210"/>
      <c r="AT1527" s="210"/>
      <c r="AU1527" s="210"/>
      <c r="AV1527" s="210"/>
      <c r="AW1527" s="210"/>
      <c r="AX1527" s="210"/>
      <c r="AY1527" s="210"/>
      <c r="AZ1527" s="210"/>
      <c r="BA1527" s="210"/>
      <c r="BB1527" s="210"/>
      <c r="BC1527" s="210"/>
      <c r="BD1527" s="210"/>
      <c r="BE1527" s="210"/>
      <c r="BF1527" s="210"/>
      <c r="BG1527" s="210"/>
      <c r="BH1527" s="210"/>
      <c r="BI1527" s="210"/>
      <c r="BJ1527" s="210"/>
      <c r="BK1527" s="210"/>
      <c r="BL1527" s="210"/>
      <c r="BM1527" s="210"/>
      <c r="BN1527" s="210"/>
      <c r="BO1527" s="210"/>
      <c r="BP1527" s="210"/>
      <c r="BQ1527" s="210"/>
      <c r="BR1527" s="210"/>
      <c r="BS1527" s="210"/>
      <c r="BT1527" s="210"/>
      <c r="BU1527" s="210"/>
      <c r="BV1527" s="210"/>
      <c r="BW1527" s="210"/>
      <c r="BX1527" s="210"/>
      <c r="BY1527" s="210"/>
      <c r="BZ1527" s="210"/>
      <c r="CA1527" s="210"/>
      <c r="CB1527" s="210"/>
      <c r="CC1527" s="210"/>
      <c r="CD1527" s="210"/>
      <c r="CE1527" s="210"/>
      <c r="CF1527" s="210"/>
      <c r="CG1527" s="210"/>
      <c r="CH1527" s="210"/>
      <c r="CI1527" s="210"/>
      <c r="CJ1527" s="210"/>
      <c r="CK1527" s="210"/>
    </row>
    <row r="1528">
      <c r="A1528" s="220"/>
      <c r="F1528" s="190"/>
      <c r="G1528" s="190"/>
      <c r="L1528" s="220"/>
      <c r="M1528" s="220"/>
      <c r="O1528" s="210"/>
      <c r="P1528" s="210"/>
      <c r="Q1528" s="210"/>
      <c r="R1528" s="210"/>
      <c r="S1528" s="210"/>
      <c r="T1528" s="210"/>
      <c r="U1528" s="210"/>
      <c r="V1528" s="210"/>
      <c r="W1528" s="210"/>
      <c r="X1528" s="210"/>
      <c r="Y1528" s="210"/>
      <c r="Z1528" s="210"/>
      <c r="AA1528" s="210"/>
      <c r="AB1528" s="210"/>
      <c r="AC1528" s="210"/>
      <c r="AD1528" s="210"/>
      <c r="AE1528" s="210"/>
      <c r="AF1528" s="210"/>
      <c r="AG1528" s="210"/>
      <c r="AH1528" s="210"/>
      <c r="AI1528" s="210"/>
      <c r="AJ1528" s="210"/>
      <c r="AK1528" s="210"/>
      <c r="AL1528" s="210"/>
      <c r="AM1528" s="214"/>
      <c r="AN1528" s="210"/>
      <c r="AO1528" s="210"/>
      <c r="AP1528" s="210"/>
      <c r="AQ1528" s="210"/>
      <c r="AR1528" s="210"/>
      <c r="AS1528" s="210"/>
      <c r="AT1528" s="210"/>
      <c r="AU1528" s="210"/>
      <c r="AV1528" s="210"/>
      <c r="AW1528" s="210"/>
      <c r="AX1528" s="210"/>
      <c r="AY1528" s="210"/>
      <c r="AZ1528" s="210"/>
      <c r="BA1528" s="210"/>
      <c r="BB1528" s="210"/>
      <c r="BC1528" s="210"/>
      <c r="BD1528" s="210"/>
      <c r="BE1528" s="210"/>
      <c r="BF1528" s="210"/>
      <c r="BG1528" s="210"/>
      <c r="BH1528" s="210"/>
      <c r="BI1528" s="210"/>
      <c r="BJ1528" s="210"/>
      <c r="BK1528" s="210"/>
      <c r="BL1528" s="210"/>
      <c r="BM1528" s="210"/>
      <c r="BN1528" s="210"/>
      <c r="BO1528" s="210"/>
      <c r="BP1528" s="210"/>
      <c r="BQ1528" s="210"/>
      <c r="BR1528" s="210"/>
      <c r="BS1528" s="210"/>
      <c r="BT1528" s="210"/>
      <c r="BU1528" s="210"/>
      <c r="BV1528" s="210"/>
      <c r="BW1528" s="210"/>
      <c r="BX1528" s="210"/>
      <c r="BY1528" s="210"/>
      <c r="BZ1528" s="210"/>
      <c r="CA1528" s="210"/>
      <c r="CB1528" s="210"/>
      <c r="CC1528" s="210"/>
      <c r="CD1528" s="210"/>
      <c r="CE1528" s="210"/>
      <c r="CF1528" s="210"/>
      <c r="CG1528" s="210"/>
      <c r="CH1528" s="210"/>
      <c r="CI1528" s="210"/>
      <c r="CJ1528" s="210"/>
      <c r="CK1528" s="210"/>
    </row>
    <row r="1529">
      <c r="A1529" s="220"/>
      <c r="F1529" s="190"/>
      <c r="G1529" s="190"/>
      <c r="L1529" s="220"/>
      <c r="M1529" s="220"/>
      <c r="O1529" s="210"/>
      <c r="P1529" s="210"/>
      <c r="Q1529" s="210"/>
      <c r="R1529" s="210"/>
      <c r="S1529" s="210"/>
      <c r="T1529" s="210"/>
      <c r="U1529" s="210"/>
      <c r="V1529" s="210"/>
      <c r="W1529" s="210"/>
      <c r="X1529" s="210"/>
      <c r="Y1529" s="210"/>
      <c r="Z1529" s="210"/>
      <c r="AA1529" s="210"/>
      <c r="AB1529" s="210"/>
      <c r="AC1529" s="210"/>
      <c r="AD1529" s="210"/>
      <c r="AE1529" s="210"/>
      <c r="AF1529" s="210"/>
      <c r="AG1529" s="210"/>
      <c r="AH1529" s="210"/>
      <c r="AI1529" s="210"/>
      <c r="AJ1529" s="210"/>
      <c r="AK1529" s="210"/>
      <c r="AL1529" s="210"/>
      <c r="AM1529" s="214"/>
      <c r="AN1529" s="210"/>
      <c r="AO1529" s="210"/>
      <c r="AP1529" s="210"/>
      <c r="AQ1529" s="210"/>
      <c r="AR1529" s="210"/>
      <c r="AS1529" s="210"/>
      <c r="AT1529" s="210"/>
      <c r="AU1529" s="210"/>
      <c r="AV1529" s="210"/>
      <c r="AW1529" s="210"/>
      <c r="AX1529" s="210"/>
      <c r="AY1529" s="210"/>
      <c r="AZ1529" s="210"/>
      <c r="BA1529" s="210"/>
      <c r="BB1529" s="210"/>
      <c r="BC1529" s="210"/>
      <c r="BD1529" s="210"/>
      <c r="BE1529" s="210"/>
      <c r="BF1529" s="210"/>
      <c r="BG1529" s="210"/>
      <c r="BH1529" s="210"/>
      <c r="BI1529" s="210"/>
      <c r="BJ1529" s="210"/>
      <c r="BK1529" s="210"/>
      <c r="BL1529" s="210"/>
      <c r="BM1529" s="210"/>
      <c r="BN1529" s="210"/>
      <c r="BO1529" s="210"/>
      <c r="BP1529" s="210"/>
      <c r="BQ1529" s="210"/>
      <c r="BR1529" s="210"/>
      <c r="BS1529" s="210"/>
      <c r="BT1529" s="210"/>
      <c r="BU1529" s="210"/>
      <c r="BV1529" s="210"/>
      <c r="BW1529" s="210"/>
      <c r="BX1529" s="210"/>
      <c r="BY1529" s="210"/>
      <c r="BZ1529" s="210"/>
      <c r="CA1529" s="210"/>
      <c r="CB1529" s="210"/>
      <c r="CC1529" s="210"/>
      <c r="CD1529" s="210"/>
      <c r="CE1529" s="210"/>
      <c r="CF1529" s="210"/>
      <c r="CG1529" s="210"/>
      <c r="CH1529" s="210"/>
      <c r="CI1529" s="210"/>
      <c r="CJ1529" s="210"/>
      <c r="CK1529" s="210"/>
    </row>
    <row r="1530">
      <c r="A1530" s="220"/>
      <c r="F1530" s="190"/>
      <c r="G1530" s="190"/>
      <c r="L1530" s="220"/>
      <c r="M1530" s="220"/>
      <c r="O1530" s="210"/>
      <c r="P1530" s="210"/>
      <c r="Q1530" s="210"/>
      <c r="R1530" s="210"/>
      <c r="S1530" s="210"/>
      <c r="T1530" s="210"/>
      <c r="U1530" s="210"/>
      <c r="V1530" s="210"/>
      <c r="W1530" s="210"/>
      <c r="X1530" s="210"/>
      <c r="Y1530" s="210"/>
      <c r="Z1530" s="210"/>
      <c r="AA1530" s="210"/>
      <c r="AB1530" s="210"/>
      <c r="AC1530" s="210"/>
      <c r="AD1530" s="210"/>
      <c r="AE1530" s="210"/>
      <c r="AF1530" s="210"/>
      <c r="AG1530" s="210"/>
      <c r="AH1530" s="210"/>
      <c r="AI1530" s="210"/>
      <c r="AJ1530" s="210"/>
      <c r="AK1530" s="210"/>
      <c r="AL1530" s="210"/>
      <c r="AM1530" s="214"/>
      <c r="AN1530" s="210"/>
      <c r="AO1530" s="210"/>
      <c r="AP1530" s="210"/>
      <c r="AQ1530" s="210"/>
      <c r="AR1530" s="210"/>
      <c r="AS1530" s="210"/>
      <c r="AT1530" s="210"/>
      <c r="AU1530" s="210"/>
      <c r="AV1530" s="210"/>
      <c r="AW1530" s="210"/>
      <c r="AX1530" s="210"/>
      <c r="AY1530" s="210"/>
      <c r="AZ1530" s="210"/>
      <c r="BA1530" s="210"/>
      <c r="BB1530" s="210"/>
      <c r="BC1530" s="210"/>
      <c r="BD1530" s="210"/>
      <c r="BE1530" s="210"/>
      <c r="BF1530" s="210"/>
      <c r="BG1530" s="210"/>
      <c r="BH1530" s="210"/>
      <c r="BI1530" s="210"/>
      <c r="BJ1530" s="210"/>
      <c r="BK1530" s="210"/>
      <c r="BL1530" s="210"/>
      <c r="BM1530" s="210"/>
      <c r="BN1530" s="210"/>
      <c r="BO1530" s="210"/>
      <c r="BP1530" s="210"/>
      <c r="BQ1530" s="210"/>
      <c r="BR1530" s="210"/>
      <c r="BS1530" s="210"/>
      <c r="BT1530" s="210"/>
      <c r="BU1530" s="210"/>
      <c r="BV1530" s="210"/>
      <c r="BW1530" s="210"/>
      <c r="BX1530" s="210"/>
      <c r="BY1530" s="210"/>
      <c r="BZ1530" s="210"/>
      <c r="CA1530" s="210"/>
      <c r="CB1530" s="210"/>
      <c r="CC1530" s="210"/>
      <c r="CD1530" s="210"/>
      <c r="CE1530" s="210"/>
      <c r="CF1530" s="210"/>
      <c r="CG1530" s="210"/>
      <c r="CH1530" s="210"/>
      <c r="CI1530" s="210"/>
      <c r="CJ1530" s="210"/>
      <c r="CK1530" s="210"/>
    </row>
    <row r="1531">
      <c r="A1531" s="220"/>
      <c r="F1531" s="190"/>
      <c r="G1531" s="190"/>
      <c r="L1531" s="220"/>
      <c r="M1531" s="220"/>
      <c r="O1531" s="210"/>
      <c r="P1531" s="210"/>
      <c r="Q1531" s="210"/>
      <c r="R1531" s="210"/>
      <c r="S1531" s="210"/>
      <c r="T1531" s="210"/>
      <c r="U1531" s="210"/>
      <c r="V1531" s="210"/>
      <c r="W1531" s="210"/>
      <c r="X1531" s="210"/>
      <c r="Y1531" s="210"/>
      <c r="Z1531" s="210"/>
      <c r="AA1531" s="210"/>
      <c r="AB1531" s="210"/>
      <c r="AC1531" s="210"/>
      <c r="AD1531" s="210"/>
      <c r="AE1531" s="210"/>
      <c r="AF1531" s="210"/>
      <c r="AG1531" s="210"/>
      <c r="AH1531" s="210"/>
      <c r="AI1531" s="210"/>
      <c r="AJ1531" s="210"/>
      <c r="AK1531" s="210"/>
      <c r="AL1531" s="210"/>
      <c r="AM1531" s="214"/>
      <c r="AN1531" s="210"/>
      <c r="AO1531" s="210"/>
      <c r="AP1531" s="210"/>
      <c r="AQ1531" s="210"/>
      <c r="AR1531" s="210"/>
      <c r="AS1531" s="210"/>
      <c r="AT1531" s="210"/>
      <c r="AU1531" s="210"/>
      <c r="AV1531" s="210"/>
      <c r="AW1531" s="210"/>
      <c r="AX1531" s="210"/>
      <c r="AY1531" s="210"/>
      <c r="AZ1531" s="210"/>
      <c r="BA1531" s="210"/>
      <c r="BB1531" s="210"/>
      <c r="BC1531" s="210"/>
      <c r="BD1531" s="210"/>
      <c r="BE1531" s="210"/>
      <c r="BF1531" s="210"/>
      <c r="BG1531" s="210"/>
      <c r="BH1531" s="210"/>
      <c r="BI1531" s="210"/>
      <c r="BJ1531" s="210"/>
      <c r="BK1531" s="210"/>
      <c r="BL1531" s="210"/>
      <c r="BM1531" s="210"/>
      <c r="BN1531" s="210"/>
      <c r="BO1531" s="210"/>
      <c r="BP1531" s="210"/>
      <c r="BQ1531" s="210"/>
      <c r="BR1531" s="210"/>
      <c r="BS1531" s="210"/>
      <c r="BT1531" s="210"/>
      <c r="BU1531" s="210"/>
      <c r="BV1531" s="210"/>
      <c r="BW1531" s="210"/>
      <c r="BX1531" s="210"/>
      <c r="BY1531" s="210"/>
      <c r="BZ1531" s="210"/>
      <c r="CA1531" s="210"/>
      <c r="CB1531" s="210"/>
      <c r="CC1531" s="210"/>
      <c r="CD1531" s="210"/>
      <c r="CE1531" s="210"/>
      <c r="CF1531" s="210"/>
      <c r="CG1531" s="210"/>
      <c r="CH1531" s="210"/>
      <c r="CI1531" s="210"/>
      <c r="CJ1531" s="210"/>
      <c r="CK1531" s="210"/>
    </row>
    <row r="1532">
      <c r="A1532" s="220"/>
      <c r="F1532" s="190"/>
      <c r="G1532" s="190"/>
      <c r="L1532" s="220"/>
      <c r="M1532" s="220"/>
      <c r="O1532" s="210"/>
      <c r="P1532" s="210"/>
      <c r="Q1532" s="210"/>
      <c r="R1532" s="210"/>
      <c r="S1532" s="210"/>
      <c r="T1532" s="210"/>
      <c r="U1532" s="210"/>
      <c r="V1532" s="210"/>
      <c r="W1532" s="210"/>
      <c r="X1532" s="210"/>
      <c r="Y1532" s="210"/>
      <c r="Z1532" s="210"/>
      <c r="AA1532" s="210"/>
      <c r="AB1532" s="210"/>
      <c r="AC1532" s="210"/>
      <c r="AD1532" s="210"/>
      <c r="AE1532" s="210"/>
      <c r="AF1532" s="210"/>
      <c r="AG1532" s="210"/>
      <c r="AH1532" s="210"/>
      <c r="AI1532" s="210"/>
      <c r="AJ1532" s="210"/>
      <c r="AK1532" s="210"/>
      <c r="AL1532" s="210"/>
      <c r="AM1532" s="214"/>
      <c r="AN1532" s="210"/>
      <c r="AO1532" s="210"/>
      <c r="AP1532" s="210"/>
      <c r="AQ1532" s="210"/>
      <c r="AR1532" s="210"/>
      <c r="AS1532" s="210"/>
      <c r="AT1532" s="210"/>
      <c r="AU1532" s="210"/>
      <c r="AV1532" s="210"/>
      <c r="AW1532" s="210"/>
      <c r="AX1532" s="210"/>
      <c r="AY1532" s="210"/>
      <c r="AZ1532" s="210"/>
      <c r="BA1532" s="210"/>
      <c r="BB1532" s="210"/>
      <c r="BC1532" s="210"/>
      <c r="BD1532" s="210"/>
      <c r="BE1532" s="210"/>
      <c r="BF1532" s="210"/>
      <c r="BG1532" s="210"/>
      <c r="BH1532" s="210"/>
      <c r="BI1532" s="210"/>
      <c r="BJ1532" s="210"/>
      <c r="BK1532" s="210"/>
      <c r="BL1532" s="210"/>
      <c r="BM1532" s="210"/>
      <c r="BN1532" s="210"/>
      <c r="BO1532" s="210"/>
      <c r="BP1532" s="210"/>
      <c r="BQ1532" s="210"/>
      <c r="BR1532" s="210"/>
      <c r="BS1532" s="210"/>
      <c r="BT1532" s="210"/>
      <c r="BU1532" s="210"/>
      <c r="BV1532" s="210"/>
      <c r="BW1532" s="210"/>
      <c r="BX1532" s="210"/>
      <c r="BY1532" s="210"/>
      <c r="BZ1532" s="210"/>
      <c r="CA1532" s="210"/>
      <c r="CB1532" s="210"/>
      <c r="CC1532" s="210"/>
      <c r="CD1532" s="210"/>
      <c r="CE1532" s="210"/>
      <c r="CF1532" s="210"/>
      <c r="CG1532" s="210"/>
      <c r="CH1532" s="210"/>
      <c r="CI1532" s="210"/>
      <c r="CJ1532" s="210"/>
      <c r="CK1532" s="210"/>
    </row>
    <row r="1533">
      <c r="A1533" s="220"/>
      <c r="F1533" s="190"/>
      <c r="G1533" s="190"/>
      <c r="L1533" s="220"/>
      <c r="M1533" s="220"/>
      <c r="O1533" s="210"/>
      <c r="P1533" s="210"/>
      <c r="Q1533" s="210"/>
      <c r="R1533" s="210"/>
      <c r="S1533" s="210"/>
      <c r="T1533" s="210"/>
      <c r="U1533" s="210"/>
      <c r="V1533" s="210"/>
      <c r="W1533" s="210"/>
      <c r="X1533" s="210"/>
      <c r="Y1533" s="210"/>
      <c r="Z1533" s="210"/>
      <c r="AA1533" s="210"/>
      <c r="AB1533" s="210"/>
      <c r="AC1533" s="210"/>
      <c r="AD1533" s="210"/>
      <c r="AE1533" s="210"/>
      <c r="AF1533" s="210"/>
      <c r="AG1533" s="210"/>
      <c r="AH1533" s="210"/>
      <c r="AI1533" s="210"/>
      <c r="AJ1533" s="210"/>
      <c r="AK1533" s="210"/>
      <c r="AL1533" s="210"/>
      <c r="AM1533" s="214"/>
      <c r="AN1533" s="210"/>
      <c r="AO1533" s="210"/>
      <c r="AP1533" s="210"/>
      <c r="AQ1533" s="210"/>
      <c r="AR1533" s="210"/>
      <c r="AS1533" s="210"/>
      <c r="AT1533" s="210"/>
      <c r="AU1533" s="210"/>
      <c r="AV1533" s="210"/>
      <c r="AW1533" s="210"/>
      <c r="AX1533" s="210"/>
      <c r="AY1533" s="210"/>
      <c r="AZ1533" s="210"/>
      <c r="BA1533" s="210"/>
      <c r="BB1533" s="210"/>
      <c r="BC1533" s="210"/>
      <c r="BD1533" s="210"/>
      <c r="BE1533" s="210"/>
      <c r="BF1533" s="210"/>
      <c r="BG1533" s="210"/>
      <c r="BH1533" s="210"/>
      <c r="BI1533" s="210"/>
      <c r="BJ1533" s="210"/>
      <c r="BK1533" s="210"/>
      <c r="BL1533" s="210"/>
      <c r="BM1533" s="210"/>
      <c r="BN1533" s="210"/>
      <c r="BO1533" s="210"/>
      <c r="BP1533" s="210"/>
      <c r="BQ1533" s="210"/>
      <c r="BR1533" s="210"/>
      <c r="BS1533" s="210"/>
      <c r="BT1533" s="210"/>
      <c r="BU1533" s="210"/>
      <c r="BV1533" s="210"/>
      <c r="BW1533" s="210"/>
      <c r="BX1533" s="210"/>
      <c r="BY1533" s="210"/>
      <c r="BZ1533" s="210"/>
      <c r="CA1533" s="210"/>
      <c r="CB1533" s="210"/>
      <c r="CC1533" s="210"/>
      <c r="CD1533" s="210"/>
      <c r="CE1533" s="210"/>
      <c r="CF1533" s="210"/>
      <c r="CG1533" s="210"/>
      <c r="CH1533" s="210"/>
      <c r="CI1533" s="210"/>
      <c r="CJ1533" s="210"/>
      <c r="CK1533" s="210"/>
    </row>
    <row r="1534">
      <c r="A1534" s="220"/>
      <c r="F1534" s="190"/>
      <c r="G1534" s="190"/>
      <c r="L1534" s="220"/>
      <c r="M1534" s="220"/>
      <c r="O1534" s="210"/>
      <c r="P1534" s="210"/>
      <c r="Q1534" s="210"/>
      <c r="R1534" s="210"/>
      <c r="S1534" s="210"/>
      <c r="T1534" s="210"/>
      <c r="U1534" s="210"/>
      <c r="V1534" s="210"/>
      <c r="W1534" s="210"/>
      <c r="X1534" s="210"/>
      <c r="Y1534" s="210"/>
      <c r="Z1534" s="210"/>
      <c r="AA1534" s="210"/>
      <c r="AB1534" s="210"/>
      <c r="AC1534" s="210"/>
      <c r="AD1534" s="210"/>
      <c r="AE1534" s="210"/>
      <c r="AF1534" s="210"/>
      <c r="AG1534" s="210"/>
      <c r="AH1534" s="210"/>
      <c r="AI1534" s="210"/>
      <c r="AJ1534" s="210"/>
      <c r="AK1534" s="210"/>
      <c r="AL1534" s="210"/>
      <c r="AM1534" s="214"/>
      <c r="AN1534" s="210"/>
      <c r="AO1534" s="210"/>
      <c r="AP1534" s="210"/>
      <c r="AQ1534" s="210"/>
      <c r="AR1534" s="210"/>
      <c r="AS1534" s="210"/>
      <c r="AT1534" s="210"/>
      <c r="AU1534" s="210"/>
      <c r="AV1534" s="210"/>
      <c r="AW1534" s="210"/>
      <c r="AX1534" s="210"/>
      <c r="AY1534" s="210"/>
      <c r="AZ1534" s="210"/>
      <c r="BA1534" s="210"/>
      <c r="BB1534" s="210"/>
      <c r="BC1534" s="210"/>
      <c r="BD1534" s="210"/>
      <c r="BE1534" s="210"/>
      <c r="BF1534" s="210"/>
      <c r="BG1534" s="210"/>
      <c r="BH1534" s="210"/>
      <c r="BI1534" s="210"/>
      <c r="BJ1534" s="210"/>
      <c r="BK1534" s="210"/>
      <c r="BL1534" s="210"/>
      <c r="BM1534" s="210"/>
      <c r="BN1534" s="210"/>
      <c r="BO1534" s="210"/>
      <c r="BP1534" s="210"/>
      <c r="BQ1534" s="210"/>
      <c r="BR1534" s="210"/>
      <c r="BS1534" s="210"/>
      <c r="BT1534" s="210"/>
      <c r="BU1534" s="210"/>
      <c r="BV1534" s="210"/>
      <c r="BW1534" s="210"/>
      <c r="BX1534" s="210"/>
      <c r="BY1534" s="210"/>
      <c r="BZ1534" s="210"/>
      <c r="CA1534" s="210"/>
      <c r="CB1534" s="210"/>
      <c r="CC1534" s="210"/>
      <c r="CD1534" s="210"/>
      <c r="CE1534" s="210"/>
      <c r="CF1534" s="210"/>
      <c r="CG1534" s="210"/>
      <c r="CH1534" s="210"/>
      <c r="CI1534" s="210"/>
      <c r="CJ1534" s="210"/>
      <c r="CK1534" s="210"/>
    </row>
    <row r="1535">
      <c r="A1535" s="220"/>
      <c r="F1535" s="190"/>
      <c r="G1535" s="190"/>
      <c r="L1535" s="220"/>
      <c r="M1535" s="220"/>
      <c r="O1535" s="210"/>
      <c r="P1535" s="210"/>
      <c r="Q1535" s="210"/>
      <c r="R1535" s="210"/>
      <c r="S1535" s="210"/>
      <c r="T1535" s="210"/>
      <c r="U1535" s="210"/>
      <c r="V1535" s="210"/>
      <c r="W1535" s="210"/>
      <c r="X1535" s="210"/>
      <c r="Y1535" s="210"/>
      <c r="Z1535" s="210"/>
      <c r="AA1535" s="210"/>
      <c r="AB1535" s="210"/>
      <c r="AC1535" s="210"/>
      <c r="AD1535" s="210"/>
      <c r="AE1535" s="210"/>
      <c r="AF1535" s="210"/>
      <c r="AG1535" s="210"/>
      <c r="AH1535" s="210"/>
      <c r="AI1535" s="210"/>
      <c r="AJ1535" s="210"/>
      <c r="AK1535" s="210"/>
      <c r="AL1535" s="210"/>
      <c r="AM1535" s="214"/>
      <c r="AN1535" s="210"/>
      <c r="AO1535" s="210"/>
      <c r="AP1535" s="210"/>
      <c r="AQ1535" s="210"/>
      <c r="AR1535" s="210"/>
      <c r="AS1535" s="210"/>
      <c r="AT1535" s="210"/>
      <c r="AU1535" s="210"/>
      <c r="AV1535" s="210"/>
      <c r="AW1535" s="210"/>
      <c r="AX1535" s="210"/>
      <c r="AY1535" s="210"/>
      <c r="AZ1535" s="210"/>
      <c r="BA1535" s="210"/>
      <c r="BB1535" s="210"/>
      <c r="BC1535" s="210"/>
      <c r="BD1535" s="210"/>
      <c r="BE1535" s="210"/>
      <c r="BF1535" s="210"/>
      <c r="BG1535" s="210"/>
      <c r="BH1535" s="210"/>
      <c r="BI1535" s="210"/>
      <c r="BJ1535" s="210"/>
      <c r="BK1535" s="210"/>
      <c r="BL1535" s="210"/>
      <c r="BM1535" s="210"/>
      <c r="BN1535" s="210"/>
      <c r="BO1535" s="210"/>
      <c r="BP1535" s="210"/>
      <c r="BQ1535" s="210"/>
      <c r="BR1535" s="210"/>
      <c r="BS1535" s="210"/>
      <c r="BT1535" s="210"/>
      <c r="BU1535" s="210"/>
      <c r="BV1535" s="210"/>
      <c r="BW1535" s="210"/>
      <c r="BX1535" s="210"/>
      <c r="BY1535" s="210"/>
      <c r="BZ1535" s="210"/>
      <c r="CA1535" s="210"/>
      <c r="CB1535" s="210"/>
      <c r="CC1535" s="210"/>
      <c r="CD1535" s="210"/>
      <c r="CE1535" s="210"/>
      <c r="CF1535" s="210"/>
      <c r="CG1535" s="210"/>
      <c r="CH1535" s="210"/>
      <c r="CI1535" s="210"/>
      <c r="CJ1535" s="210"/>
      <c r="CK1535" s="210"/>
    </row>
    <row r="1536">
      <c r="A1536" s="220"/>
      <c r="F1536" s="190"/>
      <c r="G1536" s="190"/>
      <c r="L1536" s="220"/>
      <c r="M1536" s="220"/>
      <c r="O1536" s="210"/>
      <c r="P1536" s="210"/>
      <c r="Q1536" s="210"/>
      <c r="R1536" s="210"/>
      <c r="S1536" s="210"/>
      <c r="T1536" s="210"/>
      <c r="U1536" s="210"/>
      <c r="V1536" s="210"/>
      <c r="W1536" s="210"/>
      <c r="X1536" s="210"/>
      <c r="Y1536" s="210"/>
      <c r="Z1536" s="210"/>
      <c r="AA1536" s="210"/>
      <c r="AB1536" s="210"/>
      <c r="AC1536" s="210"/>
      <c r="AD1536" s="210"/>
      <c r="AE1536" s="210"/>
      <c r="AF1536" s="210"/>
      <c r="AG1536" s="210"/>
      <c r="AH1536" s="210"/>
      <c r="AI1536" s="210"/>
      <c r="AJ1536" s="210"/>
      <c r="AK1536" s="210"/>
      <c r="AL1536" s="210"/>
      <c r="AM1536" s="214"/>
      <c r="AN1536" s="210"/>
      <c r="AO1536" s="210"/>
      <c r="AP1536" s="210"/>
      <c r="AQ1536" s="210"/>
      <c r="AR1536" s="210"/>
      <c r="AS1536" s="210"/>
      <c r="AT1536" s="210"/>
      <c r="AU1536" s="210"/>
      <c r="AV1536" s="210"/>
      <c r="AW1536" s="210"/>
      <c r="AX1536" s="210"/>
      <c r="AY1536" s="210"/>
      <c r="AZ1536" s="210"/>
      <c r="BA1536" s="210"/>
      <c r="BB1536" s="210"/>
      <c r="BC1536" s="210"/>
      <c r="BD1536" s="210"/>
      <c r="BE1536" s="210"/>
      <c r="BF1536" s="210"/>
      <c r="BG1536" s="210"/>
      <c r="BH1536" s="210"/>
      <c r="BI1536" s="210"/>
      <c r="BJ1536" s="210"/>
      <c r="BK1536" s="210"/>
      <c r="BL1536" s="210"/>
      <c r="BM1536" s="210"/>
      <c r="BN1536" s="210"/>
      <c r="BO1536" s="210"/>
      <c r="BP1536" s="210"/>
      <c r="BQ1536" s="210"/>
      <c r="BR1536" s="210"/>
      <c r="BS1536" s="210"/>
      <c r="BT1536" s="210"/>
      <c r="BU1536" s="210"/>
      <c r="BV1536" s="210"/>
      <c r="BW1536" s="210"/>
      <c r="BX1536" s="210"/>
      <c r="BY1536" s="210"/>
      <c r="BZ1536" s="210"/>
      <c r="CA1536" s="210"/>
      <c r="CB1536" s="210"/>
      <c r="CC1536" s="210"/>
      <c r="CD1536" s="210"/>
      <c r="CE1536" s="210"/>
      <c r="CF1536" s="210"/>
      <c r="CG1536" s="210"/>
      <c r="CH1536" s="210"/>
      <c r="CI1536" s="210"/>
      <c r="CJ1536" s="210"/>
      <c r="CK1536" s="210"/>
    </row>
    <row r="1537">
      <c r="A1537" s="220"/>
      <c r="F1537" s="190"/>
      <c r="G1537" s="190"/>
      <c r="L1537" s="220"/>
      <c r="M1537" s="220"/>
      <c r="O1537" s="210"/>
      <c r="P1537" s="210"/>
      <c r="Q1537" s="210"/>
      <c r="R1537" s="210"/>
      <c r="S1537" s="210"/>
      <c r="T1537" s="210"/>
      <c r="U1537" s="210"/>
      <c r="V1537" s="210"/>
      <c r="W1537" s="210"/>
      <c r="X1537" s="210"/>
      <c r="Y1537" s="210"/>
      <c r="Z1537" s="210"/>
      <c r="AA1537" s="210"/>
      <c r="AB1537" s="210"/>
      <c r="AC1537" s="210"/>
      <c r="AD1537" s="210"/>
      <c r="AE1537" s="210"/>
      <c r="AF1537" s="210"/>
      <c r="AG1537" s="210"/>
      <c r="AH1537" s="210"/>
      <c r="AI1537" s="210"/>
      <c r="AJ1537" s="210"/>
      <c r="AK1537" s="210"/>
      <c r="AL1537" s="210"/>
      <c r="AM1537" s="214"/>
      <c r="AN1537" s="210"/>
      <c r="AO1537" s="210"/>
      <c r="AP1537" s="210"/>
      <c r="AQ1537" s="210"/>
      <c r="AR1537" s="210"/>
      <c r="AS1537" s="210"/>
      <c r="AT1537" s="210"/>
      <c r="AU1537" s="210"/>
      <c r="AV1537" s="210"/>
      <c r="AW1537" s="210"/>
      <c r="AX1537" s="210"/>
      <c r="AY1537" s="210"/>
      <c r="AZ1537" s="210"/>
      <c r="BA1537" s="210"/>
      <c r="BB1537" s="210"/>
      <c r="BC1537" s="210"/>
      <c r="BD1537" s="210"/>
      <c r="BE1537" s="210"/>
      <c r="BF1537" s="210"/>
      <c r="BG1537" s="210"/>
      <c r="BH1537" s="210"/>
      <c r="BI1537" s="210"/>
      <c r="BJ1537" s="210"/>
      <c r="BK1537" s="210"/>
      <c r="BL1537" s="210"/>
      <c r="BM1537" s="210"/>
      <c r="BN1537" s="210"/>
      <c r="BO1537" s="210"/>
      <c r="BP1537" s="210"/>
      <c r="BQ1537" s="210"/>
      <c r="BR1537" s="210"/>
      <c r="BS1537" s="210"/>
      <c r="BT1537" s="210"/>
      <c r="BU1537" s="210"/>
      <c r="BV1537" s="210"/>
      <c r="BW1537" s="210"/>
      <c r="BX1537" s="210"/>
      <c r="BY1537" s="210"/>
      <c r="BZ1537" s="210"/>
      <c r="CA1537" s="210"/>
      <c r="CB1537" s="210"/>
      <c r="CC1537" s="210"/>
      <c r="CD1537" s="210"/>
      <c r="CE1537" s="210"/>
      <c r="CF1537" s="210"/>
      <c r="CG1537" s="210"/>
      <c r="CH1537" s="210"/>
      <c r="CI1537" s="210"/>
      <c r="CJ1537" s="210"/>
      <c r="CK1537" s="210"/>
    </row>
    <row r="1538">
      <c r="A1538" s="220"/>
      <c r="F1538" s="190"/>
      <c r="G1538" s="190"/>
      <c r="L1538" s="220"/>
      <c r="M1538" s="220"/>
      <c r="O1538" s="210"/>
      <c r="P1538" s="210"/>
      <c r="Q1538" s="210"/>
      <c r="R1538" s="210"/>
      <c r="S1538" s="210"/>
      <c r="T1538" s="210"/>
      <c r="U1538" s="210"/>
      <c r="V1538" s="210"/>
      <c r="W1538" s="210"/>
      <c r="X1538" s="210"/>
      <c r="Y1538" s="210"/>
      <c r="Z1538" s="210"/>
      <c r="AA1538" s="210"/>
      <c r="AB1538" s="210"/>
      <c r="AC1538" s="210"/>
      <c r="AD1538" s="210"/>
      <c r="AE1538" s="210"/>
      <c r="AF1538" s="210"/>
      <c r="AG1538" s="210"/>
      <c r="AH1538" s="210"/>
      <c r="AI1538" s="210"/>
      <c r="AJ1538" s="210"/>
      <c r="AK1538" s="210"/>
      <c r="AL1538" s="210"/>
      <c r="AM1538" s="214"/>
      <c r="AN1538" s="210"/>
      <c r="AO1538" s="210"/>
      <c r="AP1538" s="210"/>
      <c r="AQ1538" s="210"/>
      <c r="AR1538" s="210"/>
      <c r="AS1538" s="210"/>
      <c r="AT1538" s="210"/>
      <c r="AU1538" s="210"/>
      <c r="AV1538" s="210"/>
      <c r="AW1538" s="210"/>
      <c r="AX1538" s="210"/>
      <c r="AY1538" s="210"/>
      <c r="AZ1538" s="210"/>
      <c r="BA1538" s="210"/>
      <c r="BB1538" s="210"/>
      <c r="BC1538" s="210"/>
      <c r="BD1538" s="210"/>
      <c r="BE1538" s="210"/>
      <c r="BF1538" s="210"/>
      <c r="BG1538" s="210"/>
      <c r="BH1538" s="210"/>
      <c r="BI1538" s="210"/>
      <c r="BJ1538" s="210"/>
      <c r="BK1538" s="210"/>
      <c r="BL1538" s="210"/>
      <c r="BM1538" s="210"/>
      <c r="BN1538" s="210"/>
      <c r="BO1538" s="210"/>
      <c r="BP1538" s="210"/>
      <c r="BQ1538" s="210"/>
      <c r="BR1538" s="210"/>
      <c r="BS1538" s="210"/>
      <c r="BT1538" s="210"/>
      <c r="BU1538" s="210"/>
      <c r="BV1538" s="210"/>
      <c r="BW1538" s="210"/>
      <c r="BX1538" s="210"/>
      <c r="BY1538" s="210"/>
      <c r="BZ1538" s="210"/>
      <c r="CA1538" s="210"/>
      <c r="CB1538" s="210"/>
      <c r="CC1538" s="210"/>
      <c r="CD1538" s="210"/>
      <c r="CE1538" s="210"/>
      <c r="CF1538" s="210"/>
      <c r="CG1538" s="210"/>
      <c r="CH1538" s="210"/>
      <c r="CI1538" s="210"/>
      <c r="CJ1538" s="210"/>
      <c r="CK1538" s="210"/>
    </row>
    <row r="1539">
      <c r="A1539" s="220"/>
      <c r="F1539" s="190"/>
      <c r="G1539" s="190"/>
      <c r="L1539" s="220"/>
      <c r="M1539" s="220"/>
      <c r="O1539" s="210"/>
      <c r="P1539" s="210"/>
      <c r="Q1539" s="210"/>
      <c r="R1539" s="210"/>
      <c r="S1539" s="210"/>
      <c r="T1539" s="210"/>
      <c r="U1539" s="210"/>
      <c r="V1539" s="210"/>
      <c r="W1539" s="210"/>
      <c r="X1539" s="210"/>
      <c r="Y1539" s="210"/>
      <c r="Z1539" s="210"/>
      <c r="AA1539" s="210"/>
      <c r="AB1539" s="210"/>
      <c r="AC1539" s="210"/>
      <c r="AD1539" s="210"/>
      <c r="AE1539" s="210"/>
      <c r="AF1539" s="210"/>
      <c r="AG1539" s="210"/>
      <c r="AH1539" s="210"/>
      <c r="AI1539" s="210"/>
      <c r="AJ1539" s="210"/>
      <c r="AK1539" s="210"/>
      <c r="AL1539" s="210"/>
      <c r="AM1539" s="214"/>
      <c r="AN1539" s="210"/>
      <c r="AO1539" s="210"/>
      <c r="AP1539" s="210"/>
      <c r="AQ1539" s="210"/>
      <c r="AR1539" s="210"/>
      <c r="AS1539" s="210"/>
      <c r="AT1539" s="210"/>
      <c r="AU1539" s="210"/>
      <c r="AV1539" s="210"/>
      <c r="AW1539" s="210"/>
      <c r="AX1539" s="210"/>
      <c r="AY1539" s="210"/>
      <c r="AZ1539" s="210"/>
      <c r="BA1539" s="210"/>
      <c r="BB1539" s="210"/>
      <c r="BC1539" s="210"/>
      <c r="BD1539" s="210"/>
      <c r="BE1539" s="210"/>
      <c r="BF1539" s="210"/>
      <c r="BG1539" s="210"/>
      <c r="BH1539" s="210"/>
      <c r="BI1539" s="210"/>
      <c r="BJ1539" s="210"/>
      <c r="BK1539" s="210"/>
      <c r="BL1539" s="210"/>
      <c r="BM1539" s="210"/>
      <c r="BN1539" s="210"/>
      <c r="BO1539" s="210"/>
      <c r="BP1539" s="210"/>
      <c r="BQ1539" s="210"/>
      <c r="BR1539" s="210"/>
      <c r="BS1539" s="210"/>
      <c r="BT1539" s="210"/>
      <c r="BU1539" s="210"/>
      <c r="BV1539" s="210"/>
      <c r="BW1539" s="210"/>
      <c r="BX1539" s="210"/>
      <c r="BY1539" s="210"/>
      <c r="BZ1539" s="210"/>
      <c r="CA1539" s="210"/>
      <c r="CB1539" s="210"/>
      <c r="CC1539" s="210"/>
      <c r="CD1539" s="210"/>
      <c r="CE1539" s="210"/>
      <c r="CF1539" s="210"/>
      <c r="CG1539" s="210"/>
      <c r="CH1539" s="210"/>
      <c r="CI1539" s="210"/>
      <c r="CJ1539" s="210"/>
      <c r="CK1539" s="210"/>
    </row>
    <row r="1540">
      <c r="A1540" s="220"/>
      <c r="F1540" s="190"/>
      <c r="G1540" s="190"/>
      <c r="L1540" s="220"/>
      <c r="M1540" s="220"/>
      <c r="O1540" s="210"/>
      <c r="P1540" s="210"/>
      <c r="Q1540" s="210"/>
      <c r="R1540" s="210"/>
      <c r="S1540" s="210"/>
      <c r="T1540" s="210"/>
      <c r="U1540" s="210"/>
      <c r="V1540" s="210"/>
      <c r="W1540" s="210"/>
      <c r="X1540" s="210"/>
      <c r="Y1540" s="210"/>
      <c r="Z1540" s="210"/>
      <c r="AA1540" s="210"/>
      <c r="AB1540" s="210"/>
      <c r="AC1540" s="210"/>
      <c r="AD1540" s="210"/>
      <c r="AE1540" s="210"/>
      <c r="AF1540" s="210"/>
      <c r="AG1540" s="210"/>
      <c r="AH1540" s="210"/>
      <c r="AI1540" s="210"/>
      <c r="AJ1540" s="210"/>
      <c r="AK1540" s="210"/>
      <c r="AL1540" s="210"/>
      <c r="AM1540" s="214"/>
      <c r="AN1540" s="210"/>
      <c r="AO1540" s="210"/>
      <c r="AP1540" s="210"/>
      <c r="AQ1540" s="210"/>
      <c r="AR1540" s="210"/>
      <c r="AS1540" s="210"/>
      <c r="AT1540" s="210"/>
      <c r="AU1540" s="210"/>
      <c r="AV1540" s="210"/>
      <c r="AW1540" s="210"/>
      <c r="AX1540" s="210"/>
      <c r="AY1540" s="210"/>
      <c r="AZ1540" s="210"/>
      <c r="BA1540" s="210"/>
      <c r="BB1540" s="210"/>
      <c r="BC1540" s="210"/>
      <c r="BD1540" s="210"/>
      <c r="BE1540" s="210"/>
      <c r="BF1540" s="210"/>
      <c r="BG1540" s="210"/>
      <c r="BH1540" s="210"/>
      <c r="BI1540" s="210"/>
      <c r="BJ1540" s="210"/>
      <c r="BK1540" s="210"/>
      <c r="BL1540" s="210"/>
      <c r="BM1540" s="210"/>
      <c r="BN1540" s="210"/>
      <c r="BO1540" s="210"/>
      <c r="BP1540" s="210"/>
      <c r="BQ1540" s="210"/>
      <c r="BR1540" s="210"/>
      <c r="BS1540" s="210"/>
      <c r="BT1540" s="210"/>
      <c r="BU1540" s="210"/>
      <c r="BV1540" s="210"/>
      <c r="BW1540" s="210"/>
      <c r="BX1540" s="210"/>
      <c r="BY1540" s="210"/>
      <c r="BZ1540" s="210"/>
      <c r="CA1540" s="210"/>
      <c r="CB1540" s="210"/>
      <c r="CC1540" s="210"/>
      <c r="CD1540" s="210"/>
      <c r="CE1540" s="210"/>
      <c r="CF1540" s="210"/>
      <c r="CG1540" s="210"/>
      <c r="CH1540" s="210"/>
      <c r="CI1540" s="210"/>
      <c r="CJ1540" s="210"/>
      <c r="CK1540" s="210"/>
    </row>
    <row r="1541">
      <c r="A1541" s="220"/>
      <c r="F1541" s="190"/>
      <c r="G1541" s="190"/>
      <c r="L1541" s="220"/>
      <c r="M1541" s="220"/>
      <c r="O1541" s="210"/>
      <c r="P1541" s="210"/>
      <c r="Q1541" s="210"/>
      <c r="R1541" s="210"/>
      <c r="S1541" s="210"/>
      <c r="T1541" s="210"/>
      <c r="U1541" s="210"/>
      <c r="V1541" s="210"/>
      <c r="W1541" s="210"/>
      <c r="X1541" s="210"/>
      <c r="Y1541" s="210"/>
      <c r="Z1541" s="210"/>
      <c r="AA1541" s="210"/>
      <c r="AB1541" s="210"/>
      <c r="AC1541" s="210"/>
      <c r="AD1541" s="210"/>
      <c r="AE1541" s="210"/>
      <c r="AF1541" s="210"/>
      <c r="AG1541" s="210"/>
      <c r="AH1541" s="210"/>
      <c r="AI1541" s="210"/>
      <c r="AJ1541" s="210"/>
      <c r="AK1541" s="210"/>
      <c r="AL1541" s="210"/>
      <c r="AM1541" s="214"/>
      <c r="AN1541" s="210"/>
      <c r="AO1541" s="210"/>
      <c r="AP1541" s="210"/>
      <c r="AQ1541" s="210"/>
      <c r="AR1541" s="210"/>
      <c r="AS1541" s="210"/>
      <c r="AT1541" s="210"/>
      <c r="AU1541" s="210"/>
      <c r="AV1541" s="210"/>
      <c r="AW1541" s="210"/>
      <c r="AX1541" s="210"/>
      <c r="AY1541" s="210"/>
      <c r="AZ1541" s="210"/>
      <c r="BA1541" s="210"/>
      <c r="BB1541" s="210"/>
      <c r="BC1541" s="210"/>
      <c r="BD1541" s="210"/>
      <c r="BE1541" s="210"/>
      <c r="BF1541" s="210"/>
      <c r="BG1541" s="210"/>
      <c r="BH1541" s="210"/>
      <c r="BI1541" s="210"/>
      <c r="BJ1541" s="210"/>
      <c r="BK1541" s="210"/>
      <c r="BL1541" s="210"/>
      <c r="BM1541" s="210"/>
      <c r="BN1541" s="210"/>
      <c r="BO1541" s="210"/>
      <c r="BP1541" s="210"/>
      <c r="BQ1541" s="210"/>
      <c r="BR1541" s="210"/>
      <c r="BS1541" s="210"/>
      <c r="BT1541" s="210"/>
      <c r="BU1541" s="210"/>
      <c r="BV1541" s="210"/>
      <c r="BW1541" s="210"/>
      <c r="BX1541" s="210"/>
      <c r="BY1541" s="210"/>
      <c r="BZ1541" s="210"/>
      <c r="CA1541" s="210"/>
      <c r="CB1541" s="210"/>
      <c r="CC1541" s="210"/>
      <c r="CD1541" s="210"/>
      <c r="CE1541" s="210"/>
      <c r="CF1541" s="210"/>
      <c r="CG1541" s="210"/>
      <c r="CH1541" s="210"/>
      <c r="CI1541" s="210"/>
      <c r="CJ1541" s="210"/>
      <c r="CK1541" s="210"/>
    </row>
    <row r="1542">
      <c r="A1542" s="220"/>
      <c r="F1542" s="190"/>
      <c r="G1542" s="190"/>
      <c r="L1542" s="220"/>
      <c r="M1542" s="220"/>
      <c r="O1542" s="210"/>
      <c r="P1542" s="210"/>
      <c r="Q1542" s="210"/>
      <c r="R1542" s="210"/>
      <c r="S1542" s="210"/>
      <c r="T1542" s="210"/>
      <c r="U1542" s="210"/>
      <c r="V1542" s="210"/>
      <c r="W1542" s="210"/>
      <c r="X1542" s="210"/>
      <c r="Y1542" s="210"/>
      <c r="Z1542" s="210"/>
      <c r="AA1542" s="210"/>
      <c r="AB1542" s="210"/>
      <c r="AC1542" s="210"/>
      <c r="AD1542" s="210"/>
      <c r="AE1542" s="210"/>
      <c r="AF1542" s="210"/>
      <c r="AG1542" s="210"/>
      <c r="AH1542" s="210"/>
      <c r="AI1542" s="210"/>
      <c r="AJ1542" s="210"/>
      <c r="AK1542" s="210"/>
      <c r="AL1542" s="210"/>
      <c r="AM1542" s="214"/>
      <c r="AN1542" s="210"/>
      <c r="AO1542" s="210"/>
      <c r="AP1542" s="210"/>
      <c r="AQ1542" s="210"/>
      <c r="AR1542" s="210"/>
      <c r="AS1542" s="210"/>
      <c r="AT1542" s="210"/>
      <c r="AU1542" s="210"/>
      <c r="AV1542" s="210"/>
      <c r="AW1542" s="210"/>
      <c r="AX1542" s="210"/>
      <c r="AY1542" s="210"/>
      <c r="AZ1542" s="210"/>
      <c r="BA1542" s="210"/>
      <c r="BB1542" s="210"/>
      <c r="BC1542" s="210"/>
      <c r="BD1542" s="210"/>
      <c r="BE1542" s="210"/>
      <c r="BF1542" s="210"/>
      <c r="BG1542" s="210"/>
      <c r="BH1542" s="210"/>
      <c r="BI1542" s="210"/>
      <c r="BJ1542" s="210"/>
      <c r="BK1542" s="210"/>
      <c r="BL1542" s="210"/>
      <c r="BM1542" s="210"/>
      <c r="BN1542" s="210"/>
      <c r="BO1542" s="210"/>
      <c r="BP1542" s="210"/>
      <c r="BQ1542" s="210"/>
      <c r="BR1542" s="210"/>
      <c r="BS1542" s="210"/>
      <c r="BT1542" s="210"/>
      <c r="BU1542" s="210"/>
      <c r="BV1542" s="210"/>
      <c r="BW1542" s="210"/>
      <c r="BX1542" s="210"/>
      <c r="BY1542" s="210"/>
      <c r="BZ1542" s="210"/>
      <c r="CA1542" s="210"/>
      <c r="CB1542" s="210"/>
      <c r="CC1542" s="210"/>
      <c r="CD1542" s="210"/>
      <c r="CE1542" s="210"/>
      <c r="CF1542" s="210"/>
      <c r="CG1542" s="210"/>
      <c r="CH1542" s="210"/>
      <c r="CI1542" s="210"/>
      <c r="CJ1542" s="210"/>
      <c r="CK1542" s="210"/>
    </row>
    <row r="1543">
      <c r="A1543" s="220"/>
      <c r="F1543" s="190"/>
      <c r="G1543" s="190"/>
      <c r="L1543" s="220"/>
      <c r="M1543" s="220"/>
      <c r="O1543" s="210"/>
      <c r="P1543" s="210"/>
      <c r="Q1543" s="210"/>
      <c r="R1543" s="210"/>
      <c r="S1543" s="210"/>
      <c r="T1543" s="210"/>
      <c r="U1543" s="210"/>
      <c r="V1543" s="210"/>
      <c r="W1543" s="210"/>
      <c r="X1543" s="210"/>
      <c r="Y1543" s="210"/>
      <c r="Z1543" s="210"/>
      <c r="AA1543" s="210"/>
      <c r="AB1543" s="210"/>
      <c r="AC1543" s="210"/>
      <c r="AD1543" s="210"/>
      <c r="AE1543" s="210"/>
      <c r="AF1543" s="210"/>
      <c r="AG1543" s="210"/>
      <c r="AH1543" s="210"/>
      <c r="AI1543" s="210"/>
      <c r="AJ1543" s="210"/>
      <c r="AK1543" s="210"/>
      <c r="AL1543" s="210"/>
      <c r="AM1543" s="214"/>
      <c r="AN1543" s="210"/>
      <c r="AO1543" s="210"/>
      <c r="AP1543" s="210"/>
      <c r="AQ1543" s="210"/>
      <c r="AR1543" s="210"/>
      <c r="AS1543" s="210"/>
      <c r="AT1543" s="210"/>
      <c r="AU1543" s="210"/>
      <c r="AV1543" s="210"/>
      <c r="AW1543" s="210"/>
      <c r="AX1543" s="210"/>
      <c r="AY1543" s="210"/>
      <c r="AZ1543" s="210"/>
      <c r="BA1543" s="210"/>
      <c r="BB1543" s="210"/>
      <c r="BC1543" s="210"/>
      <c r="BD1543" s="210"/>
      <c r="BE1543" s="210"/>
      <c r="BF1543" s="210"/>
      <c r="BG1543" s="210"/>
      <c r="BH1543" s="210"/>
      <c r="BI1543" s="210"/>
      <c r="BJ1543" s="210"/>
      <c r="BK1543" s="210"/>
      <c r="BL1543" s="210"/>
      <c r="BM1543" s="210"/>
      <c r="BN1543" s="210"/>
      <c r="BO1543" s="210"/>
      <c r="BP1543" s="210"/>
      <c r="BQ1543" s="210"/>
      <c r="BR1543" s="210"/>
      <c r="BS1543" s="210"/>
      <c r="BT1543" s="210"/>
      <c r="BU1543" s="210"/>
      <c r="BV1543" s="210"/>
      <c r="BW1543" s="210"/>
      <c r="BX1543" s="210"/>
      <c r="BY1543" s="210"/>
      <c r="BZ1543" s="210"/>
      <c r="CA1543" s="210"/>
      <c r="CB1543" s="210"/>
      <c r="CC1543" s="210"/>
      <c r="CD1543" s="210"/>
      <c r="CE1543" s="210"/>
      <c r="CF1543" s="210"/>
      <c r="CG1543" s="210"/>
      <c r="CH1543" s="210"/>
      <c r="CI1543" s="210"/>
      <c r="CJ1543" s="210"/>
      <c r="CK1543" s="210"/>
    </row>
    <row r="1544">
      <c r="A1544" s="220"/>
      <c r="F1544" s="190"/>
      <c r="G1544" s="190"/>
      <c r="L1544" s="220"/>
      <c r="M1544" s="220"/>
      <c r="O1544" s="210"/>
      <c r="P1544" s="210"/>
      <c r="Q1544" s="210"/>
      <c r="R1544" s="210"/>
      <c r="S1544" s="210"/>
      <c r="T1544" s="210"/>
      <c r="U1544" s="210"/>
      <c r="V1544" s="210"/>
      <c r="W1544" s="210"/>
      <c r="X1544" s="210"/>
      <c r="Y1544" s="210"/>
      <c r="Z1544" s="210"/>
      <c r="AA1544" s="210"/>
      <c r="AB1544" s="210"/>
      <c r="AC1544" s="210"/>
      <c r="AD1544" s="210"/>
      <c r="AE1544" s="210"/>
      <c r="AF1544" s="210"/>
      <c r="AG1544" s="210"/>
      <c r="AH1544" s="210"/>
      <c r="AI1544" s="210"/>
      <c r="AJ1544" s="210"/>
      <c r="AK1544" s="210"/>
      <c r="AL1544" s="210"/>
      <c r="AM1544" s="214"/>
      <c r="AN1544" s="210"/>
      <c r="AO1544" s="210"/>
      <c r="AP1544" s="210"/>
      <c r="AQ1544" s="210"/>
      <c r="AR1544" s="210"/>
      <c r="AS1544" s="210"/>
      <c r="AT1544" s="210"/>
      <c r="AU1544" s="210"/>
      <c r="AV1544" s="210"/>
      <c r="AW1544" s="210"/>
      <c r="AX1544" s="210"/>
      <c r="AY1544" s="210"/>
      <c r="AZ1544" s="210"/>
      <c r="BA1544" s="210"/>
      <c r="BB1544" s="210"/>
      <c r="BC1544" s="210"/>
      <c r="BD1544" s="210"/>
      <c r="BE1544" s="210"/>
      <c r="BF1544" s="210"/>
      <c r="BG1544" s="210"/>
      <c r="BH1544" s="210"/>
      <c r="BI1544" s="210"/>
      <c r="BJ1544" s="210"/>
      <c r="BK1544" s="210"/>
      <c r="BL1544" s="210"/>
      <c r="BM1544" s="210"/>
      <c r="BN1544" s="210"/>
      <c r="BO1544" s="210"/>
      <c r="BP1544" s="210"/>
      <c r="BQ1544" s="210"/>
      <c r="BR1544" s="210"/>
      <c r="BS1544" s="210"/>
      <c r="BT1544" s="210"/>
      <c r="BU1544" s="210"/>
      <c r="BV1544" s="210"/>
      <c r="BW1544" s="210"/>
      <c r="BX1544" s="210"/>
      <c r="BY1544" s="210"/>
      <c r="BZ1544" s="210"/>
      <c r="CA1544" s="210"/>
      <c r="CB1544" s="210"/>
      <c r="CC1544" s="210"/>
      <c r="CD1544" s="210"/>
      <c r="CE1544" s="210"/>
      <c r="CF1544" s="210"/>
      <c r="CG1544" s="210"/>
      <c r="CH1544" s="210"/>
      <c r="CI1544" s="210"/>
      <c r="CJ1544" s="210"/>
      <c r="CK1544" s="210"/>
    </row>
    <row r="1545">
      <c r="A1545" s="220"/>
      <c r="F1545" s="190"/>
      <c r="G1545" s="190"/>
      <c r="L1545" s="220"/>
      <c r="M1545" s="220"/>
      <c r="O1545" s="210"/>
      <c r="P1545" s="210"/>
      <c r="Q1545" s="210"/>
      <c r="R1545" s="210"/>
      <c r="S1545" s="210"/>
      <c r="T1545" s="210"/>
      <c r="U1545" s="210"/>
      <c r="V1545" s="210"/>
      <c r="W1545" s="210"/>
      <c r="X1545" s="210"/>
      <c r="Y1545" s="210"/>
      <c r="Z1545" s="210"/>
      <c r="AA1545" s="210"/>
      <c r="AB1545" s="210"/>
      <c r="AC1545" s="210"/>
      <c r="AD1545" s="210"/>
      <c r="AE1545" s="210"/>
      <c r="AF1545" s="210"/>
      <c r="AG1545" s="210"/>
      <c r="AH1545" s="210"/>
      <c r="AI1545" s="210"/>
      <c r="AJ1545" s="210"/>
      <c r="AK1545" s="210"/>
      <c r="AL1545" s="210"/>
      <c r="AM1545" s="214"/>
      <c r="AN1545" s="210"/>
      <c r="AO1545" s="210"/>
      <c r="AP1545" s="210"/>
      <c r="AQ1545" s="210"/>
      <c r="AR1545" s="210"/>
      <c r="AS1545" s="210"/>
      <c r="AT1545" s="210"/>
      <c r="AU1545" s="210"/>
      <c r="AV1545" s="210"/>
      <c r="AW1545" s="210"/>
      <c r="AX1545" s="210"/>
      <c r="AY1545" s="210"/>
      <c r="AZ1545" s="210"/>
      <c r="BA1545" s="210"/>
      <c r="BB1545" s="210"/>
      <c r="BC1545" s="210"/>
      <c r="BD1545" s="210"/>
      <c r="BE1545" s="210"/>
      <c r="BF1545" s="210"/>
      <c r="BG1545" s="210"/>
      <c r="BH1545" s="210"/>
      <c r="BI1545" s="210"/>
      <c r="BJ1545" s="210"/>
      <c r="BK1545" s="210"/>
      <c r="BL1545" s="210"/>
      <c r="BM1545" s="210"/>
      <c r="BN1545" s="210"/>
      <c r="BO1545" s="210"/>
      <c r="BP1545" s="210"/>
      <c r="BQ1545" s="210"/>
      <c r="BR1545" s="210"/>
      <c r="BS1545" s="210"/>
      <c r="BT1545" s="210"/>
      <c r="BU1545" s="210"/>
      <c r="BV1545" s="210"/>
      <c r="BW1545" s="210"/>
      <c r="BX1545" s="210"/>
      <c r="BY1545" s="210"/>
      <c r="BZ1545" s="210"/>
      <c r="CA1545" s="210"/>
      <c r="CB1545" s="210"/>
      <c r="CC1545" s="210"/>
      <c r="CD1545" s="210"/>
      <c r="CE1545" s="210"/>
      <c r="CF1545" s="210"/>
      <c r="CG1545" s="210"/>
      <c r="CH1545" s="210"/>
      <c r="CI1545" s="210"/>
      <c r="CJ1545" s="210"/>
      <c r="CK1545" s="210"/>
    </row>
    <row r="1546">
      <c r="A1546" s="220"/>
      <c r="F1546" s="190"/>
      <c r="G1546" s="190"/>
      <c r="L1546" s="220"/>
      <c r="M1546" s="220"/>
      <c r="O1546" s="210"/>
      <c r="P1546" s="210"/>
      <c r="Q1546" s="210"/>
      <c r="R1546" s="210"/>
      <c r="S1546" s="210"/>
      <c r="T1546" s="210"/>
      <c r="U1546" s="210"/>
      <c r="V1546" s="210"/>
      <c r="W1546" s="210"/>
      <c r="X1546" s="210"/>
      <c r="Y1546" s="210"/>
      <c r="Z1546" s="210"/>
      <c r="AA1546" s="210"/>
      <c r="AB1546" s="210"/>
      <c r="AC1546" s="210"/>
      <c r="AD1546" s="210"/>
      <c r="AE1546" s="210"/>
      <c r="AF1546" s="210"/>
      <c r="AG1546" s="210"/>
      <c r="AH1546" s="210"/>
      <c r="AI1546" s="210"/>
      <c r="AJ1546" s="210"/>
      <c r="AK1546" s="210"/>
      <c r="AL1546" s="210"/>
      <c r="AM1546" s="214"/>
      <c r="AN1546" s="210"/>
      <c r="AO1546" s="210"/>
      <c r="AP1546" s="210"/>
      <c r="AQ1546" s="210"/>
      <c r="AR1546" s="210"/>
      <c r="AS1546" s="210"/>
      <c r="AT1546" s="210"/>
      <c r="AU1546" s="210"/>
      <c r="AV1546" s="210"/>
      <c r="AW1546" s="210"/>
      <c r="AX1546" s="210"/>
      <c r="AY1546" s="210"/>
      <c r="AZ1546" s="210"/>
      <c r="BA1546" s="210"/>
      <c r="BB1546" s="210"/>
      <c r="BC1546" s="210"/>
      <c r="BD1546" s="210"/>
      <c r="BE1546" s="210"/>
      <c r="BF1546" s="210"/>
      <c r="BG1546" s="210"/>
      <c r="BH1546" s="210"/>
      <c r="BI1546" s="210"/>
      <c r="BJ1546" s="210"/>
      <c r="BK1546" s="210"/>
      <c r="BL1546" s="210"/>
      <c r="BM1546" s="210"/>
      <c r="BN1546" s="210"/>
      <c r="BO1546" s="210"/>
      <c r="BP1546" s="210"/>
      <c r="BQ1546" s="210"/>
      <c r="BR1546" s="210"/>
      <c r="BS1546" s="210"/>
      <c r="BT1546" s="210"/>
      <c r="BU1546" s="210"/>
      <c r="BV1546" s="210"/>
      <c r="BW1546" s="210"/>
      <c r="BX1546" s="210"/>
      <c r="BY1546" s="210"/>
      <c r="BZ1546" s="210"/>
      <c r="CA1546" s="210"/>
      <c r="CB1546" s="210"/>
      <c r="CC1546" s="210"/>
      <c r="CD1546" s="210"/>
      <c r="CE1546" s="210"/>
      <c r="CF1546" s="210"/>
      <c r="CG1546" s="210"/>
      <c r="CH1546" s="210"/>
      <c r="CI1546" s="210"/>
      <c r="CJ1546" s="210"/>
      <c r="CK1546" s="210"/>
    </row>
    <row r="1547">
      <c r="A1547" s="220"/>
      <c r="F1547" s="190"/>
      <c r="G1547" s="190"/>
      <c r="L1547" s="220"/>
      <c r="M1547" s="220"/>
      <c r="O1547" s="210"/>
      <c r="P1547" s="210"/>
      <c r="Q1547" s="210"/>
      <c r="R1547" s="210"/>
      <c r="S1547" s="210"/>
      <c r="T1547" s="210"/>
      <c r="U1547" s="210"/>
      <c r="V1547" s="210"/>
      <c r="W1547" s="210"/>
      <c r="X1547" s="210"/>
      <c r="Y1547" s="210"/>
      <c r="Z1547" s="210"/>
      <c r="AA1547" s="210"/>
      <c r="AB1547" s="210"/>
      <c r="AC1547" s="210"/>
      <c r="AD1547" s="210"/>
      <c r="AE1547" s="210"/>
      <c r="AF1547" s="210"/>
      <c r="AG1547" s="210"/>
      <c r="AH1547" s="210"/>
      <c r="AI1547" s="210"/>
      <c r="AJ1547" s="210"/>
      <c r="AK1547" s="210"/>
      <c r="AL1547" s="210"/>
      <c r="AM1547" s="214"/>
      <c r="AN1547" s="210"/>
      <c r="AO1547" s="210"/>
      <c r="AP1547" s="210"/>
      <c r="AQ1547" s="210"/>
      <c r="AR1547" s="210"/>
      <c r="AS1547" s="210"/>
      <c r="AT1547" s="210"/>
      <c r="AU1547" s="210"/>
      <c r="AV1547" s="210"/>
      <c r="AW1547" s="210"/>
      <c r="AX1547" s="210"/>
      <c r="AY1547" s="210"/>
      <c r="AZ1547" s="210"/>
      <c r="BA1547" s="210"/>
      <c r="BB1547" s="210"/>
      <c r="BC1547" s="210"/>
      <c r="BD1547" s="210"/>
      <c r="BE1547" s="210"/>
      <c r="BF1547" s="210"/>
      <c r="BG1547" s="210"/>
      <c r="BH1547" s="210"/>
      <c r="BI1547" s="210"/>
      <c r="BJ1547" s="210"/>
      <c r="BK1547" s="210"/>
      <c r="BL1547" s="210"/>
      <c r="BM1547" s="210"/>
      <c r="BN1547" s="210"/>
      <c r="BO1547" s="210"/>
      <c r="BP1547" s="210"/>
      <c r="BQ1547" s="210"/>
      <c r="BR1547" s="210"/>
      <c r="BS1547" s="210"/>
      <c r="BT1547" s="210"/>
      <c r="BU1547" s="210"/>
      <c r="BV1547" s="210"/>
      <c r="BW1547" s="210"/>
      <c r="BX1547" s="210"/>
      <c r="BY1547" s="210"/>
      <c r="BZ1547" s="210"/>
      <c r="CA1547" s="210"/>
      <c r="CB1547" s="210"/>
      <c r="CC1547" s="210"/>
      <c r="CD1547" s="210"/>
      <c r="CE1547" s="210"/>
      <c r="CF1547" s="210"/>
      <c r="CG1547" s="210"/>
      <c r="CH1547" s="210"/>
      <c r="CI1547" s="210"/>
      <c r="CJ1547" s="210"/>
      <c r="CK1547" s="210"/>
    </row>
    <row r="1548">
      <c r="A1548" s="220"/>
      <c r="F1548" s="190"/>
      <c r="G1548" s="190"/>
      <c r="L1548" s="220"/>
      <c r="M1548" s="220"/>
      <c r="O1548" s="210"/>
      <c r="P1548" s="210"/>
      <c r="Q1548" s="210"/>
      <c r="R1548" s="210"/>
      <c r="S1548" s="210"/>
      <c r="T1548" s="210"/>
      <c r="U1548" s="210"/>
      <c r="V1548" s="210"/>
      <c r="W1548" s="210"/>
      <c r="X1548" s="210"/>
      <c r="Y1548" s="210"/>
      <c r="Z1548" s="210"/>
      <c r="AA1548" s="210"/>
      <c r="AB1548" s="210"/>
      <c r="AC1548" s="210"/>
      <c r="AD1548" s="210"/>
      <c r="AE1548" s="210"/>
      <c r="AF1548" s="210"/>
      <c r="AG1548" s="210"/>
      <c r="AH1548" s="210"/>
      <c r="AI1548" s="210"/>
      <c r="AJ1548" s="210"/>
      <c r="AK1548" s="210"/>
      <c r="AL1548" s="210"/>
      <c r="AM1548" s="214"/>
      <c r="AN1548" s="210"/>
      <c r="AO1548" s="210"/>
      <c r="AP1548" s="210"/>
      <c r="AQ1548" s="210"/>
      <c r="AR1548" s="210"/>
      <c r="AS1548" s="210"/>
      <c r="AT1548" s="210"/>
      <c r="AU1548" s="210"/>
      <c r="AV1548" s="210"/>
      <c r="AW1548" s="210"/>
      <c r="AX1548" s="210"/>
      <c r="AY1548" s="210"/>
      <c r="AZ1548" s="210"/>
      <c r="BA1548" s="210"/>
      <c r="BB1548" s="210"/>
      <c r="BC1548" s="210"/>
      <c r="BD1548" s="210"/>
      <c r="BE1548" s="210"/>
      <c r="BF1548" s="210"/>
      <c r="BG1548" s="210"/>
      <c r="BH1548" s="210"/>
      <c r="BI1548" s="210"/>
      <c r="BJ1548" s="210"/>
      <c r="BK1548" s="210"/>
      <c r="BL1548" s="210"/>
      <c r="BM1548" s="210"/>
      <c r="BN1548" s="210"/>
      <c r="BO1548" s="210"/>
      <c r="BP1548" s="210"/>
      <c r="BQ1548" s="210"/>
      <c r="BR1548" s="210"/>
      <c r="BS1548" s="210"/>
      <c r="BT1548" s="210"/>
      <c r="BU1548" s="210"/>
      <c r="BV1548" s="210"/>
      <c r="BW1548" s="210"/>
      <c r="BX1548" s="210"/>
      <c r="BY1548" s="210"/>
      <c r="BZ1548" s="210"/>
      <c r="CA1548" s="210"/>
      <c r="CB1548" s="210"/>
      <c r="CC1548" s="210"/>
      <c r="CD1548" s="210"/>
      <c r="CE1548" s="210"/>
      <c r="CF1548" s="210"/>
      <c r="CG1548" s="210"/>
      <c r="CH1548" s="210"/>
      <c r="CI1548" s="210"/>
      <c r="CJ1548" s="210"/>
      <c r="CK1548" s="210"/>
    </row>
    <row r="1549">
      <c r="A1549" s="220"/>
      <c r="F1549" s="190"/>
      <c r="G1549" s="190"/>
      <c r="L1549" s="220"/>
      <c r="M1549" s="220"/>
      <c r="O1549" s="210"/>
      <c r="P1549" s="210"/>
      <c r="Q1549" s="210"/>
      <c r="R1549" s="210"/>
      <c r="S1549" s="210"/>
      <c r="T1549" s="210"/>
      <c r="U1549" s="210"/>
      <c r="V1549" s="210"/>
      <c r="W1549" s="210"/>
      <c r="X1549" s="210"/>
      <c r="Y1549" s="210"/>
      <c r="Z1549" s="210"/>
      <c r="AA1549" s="210"/>
      <c r="AB1549" s="210"/>
      <c r="AC1549" s="210"/>
      <c r="AD1549" s="210"/>
      <c r="AE1549" s="210"/>
      <c r="AF1549" s="210"/>
      <c r="AG1549" s="210"/>
      <c r="AH1549" s="210"/>
      <c r="AI1549" s="210"/>
      <c r="AJ1549" s="210"/>
      <c r="AK1549" s="210"/>
      <c r="AL1549" s="210"/>
      <c r="AM1549" s="214"/>
      <c r="AN1549" s="210"/>
      <c r="AO1549" s="210"/>
      <c r="AP1549" s="210"/>
      <c r="AQ1549" s="210"/>
      <c r="AR1549" s="210"/>
      <c r="AS1549" s="210"/>
      <c r="AT1549" s="210"/>
      <c r="AU1549" s="210"/>
      <c r="AV1549" s="210"/>
      <c r="AW1549" s="210"/>
      <c r="AX1549" s="210"/>
      <c r="AY1549" s="210"/>
      <c r="AZ1549" s="210"/>
      <c r="BA1549" s="210"/>
      <c r="BB1549" s="210"/>
      <c r="BC1549" s="210"/>
      <c r="BD1549" s="210"/>
      <c r="BE1549" s="210"/>
      <c r="BF1549" s="210"/>
      <c r="BG1549" s="210"/>
      <c r="BH1549" s="210"/>
      <c r="BI1549" s="210"/>
      <c r="BJ1549" s="210"/>
      <c r="BK1549" s="210"/>
      <c r="BL1549" s="210"/>
      <c r="BM1549" s="210"/>
      <c r="BN1549" s="210"/>
      <c r="BO1549" s="210"/>
      <c r="BP1549" s="210"/>
      <c r="BQ1549" s="210"/>
      <c r="BR1549" s="210"/>
      <c r="BS1549" s="210"/>
      <c r="BT1549" s="210"/>
      <c r="BU1549" s="210"/>
      <c r="BV1549" s="210"/>
      <c r="BW1549" s="210"/>
      <c r="BX1549" s="210"/>
      <c r="BY1549" s="210"/>
      <c r="BZ1549" s="210"/>
      <c r="CA1549" s="210"/>
      <c r="CB1549" s="210"/>
      <c r="CC1549" s="210"/>
      <c r="CD1549" s="210"/>
      <c r="CE1549" s="210"/>
      <c r="CF1549" s="210"/>
      <c r="CG1549" s="210"/>
      <c r="CH1549" s="210"/>
      <c r="CI1549" s="210"/>
      <c r="CJ1549" s="210"/>
      <c r="CK1549" s="210"/>
    </row>
    <row r="1550">
      <c r="A1550" s="220"/>
      <c r="F1550" s="190"/>
      <c r="G1550" s="190"/>
      <c r="L1550" s="220"/>
      <c r="M1550" s="220"/>
      <c r="O1550" s="210"/>
      <c r="P1550" s="210"/>
      <c r="Q1550" s="210"/>
      <c r="R1550" s="210"/>
      <c r="S1550" s="210"/>
      <c r="T1550" s="210"/>
      <c r="U1550" s="210"/>
      <c r="V1550" s="210"/>
      <c r="W1550" s="210"/>
      <c r="X1550" s="210"/>
      <c r="Y1550" s="210"/>
      <c r="Z1550" s="210"/>
      <c r="AA1550" s="210"/>
      <c r="AB1550" s="210"/>
      <c r="AC1550" s="210"/>
      <c r="AD1550" s="210"/>
      <c r="AE1550" s="210"/>
      <c r="AF1550" s="210"/>
      <c r="AG1550" s="210"/>
      <c r="AH1550" s="210"/>
      <c r="AI1550" s="210"/>
      <c r="AJ1550" s="210"/>
      <c r="AK1550" s="210"/>
      <c r="AL1550" s="210"/>
      <c r="AM1550" s="214"/>
      <c r="AN1550" s="210"/>
      <c r="AO1550" s="210"/>
      <c r="AP1550" s="210"/>
      <c r="AQ1550" s="210"/>
      <c r="AR1550" s="210"/>
      <c r="AS1550" s="210"/>
      <c r="AT1550" s="210"/>
      <c r="AU1550" s="210"/>
      <c r="AV1550" s="210"/>
      <c r="AW1550" s="210"/>
      <c r="AX1550" s="210"/>
      <c r="AY1550" s="210"/>
      <c r="AZ1550" s="210"/>
      <c r="BA1550" s="210"/>
      <c r="BB1550" s="210"/>
      <c r="BC1550" s="210"/>
      <c r="BD1550" s="210"/>
      <c r="BE1550" s="210"/>
      <c r="BF1550" s="210"/>
      <c r="BG1550" s="210"/>
      <c r="BH1550" s="210"/>
      <c r="BI1550" s="210"/>
      <c r="BJ1550" s="210"/>
      <c r="BK1550" s="210"/>
      <c r="BL1550" s="210"/>
      <c r="BM1550" s="210"/>
      <c r="BN1550" s="210"/>
      <c r="BO1550" s="210"/>
      <c r="BP1550" s="210"/>
      <c r="BQ1550" s="210"/>
      <c r="BR1550" s="210"/>
      <c r="BS1550" s="210"/>
      <c r="BT1550" s="210"/>
      <c r="BU1550" s="210"/>
      <c r="BV1550" s="210"/>
      <c r="BW1550" s="210"/>
      <c r="BX1550" s="210"/>
      <c r="BY1550" s="210"/>
      <c r="BZ1550" s="210"/>
      <c r="CA1550" s="210"/>
      <c r="CB1550" s="210"/>
      <c r="CC1550" s="210"/>
      <c r="CD1550" s="210"/>
      <c r="CE1550" s="210"/>
      <c r="CF1550" s="210"/>
      <c r="CG1550" s="210"/>
      <c r="CH1550" s="210"/>
      <c r="CI1550" s="210"/>
      <c r="CJ1550" s="210"/>
      <c r="CK1550" s="210"/>
    </row>
    <row r="1551">
      <c r="A1551" s="220"/>
      <c r="F1551" s="190"/>
      <c r="G1551" s="190"/>
      <c r="L1551" s="220"/>
      <c r="M1551" s="220"/>
      <c r="O1551" s="210"/>
      <c r="P1551" s="210"/>
      <c r="Q1551" s="210"/>
      <c r="R1551" s="210"/>
      <c r="S1551" s="210"/>
      <c r="T1551" s="210"/>
      <c r="U1551" s="210"/>
      <c r="V1551" s="210"/>
      <c r="W1551" s="210"/>
      <c r="X1551" s="210"/>
      <c r="Y1551" s="210"/>
      <c r="Z1551" s="210"/>
      <c r="AA1551" s="210"/>
      <c r="AB1551" s="210"/>
      <c r="AC1551" s="210"/>
      <c r="AD1551" s="210"/>
      <c r="AE1551" s="210"/>
      <c r="AF1551" s="210"/>
      <c r="AG1551" s="210"/>
      <c r="AH1551" s="210"/>
      <c r="AI1551" s="210"/>
      <c r="AJ1551" s="210"/>
      <c r="AK1551" s="210"/>
      <c r="AL1551" s="210"/>
      <c r="AM1551" s="214"/>
      <c r="AN1551" s="210"/>
      <c r="AO1551" s="210"/>
      <c r="AP1551" s="210"/>
      <c r="AQ1551" s="210"/>
      <c r="AR1551" s="210"/>
      <c r="AS1551" s="210"/>
      <c r="AT1551" s="210"/>
      <c r="AU1551" s="210"/>
      <c r="AV1551" s="210"/>
      <c r="AW1551" s="210"/>
      <c r="AX1551" s="210"/>
      <c r="AY1551" s="210"/>
      <c r="AZ1551" s="210"/>
      <c r="BA1551" s="210"/>
      <c r="BB1551" s="210"/>
      <c r="BC1551" s="210"/>
      <c r="BD1551" s="210"/>
      <c r="BE1551" s="210"/>
      <c r="BF1551" s="210"/>
      <c r="BG1551" s="210"/>
      <c r="BH1551" s="210"/>
      <c r="BI1551" s="210"/>
      <c r="BJ1551" s="210"/>
      <c r="BK1551" s="210"/>
      <c r="BL1551" s="210"/>
      <c r="BM1551" s="210"/>
      <c r="BN1551" s="210"/>
      <c r="BO1551" s="210"/>
      <c r="BP1551" s="210"/>
      <c r="BQ1551" s="210"/>
      <c r="BR1551" s="210"/>
      <c r="BS1551" s="210"/>
      <c r="BT1551" s="210"/>
      <c r="BU1551" s="210"/>
      <c r="BV1551" s="210"/>
      <c r="BW1551" s="210"/>
      <c r="BX1551" s="210"/>
      <c r="BY1551" s="210"/>
      <c r="BZ1551" s="210"/>
      <c r="CA1551" s="210"/>
      <c r="CB1551" s="210"/>
      <c r="CC1551" s="210"/>
      <c r="CD1551" s="210"/>
      <c r="CE1551" s="210"/>
      <c r="CF1551" s="210"/>
      <c r="CG1551" s="210"/>
      <c r="CH1551" s="210"/>
      <c r="CI1551" s="210"/>
      <c r="CJ1551" s="210"/>
      <c r="CK1551" s="210"/>
    </row>
    <row r="1552">
      <c r="A1552" s="220"/>
      <c r="F1552" s="190"/>
      <c r="G1552" s="190"/>
      <c r="L1552" s="220"/>
      <c r="M1552" s="220"/>
      <c r="O1552" s="210"/>
      <c r="P1552" s="210"/>
      <c r="Q1552" s="210"/>
      <c r="R1552" s="210"/>
      <c r="S1552" s="210"/>
      <c r="T1552" s="210"/>
      <c r="U1552" s="210"/>
      <c r="V1552" s="210"/>
      <c r="W1552" s="210"/>
      <c r="X1552" s="210"/>
      <c r="Y1552" s="210"/>
      <c r="Z1552" s="210"/>
      <c r="AA1552" s="210"/>
      <c r="AB1552" s="210"/>
      <c r="AC1552" s="210"/>
      <c r="AD1552" s="210"/>
      <c r="AE1552" s="210"/>
      <c r="AF1552" s="210"/>
      <c r="AG1552" s="210"/>
      <c r="AH1552" s="210"/>
      <c r="AI1552" s="210"/>
      <c r="AJ1552" s="210"/>
      <c r="AK1552" s="210"/>
      <c r="AL1552" s="210"/>
      <c r="AM1552" s="214"/>
      <c r="AN1552" s="210"/>
      <c r="AO1552" s="210"/>
      <c r="AP1552" s="210"/>
      <c r="AQ1552" s="210"/>
      <c r="AR1552" s="210"/>
      <c r="AS1552" s="210"/>
      <c r="AT1552" s="210"/>
      <c r="AU1552" s="210"/>
      <c r="AV1552" s="210"/>
      <c r="AW1552" s="210"/>
      <c r="AX1552" s="210"/>
      <c r="AY1552" s="210"/>
      <c r="AZ1552" s="210"/>
      <c r="BA1552" s="210"/>
      <c r="BB1552" s="210"/>
      <c r="BC1552" s="210"/>
      <c r="BD1552" s="210"/>
      <c r="BE1552" s="210"/>
      <c r="BF1552" s="210"/>
      <c r="BG1552" s="210"/>
      <c r="BH1552" s="210"/>
      <c r="BI1552" s="210"/>
      <c r="BJ1552" s="210"/>
      <c r="BK1552" s="210"/>
      <c r="BL1552" s="210"/>
      <c r="BM1552" s="210"/>
      <c r="BN1552" s="210"/>
      <c r="BO1552" s="210"/>
      <c r="BP1552" s="210"/>
      <c r="BQ1552" s="210"/>
      <c r="BR1552" s="210"/>
      <c r="BS1552" s="210"/>
      <c r="BT1552" s="210"/>
      <c r="BU1552" s="210"/>
      <c r="BV1552" s="210"/>
      <c r="BW1552" s="210"/>
      <c r="BX1552" s="210"/>
      <c r="BY1552" s="210"/>
      <c r="BZ1552" s="210"/>
      <c r="CA1552" s="210"/>
      <c r="CB1552" s="210"/>
      <c r="CC1552" s="210"/>
      <c r="CD1552" s="210"/>
      <c r="CE1552" s="210"/>
      <c r="CF1552" s="210"/>
      <c r="CG1552" s="210"/>
      <c r="CH1552" s="210"/>
      <c r="CI1552" s="210"/>
      <c r="CJ1552" s="210"/>
      <c r="CK1552" s="210"/>
    </row>
    <row r="1553">
      <c r="A1553" s="220"/>
      <c r="F1553" s="190"/>
      <c r="G1553" s="190"/>
      <c r="L1553" s="220"/>
      <c r="M1553" s="220"/>
      <c r="O1553" s="210"/>
      <c r="P1553" s="210"/>
      <c r="Q1553" s="210"/>
      <c r="R1553" s="210"/>
      <c r="S1553" s="210"/>
      <c r="T1553" s="210"/>
      <c r="U1553" s="210"/>
      <c r="V1553" s="210"/>
      <c r="W1553" s="210"/>
      <c r="X1553" s="210"/>
      <c r="Y1553" s="210"/>
      <c r="Z1553" s="210"/>
      <c r="AA1553" s="210"/>
      <c r="AB1553" s="210"/>
      <c r="AC1553" s="210"/>
      <c r="AD1553" s="210"/>
      <c r="AE1553" s="210"/>
      <c r="AF1553" s="210"/>
      <c r="AG1553" s="210"/>
      <c r="AH1553" s="210"/>
      <c r="AI1553" s="210"/>
      <c r="AJ1553" s="210"/>
      <c r="AK1553" s="210"/>
      <c r="AL1553" s="210"/>
      <c r="AM1553" s="214"/>
      <c r="AN1553" s="210"/>
      <c r="AO1553" s="210"/>
      <c r="AP1553" s="210"/>
      <c r="AQ1553" s="210"/>
      <c r="AR1553" s="210"/>
      <c r="AS1553" s="210"/>
      <c r="AT1553" s="210"/>
      <c r="AU1553" s="210"/>
      <c r="AV1553" s="210"/>
      <c r="AW1553" s="210"/>
      <c r="AX1553" s="210"/>
      <c r="AY1553" s="210"/>
      <c r="AZ1553" s="210"/>
      <c r="BA1553" s="210"/>
      <c r="BB1553" s="210"/>
      <c r="BC1553" s="210"/>
      <c r="BD1553" s="210"/>
      <c r="BE1553" s="210"/>
      <c r="BF1553" s="210"/>
      <c r="BG1553" s="210"/>
      <c r="BH1553" s="210"/>
      <c r="BI1553" s="210"/>
      <c r="BJ1553" s="210"/>
      <c r="BK1553" s="210"/>
      <c r="BL1553" s="210"/>
      <c r="BM1553" s="210"/>
      <c r="BN1553" s="210"/>
      <c r="BO1553" s="210"/>
      <c r="BP1553" s="210"/>
      <c r="BQ1553" s="210"/>
      <c r="BR1553" s="210"/>
      <c r="BS1553" s="210"/>
      <c r="BT1553" s="210"/>
      <c r="BU1553" s="210"/>
      <c r="BV1553" s="210"/>
      <c r="BW1553" s="210"/>
      <c r="BX1553" s="210"/>
      <c r="BY1553" s="210"/>
      <c r="BZ1553" s="210"/>
      <c r="CA1553" s="210"/>
      <c r="CB1553" s="210"/>
      <c r="CC1553" s="210"/>
      <c r="CD1553" s="210"/>
      <c r="CE1553" s="210"/>
      <c r="CF1553" s="210"/>
      <c r="CG1553" s="210"/>
      <c r="CH1553" s="210"/>
      <c r="CI1553" s="210"/>
      <c r="CJ1553" s="210"/>
      <c r="CK1553" s="210"/>
    </row>
    <row r="1554">
      <c r="A1554" s="220"/>
      <c r="F1554" s="190"/>
      <c r="G1554" s="190"/>
      <c r="L1554" s="220"/>
      <c r="M1554" s="220"/>
      <c r="O1554" s="210"/>
      <c r="P1554" s="210"/>
      <c r="Q1554" s="210"/>
      <c r="R1554" s="210"/>
      <c r="S1554" s="210"/>
      <c r="T1554" s="210"/>
      <c r="U1554" s="210"/>
      <c r="V1554" s="210"/>
      <c r="W1554" s="210"/>
      <c r="X1554" s="210"/>
      <c r="Y1554" s="210"/>
      <c r="Z1554" s="210"/>
      <c r="AA1554" s="210"/>
      <c r="AB1554" s="210"/>
      <c r="AC1554" s="210"/>
      <c r="AD1554" s="210"/>
      <c r="AE1554" s="210"/>
      <c r="AF1554" s="210"/>
      <c r="AG1554" s="210"/>
      <c r="AH1554" s="210"/>
      <c r="AI1554" s="210"/>
      <c r="AJ1554" s="210"/>
      <c r="AK1554" s="210"/>
      <c r="AL1554" s="210"/>
      <c r="AM1554" s="214"/>
      <c r="AN1554" s="210"/>
      <c r="AO1554" s="210"/>
      <c r="AP1554" s="210"/>
      <c r="AQ1554" s="210"/>
      <c r="AR1554" s="210"/>
      <c r="AS1554" s="210"/>
      <c r="AT1554" s="210"/>
      <c r="AU1554" s="210"/>
      <c r="AV1554" s="210"/>
      <c r="AW1554" s="210"/>
      <c r="AX1554" s="210"/>
      <c r="AY1554" s="210"/>
      <c r="AZ1554" s="210"/>
      <c r="BA1554" s="210"/>
      <c r="BB1554" s="210"/>
      <c r="BC1554" s="210"/>
      <c r="BD1554" s="210"/>
      <c r="BE1554" s="210"/>
      <c r="BF1554" s="210"/>
      <c r="BG1554" s="210"/>
      <c r="BH1554" s="210"/>
      <c r="BI1554" s="210"/>
      <c r="BJ1554" s="210"/>
      <c r="BK1554" s="210"/>
      <c r="BL1554" s="210"/>
      <c r="BM1554" s="210"/>
      <c r="BN1554" s="210"/>
      <c r="BO1554" s="210"/>
      <c r="BP1554" s="210"/>
      <c r="BQ1554" s="210"/>
      <c r="BR1554" s="210"/>
      <c r="BS1554" s="210"/>
      <c r="BT1554" s="210"/>
      <c r="BU1554" s="210"/>
      <c r="BV1554" s="210"/>
      <c r="BW1554" s="210"/>
      <c r="BX1554" s="210"/>
      <c r="BY1554" s="210"/>
      <c r="BZ1554" s="210"/>
      <c r="CA1554" s="210"/>
      <c r="CB1554" s="210"/>
      <c r="CC1554" s="210"/>
      <c r="CD1554" s="210"/>
      <c r="CE1554" s="210"/>
      <c r="CF1554" s="210"/>
      <c r="CG1554" s="210"/>
      <c r="CH1554" s="210"/>
      <c r="CI1554" s="210"/>
      <c r="CJ1554" s="210"/>
      <c r="CK1554" s="210"/>
    </row>
    <row r="1555">
      <c r="A1555" s="220"/>
      <c r="F1555" s="190"/>
      <c r="G1555" s="190"/>
      <c r="L1555" s="220"/>
      <c r="M1555" s="220"/>
      <c r="O1555" s="210"/>
      <c r="P1555" s="210"/>
      <c r="Q1555" s="210"/>
      <c r="R1555" s="210"/>
      <c r="S1555" s="210"/>
      <c r="T1555" s="210"/>
      <c r="U1555" s="210"/>
      <c r="V1555" s="210"/>
      <c r="W1555" s="210"/>
      <c r="X1555" s="210"/>
      <c r="Y1555" s="210"/>
      <c r="Z1555" s="210"/>
      <c r="AA1555" s="210"/>
      <c r="AB1555" s="210"/>
      <c r="AC1555" s="210"/>
      <c r="AD1555" s="210"/>
      <c r="AE1555" s="210"/>
      <c r="AF1555" s="210"/>
      <c r="AG1555" s="210"/>
      <c r="AH1555" s="210"/>
      <c r="AI1555" s="210"/>
      <c r="AJ1555" s="210"/>
      <c r="AK1555" s="210"/>
      <c r="AL1555" s="210"/>
      <c r="AM1555" s="214"/>
      <c r="AN1555" s="210"/>
      <c r="AO1555" s="210"/>
      <c r="AP1555" s="210"/>
      <c r="AQ1555" s="210"/>
      <c r="AR1555" s="210"/>
      <c r="AS1555" s="210"/>
      <c r="AT1555" s="210"/>
      <c r="AU1555" s="210"/>
      <c r="AV1555" s="210"/>
      <c r="AW1555" s="210"/>
      <c r="AX1555" s="210"/>
      <c r="AY1555" s="210"/>
      <c r="AZ1555" s="210"/>
      <c r="BA1555" s="210"/>
      <c r="BB1555" s="210"/>
      <c r="BC1555" s="210"/>
      <c r="BD1555" s="210"/>
      <c r="BE1555" s="210"/>
      <c r="BF1555" s="210"/>
      <c r="BG1555" s="210"/>
      <c r="BH1555" s="210"/>
      <c r="BI1555" s="210"/>
      <c r="BJ1555" s="210"/>
      <c r="BK1555" s="210"/>
      <c r="BL1555" s="210"/>
      <c r="BM1555" s="210"/>
      <c r="BN1555" s="210"/>
      <c r="BO1555" s="210"/>
      <c r="BP1555" s="210"/>
      <c r="BQ1555" s="210"/>
      <c r="BR1555" s="210"/>
      <c r="BS1555" s="210"/>
      <c r="BT1555" s="210"/>
      <c r="BU1555" s="210"/>
      <c r="BV1555" s="210"/>
      <c r="BW1555" s="210"/>
      <c r="BX1555" s="210"/>
      <c r="BY1555" s="210"/>
      <c r="BZ1555" s="210"/>
      <c r="CA1555" s="210"/>
      <c r="CB1555" s="210"/>
      <c r="CC1555" s="210"/>
      <c r="CD1555" s="210"/>
      <c r="CE1555" s="210"/>
      <c r="CF1555" s="210"/>
      <c r="CG1555" s="210"/>
      <c r="CH1555" s="210"/>
      <c r="CI1555" s="210"/>
      <c r="CJ1555" s="210"/>
      <c r="CK1555" s="210"/>
    </row>
    <row r="1556">
      <c r="A1556" s="220"/>
      <c r="F1556" s="190"/>
      <c r="G1556" s="190"/>
      <c r="L1556" s="220"/>
      <c r="M1556" s="220"/>
      <c r="O1556" s="210"/>
      <c r="P1556" s="210"/>
      <c r="Q1556" s="210"/>
      <c r="R1556" s="210"/>
      <c r="S1556" s="210"/>
      <c r="T1556" s="210"/>
      <c r="U1556" s="210"/>
      <c r="V1556" s="210"/>
      <c r="W1556" s="210"/>
      <c r="X1556" s="210"/>
      <c r="Y1556" s="210"/>
      <c r="Z1556" s="210"/>
      <c r="AA1556" s="210"/>
      <c r="AB1556" s="210"/>
      <c r="AC1556" s="210"/>
      <c r="AD1556" s="210"/>
      <c r="AE1556" s="210"/>
      <c r="AF1556" s="210"/>
      <c r="AG1556" s="210"/>
      <c r="AH1556" s="210"/>
      <c r="AI1556" s="210"/>
      <c r="AJ1556" s="210"/>
      <c r="AK1556" s="210"/>
      <c r="AL1556" s="210"/>
      <c r="AM1556" s="214"/>
      <c r="AN1556" s="210"/>
      <c r="AO1556" s="210"/>
      <c r="AP1556" s="210"/>
      <c r="AQ1556" s="210"/>
      <c r="AR1556" s="210"/>
      <c r="AS1556" s="210"/>
      <c r="AT1556" s="210"/>
      <c r="AU1556" s="210"/>
      <c r="AV1556" s="210"/>
      <c r="AW1556" s="210"/>
      <c r="AX1556" s="210"/>
      <c r="AY1556" s="210"/>
      <c r="AZ1556" s="210"/>
      <c r="BA1556" s="210"/>
      <c r="BB1556" s="210"/>
      <c r="BC1556" s="210"/>
      <c r="BD1556" s="210"/>
      <c r="BE1556" s="210"/>
      <c r="BF1556" s="210"/>
      <c r="BG1556" s="210"/>
      <c r="BH1556" s="210"/>
      <c r="BI1556" s="210"/>
      <c r="BJ1556" s="210"/>
      <c r="BK1556" s="210"/>
      <c r="BL1556" s="210"/>
      <c r="BM1556" s="210"/>
      <c r="BN1556" s="210"/>
      <c r="BO1556" s="210"/>
      <c r="BP1556" s="210"/>
      <c r="BQ1556" s="210"/>
      <c r="BR1556" s="210"/>
      <c r="BS1556" s="210"/>
      <c r="BT1556" s="210"/>
      <c r="BU1556" s="210"/>
      <c r="BV1556" s="210"/>
      <c r="BW1556" s="210"/>
      <c r="BX1556" s="210"/>
      <c r="BY1556" s="210"/>
      <c r="BZ1556" s="210"/>
      <c r="CA1556" s="210"/>
      <c r="CB1556" s="210"/>
      <c r="CC1556" s="210"/>
      <c r="CD1556" s="210"/>
      <c r="CE1556" s="210"/>
      <c r="CF1556" s="210"/>
      <c r="CG1556" s="210"/>
      <c r="CH1556" s="210"/>
      <c r="CI1556" s="210"/>
      <c r="CJ1556" s="210"/>
      <c r="CK1556" s="210"/>
    </row>
    <row r="1557">
      <c r="A1557" s="220"/>
      <c r="F1557" s="190"/>
      <c r="G1557" s="190"/>
      <c r="L1557" s="220"/>
      <c r="M1557" s="220"/>
      <c r="O1557" s="210"/>
      <c r="P1557" s="210"/>
      <c r="Q1557" s="210"/>
      <c r="R1557" s="210"/>
      <c r="S1557" s="210"/>
      <c r="T1557" s="210"/>
      <c r="U1557" s="210"/>
      <c r="V1557" s="210"/>
      <c r="W1557" s="210"/>
      <c r="X1557" s="210"/>
      <c r="Y1557" s="210"/>
      <c r="Z1557" s="210"/>
      <c r="AA1557" s="210"/>
      <c r="AB1557" s="210"/>
      <c r="AC1557" s="210"/>
      <c r="AD1557" s="210"/>
      <c r="AE1557" s="210"/>
      <c r="AF1557" s="210"/>
      <c r="AG1557" s="210"/>
      <c r="AH1557" s="210"/>
      <c r="AI1557" s="210"/>
      <c r="AJ1557" s="210"/>
      <c r="AK1557" s="210"/>
      <c r="AL1557" s="210"/>
      <c r="AM1557" s="214"/>
      <c r="AN1557" s="210"/>
      <c r="AO1557" s="210"/>
      <c r="AP1557" s="210"/>
      <c r="AQ1557" s="210"/>
      <c r="AR1557" s="210"/>
      <c r="AS1557" s="210"/>
      <c r="AT1557" s="210"/>
      <c r="AU1557" s="210"/>
      <c r="AV1557" s="210"/>
      <c r="AW1557" s="210"/>
      <c r="AX1557" s="210"/>
      <c r="AY1557" s="210"/>
      <c r="AZ1557" s="210"/>
      <c r="BA1557" s="210"/>
      <c r="BB1557" s="210"/>
      <c r="BC1557" s="210"/>
      <c r="BD1557" s="210"/>
      <c r="BE1557" s="210"/>
      <c r="BF1557" s="210"/>
      <c r="BG1557" s="210"/>
      <c r="BH1557" s="210"/>
      <c r="BI1557" s="210"/>
      <c r="BJ1557" s="210"/>
      <c r="BK1557" s="210"/>
      <c r="BL1557" s="210"/>
      <c r="BM1557" s="210"/>
      <c r="BN1557" s="210"/>
      <c r="BO1557" s="210"/>
      <c r="BP1557" s="210"/>
      <c r="BQ1557" s="210"/>
      <c r="BR1557" s="210"/>
      <c r="BS1557" s="210"/>
      <c r="BT1557" s="210"/>
      <c r="BU1557" s="210"/>
      <c r="BV1557" s="210"/>
      <c r="BW1557" s="210"/>
      <c r="BX1557" s="210"/>
      <c r="BY1557" s="210"/>
      <c r="BZ1557" s="210"/>
      <c r="CA1557" s="210"/>
      <c r="CB1557" s="210"/>
      <c r="CC1557" s="210"/>
      <c r="CD1557" s="210"/>
      <c r="CE1557" s="210"/>
      <c r="CF1557" s="210"/>
      <c r="CG1557" s="210"/>
      <c r="CH1557" s="210"/>
      <c r="CI1557" s="210"/>
      <c r="CJ1557" s="210"/>
      <c r="CK1557" s="210"/>
    </row>
    <row r="1558">
      <c r="A1558" s="220"/>
      <c r="F1558" s="190"/>
      <c r="G1558" s="190"/>
      <c r="L1558" s="220"/>
      <c r="M1558" s="220"/>
      <c r="O1558" s="210"/>
      <c r="P1558" s="210"/>
      <c r="Q1558" s="210"/>
      <c r="R1558" s="210"/>
      <c r="S1558" s="210"/>
      <c r="T1558" s="210"/>
      <c r="U1558" s="210"/>
      <c r="V1558" s="210"/>
      <c r="W1558" s="210"/>
      <c r="X1558" s="210"/>
      <c r="Y1558" s="210"/>
      <c r="Z1558" s="210"/>
      <c r="AA1558" s="210"/>
      <c r="AB1558" s="210"/>
      <c r="AC1558" s="210"/>
      <c r="AD1558" s="210"/>
      <c r="AE1558" s="210"/>
      <c r="AF1558" s="210"/>
      <c r="AG1558" s="210"/>
      <c r="AH1558" s="210"/>
      <c r="AI1558" s="210"/>
      <c r="AJ1558" s="210"/>
      <c r="AK1558" s="210"/>
      <c r="AL1558" s="210"/>
      <c r="AM1558" s="214"/>
      <c r="AN1558" s="210"/>
      <c r="AO1558" s="210"/>
      <c r="AP1558" s="210"/>
      <c r="AQ1558" s="210"/>
      <c r="AR1558" s="210"/>
      <c r="AS1558" s="210"/>
      <c r="AT1558" s="210"/>
      <c r="AU1558" s="210"/>
      <c r="AV1558" s="210"/>
      <c r="AW1558" s="210"/>
      <c r="AX1558" s="210"/>
      <c r="AY1558" s="210"/>
      <c r="AZ1558" s="210"/>
      <c r="BA1558" s="210"/>
      <c r="BB1558" s="210"/>
      <c r="BC1558" s="210"/>
      <c r="BD1558" s="210"/>
      <c r="BE1558" s="210"/>
      <c r="BF1558" s="210"/>
      <c r="BG1558" s="210"/>
      <c r="BH1558" s="210"/>
      <c r="BI1558" s="210"/>
      <c r="BJ1558" s="210"/>
      <c r="BK1558" s="210"/>
      <c r="BL1558" s="210"/>
      <c r="BM1558" s="210"/>
      <c r="BN1558" s="210"/>
      <c r="BO1558" s="210"/>
      <c r="BP1558" s="210"/>
      <c r="BQ1558" s="210"/>
      <c r="BR1558" s="210"/>
      <c r="BS1558" s="210"/>
      <c r="BT1558" s="210"/>
      <c r="BU1558" s="210"/>
      <c r="BV1558" s="210"/>
      <c r="BW1558" s="210"/>
      <c r="BX1558" s="210"/>
      <c r="BY1558" s="210"/>
      <c r="BZ1558" s="210"/>
      <c r="CA1558" s="210"/>
      <c r="CB1558" s="210"/>
      <c r="CC1558" s="210"/>
      <c r="CD1558" s="210"/>
      <c r="CE1558" s="210"/>
      <c r="CF1558" s="210"/>
      <c r="CG1558" s="210"/>
      <c r="CH1558" s="210"/>
      <c r="CI1558" s="210"/>
      <c r="CJ1558" s="210"/>
      <c r="CK1558" s="210"/>
    </row>
    <row r="1559">
      <c r="A1559" s="220"/>
      <c r="F1559" s="190"/>
      <c r="G1559" s="190"/>
      <c r="L1559" s="220"/>
      <c r="M1559" s="220"/>
      <c r="O1559" s="210"/>
      <c r="P1559" s="210"/>
      <c r="Q1559" s="210"/>
      <c r="R1559" s="210"/>
      <c r="S1559" s="210"/>
      <c r="T1559" s="210"/>
      <c r="U1559" s="210"/>
      <c r="V1559" s="210"/>
      <c r="W1559" s="210"/>
      <c r="X1559" s="210"/>
      <c r="Y1559" s="210"/>
      <c r="Z1559" s="210"/>
      <c r="AA1559" s="210"/>
      <c r="AB1559" s="210"/>
      <c r="AC1559" s="210"/>
      <c r="AD1559" s="210"/>
      <c r="AE1559" s="210"/>
      <c r="AF1559" s="210"/>
      <c r="AG1559" s="210"/>
      <c r="AH1559" s="210"/>
      <c r="AI1559" s="210"/>
      <c r="AJ1559" s="210"/>
      <c r="AK1559" s="210"/>
      <c r="AL1559" s="210"/>
      <c r="AM1559" s="214"/>
      <c r="AN1559" s="210"/>
      <c r="AO1559" s="210"/>
      <c r="AP1559" s="210"/>
      <c r="AQ1559" s="210"/>
      <c r="AR1559" s="210"/>
      <c r="AS1559" s="210"/>
      <c r="AT1559" s="210"/>
      <c r="AU1559" s="210"/>
      <c r="AV1559" s="210"/>
      <c r="AW1559" s="210"/>
      <c r="AX1559" s="210"/>
      <c r="AY1559" s="210"/>
      <c r="AZ1559" s="210"/>
      <c r="BA1559" s="210"/>
      <c r="BB1559" s="210"/>
      <c r="BC1559" s="210"/>
      <c r="BD1559" s="210"/>
      <c r="BE1559" s="210"/>
      <c r="BF1559" s="210"/>
      <c r="BG1559" s="210"/>
      <c r="BH1559" s="210"/>
      <c r="BI1559" s="210"/>
      <c r="BJ1559" s="210"/>
      <c r="BK1559" s="210"/>
      <c r="BL1559" s="210"/>
      <c r="BM1559" s="210"/>
      <c r="BN1559" s="210"/>
      <c r="BO1559" s="210"/>
      <c r="BP1559" s="210"/>
      <c r="BQ1559" s="210"/>
      <c r="BR1559" s="210"/>
      <c r="BS1559" s="210"/>
      <c r="BT1559" s="210"/>
      <c r="BU1559" s="210"/>
      <c r="BV1559" s="210"/>
      <c r="BW1559" s="210"/>
      <c r="BX1559" s="210"/>
      <c r="BY1559" s="210"/>
      <c r="BZ1559" s="210"/>
      <c r="CA1559" s="210"/>
      <c r="CB1559" s="210"/>
      <c r="CC1559" s="210"/>
      <c r="CD1559" s="210"/>
      <c r="CE1559" s="210"/>
      <c r="CF1559" s="210"/>
      <c r="CG1559" s="210"/>
      <c r="CH1559" s="210"/>
      <c r="CI1559" s="210"/>
      <c r="CJ1559" s="210"/>
      <c r="CK1559" s="210"/>
    </row>
    <row r="1560">
      <c r="A1560" s="220"/>
      <c r="F1560" s="190"/>
      <c r="G1560" s="190"/>
      <c r="L1560" s="220"/>
      <c r="M1560" s="220"/>
      <c r="O1560" s="210"/>
      <c r="P1560" s="210"/>
      <c r="Q1560" s="210"/>
      <c r="R1560" s="210"/>
      <c r="S1560" s="210"/>
      <c r="T1560" s="210"/>
      <c r="U1560" s="210"/>
      <c r="V1560" s="210"/>
      <c r="W1560" s="210"/>
      <c r="X1560" s="210"/>
      <c r="Y1560" s="210"/>
      <c r="Z1560" s="210"/>
      <c r="AA1560" s="210"/>
      <c r="AB1560" s="210"/>
      <c r="AC1560" s="210"/>
      <c r="AD1560" s="210"/>
      <c r="AE1560" s="210"/>
      <c r="AF1560" s="210"/>
      <c r="AG1560" s="210"/>
      <c r="AH1560" s="210"/>
      <c r="AI1560" s="210"/>
      <c r="AJ1560" s="210"/>
      <c r="AK1560" s="210"/>
      <c r="AL1560" s="210"/>
      <c r="AM1560" s="214"/>
      <c r="AN1560" s="210"/>
      <c r="AO1560" s="210"/>
      <c r="AP1560" s="210"/>
      <c r="AQ1560" s="210"/>
      <c r="AR1560" s="210"/>
      <c r="AS1560" s="210"/>
      <c r="AT1560" s="210"/>
      <c r="AU1560" s="210"/>
      <c r="AV1560" s="210"/>
      <c r="AW1560" s="210"/>
      <c r="AX1560" s="210"/>
      <c r="AY1560" s="210"/>
      <c r="AZ1560" s="210"/>
      <c r="BA1560" s="210"/>
      <c r="BB1560" s="210"/>
      <c r="BC1560" s="210"/>
      <c r="BD1560" s="210"/>
      <c r="BE1560" s="210"/>
      <c r="BF1560" s="210"/>
      <c r="BG1560" s="210"/>
      <c r="BH1560" s="210"/>
      <c r="BI1560" s="210"/>
      <c r="BJ1560" s="210"/>
      <c r="BK1560" s="210"/>
      <c r="BL1560" s="210"/>
      <c r="BM1560" s="210"/>
      <c r="BN1560" s="210"/>
      <c r="BO1560" s="210"/>
      <c r="BP1560" s="210"/>
      <c r="BQ1560" s="210"/>
      <c r="BR1560" s="210"/>
      <c r="BS1560" s="210"/>
      <c r="BT1560" s="210"/>
      <c r="BU1560" s="210"/>
      <c r="BV1560" s="210"/>
      <c r="BW1560" s="210"/>
      <c r="BX1560" s="210"/>
      <c r="BY1560" s="210"/>
      <c r="BZ1560" s="210"/>
      <c r="CA1560" s="210"/>
      <c r="CB1560" s="210"/>
      <c r="CC1560" s="210"/>
      <c r="CD1560" s="210"/>
      <c r="CE1560" s="210"/>
      <c r="CF1560" s="210"/>
      <c r="CG1560" s="210"/>
      <c r="CH1560" s="210"/>
      <c r="CI1560" s="210"/>
      <c r="CJ1560" s="210"/>
      <c r="CK1560" s="210"/>
    </row>
    <row r="1561">
      <c r="A1561" s="220"/>
      <c r="F1561" s="190"/>
      <c r="G1561" s="190"/>
      <c r="L1561" s="220"/>
      <c r="M1561" s="220"/>
      <c r="O1561" s="210"/>
      <c r="P1561" s="210"/>
      <c r="Q1561" s="210"/>
      <c r="R1561" s="210"/>
      <c r="S1561" s="210"/>
      <c r="T1561" s="210"/>
      <c r="U1561" s="210"/>
      <c r="V1561" s="210"/>
      <c r="W1561" s="210"/>
      <c r="X1561" s="210"/>
      <c r="Y1561" s="210"/>
      <c r="Z1561" s="210"/>
      <c r="AA1561" s="210"/>
      <c r="AB1561" s="210"/>
      <c r="AC1561" s="210"/>
      <c r="AD1561" s="210"/>
      <c r="AE1561" s="210"/>
      <c r="AF1561" s="210"/>
      <c r="AG1561" s="210"/>
      <c r="AH1561" s="210"/>
      <c r="AI1561" s="210"/>
      <c r="AJ1561" s="210"/>
      <c r="AK1561" s="210"/>
      <c r="AL1561" s="210"/>
      <c r="AM1561" s="214"/>
      <c r="AN1561" s="210"/>
      <c r="AO1561" s="210"/>
      <c r="AP1561" s="210"/>
      <c r="AQ1561" s="210"/>
      <c r="AR1561" s="210"/>
      <c r="AS1561" s="210"/>
      <c r="AT1561" s="210"/>
      <c r="AU1561" s="210"/>
      <c r="AV1561" s="210"/>
      <c r="AW1561" s="210"/>
      <c r="AX1561" s="210"/>
      <c r="AY1561" s="210"/>
      <c r="AZ1561" s="210"/>
      <c r="BA1561" s="210"/>
      <c r="BB1561" s="210"/>
      <c r="BC1561" s="210"/>
      <c r="BD1561" s="210"/>
      <c r="BE1561" s="210"/>
      <c r="BF1561" s="210"/>
      <c r="BG1561" s="210"/>
      <c r="BH1561" s="210"/>
      <c r="BI1561" s="210"/>
      <c r="BJ1561" s="210"/>
      <c r="BK1561" s="210"/>
      <c r="BL1561" s="210"/>
      <c r="BM1561" s="210"/>
      <c r="BN1561" s="210"/>
      <c r="BO1561" s="210"/>
      <c r="BP1561" s="210"/>
      <c r="BQ1561" s="210"/>
      <c r="BR1561" s="210"/>
      <c r="BS1561" s="210"/>
      <c r="BT1561" s="210"/>
      <c r="BU1561" s="210"/>
      <c r="BV1561" s="210"/>
      <c r="BW1561" s="210"/>
      <c r="BX1561" s="210"/>
      <c r="BY1561" s="210"/>
      <c r="BZ1561" s="210"/>
      <c r="CA1561" s="210"/>
      <c r="CB1561" s="210"/>
      <c r="CC1561" s="210"/>
      <c r="CD1561" s="210"/>
      <c r="CE1561" s="210"/>
      <c r="CF1561" s="210"/>
      <c r="CG1561" s="210"/>
      <c r="CH1561" s="210"/>
      <c r="CI1561" s="210"/>
      <c r="CJ1561" s="210"/>
      <c r="CK1561" s="210"/>
    </row>
    <row r="1562">
      <c r="A1562" s="220"/>
      <c r="F1562" s="190"/>
      <c r="G1562" s="190"/>
      <c r="L1562" s="220"/>
      <c r="M1562" s="220"/>
      <c r="O1562" s="210"/>
      <c r="P1562" s="210"/>
      <c r="Q1562" s="210"/>
      <c r="R1562" s="210"/>
      <c r="S1562" s="210"/>
      <c r="T1562" s="210"/>
      <c r="U1562" s="210"/>
      <c r="V1562" s="210"/>
      <c r="W1562" s="210"/>
      <c r="X1562" s="210"/>
      <c r="Y1562" s="210"/>
      <c r="Z1562" s="210"/>
      <c r="AA1562" s="210"/>
      <c r="AB1562" s="210"/>
      <c r="AC1562" s="210"/>
      <c r="AD1562" s="210"/>
      <c r="AE1562" s="210"/>
      <c r="AF1562" s="210"/>
      <c r="AG1562" s="210"/>
      <c r="AH1562" s="210"/>
      <c r="AI1562" s="210"/>
      <c r="AJ1562" s="210"/>
      <c r="AK1562" s="210"/>
      <c r="AL1562" s="210"/>
      <c r="AM1562" s="214"/>
      <c r="AN1562" s="210"/>
      <c r="AO1562" s="210"/>
      <c r="AP1562" s="210"/>
      <c r="AQ1562" s="210"/>
      <c r="AR1562" s="210"/>
      <c r="AS1562" s="210"/>
      <c r="AT1562" s="210"/>
      <c r="AU1562" s="210"/>
      <c r="AV1562" s="210"/>
      <c r="AW1562" s="210"/>
      <c r="AX1562" s="210"/>
      <c r="AY1562" s="210"/>
      <c r="AZ1562" s="210"/>
      <c r="BA1562" s="210"/>
      <c r="BB1562" s="210"/>
      <c r="BC1562" s="210"/>
      <c r="BD1562" s="210"/>
      <c r="BE1562" s="210"/>
      <c r="BF1562" s="210"/>
      <c r="BG1562" s="210"/>
      <c r="BH1562" s="210"/>
      <c r="BI1562" s="210"/>
      <c r="BJ1562" s="210"/>
      <c r="BK1562" s="210"/>
      <c r="BL1562" s="210"/>
      <c r="BM1562" s="210"/>
      <c r="BN1562" s="210"/>
      <c r="BO1562" s="210"/>
      <c r="BP1562" s="210"/>
      <c r="BQ1562" s="210"/>
      <c r="BR1562" s="210"/>
      <c r="BS1562" s="210"/>
      <c r="BT1562" s="210"/>
      <c r="BU1562" s="210"/>
      <c r="BV1562" s="210"/>
      <c r="BW1562" s="210"/>
      <c r="BX1562" s="210"/>
      <c r="BY1562" s="210"/>
      <c r="BZ1562" s="210"/>
      <c r="CA1562" s="210"/>
      <c r="CB1562" s="210"/>
      <c r="CC1562" s="210"/>
      <c r="CD1562" s="210"/>
      <c r="CE1562" s="210"/>
      <c r="CF1562" s="210"/>
      <c r="CG1562" s="210"/>
      <c r="CH1562" s="210"/>
      <c r="CI1562" s="210"/>
      <c r="CJ1562" s="210"/>
      <c r="CK1562" s="210"/>
    </row>
    <row r="1563">
      <c r="A1563" s="220"/>
      <c r="F1563" s="190"/>
      <c r="G1563" s="190"/>
      <c r="L1563" s="220"/>
      <c r="M1563" s="220"/>
      <c r="O1563" s="210"/>
      <c r="P1563" s="210"/>
      <c r="Q1563" s="210"/>
      <c r="R1563" s="210"/>
      <c r="S1563" s="210"/>
      <c r="T1563" s="210"/>
      <c r="U1563" s="210"/>
      <c r="V1563" s="210"/>
      <c r="W1563" s="210"/>
      <c r="X1563" s="210"/>
      <c r="Y1563" s="210"/>
      <c r="Z1563" s="210"/>
      <c r="AA1563" s="210"/>
      <c r="AB1563" s="210"/>
      <c r="AC1563" s="210"/>
      <c r="AD1563" s="210"/>
      <c r="AE1563" s="210"/>
      <c r="AF1563" s="210"/>
      <c r="AG1563" s="210"/>
      <c r="AH1563" s="210"/>
      <c r="AI1563" s="210"/>
      <c r="AJ1563" s="210"/>
      <c r="AK1563" s="210"/>
      <c r="AL1563" s="210"/>
      <c r="AM1563" s="214"/>
      <c r="AN1563" s="210"/>
      <c r="AO1563" s="210"/>
      <c r="AP1563" s="210"/>
      <c r="AQ1563" s="210"/>
      <c r="AR1563" s="210"/>
      <c r="AS1563" s="210"/>
      <c r="AT1563" s="210"/>
      <c r="AU1563" s="210"/>
      <c r="AV1563" s="210"/>
      <c r="AW1563" s="210"/>
      <c r="AX1563" s="210"/>
      <c r="AY1563" s="210"/>
      <c r="AZ1563" s="210"/>
      <c r="BA1563" s="210"/>
      <c r="BB1563" s="210"/>
      <c r="BC1563" s="210"/>
      <c r="BD1563" s="210"/>
      <c r="BE1563" s="210"/>
      <c r="BF1563" s="210"/>
      <c r="BG1563" s="210"/>
      <c r="BH1563" s="210"/>
      <c r="BI1563" s="210"/>
      <c r="BJ1563" s="210"/>
      <c r="BK1563" s="210"/>
      <c r="BL1563" s="210"/>
      <c r="BM1563" s="210"/>
      <c r="BN1563" s="210"/>
      <c r="BO1563" s="210"/>
      <c r="BP1563" s="210"/>
      <c r="BQ1563" s="210"/>
      <c r="BR1563" s="210"/>
      <c r="BS1563" s="210"/>
      <c r="BT1563" s="210"/>
      <c r="BU1563" s="210"/>
      <c r="BV1563" s="210"/>
      <c r="BW1563" s="210"/>
      <c r="BX1563" s="210"/>
      <c r="BY1563" s="210"/>
      <c r="BZ1563" s="210"/>
      <c r="CA1563" s="210"/>
      <c r="CB1563" s="210"/>
      <c r="CC1563" s="210"/>
      <c r="CD1563" s="210"/>
      <c r="CE1563" s="210"/>
      <c r="CF1563" s="210"/>
      <c r="CG1563" s="210"/>
      <c r="CH1563" s="210"/>
      <c r="CI1563" s="210"/>
      <c r="CJ1563" s="210"/>
      <c r="CK1563" s="210"/>
    </row>
    <row r="1564">
      <c r="A1564" s="220"/>
      <c r="F1564" s="190"/>
      <c r="G1564" s="190"/>
      <c r="L1564" s="220"/>
      <c r="M1564" s="220"/>
      <c r="O1564" s="210"/>
      <c r="P1564" s="210"/>
      <c r="Q1564" s="210"/>
      <c r="R1564" s="210"/>
      <c r="S1564" s="210"/>
      <c r="T1564" s="210"/>
      <c r="U1564" s="210"/>
      <c r="V1564" s="210"/>
      <c r="W1564" s="210"/>
      <c r="X1564" s="210"/>
      <c r="Y1564" s="210"/>
      <c r="Z1564" s="210"/>
      <c r="AA1564" s="210"/>
      <c r="AB1564" s="210"/>
      <c r="AC1564" s="210"/>
      <c r="AD1564" s="210"/>
      <c r="AE1564" s="210"/>
      <c r="AF1564" s="210"/>
      <c r="AG1564" s="210"/>
      <c r="AH1564" s="210"/>
      <c r="AI1564" s="210"/>
      <c r="AJ1564" s="210"/>
      <c r="AK1564" s="210"/>
      <c r="AL1564" s="210"/>
      <c r="AM1564" s="214"/>
      <c r="AN1564" s="210"/>
      <c r="AO1564" s="210"/>
      <c r="AP1564" s="210"/>
      <c r="AQ1564" s="210"/>
      <c r="AR1564" s="210"/>
      <c r="AS1564" s="210"/>
      <c r="AT1564" s="210"/>
      <c r="AU1564" s="210"/>
      <c r="AV1564" s="210"/>
      <c r="AW1564" s="210"/>
      <c r="AX1564" s="210"/>
      <c r="AY1564" s="210"/>
      <c r="AZ1564" s="210"/>
      <c r="BA1564" s="210"/>
      <c r="BB1564" s="210"/>
      <c r="BC1564" s="210"/>
      <c r="BD1564" s="210"/>
      <c r="BE1564" s="210"/>
      <c r="BF1564" s="210"/>
      <c r="BG1564" s="210"/>
      <c r="BH1564" s="210"/>
      <c r="BI1564" s="210"/>
      <c r="BJ1564" s="210"/>
      <c r="BK1564" s="210"/>
      <c r="BL1564" s="210"/>
      <c r="BM1564" s="210"/>
      <c r="BN1564" s="210"/>
      <c r="BO1564" s="210"/>
      <c r="BP1564" s="210"/>
      <c r="BQ1564" s="210"/>
      <c r="BR1564" s="210"/>
      <c r="BS1564" s="210"/>
      <c r="BT1564" s="210"/>
      <c r="BU1564" s="210"/>
      <c r="BV1564" s="210"/>
      <c r="BW1564" s="210"/>
      <c r="BX1564" s="210"/>
      <c r="BY1564" s="210"/>
      <c r="BZ1564" s="210"/>
      <c r="CA1564" s="210"/>
      <c r="CB1564" s="210"/>
      <c r="CC1564" s="210"/>
      <c r="CD1564" s="210"/>
      <c r="CE1564" s="210"/>
      <c r="CF1564" s="210"/>
      <c r="CG1564" s="210"/>
      <c r="CH1564" s="210"/>
      <c r="CI1564" s="210"/>
      <c r="CJ1564" s="210"/>
      <c r="CK1564" s="210"/>
    </row>
    <row r="1565">
      <c r="A1565" s="220"/>
      <c r="F1565" s="190"/>
      <c r="G1565" s="190"/>
      <c r="L1565" s="220"/>
      <c r="M1565" s="220"/>
      <c r="O1565" s="210"/>
      <c r="P1565" s="210"/>
      <c r="Q1565" s="210"/>
      <c r="R1565" s="210"/>
      <c r="S1565" s="210"/>
      <c r="T1565" s="210"/>
      <c r="U1565" s="210"/>
      <c r="V1565" s="210"/>
      <c r="W1565" s="210"/>
      <c r="X1565" s="210"/>
      <c r="Y1565" s="210"/>
      <c r="Z1565" s="210"/>
      <c r="AA1565" s="210"/>
      <c r="AB1565" s="210"/>
      <c r="AC1565" s="210"/>
      <c r="AD1565" s="210"/>
      <c r="AE1565" s="210"/>
      <c r="AF1565" s="210"/>
      <c r="AG1565" s="210"/>
      <c r="AH1565" s="210"/>
      <c r="AI1565" s="210"/>
      <c r="AJ1565" s="210"/>
      <c r="AK1565" s="210"/>
      <c r="AL1565" s="210"/>
      <c r="AM1565" s="214"/>
      <c r="AN1565" s="210"/>
      <c r="AO1565" s="210"/>
      <c r="AP1565" s="210"/>
      <c r="AQ1565" s="210"/>
      <c r="AR1565" s="210"/>
      <c r="AS1565" s="210"/>
      <c r="AT1565" s="210"/>
      <c r="AU1565" s="210"/>
      <c r="AV1565" s="210"/>
      <c r="AW1565" s="210"/>
      <c r="AX1565" s="210"/>
      <c r="AY1565" s="210"/>
      <c r="AZ1565" s="210"/>
      <c r="BA1565" s="210"/>
      <c r="BB1565" s="210"/>
      <c r="BC1565" s="210"/>
      <c r="BD1565" s="210"/>
      <c r="BE1565" s="210"/>
      <c r="BF1565" s="210"/>
      <c r="BG1565" s="210"/>
      <c r="BH1565" s="210"/>
      <c r="BI1565" s="210"/>
      <c r="BJ1565" s="210"/>
      <c r="BK1565" s="210"/>
      <c r="BL1565" s="210"/>
      <c r="BM1565" s="210"/>
      <c r="BN1565" s="210"/>
      <c r="BO1565" s="210"/>
      <c r="BP1565" s="210"/>
      <c r="BQ1565" s="210"/>
      <c r="BR1565" s="210"/>
      <c r="BS1565" s="210"/>
      <c r="BT1565" s="210"/>
      <c r="BU1565" s="210"/>
      <c r="BV1565" s="210"/>
      <c r="BW1565" s="210"/>
      <c r="BX1565" s="210"/>
      <c r="BY1565" s="210"/>
      <c r="BZ1565" s="210"/>
      <c r="CA1565" s="210"/>
      <c r="CB1565" s="210"/>
      <c r="CC1565" s="210"/>
      <c r="CD1565" s="210"/>
      <c r="CE1565" s="210"/>
      <c r="CF1565" s="210"/>
      <c r="CG1565" s="210"/>
      <c r="CH1565" s="210"/>
      <c r="CI1565" s="210"/>
      <c r="CJ1565" s="210"/>
      <c r="CK1565" s="210"/>
    </row>
    <row r="1566">
      <c r="A1566" s="220"/>
      <c r="F1566" s="190"/>
      <c r="G1566" s="190"/>
      <c r="L1566" s="220"/>
      <c r="M1566" s="220"/>
      <c r="O1566" s="210"/>
      <c r="P1566" s="210"/>
      <c r="Q1566" s="210"/>
      <c r="R1566" s="210"/>
      <c r="S1566" s="210"/>
      <c r="T1566" s="210"/>
      <c r="U1566" s="210"/>
      <c r="V1566" s="210"/>
      <c r="W1566" s="210"/>
      <c r="X1566" s="210"/>
      <c r="Y1566" s="210"/>
      <c r="Z1566" s="210"/>
      <c r="AA1566" s="210"/>
      <c r="AB1566" s="210"/>
      <c r="AC1566" s="210"/>
      <c r="AD1566" s="210"/>
      <c r="AE1566" s="210"/>
      <c r="AF1566" s="210"/>
      <c r="AG1566" s="210"/>
      <c r="AH1566" s="210"/>
      <c r="AI1566" s="210"/>
      <c r="AJ1566" s="210"/>
      <c r="AK1566" s="210"/>
      <c r="AL1566" s="210"/>
      <c r="AM1566" s="214"/>
      <c r="AN1566" s="210"/>
      <c r="AO1566" s="210"/>
      <c r="AP1566" s="210"/>
      <c r="AQ1566" s="210"/>
      <c r="AR1566" s="210"/>
      <c r="AS1566" s="210"/>
      <c r="AT1566" s="210"/>
      <c r="AU1566" s="210"/>
      <c r="AV1566" s="210"/>
      <c r="AW1566" s="210"/>
      <c r="AX1566" s="210"/>
      <c r="AY1566" s="210"/>
      <c r="AZ1566" s="210"/>
      <c r="BA1566" s="210"/>
      <c r="BB1566" s="210"/>
      <c r="BC1566" s="210"/>
      <c r="BD1566" s="210"/>
      <c r="BE1566" s="210"/>
      <c r="BF1566" s="210"/>
      <c r="BG1566" s="210"/>
      <c r="BH1566" s="210"/>
      <c r="BI1566" s="210"/>
      <c r="BJ1566" s="210"/>
      <c r="BK1566" s="210"/>
      <c r="BL1566" s="210"/>
      <c r="BM1566" s="210"/>
      <c r="BN1566" s="210"/>
      <c r="BO1566" s="210"/>
      <c r="BP1566" s="210"/>
      <c r="BQ1566" s="210"/>
      <c r="BR1566" s="210"/>
      <c r="BS1566" s="210"/>
      <c r="BT1566" s="210"/>
      <c r="BU1566" s="210"/>
      <c r="BV1566" s="210"/>
      <c r="BW1566" s="210"/>
      <c r="BX1566" s="210"/>
      <c r="BY1566" s="210"/>
      <c r="BZ1566" s="210"/>
      <c r="CA1566" s="210"/>
      <c r="CB1566" s="210"/>
      <c r="CC1566" s="210"/>
      <c r="CD1566" s="210"/>
      <c r="CE1566" s="210"/>
      <c r="CF1566" s="210"/>
      <c r="CG1566" s="210"/>
      <c r="CH1566" s="210"/>
      <c r="CI1566" s="210"/>
      <c r="CJ1566" s="210"/>
      <c r="CK1566" s="210"/>
    </row>
    <row r="1567">
      <c r="A1567" s="220"/>
      <c r="F1567" s="190"/>
      <c r="G1567" s="190"/>
      <c r="L1567" s="220"/>
      <c r="M1567" s="220"/>
      <c r="O1567" s="210"/>
      <c r="P1567" s="210"/>
      <c r="Q1567" s="210"/>
      <c r="R1567" s="210"/>
      <c r="S1567" s="210"/>
      <c r="T1567" s="210"/>
      <c r="U1567" s="210"/>
      <c r="V1567" s="210"/>
      <c r="W1567" s="210"/>
      <c r="X1567" s="210"/>
      <c r="Y1567" s="210"/>
      <c r="Z1567" s="210"/>
      <c r="AA1567" s="210"/>
      <c r="AB1567" s="210"/>
      <c r="AC1567" s="210"/>
      <c r="AD1567" s="210"/>
      <c r="AE1567" s="210"/>
      <c r="AF1567" s="210"/>
      <c r="AG1567" s="210"/>
      <c r="AH1567" s="210"/>
      <c r="AI1567" s="210"/>
      <c r="AJ1567" s="210"/>
      <c r="AK1567" s="210"/>
      <c r="AL1567" s="210"/>
      <c r="AM1567" s="214"/>
      <c r="AN1567" s="210"/>
      <c r="AO1567" s="210"/>
      <c r="AP1567" s="210"/>
      <c r="AQ1567" s="210"/>
      <c r="AR1567" s="210"/>
      <c r="AS1567" s="210"/>
      <c r="AT1567" s="210"/>
      <c r="AU1567" s="210"/>
      <c r="AV1567" s="210"/>
      <c r="AW1567" s="210"/>
      <c r="AX1567" s="210"/>
      <c r="AY1567" s="210"/>
      <c r="AZ1567" s="210"/>
      <c r="BA1567" s="210"/>
      <c r="BB1567" s="210"/>
      <c r="BC1567" s="210"/>
      <c r="BD1567" s="210"/>
      <c r="BE1567" s="210"/>
      <c r="BF1567" s="210"/>
      <c r="BG1567" s="210"/>
      <c r="BH1567" s="210"/>
      <c r="BI1567" s="210"/>
      <c r="BJ1567" s="210"/>
      <c r="BK1567" s="210"/>
      <c r="BL1567" s="210"/>
      <c r="BM1567" s="210"/>
      <c r="BN1567" s="210"/>
      <c r="BO1567" s="210"/>
      <c r="BP1567" s="210"/>
      <c r="BQ1567" s="210"/>
      <c r="BR1567" s="210"/>
      <c r="BS1567" s="210"/>
      <c r="BT1567" s="210"/>
      <c r="BU1567" s="210"/>
      <c r="BV1567" s="210"/>
      <c r="BW1567" s="210"/>
      <c r="BX1567" s="210"/>
      <c r="BY1567" s="210"/>
      <c r="BZ1567" s="210"/>
      <c r="CA1567" s="210"/>
      <c r="CB1567" s="210"/>
      <c r="CC1567" s="210"/>
      <c r="CD1567" s="210"/>
      <c r="CE1567" s="210"/>
      <c r="CF1567" s="210"/>
      <c r="CG1567" s="210"/>
      <c r="CH1567" s="210"/>
      <c r="CI1567" s="210"/>
      <c r="CJ1567" s="210"/>
      <c r="CK1567" s="210"/>
    </row>
    <row r="1568">
      <c r="A1568" s="220"/>
      <c r="F1568" s="190"/>
      <c r="G1568" s="190"/>
      <c r="L1568" s="220"/>
      <c r="M1568" s="220"/>
      <c r="O1568" s="210"/>
      <c r="P1568" s="210"/>
      <c r="Q1568" s="210"/>
      <c r="R1568" s="210"/>
      <c r="S1568" s="210"/>
      <c r="T1568" s="210"/>
      <c r="U1568" s="210"/>
      <c r="V1568" s="210"/>
      <c r="W1568" s="210"/>
      <c r="X1568" s="210"/>
      <c r="Y1568" s="210"/>
      <c r="Z1568" s="210"/>
      <c r="AA1568" s="210"/>
      <c r="AB1568" s="210"/>
      <c r="AC1568" s="210"/>
      <c r="AD1568" s="210"/>
      <c r="AE1568" s="210"/>
      <c r="AF1568" s="210"/>
      <c r="AG1568" s="210"/>
      <c r="AH1568" s="210"/>
      <c r="AI1568" s="210"/>
      <c r="AJ1568" s="210"/>
      <c r="AK1568" s="210"/>
      <c r="AL1568" s="210"/>
      <c r="AM1568" s="214"/>
      <c r="AN1568" s="210"/>
      <c r="AO1568" s="210"/>
      <c r="AP1568" s="210"/>
      <c r="AQ1568" s="210"/>
      <c r="AR1568" s="210"/>
      <c r="AS1568" s="210"/>
      <c r="AT1568" s="210"/>
      <c r="AU1568" s="210"/>
      <c r="AV1568" s="210"/>
      <c r="AW1568" s="210"/>
      <c r="AX1568" s="210"/>
      <c r="AY1568" s="210"/>
      <c r="AZ1568" s="210"/>
      <c r="BA1568" s="210"/>
      <c r="BB1568" s="210"/>
      <c r="BC1568" s="210"/>
      <c r="BD1568" s="210"/>
      <c r="BE1568" s="210"/>
      <c r="BF1568" s="210"/>
      <c r="BG1568" s="210"/>
      <c r="BH1568" s="210"/>
      <c r="BI1568" s="210"/>
      <c r="BJ1568" s="210"/>
      <c r="BK1568" s="210"/>
      <c r="BL1568" s="210"/>
      <c r="BM1568" s="210"/>
      <c r="BN1568" s="210"/>
      <c r="BO1568" s="210"/>
      <c r="BP1568" s="210"/>
      <c r="BQ1568" s="210"/>
      <c r="BR1568" s="210"/>
      <c r="BS1568" s="210"/>
      <c r="BT1568" s="210"/>
      <c r="BU1568" s="210"/>
      <c r="BV1568" s="210"/>
      <c r="BW1568" s="210"/>
      <c r="BX1568" s="210"/>
      <c r="BY1568" s="210"/>
      <c r="BZ1568" s="210"/>
      <c r="CA1568" s="210"/>
      <c r="CB1568" s="210"/>
      <c r="CC1568" s="210"/>
      <c r="CD1568" s="210"/>
      <c r="CE1568" s="210"/>
      <c r="CF1568" s="210"/>
      <c r="CG1568" s="210"/>
      <c r="CH1568" s="210"/>
      <c r="CI1568" s="210"/>
      <c r="CJ1568" s="210"/>
      <c r="CK1568" s="210"/>
    </row>
    <row r="1569">
      <c r="A1569" s="220"/>
      <c r="F1569" s="190"/>
      <c r="G1569" s="190"/>
      <c r="L1569" s="220"/>
      <c r="M1569" s="220"/>
      <c r="O1569" s="210"/>
      <c r="P1569" s="210"/>
      <c r="Q1569" s="210"/>
      <c r="R1569" s="210"/>
      <c r="S1569" s="210"/>
      <c r="T1569" s="210"/>
      <c r="U1569" s="210"/>
      <c r="V1569" s="210"/>
      <c r="W1569" s="210"/>
      <c r="X1569" s="210"/>
      <c r="Y1569" s="210"/>
      <c r="Z1569" s="210"/>
      <c r="AA1569" s="210"/>
      <c r="AB1569" s="210"/>
      <c r="AC1569" s="210"/>
      <c r="AD1569" s="210"/>
      <c r="AE1569" s="210"/>
      <c r="AF1569" s="210"/>
      <c r="AG1569" s="210"/>
      <c r="AH1569" s="210"/>
      <c r="AI1569" s="210"/>
      <c r="AJ1569" s="210"/>
      <c r="AK1569" s="210"/>
      <c r="AL1569" s="210"/>
      <c r="AM1569" s="214"/>
      <c r="AN1569" s="210"/>
      <c r="AO1569" s="210"/>
      <c r="AP1569" s="210"/>
      <c r="AQ1569" s="210"/>
      <c r="AR1569" s="210"/>
      <c r="AS1569" s="210"/>
      <c r="AT1569" s="210"/>
      <c r="AU1569" s="210"/>
      <c r="AV1569" s="210"/>
      <c r="AW1569" s="210"/>
      <c r="AX1569" s="210"/>
      <c r="AY1569" s="210"/>
      <c r="AZ1569" s="210"/>
      <c r="BA1569" s="210"/>
      <c r="BB1569" s="210"/>
      <c r="BC1569" s="210"/>
      <c r="BD1569" s="210"/>
      <c r="BE1569" s="210"/>
      <c r="BF1569" s="210"/>
      <c r="BG1569" s="210"/>
      <c r="BH1569" s="210"/>
      <c r="BI1569" s="210"/>
      <c r="BJ1569" s="210"/>
      <c r="BK1569" s="210"/>
      <c r="BL1569" s="210"/>
      <c r="BM1569" s="210"/>
      <c r="BN1569" s="210"/>
      <c r="BO1569" s="210"/>
      <c r="BP1569" s="210"/>
      <c r="BQ1569" s="210"/>
      <c r="BR1569" s="210"/>
      <c r="BS1569" s="210"/>
      <c r="BT1569" s="210"/>
      <c r="BU1569" s="210"/>
      <c r="BV1569" s="210"/>
      <c r="BW1569" s="210"/>
      <c r="BX1569" s="210"/>
      <c r="BY1569" s="210"/>
      <c r="BZ1569" s="210"/>
      <c r="CA1569" s="210"/>
      <c r="CB1569" s="210"/>
      <c r="CC1569" s="210"/>
      <c r="CD1569" s="210"/>
      <c r="CE1569" s="210"/>
      <c r="CF1569" s="210"/>
      <c r="CG1569" s="210"/>
      <c r="CH1569" s="210"/>
      <c r="CI1569" s="210"/>
      <c r="CJ1569" s="210"/>
      <c r="CK1569" s="210"/>
    </row>
    <row r="1570">
      <c r="A1570" s="220"/>
      <c r="F1570" s="190"/>
      <c r="G1570" s="190"/>
      <c r="L1570" s="220"/>
      <c r="M1570" s="220"/>
      <c r="O1570" s="210"/>
      <c r="P1570" s="210"/>
      <c r="Q1570" s="210"/>
      <c r="R1570" s="210"/>
      <c r="S1570" s="210"/>
      <c r="T1570" s="210"/>
      <c r="U1570" s="210"/>
      <c r="V1570" s="210"/>
      <c r="W1570" s="210"/>
      <c r="X1570" s="210"/>
      <c r="Y1570" s="210"/>
      <c r="Z1570" s="210"/>
      <c r="AA1570" s="210"/>
      <c r="AB1570" s="210"/>
      <c r="AC1570" s="210"/>
      <c r="AD1570" s="210"/>
      <c r="AE1570" s="210"/>
      <c r="AF1570" s="210"/>
      <c r="AG1570" s="210"/>
      <c r="AH1570" s="210"/>
      <c r="AI1570" s="210"/>
      <c r="AJ1570" s="210"/>
      <c r="AK1570" s="210"/>
      <c r="AL1570" s="210"/>
      <c r="AM1570" s="214"/>
      <c r="AN1570" s="210"/>
      <c r="AO1570" s="210"/>
      <c r="AP1570" s="210"/>
      <c r="AQ1570" s="210"/>
      <c r="AR1570" s="210"/>
      <c r="AS1570" s="210"/>
      <c r="AT1570" s="210"/>
      <c r="AU1570" s="210"/>
      <c r="AV1570" s="210"/>
      <c r="AW1570" s="210"/>
      <c r="AX1570" s="210"/>
      <c r="AY1570" s="210"/>
      <c r="AZ1570" s="210"/>
      <c r="BA1570" s="210"/>
      <c r="BB1570" s="210"/>
      <c r="BC1570" s="210"/>
      <c r="BD1570" s="210"/>
      <c r="BE1570" s="210"/>
      <c r="BF1570" s="210"/>
      <c r="BG1570" s="210"/>
      <c r="BH1570" s="210"/>
      <c r="BI1570" s="210"/>
      <c r="BJ1570" s="210"/>
      <c r="BK1570" s="210"/>
      <c r="BL1570" s="210"/>
      <c r="BM1570" s="210"/>
      <c r="BN1570" s="210"/>
      <c r="BO1570" s="210"/>
      <c r="BP1570" s="210"/>
      <c r="BQ1570" s="210"/>
      <c r="BR1570" s="210"/>
      <c r="BS1570" s="210"/>
      <c r="BT1570" s="210"/>
      <c r="BU1570" s="210"/>
      <c r="BV1570" s="210"/>
      <c r="BW1570" s="210"/>
      <c r="BX1570" s="210"/>
      <c r="BY1570" s="210"/>
      <c r="BZ1570" s="210"/>
      <c r="CA1570" s="210"/>
      <c r="CB1570" s="210"/>
      <c r="CC1570" s="210"/>
      <c r="CD1570" s="210"/>
      <c r="CE1570" s="210"/>
      <c r="CF1570" s="210"/>
      <c r="CG1570" s="210"/>
      <c r="CH1570" s="210"/>
      <c r="CI1570" s="210"/>
      <c r="CJ1570" s="210"/>
      <c r="CK1570" s="210"/>
    </row>
    <row r="1571">
      <c r="A1571" s="220"/>
      <c r="F1571" s="190"/>
      <c r="G1571" s="190"/>
      <c r="L1571" s="220"/>
      <c r="M1571" s="220"/>
      <c r="O1571" s="210"/>
      <c r="P1571" s="210"/>
      <c r="Q1571" s="210"/>
      <c r="R1571" s="210"/>
      <c r="S1571" s="210"/>
      <c r="T1571" s="210"/>
      <c r="U1571" s="210"/>
      <c r="V1571" s="210"/>
      <c r="W1571" s="210"/>
      <c r="X1571" s="210"/>
      <c r="Y1571" s="210"/>
      <c r="Z1571" s="210"/>
      <c r="AA1571" s="210"/>
      <c r="AB1571" s="210"/>
      <c r="AC1571" s="210"/>
      <c r="AD1571" s="210"/>
      <c r="AE1571" s="210"/>
      <c r="AF1571" s="210"/>
      <c r="AG1571" s="210"/>
      <c r="AH1571" s="210"/>
      <c r="AI1571" s="210"/>
      <c r="AJ1571" s="210"/>
      <c r="AK1571" s="210"/>
      <c r="AL1571" s="210"/>
      <c r="AM1571" s="214"/>
      <c r="AN1571" s="210"/>
      <c r="AO1571" s="210"/>
      <c r="AP1571" s="210"/>
      <c r="AQ1571" s="210"/>
      <c r="AR1571" s="210"/>
      <c r="AS1571" s="210"/>
      <c r="AT1571" s="210"/>
      <c r="AU1571" s="210"/>
      <c r="AV1571" s="210"/>
      <c r="AW1571" s="210"/>
      <c r="AX1571" s="210"/>
      <c r="AY1571" s="210"/>
      <c r="AZ1571" s="210"/>
      <c r="BA1571" s="210"/>
      <c r="BB1571" s="210"/>
      <c r="BC1571" s="210"/>
      <c r="BD1571" s="210"/>
      <c r="BE1571" s="210"/>
      <c r="BF1571" s="210"/>
      <c r="BG1571" s="210"/>
      <c r="BH1571" s="210"/>
      <c r="BI1571" s="210"/>
      <c r="BJ1571" s="210"/>
      <c r="BK1571" s="210"/>
      <c r="BL1571" s="210"/>
      <c r="BM1571" s="210"/>
      <c r="BN1571" s="210"/>
      <c r="BO1571" s="210"/>
      <c r="BP1571" s="210"/>
      <c r="BQ1571" s="210"/>
      <c r="BR1571" s="210"/>
      <c r="BS1571" s="210"/>
      <c r="BT1571" s="210"/>
      <c r="BU1571" s="210"/>
      <c r="BV1571" s="210"/>
      <c r="BW1571" s="210"/>
      <c r="BX1571" s="210"/>
      <c r="BY1571" s="210"/>
      <c r="BZ1571" s="210"/>
      <c r="CA1571" s="210"/>
      <c r="CB1571" s="210"/>
      <c r="CC1571" s="210"/>
      <c r="CD1571" s="210"/>
      <c r="CE1571" s="210"/>
      <c r="CF1571" s="210"/>
      <c r="CG1571" s="210"/>
      <c r="CH1571" s="210"/>
      <c r="CI1571" s="210"/>
      <c r="CJ1571" s="210"/>
      <c r="CK1571" s="210"/>
    </row>
    <row r="1572">
      <c r="A1572" s="220"/>
      <c r="F1572" s="190"/>
      <c r="G1572" s="190"/>
      <c r="L1572" s="220"/>
      <c r="M1572" s="220"/>
      <c r="O1572" s="210"/>
      <c r="P1572" s="210"/>
      <c r="Q1572" s="210"/>
      <c r="R1572" s="210"/>
      <c r="S1572" s="210"/>
      <c r="T1572" s="210"/>
      <c r="U1572" s="210"/>
      <c r="V1572" s="210"/>
      <c r="W1572" s="210"/>
      <c r="X1572" s="210"/>
      <c r="Y1572" s="210"/>
      <c r="Z1572" s="210"/>
      <c r="AA1572" s="210"/>
      <c r="AB1572" s="210"/>
      <c r="AC1572" s="210"/>
      <c r="AD1572" s="210"/>
      <c r="AE1572" s="210"/>
      <c r="AF1572" s="210"/>
      <c r="AG1572" s="210"/>
      <c r="AH1572" s="210"/>
      <c r="AI1572" s="210"/>
      <c r="AJ1572" s="210"/>
      <c r="AK1572" s="210"/>
      <c r="AL1572" s="210"/>
      <c r="AM1572" s="214"/>
      <c r="AN1572" s="210"/>
      <c r="AO1572" s="210"/>
      <c r="AP1572" s="210"/>
      <c r="AQ1572" s="210"/>
      <c r="AR1572" s="210"/>
      <c r="AS1572" s="210"/>
      <c r="AT1572" s="210"/>
      <c r="AU1572" s="210"/>
      <c r="AV1572" s="210"/>
      <c r="AW1572" s="210"/>
      <c r="AX1572" s="210"/>
      <c r="AY1572" s="210"/>
      <c r="AZ1572" s="210"/>
      <c r="BA1572" s="210"/>
      <c r="BB1572" s="210"/>
      <c r="BC1572" s="210"/>
      <c r="BD1572" s="210"/>
      <c r="BE1572" s="210"/>
      <c r="BF1572" s="210"/>
      <c r="BG1572" s="210"/>
      <c r="BH1572" s="210"/>
      <c r="BI1572" s="210"/>
      <c r="BJ1572" s="210"/>
      <c r="BK1572" s="210"/>
      <c r="BL1572" s="210"/>
      <c r="BM1572" s="210"/>
      <c r="BN1572" s="210"/>
      <c r="BO1572" s="210"/>
      <c r="BP1572" s="210"/>
      <c r="BQ1572" s="210"/>
      <c r="BR1572" s="210"/>
      <c r="BS1572" s="210"/>
      <c r="BT1572" s="210"/>
      <c r="BU1572" s="210"/>
      <c r="BV1572" s="210"/>
      <c r="BW1572" s="210"/>
      <c r="BX1572" s="210"/>
      <c r="BY1572" s="210"/>
      <c r="BZ1572" s="210"/>
      <c r="CA1572" s="210"/>
      <c r="CB1572" s="210"/>
      <c r="CC1572" s="210"/>
      <c r="CD1572" s="210"/>
      <c r="CE1572" s="210"/>
      <c r="CF1572" s="210"/>
      <c r="CG1572" s="210"/>
      <c r="CH1572" s="210"/>
      <c r="CI1572" s="210"/>
      <c r="CJ1572" s="210"/>
      <c r="CK1572" s="210"/>
    </row>
    <row r="1573">
      <c r="A1573" s="220"/>
      <c r="F1573" s="190"/>
      <c r="G1573" s="190"/>
      <c r="L1573" s="220"/>
      <c r="M1573" s="220"/>
      <c r="O1573" s="210"/>
      <c r="P1573" s="210"/>
      <c r="Q1573" s="210"/>
      <c r="R1573" s="210"/>
      <c r="S1573" s="210"/>
      <c r="T1573" s="210"/>
      <c r="U1573" s="210"/>
      <c r="V1573" s="210"/>
      <c r="W1573" s="210"/>
      <c r="X1573" s="210"/>
      <c r="Y1573" s="210"/>
      <c r="Z1573" s="210"/>
      <c r="AA1573" s="210"/>
      <c r="AB1573" s="210"/>
      <c r="AC1573" s="210"/>
      <c r="AD1573" s="210"/>
      <c r="AE1573" s="210"/>
      <c r="AF1573" s="210"/>
      <c r="AG1573" s="210"/>
      <c r="AH1573" s="210"/>
      <c r="AI1573" s="210"/>
      <c r="AJ1573" s="210"/>
      <c r="AK1573" s="210"/>
      <c r="AL1573" s="210"/>
      <c r="AM1573" s="214"/>
      <c r="AN1573" s="210"/>
      <c r="AO1573" s="210"/>
      <c r="AP1573" s="210"/>
      <c r="AQ1573" s="210"/>
      <c r="AR1573" s="210"/>
      <c r="AS1573" s="210"/>
      <c r="AT1573" s="210"/>
      <c r="AU1573" s="210"/>
      <c r="AV1573" s="210"/>
      <c r="AW1573" s="210"/>
      <c r="AX1573" s="210"/>
      <c r="AY1573" s="210"/>
      <c r="AZ1573" s="210"/>
      <c r="BA1573" s="210"/>
      <c r="BB1573" s="210"/>
      <c r="BC1573" s="210"/>
      <c r="BD1573" s="210"/>
      <c r="BE1573" s="210"/>
      <c r="BF1573" s="210"/>
      <c r="BG1573" s="210"/>
      <c r="BH1573" s="210"/>
      <c r="BI1573" s="210"/>
      <c r="BJ1573" s="210"/>
      <c r="BK1573" s="210"/>
      <c r="BL1573" s="210"/>
      <c r="BM1573" s="210"/>
      <c r="BN1573" s="210"/>
      <c r="BO1573" s="210"/>
      <c r="BP1573" s="210"/>
      <c r="BQ1573" s="210"/>
      <c r="BR1573" s="210"/>
      <c r="BS1573" s="210"/>
      <c r="BT1573" s="210"/>
      <c r="BU1573" s="210"/>
      <c r="BV1573" s="210"/>
      <c r="BW1573" s="210"/>
      <c r="BX1573" s="210"/>
      <c r="BY1573" s="210"/>
      <c r="BZ1573" s="210"/>
      <c r="CA1573" s="210"/>
      <c r="CB1573" s="210"/>
      <c r="CC1573" s="210"/>
      <c r="CD1573" s="210"/>
      <c r="CE1573" s="210"/>
      <c r="CF1573" s="210"/>
      <c r="CG1573" s="210"/>
      <c r="CH1573" s="210"/>
      <c r="CI1573" s="210"/>
      <c r="CJ1573" s="210"/>
      <c r="CK1573" s="210"/>
    </row>
    <row r="1574">
      <c r="A1574" s="220"/>
      <c r="F1574" s="190"/>
      <c r="G1574" s="190"/>
      <c r="L1574" s="220"/>
      <c r="M1574" s="220"/>
      <c r="O1574" s="210"/>
      <c r="P1574" s="210"/>
      <c r="Q1574" s="210"/>
      <c r="R1574" s="210"/>
      <c r="S1574" s="210"/>
      <c r="T1574" s="210"/>
      <c r="U1574" s="210"/>
      <c r="V1574" s="210"/>
      <c r="W1574" s="210"/>
      <c r="X1574" s="210"/>
      <c r="Y1574" s="210"/>
      <c r="Z1574" s="210"/>
      <c r="AA1574" s="210"/>
      <c r="AB1574" s="210"/>
      <c r="AC1574" s="210"/>
      <c r="AD1574" s="210"/>
      <c r="AE1574" s="210"/>
      <c r="AF1574" s="210"/>
      <c r="AG1574" s="210"/>
      <c r="AH1574" s="210"/>
      <c r="AI1574" s="210"/>
      <c r="AJ1574" s="210"/>
      <c r="AK1574" s="210"/>
      <c r="AL1574" s="210"/>
      <c r="AM1574" s="214"/>
      <c r="AN1574" s="210"/>
      <c r="AO1574" s="210"/>
      <c r="AP1574" s="210"/>
      <c r="AQ1574" s="210"/>
      <c r="AR1574" s="210"/>
      <c r="AS1574" s="210"/>
      <c r="AT1574" s="210"/>
      <c r="AU1574" s="210"/>
      <c r="AV1574" s="210"/>
      <c r="AW1574" s="210"/>
      <c r="AX1574" s="210"/>
      <c r="AY1574" s="210"/>
      <c r="AZ1574" s="210"/>
      <c r="BA1574" s="210"/>
      <c r="BB1574" s="210"/>
      <c r="BC1574" s="210"/>
      <c r="BD1574" s="210"/>
      <c r="BE1574" s="210"/>
      <c r="BF1574" s="210"/>
      <c r="BG1574" s="210"/>
      <c r="BH1574" s="210"/>
      <c r="BI1574" s="210"/>
      <c r="BJ1574" s="210"/>
      <c r="BK1574" s="210"/>
      <c r="BL1574" s="210"/>
      <c r="BM1574" s="210"/>
      <c r="BN1574" s="210"/>
      <c r="BO1574" s="210"/>
      <c r="BP1574" s="210"/>
      <c r="BQ1574" s="210"/>
      <c r="BR1574" s="210"/>
      <c r="BS1574" s="210"/>
      <c r="BT1574" s="210"/>
      <c r="BU1574" s="210"/>
      <c r="BV1574" s="210"/>
      <c r="BW1574" s="210"/>
      <c r="BX1574" s="210"/>
      <c r="BY1574" s="210"/>
      <c r="BZ1574" s="210"/>
      <c r="CA1574" s="210"/>
      <c r="CB1574" s="210"/>
      <c r="CC1574" s="210"/>
      <c r="CD1574" s="210"/>
      <c r="CE1574" s="210"/>
      <c r="CF1574" s="210"/>
      <c r="CG1574" s="210"/>
      <c r="CH1574" s="210"/>
      <c r="CI1574" s="210"/>
      <c r="CJ1574" s="210"/>
      <c r="CK1574" s="210"/>
    </row>
    <row r="1575">
      <c r="A1575" s="220"/>
      <c r="F1575" s="190"/>
      <c r="G1575" s="190"/>
      <c r="L1575" s="220"/>
      <c r="M1575" s="220"/>
      <c r="O1575" s="210"/>
      <c r="P1575" s="210"/>
      <c r="Q1575" s="210"/>
      <c r="R1575" s="210"/>
      <c r="S1575" s="210"/>
      <c r="T1575" s="210"/>
      <c r="U1575" s="210"/>
      <c r="V1575" s="210"/>
      <c r="W1575" s="210"/>
      <c r="X1575" s="210"/>
      <c r="Y1575" s="210"/>
      <c r="Z1575" s="210"/>
      <c r="AA1575" s="210"/>
      <c r="AB1575" s="210"/>
      <c r="AC1575" s="210"/>
      <c r="AD1575" s="210"/>
      <c r="AE1575" s="210"/>
      <c r="AF1575" s="210"/>
      <c r="AG1575" s="210"/>
      <c r="AH1575" s="210"/>
      <c r="AI1575" s="210"/>
      <c r="AJ1575" s="210"/>
      <c r="AK1575" s="210"/>
      <c r="AL1575" s="210"/>
      <c r="AM1575" s="214"/>
      <c r="AN1575" s="210"/>
      <c r="AO1575" s="210"/>
      <c r="AP1575" s="210"/>
      <c r="AQ1575" s="210"/>
      <c r="AR1575" s="210"/>
      <c r="AS1575" s="210"/>
      <c r="AT1575" s="210"/>
      <c r="AU1575" s="210"/>
      <c r="AV1575" s="210"/>
      <c r="AW1575" s="210"/>
      <c r="AX1575" s="210"/>
      <c r="AY1575" s="210"/>
      <c r="AZ1575" s="210"/>
      <c r="BA1575" s="210"/>
      <c r="BB1575" s="210"/>
      <c r="BC1575" s="210"/>
      <c r="BD1575" s="210"/>
      <c r="BE1575" s="210"/>
      <c r="BF1575" s="210"/>
      <c r="BG1575" s="210"/>
      <c r="BH1575" s="210"/>
      <c r="BI1575" s="210"/>
      <c r="BJ1575" s="210"/>
      <c r="BK1575" s="210"/>
      <c r="BL1575" s="210"/>
      <c r="BM1575" s="210"/>
      <c r="BN1575" s="210"/>
      <c r="BO1575" s="210"/>
      <c r="BP1575" s="210"/>
      <c r="BQ1575" s="210"/>
      <c r="BR1575" s="210"/>
      <c r="BS1575" s="210"/>
      <c r="BT1575" s="210"/>
      <c r="BU1575" s="210"/>
      <c r="BV1575" s="210"/>
      <c r="BW1575" s="210"/>
      <c r="BX1575" s="210"/>
      <c r="BY1575" s="210"/>
      <c r="BZ1575" s="210"/>
      <c r="CA1575" s="210"/>
      <c r="CB1575" s="210"/>
      <c r="CC1575" s="210"/>
      <c r="CD1575" s="210"/>
      <c r="CE1575" s="210"/>
      <c r="CF1575" s="210"/>
      <c r="CG1575" s="210"/>
      <c r="CH1575" s="210"/>
      <c r="CI1575" s="210"/>
      <c r="CJ1575" s="210"/>
      <c r="CK1575" s="210"/>
    </row>
    <row r="1576">
      <c r="A1576" s="220"/>
      <c r="F1576" s="190"/>
      <c r="G1576" s="190"/>
      <c r="L1576" s="220"/>
      <c r="M1576" s="220"/>
      <c r="O1576" s="210"/>
      <c r="P1576" s="210"/>
      <c r="Q1576" s="210"/>
      <c r="R1576" s="210"/>
      <c r="S1576" s="210"/>
      <c r="T1576" s="210"/>
      <c r="U1576" s="210"/>
      <c r="V1576" s="210"/>
      <c r="W1576" s="210"/>
      <c r="X1576" s="210"/>
      <c r="Y1576" s="210"/>
      <c r="Z1576" s="210"/>
      <c r="AA1576" s="210"/>
      <c r="AB1576" s="210"/>
      <c r="AC1576" s="210"/>
      <c r="AD1576" s="210"/>
      <c r="AE1576" s="210"/>
      <c r="AF1576" s="210"/>
      <c r="AG1576" s="210"/>
      <c r="AH1576" s="210"/>
      <c r="AI1576" s="210"/>
      <c r="AJ1576" s="210"/>
      <c r="AK1576" s="210"/>
      <c r="AL1576" s="210"/>
      <c r="AM1576" s="214"/>
      <c r="AN1576" s="210"/>
      <c r="AO1576" s="210"/>
      <c r="AP1576" s="210"/>
      <c r="AQ1576" s="210"/>
      <c r="AR1576" s="210"/>
      <c r="AS1576" s="210"/>
      <c r="AT1576" s="210"/>
      <c r="AU1576" s="210"/>
      <c r="AV1576" s="210"/>
      <c r="AW1576" s="210"/>
      <c r="AX1576" s="210"/>
      <c r="AY1576" s="210"/>
      <c r="AZ1576" s="210"/>
      <c r="BA1576" s="210"/>
      <c r="BB1576" s="210"/>
      <c r="BC1576" s="210"/>
      <c r="BD1576" s="210"/>
      <c r="BE1576" s="210"/>
      <c r="BF1576" s="210"/>
      <c r="BG1576" s="210"/>
      <c r="BH1576" s="210"/>
      <c r="BI1576" s="210"/>
      <c r="BJ1576" s="210"/>
      <c r="BK1576" s="210"/>
      <c r="BL1576" s="210"/>
      <c r="BM1576" s="210"/>
      <c r="BN1576" s="210"/>
      <c r="BO1576" s="210"/>
      <c r="BP1576" s="210"/>
      <c r="BQ1576" s="210"/>
      <c r="BR1576" s="210"/>
      <c r="BS1576" s="210"/>
      <c r="BT1576" s="210"/>
      <c r="BU1576" s="210"/>
      <c r="BV1576" s="210"/>
      <c r="BW1576" s="210"/>
      <c r="BX1576" s="210"/>
      <c r="BY1576" s="210"/>
      <c r="BZ1576" s="210"/>
      <c r="CA1576" s="210"/>
      <c r="CB1576" s="210"/>
      <c r="CC1576" s="210"/>
      <c r="CD1576" s="210"/>
      <c r="CE1576" s="210"/>
      <c r="CF1576" s="210"/>
      <c r="CG1576" s="210"/>
      <c r="CH1576" s="210"/>
      <c r="CI1576" s="210"/>
      <c r="CJ1576" s="210"/>
      <c r="CK1576" s="210"/>
    </row>
    <row r="1577">
      <c r="A1577" s="220"/>
      <c r="F1577" s="190"/>
      <c r="G1577" s="190"/>
      <c r="L1577" s="220"/>
      <c r="M1577" s="220"/>
      <c r="O1577" s="210"/>
      <c r="P1577" s="210"/>
      <c r="Q1577" s="210"/>
      <c r="R1577" s="210"/>
      <c r="S1577" s="210"/>
      <c r="T1577" s="210"/>
      <c r="U1577" s="210"/>
      <c r="V1577" s="210"/>
      <c r="W1577" s="210"/>
      <c r="X1577" s="210"/>
      <c r="Y1577" s="210"/>
      <c r="Z1577" s="210"/>
      <c r="AA1577" s="210"/>
      <c r="AB1577" s="210"/>
      <c r="AC1577" s="210"/>
      <c r="AD1577" s="210"/>
      <c r="AE1577" s="210"/>
      <c r="AF1577" s="210"/>
      <c r="AG1577" s="210"/>
      <c r="AH1577" s="210"/>
      <c r="AI1577" s="210"/>
      <c r="AJ1577" s="210"/>
      <c r="AK1577" s="210"/>
      <c r="AL1577" s="210"/>
      <c r="AM1577" s="214"/>
      <c r="AN1577" s="210"/>
      <c r="AO1577" s="210"/>
      <c r="AP1577" s="210"/>
      <c r="AQ1577" s="210"/>
      <c r="AR1577" s="210"/>
      <c r="AS1577" s="210"/>
      <c r="AT1577" s="210"/>
      <c r="AU1577" s="210"/>
      <c r="AV1577" s="210"/>
      <c r="AW1577" s="210"/>
      <c r="AX1577" s="210"/>
      <c r="AY1577" s="210"/>
      <c r="AZ1577" s="210"/>
      <c r="BA1577" s="210"/>
      <c r="BB1577" s="210"/>
      <c r="BC1577" s="210"/>
      <c r="BD1577" s="210"/>
      <c r="BE1577" s="210"/>
      <c r="BF1577" s="210"/>
      <c r="BG1577" s="210"/>
      <c r="BH1577" s="210"/>
      <c r="BI1577" s="210"/>
      <c r="BJ1577" s="210"/>
      <c r="BK1577" s="210"/>
      <c r="BL1577" s="210"/>
      <c r="BM1577" s="210"/>
      <c r="BN1577" s="210"/>
      <c r="BO1577" s="210"/>
      <c r="BP1577" s="210"/>
      <c r="BQ1577" s="210"/>
      <c r="BR1577" s="210"/>
      <c r="BS1577" s="210"/>
      <c r="BT1577" s="210"/>
      <c r="BU1577" s="210"/>
      <c r="BV1577" s="210"/>
      <c r="BW1577" s="210"/>
      <c r="BX1577" s="210"/>
      <c r="BY1577" s="210"/>
      <c r="BZ1577" s="210"/>
      <c r="CA1577" s="210"/>
      <c r="CB1577" s="210"/>
      <c r="CC1577" s="210"/>
      <c r="CD1577" s="210"/>
      <c r="CE1577" s="210"/>
      <c r="CF1577" s="210"/>
      <c r="CG1577" s="210"/>
      <c r="CH1577" s="210"/>
      <c r="CI1577" s="210"/>
      <c r="CJ1577" s="210"/>
      <c r="CK1577" s="210"/>
    </row>
    <row r="1578">
      <c r="A1578" s="220"/>
      <c r="F1578" s="190"/>
      <c r="G1578" s="190"/>
      <c r="L1578" s="220"/>
      <c r="M1578" s="220"/>
      <c r="O1578" s="210"/>
      <c r="P1578" s="210"/>
      <c r="Q1578" s="210"/>
      <c r="R1578" s="210"/>
      <c r="S1578" s="210"/>
      <c r="T1578" s="210"/>
      <c r="U1578" s="210"/>
      <c r="V1578" s="210"/>
      <c r="W1578" s="210"/>
      <c r="X1578" s="210"/>
      <c r="Y1578" s="210"/>
      <c r="Z1578" s="210"/>
      <c r="AA1578" s="210"/>
      <c r="AB1578" s="210"/>
      <c r="AC1578" s="210"/>
      <c r="AD1578" s="210"/>
      <c r="AE1578" s="210"/>
      <c r="AF1578" s="210"/>
      <c r="AG1578" s="210"/>
      <c r="AH1578" s="210"/>
      <c r="AI1578" s="210"/>
      <c r="AJ1578" s="210"/>
      <c r="AK1578" s="210"/>
      <c r="AL1578" s="210"/>
      <c r="AM1578" s="214"/>
      <c r="AN1578" s="210"/>
      <c r="AO1578" s="210"/>
      <c r="AP1578" s="210"/>
      <c r="AQ1578" s="210"/>
      <c r="AR1578" s="210"/>
      <c r="AS1578" s="210"/>
      <c r="AT1578" s="210"/>
      <c r="AU1578" s="210"/>
      <c r="AV1578" s="210"/>
      <c r="AW1578" s="210"/>
      <c r="AX1578" s="210"/>
      <c r="AY1578" s="210"/>
      <c r="AZ1578" s="210"/>
      <c r="BA1578" s="210"/>
      <c r="BB1578" s="210"/>
      <c r="BC1578" s="210"/>
      <c r="BD1578" s="210"/>
      <c r="BE1578" s="210"/>
      <c r="BF1578" s="210"/>
      <c r="BG1578" s="210"/>
      <c r="BH1578" s="210"/>
      <c r="BI1578" s="210"/>
      <c r="BJ1578" s="210"/>
      <c r="BK1578" s="210"/>
      <c r="BL1578" s="210"/>
      <c r="BM1578" s="210"/>
      <c r="BN1578" s="210"/>
      <c r="BO1578" s="210"/>
      <c r="BP1578" s="210"/>
      <c r="BQ1578" s="210"/>
      <c r="BR1578" s="210"/>
      <c r="BS1578" s="210"/>
      <c r="BT1578" s="210"/>
      <c r="BU1578" s="210"/>
      <c r="BV1578" s="210"/>
      <c r="BW1578" s="210"/>
      <c r="BX1578" s="210"/>
      <c r="BY1578" s="210"/>
      <c r="BZ1578" s="210"/>
      <c r="CA1578" s="210"/>
      <c r="CB1578" s="210"/>
      <c r="CC1578" s="210"/>
      <c r="CD1578" s="210"/>
      <c r="CE1578" s="210"/>
      <c r="CF1578" s="210"/>
      <c r="CG1578" s="210"/>
      <c r="CH1578" s="210"/>
      <c r="CI1578" s="210"/>
      <c r="CJ1578" s="210"/>
      <c r="CK1578" s="210"/>
    </row>
    <row r="1579">
      <c r="A1579" s="220"/>
      <c r="F1579" s="190"/>
      <c r="G1579" s="190"/>
      <c r="L1579" s="220"/>
      <c r="M1579" s="220"/>
      <c r="O1579" s="210"/>
      <c r="P1579" s="210"/>
      <c r="Q1579" s="210"/>
      <c r="R1579" s="210"/>
      <c r="S1579" s="210"/>
      <c r="T1579" s="210"/>
      <c r="U1579" s="210"/>
      <c r="V1579" s="210"/>
      <c r="W1579" s="210"/>
      <c r="X1579" s="210"/>
      <c r="Y1579" s="210"/>
      <c r="Z1579" s="210"/>
      <c r="AA1579" s="210"/>
      <c r="AB1579" s="210"/>
      <c r="AC1579" s="210"/>
      <c r="AD1579" s="210"/>
      <c r="AE1579" s="210"/>
      <c r="AF1579" s="210"/>
      <c r="AG1579" s="210"/>
      <c r="AH1579" s="210"/>
      <c r="AI1579" s="210"/>
      <c r="AJ1579" s="210"/>
      <c r="AK1579" s="210"/>
      <c r="AL1579" s="210"/>
      <c r="AM1579" s="214"/>
      <c r="AN1579" s="210"/>
      <c r="AO1579" s="210"/>
      <c r="AP1579" s="210"/>
      <c r="AQ1579" s="210"/>
      <c r="AR1579" s="210"/>
      <c r="AS1579" s="210"/>
      <c r="AT1579" s="210"/>
      <c r="AU1579" s="210"/>
      <c r="AV1579" s="210"/>
      <c r="AW1579" s="210"/>
      <c r="AX1579" s="210"/>
      <c r="AY1579" s="210"/>
      <c r="AZ1579" s="210"/>
      <c r="BA1579" s="210"/>
      <c r="BB1579" s="210"/>
      <c r="BC1579" s="210"/>
      <c r="BD1579" s="210"/>
      <c r="BE1579" s="210"/>
      <c r="BF1579" s="210"/>
      <c r="BG1579" s="210"/>
      <c r="BH1579" s="210"/>
      <c r="BI1579" s="210"/>
      <c r="BJ1579" s="210"/>
      <c r="BK1579" s="210"/>
      <c r="BL1579" s="210"/>
      <c r="BM1579" s="210"/>
      <c r="BN1579" s="210"/>
      <c r="BO1579" s="210"/>
      <c r="BP1579" s="210"/>
      <c r="BQ1579" s="210"/>
      <c r="BR1579" s="210"/>
      <c r="BS1579" s="210"/>
      <c r="BT1579" s="210"/>
      <c r="BU1579" s="210"/>
      <c r="BV1579" s="210"/>
      <c r="BW1579" s="210"/>
      <c r="BX1579" s="210"/>
      <c r="BY1579" s="210"/>
      <c r="BZ1579" s="210"/>
      <c r="CA1579" s="210"/>
      <c r="CB1579" s="210"/>
      <c r="CC1579" s="210"/>
      <c r="CD1579" s="210"/>
      <c r="CE1579" s="210"/>
      <c r="CF1579" s="210"/>
      <c r="CG1579" s="210"/>
      <c r="CH1579" s="210"/>
      <c r="CI1579" s="210"/>
      <c r="CJ1579" s="210"/>
      <c r="CK1579" s="210"/>
    </row>
    <row r="1580">
      <c r="A1580" s="220"/>
      <c r="F1580" s="190"/>
      <c r="G1580" s="190"/>
      <c r="L1580" s="220"/>
      <c r="M1580" s="220"/>
      <c r="O1580" s="210"/>
      <c r="P1580" s="210"/>
      <c r="Q1580" s="210"/>
      <c r="R1580" s="210"/>
      <c r="S1580" s="210"/>
      <c r="T1580" s="210"/>
      <c r="U1580" s="210"/>
      <c r="V1580" s="210"/>
      <c r="W1580" s="210"/>
      <c r="X1580" s="210"/>
      <c r="Y1580" s="210"/>
      <c r="Z1580" s="210"/>
      <c r="AA1580" s="210"/>
      <c r="AB1580" s="210"/>
      <c r="AC1580" s="210"/>
      <c r="AD1580" s="210"/>
      <c r="AE1580" s="210"/>
      <c r="AF1580" s="210"/>
      <c r="AG1580" s="210"/>
      <c r="AH1580" s="210"/>
      <c r="AI1580" s="210"/>
      <c r="AJ1580" s="210"/>
      <c r="AK1580" s="210"/>
      <c r="AL1580" s="210"/>
      <c r="AM1580" s="214"/>
      <c r="AN1580" s="210"/>
      <c r="AO1580" s="210"/>
      <c r="AP1580" s="210"/>
      <c r="AQ1580" s="210"/>
      <c r="AR1580" s="210"/>
      <c r="AS1580" s="210"/>
      <c r="AT1580" s="210"/>
      <c r="AU1580" s="210"/>
      <c r="AV1580" s="210"/>
      <c r="AW1580" s="210"/>
      <c r="AX1580" s="210"/>
      <c r="AY1580" s="210"/>
      <c r="AZ1580" s="210"/>
      <c r="BA1580" s="210"/>
      <c r="BB1580" s="210"/>
      <c r="BC1580" s="210"/>
      <c r="BD1580" s="210"/>
      <c r="BE1580" s="210"/>
      <c r="BF1580" s="210"/>
      <c r="BG1580" s="210"/>
      <c r="BH1580" s="210"/>
      <c r="BI1580" s="210"/>
      <c r="BJ1580" s="210"/>
      <c r="BK1580" s="210"/>
      <c r="BL1580" s="210"/>
      <c r="BM1580" s="210"/>
      <c r="BN1580" s="210"/>
      <c r="BO1580" s="210"/>
      <c r="BP1580" s="210"/>
      <c r="BQ1580" s="210"/>
      <c r="BR1580" s="210"/>
      <c r="BS1580" s="210"/>
      <c r="BT1580" s="210"/>
      <c r="BU1580" s="210"/>
      <c r="BV1580" s="210"/>
      <c r="BW1580" s="210"/>
      <c r="BX1580" s="210"/>
      <c r="BY1580" s="210"/>
      <c r="BZ1580" s="210"/>
      <c r="CA1580" s="210"/>
      <c r="CB1580" s="210"/>
      <c r="CC1580" s="210"/>
      <c r="CD1580" s="210"/>
      <c r="CE1580" s="210"/>
      <c r="CF1580" s="210"/>
      <c r="CG1580" s="210"/>
      <c r="CH1580" s="210"/>
      <c r="CI1580" s="210"/>
      <c r="CJ1580" s="210"/>
      <c r="CK1580" s="210"/>
    </row>
    <row r="1581">
      <c r="A1581" s="220"/>
      <c r="F1581" s="190"/>
      <c r="G1581" s="190"/>
      <c r="L1581" s="220"/>
      <c r="M1581" s="220"/>
      <c r="O1581" s="210"/>
      <c r="P1581" s="210"/>
      <c r="Q1581" s="210"/>
      <c r="R1581" s="210"/>
      <c r="S1581" s="210"/>
      <c r="T1581" s="210"/>
      <c r="U1581" s="210"/>
      <c r="V1581" s="210"/>
      <c r="W1581" s="210"/>
      <c r="X1581" s="210"/>
      <c r="Y1581" s="210"/>
      <c r="Z1581" s="210"/>
      <c r="AA1581" s="210"/>
      <c r="AB1581" s="210"/>
      <c r="AC1581" s="210"/>
      <c r="AD1581" s="210"/>
      <c r="AE1581" s="210"/>
      <c r="AF1581" s="210"/>
      <c r="AG1581" s="210"/>
      <c r="AH1581" s="210"/>
      <c r="AI1581" s="210"/>
      <c r="AJ1581" s="210"/>
      <c r="AK1581" s="210"/>
      <c r="AL1581" s="210"/>
      <c r="AM1581" s="214"/>
      <c r="AN1581" s="210"/>
      <c r="AO1581" s="210"/>
      <c r="AP1581" s="210"/>
      <c r="AQ1581" s="210"/>
      <c r="AR1581" s="210"/>
      <c r="AS1581" s="210"/>
      <c r="AT1581" s="210"/>
      <c r="AU1581" s="210"/>
      <c r="AV1581" s="210"/>
      <c r="AW1581" s="210"/>
      <c r="AX1581" s="210"/>
      <c r="AY1581" s="210"/>
      <c r="AZ1581" s="210"/>
      <c r="BA1581" s="210"/>
      <c r="BB1581" s="210"/>
      <c r="BC1581" s="210"/>
      <c r="BD1581" s="210"/>
      <c r="BE1581" s="210"/>
      <c r="BF1581" s="210"/>
      <c r="BG1581" s="210"/>
      <c r="BH1581" s="210"/>
      <c r="BI1581" s="210"/>
      <c r="BJ1581" s="210"/>
      <c r="BK1581" s="210"/>
      <c r="BL1581" s="210"/>
      <c r="BM1581" s="210"/>
      <c r="BN1581" s="210"/>
      <c r="BO1581" s="210"/>
      <c r="BP1581" s="210"/>
      <c r="BQ1581" s="210"/>
      <c r="BR1581" s="210"/>
      <c r="BS1581" s="210"/>
      <c r="BT1581" s="210"/>
      <c r="BU1581" s="210"/>
      <c r="BV1581" s="210"/>
      <c r="BW1581" s="210"/>
      <c r="BX1581" s="210"/>
      <c r="BY1581" s="210"/>
      <c r="BZ1581" s="210"/>
      <c r="CA1581" s="210"/>
      <c r="CB1581" s="210"/>
      <c r="CC1581" s="210"/>
      <c r="CD1581" s="210"/>
      <c r="CE1581" s="210"/>
      <c r="CF1581" s="210"/>
      <c r="CG1581" s="210"/>
      <c r="CH1581" s="210"/>
      <c r="CI1581" s="210"/>
      <c r="CJ1581" s="210"/>
      <c r="CK1581" s="210"/>
    </row>
    <row r="1582">
      <c r="A1582" s="220"/>
      <c r="F1582" s="190"/>
      <c r="G1582" s="190"/>
      <c r="L1582" s="220"/>
      <c r="M1582" s="220"/>
      <c r="O1582" s="210"/>
      <c r="P1582" s="210"/>
      <c r="Q1582" s="210"/>
      <c r="R1582" s="210"/>
      <c r="S1582" s="210"/>
      <c r="T1582" s="210"/>
      <c r="U1582" s="210"/>
      <c r="V1582" s="210"/>
      <c r="W1582" s="210"/>
      <c r="X1582" s="210"/>
      <c r="Y1582" s="210"/>
      <c r="Z1582" s="210"/>
      <c r="AA1582" s="210"/>
      <c r="AB1582" s="210"/>
      <c r="AC1582" s="210"/>
      <c r="AD1582" s="210"/>
      <c r="AE1582" s="210"/>
      <c r="AF1582" s="210"/>
      <c r="AG1582" s="210"/>
      <c r="AH1582" s="210"/>
      <c r="AI1582" s="210"/>
      <c r="AJ1582" s="210"/>
      <c r="AK1582" s="210"/>
      <c r="AL1582" s="210"/>
      <c r="AM1582" s="214"/>
      <c r="AN1582" s="210"/>
      <c r="AO1582" s="210"/>
      <c r="AP1582" s="210"/>
      <c r="AQ1582" s="210"/>
      <c r="AR1582" s="210"/>
      <c r="AS1582" s="210"/>
      <c r="AT1582" s="210"/>
      <c r="AU1582" s="210"/>
      <c r="AV1582" s="210"/>
      <c r="AW1582" s="210"/>
      <c r="AX1582" s="210"/>
      <c r="AY1582" s="210"/>
      <c r="AZ1582" s="210"/>
      <c r="BA1582" s="210"/>
      <c r="BB1582" s="210"/>
      <c r="BC1582" s="210"/>
      <c r="BD1582" s="210"/>
      <c r="BE1582" s="210"/>
      <c r="BF1582" s="210"/>
      <c r="BG1582" s="210"/>
      <c r="BH1582" s="210"/>
      <c r="BI1582" s="210"/>
      <c r="BJ1582" s="210"/>
      <c r="BK1582" s="210"/>
      <c r="BL1582" s="210"/>
      <c r="BM1582" s="210"/>
      <c r="BN1582" s="210"/>
      <c r="BO1582" s="210"/>
      <c r="BP1582" s="210"/>
      <c r="BQ1582" s="210"/>
      <c r="BR1582" s="210"/>
      <c r="BS1582" s="210"/>
      <c r="BT1582" s="210"/>
      <c r="BU1582" s="210"/>
      <c r="BV1582" s="210"/>
      <c r="BW1582" s="210"/>
      <c r="BX1582" s="210"/>
      <c r="BY1582" s="210"/>
      <c r="BZ1582" s="210"/>
      <c r="CA1582" s="210"/>
      <c r="CB1582" s="210"/>
      <c r="CC1582" s="210"/>
      <c r="CD1582" s="210"/>
      <c r="CE1582" s="210"/>
      <c r="CF1582" s="210"/>
      <c r="CG1582" s="210"/>
      <c r="CH1582" s="210"/>
      <c r="CI1582" s="210"/>
      <c r="CJ1582" s="210"/>
      <c r="CK1582" s="210"/>
    </row>
    <row r="1583">
      <c r="A1583" s="220"/>
      <c r="F1583" s="190"/>
      <c r="G1583" s="190"/>
      <c r="L1583" s="220"/>
      <c r="M1583" s="220"/>
      <c r="O1583" s="210"/>
      <c r="P1583" s="210"/>
      <c r="Q1583" s="210"/>
      <c r="R1583" s="210"/>
      <c r="S1583" s="210"/>
      <c r="T1583" s="210"/>
      <c r="U1583" s="210"/>
      <c r="V1583" s="210"/>
      <c r="W1583" s="210"/>
      <c r="X1583" s="210"/>
      <c r="Y1583" s="210"/>
      <c r="Z1583" s="210"/>
      <c r="AA1583" s="210"/>
      <c r="AB1583" s="210"/>
      <c r="AC1583" s="210"/>
      <c r="AD1583" s="210"/>
      <c r="AE1583" s="210"/>
      <c r="AF1583" s="210"/>
      <c r="AG1583" s="210"/>
      <c r="AH1583" s="210"/>
      <c r="AI1583" s="210"/>
      <c r="AJ1583" s="210"/>
      <c r="AK1583" s="210"/>
      <c r="AL1583" s="210"/>
      <c r="AM1583" s="214"/>
      <c r="AN1583" s="210"/>
      <c r="AO1583" s="210"/>
      <c r="AP1583" s="210"/>
      <c r="AQ1583" s="210"/>
      <c r="AR1583" s="210"/>
      <c r="AS1583" s="210"/>
      <c r="AT1583" s="210"/>
      <c r="AU1583" s="210"/>
      <c r="AV1583" s="210"/>
      <c r="AW1583" s="210"/>
      <c r="AX1583" s="210"/>
      <c r="AY1583" s="210"/>
      <c r="AZ1583" s="210"/>
      <c r="BA1583" s="210"/>
      <c r="BB1583" s="210"/>
      <c r="BC1583" s="210"/>
      <c r="BD1583" s="210"/>
      <c r="BE1583" s="210"/>
      <c r="BF1583" s="210"/>
      <c r="BG1583" s="210"/>
      <c r="BH1583" s="210"/>
      <c r="BI1583" s="210"/>
      <c r="BJ1583" s="210"/>
      <c r="BK1583" s="210"/>
      <c r="BL1583" s="210"/>
      <c r="BM1583" s="210"/>
      <c r="BN1583" s="210"/>
      <c r="BO1583" s="210"/>
      <c r="BP1583" s="210"/>
      <c r="BQ1583" s="210"/>
      <c r="BR1583" s="210"/>
      <c r="BS1583" s="210"/>
      <c r="BT1583" s="210"/>
      <c r="BU1583" s="210"/>
      <c r="BV1583" s="210"/>
      <c r="BW1583" s="210"/>
      <c r="BX1583" s="210"/>
      <c r="BY1583" s="210"/>
      <c r="BZ1583" s="210"/>
      <c r="CA1583" s="210"/>
      <c r="CB1583" s="210"/>
      <c r="CC1583" s="210"/>
      <c r="CD1583" s="210"/>
      <c r="CE1583" s="210"/>
      <c r="CF1583" s="210"/>
      <c r="CG1583" s="210"/>
      <c r="CH1583" s="210"/>
      <c r="CI1583" s="210"/>
      <c r="CJ1583" s="210"/>
      <c r="CK1583" s="210"/>
    </row>
    <row r="1584">
      <c r="A1584" s="220"/>
      <c r="F1584" s="190"/>
      <c r="G1584" s="190"/>
      <c r="L1584" s="220"/>
      <c r="M1584" s="220"/>
      <c r="O1584" s="210"/>
      <c r="P1584" s="210"/>
      <c r="Q1584" s="210"/>
      <c r="R1584" s="210"/>
      <c r="S1584" s="210"/>
      <c r="T1584" s="210"/>
      <c r="U1584" s="210"/>
      <c r="V1584" s="210"/>
      <c r="W1584" s="210"/>
      <c r="X1584" s="210"/>
      <c r="Y1584" s="210"/>
      <c r="Z1584" s="210"/>
      <c r="AA1584" s="210"/>
      <c r="AB1584" s="210"/>
      <c r="AC1584" s="210"/>
      <c r="AD1584" s="210"/>
      <c r="AE1584" s="210"/>
      <c r="AF1584" s="210"/>
      <c r="AG1584" s="210"/>
      <c r="AH1584" s="210"/>
      <c r="AI1584" s="210"/>
      <c r="AJ1584" s="210"/>
      <c r="AK1584" s="210"/>
      <c r="AL1584" s="210"/>
      <c r="AM1584" s="214"/>
      <c r="AN1584" s="210"/>
      <c r="AO1584" s="210"/>
      <c r="AP1584" s="210"/>
      <c r="AQ1584" s="210"/>
      <c r="AR1584" s="210"/>
      <c r="AS1584" s="210"/>
      <c r="AT1584" s="210"/>
      <c r="AU1584" s="210"/>
      <c r="AV1584" s="210"/>
      <c r="AW1584" s="210"/>
      <c r="AX1584" s="210"/>
      <c r="AY1584" s="210"/>
      <c r="AZ1584" s="210"/>
      <c r="BA1584" s="210"/>
      <c r="BB1584" s="210"/>
      <c r="BC1584" s="210"/>
      <c r="BD1584" s="210"/>
      <c r="BE1584" s="210"/>
      <c r="BF1584" s="210"/>
      <c r="BG1584" s="210"/>
      <c r="BH1584" s="210"/>
      <c r="BI1584" s="210"/>
      <c r="BJ1584" s="210"/>
      <c r="BK1584" s="210"/>
      <c r="BL1584" s="210"/>
      <c r="BM1584" s="210"/>
      <c r="BN1584" s="210"/>
      <c r="BO1584" s="210"/>
      <c r="BP1584" s="210"/>
      <c r="BQ1584" s="210"/>
      <c r="BR1584" s="210"/>
      <c r="BS1584" s="210"/>
      <c r="BT1584" s="210"/>
      <c r="BU1584" s="210"/>
      <c r="BV1584" s="210"/>
      <c r="BW1584" s="210"/>
      <c r="BX1584" s="210"/>
      <c r="BY1584" s="210"/>
      <c r="BZ1584" s="210"/>
      <c r="CA1584" s="210"/>
      <c r="CB1584" s="210"/>
      <c r="CC1584" s="210"/>
      <c r="CD1584" s="210"/>
      <c r="CE1584" s="210"/>
      <c r="CF1584" s="210"/>
      <c r="CG1584" s="210"/>
      <c r="CH1584" s="210"/>
      <c r="CI1584" s="210"/>
      <c r="CJ1584" s="210"/>
      <c r="CK1584" s="210"/>
    </row>
    <row r="1585">
      <c r="A1585" s="220"/>
      <c r="F1585" s="190"/>
      <c r="G1585" s="190"/>
      <c r="L1585" s="220"/>
      <c r="M1585" s="220"/>
      <c r="O1585" s="210"/>
      <c r="P1585" s="210"/>
      <c r="Q1585" s="210"/>
      <c r="R1585" s="210"/>
      <c r="S1585" s="210"/>
      <c r="T1585" s="210"/>
      <c r="U1585" s="210"/>
      <c r="V1585" s="210"/>
      <c r="W1585" s="210"/>
      <c r="X1585" s="210"/>
      <c r="Y1585" s="210"/>
      <c r="Z1585" s="210"/>
      <c r="AA1585" s="210"/>
      <c r="AB1585" s="210"/>
      <c r="AC1585" s="210"/>
      <c r="AD1585" s="210"/>
      <c r="AE1585" s="210"/>
      <c r="AF1585" s="210"/>
      <c r="AG1585" s="210"/>
      <c r="AH1585" s="210"/>
      <c r="AI1585" s="210"/>
      <c r="AJ1585" s="210"/>
      <c r="AK1585" s="210"/>
      <c r="AL1585" s="210"/>
      <c r="AM1585" s="214"/>
      <c r="AN1585" s="210"/>
      <c r="AO1585" s="210"/>
      <c r="AP1585" s="210"/>
      <c r="AQ1585" s="210"/>
      <c r="AR1585" s="210"/>
      <c r="AS1585" s="210"/>
      <c r="AT1585" s="210"/>
      <c r="AU1585" s="210"/>
      <c r="AV1585" s="210"/>
      <c r="AW1585" s="210"/>
      <c r="AX1585" s="210"/>
      <c r="AY1585" s="210"/>
      <c r="AZ1585" s="210"/>
      <c r="BA1585" s="210"/>
      <c r="BB1585" s="210"/>
      <c r="BC1585" s="210"/>
      <c r="BD1585" s="210"/>
      <c r="BE1585" s="210"/>
      <c r="BF1585" s="210"/>
      <c r="BG1585" s="210"/>
      <c r="BH1585" s="210"/>
      <c r="BI1585" s="210"/>
      <c r="BJ1585" s="210"/>
      <c r="BK1585" s="210"/>
      <c r="BL1585" s="210"/>
      <c r="BM1585" s="210"/>
      <c r="BN1585" s="210"/>
      <c r="BO1585" s="210"/>
      <c r="BP1585" s="210"/>
      <c r="BQ1585" s="210"/>
      <c r="BR1585" s="210"/>
      <c r="BS1585" s="210"/>
      <c r="BT1585" s="210"/>
      <c r="BU1585" s="210"/>
      <c r="BV1585" s="210"/>
      <c r="BW1585" s="210"/>
      <c r="BX1585" s="210"/>
      <c r="BY1585" s="210"/>
      <c r="BZ1585" s="210"/>
      <c r="CA1585" s="210"/>
      <c r="CB1585" s="210"/>
      <c r="CC1585" s="210"/>
      <c r="CD1585" s="210"/>
      <c r="CE1585" s="210"/>
      <c r="CF1585" s="210"/>
      <c r="CG1585" s="210"/>
      <c r="CH1585" s="210"/>
      <c r="CI1585" s="210"/>
      <c r="CJ1585" s="210"/>
      <c r="CK1585" s="210"/>
    </row>
    <row r="1586">
      <c r="A1586" s="220"/>
      <c r="F1586" s="190"/>
      <c r="G1586" s="190"/>
      <c r="L1586" s="220"/>
      <c r="M1586" s="220"/>
      <c r="O1586" s="210"/>
      <c r="P1586" s="210"/>
      <c r="Q1586" s="210"/>
      <c r="R1586" s="210"/>
      <c r="S1586" s="210"/>
      <c r="T1586" s="210"/>
      <c r="U1586" s="210"/>
      <c r="V1586" s="210"/>
      <c r="W1586" s="210"/>
      <c r="X1586" s="210"/>
      <c r="Y1586" s="210"/>
      <c r="Z1586" s="210"/>
      <c r="AA1586" s="210"/>
      <c r="AB1586" s="210"/>
      <c r="AC1586" s="210"/>
      <c r="AD1586" s="210"/>
      <c r="AE1586" s="210"/>
      <c r="AF1586" s="210"/>
      <c r="AG1586" s="210"/>
      <c r="AH1586" s="210"/>
      <c r="AI1586" s="210"/>
      <c r="AJ1586" s="210"/>
      <c r="AK1586" s="210"/>
      <c r="AL1586" s="210"/>
      <c r="AM1586" s="214"/>
      <c r="AN1586" s="210"/>
      <c r="AO1586" s="210"/>
      <c r="AP1586" s="210"/>
      <c r="AQ1586" s="210"/>
      <c r="AR1586" s="210"/>
      <c r="AS1586" s="210"/>
      <c r="AT1586" s="210"/>
      <c r="AU1586" s="210"/>
      <c r="AV1586" s="210"/>
      <c r="AW1586" s="210"/>
      <c r="AX1586" s="210"/>
      <c r="AY1586" s="210"/>
      <c r="AZ1586" s="210"/>
      <c r="BA1586" s="210"/>
      <c r="BB1586" s="210"/>
      <c r="BC1586" s="210"/>
      <c r="BD1586" s="210"/>
      <c r="BE1586" s="210"/>
      <c r="BF1586" s="210"/>
      <c r="BG1586" s="210"/>
      <c r="BH1586" s="210"/>
      <c r="BI1586" s="210"/>
      <c r="BJ1586" s="210"/>
      <c r="BK1586" s="210"/>
      <c r="BL1586" s="210"/>
      <c r="BM1586" s="210"/>
      <c r="BN1586" s="210"/>
      <c r="BO1586" s="210"/>
      <c r="BP1586" s="210"/>
      <c r="BQ1586" s="210"/>
      <c r="BR1586" s="210"/>
      <c r="BS1586" s="210"/>
      <c r="BT1586" s="210"/>
      <c r="BU1586" s="210"/>
      <c r="BV1586" s="210"/>
      <c r="BW1586" s="210"/>
      <c r="BX1586" s="210"/>
      <c r="BY1586" s="210"/>
      <c r="BZ1586" s="210"/>
      <c r="CA1586" s="210"/>
      <c r="CB1586" s="210"/>
      <c r="CC1586" s="210"/>
      <c r="CD1586" s="210"/>
      <c r="CE1586" s="210"/>
      <c r="CF1586" s="210"/>
      <c r="CG1586" s="210"/>
      <c r="CH1586" s="210"/>
      <c r="CI1586" s="210"/>
      <c r="CJ1586" s="210"/>
      <c r="CK1586" s="210"/>
    </row>
    <row r="1587">
      <c r="A1587" s="220"/>
      <c r="F1587" s="190"/>
      <c r="G1587" s="190"/>
      <c r="L1587" s="220"/>
      <c r="M1587" s="220"/>
      <c r="O1587" s="210"/>
      <c r="P1587" s="210"/>
      <c r="Q1587" s="210"/>
      <c r="R1587" s="210"/>
      <c r="S1587" s="210"/>
      <c r="T1587" s="210"/>
      <c r="U1587" s="210"/>
      <c r="V1587" s="210"/>
      <c r="W1587" s="210"/>
      <c r="X1587" s="210"/>
      <c r="Y1587" s="210"/>
      <c r="Z1587" s="210"/>
      <c r="AA1587" s="210"/>
      <c r="AB1587" s="210"/>
      <c r="AC1587" s="210"/>
      <c r="AD1587" s="210"/>
      <c r="AE1587" s="210"/>
      <c r="AF1587" s="210"/>
      <c r="AG1587" s="210"/>
      <c r="AH1587" s="210"/>
      <c r="AI1587" s="210"/>
      <c r="AJ1587" s="210"/>
      <c r="AK1587" s="210"/>
      <c r="AL1587" s="210"/>
      <c r="AM1587" s="214"/>
      <c r="AN1587" s="210"/>
      <c r="AO1587" s="210"/>
      <c r="AP1587" s="210"/>
      <c r="AQ1587" s="210"/>
      <c r="AR1587" s="210"/>
      <c r="AS1587" s="210"/>
      <c r="AT1587" s="210"/>
      <c r="AU1587" s="210"/>
      <c r="AV1587" s="210"/>
      <c r="AW1587" s="210"/>
      <c r="AX1587" s="210"/>
      <c r="AY1587" s="210"/>
      <c r="AZ1587" s="210"/>
      <c r="BA1587" s="210"/>
      <c r="BB1587" s="210"/>
      <c r="BC1587" s="210"/>
      <c r="BD1587" s="210"/>
      <c r="BE1587" s="210"/>
      <c r="BF1587" s="210"/>
      <c r="BG1587" s="210"/>
      <c r="BH1587" s="210"/>
      <c r="BI1587" s="210"/>
      <c r="BJ1587" s="210"/>
      <c r="BK1587" s="210"/>
      <c r="BL1587" s="210"/>
      <c r="BM1587" s="210"/>
      <c r="BN1587" s="210"/>
      <c r="BO1587" s="210"/>
      <c r="BP1587" s="210"/>
      <c r="BQ1587" s="210"/>
      <c r="BR1587" s="210"/>
      <c r="BS1587" s="210"/>
      <c r="BT1587" s="210"/>
      <c r="BU1587" s="210"/>
      <c r="BV1587" s="210"/>
      <c r="BW1587" s="210"/>
      <c r="BX1587" s="210"/>
      <c r="BY1587" s="210"/>
      <c r="BZ1587" s="210"/>
      <c r="CA1587" s="210"/>
      <c r="CB1587" s="210"/>
      <c r="CC1587" s="210"/>
      <c r="CD1587" s="210"/>
      <c r="CE1587" s="210"/>
      <c r="CF1587" s="210"/>
      <c r="CG1587" s="210"/>
      <c r="CH1587" s="210"/>
      <c r="CI1587" s="210"/>
      <c r="CJ1587" s="210"/>
      <c r="CK1587" s="210"/>
    </row>
    <row r="1588">
      <c r="A1588" s="220"/>
      <c r="F1588" s="190"/>
      <c r="G1588" s="190"/>
      <c r="L1588" s="220"/>
      <c r="M1588" s="220"/>
      <c r="O1588" s="210"/>
      <c r="P1588" s="210"/>
      <c r="Q1588" s="210"/>
      <c r="R1588" s="210"/>
      <c r="S1588" s="210"/>
      <c r="T1588" s="210"/>
      <c r="U1588" s="210"/>
      <c r="V1588" s="210"/>
      <c r="W1588" s="210"/>
      <c r="X1588" s="210"/>
      <c r="Y1588" s="210"/>
      <c r="Z1588" s="210"/>
      <c r="AA1588" s="210"/>
      <c r="AB1588" s="210"/>
      <c r="AC1588" s="210"/>
      <c r="AD1588" s="210"/>
      <c r="AE1588" s="210"/>
      <c r="AF1588" s="210"/>
      <c r="AG1588" s="210"/>
      <c r="AH1588" s="210"/>
      <c r="AI1588" s="210"/>
      <c r="AJ1588" s="210"/>
      <c r="AK1588" s="210"/>
      <c r="AL1588" s="210"/>
      <c r="AM1588" s="214"/>
      <c r="AN1588" s="210"/>
      <c r="AO1588" s="210"/>
      <c r="AP1588" s="210"/>
      <c r="AQ1588" s="210"/>
      <c r="AR1588" s="210"/>
      <c r="AS1588" s="210"/>
      <c r="AT1588" s="210"/>
      <c r="AU1588" s="210"/>
      <c r="AV1588" s="210"/>
      <c r="AW1588" s="210"/>
      <c r="AX1588" s="210"/>
      <c r="AY1588" s="210"/>
      <c r="AZ1588" s="210"/>
      <c r="BA1588" s="210"/>
      <c r="BB1588" s="210"/>
      <c r="BC1588" s="210"/>
      <c r="BD1588" s="210"/>
      <c r="BE1588" s="210"/>
      <c r="BF1588" s="210"/>
      <c r="BG1588" s="210"/>
      <c r="BH1588" s="210"/>
      <c r="BI1588" s="210"/>
      <c r="BJ1588" s="210"/>
      <c r="BK1588" s="210"/>
      <c r="BL1588" s="210"/>
      <c r="BM1588" s="210"/>
      <c r="BN1588" s="210"/>
      <c r="BO1588" s="210"/>
      <c r="BP1588" s="210"/>
      <c r="BQ1588" s="210"/>
      <c r="BR1588" s="210"/>
      <c r="BS1588" s="210"/>
      <c r="BT1588" s="210"/>
      <c r="BU1588" s="210"/>
      <c r="BV1588" s="210"/>
      <c r="BW1588" s="210"/>
      <c r="BX1588" s="210"/>
      <c r="BY1588" s="210"/>
      <c r="BZ1588" s="210"/>
      <c r="CA1588" s="210"/>
      <c r="CB1588" s="210"/>
      <c r="CC1588" s="210"/>
      <c r="CD1588" s="210"/>
      <c r="CE1588" s="210"/>
      <c r="CF1588" s="210"/>
      <c r="CG1588" s="210"/>
      <c r="CH1588" s="210"/>
      <c r="CI1588" s="210"/>
      <c r="CJ1588" s="210"/>
      <c r="CK1588" s="210"/>
    </row>
    <row r="1589">
      <c r="A1589" s="220"/>
      <c r="F1589" s="190"/>
      <c r="G1589" s="190"/>
      <c r="L1589" s="220"/>
      <c r="M1589" s="220"/>
      <c r="O1589" s="210"/>
      <c r="P1589" s="210"/>
      <c r="Q1589" s="210"/>
      <c r="R1589" s="210"/>
      <c r="S1589" s="210"/>
      <c r="T1589" s="210"/>
      <c r="U1589" s="210"/>
      <c r="V1589" s="210"/>
      <c r="W1589" s="210"/>
      <c r="X1589" s="210"/>
      <c r="Y1589" s="210"/>
      <c r="Z1589" s="210"/>
      <c r="AA1589" s="210"/>
      <c r="AB1589" s="210"/>
      <c r="AC1589" s="210"/>
      <c r="AD1589" s="210"/>
      <c r="AE1589" s="210"/>
      <c r="AF1589" s="210"/>
      <c r="AG1589" s="210"/>
      <c r="AH1589" s="210"/>
      <c r="AI1589" s="210"/>
      <c r="AJ1589" s="210"/>
      <c r="AK1589" s="210"/>
      <c r="AL1589" s="210"/>
      <c r="AM1589" s="214"/>
      <c r="AN1589" s="210"/>
      <c r="AO1589" s="210"/>
      <c r="AP1589" s="210"/>
      <c r="AQ1589" s="210"/>
      <c r="AR1589" s="210"/>
      <c r="AS1589" s="210"/>
      <c r="AT1589" s="210"/>
      <c r="AU1589" s="210"/>
      <c r="AV1589" s="210"/>
      <c r="AW1589" s="210"/>
      <c r="AX1589" s="210"/>
      <c r="AY1589" s="210"/>
      <c r="AZ1589" s="210"/>
      <c r="BA1589" s="210"/>
      <c r="BB1589" s="210"/>
      <c r="BC1589" s="210"/>
      <c r="BD1589" s="210"/>
      <c r="BE1589" s="210"/>
      <c r="BF1589" s="210"/>
      <c r="BG1589" s="210"/>
      <c r="BH1589" s="210"/>
      <c r="BI1589" s="210"/>
      <c r="BJ1589" s="210"/>
      <c r="BK1589" s="210"/>
      <c r="BL1589" s="210"/>
      <c r="BM1589" s="210"/>
      <c r="BN1589" s="210"/>
      <c r="BO1589" s="210"/>
      <c r="BP1589" s="210"/>
      <c r="BQ1589" s="210"/>
      <c r="BR1589" s="210"/>
      <c r="BS1589" s="210"/>
      <c r="BT1589" s="210"/>
      <c r="BU1589" s="210"/>
      <c r="BV1589" s="210"/>
      <c r="BW1589" s="210"/>
      <c r="BX1589" s="210"/>
      <c r="BY1589" s="210"/>
      <c r="BZ1589" s="210"/>
      <c r="CA1589" s="210"/>
      <c r="CB1589" s="210"/>
      <c r="CC1589" s="210"/>
      <c r="CD1589" s="210"/>
      <c r="CE1589" s="210"/>
      <c r="CF1589" s="210"/>
      <c r="CG1589" s="210"/>
      <c r="CH1589" s="210"/>
      <c r="CI1589" s="210"/>
      <c r="CJ1589" s="210"/>
      <c r="CK1589" s="210"/>
    </row>
    <row r="1590">
      <c r="A1590" s="220"/>
      <c r="F1590" s="190"/>
      <c r="G1590" s="190"/>
      <c r="L1590" s="220"/>
      <c r="M1590" s="220"/>
      <c r="O1590" s="210"/>
      <c r="P1590" s="210"/>
      <c r="Q1590" s="210"/>
      <c r="R1590" s="210"/>
      <c r="S1590" s="210"/>
      <c r="T1590" s="210"/>
      <c r="U1590" s="210"/>
      <c r="V1590" s="210"/>
      <c r="W1590" s="210"/>
      <c r="X1590" s="210"/>
      <c r="Y1590" s="210"/>
      <c r="Z1590" s="210"/>
      <c r="AA1590" s="210"/>
      <c r="AB1590" s="210"/>
      <c r="AC1590" s="210"/>
      <c r="AD1590" s="210"/>
      <c r="AE1590" s="210"/>
      <c r="AF1590" s="210"/>
      <c r="AG1590" s="210"/>
      <c r="AH1590" s="210"/>
      <c r="AI1590" s="210"/>
      <c r="AJ1590" s="210"/>
      <c r="AK1590" s="210"/>
      <c r="AL1590" s="210"/>
      <c r="AM1590" s="214"/>
      <c r="AN1590" s="210"/>
      <c r="AO1590" s="210"/>
      <c r="AP1590" s="210"/>
      <c r="AQ1590" s="210"/>
      <c r="AR1590" s="210"/>
      <c r="AS1590" s="210"/>
      <c r="AT1590" s="210"/>
      <c r="AU1590" s="210"/>
      <c r="AV1590" s="210"/>
      <c r="AW1590" s="210"/>
      <c r="AX1590" s="210"/>
      <c r="AY1590" s="210"/>
      <c r="AZ1590" s="210"/>
      <c r="BA1590" s="210"/>
      <c r="BB1590" s="210"/>
      <c r="BC1590" s="210"/>
      <c r="BD1590" s="210"/>
      <c r="BE1590" s="210"/>
      <c r="BF1590" s="210"/>
      <c r="BG1590" s="210"/>
      <c r="BH1590" s="210"/>
      <c r="BI1590" s="210"/>
      <c r="BJ1590" s="210"/>
      <c r="BK1590" s="210"/>
      <c r="BL1590" s="210"/>
      <c r="BM1590" s="210"/>
      <c r="BN1590" s="210"/>
      <c r="BO1590" s="210"/>
      <c r="BP1590" s="210"/>
      <c r="BQ1590" s="210"/>
      <c r="BR1590" s="210"/>
      <c r="BS1590" s="210"/>
      <c r="BT1590" s="210"/>
      <c r="BU1590" s="210"/>
      <c r="BV1590" s="210"/>
      <c r="BW1590" s="210"/>
      <c r="BX1590" s="210"/>
      <c r="BY1590" s="210"/>
      <c r="BZ1590" s="210"/>
      <c r="CA1590" s="210"/>
      <c r="CB1590" s="210"/>
      <c r="CC1590" s="210"/>
      <c r="CD1590" s="210"/>
      <c r="CE1590" s="210"/>
      <c r="CF1590" s="210"/>
      <c r="CG1590" s="210"/>
      <c r="CH1590" s="210"/>
      <c r="CI1590" s="210"/>
      <c r="CJ1590" s="210"/>
      <c r="CK1590" s="210"/>
    </row>
    <row r="1591">
      <c r="A1591" s="220"/>
      <c r="F1591" s="190"/>
      <c r="G1591" s="190"/>
      <c r="L1591" s="220"/>
      <c r="M1591" s="220"/>
      <c r="O1591" s="210"/>
      <c r="P1591" s="210"/>
      <c r="Q1591" s="210"/>
      <c r="R1591" s="210"/>
      <c r="S1591" s="210"/>
      <c r="T1591" s="210"/>
      <c r="U1591" s="210"/>
      <c r="V1591" s="210"/>
      <c r="W1591" s="210"/>
      <c r="X1591" s="210"/>
      <c r="Y1591" s="210"/>
      <c r="Z1591" s="210"/>
      <c r="AA1591" s="210"/>
      <c r="AB1591" s="210"/>
      <c r="AC1591" s="210"/>
      <c r="AD1591" s="210"/>
      <c r="AE1591" s="210"/>
      <c r="AF1591" s="210"/>
      <c r="AG1591" s="210"/>
      <c r="AH1591" s="210"/>
      <c r="AI1591" s="210"/>
      <c r="AJ1591" s="210"/>
      <c r="AK1591" s="210"/>
      <c r="AL1591" s="210"/>
      <c r="AM1591" s="214"/>
      <c r="AN1591" s="210"/>
      <c r="AO1591" s="210"/>
      <c r="AP1591" s="210"/>
      <c r="AQ1591" s="210"/>
      <c r="AR1591" s="210"/>
      <c r="AS1591" s="210"/>
      <c r="AT1591" s="210"/>
      <c r="AU1591" s="210"/>
      <c r="AV1591" s="210"/>
      <c r="AW1591" s="210"/>
      <c r="AX1591" s="210"/>
      <c r="AY1591" s="210"/>
      <c r="AZ1591" s="210"/>
      <c r="BA1591" s="210"/>
      <c r="BB1591" s="210"/>
      <c r="BC1591" s="210"/>
      <c r="BD1591" s="210"/>
      <c r="BE1591" s="210"/>
      <c r="BF1591" s="210"/>
      <c r="BG1591" s="210"/>
      <c r="BH1591" s="210"/>
      <c r="BI1591" s="210"/>
      <c r="BJ1591" s="210"/>
      <c r="BK1591" s="210"/>
      <c r="BL1591" s="210"/>
      <c r="BM1591" s="210"/>
      <c r="BN1591" s="210"/>
      <c r="BO1591" s="210"/>
      <c r="BP1591" s="210"/>
      <c r="BQ1591" s="210"/>
      <c r="BR1591" s="210"/>
      <c r="BS1591" s="210"/>
      <c r="BT1591" s="210"/>
      <c r="BU1591" s="210"/>
      <c r="BV1591" s="210"/>
      <c r="BW1591" s="210"/>
      <c r="BX1591" s="210"/>
      <c r="BY1591" s="210"/>
      <c r="BZ1591" s="210"/>
      <c r="CA1591" s="210"/>
      <c r="CB1591" s="210"/>
      <c r="CC1591" s="210"/>
      <c r="CD1591" s="210"/>
      <c r="CE1591" s="210"/>
      <c r="CF1591" s="210"/>
      <c r="CG1591" s="210"/>
      <c r="CH1591" s="210"/>
      <c r="CI1591" s="210"/>
      <c r="CJ1591" s="210"/>
      <c r="CK1591" s="210"/>
    </row>
    <row r="1592">
      <c r="A1592" s="220"/>
      <c r="F1592" s="190"/>
      <c r="G1592" s="190"/>
      <c r="L1592" s="220"/>
      <c r="M1592" s="220"/>
      <c r="O1592" s="210"/>
      <c r="P1592" s="210"/>
      <c r="Q1592" s="210"/>
      <c r="R1592" s="210"/>
      <c r="S1592" s="210"/>
      <c r="T1592" s="210"/>
      <c r="U1592" s="210"/>
      <c r="V1592" s="210"/>
      <c r="W1592" s="210"/>
      <c r="X1592" s="210"/>
      <c r="Y1592" s="210"/>
      <c r="Z1592" s="210"/>
      <c r="AA1592" s="210"/>
      <c r="AB1592" s="210"/>
      <c r="AC1592" s="210"/>
      <c r="AD1592" s="210"/>
      <c r="AE1592" s="210"/>
      <c r="AF1592" s="210"/>
      <c r="AG1592" s="210"/>
      <c r="AH1592" s="210"/>
      <c r="AI1592" s="210"/>
      <c r="AJ1592" s="210"/>
      <c r="AK1592" s="210"/>
      <c r="AL1592" s="210"/>
      <c r="AM1592" s="214"/>
      <c r="AN1592" s="210"/>
      <c r="AO1592" s="210"/>
      <c r="AP1592" s="210"/>
      <c r="AQ1592" s="210"/>
      <c r="AR1592" s="210"/>
      <c r="AS1592" s="210"/>
      <c r="AT1592" s="210"/>
      <c r="AU1592" s="210"/>
      <c r="AV1592" s="210"/>
      <c r="AW1592" s="210"/>
      <c r="AX1592" s="210"/>
      <c r="AY1592" s="210"/>
      <c r="AZ1592" s="210"/>
      <c r="BA1592" s="210"/>
      <c r="BB1592" s="210"/>
      <c r="BC1592" s="210"/>
      <c r="BD1592" s="210"/>
      <c r="BE1592" s="210"/>
      <c r="BF1592" s="210"/>
      <c r="BG1592" s="210"/>
      <c r="BH1592" s="210"/>
      <c r="BI1592" s="210"/>
      <c r="BJ1592" s="210"/>
      <c r="BK1592" s="210"/>
      <c r="BL1592" s="210"/>
      <c r="BM1592" s="210"/>
      <c r="BN1592" s="210"/>
      <c r="BO1592" s="210"/>
      <c r="BP1592" s="210"/>
      <c r="BQ1592" s="210"/>
      <c r="BR1592" s="210"/>
      <c r="BS1592" s="210"/>
      <c r="BT1592" s="210"/>
      <c r="BU1592" s="210"/>
      <c r="BV1592" s="210"/>
      <c r="BW1592" s="210"/>
      <c r="BX1592" s="210"/>
      <c r="BY1592" s="210"/>
      <c r="BZ1592" s="210"/>
      <c r="CA1592" s="210"/>
      <c r="CB1592" s="210"/>
      <c r="CC1592" s="210"/>
      <c r="CD1592" s="210"/>
      <c r="CE1592" s="210"/>
      <c r="CF1592" s="210"/>
      <c r="CG1592" s="210"/>
      <c r="CH1592" s="210"/>
      <c r="CI1592" s="210"/>
      <c r="CJ1592" s="210"/>
      <c r="CK1592" s="210"/>
    </row>
    <row r="1593">
      <c r="A1593" s="220"/>
      <c r="F1593" s="190"/>
      <c r="G1593" s="190"/>
      <c r="L1593" s="220"/>
      <c r="M1593" s="220"/>
      <c r="O1593" s="210"/>
      <c r="P1593" s="210"/>
      <c r="Q1593" s="210"/>
      <c r="R1593" s="210"/>
      <c r="S1593" s="210"/>
      <c r="T1593" s="210"/>
      <c r="U1593" s="210"/>
      <c r="V1593" s="210"/>
      <c r="W1593" s="210"/>
      <c r="X1593" s="210"/>
      <c r="Y1593" s="210"/>
      <c r="Z1593" s="210"/>
      <c r="AA1593" s="210"/>
      <c r="AB1593" s="210"/>
      <c r="AC1593" s="210"/>
      <c r="AD1593" s="210"/>
      <c r="AE1593" s="210"/>
      <c r="AF1593" s="210"/>
      <c r="AG1593" s="210"/>
      <c r="AH1593" s="210"/>
      <c r="AI1593" s="210"/>
      <c r="AJ1593" s="210"/>
      <c r="AK1593" s="210"/>
      <c r="AL1593" s="210"/>
      <c r="AM1593" s="214"/>
      <c r="AN1593" s="210"/>
      <c r="AO1593" s="210"/>
      <c r="AP1593" s="210"/>
      <c r="AQ1593" s="210"/>
      <c r="AR1593" s="210"/>
      <c r="AS1593" s="210"/>
      <c r="AT1593" s="210"/>
      <c r="AU1593" s="210"/>
      <c r="AV1593" s="210"/>
      <c r="AW1593" s="210"/>
      <c r="AX1593" s="210"/>
      <c r="AY1593" s="210"/>
      <c r="AZ1593" s="210"/>
      <c r="BA1593" s="210"/>
      <c r="BB1593" s="210"/>
      <c r="BC1593" s="210"/>
      <c r="BD1593" s="210"/>
      <c r="BE1593" s="210"/>
      <c r="BF1593" s="210"/>
      <c r="BG1593" s="210"/>
      <c r="BH1593" s="210"/>
      <c r="BI1593" s="210"/>
      <c r="BJ1593" s="210"/>
      <c r="BK1593" s="210"/>
      <c r="BL1593" s="210"/>
      <c r="BM1593" s="210"/>
      <c r="BN1593" s="210"/>
      <c r="BO1593" s="210"/>
      <c r="BP1593" s="210"/>
      <c r="BQ1593" s="210"/>
      <c r="BR1593" s="210"/>
      <c r="BS1593" s="210"/>
      <c r="BT1593" s="210"/>
      <c r="BU1593" s="210"/>
      <c r="BV1593" s="210"/>
      <c r="BW1593" s="210"/>
      <c r="BX1593" s="210"/>
      <c r="BY1593" s="210"/>
      <c r="BZ1593" s="210"/>
      <c r="CA1593" s="210"/>
      <c r="CB1593" s="210"/>
      <c r="CC1593" s="210"/>
      <c r="CD1593" s="210"/>
      <c r="CE1593" s="210"/>
      <c r="CF1593" s="210"/>
      <c r="CG1593" s="210"/>
      <c r="CH1593" s="210"/>
      <c r="CI1593" s="210"/>
      <c r="CJ1593" s="210"/>
      <c r="CK1593" s="210"/>
    </row>
    <row r="1594">
      <c r="A1594" s="220"/>
      <c r="F1594" s="190"/>
      <c r="G1594" s="190"/>
      <c r="L1594" s="220"/>
      <c r="M1594" s="220"/>
      <c r="O1594" s="210"/>
      <c r="P1594" s="210"/>
      <c r="Q1594" s="210"/>
      <c r="R1594" s="210"/>
      <c r="S1594" s="210"/>
      <c r="T1594" s="210"/>
      <c r="U1594" s="210"/>
      <c r="V1594" s="210"/>
      <c r="W1594" s="210"/>
      <c r="X1594" s="210"/>
      <c r="Y1594" s="210"/>
      <c r="Z1594" s="210"/>
      <c r="AA1594" s="210"/>
      <c r="AB1594" s="210"/>
      <c r="AC1594" s="210"/>
      <c r="AD1594" s="210"/>
      <c r="AE1594" s="210"/>
      <c r="AF1594" s="210"/>
      <c r="AG1594" s="210"/>
      <c r="AH1594" s="210"/>
      <c r="AI1594" s="210"/>
      <c r="AJ1594" s="210"/>
      <c r="AK1594" s="210"/>
      <c r="AL1594" s="210"/>
      <c r="AM1594" s="214"/>
      <c r="AN1594" s="210"/>
      <c r="AO1594" s="210"/>
      <c r="AP1594" s="210"/>
      <c r="AQ1594" s="210"/>
      <c r="AR1594" s="210"/>
      <c r="AS1594" s="210"/>
      <c r="AT1594" s="210"/>
      <c r="AU1594" s="210"/>
      <c r="AV1594" s="210"/>
      <c r="AW1594" s="210"/>
      <c r="AX1594" s="210"/>
      <c r="AY1594" s="210"/>
      <c r="AZ1594" s="210"/>
      <c r="BA1594" s="210"/>
      <c r="BB1594" s="210"/>
      <c r="BC1594" s="210"/>
      <c r="BD1594" s="210"/>
      <c r="BE1594" s="210"/>
      <c r="BF1594" s="210"/>
      <c r="BG1594" s="210"/>
      <c r="BH1594" s="210"/>
      <c r="BI1594" s="210"/>
      <c r="BJ1594" s="210"/>
      <c r="BK1594" s="210"/>
      <c r="BL1594" s="210"/>
      <c r="BM1594" s="210"/>
      <c r="BN1594" s="210"/>
      <c r="BO1594" s="210"/>
      <c r="BP1594" s="210"/>
      <c r="BQ1594" s="210"/>
      <c r="BR1594" s="210"/>
      <c r="BS1594" s="210"/>
      <c r="BT1594" s="210"/>
      <c r="BU1594" s="210"/>
      <c r="BV1594" s="210"/>
      <c r="BW1594" s="210"/>
      <c r="BX1594" s="210"/>
      <c r="BY1594" s="210"/>
      <c r="BZ1594" s="210"/>
      <c r="CA1594" s="210"/>
      <c r="CB1594" s="210"/>
      <c r="CC1594" s="210"/>
      <c r="CD1594" s="210"/>
      <c r="CE1594" s="210"/>
      <c r="CF1594" s="210"/>
      <c r="CG1594" s="210"/>
      <c r="CH1594" s="210"/>
      <c r="CI1594" s="210"/>
      <c r="CJ1594" s="210"/>
      <c r="CK1594" s="210"/>
    </row>
    <row r="1595">
      <c r="A1595" s="220"/>
      <c r="F1595" s="190"/>
      <c r="G1595" s="190"/>
      <c r="L1595" s="220"/>
      <c r="M1595" s="220"/>
      <c r="O1595" s="210"/>
      <c r="P1595" s="210"/>
      <c r="Q1595" s="210"/>
      <c r="R1595" s="210"/>
      <c r="S1595" s="210"/>
      <c r="T1595" s="210"/>
      <c r="U1595" s="210"/>
      <c r="V1595" s="210"/>
      <c r="W1595" s="210"/>
      <c r="X1595" s="210"/>
      <c r="Y1595" s="210"/>
      <c r="Z1595" s="210"/>
      <c r="AA1595" s="210"/>
      <c r="AB1595" s="210"/>
      <c r="AC1595" s="210"/>
      <c r="AD1595" s="210"/>
      <c r="AE1595" s="210"/>
      <c r="AF1595" s="210"/>
      <c r="AG1595" s="210"/>
      <c r="AH1595" s="210"/>
      <c r="AI1595" s="210"/>
      <c r="AJ1595" s="210"/>
      <c r="AK1595" s="210"/>
      <c r="AL1595" s="210"/>
      <c r="AM1595" s="214"/>
      <c r="AN1595" s="210"/>
      <c r="AO1595" s="210"/>
      <c r="AP1595" s="210"/>
      <c r="AQ1595" s="210"/>
      <c r="AR1595" s="210"/>
      <c r="AS1595" s="210"/>
      <c r="AT1595" s="210"/>
      <c r="AU1595" s="210"/>
      <c r="AV1595" s="210"/>
      <c r="AW1595" s="210"/>
      <c r="AX1595" s="210"/>
      <c r="AY1595" s="210"/>
      <c r="AZ1595" s="210"/>
      <c r="BA1595" s="210"/>
      <c r="BB1595" s="210"/>
      <c r="BC1595" s="210"/>
      <c r="BD1595" s="210"/>
      <c r="BE1595" s="210"/>
      <c r="BF1595" s="210"/>
      <c r="BG1595" s="210"/>
      <c r="BH1595" s="210"/>
      <c r="BI1595" s="210"/>
      <c r="BJ1595" s="210"/>
      <c r="BK1595" s="210"/>
      <c r="BL1595" s="210"/>
      <c r="BM1595" s="210"/>
      <c r="BN1595" s="210"/>
      <c r="BO1595" s="210"/>
      <c r="BP1595" s="210"/>
      <c r="BQ1595" s="210"/>
      <c r="BR1595" s="210"/>
      <c r="BS1595" s="210"/>
      <c r="BT1595" s="210"/>
      <c r="BU1595" s="210"/>
      <c r="BV1595" s="210"/>
      <c r="BW1595" s="210"/>
      <c r="BX1595" s="210"/>
      <c r="BY1595" s="210"/>
      <c r="BZ1595" s="210"/>
      <c r="CA1595" s="210"/>
      <c r="CB1595" s="210"/>
      <c r="CC1595" s="210"/>
      <c r="CD1595" s="210"/>
      <c r="CE1595" s="210"/>
      <c r="CF1595" s="210"/>
      <c r="CG1595" s="210"/>
      <c r="CH1595" s="210"/>
      <c r="CI1595" s="210"/>
      <c r="CJ1595" s="210"/>
      <c r="CK1595" s="210"/>
    </row>
    <row r="1596">
      <c r="A1596" s="220"/>
      <c r="F1596" s="190"/>
      <c r="G1596" s="190"/>
      <c r="L1596" s="220"/>
      <c r="M1596" s="220"/>
      <c r="O1596" s="210"/>
      <c r="P1596" s="210"/>
      <c r="Q1596" s="210"/>
      <c r="R1596" s="210"/>
      <c r="S1596" s="210"/>
      <c r="T1596" s="210"/>
      <c r="U1596" s="210"/>
      <c r="V1596" s="210"/>
      <c r="W1596" s="210"/>
      <c r="X1596" s="210"/>
      <c r="Y1596" s="210"/>
      <c r="Z1596" s="210"/>
      <c r="AA1596" s="210"/>
      <c r="AB1596" s="210"/>
      <c r="AC1596" s="210"/>
      <c r="AD1596" s="210"/>
      <c r="AE1596" s="210"/>
      <c r="AF1596" s="210"/>
      <c r="AG1596" s="210"/>
      <c r="AH1596" s="210"/>
      <c r="AI1596" s="210"/>
      <c r="AJ1596" s="210"/>
      <c r="AK1596" s="210"/>
      <c r="AL1596" s="210"/>
      <c r="AM1596" s="214"/>
      <c r="AN1596" s="210"/>
      <c r="AO1596" s="210"/>
      <c r="AP1596" s="210"/>
      <c r="AQ1596" s="210"/>
      <c r="AR1596" s="210"/>
      <c r="AS1596" s="210"/>
      <c r="AT1596" s="210"/>
      <c r="AU1596" s="210"/>
      <c r="AV1596" s="210"/>
      <c r="AW1596" s="210"/>
      <c r="AX1596" s="210"/>
      <c r="AY1596" s="210"/>
      <c r="AZ1596" s="210"/>
      <c r="BA1596" s="210"/>
      <c r="BB1596" s="210"/>
      <c r="BC1596" s="210"/>
      <c r="BD1596" s="210"/>
      <c r="BE1596" s="210"/>
      <c r="BF1596" s="210"/>
      <c r="BG1596" s="210"/>
      <c r="BH1596" s="210"/>
      <c r="BI1596" s="210"/>
      <c r="BJ1596" s="210"/>
      <c r="BK1596" s="210"/>
      <c r="BL1596" s="210"/>
      <c r="BM1596" s="210"/>
      <c r="BN1596" s="210"/>
      <c r="BO1596" s="210"/>
      <c r="BP1596" s="210"/>
      <c r="BQ1596" s="210"/>
      <c r="BR1596" s="210"/>
      <c r="BS1596" s="210"/>
      <c r="BT1596" s="210"/>
      <c r="BU1596" s="210"/>
      <c r="BV1596" s="210"/>
      <c r="BW1596" s="210"/>
      <c r="BX1596" s="210"/>
      <c r="BY1596" s="210"/>
      <c r="BZ1596" s="210"/>
      <c r="CA1596" s="210"/>
      <c r="CB1596" s="210"/>
      <c r="CC1596" s="210"/>
      <c r="CD1596" s="210"/>
      <c r="CE1596" s="210"/>
      <c r="CF1596" s="210"/>
      <c r="CG1596" s="210"/>
      <c r="CH1596" s="210"/>
      <c r="CI1596" s="210"/>
      <c r="CJ1596" s="210"/>
      <c r="CK1596" s="210"/>
    </row>
    <row r="1597">
      <c r="A1597" s="220"/>
      <c r="F1597" s="190"/>
      <c r="G1597" s="190"/>
      <c r="L1597" s="220"/>
      <c r="M1597" s="220"/>
      <c r="O1597" s="210"/>
      <c r="P1597" s="210"/>
      <c r="Q1597" s="210"/>
      <c r="R1597" s="210"/>
      <c r="S1597" s="210"/>
      <c r="T1597" s="210"/>
      <c r="U1597" s="210"/>
      <c r="V1597" s="210"/>
      <c r="W1597" s="210"/>
      <c r="X1597" s="210"/>
      <c r="Y1597" s="210"/>
      <c r="Z1597" s="210"/>
      <c r="AA1597" s="210"/>
      <c r="AB1597" s="210"/>
      <c r="AC1597" s="210"/>
      <c r="AD1597" s="210"/>
      <c r="AE1597" s="210"/>
      <c r="AF1597" s="210"/>
      <c r="AG1597" s="210"/>
      <c r="AH1597" s="210"/>
      <c r="AI1597" s="210"/>
      <c r="AJ1597" s="210"/>
      <c r="AK1597" s="210"/>
      <c r="AL1597" s="210"/>
      <c r="AM1597" s="214"/>
      <c r="AN1597" s="210"/>
      <c r="AO1597" s="210"/>
      <c r="AP1597" s="210"/>
      <c r="AQ1597" s="210"/>
      <c r="AR1597" s="210"/>
      <c r="AS1597" s="210"/>
      <c r="AT1597" s="210"/>
      <c r="AU1597" s="210"/>
      <c r="AV1597" s="210"/>
      <c r="AW1597" s="210"/>
      <c r="AX1597" s="210"/>
      <c r="AY1597" s="210"/>
      <c r="AZ1597" s="210"/>
      <c r="BA1597" s="210"/>
      <c r="BB1597" s="210"/>
      <c r="BC1597" s="210"/>
      <c r="BD1597" s="210"/>
      <c r="BE1597" s="210"/>
      <c r="BF1597" s="210"/>
      <c r="BG1597" s="210"/>
      <c r="BH1597" s="210"/>
      <c r="BI1597" s="210"/>
      <c r="BJ1597" s="210"/>
      <c r="BK1597" s="210"/>
      <c r="BL1597" s="210"/>
      <c r="BM1597" s="210"/>
      <c r="BN1597" s="210"/>
      <c r="BO1597" s="210"/>
      <c r="BP1597" s="210"/>
      <c r="BQ1597" s="210"/>
      <c r="BR1597" s="210"/>
      <c r="BS1597" s="210"/>
      <c r="BT1597" s="210"/>
      <c r="BU1597" s="210"/>
      <c r="BV1597" s="210"/>
      <c r="BW1597" s="210"/>
      <c r="BX1597" s="210"/>
      <c r="BY1597" s="210"/>
      <c r="BZ1597" s="210"/>
      <c r="CA1597" s="210"/>
      <c r="CB1597" s="210"/>
      <c r="CC1597" s="210"/>
      <c r="CD1597" s="210"/>
      <c r="CE1597" s="210"/>
      <c r="CF1597" s="210"/>
      <c r="CG1597" s="210"/>
      <c r="CH1597" s="210"/>
      <c r="CI1597" s="210"/>
      <c r="CJ1597" s="210"/>
      <c r="CK1597" s="210"/>
    </row>
    <row r="1598">
      <c r="A1598" s="220"/>
      <c r="F1598" s="190"/>
      <c r="G1598" s="190"/>
      <c r="L1598" s="220"/>
      <c r="M1598" s="220"/>
      <c r="O1598" s="210"/>
      <c r="P1598" s="210"/>
      <c r="Q1598" s="210"/>
      <c r="R1598" s="210"/>
      <c r="S1598" s="210"/>
      <c r="T1598" s="210"/>
      <c r="U1598" s="210"/>
      <c r="V1598" s="210"/>
      <c r="W1598" s="210"/>
      <c r="X1598" s="210"/>
      <c r="Y1598" s="210"/>
      <c r="Z1598" s="210"/>
      <c r="AA1598" s="210"/>
      <c r="AB1598" s="210"/>
      <c r="AC1598" s="210"/>
      <c r="AD1598" s="210"/>
      <c r="AE1598" s="210"/>
      <c r="AF1598" s="210"/>
      <c r="AG1598" s="210"/>
      <c r="AH1598" s="210"/>
      <c r="AI1598" s="210"/>
      <c r="AJ1598" s="210"/>
      <c r="AK1598" s="210"/>
      <c r="AL1598" s="210"/>
      <c r="AM1598" s="214"/>
      <c r="AN1598" s="210"/>
      <c r="AO1598" s="210"/>
      <c r="AP1598" s="210"/>
      <c r="AQ1598" s="210"/>
      <c r="AR1598" s="210"/>
      <c r="AS1598" s="210"/>
      <c r="AT1598" s="210"/>
      <c r="AU1598" s="210"/>
      <c r="AV1598" s="210"/>
      <c r="AW1598" s="210"/>
      <c r="AX1598" s="210"/>
      <c r="AY1598" s="210"/>
      <c r="AZ1598" s="210"/>
      <c r="BA1598" s="210"/>
      <c r="BB1598" s="210"/>
      <c r="BC1598" s="210"/>
      <c r="BD1598" s="210"/>
      <c r="BE1598" s="210"/>
      <c r="BF1598" s="210"/>
      <c r="BG1598" s="210"/>
      <c r="BH1598" s="210"/>
      <c r="BI1598" s="210"/>
      <c r="BJ1598" s="210"/>
      <c r="BK1598" s="210"/>
      <c r="BL1598" s="210"/>
      <c r="BM1598" s="210"/>
      <c r="BN1598" s="210"/>
      <c r="BO1598" s="210"/>
      <c r="BP1598" s="210"/>
      <c r="BQ1598" s="210"/>
      <c r="BR1598" s="210"/>
      <c r="BS1598" s="210"/>
      <c r="BT1598" s="210"/>
      <c r="BU1598" s="210"/>
      <c r="BV1598" s="210"/>
      <c r="BW1598" s="210"/>
      <c r="BX1598" s="210"/>
      <c r="BY1598" s="210"/>
      <c r="BZ1598" s="210"/>
      <c r="CA1598" s="210"/>
      <c r="CB1598" s="210"/>
      <c r="CC1598" s="210"/>
      <c r="CD1598" s="210"/>
      <c r="CE1598" s="210"/>
      <c r="CF1598" s="210"/>
      <c r="CG1598" s="210"/>
      <c r="CH1598" s="210"/>
      <c r="CI1598" s="210"/>
      <c r="CJ1598" s="210"/>
      <c r="CK1598" s="210"/>
    </row>
    <row r="1599">
      <c r="A1599" s="220"/>
      <c r="F1599" s="190"/>
      <c r="G1599" s="190"/>
      <c r="L1599" s="220"/>
      <c r="M1599" s="220"/>
      <c r="O1599" s="210"/>
      <c r="P1599" s="210"/>
      <c r="Q1599" s="210"/>
      <c r="R1599" s="210"/>
      <c r="S1599" s="210"/>
      <c r="T1599" s="210"/>
      <c r="U1599" s="210"/>
      <c r="V1599" s="210"/>
      <c r="W1599" s="210"/>
      <c r="X1599" s="210"/>
      <c r="Y1599" s="210"/>
      <c r="Z1599" s="210"/>
      <c r="AA1599" s="210"/>
      <c r="AB1599" s="210"/>
      <c r="AC1599" s="210"/>
      <c r="AD1599" s="210"/>
      <c r="AE1599" s="210"/>
      <c r="AF1599" s="210"/>
      <c r="AG1599" s="210"/>
      <c r="AH1599" s="210"/>
      <c r="AI1599" s="210"/>
      <c r="AJ1599" s="210"/>
      <c r="AK1599" s="210"/>
      <c r="AL1599" s="210"/>
      <c r="AM1599" s="214"/>
      <c r="AN1599" s="210"/>
      <c r="AO1599" s="210"/>
      <c r="AP1599" s="210"/>
      <c r="AQ1599" s="210"/>
      <c r="AR1599" s="210"/>
      <c r="AS1599" s="210"/>
      <c r="AT1599" s="210"/>
      <c r="AU1599" s="210"/>
      <c r="AV1599" s="210"/>
      <c r="AW1599" s="210"/>
      <c r="AX1599" s="210"/>
      <c r="AY1599" s="210"/>
      <c r="AZ1599" s="210"/>
      <c r="BA1599" s="210"/>
      <c r="BB1599" s="210"/>
      <c r="BC1599" s="210"/>
      <c r="BD1599" s="210"/>
      <c r="BE1599" s="210"/>
      <c r="BF1599" s="210"/>
      <c r="BG1599" s="210"/>
      <c r="BH1599" s="210"/>
      <c r="BI1599" s="210"/>
      <c r="BJ1599" s="210"/>
      <c r="BK1599" s="210"/>
      <c r="BL1599" s="210"/>
      <c r="BM1599" s="210"/>
      <c r="BN1599" s="210"/>
      <c r="BO1599" s="210"/>
      <c r="BP1599" s="210"/>
      <c r="BQ1599" s="210"/>
      <c r="BR1599" s="210"/>
      <c r="BS1599" s="210"/>
      <c r="BT1599" s="210"/>
      <c r="BU1599" s="210"/>
      <c r="BV1599" s="210"/>
      <c r="BW1599" s="210"/>
      <c r="BX1599" s="210"/>
      <c r="BY1599" s="210"/>
      <c r="BZ1599" s="210"/>
      <c r="CA1599" s="210"/>
      <c r="CB1599" s="210"/>
      <c r="CC1599" s="210"/>
      <c r="CD1599" s="210"/>
      <c r="CE1599" s="210"/>
      <c r="CF1599" s="210"/>
      <c r="CG1599" s="210"/>
      <c r="CH1599" s="210"/>
      <c r="CI1599" s="210"/>
      <c r="CJ1599" s="210"/>
      <c r="CK1599" s="210"/>
    </row>
  </sheetData>
  <autoFilter ref="$A$1:$M$544"/>
  <dataValidations>
    <dataValidation type="list" allowBlank="1" showErrorMessage="1" sqref="F2:G1599">
      <formula1>LEVEL_HELPER!$A$2:$A$15</formula1>
    </dataValidation>
  </dataValidation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14"/>
    <col customWidth="1" min="5" max="5" width="23.14"/>
    <col customWidth="1" min="6" max="6" width="23.29"/>
    <col customWidth="1" min="7" max="7" width="24.86"/>
    <col customWidth="1" min="13" max="13" width="22.57"/>
    <col customWidth="1" min="17" max="17" width="12.29"/>
    <col customWidth="1" min="18" max="18" width="11.14"/>
    <col customWidth="1" min="19" max="19" width="10.0"/>
    <col customWidth="1" min="20" max="22" width="18.86"/>
  </cols>
  <sheetData>
    <row r="1">
      <c r="A1" s="206" t="s">
        <v>123</v>
      </c>
      <c r="B1" s="207" t="s">
        <v>124</v>
      </c>
      <c r="C1" s="207" t="s">
        <v>44</v>
      </c>
      <c r="D1" s="207" t="s">
        <v>45</v>
      </c>
      <c r="E1" s="207" t="s">
        <v>14</v>
      </c>
      <c r="F1" s="207" t="s">
        <v>128</v>
      </c>
      <c r="G1" s="207" t="s">
        <v>894</v>
      </c>
      <c r="H1" s="207" t="s">
        <v>965</v>
      </c>
      <c r="I1" s="195" t="s">
        <v>897</v>
      </c>
      <c r="J1" s="195" t="s">
        <v>898</v>
      </c>
      <c r="K1" s="195" t="s">
        <v>966</v>
      </c>
      <c r="L1" s="195" t="s">
        <v>967</v>
      </c>
      <c r="M1" s="195" t="s">
        <v>968</v>
      </c>
      <c r="N1" s="195" t="s">
        <v>899</v>
      </c>
      <c r="O1" s="195" t="s">
        <v>125</v>
      </c>
      <c r="P1" s="195" t="s">
        <v>900</v>
      </c>
      <c r="Q1" s="195" t="s">
        <v>901</v>
      </c>
      <c r="R1" s="195" t="s">
        <v>902</v>
      </c>
      <c r="S1" s="195" t="s">
        <v>903</v>
      </c>
      <c r="T1" s="195"/>
      <c r="U1" s="208"/>
      <c r="V1" s="208"/>
    </row>
    <row r="2">
      <c r="A2" s="247" t="s">
        <v>721</v>
      </c>
      <c r="B2" s="217" t="s">
        <v>722</v>
      </c>
      <c r="C2" s="218" t="s">
        <v>51</v>
      </c>
      <c r="D2" s="218" t="s">
        <v>844</v>
      </c>
      <c r="E2" s="217" t="s">
        <v>21</v>
      </c>
      <c r="F2" s="13" t="s">
        <v>917</v>
      </c>
      <c r="G2" s="13" t="s">
        <v>918</v>
      </c>
      <c r="H2" s="219">
        <f>IFERROR(
  MINIFS(ATTENDANCE_LOG!$F:$F,
         ATTENDANCE_LOG!$A:$A, C2,
         ATTENDANCE_LOG!$B:$B, E2),
"")</f>
        <v>45700.41667</v>
      </c>
      <c r="I2" s="190">
        <f>IFERROR(VLOOKUP(F2, LEVEL_HELPER!$A:$B, 2, 0), "")</f>
        <v>2.5</v>
      </c>
      <c r="J2" s="190">
        <f>IFERROR(VLOOKUP(G2, LEVEL_HELPER!$A:$B, 2, 0), "")</f>
        <v>3</v>
      </c>
      <c r="K2" s="190">
        <f t="shared" ref="K2:L2" si="1">IF(OR(I2="", I2=0), "",
  IF(I2&lt;=2,   1,
  IF(I2&lt;=4,   2,
  IF(I2&lt;=5.5, 3, 4))))</f>
        <v>2</v>
      </c>
      <c r="L2" s="190">
        <f t="shared" si="1"/>
        <v>2</v>
      </c>
      <c r="M2" s="190" t="str">
        <f t="shared" ref="M2:M543" si="4">IF(OR(K2="", L2=""), "No Data",
  IF(L2&lt;K2,    "Regressed",
  IF(L2=K2,
    IF(J2&gt;I2,  "Progress within level",
               "No Progress"),
  IF(L2-K2=1, "Lv"&amp;K2&amp;" → Lv"&amp;L2,
  "Lv"&amp;K2&amp;" → Lv"&amp;L2&amp;" (+"&amp;(L2-K2)&amp;")"))))</f>
        <v>Progress within level</v>
      </c>
      <c r="N2" s="220" t="s">
        <v>919</v>
      </c>
      <c r="O2" s="220" t="s">
        <v>920</v>
      </c>
      <c r="P2" s="190">
        <f t="shared" ref="P2:P543" si="5">IFERROR(MINIFS($I:$I, $A:$A, A2, $I:$I, "&gt;"&amp;0), "")</f>
        <v>2.5</v>
      </c>
      <c r="Q2" s="210">
        <f t="shared" ref="Q2:Q543" si="6">IFERROR(MAXIFS($J:$J, $A:$A, A2), "")</f>
        <v>3.5</v>
      </c>
      <c r="R2" s="210">
        <f t="shared" ref="R2:S2" si="2">IF(OR(P2="", P2=0), "",
  IF(P2&lt;=2,   1,
  IF(P2&lt;=4,   2,
  IF(P2&lt;=5.5, 3, 4))))</f>
        <v>2</v>
      </c>
      <c r="S2" s="210">
        <f t="shared" si="2"/>
        <v>2</v>
      </c>
      <c r="T2" s="210" t="str">
        <f t="shared" ref="T2:T543" si="8">IF(OR(R2="", S2=""), "No Data",
  IF(S2&lt;R2, "Regressed",
  IF(S2=R2,
    IF(Q2&gt;P2, "Progress within level",
              "No Progress"),
  IF(S2-R2=1, "Lv"&amp;R2&amp;" → Lv"&amp;S2,
  "Lv"&amp;R2&amp;" → Lv"&amp;S2&amp;" (multi)"))))</f>
        <v>Progress within level</v>
      </c>
      <c r="U2" s="210">
        <f t="shared" ref="U2:U260" si="9">IF(COUNTIF($A$2:A2, A2)=1, 1, 0)</f>
        <v>1</v>
      </c>
      <c r="V2" s="210" t="str">
        <f t="array" ref="V2">IFERROR(
  VLOOKUP(C2&amp;"|"&amp;E2,
    CLASS_DATES!$A$2:$A$100&amp;"|"&amp;CLASS_DATES!$B$2:$B$100,
    CLASS_DATES!$C$2:$C$100,
    0),
"")</f>
        <v/>
      </c>
    </row>
    <row r="3">
      <c r="A3" s="220" t="s">
        <v>296</v>
      </c>
      <c r="B3" s="190" t="s">
        <v>297</v>
      </c>
      <c r="C3" s="223" t="s">
        <v>51</v>
      </c>
      <c r="D3" s="223" t="s">
        <v>844</v>
      </c>
      <c r="E3" s="190" t="s">
        <v>21</v>
      </c>
      <c r="F3" s="13" t="s">
        <v>927</v>
      </c>
      <c r="G3" s="13" t="s">
        <v>918</v>
      </c>
      <c r="H3" s="219">
        <f>IFERROR(
  MINIFS(ATTENDANCE_LOG!$F:$F,
         ATTENDANCE_LOG!$A:$A, C3,
         ATTENDANCE_LOG!$B:$B, E3),
"")</f>
        <v>45700.41667</v>
      </c>
      <c r="I3" s="190">
        <f>IFERROR(VLOOKUP(F3, LEVEL_HELPER!$A:$B, 2, 0), "")</f>
        <v>1</v>
      </c>
      <c r="J3" s="190">
        <f>IFERROR(VLOOKUP(G3, LEVEL_HELPER!$A:$B, 2, 0), "")</f>
        <v>3</v>
      </c>
      <c r="K3" s="190">
        <f t="shared" ref="K3:L3" si="3">IF(OR(I3="", I3=0), "",
  IF(I3&lt;=2,   1,
  IF(I3&lt;=4,   2,
  IF(I3&lt;=5.5, 3, 4))))</f>
        <v>1</v>
      </c>
      <c r="L3" s="190">
        <f t="shared" si="3"/>
        <v>2</v>
      </c>
      <c r="M3" s="190" t="str">
        <f t="shared" si="4"/>
        <v>Lv1 → Lv2</v>
      </c>
      <c r="N3" s="220" t="s">
        <v>919</v>
      </c>
      <c r="O3" s="220" t="s">
        <v>920</v>
      </c>
      <c r="P3" s="190">
        <f t="shared" si="5"/>
        <v>1</v>
      </c>
      <c r="Q3" s="210">
        <f t="shared" si="6"/>
        <v>3.5</v>
      </c>
      <c r="R3" s="210">
        <f t="shared" ref="R3:S3" si="7">IF(OR(P3="", P3=0), "",
  IF(P3&lt;=2,   1,
  IF(P3&lt;=4,   2,
  IF(P3&lt;=5.5, 3, 4))))</f>
        <v>1</v>
      </c>
      <c r="S3" s="210">
        <f t="shared" si="7"/>
        <v>2</v>
      </c>
      <c r="T3" s="210" t="str">
        <f t="shared" si="8"/>
        <v>Lv1 → Lv2</v>
      </c>
      <c r="U3" s="210">
        <f t="shared" si="9"/>
        <v>1</v>
      </c>
      <c r="V3" s="210"/>
    </row>
    <row r="4">
      <c r="A4" s="220" t="s">
        <v>319</v>
      </c>
      <c r="B4" s="190" t="s">
        <v>320</v>
      </c>
      <c r="C4" s="223" t="s">
        <v>51</v>
      </c>
      <c r="D4" s="223" t="s">
        <v>844</v>
      </c>
      <c r="E4" s="190" t="s">
        <v>21</v>
      </c>
      <c r="F4" s="13" t="s">
        <v>927</v>
      </c>
      <c r="G4" s="13" t="s">
        <v>929</v>
      </c>
      <c r="H4" s="219">
        <f>IFERROR(
  MINIFS(ATTENDANCE_LOG!$F:$F,
         ATTENDANCE_LOG!$A:$A, C4,
         ATTENDANCE_LOG!$B:$B, E4),
"")</f>
        <v>45700.41667</v>
      </c>
      <c r="I4" s="190">
        <f>IFERROR(VLOOKUP(F4, LEVEL_HELPER!$A:$B, 2, 0), "")</f>
        <v>1</v>
      </c>
      <c r="J4" s="190">
        <f>IFERROR(VLOOKUP(G4, LEVEL_HELPER!$A:$B, 2, 0), "")</f>
        <v>1.5</v>
      </c>
      <c r="K4" s="190">
        <f t="shared" ref="K4:L4" si="10">IF(OR(I4="", I4=0), "",
  IF(I4&lt;=2,   1,
  IF(I4&lt;=4,   2,
  IF(I4&lt;=5.5, 3, 4))))</f>
        <v>1</v>
      </c>
      <c r="L4" s="190">
        <f t="shared" si="10"/>
        <v>1</v>
      </c>
      <c r="M4" s="190" t="str">
        <f t="shared" si="4"/>
        <v>Progress within level</v>
      </c>
      <c r="N4" s="220" t="s">
        <v>919</v>
      </c>
      <c r="O4" s="220" t="s">
        <v>920</v>
      </c>
      <c r="P4" s="190">
        <f t="shared" si="5"/>
        <v>1</v>
      </c>
      <c r="Q4" s="210">
        <f t="shared" si="6"/>
        <v>2</v>
      </c>
      <c r="R4" s="210">
        <f t="shared" ref="R4:S4" si="11">IF(OR(P4="", P4=0), "",
  IF(P4&lt;=2,   1,
  IF(P4&lt;=4,   2,
  IF(P4&lt;=5.5, 3, 4))))</f>
        <v>1</v>
      </c>
      <c r="S4" s="210">
        <f t="shared" si="11"/>
        <v>1</v>
      </c>
      <c r="T4" s="210" t="str">
        <f t="shared" si="8"/>
        <v>Progress within level</v>
      </c>
      <c r="U4" s="210">
        <f t="shared" si="9"/>
        <v>1</v>
      </c>
      <c r="V4" s="210"/>
    </row>
    <row r="5">
      <c r="A5" s="220" t="s">
        <v>474</v>
      </c>
      <c r="B5" s="190" t="s">
        <v>475</v>
      </c>
      <c r="C5" s="223" t="s">
        <v>51</v>
      </c>
      <c r="D5" s="223" t="s">
        <v>844</v>
      </c>
      <c r="E5" s="190" t="s">
        <v>21</v>
      </c>
      <c r="F5" s="13" t="s">
        <v>927</v>
      </c>
      <c r="G5" s="13" t="s">
        <v>918</v>
      </c>
      <c r="H5" s="219">
        <f>IFERROR(
  MINIFS(ATTENDANCE_LOG!$F:$F,
         ATTENDANCE_LOG!$A:$A, C5,
         ATTENDANCE_LOG!$B:$B, E5),
"")</f>
        <v>45700.41667</v>
      </c>
      <c r="I5" s="190">
        <f>IFERROR(VLOOKUP(F5, LEVEL_HELPER!$A:$B, 2, 0), "")</f>
        <v>1</v>
      </c>
      <c r="J5" s="190">
        <f>IFERROR(VLOOKUP(G5, LEVEL_HELPER!$A:$B, 2, 0), "")</f>
        <v>3</v>
      </c>
      <c r="K5" s="190">
        <f t="shared" ref="K5:L5" si="12">IF(OR(I5="", I5=0), "",
  IF(I5&lt;=2,   1,
  IF(I5&lt;=4,   2,
  IF(I5&lt;=5.5, 3, 4))))</f>
        <v>1</v>
      </c>
      <c r="L5" s="190">
        <f t="shared" si="12"/>
        <v>2</v>
      </c>
      <c r="M5" s="190" t="str">
        <f t="shared" si="4"/>
        <v>Lv1 → Lv2</v>
      </c>
      <c r="N5" s="220" t="s">
        <v>919</v>
      </c>
      <c r="O5" s="220" t="s">
        <v>920</v>
      </c>
      <c r="P5" s="190">
        <f t="shared" si="5"/>
        <v>1</v>
      </c>
      <c r="Q5" s="210">
        <f t="shared" si="6"/>
        <v>3.5</v>
      </c>
      <c r="R5" s="210">
        <f t="shared" ref="R5:S5" si="13">IF(OR(P5="", P5=0), "",
  IF(P5&lt;=2,   1,
  IF(P5&lt;=4,   2,
  IF(P5&lt;=5.5, 3, 4))))</f>
        <v>1</v>
      </c>
      <c r="S5" s="210">
        <f t="shared" si="13"/>
        <v>2</v>
      </c>
      <c r="T5" s="210" t="str">
        <f t="shared" si="8"/>
        <v>Lv1 → Lv2</v>
      </c>
      <c r="U5" s="210">
        <f t="shared" si="9"/>
        <v>1</v>
      </c>
      <c r="V5" s="210"/>
    </row>
    <row r="6">
      <c r="A6" s="220" t="s">
        <v>657</v>
      </c>
      <c r="B6" s="190" t="s">
        <v>658</v>
      </c>
      <c r="C6" s="223" t="s">
        <v>51</v>
      </c>
      <c r="D6" s="223" t="s">
        <v>844</v>
      </c>
      <c r="E6" s="190" t="s">
        <v>21</v>
      </c>
      <c r="F6" s="13" t="s">
        <v>932</v>
      </c>
      <c r="G6" s="13" t="s">
        <v>932</v>
      </c>
      <c r="H6" s="219">
        <f>IFERROR(
  MINIFS(ATTENDANCE_LOG!$F:$F,
         ATTENDANCE_LOG!$A:$A, C6,
         ATTENDANCE_LOG!$B:$B, E6),
"")</f>
        <v>45700.41667</v>
      </c>
      <c r="I6" s="190">
        <f>IFERROR(VLOOKUP(F6, LEVEL_HELPER!$A:$B, 2, 0), "")</f>
        <v>4.5</v>
      </c>
      <c r="J6" s="190">
        <f>IFERROR(VLOOKUP(G6, LEVEL_HELPER!$A:$B, 2, 0), "")</f>
        <v>4.5</v>
      </c>
      <c r="K6" s="190">
        <f t="shared" ref="K6:L6" si="14">IF(OR(I6="", I6=0), "",
  IF(I6&lt;=2,   1,
  IF(I6&lt;=4,   2,
  IF(I6&lt;=5.5, 3, 4))))</f>
        <v>3</v>
      </c>
      <c r="L6" s="190">
        <f t="shared" si="14"/>
        <v>3</v>
      </c>
      <c r="M6" s="190" t="str">
        <f t="shared" si="4"/>
        <v>No Progress</v>
      </c>
      <c r="N6" s="220" t="s">
        <v>919</v>
      </c>
      <c r="O6" s="220" t="s">
        <v>920</v>
      </c>
      <c r="P6" s="190">
        <f t="shared" si="5"/>
        <v>4.5</v>
      </c>
      <c r="Q6" s="210">
        <f t="shared" si="6"/>
        <v>5.5</v>
      </c>
      <c r="R6" s="210">
        <f t="shared" ref="R6:S6" si="15">IF(OR(P6="", P6=0), "",
  IF(P6&lt;=2,   1,
  IF(P6&lt;=4,   2,
  IF(P6&lt;=5.5, 3, 4))))</f>
        <v>3</v>
      </c>
      <c r="S6" s="210">
        <f t="shared" si="15"/>
        <v>3</v>
      </c>
      <c r="T6" s="210" t="str">
        <f t="shared" si="8"/>
        <v>Progress within level</v>
      </c>
      <c r="U6" s="210">
        <f t="shared" si="9"/>
        <v>1</v>
      </c>
      <c r="V6" s="210"/>
    </row>
    <row r="7">
      <c r="A7" s="220" t="s">
        <v>659</v>
      </c>
      <c r="B7" s="190" t="s">
        <v>660</v>
      </c>
      <c r="C7" s="223" t="s">
        <v>51</v>
      </c>
      <c r="D7" s="223" t="s">
        <v>844</v>
      </c>
      <c r="E7" s="190" t="s">
        <v>21</v>
      </c>
      <c r="F7" s="13" t="s">
        <v>927</v>
      </c>
      <c r="G7" s="13" t="s">
        <v>935</v>
      </c>
      <c r="H7" s="219">
        <f>IFERROR(
  MINIFS(ATTENDANCE_LOG!$F:$F,
         ATTENDANCE_LOG!$A:$A, C7,
         ATTENDANCE_LOG!$B:$B, E7),
"")</f>
        <v>45700.41667</v>
      </c>
      <c r="I7" s="190">
        <f>IFERROR(VLOOKUP(F7, LEVEL_HELPER!$A:$B, 2, 0), "")</f>
        <v>1</v>
      </c>
      <c r="J7" s="190">
        <f>IFERROR(VLOOKUP(G7, LEVEL_HELPER!$A:$B, 2, 0), "")</f>
        <v>3.5</v>
      </c>
      <c r="K7" s="190">
        <f t="shared" ref="K7:L7" si="16">IF(OR(I7="", I7=0), "",
  IF(I7&lt;=2,   1,
  IF(I7&lt;=4,   2,
  IF(I7&lt;=5.5, 3, 4))))</f>
        <v>1</v>
      </c>
      <c r="L7" s="190">
        <f t="shared" si="16"/>
        <v>2</v>
      </c>
      <c r="M7" s="190" t="str">
        <f t="shared" si="4"/>
        <v>Lv1 → Lv2</v>
      </c>
      <c r="N7" s="220" t="s">
        <v>919</v>
      </c>
      <c r="O7" s="220" t="s">
        <v>920</v>
      </c>
      <c r="P7" s="190">
        <f t="shared" si="5"/>
        <v>1</v>
      </c>
      <c r="Q7" s="210">
        <f t="shared" si="6"/>
        <v>5</v>
      </c>
      <c r="R7" s="210">
        <f t="shared" ref="R7:S7" si="17">IF(OR(P7="", P7=0), "",
  IF(P7&lt;=2,   1,
  IF(P7&lt;=4,   2,
  IF(P7&lt;=5.5, 3, 4))))</f>
        <v>1</v>
      </c>
      <c r="S7" s="210">
        <f t="shared" si="17"/>
        <v>3</v>
      </c>
      <c r="T7" s="210" t="str">
        <f t="shared" si="8"/>
        <v>Lv1 → Lv3 (multi)</v>
      </c>
      <c r="U7" s="210">
        <f t="shared" si="9"/>
        <v>1</v>
      </c>
      <c r="V7" s="210"/>
    </row>
    <row r="8">
      <c r="A8" s="247" t="s">
        <v>721</v>
      </c>
      <c r="B8" s="217" t="s">
        <v>722</v>
      </c>
      <c r="C8" s="218" t="s">
        <v>51</v>
      </c>
      <c r="D8" s="218" t="s">
        <v>844</v>
      </c>
      <c r="E8" s="217" t="s">
        <v>22</v>
      </c>
      <c r="F8" s="13" t="s">
        <v>918</v>
      </c>
      <c r="G8" s="13" t="s">
        <v>935</v>
      </c>
      <c r="H8" s="219">
        <f>IFERROR(
  MINIFS(ATTENDANCE_LOG!$F:$F,
         ATTENDANCE_LOG!$A:$A, C8,
         ATTENDANCE_LOG!$B:$B, E8),
"")</f>
        <v>45889.45833</v>
      </c>
      <c r="I8" s="190">
        <f>IFERROR(VLOOKUP(F8, LEVEL_HELPER!$A:$B, 2, 0), "")</f>
        <v>3</v>
      </c>
      <c r="J8" s="190">
        <f>IFERROR(VLOOKUP(G8, LEVEL_HELPER!$A:$B, 2, 0), "")</f>
        <v>3.5</v>
      </c>
      <c r="K8" s="190">
        <f t="shared" ref="K8:L8" si="18">IF(OR(I8="", I8=0), "",
  IF(I8&lt;=2,   1,
  IF(I8&lt;=4,   2,
  IF(I8&lt;=5.5, 3, 4))))</f>
        <v>2</v>
      </c>
      <c r="L8" s="190">
        <f t="shared" si="18"/>
        <v>2</v>
      </c>
      <c r="M8" s="190" t="str">
        <f t="shared" si="4"/>
        <v>Progress within level</v>
      </c>
      <c r="N8" s="220" t="s">
        <v>919</v>
      </c>
      <c r="O8" s="220" t="s">
        <v>920</v>
      </c>
      <c r="P8" s="190">
        <f t="shared" si="5"/>
        <v>2.5</v>
      </c>
      <c r="Q8" s="210">
        <f t="shared" si="6"/>
        <v>3.5</v>
      </c>
      <c r="R8" s="210">
        <f t="shared" ref="R8:S8" si="19">IF(OR(P8="", P8=0), "",
  IF(P8&lt;=2,   1,
  IF(P8&lt;=4,   2,
  IF(P8&lt;=5.5, 3, 4))))</f>
        <v>2</v>
      </c>
      <c r="S8" s="210">
        <f t="shared" si="19"/>
        <v>2</v>
      </c>
      <c r="T8" s="210" t="str">
        <f t="shared" si="8"/>
        <v>Progress within level</v>
      </c>
      <c r="U8" s="210">
        <f t="shared" si="9"/>
        <v>0</v>
      </c>
      <c r="V8" s="210"/>
    </row>
    <row r="9">
      <c r="A9" s="220" t="s">
        <v>296</v>
      </c>
      <c r="B9" s="190" t="s">
        <v>297</v>
      </c>
      <c r="C9" s="223" t="s">
        <v>51</v>
      </c>
      <c r="D9" s="223" t="s">
        <v>844</v>
      </c>
      <c r="E9" s="190" t="s">
        <v>22</v>
      </c>
      <c r="F9" s="13" t="s">
        <v>918</v>
      </c>
      <c r="G9" s="13" t="s">
        <v>935</v>
      </c>
      <c r="H9" s="219">
        <f>IFERROR(
  MINIFS(ATTENDANCE_LOG!$F:$F,
         ATTENDANCE_LOG!$A:$A, C9,
         ATTENDANCE_LOG!$B:$B, E9),
"")</f>
        <v>45889.45833</v>
      </c>
      <c r="I9" s="190">
        <f>IFERROR(VLOOKUP(F9, LEVEL_HELPER!$A:$B, 2, 0), "")</f>
        <v>3</v>
      </c>
      <c r="J9" s="190">
        <f>IFERROR(VLOOKUP(G9, LEVEL_HELPER!$A:$B, 2, 0), "")</f>
        <v>3.5</v>
      </c>
      <c r="K9" s="190">
        <f t="shared" ref="K9:L9" si="20">IF(OR(I9="", I9=0), "",
  IF(I9&lt;=2,   1,
  IF(I9&lt;=4,   2,
  IF(I9&lt;=5.5, 3, 4))))</f>
        <v>2</v>
      </c>
      <c r="L9" s="190">
        <f t="shared" si="20"/>
        <v>2</v>
      </c>
      <c r="M9" s="190" t="str">
        <f t="shared" si="4"/>
        <v>Progress within level</v>
      </c>
      <c r="N9" s="220" t="s">
        <v>919</v>
      </c>
      <c r="O9" s="220" t="s">
        <v>920</v>
      </c>
      <c r="P9" s="190">
        <f t="shared" si="5"/>
        <v>1</v>
      </c>
      <c r="Q9" s="210">
        <f t="shared" si="6"/>
        <v>3.5</v>
      </c>
      <c r="R9" s="210">
        <f t="shared" ref="R9:S9" si="21">IF(OR(P9="", P9=0), "",
  IF(P9&lt;=2,   1,
  IF(P9&lt;=4,   2,
  IF(P9&lt;=5.5, 3, 4))))</f>
        <v>1</v>
      </c>
      <c r="S9" s="210">
        <f t="shared" si="21"/>
        <v>2</v>
      </c>
      <c r="T9" s="210" t="str">
        <f t="shared" si="8"/>
        <v>Lv1 → Lv2</v>
      </c>
      <c r="U9" s="210">
        <f t="shared" si="9"/>
        <v>0</v>
      </c>
      <c r="V9" s="210"/>
    </row>
    <row r="10">
      <c r="A10" s="220" t="s">
        <v>319</v>
      </c>
      <c r="B10" s="190" t="s">
        <v>320</v>
      </c>
      <c r="C10" s="223" t="s">
        <v>51</v>
      </c>
      <c r="D10" s="223" t="s">
        <v>844</v>
      </c>
      <c r="E10" s="190" t="s">
        <v>22</v>
      </c>
      <c r="F10" s="13" t="s">
        <v>929</v>
      </c>
      <c r="G10" s="13" t="s">
        <v>937</v>
      </c>
      <c r="H10" s="219">
        <f>IFERROR(
  MINIFS(ATTENDANCE_LOG!$F:$F,
         ATTENDANCE_LOG!$A:$A, C10,
         ATTENDANCE_LOG!$B:$B, E10),
"")</f>
        <v>45889.45833</v>
      </c>
      <c r="I10" s="190">
        <f>IFERROR(VLOOKUP(F10, LEVEL_HELPER!$A:$B, 2, 0), "")</f>
        <v>1.5</v>
      </c>
      <c r="J10" s="190">
        <f>IFERROR(VLOOKUP(G10, LEVEL_HELPER!$A:$B, 2, 0), "")</f>
        <v>2</v>
      </c>
      <c r="K10" s="190">
        <f t="shared" ref="K10:L10" si="22">IF(OR(I10="", I10=0), "",
  IF(I10&lt;=2,   1,
  IF(I10&lt;=4,   2,
  IF(I10&lt;=5.5, 3, 4))))</f>
        <v>1</v>
      </c>
      <c r="L10" s="190">
        <f t="shared" si="22"/>
        <v>1</v>
      </c>
      <c r="M10" s="190" t="str">
        <f t="shared" si="4"/>
        <v>Progress within level</v>
      </c>
      <c r="N10" s="220" t="s">
        <v>919</v>
      </c>
      <c r="O10" s="220" t="s">
        <v>920</v>
      </c>
      <c r="P10" s="190">
        <f t="shared" si="5"/>
        <v>1</v>
      </c>
      <c r="Q10" s="210">
        <f t="shared" si="6"/>
        <v>2</v>
      </c>
      <c r="R10" s="210">
        <f t="shared" ref="R10:S10" si="23">IF(OR(P10="", P10=0), "",
  IF(P10&lt;=2,   1,
  IF(P10&lt;=4,   2,
  IF(P10&lt;=5.5, 3, 4))))</f>
        <v>1</v>
      </c>
      <c r="S10" s="210">
        <f t="shared" si="23"/>
        <v>1</v>
      </c>
      <c r="T10" s="210" t="str">
        <f t="shared" si="8"/>
        <v>Progress within level</v>
      </c>
      <c r="U10" s="210">
        <f t="shared" si="9"/>
        <v>0</v>
      </c>
      <c r="V10" s="210"/>
    </row>
    <row r="11">
      <c r="A11" s="220" t="s">
        <v>474</v>
      </c>
      <c r="B11" s="190" t="s">
        <v>475</v>
      </c>
      <c r="C11" s="223" t="s">
        <v>51</v>
      </c>
      <c r="D11" s="223" t="s">
        <v>844</v>
      </c>
      <c r="E11" s="190" t="s">
        <v>22</v>
      </c>
      <c r="F11" s="13" t="s">
        <v>918</v>
      </c>
      <c r="G11" s="13" t="s">
        <v>935</v>
      </c>
      <c r="H11" s="219">
        <f>IFERROR(
  MINIFS(ATTENDANCE_LOG!$F:$F,
         ATTENDANCE_LOG!$A:$A, C11,
         ATTENDANCE_LOG!$B:$B, E11),
"")</f>
        <v>45889.45833</v>
      </c>
      <c r="I11" s="190">
        <f>IFERROR(VLOOKUP(F11, LEVEL_HELPER!$A:$B, 2, 0), "")</f>
        <v>3</v>
      </c>
      <c r="J11" s="190">
        <f>IFERROR(VLOOKUP(G11, LEVEL_HELPER!$A:$B, 2, 0), "")</f>
        <v>3.5</v>
      </c>
      <c r="K11" s="190">
        <f t="shared" ref="K11:L11" si="24">IF(OR(I11="", I11=0), "",
  IF(I11&lt;=2,   1,
  IF(I11&lt;=4,   2,
  IF(I11&lt;=5.5, 3, 4))))</f>
        <v>2</v>
      </c>
      <c r="L11" s="190">
        <f t="shared" si="24"/>
        <v>2</v>
      </c>
      <c r="M11" s="190" t="str">
        <f t="shared" si="4"/>
        <v>Progress within level</v>
      </c>
      <c r="N11" s="220" t="s">
        <v>919</v>
      </c>
      <c r="O11" s="220" t="s">
        <v>920</v>
      </c>
      <c r="P11" s="190">
        <f t="shared" si="5"/>
        <v>1</v>
      </c>
      <c r="Q11" s="210">
        <f t="shared" si="6"/>
        <v>3.5</v>
      </c>
      <c r="R11" s="210">
        <f t="shared" ref="R11:S11" si="25">IF(OR(P11="", P11=0), "",
  IF(P11&lt;=2,   1,
  IF(P11&lt;=4,   2,
  IF(P11&lt;=5.5, 3, 4))))</f>
        <v>1</v>
      </c>
      <c r="S11" s="210">
        <f t="shared" si="25"/>
        <v>2</v>
      </c>
      <c r="T11" s="210" t="str">
        <f t="shared" si="8"/>
        <v>Lv1 → Lv2</v>
      </c>
      <c r="U11" s="210">
        <f t="shared" si="9"/>
        <v>0</v>
      </c>
      <c r="V11" s="210"/>
    </row>
    <row r="12">
      <c r="A12" s="220" t="s">
        <v>657</v>
      </c>
      <c r="B12" s="190" t="s">
        <v>658</v>
      </c>
      <c r="C12" s="223" t="s">
        <v>51</v>
      </c>
      <c r="D12" s="223" t="s">
        <v>844</v>
      </c>
      <c r="E12" s="190" t="s">
        <v>22</v>
      </c>
      <c r="F12" s="13" t="s">
        <v>932</v>
      </c>
      <c r="G12" s="13" t="s">
        <v>938</v>
      </c>
      <c r="H12" s="219">
        <f>IFERROR(
  MINIFS(ATTENDANCE_LOG!$F:$F,
         ATTENDANCE_LOG!$A:$A, C12,
         ATTENDANCE_LOG!$B:$B, E12),
"")</f>
        <v>45889.45833</v>
      </c>
      <c r="I12" s="190">
        <f>IFERROR(VLOOKUP(F12, LEVEL_HELPER!$A:$B, 2, 0), "")</f>
        <v>4.5</v>
      </c>
      <c r="J12" s="190">
        <f>IFERROR(VLOOKUP(G12, LEVEL_HELPER!$A:$B, 2, 0), "")</f>
        <v>5.5</v>
      </c>
      <c r="K12" s="190">
        <f t="shared" ref="K12:L12" si="26">IF(OR(I12="", I12=0), "",
  IF(I12&lt;=2,   1,
  IF(I12&lt;=4,   2,
  IF(I12&lt;=5.5, 3, 4))))</f>
        <v>3</v>
      </c>
      <c r="L12" s="190">
        <f t="shared" si="26"/>
        <v>3</v>
      </c>
      <c r="M12" s="190" t="str">
        <f t="shared" si="4"/>
        <v>Progress within level</v>
      </c>
      <c r="N12" s="220" t="s">
        <v>919</v>
      </c>
      <c r="O12" s="220" t="s">
        <v>920</v>
      </c>
      <c r="P12" s="190">
        <f t="shared" si="5"/>
        <v>4.5</v>
      </c>
      <c r="Q12" s="210">
        <f t="shared" si="6"/>
        <v>5.5</v>
      </c>
      <c r="R12" s="210">
        <f t="shared" ref="R12:S12" si="27">IF(OR(P12="", P12=0), "",
  IF(P12&lt;=2,   1,
  IF(P12&lt;=4,   2,
  IF(P12&lt;=5.5, 3, 4))))</f>
        <v>3</v>
      </c>
      <c r="S12" s="210">
        <f t="shared" si="27"/>
        <v>3</v>
      </c>
      <c r="T12" s="210" t="str">
        <f t="shared" si="8"/>
        <v>Progress within level</v>
      </c>
      <c r="U12" s="210">
        <f t="shared" si="9"/>
        <v>0</v>
      </c>
      <c r="V12" s="210"/>
    </row>
    <row r="13">
      <c r="A13" s="220" t="s">
        <v>659</v>
      </c>
      <c r="B13" s="190" t="s">
        <v>660</v>
      </c>
      <c r="C13" s="223" t="s">
        <v>51</v>
      </c>
      <c r="D13" s="223" t="s">
        <v>844</v>
      </c>
      <c r="E13" s="190" t="s">
        <v>22</v>
      </c>
      <c r="F13" s="13" t="s">
        <v>935</v>
      </c>
      <c r="G13" s="13" t="s">
        <v>941</v>
      </c>
      <c r="H13" s="219">
        <f>IFERROR(
  MINIFS(ATTENDANCE_LOG!$F:$F,
         ATTENDANCE_LOG!$A:$A, C13,
         ATTENDANCE_LOG!$B:$B, E13),
"")</f>
        <v>45889.45833</v>
      </c>
      <c r="I13" s="190">
        <f>IFERROR(VLOOKUP(F13, LEVEL_HELPER!$A:$B, 2, 0), "")</f>
        <v>3.5</v>
      </c>
      <c r="J13" s="190">
        <f>IFERROR(VLOOKUP(G13, LEVEL_HELPER!$A:$B, 2, 0), "")</f>
        <v>5</v>
      </c>
      <c r="K13" s="190">
        <f t="shared" ref="K13:L13" si="28">IF(OR(I13="", I13=0), "",
  IF(I13&lt;=2,   1,
  IF(I13&lt;=4,   2,
  IF(I13&lt;=5.5, 3, 4))))</f>
        <v>2</v>
      </c>
      <c r="L13" s="190">
        <f t="shared" si="28"/>
        <v>3</v>
      </c>
      <c r="M13" s="190" t="str">
        <f t="shared" si="4"/>
        <v>Lv2 → Lv3</v>
      </c>
      <c r="N13" s="220" t="s">
        <v>919</v>
      </c>
      <c r="O13" s="220" t="s">
        <v>920</v>
      </c>
      <c r="P13" s="190">
        <f t="shared" si="5"/>
        <v>1</v>
      </c>
      <c r="Q13" s="210">
        <f t="shared" si="6"/>
        <v>5</v>
      </c>
      <c r="R13" s="210">
        <f t="shared" ref="R13:S13" si="29">IF(OR(P13="", P13=0), "",
  IF(P13&lt;=2,   1,
  IF(P13&lt;=4,   2,
  IF(P13&lt;=5.5, 3, 4))))</f>
        <v>1</v>
      </c>
      <c r="S13" s="210">
        <f t="shared" si="29"/>
        <v>3</v>
      </c>
      <c r="T13" s="210" t="str">
        <f t="shared" si="8"/>
        <v>Lv1 → Lv3 (multi)</v>
      </c>
      <c r="U13" s="210">
        <f t="shared" si="9"/>
        <v>0</v>
      </c>
      <c r="V13" s="210"/>
    </row>
    <row r="14">
      <c r="A14" s="247" t="s">
        <v>721</v>
      </c>
      <c r="B14" s="217" t="s">
        <v>722</v>
      </c>
      <c r="C14" s="218" t="s">
        <v>51</v>
      </c>
      <c r="D14" s="218" t="s">
        <v>844</v>
      </c>
      <c r="E14" s="217" t="s">
        <v>24</v>
      </c>
      <c r="F14" s="190"/>
      <c r="G14" s="190"/>
      <c r="H14" s="219">
        <f>IFERROR(
  MINIFS(ATTENDANCE_LOG!$F:$F,
         ATTENDANCE_LOG!$A:$A, C14,
         ATTENDANCE_LOG!$B:$B, E14),
"")</f>
        <v>46084.54167</v>
      </c>
      <c r="I14" s="190" t="str">
        <f>IFERROR(VLOOKUP(F14, LEVEL_HELPER!$A:$B, 2, 0), "")</f>
        <v/>
      </c>
      <c r="J14" s="190" t="str">
        <f>IFERROR(VLOOKUP(G14, LEVEL_HELPER!$A:$B, 2, 0), "")</f>
        <v/>
      </c>
      <c r="K14" s="190" t="str">
        <f t="shared" ref="K14:L14" si="30">IF(OR(I14="", I14=0), "",
  IF(I14&lt;=2,   1,
  IF(I14&lt;=4,   2,
  IF(I14&lt;=5.5, 3, 4))))</f>
        <v/>
      </c>
      <c r="L14" s="190" t="str">
        <f t="shared" si="30"/>
        <v/>
      </c>
      <c r="M14" s="190" t="str">
        <f t="shared" si="4"/>
        <v>No Data</v>
      </c>
      <c r="N14" s="220" t="s">
        <v>919</v>
      </c>
      <c r="O14" s="220" t="s">
        <v>920</v>
      </c>
      <c r="P14" s="190">
        <f t="shared" si="5"/>
        <v>2.5</v>
      </c>
      <c r="Q14" s="210">
        <f t="shared" si="6"/>
        <v>3.5</v>
      </c>
      <c r="R14" s="210">
        <f t="shared" ref="R14:S14" si="31">IF(OR(P14="", P14=0), "",
  IF(P14&lt;=2,   1,
  IF(P14&lt;=4,   2,
  IF(P14&lt;=5.5, 3, 4))))</f>
        <v>2</v>
      </c>
      <c r="S14" s="210">
        <f t="shared" si="31"/>
        <v>2</v>
      </c>
      <c r="T14" s="210" t="str">
        <f t="shared" si="8"/>
        <v>Progress within level</v>
      </c>
      <c r="U14" s="210">
        <f t="shared" si="9"/>
        <v>0</v>
      </c>
      <c r="V14" s="210"/>
    </row>
    <row r="15">
      <c r="A15" s="220" t="s">
        <v>657</v>
      </c>
      <c r="B15" s="190" t="s">
        <v>658</v>
      </c>
      <c r="C15" s="223" t="s">
        <v>51</v>
      </c>
      <c r="D15" s="223" t="s">
        <v>844</v>
      </c>
      <c r="E15" s="190" t="s">
        <v>24</v>
      </c>
      <c r="F15" s="190"/>
      <c r="G15" s="190"/>
      <c r="H15" s="219">
        <f>IFERROR(
  MINIFS(ATTENDANCE_LOG!$F:$F,
         ATTENDANCE_LOG!$A:$A, C15,
         ATTENDANCE_LOG!$B:$B, E15),
"")</f>
        <v>46084.54167</v>
      </c>
      <c r="I15" s="190" t="str">
        <f>IFERROR(VLOOKUP(F15, LEVEL_HELPER!$A:$B, 2, 0), "")</f>
        <v/>
      </c>
      <c r="J15" s="190" t="str">
        <f>IFERROR(VLOOKUP(G15, LEVEL_HELPER!$A:$B, 2, 0), "")</f>
        <v/>
      </c>
      <c r="K15" s="190" t="str">
        <f t="shared" ref="K15:L15" si="32">IF(OR(I15="", I15=0), "",
  IF(I15&lt;=2,   1,
  IF(I15&lt;=4,   2,
  IF(I15&lt;=5.5, 3, 4))))</f>
        <v/>
      </c>
      <c r="L15" s="190" t="str">
        <f t="shared" si="32"/>
        <v/>
      </c>
      <c r="M15" s="190" t="str">
        <f t="shared" si="4"/>
        <v>No Data</v>
      </c>
      <c r="N15" s="220" t="s">
        <v>919</v>
      </c>
      <c r="O15" s="220" t="s">
        <v>920</v>
      </c>
      <c r="P15" s="190">
        <f t="shared" si="5"/>
        <v>4.5</v>
      </c>
      <c r="Q15" s="210">
        <f t="shared" si="6"/>
        <v>5.5</v>
      </c>
      <c r="R15" s="210">
        <f t="shared" ref="R15:S15" si="33">IF(OR(P15="", P15=0), "",
  IF(P15&lt;=2,   1,
  IF(P15&lt;=4,   2,
  IF(P15&lt;=5.5, 3, 4))))</f>
        <v>3</v>
      </c>
      <c r="S15" s="210">
        <f t="shared" si="33"/>
        <v>3</v>
      </c>
      <c r="T15" s="210" t="str">
        <f t="shared" si="8"/>
        <v>Progress within level</v>
      </c>
      <c r="U15" s="210">
        <f t="shared" si="9"/>
        <v>0</v>
      </c>
      <c r="V15" s="210"/>
    </row>
    <row r="16">
      <c r="A16" s="220" t="s">
        <v>659</v>
      </c>
      <c r="B16" s="190" t="s">
        <v>660</v>
      </c>
      <c r="C16" s="223" t="s">
        <v>51</v>
      </c>
      <c r="D16" s="223" t="s">
        <v>844</v>
      </c>
      <c r="E16" s="190" t="s">
        <v>24</v>
      </c>
      <c r="F16" s="190"/>
      <c r="G16" s="190"/>
      <c r="H16" s="219">
        <f>IFERROR(
  MINIFS(ATTENDANCE_LOG!$F:$F,
         ATTENDANCE_LOG!$A:$A, C16,
         ATTENDANCE_LOG!$B:$B, E16),
"")</f>
        <v>46084.54167</v>
      </c>
      <c r="I16" s="190" t="str">
        <f>IFERROR(VLOOKUP(F16, LEVEL_HELPER!$A:$B, 2, 0), "")</f>
        <v/>
      </c>
      <c r="J16" s="190" t="str">
        <f>IFERROR(VLOOKUP(G16, LEVEL_HELPER!$A:$B, 2, 0), "")</f>
        <v/>
      </c>
      <c r="K16" s="190" t="str">
        <f t="shared" ref="K16:L16" si="34">IF(OR(I16="", I16=0), "",
  IF(I16&lt;=2,   1,
  IF(I16&lt;=4,   2,
  IF(I16&lt;=5.5, 3, 4))))</f>
        <v/>
      </c>
      <c r="L16" s="190" t="str">
        <f t="shared" si="34"/>
        <v/>
      </c>
      <c r="M16" s="190" t="str">
        <f t="shared" si="4"/>
        <v>No Data</v>
      </c>
      <c r="N16" s="220" t="s">
        <v>919</v>
      </c>
      <c r="O16" s="220" t="s">
        <v>920</v>
      </c>
      <c r="P16" s="190">
        <f t="shared" si="5"/>
        <v>1</v>
      </c>
      <c r="Q16" s="210">
        <f t="shared" si="6"/>
        <v>5</v>
      </c>
      <c r="R16" s="210">
        <f t="shared" ref="R16:S16" si="35">IF(OR(P16="", P16=0), "",
  IF(P16&lt;=2,   1,
  IF(P16&lt;=4,   2,
  IF(P16&lt;=5.5, 3, 4))))</f>
        <v>1</v>
      </c>
      <c r="S16" s="210">
        <f t="shared" si="35"/>
        <v>3</v>
      </c>
      <c r="T16" s="210" t="str">
        <f t="shared" si="8"/>
        <v>Lv1 → Lv3 (multi)</v>
      </c>
      <c r="U16" s="210">
        <f t="shared" si="9"/>
        <v>0</v>
      </c>
      <c r="V16" s="210"/>
    </row>
    <row r="17">
      <c r="A17" s="247" t="s">
        <v>170</v>
      </c>
      <c r="B17" s="217" t="s">
        <v>171</v>
      </c>
      <c r="C17" s="218" t="s">
        <v>52</v>
      </c>
      <c r="D17" s="218" t="s">
        <v>846</v>
      </c>
      <c r="E17" s="217" t="s">
        <v>21</v>
      </c>
      <c r="F17" s="13" t="s">
        <v>917</v>
      </c>
      <c r="G17" s="190"/>
      <c r="H17" s="219">
        <f>IFERROR(
  MINIFS(ATTENDANCE_LOG!$F:$F,
         ATTENDANCE_LOG!$A:$A, C17,
         ATTENDANCE_LOG!$B:$B, E17),
"")</f>
        <v>45715.41667</v>
      </c>
      <c r="I17" s="190">
        <f>IFERROR(VLOOKUP(F17, LEVEL_HELPER!$A:$B, 2, 0), "")</f>
        <v>2.5</v>
      </c>
      <c r="J17" s="190" t="str">
        <f>IFERROR(VLOOKUP(G17, LEVEL_HELPER!$A:$B, 2, 0), "")</f>
        <v/>
      </c>
      <c r="K17" s="190">
        <f t="shared" ref="K17:L17" si="36">IF(OR(I17="", I17=0), "",
  IF(I17&lt;=2,   1,
  IF(I17&lt;=4,   2,
  IF(I17&lt;=5.5, 3, 4))))</f>
        <v>2</v>
      </c>
      <c r="L17" s="190" t="str">
        <f t="shared" si="36"/>
        <v/>
      </c>
      <c r="M17" s="190" t="str">
        <f t="shared" si="4"/>
        <v>No Data</v>
      </c>
      <c r="N17" s="220" t="s">
        <v>942</v>
      </c>
      <c r="O17" s="229" t="s">
        <v>922</v>
      </c>
      <c r="P17" s="190">
        <f t="shared" si="5"/>
        <v>2.5</v>
      </c>
      <c r="Q17" s="210">
        <f t="shared" si="6"/>
        <v>0</v>
      </c>
      <c r="R17" s="210">
        <f t="shared" ref="R17:S17" si="37">IF(OR(P17="", P17=0), "",
  IF(P17&lt;=2,   1,
  IF(P17&lt;=4,   2,
  IF(P17&lt;=5.5, 3, 4))))</f>
        <v>2</v>
      </c>
      <c r="S17" s="210" t="str">
        <f t="shared" si="37"/>
        <v/>
      </c>
      <c r="T17" s="210" t="str">
        <f t="shared" si="8"/>
        <v>No Data</v>
      </c>
      <c r="U17" s="210">
        <f t="shared" si="9"/>
        <v>1</v>
      </c>
      <c r="V17" s="210"/>
    </row>
    <row r="18">
      <c r="A18" s="220" t="s">
        <v>196</v>
      </c>
      <c r="B18" s="190" t="s">
        <v>197</v>
      </c>
      <c r="C18" s="223" t="s">
        <v>52</v>
      </c>
      <c r="D18" s="223" t="s">
        <v>846</v>
      </c>
      <c r="E18" s="190" t="s">
        <v>21</v>
      </c>
      <c r="F18" s="13" t="s">
        <v>927</v>
      </c>
      <c r="G18" s="13" t="s">
        <v>932</v>
      </c>
      <c r="H18" s="219">
        <f>IFERROR(
  MINIFS(ATTENDANCE_LOG!$F:$F,
         ATTENDANCE_LOG!$A:$A, C18,
         ATTENDANCE_LOG!$B:$B, E18),
"")</f>
        <v>45715.41667</v>
      </c>
      <c r="I18" s="190">
        <f>IFERROR(VLOOKUP(F18, LEVEL_HELPER!$A:$B, 2, 0), "")</f>
        <v>1</v>
      </c>
      <c r="J18" s="190">
        <f>IFERROR(VLOOKUP(G18, LEVEL_HELPER!$A:$B, 2, 0), "")</f>
        <v>4.5</v>
      </c>
      <c r="K18" s="190">
        <f t="shared" ref="K18:L18" si="38">IF(OR(I18="", I18=0), "",
  IF(I18&lt;=2,   1,
  IF(I18&lt;=4,   2,
  IF(I18&lt;=5.5, 3, 4))))</f>
        <v>1</v>
      </c>
      <c r="L18" s="190">
        <f t="shared" si="38"/>
        <v>3</v>
      </c>
      <c r="M18" s="190" t="str">
        <f t="shared" si="4"/>
        <v>Lv1 → Lv3 (+2)</v>
      </c>
      <c r="N18" s="220" t="s">
        <v>943</v>
      </c>
      <c r="O18" s="229" t="s">
        <v>922</v>
      </c>
      <c r="P18" s="190">
        <f t="shared" si="5"/>
        <v>1</v>
      </c>
      <c r="Q18" s="210">
        <f t="shared" si="6"/>
        <v>4.5</v>
      </c>
      <c r="R18" s="210">
        <f t="shared" ref="R18:S18" si="39">IF(OR(P18="", P18=0), "",
  IF(P18&lt;=2,   1,
  IF(P18&lt;=4,   2,
  IF(P18&lt;=5.5, 3, 4))))</f>
        <v>1</v>
      </c>
      <c r="S18" s="210">
        <f t="shared" si="39"/>
        <v>3</v>
      </c>
      <c r="T18" s="210" t="str">
        <f t="shared" si="8"/>
        <v>Lv1 → Lv3 (multi)</v>
      </c>
      <c r="U18" s="210">
        <f t="shared" si="9"/>
        <v>1</v>
      </c>
      <c r="V18" s="210"/>
    </row>
    <row r="19">
      <c r="A19" s="220" t="s">
        <v>328</v>
      </c>
      <c r="B19" s="190" t="s">
        <v>329</v>
      </c>
      <c r="C19" s="223" t="s">
        <v>52</v>
      </c>
      <c r="D19" s="223" t="s">
        <v>846</v>
      </c>
      <c r="E19" s="190" t="s">
        <v>21</v>
      </c>
      <c r="F19" s="13" t="s">
        <v>927</v>
      </c>
      <c r="G19" s="13" t="s">
        <v>918</v>
      </c>
      <c r="H19" s="219">
        <f>IFERROR(
  MINIFS(ATTENDANCE_LOG!$F:$F,
         ATTENDANCE_LOG!$A:$A, C19,
         ATTENDANCE_LOG!$B:$B, E19),
"")</f>
        <v>45715.41667</v>
      </c>
      <c r="I19" s="190">
        <f>IFERROR(VLOOKUP(F19, LEVEL_HELPER!$A:$B, 2, 0), "")</f>
        <v>1</v>
      </c>
      <c r="J19" s="190">
        <f>IFERROR(VLOOKUP(G19, LEVEL_HELPER!$A:$B, 2, 0), "")</f>
        <v>3</v>
      </c>
      <c r="K19" s="190">
        <f t="shared" ref="K19:L19" si="40">IF(OR(I19="", I19=0), "",
  IF(I19&lt;=2,   1,
  IF(I19&lt;=4,   2,
  IF(I19&lt;=5.5, 3, 4))))</f>
        <v>1</v>
      </c>
      <c r="L19" s="190">
        <f t="shared" si="40"/>
        <v>2</v>
      </c>
      <c r="M19" s="190" t="str">
        <f t="shared" si="4"/>
        <v>Lv1 → Lv2</v>
      </c>
      <c r="N19" s="220" t="s">
        <v>943</v>
      </c>
      <c r="O19" s="229" t="s">
        <v>922</v>
      </c>
      <c r="P19" s="190">
        <f t="shared" si="5"/>
        <v>1</v>
      </c>
      <c r="Q19" s="210">
        <f t="shared" si="6"/>
        <v>3</v>
      </c>
      <c r="R19" s="210">
        <f t="shared" ref="R19:S19" si="41">IF(OR(P19="", P19=0), "",
  IF(P19&lt;=2,   1,
  IF(P19&lt;=4,   2,
  IF(P19&lt;=5.5, 3, 4))))</f>
        <v>1</v>
      </c>
      <c r="S19" s="210">
        <f t="shared" si="41"/>
        <v>2</v>
      </c>
      <c r="T19" s="210" t="str">
        <f t="shared" si="8"/>
        <v>Lv1 → Lv2</v>
      </c>
      <c r="U19" s="210">
        <f t="shared" si="9"/>
        <v>1</v>
      </c>
      <c r="V19" s="210"/>
    </row>
    <row r="20">
      <c r="A20" s="220" t="s">
        <v>506</v>
      </c>
      <c r="B20" s="190" t="s">
        <v>507</v>
      </c>
      <c r="C20" s="223" t="s">
        <v>52</v>
      </c>
      <c r="D20" s="223" t="s">
        <v>846</v>
      </c>
      <c r="E20" s="190" t="s">
        <v>21</v>
      </c>
      <c r="F20" s="13" t="s">
        <v>927</v>
      </c>
      <c r="G20" s="190"/>
      <c r="H20" s="219">
        <f>IFERROR(
  MINIFS(ATTENDANCE_LOG!$F:$F,
         ATTENDANCE_LOG!$A:$A, C20,
         ATTENDANCE_LOG!$B:$B, E20),
"")</f>
        <v>45715.41667</v>
      </c>
      <c r="I20" s="190">
        <f>IFERROR(VLOOKUP(F20, LEVEL_HELPER!$A:$B, 2, 0), "")</f>
        <v>1</v>
      </c>
      <c r="J20" s="190" t="str">
        <f>IFERROR(VLOOKUP(G20, LEVEL_HELPER!$A:$B, 2, 0), "")</f>
        <v/>
      </c>
      <c r="K20" s="190">
        <f t="shared" ref="K20:L20" si="42">IF(OR(I20="", I20=0), "",
  IF(I20&lt;=2,   1,
  IF(I20&lt;=4,   2,
  IF(I20&lt;=5.5, 3, 4))))</f>
        <v>1</v>
      </c>
      <c r="L20" s="190" t="str">
        <f t="shared" si="42"/>
        <v/>
      </c>
      <c r="M20" s="190" t="str">
        <f t="shared" si="4"/>
        <v>No Data</v>
      </c>
      <c r="N20" s="220" t="s">
        <v>944</v>
      </c>
      <c r="O20" s="229" t="s">
        <v>922</v>
      </c>
      <c r="P20" s="190">
        <f t="shared" si="5"/>
        <v>1</v>
      </c>
      <c r="Q20" s="210">
        <f t="shared" si="6"/>
        <v>0</v>
      </c>
      <c r="R20" s="210">
        <f t="shared" ref="R20:S20" si="43">IF(OR(P20="", P20=0), "",
  IF(P20&lt;=2,   1,
  IF(P20&lt;=4,   2,
  IF(P20&lt;=5.5, 3, 4))))</f>
        <v>1</v>
      </c>
      <c r="S20" s="210" t="str">
        <f t="shared" si="43"/>
        <v/>
      </c>
      <c r="T20" s="210" t="str">
        <f t="shared" si="8"/>
        <v>No Data</v>
      </c>
      <c r="U20" s="210">
        <f t="shared" si="9"/>
        <v>1</v>
      </c>
      <c r="V20" s="210"/>
    </row>
    <row r="21">
      <c r="A21" s="220" t="s">
        <v>605</v>
      </c>
      <c r="B21" s="190" t="s">
        <v>606</v>
      </c>
      <c r="C21" s="223" t="s">
        <v>52</v>
      </c>
      <c r="D21" s="223" t="s">
        <v>846</v>
      </c>
      <c r="E21" s="190" t="s">
        <v>21</v>
      </c>
      <c r="F21" s="13" t="s">
        <v>927</v>
      </c>
      <c r="G21" s="190"/>
      <c r="H21" s="219">
        <f>IFERROR(
  MINIFS(ATTENDANCE_LOG!$F:$F,
         ATTENDANCE_LOG!$A:$A, C21,
         ATTENDANCE_LOG!$B:$B, E21),
"")</f>
        <v>45715.41667</v>
      </c>
      <c r="I21" s="190">
        <f>IFERROR(VLOOKUP(F21, LEVEL_HELPER!$A:$B, 2, 0), "")</f>
        <v>1</v>
      </c>
      <c r="J21" s="190" t="str">
        <f>IFERROR(VLOOKUP(G21, LEVEL_HELPER!$A:$B, 2, 0), "")</f>
        <v/>
      </c>
      <c r="K21" s="190">
        <f t="shared" ref="K21:L21" si="44">IF(OR(I21="", I21=0), "",
  IF(I21&lt;=2,   1,
  IF(I21&lt;=4,   2,
  IF(I21&lt;=5.5, 3, 4))))</f>
        <v>1</v>
      </c>
      <c r="L21" s="190" t="str">
        <f t="shared" si="44"/>
        <v/>
      </c>
      <c r="M21" s="190" t="str">
        <f t="shared" si="4"/>
        <v>No Data</v>
      </c>
      <c r="N21" s="220" t="s">
        <v>943</v>
      </c>
      <c r="O21" s="220" t="s">
        <v>923</v>
      </c>
      <c r="P21" s="190">
        <f t="shared" si="5"/>
        <v>1</v>
      </c>
      <c r="Q21" s="210">
        <f t="shared" si="6"/>
        <v>0</v>
      </c>
      <c r="R21" s="210">
        <f t="shared" ref="R21:S21" si="45">IF(OR(P21="", P21=0), "",
  IF(P21&lt;=2,   1,
  IF(P21&lt;=4,   2,
  IF(P21&lt;=5.5, 3, 4))))</f>
        <v>1</v>
      </c>
      <c r="S21" s="210" t="str">
        <f t="shared" si="45"/>
        <v/>
      </c>
      <c r="T21" s="210" t="str">
        <f t="shared" si="8"/>
        <v>No Data</v>
      </c>
      <c r="U21" s="210">
        <f t="shared" si="9"/>
        <v>1</v>
      </c>
      <c r="V21" s="210"/>
    </row>
    <row r="22">
      <c r="A22" s="220" t="s">
        <v>677</v>
      </c>
      <c r="B22" s="190" t="s">
        <v>678</v>
      </c>
      <c r="C22" s="223" t="s">
        <v>52</v>
      </c>
      <c r="D22" s="223" t="s">
        <v>846</v>
      </c>
      <c r="E22" s="190" t="s">
        <v>21</v>
      </c>
      <c r="F22" s="13" t="s">
        <v>927</v>
      </c>
      <c r="G22" s="13" t="s">
        <v>918</v>
      </c>
      <c r="H22" s="219">
        <f>IFERROR(
  MINIFS(ATTENDANCE_LOG!$F:$F,
         ATTENDANCE_LOG!$A:$A, C22,
         ATTENDANCE_LOG!$B:$B, E22),
"")</f>
        <v>45715.41667</v>
      </c>
      <c r="I22" s="190">
        <f>IFERROR(VLOOKUP(F22, LEVEL_HELPER!$A:$B, 2, 0), "")</f>
        <v>1</v>
      </c>
      <c r="J22" s="190">
        <f>IFERROR(VLOOKUP(G22, LEVEL_HELPER!$A:$B, 2, 0), "")</f>
        <v>3</v>
      </c>
      <c r="K22" s="190">
        <f t="shared" ref="K22:L22" si="46">IF(OR(I22="", I22=0), "",
  IF(I22&lt;=2,   1,
  IF(I22&lt;=4,   2,
  IF(I22&lt;=5.5, 3, 4))))</f>
        <v>1</v>
      </c>
      <c r="L22" s="190">
        <f t="shared" si="46"/>
        <v>2</v>
      </c>
      <c r="M22" s="190" t="str">
        <f t="shared" si="4"/>
        <v>Lv1 → Lv2</v>
      </c>
      <c r="N22" s="220" t="s">
        <v>943</v>
      </c>
      <c r="O22" s="229" t="s">
        <v>922</v>
      </c>
      <c r="P22" s="190">
        <f t="shared" si="5"/>
        <v>1</v>
      </c>
      <c r="Q22" s="210">
        <f t="shared" si="6"/>
        <v>3</v>
      </c>
      <c r="R22" s="210">
        <f t="shared" ref="R22:S22" si="47">IF(OR(P22="", P22=0), "",
  IF(P22&lt;=2,   1,
  IF(P22&lt;=4,   2,
  IF(P22&lt;=5.5, 3, 4))))</f>
        <v>1</v>
      </c>
      <c r="S22" s="210">
        <f t="shared" si="47"/>
        <v>2</v>
      </c>
      <c r="T22" s="210" t="str">
        <f t="shared" si="8"/>
        <v>Lv1 → Lv2</v>
      </c>
      <c r="U22" s="210">
        <f t="shared" si="9"/>
        <v>1</v>
      </c>
      <c r="V22" s="210"/>
    </row>
    <row r="23">
      <c r="A23" s="220" t="s">
        <v>687</v>
      </c>
      <c r="B23" s="190" t="s">
        <v>688</v>
      </c>
      <c r="C23" s="223" t="s">
        <v>52</v>
      </c>
      <c r="D23" s="223" t="s">
        <v>846</v>
      </c>
      <c r="E23" s="190" t="s">
        <v>21</v>
      </c>
      <c r="F23" s="13" t="s">
        <v>927</v>
      </c>
      <c r="G23" s="13" t="s">
        <v>918</v>
      </c>
      <c r="H23" s="219">
        <f>IFERROR(
  MINIFS(ATTENDANCE_LOG!$F:$F,
         ATTENDANCE_LOG!$A:$A, C23,
         ATTENDANCE_LOG!$B:$B, E23),
"")</f>
        <v>45715.41667</v>
      </c>
      <c r="I23" s="190">
        <f>IFERROR(VLOOKUP(F23, LEVEL_HELPER!$A:$B, 2, 0), "")</f>
        <v>1</v>
      </c>
      <c r="J23" s="190">
        <f>IFERROR(VLOOKUP(G23, LEVEL_HELPER!$A:$B, 2, 0), "")</f>
        <v>3</v>
      </c>
      <c r="K23" s="190">
        <f t="shared" ref="K23:L23" si="48">IF(OR(I23="", I23=0), "",
  IF(I23&lt;=2,   1,
  IF(I23&lt;=4,   2,
  IF(I23&lt;=5.5, 3, 4))))</f>
        <v>1</v>
      </c>
      <c r="L23" s="190">
        <f t="shared" si="48"/>
        <v>2</v>
      </c>
      <c r="M23" s="190" t="str">
        <f t="shared" si="4"/>
        <v>Lv1 → Lv2</v>
      </c>
      <c r="N23" s="220" t="s">
        <v>943</v>
      </c>
      <c r="O23" s="229" t="s">
        <v>922</v>
      </c>
      <c r="P23" s="190">
        <f t="shared" si="5"/>
        <v>1</v>
      </c>
      <c r="Q23" s="210">
        <f t="shared" si="6"/>
        <v>3</v>
      </c>
      <c r="R23" s="210">
        <f t="shared" ref="R23:S23" si="49">IF(OR(P23="", P23=0), "",
  IF(P23&lt;=2,   1,
  IF(P23&lt;=4,   2,
  IF(P23&lt;=5.5, 3, 4))))</f>
        <v>1</v>
      </c>
      <c r="S23" s="210">
        <f t="shared" si="49"/>
        <v>2</v>
      </c>
      <c r="T23" s="210" t="str">
        <f t="shared" si="8"/>
        <v>Lv1 → Lv2</v>
      </c>
      <c r="U23" s="210">
        <f t="shared" si="9"/>
        <v>1</v>
      </c>
      <c r="V23" s="210"/>
    </row>
    <row r="24">
      <c r="A24" s="220" t="s">
        <v>701</v>
      </c>
      <c r="B24" s="190" t="s">
        <v>702</v>
      </c>
      <c r="C24" s="223" t="s">
        <v>52</v>
      </c>
      <c r="D24" s="223" t="s">
        <v>846</v>
      </c>
      <c r="E24" s="190" t="s">
        <v>21</v>
      </c>
      <c r="F24" s="13" t="s">
        <v>927</v>
      </c>
      <c r="G24" s="13" t="s">
        <v>935</v>
      </c>
      <c r="H24" s="219">
        <f>IFERROR(
  MINIFS(ATTENDANCE_LOG!$F:$F,
         ATTENDANCE_LOG!$A:$A, C24,
         ATTENDANCE_LOG!$B:$B, E24),
"")</f>
        <v>45715.41667</v>
      </c>
      <c r="I24" s="190">
        <f>IFERROR(VLOOKUP(F24, LEVEL_HELPER!$A:$B, 2, 0), "")</f>
        <v>1</v>
      </c>
      <c r="J24" s="190">
        <f>IFERROR(VLOOKUP(G24, LEVEL_HELPER!$A:$B, 2, 0), "")</f>
        <v>3.5</v>
      </c>
      <c r="K24" s="190">
        <f t="shared" ref="K24:L24" si="50">IF(OR(I24="", I24=0), "",
  IF(I24&lt;=2,   1,
  IF(I24&lt;=4,   2,
  IF(I24&lt;=5.5, 3, 4))))</f>
        <v>1</v>
      </c>
      <c r="L24" s="190">
        <f t="shared" si="50"/>
        <v>2</v>
      </c>
      <c r="M24" s="190" t="str">
        <f t="shared" si="4"/>
        <v>Lv1 → Lv2</v>
      </c>
      <c r="N24" s="220" t="s">
        <v>943</v>
      </c>
      <c r="O24" s="229" t="s">
        <v>922</v>
      </c>
      <c r="P24" s="190">
        <f t="shared" si="5"/>
        <v>1</v>
      </c>
      <c r="Q24" s="210">
        <f t="shared" si="6"/>
        <v>3.5</v>
      </c>
      <c r="R24" s="210">
        <f t="shared" ref="R24:S24" si="51">IF(OR(P24="", P24=0), "",
  IF(P24&lt;=2,   1,
  IF(P24&lt;=4,   2,
  IF(P24&lt;=5.5, 3, 4))))</f>
        <v>1</v>
      </c>
      <c r="S24" s="210">
        <f t="shared" si="51"/>
        <v>2</v>
      </c>
      <c r="T24" s="210" t="str">
        <f t="shared" si="8"/>
        <v>Lv1 → Lv2</v>
      </c>
      <c r="U24" s="210">
        <f t="shared" si="9"/>
        <v>1</v>
      </c>
      <c r="V24" s="210"/>
    </row>
    <row r="25">
      <c r="A25" s="247" t="s">
        <v>534</v>
      </c>
      <c r="B25" s="217" t="s">
        <v>535</v>
      </c>
      <c r="C25" s="218" t="s">
        <v>53</v>
      </c>
      <c r="D25" s="218" t="s">
        <v>847</v>
      </c>
      <c r="E25" s="217" t="s">
        <v>21</v>
      </c>
      <c r="F25" s="13" t="s">
        <v>927</v>
      </c>
      <c r="G25" s="13" t="s">
        <v>918</v>
      </c>
      <c r="H25" s="219">
        <f>IFERROR(
  MINIFS(ATTENDANCE_LOG!$F:$F,
         ATTENDANCE_LOG!$A:$A, C25,
         ATTENDANCE_LOG!$B:$B, E25),
"")</f>
        <v>45715.45833</v>
      </c>
      <c r="I25" s="190">
        <f>IFERROR(VLOOKUP(F25, LEVEL_HELPER!$A:$B, 2, 0), "")</f>
        <v>1</v>
      </c>
      <c r="J25" s="190">
        <f>IFERROR(VLOOKUP(G25, LEVEL_HELPER!$A:$B, 2, 0), "")</f>
        <v>3</v>
      </c>
      <c r="K25" s="190">
        <f t="shared" ref="K25:L25" si="52">IF(OR(I25="", I25=0), "",
  IF(I25&lt;=2,   1,
  IF(I25&lt;=4,   2,
  IF(I25&lt;=5.5, 3, 4))))</f>
        <v>1</v>
      </c>
      <c r="L25" s="190">
        <f t="shared" si="52"/>
        <v>2</v>
      </c>
      <c r="M25" s="190" t="str">
        <f t="shared" si="4"/>
        <v>Lv1 → Lv2</v>
      </c>
      <c r="N25" s="220" t="s">
        <v>919</v>
      </c>
      <c r="O25" s="220" t="s">
        <v>923</v>
      </c>
      <c r="P25" s="190">
        <f t="shared" si="5"/>
        <v>1</v>
      </c>
      <c r="Q25" s="210">
        <f t="shared" si="6"/>
        <v>3</v>
      </c>
      <c r="R25" s="210">
        <f t="shared" ref="R25:S25" si="53">IF(OR(P25="", P25=0), "",
  IF(P25&lt;=2,   1,
  IF(P25&lt;=4,   2,
  IF(P25&lt;=5.5, 3, 4))))</f>
        <v>1</v>
      </c>
      <c r="S25" s="210">
        <f t="shared" si="53"/>
        <v>2</v>
      </c>
      <c r="T25" s="210" t="str">
        <f t="shared" si="8"/>
        <v>Lv1 → Lv2</v>
      </c>
      <c r="U25" s="210">
        <f t="shared" si="9"/>
        <v>1</v>
      </c>
      <c r="V25" s="210"/>
    </row>
    <row r="26">
      <c r="A26" s="220" t="s">
        <v>325</v>
      </c>
      <c r="B26" s="190" t="s">
        <v>326</v>
      </c>
      <c r="C26" s="223" t="s">
        <v>53</v>
      </c>
      <c r="D26" s="223" t="s">
        <v>847</v>
      </c>
      <c r="E26" s="190" t="s">
        <v>21</v>
      </c>
      <c r="F26" s="13" t="s">
        <v>927</v>
      </c>
      <c r="G26" s="13" t="s">
        <v>927</v>
      </c>
      <c r="H26" s="219">
        <f>IFERROR(
  MINIFS(ATTENDANCE_LOG!$F:$F,
         ATTENDANCE_LOG!$A:$A, C26,
         ATTENDANCE_LOG!$B:$B, E26),
"")</f>
        <v>45715.45833</v>
      </c>
      <c r="I26" s="190">
        <f>IFERROR(VLOOKUP(F26, LEVEL_HELPER!$A:$B, 2, 0), "")</f>
        <v>1</v>
      </c>
      <c r="J26" s="190">
        <f>IFERROR(VLOOKUP(G26, LEVEL_HELPER!$A:$B, 2, 0), "")</f>
        <v>1</v>
      </c>
      <c r="K26" s="190">
        <f t="shared" ref="K26:L26" si="54">IF(OR(I26="", I26=0), "",
  IF(I26&lt;=2,   1,
  IF(I26&lt;=4,   2,
  IF(I26&lt;=5.5, 3, 4))))</f>
        <v>1</v>
      </c>
      <c r="L26" s="190">
        <f t="shared" si="54"/>
        <v>1</v>
      </c>
      <c r="M26" s="190" t="str">
        <f t="shared" si="4"/>
        <v>No Progress</v>
      </c>
      <c r="N26" s="220" t="s">
        <v>945</v>
      </c>
      <c r="O26" s="229" t="s">
        <v>922</v>
      </c>
      <c r="P26" s="190">
        <f t="shared" si="5"/>
        <v>1</v>
      </c>
      <c r="Q26" s="210">
        <f t="shared" si="6"/>
        <v>3.5</v>
      </c>
      <c r="R26" s="210">
        <f t="shared" ref="R26:S26" si="55">IF(OR(P26="", P26=0), "",
  IF(P26&lt;=2,   1,
  IF(P26&lt;=4,   2,
  IF(P26&lt;=5.5, 3, 4))))</f>
        <v>1</v>
      </c>
      <c r="S26" s="210">
        <f t="shared" si="55"/>
        <v>2</v>
      </c>
      <c r="T26" s="210" t="str">
        <f t="shared" si="8"/>
        <v>Lv1 → Lv2</v>
      </c>
      <c r="U26" s="210">
        <f t="shared" si="9"/>
        <v>1</v>
      </c>
      <c r="V26" s="210"/>
    </row>
    <row r="27">
      <c r="A27" s="220" t="s">
        <v>415</v>
      </c>
      <c r="B27" s="190" t="s">
        <v>416</v>
      </c>
      <c r="C27" s="223" t="s">
        <v>53</v>
      </c>
      <c r="D27" s="223" t="s">
        <v>847</v>
      </c>
      <c r="E27" s="190" t="s">
        <v>21</v>
      </c>
      <c r="F27" s="13" t="s">
        <v>927</v>
      </c>
      <c r="G27" s="13" t="s">
        <v>927</v>
      </c>
      <c r="H27" s="219">
        <f>IFERROR(
  MINIFS(ATTENDANCE_LOG!$F:$F,
         ATTENDANCE_LOG!$A:$A, C27,
         ATTENDANCE_LOG!$B:$B, E27),
"")</f>
        <v>45715.45833</v>
      </c>
      <c r="I27" s="190">
        <f>IFERROR(VLOOKUP(F27, LEVEL_HELPER!$A:$B, 2, 0), "")</f>
        <v>1</v>
      </c>
      <c r="J27" s="190">
        <f>IFERROR(VLOOKUP(G27, LEVEL_HELPER!$A:$B, 2, 0), "")</f>
        <v>1</v>
      </c>
      <c r="K27" s="190">
        <f t="shared" ref="K27:L27" si="56">IF(OR(I27="", I27=0), "",
  IF(I27&lt;=2,   1,
  IF(I27&lt;=4,   2,
  IF(I27&lt;=5.5, 3, 4))))</f>
        <v>1</v>
      </c>
      <c r="L27" s="190">
        <f t="shared" si="56"/>
        <v>1</v>
      </c>
      <c r="M27" s="190" t="str">
        <f t="shared" si="4"/>
        <v>No Progress</v>
      </c>
      <c r="N27" s="220" t="s">
        <v>919</v>
      </c>
      <c r="O27" s="229" t="s">
        <v>922</v>
      </c>
      <c r="P27" s="190">
        <f t="shared" si="5"/>
        <v>1</v>
      </c>
      <c r="Q27" s="210">
        <f t="shared" si="6"/>
        <v>1</v>
      </c>
      <c r="R27" s="210">
        <f t="shared" ref="R27:S27" si="57">IF(OR(P27="", P27=0), "",
  IF(P27&lt;=2,   1,
  IF(P27&lt;=4,   2,
  IF(P27&lt;=5.5, 3, 4))))</f>
        <v>1</v>
      </c>
      <c r="S27" s="210">
        <f t="shared" si="57"/>
        <v>1</v>
      </c>
      <c r="T27" s="210" t="str">
        <f t="shared" si="8"/>
        <v>No Progress</v>
      </c>
      <c r="U27" s="210">
        <f t="shared" si="9"/>
        <v>1</v>
      </c>
      <c r="V27" s="210"/>
    </row>
    <row r="28">
      <c r="A28" s="220" t="s">
        <v>461</v>
      </c>
      <c r="B28" s="190" t="s">
        <v>462</v>
      </c>
      <c r="C28" s="223" t="s">
        <v>53</v>
      </c>
      <c r="D28" s="223" t="s">
        <v>847</v>
      </c>
      <c r="E28" s="190" t="s">
        <v>21</v>
      </c>
      <c r="F28" s="13" t="s">
        <v>927</v>
      </c>
      <c r="G28" s="13" t="s">
        <v>927</v>
      </c>
      <c r="H28" s="219">
        <f>IFERROR(
  MINIFS(ATTENDANCE_LOG!$F:$F,
         ATTENDANCE_LOG!$A:$A, C28,
         ATTENDANCE_LOG!$B:$B, E28),
"")</f>
        <v>45715.45833</v>
      </c>
      <c r="I28" s="190">
        <f>IFERROR(VLOOKUP(F28, LEVEL_HELPER!$A:$B, 2, 0), "")</f>
        <v>1</v>
      </c>
      <c r="J28" s="190">
        <f>IFERROR(VLOOKUP(G28, LEVEL_HELPER!$A:$B, 2, 0), "")</f>
        <v>1</v>
      </c>
      <c r="K28" s="190">
        <f t="shared" ref="K28:L28" si="58">IF(OR(I28="", I28=0), "",
  IF(I28&lt;=2,   1,
  IF(I28&lt;=4,   2,
  IF(I28&lt;=5.5, 3, 4))))</f>
        <v>1</v>
      </c>
      <c r="L28" s="190">
        <f t="shared" si="58"/>
        <v>1</v>
      </c>
      <c r="M28" s="190" t="str">
        <f t="shared" si="4"/>
        <v>No Progress</v>
      </c>
      <c r="N28" s="220" t="s">
        <v>919</v>
      </c>
      <c r="O28" s="220" t="s">
        <v>923</v>
      </c>
      <c r="P28" s="190">
        <f t="shared" si="5"/>
        <v>1</v>
      </c>
      <c r="Q28" s="210">
        <f t="shared" si="6"/>
        <v>3.5</v>
      </c>
      <c r="R28" s="210">
        <f t="shared" ref="R28:S28" si="59">IF(OR(P28="", P28=0), "",
  IF(P28&lt;=2,   1,
  IF(P28&lt;=4,   2,
  IF(P28&lt;=5.5, 3, 4))))</f>
        <v>1</v>
      </c>
      <c r="S28" s="210">
        <f t="shared" si="59"/>
        <v>2</v>
      </c>
      <c r="T28" s="210" t="str">
        <f t="shared" si="8"/>
        <v>Lv1 → Lv2</v>
      </c>
      <c r="U28" s="210">
        <f t="shared" si="9"/>
        <v>1</v>
      </c>
      <c r="V28" s="210"/>
    </row>
    <row r="29">
      <c r="A29" s="220" t="s">
        <v>560</v>
      </c>
      <c r="B29" s="190" t="s">
        <v>561</v>
      </c>
      <c r="C29" s="223" t="s">
        <v>53</v>
      </c>
      <c r="D29" s="223" t="s">
        <v>847</v>
      </c>
      <c r="E29" s="190" t="s">
        <v>21</v>
      </c>
      <c r="F29" s="13" t="s">
        <v>927</v>
      </c>
      <c r="G29" s="13" t="s">
        <v>927</v>
      </c>
      <c r="H29" s="219">
        <f>IFERROR(
  MINIFS(ATTENDANCE_LOG!$F:$F,
         ATTENDANCE_LOG!$A:$A, C29,
         ATTENDANCE_LOG!$B:$B, E29),
"")</f>
        <v>45715.45833</v>
      </c>
      <c r="I29" s="190">
        <f>IFERROR(VLOOKUP(F29, LEVEL_HELPER!$A:$B, 2, 0), "")</f>
        <v>1</v>
      </c>
      <c r="J29" s="190">
        <f>IFERROR(VLOOKUP(G29, LEVEL_HELPER!$A:$B, 2, 0), "")</f>
        <v>1</v>
      </c>
      <c r="K29" s="190">
        <f t="shared" ref="K29:L29" si="60">IF(OR(I29="", I29=0), "",
  IF(I29&lt;=2,   1,
  IF(I29&lt;=4,   2,
  IF(I29&lt;=5.5, 3, 4))))</f>
        <v>1</v>
      </c>
      <c r="L29" s="190">
        <f t="shared" si="60"/>
        <v>1</v>
      </c>
      <c r="M29" s="190" t="str">
        <f t="shared" si="4"/>
        <v>No Progress</v>
      </c>
      <c r="N29" s="220" t="s">
        <v>919</v>
      </c>
      <c r="O29" s="229" t="s">
        <v>922</v>
      </c>
      <c r="P29" s="190">
        <f t="shared" si="5"/>
        <v>1</v>
      </c>
      <c r="Q29" s="210">
        <f t="shared" si="6"/>
        <v>1</v>
      </c>
      <c r="R29" s="210">
        <f t="shared" ref="R29:S29" si="61">IF(OR(P29="", P29=0), "",
  IF(P29&lt;=2,   1,
  IF(P29&lt;=4,   2,
  IF(P29&lt;=5.5, 3, 4))))</f>
        <v>1</v>
      </c>
      <c r="S29" s="210">
        <f t="shared" si="61"/>
        <v>1</v>
      </c>
      <c r="T29" s="210" t="str">
        <f t="shared" si="8"/>
        <v>No Progress</v>
      </c>
      <c r="U29" s="210">
        <f t="shared" si="9"/>
        <v>1</v>
      </c>
      <c r="V29" s="210"/>
    </row>
    <row r="30">
      <c r="A30" s="229">
        <v>247298.0</v>
      </c>
      <c r="B30" s="13" t="s">
        <v>400</v>
      </c>
      <c r="C30" s="223" t="s">
        <v>53</v>
      </c>
      <c r="D30" s="223" t="s">
        <v>847</v>
      </c>
      <c r="E30" s="190" t="s">
        <v>21</v>
      </c>
      <c r="F30" s="13" t="s">
        <v>917</v>
      </c>
      <c r="G30" s="13" t="s">
        <v>935</v>
      </c>
      <c r="H30" s="219">
        <f>IFERROR(
  MINIFS(ATTENDANCE_LOG!$F:$F,
         ATTENDANCE_LOG!$A:$A, C30,
         ATTENDANCE_LOG!$B:$B, E30),
"")</f>
        <v>45715.45833</v>
      </c>
      <c r="I30" s="190">
        <f>IFERROR(VLOOKUP(F30, LEVEL_HELPER!$A:$B, 2, 0), "")</f>
        <v>2.5</v>
      </c>
      <c r="J30" s="190">
        <f>IFERROR(VLOOKUP(G30, LEVEL_HELPER!$A:$B, 2, 0), "")</f>
        <v>3.5</v>
      </c>
      <c r="K30" s="190">
        <f t="shared" ref="K30:L30" si="62">IF(OR(I30="", I30=0), "",
  IF(I30&lt;=2,   1,
  IF(I30&lt;=4,   2,
  IF(I30&lt;=5.5, 3, 4))))</f>
        <v>2</v>
      </c>
      <c r="L30" s="190">
        <f t="shared" si="62"/>
        <v>2</v>
      </c>
      <c r="M30" s="190" t="str">
        <f t="shared" si="4"/>
        <v>Progress within level</v>
      </c>
      <c r="N30" s="220" t="s">
        <v>945</v>
      </c>
      <c r="O30" s="220" t="s">
        <v>923</v>
      </c>
      <c r="P30" s="190">
        <f t="shared" si="5"/>
        <v>2.5</v>
      </c>
      <c r="Q30" s="210">
        <f t="shared" si="6"/>
        <v>3.5</v>
      </c>
      <c r="R30" s="210">
        <f t="shared" ref="R30:S30" si="63">IF(OR(P30="", P30=0), "",
  IF(P30&lt;=2,   1,
  IF(P30&lt;=4,   2,
  IF(P30&lt;=5.5, 3, 4))))</f>
        <v>2</v>
      </c>
      <c r="S30" s="210">
        <f t="shared" si="63"/>
        <v>2</v>
      </c>
      <c r="T30" s="210" t="str">
        <f t="shared" si="8"/>
        <v>Progress within level</v>
      </c>
      <c r="U30" s="210">
        <f t="shared" si="9"/>
        <v>1</v>
      </c>
      <c r="V30" s="210"/>
    </row>
    <row r="31">
      <c r="A31" s="247" t="s">
        <v>510</v>
      </c>
      <c r="B31" s="217" t="s">
        <v>511</v>
      </c>
      <c r="C31" s="218" t="s">
        <v>54</v>
      </c>
      <c r="D31" s="218" t="s">
        <v>848</v>
      </c>
      <c r="E31" s="217" t="s">
        <v>21</v>
      </c>
      <c r="F31" s="13" t="s">
        <v>917</v>
      </c>
      <c r="G31" s="13" t="s">
        <v>935</v>
      </c>
      <c r="H31" s="219">
        <f>IFERROR(
  MINIFS(ATTENDANCE_LOG!$F:$F,
         ATTENDANCE_LOG!$A:$A, C31,
         ATTENDANCE_LOG!$B:$B, E31),
"")</f>
        <v>45639.58333</v>
      </c>
      <c r="I31" s="190">
        <f>IFERROR(VLOOKUP(F31, LEVEL_HELPER!$A:$B, 2, 0), "")</f>
        <v>2.5</v>
      </c>
      <c r="J31" s="190">
        <f>IFERROR(VLOOKUP(G31, LEVEL_HELPER!$A:$B, 2, 0), "")</f>
        <v>3.5</v>
      </c>
      <c r="K31" s="190">
        <f t="shared" ref="K31:L31" si="64">IF(OR(I31="", I31=0), "",
  IF(I31&lt;=2,   1,
  IF(I31&lt;=4,   2,
  IF(I31&lt;=5.5, 3, 4))))</f>
        <v>2</v>
      </c>
      <c r="L31" s="190">
        <f t="shared" si="64"/>
        <v>2</v>
      </c>
      <c r="M31" s="190" t="str">
        <f t="shared" si="4"/>
        <v>Progress within level</v>
      </c>
      <c r="N31" s="229" t="s">
        <v>943</v>
      </c>
      <c r="O31" s="220" t="s">
        <v>925</v>
      </c>
      <c r="P31" s="190">
        <f t="shared" si="5"/>
        <v>2.5</v>
      </c>
      <c r="Q31" s="210">
        <f t="shared" si="6"/>
        <v>5</v>
      </c>
      <c r="R31" s="210">
        <f t="shared" ref="R31:S31" si="65">IF(OR(P31="", P31=0), "",
  IF(P31&lt;=2,   1,
  IF(P31&lt;=4,   2,
  IF(P31&lt;=5.5, 3, 4))))</f>
        <v>2</v>
      </c>
      <c r="S31" s="210">
        <f t="shared" si="65"/>
        <v>3</v>
      </c>
      <c r="T31" s="210" t="str">
        <f t="shared" si="8"/>
        <v>Lv2 → Lv3</v>
      </c>
      <c r="U31" s="210">
        <f t="shared" si="9"/>
        <v>1</v>
      </c>
      <c r="V31" s="210"/>
    </row>
    <row r="32">
      <c r="A32" s="220" t="s">
        <v>144</v>
      </c>
      <c r="B32" s="190" t="s">
        <v>145</v>
      </c>
      <c r="C32" s="223" t="s">
        <v>54</v>
      </c>
      <c r="D32" s="223" t="s">
        <v>848</v>
      </c>
      <c r="E32" s="190" t="s">
        <v>21</v>
      </c>
      <c r="F32" s="13" t="s">
        <v>927</v>
      </c>
      <c r="G32" s="13" t="s">
        <v>927</v>
      </c>
      <c r="H32" s="219">
        <f>IFERROR(
  MINIFS(ATTENDANCE_LOG!$F:$F,
         ATTENDANCE_LOG!$A:$A, C32,
         ATTENDANCE_LOG!$B:$B, E32),
"")</f>
        <v>45639.58333</v>
      </c>
      <c r="I32" s="190">
        <f>IFERROR(VLOOKUP(F32, LEVEL_HELPER!$A:$B, 2, 0), "")</f>
        <v>1</v>
      </c>
      <c r="J32" s="190">
        <f>IFERROR(VLOOKUP(G32, LEVEL_HELPER!$A:$B, 2, 0), "")</f>
        <v>1</v>
      </c>
      <c r="K32" s="190">
        <f t="shared" ref="K32:L32" si="66">IF(OR(I32="", I32=0), "",
  IF(I32&lt;=2,   1,
  IF(I32&lt;=4,   2,
  IF(I32&lt;=5.5, 3, 4))))</f>
        <v>1</v>
      </c>
      <c r="L32" s="190">
        <f t="shared" si="66"/>
        <v>1</v>
      </c>
      <c r="M32" s="190" t="str">
        <f t="shared" si="4"/>
        <v>No Progress</v>
      </c>
      <c r="N32" s="220" t="s">
        <v>943</v>
      </c>
      <c r="O32" s="220" t="s">
        <v>925</v>
      </c>
      <c r="P32" s="190">
        <f t="shared" si="5"/>
        <v>1</v>
      </c>
      <c r="Q32" s="210">
        <f t="shared" si="6"/>
        <v>3.5</v>
      </c>
      <c r="R32" s="210">
        <f t="shared" ref="R32:S32" si="67">IF(OR(P32="", P32=0), "",
  IF(P32&lt;=2,   1,
  IF(P32&lt;=4,   2,
  IF(P32&lt;=5.5, 3, 4))))</f>
        <v>1</v>
      </c>
      <c r="S32" s="210">
        <f t="shared" si="67"/>
        <v>2</v>
      </c>
      <c r="T32" s="210" t="str">
        <f t="shared" si="8"/>
        <v>Lv1 → Lv2</v>
      </c>
      <c r="U32" s="210">
        <f t="shared" si="9"/>
        <v>1</v>
      </c>
      <c r="V32" s="210"/>
    </row>
    <row r="33">
      <c r="A33" s="220" t="s">
        <v>155</v>
      </c>
      <c r="B33" s="190" t="s">
        <v>156</v>
      </c>
      <c r="C33" s="223" t="s">
        <v>54</v>
      </c>
      <c r="D33" s="223" t="s">
        <v>848</v>
      </c>
      <c r="E33" s="190" t="s">
        <v>21</v>
      </c>
      <c r="F33" s="13" t="s">
        <v>927</v>
      </c>
      <c r="G33" s="13" t="s">
        <v>941</v>
      </c>
      <c r="H33" s="219">
        <f>IFERROR(
  MINIFS(ATTENDANCE_LOG!$F:$F,
         ATTENDANCE_LOG!$A:$A, C33,
         ATTENDANCE_LOG!$B:$B, E33),
"")</f>
        <v>45639.58333</v>
      </c>
      <c r="I33" s="190">
        <f>IFERROR(VLOOKUP(F33, LEVEL_HELPER!$A:$B, 2, 0), "")</f>
        <v>1</v>
      </c>
      <c r="J33" s="190">
        <f>IFERROR(VLOOKUP(G33, LEVEL_HELPER!$A:$B, 2, 0), "")</f>
        <v>5</v>
      </c>
      <c r="K33" s="190">
        <f t="shared" ref="K33:L33" si="68">IF(OR(I33="", I33=0), "",
  IF(I33&lt;=2,   1,
  IF(I33&lt;=4,   2,
  IF(I33&lt;=5.5, 3, 4))))</f>
        <v>1</v>
      </c>
      <c r="L33" s="190">
        <f t="shared" si="68"/>
        <v>3</v>
      </c>
      <c r="M33" s="190" t="str">
        <f t="shared" si="4"/>
        <v>Lv1 → Lv3 (+2)</v>
      </c>
      <c r="N33" s="220" t="s">
        <v>943</v>
      </c>
      <c r="O33" s="220" t="s">
        <v>925</v>
      </c>
      <c r="P33" s="190">
        <f t="shared" si="5"/>
        <v>1</v>
      </c>
      <c r="Q33" s="210">
        <f t="shared" si="6"/>
        <v>5</v>
      </c>
      <c r="R33" s="210">
        <f t="shared" ref="R33:S33" si="69">IF(OR(P33="", P33=0), "",
  IF(P33&lt;=2,   1,
  IF(P33&lt;=4,   2,
  IF(P33&lt;=5.5, 3, 4))))</f>
        <v>1</v>
      </c>
      <c r="S33" s="210">
        <f t="shared" si="69"/>
        <v>3</v>
      </c>
      <c r="T33" s="210" t="str">
        <f t="shared" si="8"/>
        <v>Lv1 → Lv3 (multi)</v>
      </c>
      <c r="U33" s="210">
        <f t="shared" si="9"/>
        <v>1</v>
      </c>
      <c r="V33" s="210"/>
    </row>
    <row r="34">
      <c r="A34" s="220" t="s">
        <v>226</v>
      </c>
      <c r="B34" s="190" t="s">
        <v>227</v>
      </c>
      <c r="C34" s="223" t="s">
        <v>54</v>
      </c>
      <c r="D34" s="223" t="s">
        <v>848</v>
      </c>
      <c r="E34" s="190" t="s">
        <v>21</v>
      </c>
      <c r="F34" s="13" t="s">
        <v>927</v>
      </c>
      <c r="G34" s="13" t="s">
        <v>929</v>
      </c>
      <c r="H34" s="219">
        <f>IFERROR(
  MINIFS(ATTENDANCE_LOG!$F:$F,
         ATTENDANCE_LOG!$A:$A, C34,
         ATTENDANCE_LOG!$B:$B, E34),
"")</f>
        <v>45639.58333</v>
      </c>
      <c r="I34" s="190">
        <f>IFERROR(VLOOKUP(F34, LEVEL_HELPER!$A:$B, 2, 0), "")</f>
        <v>1</v>
      </c>
      <c r="J34" s="190">
        <f>IFERROR(VLOOKUP(G34, LEVEL_HELPER!$A:$B, 2, 0), "")</f>
        <v>1.5</v>
      </c>
      <c r="K34" s="190">
        <f t="shared" ref="K34:L34" si="70">IF(OR(I34="", I34=0), "",
  IF(I34&lt;=2,   1,
  IF(I34&lt;=4,   2,
  IF(I34&lt;=5.5, 3, 4))))</f>
        <v>1</v>
      </c>
      <c r="L34" s="190">
        <f t="shared" si="70"/>
        <v>1</v>
      </c>
      <c r="M34" s="190" t="str">
        <f t="shared" si="4"/>
        <v>Progress within level</v>
      </c>
      <c r="N34" s="220" t="s">
        <v>943</v>
      </c>
      <c r="O34" s="220" t="s">
        <v>925</v>
      </c>
      <c r="P34" s="190">
        <f t="shared" si="5"/>
        <v>1</v>
      </c>
      <c r="Q34" s="210">
        <f t="shared" si="6"/>
        <v>3.5</v>
      </c>
      <c r="R34" s="210">
        <f t="shared" ref="R34:S34" si="71">IF(OR(P34="", P34=0), "",
  IF(P34&lt;=2,   1,
  IF(P34&lt;=4,   2,
  IF(P34&lt;=5.5, 3, 4))))</f>
        <v>1</v>
      </c>
      <c r="S34" s="210">
        <f t="shared" si="71"/>
        <v>2</v>
      </c>
      <c r="T34" s="210" t="str">
        <f t="shared" si="8"/>
        <v>Lv1 → Lv2</v>
      </c>
      <c r="U34" s="210">
        <f t="shared" si="9"/>
        <v>1</v>
      </c>
      <c r="V34" s="210"/>
    </row>
    <row r="35">
      <c r="A35" s="220" t="s">
        <v>245</v>
      </c>
      <c r="B35" s="190" t="s">
        <v>246</v>
      </c>
      <c r="C35" s="223" t="s">
        <v>54</v>
      </c>
      <c r="D35" s="223" t="s">
        <v>848</v>
      </c>
      <c r="E35" s="190" t="s">
        <v>21</v>
      </c>
      <c r="F35" s="13" t="s">
        <v>927</v>
      </c>
      <c r="G35" s="13" t="s">
        <v>927</v>
      </c>
      <c r="H35" s="219">
        <f>IFERROR(
  MINIFS(ATTENDANCE_LOG!$F:$F,
         ATTENDANCE_LOG!$A:$A, C35,
         ATTENDANCE_LOG!$B:$B, E35),
"")</f>
        <v>45639.58333</v>
      </c>
      <c r="I35" s="190">
        <f>IFERROR(VLOOKUP(F35, LEVEL_HELPER!$A:$B, 2, 0), "")</f>
        <v>1</v>
      </c>
      <c r="J35" s="190">
        <f>IFERROR(VLOOKUP(G35, LEVEL_HELPER!$A:$B, 2, 0), "")</f>
        <v>1</v>
      </c>
      <c r="K35" s="190">
        <f t="shared" ref="K35:L35" si="72">IF(OR(I35="", I35=0), "",
  IF(I35&lt;=2,   1,
  IF(I35&lt;=4,   2,
  IF(I35&lt;=5.5, 3, 4))))</f>
        <v>1</v>
      </c>
      <c r="L35" s="190">
        <f t="shared" si="72"/>
        <v>1</v>
      </c>
      <c r="M35" s="190" t="str">
        <f t="shared" si="4"/>
        <v>No Progress</v>
      </c>
      <c r="N35" s="220" t="s">
        <v>943</v>
      </c>
      <c r="O35" s="220" t="s">
        <v>925</v>
      </c>
      <c r="P35" s="190">
        <f t="shared" si="5"/>
        <v>1</v>
      </c>
      <c r="Q35" s="210">
        <f t="shared" si="6"/>
        <v>3</v>
      </c>
      <c r="R35" s="210">
        <f t="shared" ref="R35:S35" si="73">IF(OR(P35="", P35=0), "",
  IF(P35&lt;=2,   1,
  IF(P35&lt;=4,   2,
  IF(P35&lt;=5.5, 3, 4))))</f>
        <v>1</v>
      </c>
      <c r="S35" s="210">
        <f t="shared" si="73"/>
        <v>2</v>
      </c>
      <c r="T35" s="210" t="str">
        <f t="shared" si="8"/>
        <v>Lv1 → Lv2</v>
      </c>
      <c r="U35" s="210">
        <f t="shared" si="9"/>
        <v>1</v>
      </c>
      <c r="V35" s="210"/>
    </row>
    <row r="36">
      <c r="A36" s="220" t="s">
        <v>352</v>
      </c>
      <c r="B36" s="190" t="s">
        <v>353</v>
      </c>
      <c r="C36" s="223" t="s">
        <v>54</v>
      </c>
      <c r="D36" s="223" t="s">
        <v>848</v>
      </c>
      <c r="E36" s="190" t="s">
        <v>21</v>
      </c>
      <c r="F36" s="13" t="s">
        <v>927</v>
      </c>
      <c r="G36" s="13" t="s">
        <v>929</v>
      </c>
      <c r="H36" s="219">
        <f>IFERROR(
  MINIFS(ATTENDANCE_LOG!$F:$F,
         ATTENDANCE_LOG!$A:$A, C36,
         ATTENDANCE_LOG!$B:$B, E36),
"")</f>
        <v>45639.58333</v>
      </c>
      <c r="I36" s="190">
        <f>IFERROR(VLOOKUP(F36, LEVEL_HELPER!$A:$B, 2, 0), "")</f>
        <v>1</v>
      </c>
      <c r="J36" s="190">
        <f>IFERROR(VLOOKUP(G36, LEVEL_HELPER!$A:$B, 2, 0), "")</f>
        <v>1.5</v>
      </c>
      <c r="K36" s="190">
        <f t="shared" ref="K36:L36" si="74">IF(OR(I36="", I36=0), "",
  IF(I36&lt;=2,   1,
  IF(I36&lt;=4,   2,
  IF(I36&lt;=5.5, 3, 4))))</f>
        <v>1</v>
      </c>
      <c r="L36" s="190">
        <f t="shared" si="74"/>
        <v>1</v>
      </c>
      <c r="M36" s="190" t="str">
        <f t="shared" si="4"/>
        <v>Progress within level</v>
      </c>
      <c r="N36" s="220" t="s">
        <v>943</v>
      </c>
      <c r="O36" s="220" t="s">
        <v>925</v>
      </c>
      <c r="P36" s="190">
        <f t="shared" si="5"/>
        <v>1</v>
      </c>
      <c r="Q36" s="210">
        <f t="shared" si="6"/>
        <v>3</v>
      </c>
      <c r="R36" s="210">
        <f t="shared" ref="R36:S36" si="75">IF(OR(P36="", P36=0), "",
  IF(P36&lt;=2,   1,
  IF(P36&lt;=4,   2,
  IF(P36&lt;=5.5, 3, 4))))</f>
        <v>1</v>
      </c>
      <c r="S36" s="210">
        <f t="shared" si="75"/>
        <v>2</v>
      </c>
      <c r="T36" s="210" t="str">
        <f t="shared" si="8"/>
        <v>Lv1 → Lv2</v>
      </c>
      <c r="U36" s="210">
        <f t="shared" si="9"/>
        <v>1</v>
      </c>
      <c r="V36" s="210"/>
    </row>
    <row r="37">
      <c r="A37" s="220" t="s">
        <v>553</v>
      </c>
      <c r="B37" s="190" t="s">
        <v>554</v>
      </c>
      <c r="C37" s="223" t="s">
        <v>54</v>
      </c>
      <c r="D37" s="223" t="s">
        <v>848</v>
      </c>
      <c r="E37" s="190" t="s">
        <v>21</v>
      </c>
      <c r="F37" s="13" t="s">
        <v>927</v>
      </c>
      <c r="G37" s="13" t="s">
        <v>935</v>
      </c>
      <c r="H37" s="219">
        <f>IFERROR(
  MINIFS(ATTENDANCE_LOG!$F:$F,
         ATTENDANCE_LOG!$A:$A, C37,
         ATTENDANCE_LOG!$B:$B, E37),
"")</f>
        <v>45639.58333</v>
      </c>
      <c r="I37" s="190">
        <f>IFERROR(VLOOKUP(F37, LEVEL_HELPER!$A:$B, 2, 0), "")</f>
        <v>1</v>
      </c>
      <c r="J37" s="190">
        <f>IFERROR(VLOOKUP(G37, LEVEL_HELPER!$A:$B, 2, 0), "")</f>
        <v>3.5</v>
      </c>
      <c r="K37" s="190">
        <f t="shared" ref="K37:L37" si="76">IF(OR(I37="", I37=0), "",
  IF(I37&lt;=2,   1,
  IF(I37&lt;=4,   2,
  IF(I37&lt;=5.5, 3, 4))))</f>
        <v>1</v>
      </c>
      <c r="L37" s="190">
        <f t="shared" si="76"/>
        <v>2</v>
      </c>
      <c r="M37" s="190" t="str">
        <f t="shared" si="4"/>
        <v>Lv1 → Lv2</v>
      </c>
      <c r="N37" s="220" t="s">
        <v>943</v>
      </c>
      <c r="O37" s="220" t="s">
        <v>925</v>
      </c>
      <c r="P37" s="190">
        <f t="shared" si="5"/>
        <v>1</v>
      </c>
      <c r="Q37" s="210">
        <f t="shared" si="6"/>
        <v>5</v>
      </c>
      <c r="R37" s="210">
        <f t="shared" ref="R37:S37" si="77">IF(OR(P37="", P37=0), "",
  IF(P37&lt;=2,   1,
  IF(P37&lt;=4,   2,
  IF(P37&lt;=5.5, 3, 4))))</f>
        <v>1</v>
      </c>
      <c r="S37" s="210">
        <f t="shared" si="77"/>
        <v>3</v>
      </c>
      <c r="T37" s="210" t="str">
        <f t="shared" si="8"/>
        <v>Lv1 → Lv3 (multi)</v>
      </c>
      <c r="U37" s="210">
        <f t="shared" si="9"/>
        <v>1</v>
      </c>
      <c r="V37" s="210"/>
    </row>
    <row r="38">
      <c r="A38" s="220" t="s">
        <v>617</v>
      </c>
      <c r="B38" s="190" t="s">
        <v>618</v>
      </c>
      <c r="C38" s="223" t="s">
        <v>54</v>
      </c>
      <c r="D38" s="223" t="s">
        <v>848</v>
      </c>
      <c r="E38" s="190" t="s">
        <v>21</v>
      </c>
      <c r="F38" s="13" t="s">
        <v>927</v>
      </c>
      <c r="G38" s="13" t="s">
        <v>918</v>
      </c>
      <c r="H38" s="219">
        <f>IFERROR(
  MINIFS(ATTENDANCE_LOG!$F:$F,
         ATTENDANCE_LOG!$A:$A, C38,
         ATTENDANCE_LOG!$B:$B, E38),
"")</f>
        <v>45639.58333</v>
      </c>
      <c r="I38" s="190">
        <f>IFERROR(VLOOKUP(F38, LEVEL_HELPER!$A:$B, 2, 0), "")</f>
        <v>1</v>
      </c>
      <c r="J38" s="190">
        <f>IFERROR(VLOOKUP(G38, LEVEL_HELPER!$A:$B, 2, 0), "")</f>
        <v>3</v>
      </c>
      <c r="K38" s="190">
        <f t="shared" ref="K38:L38" si="78">IF(OR(I38="", I38=0), "",
  IF(I38&lt;=2,   1,
  IF(I38&lt;=4,   2,
  IF(I38&lt;=5.5, 3, 4))))</f>
        <v>1</v>
      </c>
      <c r="L38" s="190">
        <f t="shared" si="78"/>
        <v>2</v>
      </c>
      <c r="M38" s="190" t="str">
        <f t="shared" si="4"/>
        <v>Lv1 → Lv2</v>
      </c>
      <c r="N38" s="220" t="s">
        <v>943</v>
      </c>
      <c r="O38" s="220" t="s">
        <v>925</v>
      </c>
      <c r="P38" s="190">
        <f t="shared" si="5"/>
        <v>1</v>
      </c>
      <c r="Q38" s="210">
        <f t="shared" si="6"/>
        <v>3.5</v>
      </c>
      <c r="R38" s="210">
        <f t="shared" ref="R38:S38" si="79">IF(OR(P38="", P38=0), "",
  IF(P38&lt;=2,   1,
  IF(P38&lt;=4,   2,
  IF(P38&lt;=5.5, 3, 4))))</f>
        <v>1</v>
      </c>
      <c r="S38" s="210">
        <f t="shared" si="79"/>
        <v>2</v>
      </c>
      <c r="T38" s="210" t="str">
        <f t="shared" si="8"/>
        <v>Lv1 → Lv2</v>
      </c>
      <c r="U38" s="210">
        <f t="shared" si="9"/>
        <v>1</v>
      </c>
      <c r="V38" s="210"/>
    </row>
    <row r="39">
      <c r="A39" s="220" t="s">
        <v>695</v>
      </c>
      <c r="B39" s="190" t="s">
        <v>696</v>
      </c>
      <c r="C39" s="223" t="s">
        <v>54</v>
      </c>
      <c r="D39" s="223" t="s">
        <v>848</v>
      </c>
      <c r="E39" s="190" t="s">
        <v>21</v>
      </c>
      <c r="F39" s="190"/>
      <c r="G39" s="190"/>
      <c r="H39" s="219">
        <f>IFERROR(
  MINIFS(ATTENDANCE_LOG!$F:$F,
         ATTENDANCE_LOG!$A:$A, C39,
         ATTENDANCE_LOG!$B:$B, E39),
"")</f>
        <v>45639.58333</v>
      </c>
      <c r="I39" s="190" t="str">
        <f>IFERROR(VLOOKUP(F39, LEVEL_HELPER!$A:$B, 2, 0), "")</f>
        <v/>
      </c>
      <c r="J39" s="190" t="str">
        <f>IFERROR(VLOOKUP(G39, LEVEL_HELPER!$A:$B, 2, 0), "")</f>
        <v/>
      </c>
      <c r="K39" s="190" t="str">
        <f t="shared" ref="K39:L39" si="80">IF(OR(I39="", I39=0), "",
  IF(I39&lt;=2,   1,
  IF(I39&lt;=4,   2,
  IF(I39&lt;=5.5, 3, 4))))</f>
        <v/>
      </c>
      <c r="L39" s="190" t="str">
        <f t="shared" si="80"/>
        <v/>
      </c>
      <c r="M39" s="190" t="str">
        <f t="shared" si="4"/>
        <v>No Data</v>
      </c>
      <c r="N39" s="229" t="s">
        <v>943</v>
      </c>
      <c r="O39" s="220" t="s">
        <v>925</v>
      </c>
      <c r="P39" s="190">
        <f t="shared" si="5"/>
        <v>0</v>
      </c>
      <c r="Q39" s="210">
        <f t="shared" si="6"/>
        <v>0</v>
      </c>
      <c r="R39" s="210" t="str">
        <f t="shared" ref="R39:S39" si="81">IF(OR(P39="", P39=0), "",
  IF(P39&lt;=2,   1,
  IF(P39&lt;=4,   2,
  IF(P39&lt;=5.5, 3, 4))))</f>
        <v/>
      </c>
      <c r="S39" s="210" t="str">
        <f t="shared" si="81"/>
        <v/>
      </c>
      <c r="T39" s="210" t="str">
        <f t="shared" si="8"/>
        <v>No Data</v>
      </c>
      <c r="U39" s="210">
        <f t="shared" si="9"/>
        <v>1</v>
      </c>
      <c r="V39" s="210"/>
    </row>
    <row r="40">
      <c r="A40" s="247" t="s">
        <v>510</v>
      </c>
      <c r="B40" s="217" t="s">
        <v>511</v>
      </c>
      <c r="C40" s="218" t="s">
        <v>54</v>
      </c>
      <c r="D40" s="218" t="s">
        <v>848</v>
      </c>
      <c r="E40" s="217" t="s">
        <v>22</v>
      </c>
      <c r="F40" s="13" t="s">
        <v>935</v>
      </c>
      <c r="G40" s="13" t="s">
        <v>941</v>
      </c>
      <c r="H40" s="219">
        <f>IFERROR(
  MINIFS(ATTENDANCE_LOG!$F:$F,
         ATTENDANCE_LOG!$A:$A, C40,
         ATTENDANCE_LOG!$B:$B, E40),
"")</f>
        <v>45869.58333</v>
      </c>
      <c r="I40" s="190">
        <f>IFERROR(VLOOKUP(F40, LEVEL_HELPER!$A:$B, 2, 0), "")</f>
        <v>3.5</v>
      </c>
      <c r="J40" s="190">
        <f>IFERROR(VLOOKUP(G40, LEVEL_HELPER!$A:$B, 2, 0), "")</f>
        <v>5</v>
      </c>
      <c r="K40" s="190">
        <f t="shared" ref="K40:L40" si="82">IF(OR(I40="", I40=0), "",
  IF(I40&lt;=2,   1,
  IF(I40&lt;=4,   2,
  IF(I40&lt;=5.5, 3, 4))))</f>
        <v>2</v>
      </c>
      <c r="L40" s="190">
        <f t="shared" si="82"/>
        <v>3</v>
      </c>
      <c r="M40" s="190" t="str">
        <f t="shared" si="4"/>
        <v>Lv2 → Lv3</v>
      </c>
      <c r="N40" s="220" t="s">
        <v>943</v>
      </c>
      <c r="O40" s="220" t="s">
        <v>925</v>
      </c>
      <c r="P40" s="190">
        <f t="shared" si="5"/>
        <v>2.5</v>
      </c>
      <c r="Q40" s="210">
        <f t="shared" si="6"/>
        <v>5</v>
      </c>
      <c r="R40" s="210">
        <f t="shared" ref="R40:S40" si="83">IF(OR(P40="", P40=0), "",
  IF(P40&lt;=2,   1,
  IF(P40&lt;=4,   2,
  IF(P40&lt;=5.5, 3, 4))))</f>
        <v>2</v>
      </c>
      <c r="S40" s="210">
        <f t="shared" si="83"/>
        <v>3</v>
      </c>
      <c r="T40" s="210" t="str">
        <f t="shared" si="8"/>
        <v>Lv2 → Lv3</v>
      </c>
      <c r="U40" s="210">
        <f t="shared" si="9"/>
        <v>0</v>
      </c>
      <c r="V40" s="210"/>
    </row>
    <row r="41">
      <c r="A41" s="220" t="s">
        <v>144</v>
      </c>
      <c r="B41" s="190" t="s">
        <v>145</v>
      </c>
      <c r="C41" s="223" t="s">
        <v>54</v>
      </c>
      <c r="D41" s="223" t="s">
        <v>848</v>
      </c>
      <c r="E41" s="190" t="s">
        <v>22</v>
      </c>
      <c r="F41" s="13" t="s">
        <v>927</v>
      </c>
      <c r="G41" s="13" t="s">
        <v>935</v>
      </c>
      <c r="H41" s="219">
        <f>IFERROR(
  MINIFS(ATTENDANCE_LOG!$F:$F,
         ATTENDANCE_LOG!$A:$A, C41,
         ATTENDANCE_LOG!$B:$B, E41),
"")</f>
        <v>45869.58333</v>
      </c>
      <c r="I41" s="190">
        <f>IFERROR(VLOOKUP(F41, LEVEL_HELPER!$A:$B, 2, 0), "")</f>
        <v>1</v>
      </c>
      <c r="J41" s="190">
        <f>IFERROR(VLOOKUP(G41, LEVEL_HELPER!$A:$B, 2, 0), "")</f>
        <v>3.5</v>
      </c>
      <c r="K41" s="190">
        <f t="shared" ref="K41:L41" si="84">IF(OR(I41="", I41=0), "",
  IF(I41&lt;=2,   1,
  IF(I41&lt;=4,   2,
  IF(I41&lt;=5.5, 3, 4))))</f>
        <v>1</v>
      </c>
      <c r="L41" s="190">
        <f t="shared" si="84"/>
        <v>2</v>
      </c>
      <c r="M41" s="190" t="str">
        <f t="shared" si="4"/>
        <v>Lv1 → Lv2</v>
      </c>
      <c r="N41" s="220" t="s">
        <v>943</v>
      </c>
      <c r="O41" s="220" t="s">
        <v>925</v>
      </c>
      <c r="P41" s="190">
        <f t="shared" si="5"/>
        <v>1</v>
      </c>
      <c r="Q41" s="210">
        <f t="shared" si="6"/>
        <v>3.5</v>
      </c>
      <c r="R41" s="210">
        <f t="shared" ref="R41:S41" si="85">IF(OR(P41="", P41=0), "",
  IF(P41&lt;=2,   1,
  IF(P41&lt;=4,   2,
  IF(P41&lt;=5.5, 3, 4))))</f>
        <v>1</v>
      </c>
      <c r="S41" s="210">
        <f t="shared" si="85"/>
        <v>2</v>
      </c>
      <c r="T41" s="210" t="str">
        <f t="shared" si="8"/>
        <v>Lv1 → Lv2</v>
      </c>
      <c r="U41" s="210">
        <f t="shared" si="9"/>
        <v>0</v>
      </c>
      <c r="V41" s="210"/>
    </row>
    <row r="42">
      <c r="A42" s="220" t="s">
        <v>155</v>
      </c>
      <c r="B42" s="190" t="s">
        <v>156</v>
      </c>
      <c r="C42" s="223" t="s">
        <v>54</v>
      </c>
      <c r="D42" s="223" t="s">
        <v>848</v>
      </c>
      <c r="E42" s="190" t="s">
        <v>22</v>
      </c>
      <c r="F42" s="13" t="s">
        <v>918</v>
      </c>
      <c r="G42" s="13" t="s">
        <v>918</v>
      </c>
      <c r="H42" s="219">
        <f>IFERROR(
  MINIFS(ATTENDANCE_LOG!$F:$F,
         ATTENDANCE_LOG!$A:$A, C42,
         ATTENDANCE_LOG!$B:$B, E42),
"")</f>
        <v>45869.58333</v>
      </c>
      <c r="I42" s="190">
        <f>IFERROR(VLOOKUP(F42, LEVEL_HELPER!$A:$B, 2, 0), "")</f>
        <v>3</v>
      </c>
      <c r="J42" s="190">
        <f>IFERROR(VLOOKUP(G42, LEVEL_HELPER!$A:$B, 2, 0), "")</f>
        <v>3</v>
      </c>
      <c r="K42" s="190">
        <f t="shared" ref="K42:L42" si="86">IF(OR(I42="", I42=0), "",
  IF(I42&lt;=2,   1,
  IF(I42&lt;=4,   2,
  IF(I42&lt;=5.5, 3, 4))))</f>
        <v>2</v>
      </c>
      <c r="L42" s="190">
        <f t="shared" si="86"/>
        <v>2</v>
      </c>
      <c r="M42" s="190" t="str">
        <f t="shared" si="4"/>
        <v>No Progress</v>
      </c>
      <c r="N42" s="220" t="s">
        <v>943</v>
      </c>
      <c r="O42" s="220" t="s">
        <v>925</v>
      </c>
      <c r="P42" s="190">
        <f t="shared" si="5"/>
        <v>1</v>
      </c>
      <c r="Q42" s="210">
        <f t="shared" si="6"/>
        <v>5</v>
      </c>
      <c r="R42" s="210">
        <f t="shared" ref="R42:S42" si="87">IF(OR(P42="", P42=0), "",
  IF(P42&lt;=2,   1,
  IF(P42&lt;=4,   2,
  IF(P42&lt;=5.5, 3, 4))))</f>
        <v>1</v>
      </c>
      <c r="S42" s="210">
        <f t="shared" si="87"/>
        <v>3</v>
      </c>
      <c r="T42" s="210" t="str">
        <f t="shared" si="8"/>
        <v>Lv1 → Lv3 (multi)</v>
      </c>
      <c r="U42" s="210">
        <f t="shared" si="9"/>
        <v>0</v>
      </c>
      <c r="V42" s="210"/>
    </row>
    <row r="43">
      <c r="A43" s="220" t="s">
        <v>226</v>
      </c>
      <c r="B43" s="190" t="s">
        <v>227</v>
      </c>
      <c r="C43" s="223" t="s">
        <v>54</v>
      </c>
      <c r="D43" s="223" t="s">
        <v>848</v>
      </c>
      <c r="E43" s="190" t="s">
        <v>22</v>
      </c>
      <c r="F43" s="13" t="s">
        <v>929</v>
      </c>
      <c r="G43" s="13" t="s">
        <v>935</v>
      </c>
      <c r="H43" s="219">
        <f>IFERROR(
  MINIFS(ATTENDANCE_LOG!$F:$F,
         ATTENDANCE_LOG!$A:$A, C43,
         ATTENDANCE_LOG!$B:$B, E43),
"")</f>
        <v>45869.58333</v>
      </c>
      <c r="I43" s="190">
        <f>IFERROR(VLOOKUP(F43, LEVEL_HELPER!$A:$B, 2, 0), "")</f>
        <v>1.5</v>
      </c>
      <c r="J43" s="190">
        <f>IFERROR(VLOOKUP(G43, LEVEL_HELPER!$A:$B, 2, 0), "")</f>
        <v>3.5</v>
      </c>
      <c r="K43" s="190">
        <f t="shared" ref="K43:L43" si="88">IF(OR(I43="", I43=0), "",
  IF(I43&lt;=2,   1,
  IF(I43&lt;=4,   2,
  IF(I43&lt;=5.5, 3, 4))))</f>
        <v>1</v>
      </c>
      <c r="L43" s="190">
        <f t="shared" si="88"/>
        <v>2</v>
      </c>
      <c r="M43" s="190" t="str">
        <f t="shared" si="4"/>
        <v>Lv1 → Lv2</v>
      </c>
      <c r="N43" s="220" t="s">
        <v>943</v>
      </c>
      <c r="O43" s="220" t="s">
        <v>925</v>
      </c>
      <c r="P43" s="190">
        <f t="shared" si="5"/>
        <v>1</v>
      </c>
      <c r="Q43" s="210">
        <f t="shared" si="6"/>
        <v>3.5</v>
      </c>
      <c r="R43" s="210">
        <f t="shared" ref="R43:S43" si="89">IF(OR(P43="", P43=0), "",
  IF(P43&lt;=2,   1,
  IF(P43&lt;=4,   2,
  IF(P43&lt;=5.5, 3, 4))))</f>
        <v>1</v>
      </c>
      <c r="S43" s="210">
        <f t="shared" si="89"/>
        <v>2</v>
      </c>
      <c r="T43" s="210" t="str">
        <f t="shared" si="8"/>
        <v>Lv1 → Lv2</v>
      </c>
      <c r="U43" s="210">
        <f t="shared" si="9"/>
        <v>0</v>
      </c>
      <c r="V43" s="210"/>
    </row>
    <row r="44">
      <c r="A44" s="220" t="s">
        <v>245</v>
      </c>
      <c r="B44" s="190" t="s">
        <v>246</v>
      </c>
      <c r="C44" s="223" t="s">
        <v>54</v>
      </c>
      <c r="D44" s="223" t="s">
        <v>848</v>
      </c>
      <c r="E44" s="190" t="s">
        <v>22</v>
      </c>
      <c r="F44" s="13" t="s">
        <v>927</v>
      </c>
      <c r="G44" s="13" t="s">
        <v>918</v>
      </c>
      <c r="H44" s="219">
        <f>IFERROR(
  MINIFS(ATTENDANCE_LOG!$F:$F,
         ATTENDANCE_LOG!$A:$A, C44,
         ATTENDANCE_LOG!$B:$B, E44),
"")</f>
        <v>45869.58333</v>
      </c>
      <c r="I44" s="190">
        <f>IFERROR(VLOOKUP(F44, LEVEL_HELPER!$A:$B, 2, 0), "")</f>
        <v>1</v>
      </c>
      <c r="J44" s="190">
        <f>IFERROR(VLOOKUP(G44, LEVEL_HELPER!$A:$B, 2, 0), "")</f>
        <v>3</v>
      </c>
      <c r="K44" s="190">
        <f t="shared" ref="K44:L44" si="90">IF(OR(I44="", I44=0), "",
  IF(I44&lt;=2,   1,
  IF(I44&lt;=4,   2,
  IF(I44&lt;=5.5, 3, 4))))</f>
        <v>1</v>
      </c>
      <c r="L44" s="190">
        <f t="shared" si="90"/>
        <v>2</v>
      </c>
      <c r="M44" s="190" t="str">
        <f t="shared" si="4"/>
        <v>Lv1 → Lv2</v>
      </c>
      <c r="N44" s="220" t="s">
        <v>943</v>
      </c>
      <c r="O44" s="220" t="s">
        <v>925</v>
      </c>
      <c r="P44" s="190">
        <f t="shared" si="5"/>
        <v>1</v>
      </c>
      <c r="Q44" s="210">
        <f t="shared" si="6"/>
        <v>3</v>
      </c>
      <c r="R44" s="210">
        <f t="shared" ref="R44:S44" si="91">IF(OR(P44="", P44=0), "",
  IF(P44&lt;=2,   1,
  IF(P44&lt;=4,   2,
  IF(P44&lt;=5.5, 3, 4))))</f>
        <v>1</v>
      </c>
      <c r="S44" s="210">
        <f t="shared" si="91"/>
        <v>2</v>
      </c>
      <c r="T44" s="210" t="str">
        <f t="shared" si="8"/>
        <v>Lv1 → Lv2</v>
      </c>
      <c r="U44" s="210">
        <f t="shared" si="9"/>
        <v>0</v>
      </c>
      <c r="V44" s="210"/>
    </row>
    <row r="45">
      <c r="A45" s="220" t="s">
        <v>352</v>
      </c>
      <c r="B45" s="190" t="s">
        <v>353</v>
      </c>
      <c r="C45" s="223" t="s">
        <v>54</v>
      </c>
      <c r="D45" s="223" t="s">
        <v>848</v>
      </c>
      <c r="E45" s="190" t="s">
        <v>22</v>
      </c>
      <c r="F45" s="13" t="s">
        <v>929</v>
      </c>
      <c r="G45" s="13" t="s">
        <v>918</v>
      </c>
      <c r="H45" s="219">
        <f>IFERROR(
  MINIFS(ATTENDANCE_LOG!$F:$F,
         ATTENDANCE_LOG!$A:$A, C45,
         ATTENDANCE_LOG!$B:$B, E45),
"")</f>
        <v>45869.58333</v>
      </c>
      <c r="I45" s="190">
        <f>IFERROR(VLOOKUP(F45, LEVEL_HELPER!$A:$B, 2, 0), "")</f>
        <v>1.5</v>
      </c>
      <c r="J45" s="190">
        <f>IFERROR(VLOOKUP(G45, LEVEL_HELPER!$A:$B, 2, 0), "")</f>
        <v>3</v>
      </c>
      <c r="K45" s="190">
        <f t="shared" ref="K45:L45" si="92">IF(OR(I45="", I45=0), "",
  IF(I45&lt;=2,   1,
  IF(I45&lt;=4,   2,
  IF(I45&lt;=5.5, 3, 4))))</f>
        <v>1</v>
      </c>
      <c r="L45" s="190">
        <f t="shared" si="92"/>
        <v>2</v>
      </c>
      <c r="M45" s="190" t="str">
        <f t="shared" si="4"/>
        <v>Lv1 → Lv2</v>
      </c>
      <c r="N45" s="220" t="s">
        <v>943</v>
      </c>
      <c r="O45" s="220" t="s">
        <v>925</v>
      </c>
      <c r="P45" s="190">
        <f t="shared" si="5"/>
        <v>1</v>
      </c>
      <c r="Q45" s="210">
        <f t="shared" si="6"/>
        <v>3</v>
      </c>
      <c r="R45" s="210">
        <f t="shared" ref="R45:S45" si="93">IF(OR(P45="", P45=0), "",
  IF(P45&lt;=2,   1,
  IF(P45&lt;=4,   2,
  IF(P45&lt;=5.5, 3, 4))))</f>
        <v>1</v>
      </c>
      <c r="S45" s="210">
        <f t="shared" si="93"/>
        <v>2</v>
      </c>
      <c r="T45" s="210" t="str">
        <f t="shared" si="8"/>
        <v>Lv1 → Lv2</v>
      </c>
      <c r="U45" s="210">
        <f t="shared" si="9"/>
        <v>0</v>
      </c>
      <c r="V45" s="210"/>
    </row>
    <row r="46">
      <c r="A46" s="220" t="s">
        <v>553</v>
      </c>
      <c r="B46" s="190" t="s">
        <v>554</v>
      </c>
      <c r="C46" s="223" t="s">
        <v>54</v>
      </c>
      <c r="D46" s="223" t="s">
        <v>848</v>
      </c>
      <c r="E46" s="190" t="s">
        <v>22</v>
      </c>
      <c r="F46" s="13" t="s">
        <v>935</v>
      </c>
      <c r="G46" s="13" t="s">
        <v>941</v>
      </c>
      <c r="H46" s="219">
        <f>IFERROR(
  MINIFS(ATTENDANCE_LOG!$F:$F,
         ATTENDANCE_LOG!$A:$A, C46,
         ATTENDANCE_LOG!$B:$B, E46),
"")</f>
        <v>45869.58333</v>
      </c>
      <c r="I46" s="190">
        <f>IFERROR(VLOOKUP(F46, LEVEL_HELPER!$A:$B, 2, 0), "")</f>
        <v>3.5</v>
      </c>
      <c r="J46" s="190">
        <f>IFERROR(VLOOKUP(G46, LEVEL_HELPER!$A:$B, 2, 0), "")</f>
        <v>5</v>
      </c>
      <c r="K46" s="190">
        <f t="shared" ref="K46:L46" si="94">IF(OR(I46="", I46=0), "",
  IF(I46&lt;=2,   1,
  IF(I46&lt;=4,   2,
  IF(I46&lt;=5.5, 3, 4))))</f>
        <v>2</v>
      </c>
      <c r="L46" s="190">
        <f t="shared" si="94"/>
        <v>3</v>
      </c>
      <c r="M46" s="190" t="str">
        <f t="shared" si="4"/>
        <v>Lv2 → Lv3</v>
      </c>
      <c r="N46" s="220" t="s">
        <v>943</v>
      </c>
      <c r="O46" s="220" t="s">
        <v>925</v>
      </c>
      <c r="P46" s="190">
        <f t="shared" si="5"/>
        <v>1</v>
      </c>
      <c r="Q46" s="210">
        <f t="shared" si="6"/>
        <v>5</v>
      </c>
      <c r="R46" s="210">
        <f t="shared" ref="R46:S46" si="95">IF(OR(P46="", P46=0), "",
  IF(P46&lt;=2,   1,
  IF(P46&lt;=4,   2,
  IF(P46&lt;=5.5, 3, 4))))</f>
        <v>1</v>
      </c>
      <c r="S46" s="210">
        <f t="shared" si="95"/>
        <v>3</v>
      </c>
      <c r="T46" s="210" t="str">
        <f t="shared" si="8"/>
        <v>Lv1 → Lv3 (multi)</v>
      </c>
      <c r="U46" s="210">
        <f t="shared" si="9"/>
        <v>0</v>
      </c>
      <c r="V46" s="210"/>
    </row>
    <row r="47">
      <c r="A47" s="220" t="s">
        <v>617</v>
      </c>
      <c r="B47" s="190" t="s">
        <v>618</v>
      </c>
      <c r="C47" s="223" t="s">
        <v>54</v>
      </c>
      <c r="D47" s="223" t="s">
        <v>848</v>
      </c>
      <c r="E47" s="190" t="s">
        <v>22</v>
      </c>
      <c r="F47" s="13" t="s">
        <v>918</v>
      </c>
      <c r="G47" s="13" t="s">
        <v>935</v>
      </c>
      <c r="H47" s="219">
        <f>IFERROR(
  MINIFS(ATTENDANCE_LOG!$F:$F,
         ATTENDANCE_LOG!$A:$A, C47,
         ATTENDANCE_LOG!$B:$B, E47),
"")</f>
        <v>45869.58333</v>
      </c>
      <c r="I47" s="190">
        <f>IFERROR(VLOOKUP(F47, LEVEL_HELPER!$A:$B, 2, 0), "")</f>
        <v>3</v>
      </c>
      <c r="J47" s="190">
        <f>IFERROR(VLOOKUP(G47, LEVEL_HELPER!$A:$B, 2, 0), "")</f>
        <v>3.5</v>
      </c>
      <c r="K47" s="190">
        <f t="shared" ref="K47:L47" si="96">IF(OR(I47="", I47=0), "",
  IF(I47&lt;=2,   1,
  IF(I47&lt;=4,   2,
  IF(I47&lt;=5.5, 3, 4))))</f>
        <v>2</v>
      </c>
      <c r="L47" s="190">
        <f t="shared" si="96"/>
        <v>2</v>
      </c>
      <c r="M47" s="190" t="str">
        <f t="shared" si="4"/>
        <v>Progress within level</v>
      </c>
      <c r="N47" s="220" t="s">
        <v>943</v>
      </c>
      <c r="O47" s="220" t="s">
        <v>925</v>
      </c>
      <c r="P47" s="190">
        <f t="shared" si="5"/>
        <v>1</v>
      </c>
      <c r="Q47" s="210">
        <f t="shared" si="6"/>
        <v>3.5</v>
      </c>
      <c r="R47" s="210">
        <f t="shared" ref="R47:S47" si="97">IF(OR(P47="", P47=0), "",
  IF(P47&lt;=2,   1,
  IF(P47&lt;=4,   2,
  IF(P47&lt;=5.5, 3, 4))))</f>
        <v>1</v>
      </c>
      <c r="S47" s="210">
        <f t="shared" si="97"/>
        <v>2</v>
      </c>
      <c r="T47" s="210" t="str">
        <f t="shared" si="8"/>
        <v>Lv1 → Lv2</v>
      </c>
      <c r="U47" s="210">
        <f t="shared" si="9"/>
        <v>0</v>
      </c>
      <c r="V47" s="210"/>
    </row>
    <row r="48">
      <c r="A48" s="220" t="s">
        <v>695</v>
      </c>
      <c r="B48" s="190" t="s">
        <v>696</v>
      </c>
      <c r="C48" s="223" t="s">
        <v>54</v>
      </c>
      <c r="D48" s="223" t="s">
        <v>848</v>
      </c>
      <c r="E48" s="190" t="s">
        <v>22</v>
      </c>
      <c r="F48" s="190"/>
      <c r="G48" s="190"/>
      <c r="H48" s="219">
        <f>IFERROR(
  MINIFS(ATTENDANCE_LOG!$F:$F,
         ATTENDANCE_LOG!$A:$A, C48,
         ATTENDANCE_LOG!$B:$B, E48),
"")</f>
        <v>45869.58333</v>
      </c>
      <c r="I48" s="190" t="str">
        <f>IFERROR(VLOOKUP(F48, LEVEL_HELPER!$A:$B, 2, 0), "")</f>
        <v/>
      </c>
      <c r="J48" s="190" t="str">
        <f>IFERROR(VLOOKUP(G48, LEVEL_HELPER!$A:$B, 2, 0), "")</f>
        <v/>
      </c>
      <c r="K48" s="190" t="str">
        <f t="shared" ref="K48:L48" si="98">IF(OR(I48="", I48=0), "",
  IF(I48&lt;=2,   1,
  IF(I48&lt;=4,   2,
  IF(I48&lt;=5.5, 3, 4))))</f>
        <v/>
      </c>
      <c r="L48" s="190" t="str">
        <f t="shared" si="98"/>
        <v/>
      </c>
      <c r="M48" s="190" t="str">
        <f t="shared" si="4"/>
        <v>No Data</v>
      </c>
      <c r="N48" s="220" t="s">
        <v>943</v>
      </c>
      <c r="O48" s="220" t="s">
        <v>925</v>
      </c>
      <c r="P48" s="190">
        <f t="shared" si="5"/>
        <v>0</v>
      </c>
      <c r="Q48" s="210">
        <f t="shared" si="6"/>
        <v>0</v>
      </c>
      <c r="R48" s="210" t="str">
        <f t="shared" ref="R48:S48" si="99">IF(OR(P48="", P48=0), "",
  IF(P48&lt;=2,   1,
  IF(P48&lt;=4,   2,
  IF(P48&lt;=5.5, 3, 4))))</f>
        <v/>
      </c>
      <c r="S48" s="210" t="str">
        <f t="shared" si="99"/>
        <v/>
      </c>
      <c r="T48" s="210" t="str">
        <f t="shared" si="8"/>
        <v>No Data</v>
      </c>
      <c r="U48" s="210">
        <f t="shared" si="9"/>
        <v>0</v>
      </c>
      <c r="V48" s="210"/>
    </row>
    <row r="49">
      <c r="A49" s="247" t="s">
        <v>330</v>
      </c>
      <c r="B49" s="217" t="s">
        <v>331</v>
      </c>
      <c r="C49" s="218" t="s">
        <v>55</v>
      </c>
      <c r="D49" s="218" t="s">
        <v>849</v>
      </c>
      <c r="E49" s="217" t="s">
        <v>21</v>
      </c>
      <c r="F49" s="13" t="s">
        <v>917</v>
      </c>
      <c r="G49" s="13" t="s">
        <v>932</v>
      </c>
      <c r="H49" s="219">
        <f>IFERROR(
  MINIFS(ATTENDANCE_LOG!$F:$F,
         ATTENDANCE_LOG!$A:$A, C49,
         ATTENDANCE_LOG!$B:$B, E49),
"")</f>
        <v>45637.41667</v>
      </c>
      <c r="I49" s="190">
        <f>IFERROR(VLOOKUP(F49, LEVEL_HELPER!$A:$B, 2, 0), "")</f>
        <v>2.5</v>
      </c>
      <c r="J49" s="190">
        <f>IFERROR(VLOOKUP(G49, LEVEL_HELPER!$A:$B, 2, 0), "")</f>
        <v>4.5</v>
      </c>
      <c r="K49" s="190">
        <f t="shared" ref="K49:L49" si="100">IF(OR(I49="", I49=0), "",
  IF(I49&lt;=2,   1,
  IF(I49&lt;=4,   2,
  IF(I49&lt;=5.5, 3, 4))))</f>
        <v>2</v>
      </c>
      <c r="L49" s="190">
        <f t="shared" si="100"/>
        <v>3</v>
      </c>
      <c r="M49" s="190" t="str">
        <f t="shared" si="4"/>
        <v>Lv2 → Lv3</v>
      </c>
      <c r="N49" s="220" t="s">
        <v>943</v>
      </c>
      <c r="O49" s="220" t="s">
        <v>923</v>
      </c>
      <c r="P49" s="190">
        <f t="shared" si="5"/>
        <v>2.5</v>
      </c>
      <c r="Q49" s="210">
        <f t="shared" si="6"/>
        <v>5.5</v>
      </c>
      <c r="R49" s="210">
        <f t="shared" ref="R49:S49" si="101">IF(OR(P49="", P49=0), "",
  IF(P49&lt;=2,   1,
  IF(P49&lt;=4,   2,
  IF(P49&lt;=5.5, 3, 4))))</f>
        <v>2</v>
      </c>
      <c r="S49" s="210">
        <f t="shared" si="101"/>
        <v>3</v>
      </c>
      <c r="T49" s="210" t="str">
        <f t="shared" si="8"/>
        <v>Lv2 → Lv3</v>
      </c>
      <c r="U49" s="210">
        <f t="shared" si="9"/>
        <v>1</v>
      </c>
      <c r="V49" s="210"/>
    </row>
    <row r="50">
      <c r="A50" s="220" t="s">
        <v>294</v>
      </c>
      <c r="B50" s="190" t="s">
        <v>295</v>
      </c>
      <c r="C50" s="223" t="s">
        <v>55</v>
      </c>
      <c r="D50" s="223" t="s">
        <v>849</v>
      </c>
      <c r="E50" s="190" t="s">
        <v>21</v>
      </c>
      <c r="F50" s="13" t="s">
        <v>927</v>
      </c>
      <c r="G50" s="13" t="s">
        <v>929</v>
      </c>
      <c r="H50" s="219">
        <f>IFERROR(
  MINIFS(ATTENDANCE_LOG!$F:$F,
         ATTENDANCE_LOG!$A:$A, C50,
         ATTENDANCE_LOG!$B:$B, E50),
"")</f>
        <v>45637.41667</v>
      </c>
      <c r="I50" s="190">
        <f>IFERROR(VLOOKUP(F50, LEVEL_HELPER!$A:$B, 2, 0), "")</f>
        <v>1</v>
      </c>
      <c r="J50" s="190">
        <f>IFERROR(VLOOKUP(G50, LEVEL_HELPER!$A:$B, 2, 0), "")</f>
        <v>1.5</v>
      </c>
      <c r="K50" s="190">
        <f t="shared" ref="K50:L50" si="102">IF(OR(I50="", I50=0), "",
  IF(I50&lt;=2,   1,
  IF(I50&lt;=4,   2,
  IF(I50&lt;=5.5, 3, 4))))</f>
        <v>1</v>
      </c>
      <c r="L50" s="190">
        <f t="shared" si="102"/>
        <v>1</v>
      </c>
      <c r="M50" s="190" t="str">
        <f t="shared" si="4"/>
        <v>Progress within level</v>
      </c>
      <c r="N50" s="220" t="s">
        <v>931</v>
      </c>
      <c r="O50" s="220" t="s">
        <v>923</v>
      </c>
      <c r="P50" s="190">
        <f t="shared" si="5"/>
        <v>1</v>
      </c>
      <c r="Q50" s="210">
        <f t="shared" si="6"/>
        <v>3</v>
      </c>
      <c r="R50" s="210">
        <f t="shared" ref="R50:S50" si="103">IF(OR(P50="", P50=0), "",
  IF(P50&lt;=2,   1,
  IF(P50&lt;=4,   2,
  IF(P50&lt;=5.5, 3, 4))))</f>
        <v>1</v>
      </c>
      <c r="S50" s="210">
        <f t="shared" si="103"/>
        <v>2</v>
      </c>
      <c r="T50" s="210" t="str">
        <f t="shared" si="8"/>
        <v>Lv1 → Lv2</v>
      </c>
      <c r="U50" s="210">
        <f t="shared" si="9"/>
        <v>1</v>
      </c>
      <c r="V50" s="210"/>
    </row>
    <row r="51">
      <c r="A51" s="220" t="s">
        <v>411</v>
      </c>
      <c r="B51" s="190" t="s">
        <v>412</v>
      </c>
      <c r="C51" s="223" t="s">
        <v>55</v>
      </c>
      <c r="D51" s="223" t="s">
        <v>849</v>
      </c>
      <c r="E51" s="190" t="s">
        <v>21</v>
      </c>
      <c r="F51" s="13" t="s">
        <v>917</v>
      </c>
      <c r="G51" s="13" t="s">
        <v>929</v>
      </c>
      <c r="H51" s="219">
        <f>IFERROR(
  MINIFS(ATTENDANCE_LOG!$F:$F,
         ATTENDANCE_LOG!$A:$A, C51,
         ATTENDANCE_LOG!$B:$B, E51),
"")</f>
        <v>45637.41667</v>
      </c>
      <c r="I51" s="190">
        <f>IFERROR(VLOOKUP(F51, LEVEL_HELPER!$A:$B, 2, 0), "")</f>
        <v>2.5</v>
      </c>
      <c r="J51" s="190">
        <f>IFERROR(VLOOKUP(G51, LEVEL_HELPER!$A:$B, 2, 0), "")</f>
        <v>1.5</v>
      </c>
      <c r="K51" s="190">
        <f t="shared" ref="K51:L51" si="104">IF(OR(I51="", I51=0), "",
  IF(I51&lt;=2,   1,
  IF(I51&lt;=4,   2,
  IF(I51&lt;=5.5, 3, 4))))</f>
        <v>2</v>
      </c>
      <c r="L51" s="190">
        <f t="shared" si="104"/>
        <v>1</v>
      </c>
      <c r="M51" s="190" t="str">
        <f t="shared" si="4"/>
        <v>Regressed</v>
      </c>
      <c r="N51" s="220" t="s">
        <v>931</v>
      </c>
      <c r="O51" s="220" t="s">
        <v>923</v>
      </c>
      <c r="P51" s="190">
        <f t="shared" si="5"/>
        <v>1.5</v>
      </c>
      <c r="Q51" s="210">
        <f t="shared" si="6"/>
        <v>5</v>
      </c>
      <c r="R51" s="210">
        <f t="shared" ref="R51:S51" si="105">IF(OR(P51="", P51=0), "",
  IF(P51&lt;=2,   1,
  IF(P51&lt;=4,   2,
  IF(P51&lt;=5.5, 3, 4))))</f>
        <v>1</v>
      </c>
      <c r="S51" s="210">
        <f t="shared" si="105"/>
        <v>3</v>
      </c>
      <c r="T51" s="210" t="str">
        <f t="shared" si="8"/>
        <v>Lv1 → Lv3 (multi)</v>
      </c>
      <c r="U51" s="210">
        <f t="shared" si="9"/>
        <v>1</v>
      </c>
      <c r="V51" s="210"/>
    </row>
    <row r="52">
      <c r="A52" s="220" t="s">
        <v>496</v>
      </c>
      <c r="B52" s="190" t="s">
        <v>497</v>
      </c>
      <c r="C52" s="223" t="s">
        <v>55</v>
      </c>
      <c r="D52" s="223" t="s">
        <v>849</v>
      </c>
      <c r="E52" s="190" t="s">
        <v>21</v>
      </c>
      <c r="F52" s="190"/>
      <c r="G52" s="190"/>
      <c r="H52" s="219">
        <f>IFERROR(
  MINIFS(ATTENDANCE_LOG!$F:$F,
         ATTENDANCE_LOG!$A:$A, C52,
         ATTENDANCE_LOG!$B:$B, E52),
"")</f>
        <v>45637.41667</v>
      </c>
      <c r="I52" s="190" t="str">
        <f>IFERROR(VLOOKUP(F52, LEVEL_HELPER!$A:$B, 2, 0), "")</f>
        <v/>
      </c>
      <c r="J52" s="190" t="str">
        <f>IFERROR(VLOOKUP(G52, LEVEL_HELPER!$A:$B, 2, 0), "")</f>
        <v/>
      </c>
      <c r="K52" s="190" t="str">
        <f t="shared" ref="K52:L52" si="106">IF(OR(I52="", I52=0), "",
  IF(I52&lt;=2,   1,
  IF(I52&lt;=4,   2,
  IF(I52&lt;=5.5, 3, 4))))</f>
        <v/>
      </c>
      <c r="L52" s="190" t="str">
        <f t="shared" si="106"/>
        <v/>
      </c>
      <c r="M52" s="190" t="str">
        <f t="shared" si="4"/>
        <v>No Data</v>
      </c>
      <c r="N52" s="220" t="s">
        <v>931</v>
      </c>
      <c r="O52" s="220" t="s">
        <v>925</v>
      </c>
      <c r="P52" s="190">
        <f t="shared" si="5"/>
        <v>0</v>
      </c>
      <c r="Q52" s="210">
        <f t="shared" si="6"/>
        <v>0</v>
      </c>
      <c r="R52" s="210" t="str">
        <f t="shared" ref="R52:S52" si="107">IF(OR(P52="", P52=0), "",
  IF(P52&lt;=2,   1,
  IF(P52&lt;=4,   2,
  IF(P52&lt;=5.5, 3, 4))))</f>
        <v/>
      </c>
      <c r="S52" s="210" t="str">
        <f t="shared" si="107"/>
        <v/>
      </c>
      <c r="T52" s="210" t="str">
        <f t="shared" si="8"/>
        <v>No Data</v>
      </c>
      <c r="U52" s="210">
        <f t="shared" si="9"/>
        <v>1</v>
      </c>
      <c r="V52" s="210"/>
    </row>
    <row r="53">
      <c r="A53" s="220" t="s">
        <v>547</v>
      </c>
      <c r="B53" s="190" t="s">
        <v>548</v>
      </c>
      <c r="C53" s="223" t="s">
        <v>55</v>
      </c>
      <c r="D53" s="223" t="s">
        <v>849</v>
      </c>
      <c r="E53" s="190" t="s">
        <v>21</v>
      </c>
      <c r="F53" s="13" t="s">
        <v>932</v>
      </c>
      <c r="G53" s="13" t="s">
        <v>932</v>
      </c>
      <c r="H53" s="219">
        <f>IFERROR(
  MINIFS(ATTENDANCE_LOG!$F:$F,
         ATTENDANCE_LOG!$A:$A, C53,
         ATTENDANCE_LOG!$B:$B, E53),
"")</f>
        <v>45637.41667</v>
      </c>
      <c r="I53" s="190">
        <f>IFERROR(VLOOKUP(F53, LEVEL_HELPER!$A:$B, 2, 0), "")</f>
        <v>4.5</v>
      </c>
      <c r="J53" s="190">
        <f>IFERROR(VLOOKUP(G53, LEVEL_HELPER!$A:$B, 2, 0), "")</f>
        <v>4.5</v>
      </c>
      <c r="K53" s="190">
        <f t="shared" ref="K53:L53" si="108">IF(OR(I53="", I53=0), "",
  IF(I53&lt;=2,   1,
  IF(I53&lt;=4,   2,
  IF(I53&lt;=5.5, 3, 4))))</f>
        <v>3</v>
      </c>
      <c r="L53" s="190">
        <f t="shared" si="108"/>
        <v>3</v>
      </c>
      <c r="M53" s="190" t="str">
        <f t="shared" si="4"/>
        <v>No Progress</v>
      </c>
      <c r="N53" s="220" t="s">
        <v>931</v>
      </c>
      <c r="O53" s="220" t="s">
        <v>923</v>
      </c>
      <c r="P53" s="190">
        <f t="shared" si="5"/>
        <v>4.5</v>
      </c>
      <c r="Q53" s="210">
        <f t="shared" si="6"/>
        <v>5</v>
      </c>
      <c r="R53" s="210">
        <f t="shared" ref="R53:S53" si="109">IF(OR(P53="", P53=0), "",
  IF(P53&lt;=2,   1,
  IF(P53&lt;=4,   2,
  IF(P53&lt;=5.5, 3, 4))))</f>
        <v>3</v>
      </c>
      <c r="S53" s="210">
        <f t="shared" si="109"/>
        <v>3</v>
      </c>
      <c r="T53" s="210" t="str">
        <f t="shared" si="8"/>
        <v>Progress within level</v>
      </c>
      <c r="U53" s="210">
        <f t="shared" si="9"/>
        <v>1</v>
      </c>
      <c r="V53" s="210"/>
    </row>
    <row r="54">
      <c r="A54" s="247" t="s">
        <v>445</v>
      </c>
      <c r="B54" s="217" t="s">
        <v>446</v>
      </c>
      <c r="C54" s="218" t="s">
        <v>56</v>
      </c>
      <c r="D54" s="218" t="s">
        <v>850</v>
      </c>
      <c r="E54" s="217" t="s">
        <v>21</v>
      </c>
      <c r="F54" s="13" t="s">
        <v>932</v>
      </c>
      <c r="G54" s="13" t="s">
        <v>932</v>
      </c>
      <c r="H54" s="219">
        <f>IFERROR(
  MINIFS(ATTENDANCE_LOG!$F:$F,
         ATTENDANCE_LOG!$A:$A, C54,
         ATTENDANCE_LOG!$B:$B, E54),
"")</f>
        <v>45639.41667</v>
      </c>
      <c r="I54" s="190">
        <f>IFERROR(VLOOKUP(F54, LEVEL_HELPER!$A:$B, 2, 0), "")</f>
        <v>4.5</v>
      </c>
      <c r="J54" s="190">
        <f>IFERROR(VLOOKUP(G54, LEVEL_HELPER!$A:$B, 2, 0), "")</f>
        <v>4.5</v>
      </c>
      <c r="K54" s="190">
        <f t="shared" ref="K54:L54" si="110">IF(OR(I54="", I54=0), "",
  IF(I54&lt;=2,   1,
  IF(I54&lt;=4,   2,
  IF(I54&lt;=5.5, 3, 4))))</f>
        <v>3</v>
      </c>
      <c r="L54" s="190">
        <f t="shared" si="110"/>
        <v>3</v>
      </c>
      <c r="M54" s="190" t="str">
        <f t="shared" si="4"/>
        <v>No Progress</v>
      </c>
      <c r="N54" s="220" t="s">
        <v>943</v>
      </c>
      <c r="O54" s="220" t="s">
        <v>923</v>
      </c>
      <c r="P54" s="190">
        <f t="shared" si="5"/>
        <v>4.5</v>
      </c>
      <c r="Q54" s="210">
        <f t="shared" si="6"/>
        <v>4.5</v>
      </c>
      <c r="R54" s="210">
        <f t="shared" ref="R54:S54" si="111">IF(OR(P54="", P54=0), "",
  IF(P54&lt;=2,   1,
  IF(P54&lt;=4,   2,
  IF(P54&lt;=5.5, 3, 4))))</f>
        <v>3</v>
      </c>
      <c r="S54" s="210">
        <f t="shared" si="111"/>
        <v>3</v>
      </c>
      <c r="T54" s="210" t="str">
        <f t="shared" si="8"/>
        <v>No Progress</v>
      </c>
      <c r="U54" s="210">
        <f t="shared" si="9"/>
        <v>1</v>
      </c>
      <c r="V54" s="210"/>
    </row>
    <row r="55">
      <c r="A55" s="220" t="s">
        <v>176</v>
      </c>
      <c r="B55" s="190" t="s">
        <v>177</v>
      </c>
      <c r="C55" s="223" t="s">
        <v>56</v>
      </c>
      <c r="D55" s="223" t="s">
        <v>850</v>
      </c>
      <c r="E55" s="190" t="s">
        <v>21</v>
      </c>
      <c r="F55" s="13" t="s">
        <v>917</v>
      </c>
      <c r="G55" s="13" t="s">
        <v>932</v>
      </c>
      <c r="H55" s="219">
        <f>IFERROR(
  MINIFS(ATTENDANCE_LOG!$F:$F,
         ATTENDANCE_LOG!$A:$A, C55,
         ATTENDANCE_LOG!$B:$B, E55),
"")</f>
        <v>45639.41667</v>
      </c>
      <c r="I55" s="190">
        <f>IFERROR(VLOOKUP(F55, LEVEL_HELPER!$A:$B, 2, 0), "")</f>
        <v>2.5</v>
      </c>
      <c r="J55" s="190">
        <f>IFERROR(VLOOKUP(G55, LEVEL_HELPER!$A:$B, 2, 0), "")</f>
        <v>4.5</v>
      </c>
      <c r="K55" s="190">
        <f t="shared" ref="K55:L55" si="112">IF(OR(I55="", I55=0), "",
  IF(I55&lt;=2,   1,
  IF(I55&lt;=4,   2,
  IF(I55&lt;=5.5, 3, 4))))</f>
        <v>2</v>
      </c>
      <c r="L55" s="190">
        <f t="shared" si="112"/>
        <v>3</v>
      </c>
      <c r="M55" s="190" t="str">
        <f t="shared" si="4"/>
        <v>Lv2 → Lv3</v>
      </c>
      <c r="N55" s="220" t="s">
        <v>931</v>
      </c>
      <c r="O55" s="220" t="s">
        <v>923</v>
      </c>
      <c r="P55" s="190">
        <f t="shared" si="5"/>
        <v>2.5</v>
      </c>
      <c r="Q55" s="210">
        <f t="shared" si="6"/>
        <v>4.5</v>
      </c>
      <c r="R55" s="210">
        <f t="shared" ref="R55:S55" si="113">IF(OR(P55="", P55=0), "",
  IF(P55&lt;=2,   1,
  IF(P55&lt;=4,   2,
  IF(P55&lt;=5.5, 3, 4))))</f>
        <v>2</v>
      </c>
      <c r="S55" s="210">
        <f t="shared" si="113"/>
        <v>3</v>
      </c>
      <c r="T55" s="210" t="str">
        <f t="shared" si="8"/>
        <v>Lv2 → Lv3</v>
      </c>
      <c r="U55" s="210">
        <f t="shared" si="9"/>
        <v>1</v>
      </c>
      <c r="V55" s="210"/>
    </row>
    <row r="56">
      <c r="A56" s="220" t="s">
        <v>228</v>
      </c>
      <c r="B56" s="190" t="s">
        <v>229</v>
      </c>
      <c r="C56" s="223" t="s">
        <v>56</v>
      </c>
      <c r="D56" s="223" t="s">
        <v>850</v>
      </c>
      <c r="E56" s="190" t="s">
        <v>21</v>
      </c>
      <c r="F56" s="13" t="s">
        <v>927</v>
      </c>
      <c r="G56" s="13" t="s">
        <v>918</v>
      </c>
      <c r="H56" s="219">
        <f>IFERROR(
  MINIFS(ATTENDANCE_LOG!$F:$F,
         ATTENDANCE_LOG!$A:$A, C56,
         ATTENDANCE_LOG!$B:$B, E56),
"")</f>
        <v>45639.41667</v>
      </c>
      <c r="I56" s="190">
        <f>IFERROR(VLOOKUP(F56, LEVEL_HELPER!$A:$B, 2, 0), "")</f>
        <v>1</v>
      </c>
      <c r="J56" s="190">
        <f>IFERROR(VLOOKUP(G56, LEVEL_HELPER!$A:$B, 2, 0), "")</f>
        <v>3</v>
      </c>
      <c r="K56" s="190">
        <f t="shared" ref="K56:L56" si="114">IF(OR(I56="", I56=0), "",
  IF(I56&lt;=2,   1,
  IF(I56&lt;=4,   2,
  IF(I56&lt;=5.5, 3, 4))))</f>
        <v>1</v>
      </c>
      <c r="L56" s="190">
        <f t="shared" si="114"/>
        <v>2</v>
      </c>
      <c r="M56" s="190" t="str">
        <f t="shared" si="4"/>
        <v>Lv1 → Lv2</v>
      </c>
      <c r="N56" s="220" t="s">
        <v>943</v>
      </c>
      <c r="O56" s="220" t="s">
        <v>923</v>
      </c>
      <c r="P56" s="190">
        <f t="shared" si="5"/>
        <v>1</v>
      </c>
      <c r="Q56" s="210">
        <f t="shared" si="6"/>
        <v>3</v>
      </c>
      <c r="R56" s="210">
        <f t="shared" ref="R56:S56" si="115">IF(OR(P56="", P56=0), "",
  IF(P56&lt;=2,   1,
  IF(P56&lt;=4,   2,
  IF(P56&lt;=5.5, 3, 4))))</f>
        <v>1</v>
      </c>
      <c r="S56" s="210">
        <f t="shared" si="115"/>
        <v>2</v>
      </c>
      <c r="T56" s="210" t="str">
        <f t="shared" si="8"/>
        <v>Lv1 → Lv2</v>
      </c>
      <c r="U56" s="210">
        <f t="shared" si="9"/>
        <v>1</v>
      </c>
      <c r="V56" s="210"/>
    </row>
    <row r="57">
      <c r="A57" s="220" t="s">
        <v>482</v>
      </c>
      <c r="B57" s="190" t="s">
        <v>483</v>
      </c>
      <c r="C57" s="223" t="s">
        <v>56</v>
      </c>
      <c r="D57" s="223" t="s">
        <v>850</v>
      </c>
      <c r="E57" s="190" t="s">
        <v>21</v>
      </c>
      <c r="F57" s="13" t="s">
        <v>917</v>
      </c>
      <c r="G57" s="13" t="s">
        <v>935</v>
      </c>
      <c r="H57" s="219">
        <f>IFERROR(
  MINIFS(ATTENDANCE_LOG!$F:$F,
         ATTENDANCE_LOG!$A:$A, C57,
         ATTENDANCE_LOG!$B:$B, E57),
"")</f>
        <v>45639.41667</v>
      </c>
      <c r="I57" s="190">
        <f>IFERROR(VLOOKUP(F57, LEVEL_HELPER!$A:$B, 2, 0), "")</f>
        <v>2.5</v>
      </c>
      <c r="J57" s="190">
        <f>IFERROR(VLOOKUP(G57, LEVEL_HELPER!$A:$B, 2, 0), "")</f>
        <v>3.5</v>
      </c>
      <c r="K57" s="190">
        <f t="shared" ref="K57:L57" si="116">IF(OR(I57="", I57=0), "",
  IF(I57&lt;=2,   1,
  IF(I57&lt;=4,   2,
  IF(I57&lt;=5.5, 3, 4))))</f>
        <v>2</v>
      </c>
      <c r="L57" s="190">
        <f t="shared" si="116"/>
        <v>2</v>
      </c>
      <c r="M57" s="190" t="str">
        <f t="shared" si="4"/>
        <v>Progress within level</v>
      </c>
      <c r="N57" s="220" t="s">
        <v>919</v>
      </c>
      <c r="O57" s="220" t="s">
        <v>926</v>
      </c>
      <c r="P57" s="190">
        <f t="shared" si="5"/>
        <v>2.5</v>
      </c>
      <c r="Q57" s="210">
        <f t="shared" si="6"/>
        <v>3.5</v>
      </c>
      <c r="R57" s="210">
        <f t="shared" ref="R57:S57" si="117">IF(OR(P57="", P57=0), "",
  IF(P57&lt;=2,   1,
  IF(P57&lt;=4,   2,
  IF(P57&lt;=5.5, 3, 4))))</f>
        <v>2</v>
      </c>
      <c r="S57" s="210">
        <f t="shared" si="117"/>
        <v>2</v>
      </c>
      <c r="T57" s="210" t="str">
        <f t="shared" si="8"/>
        <v>Progress within level</v>
      </c>
      <c r="U57" s="210">
        <f t="shared" si="9"/>
        <v>1</v>
      </c>
      <c r="V57" s="210"/>
    </row>
    <row r="58">
      <c r="A58" s="247" t="s">
        <v>357</v>
      </c>
      <c r="B58" s="217" t="s">
        <v>358</v>
      </c>
      <c r="C58" s="218" t="s">
        <v>57</v>
      </c>
      <c r="D58" s="218" t="s">
        <v>851</v>
      </c>
      <c r="E58" s="217" t="s">
        <v>21</v>
      </c>
      <c r="F58" s="13" t="s">
        <v>917</v>
      </c>
      <c r="G58" s="13" t="s">
        <v>935</v>
      </c>
      <c r="H58" s="219">
        <f>IFERROR(
  MINIFS(ATTENDANCE_LOG!$F:$F,
         ATTENDANCE_LOG!$A:$A, C58,
         ATTENDANCE_LOG!$B:$B, E58),
"")</f>
        <v>45702.45833</v>
      </c>
      <c r="I58" s="190">
        <f>IFERROR(VLOOKUP(F58, LEVEL_HELPER!$A:$B, 2, 0), "")</f>
        <v>2.5</v>
      </c>
      <c r="J58" s="190">
        <f>IFERROR(VLOOKUP(G58, LEVEL_HELPER!$A:$B, 2, 0), "")</f>
        <v>3.5</v>
      </c>
      <c r="K58" s="190">
        <f t="shared" ref="K58:L58" si="118">IF(OR(I58="", I58=0), "",
  IF(I58&lt;=2,   1,
  IF(I58&lt;=4,   2,
  IF(I58&lt;=5.5, 3, 4))))</f>
        <v>2</v>
      </c>
      <c r="L58" s="190">
        <f t="shared" si="118"/>
        <v>2</v>
      </c>
      <c r="M58" s="190" t="str">
        <f t="shared" si="4"/>
        <v>Progress within level</v>
      </c>
      <c r="N58" s="220" t="s">
        <v>943</v>
      </c>
      <c r="O58" s="229" t="s">
        <v>922</v>
      </c>
      <c r="P58" s="190">
        <f t="shared" si="5"/>
        <v>2.5</v>
      </c>
      <c r="Q58" s="210">
        <f t="shared" si="6"/>
        <v>3.5</v>
      </c>
      <c r="R58" s="210">
        <f t="shared" ref="R58:S58" si="119">IF(OR(P58="", P58=0), "",
  IF(P58&lt;=2,   1,
  IF(P58&lt;=4,   2,
  IF(P58&lt;=5.5, 3, 4))))</f>
        <v>2</v>
      </c>
      <c r="S58" s="210">
        <f t="shared" si="119"/>
        <v>2</v>
      </c>
      <c r="T58" s="210" t="str">
        <f t="shared" si="8"/>
        <v>Progress within level</v>
      </c>
      <c r="U58" s="210">
        <f t="shared" si="9"/>
        <v>1</v>
      </c>
      <c r="V58" s="210"/>
    </row>
    <row r="59">
      <c r="A59" s="220" t="s">
        <v>230</v>
      </c>
      <c r="B59" s="190" t="s">
        <v>231</v>
      </c>
      <c r="C59" s="223" t="s">
        <v>57</v>
      </c>
      <c r="D59" s="223" t="s">
        <v>851</v>
      </c>
      <c r="E59" s="190" t="s">
        <v>21</v>
      </c>
      <c r="F59" s="13" t="s">
        <v>927</v>
      </c>
      <c r="G59" s="13" t="s">
        <v>918</v>
      </c>
      <c r="H59" s="219">
        <f>IFERROR(
  MINIFS(ATTENDANCE_LOG!$F:$F,
         ATTENDANCE_LOG!$A:$A, C59,
         ATTENDANCE_LOG!$B:$B, E59),
"")</f>
        <v>45702.45833</v>
      </c>
      <c r="I59" s="190">
        <f>IFERROR(VLOOKUP(F59, LEVEL_HELPER!$A:$B, 2, 0), "")</f>
        <v>1</v>
      </c>
      <c r="J59" s="190">
        <f>IFERROR(VLOOKUP(G59, LEVEL_HELPER!$A:$B, 2, 0), "")</f>
        <v>3</v>
      </c>
      <c r="K59" s="190">
        <f t="shared" ref="K59:L59" si="120">IF(OR(I59="", I59=0), "",
  IF(I59&lt;=2,   1,
  IF(I59&lt;=4,   2,
  IF(I59&lt;=5.5, 3, 4))))</f>
        <v>1</v>
      </c>
      <c r="L59" s="190">
        <f t="shared" si="120"/>
        <v>2</v>
      </c>
      <c r="M59" s="190" t="str">
        <f t="shared" si="4"/>
        <v>Lv1 → Lv2</v>
      </c>
      <c r="N59" s="220" t="s">
        <v>943</v>
      </c>
      <c r="O59" s="229" t="s">
        <v>922</v>
      </c>
      <c r="P59" s="190">
        <f t="shared" si="5"/>
        <v>1</v>
      </c>
      <c r="Q59" s="210">
        <f t="shared" si="6"/>
        <v>3</v>
      </c>
      <c r="R59" s="210">
        <f t="shared" ref="R59:S59" si="121">IF(OR(P59="", P59=0), "",
  IF(P59&lt;=2,   1,
  IF(P59&lt;=4,   2,
  IF(P59&lt;=5.5, 3, 4))))</f>
        <v>1</v>
      </c>
      <c r="S59" s="210">
        <f t="shared" si="121"/>
        <v>2</v>
      </c>
      <c r="T59" s="210" t="str">
        <f t="shared" si="8"/>
        <v>Lv1 → Lv2</v>
      </c>
      <c r="U59" s="210">
        <f t="shared" si="9"/>
        <v>1</v>
      </c>
      <c r="V59" s="210"/>
    </row>
    <row r="60">
      <c r="A60" s="220" t="s">
        <v>568</v>
      </c>
      <c r="B60" s="190" t="s">
        <v>569</v>
      </c>
      <c r="C60" s="223" t="s">
        <v>57</v>
      </c>
      <c r="D60" s="223" t="s">
        <v>851</v>
      </c>
      <c r="E60" s="190" t="s">
        <v>21</v>
      </c>
      <c r="F60" s="13" t="s">
        <v>927</v>
      </c>
      <c r="G60" s="13" t="s">
        <v>918</v>
      </c>
      <c r="H60" s="219">
        <f>IFERROR(
  MINIFS(ATTENDANCE_LOG!$F:$F,
         ATTENDANCE_LOG!$A:$A, C60,
         ATTENDANCE_LOG!$B:$B, E60),
"")</f>
        <v>45702.45833</v>
      </c>
      <c r="I60" s="190">
        <f>IFERROR(VLOOKUP(F60, LEVEL_HELPER!$A:$B, 2, 0), "")</f>
        <v>1</v>
      </c>
      <c r="J60" s="190">
        <f>IFERROR(VLOOKUP(G60, LEVEL_HELPER!$A:$B, 2, 0), "")</f>
        <v>3</v>
      </c>
      <c r="K60" s="190">
        <f t="shared" ref="K60:L60" si="122">IF(OR(I60="", I60=0), "",
  IF(I60&lt;=2,   1,
  IF(I60&lt;=4,   2,
  IF(I60&lt;=5.5, 3, 4))))</f>
        <v>1</v>
      </c>
      <c r="L60" s="190">
        <f t="shared" si="122"/>
        <v>2</v>
      </c>
      <c r="M60" s="190" t="str">
        <f t="shared" si="4"/>
        <v>Lv1 → Lv2</v>
      </c>
      <c r="N60" s="220" t="s">
        <v>943</v>
      </c>
      <c r="O60" s="220" t="s">
        <v>923</v>
      </c>
      <c r="P60" s="190">
        <f t="shared" si="5"/>
        <v>1</v>
      </c>
      <c r="Q60" s="210">
        <f t="shared" si="6"/>
        <v>5</v>
      </c>
      <c r="R60" s="210">
        <f t="shared" ref="R60:S60" si="123">IF(OR(P60="", P60=0), "",
  IF(P60&lt;=2,   1,
  IF(P60&lt;=4,   2,
  IF(P60&lt;=5.5, 3, 4))))</f>
        <v>1</v>
      </c>
      <c r="S60" s="210">
        <f t="shared" si="123"/>
        <v>3</v>
      </c>
      <c r="T60" s="210" t="str">
        <f t="shared" si="8"/>
        <v>Lv1 → Lv3 (multi)</v>
      </c>
      <c r="U60" s="210">
        <f t="shared" si="9"/>
        <v>1</v>
      </c>
      <c r="V60" s="210"/>
    </row>
    <row r="61">
      <c r="A61" s="220" t="s">
        <v>625</v>
      </c>
      <c r="B61" s="190" t="s">
        <v>626</v>
      </c>
      <c r="C61" s="223" t="s">
        <v>57</v>
      </c>
      <c r="D61" s="223" t="s">
        <v>851</v>
      </c>
      <c r="E61" s="190" t="s">
        <v>21</v>
      </c>
      <c r="F61" s="13" t="s">
        <v>927</v>
      </c>
      <c r="G61" s="13" t="s">
        <v>918</v>
      </c>
      <c r="H61" s="219">
        <f>IFERROR(
  MINIFS(ATTENDANCE_LOG!$F:$F,
         ATTENDANCE_LOG!$A:$A, C61,
         ATTENDANCE_LOG!$B:$B, E61),
"")</f>
        <v>45702.45833</v>
      </c>
      <c r="I61" s="190">
        <f>IFERROR(VLOOKUP(F61, LEVEL_HELPER!$A:$B, 2, 0), "")</f>
        <v>1</v>
      </c>
      <c r="J61" s="190">
        <f>IFERROR(VLOOKUP(G61, LEVEL_HELPER!$A:$B, 2, 0), "")</f>
        <v>3</v>
      </c>
      <c r="K61" s="190">
        <f t="shared" ref="K61:L61" si="124">IF(OR(I61="", I61=0), "",
  IF(I61&lt;=2,   1,
  IF(I61&lt;=4,   2,
  IF(I61&lt;=5.5, 3, 4))))</f>
        <v>1</v>
      </c>
      <c r="L61" s="190">
        <f t="shared" si="124"/>
        <v>2</v>
      </c>
      <c r="M61" s="190" t="str">
        <f t="shared" si="4"/>
        <v>Lv1 → Lv2</v>
      </c>
      <c r="N61" s="220" t="s">
        <v>943</v>
      </c>
      <c r="O61" s="229" t="s">
        <v>922</v>
      </c>
      <c r="P61" s="190">
        <f t="shared" si="5"/>
        <v>1</v>
      </c>
      <c r="Q61" s="210">
        <f t="shared" si="6"/>
        <v>3</v>
      </c>
      <c r="R61" s="210">
        <f t="shared" ref="R61:S61" si="125">IF(OR(P61="", P61=0), "",
  IF(P61&lt;=2,   1,
  IF(P61&lt;=4,   2,
  IF(P61&lt;=5.5, 3, 4))))</f>
        <v>1</v>
      </c>
      <c r="S61" s="210">
        <f t="shared" si="125"/>
        <v>2</v>
      </c>
      <c r="T61" s="210" t="str">
        <f t="shared" si="8"/>
        <v>Lv1 → Lv2</v>
      </c>
      <c r="U61" s="210">
        <f t="shared" si="9"/>
        <v>1</v>
      </c>
      <c r="V61" s="210"/>
    </row>
    <row r="62">
      <c r="A62" s="220" t="s">
        <v>675</v>
      </c>
      <c r="B62" s="190" t="s">
        <v>676</v>
      </c>
      <c r="C62" s="223" t="s">
        <v>57</v>
      </c>
      <c r="D62" s="223" t="s">
        <v>851</v>
      </c>
      <c r="E62" s="190" t="s">
        <v>21</v>
      </c>
      <c r="F62" s="13" t="s">
        <v>917</v>
      </c>
      <c r="G62" s="13" t="s">
        <v>918</v>
      </c>
      <c r="H62" s="219">
        <f>IFERROR(
  MINIFS(ATTENDANCE_LOG!$F:$F,
         ATTENDANCE_LOG!$A:$A, C62,
         ATTENDANCE_LOG!$B:$B, E62),
"")</f>
        <v>45702.45833</v>
      </c>
      <c r="I62" s="190">
        <f>IFERROR(VLOOKUP(F62, LEVEL_HELPER!$A:$B, 2, 0), "")</f>
        <v>2.5</v>
      </c>
      <c r="J62" s="190">
        <f>IFERROR(VLOOKUP(G62, LEVEL_HELPER!$A:$B, 2, 0), "")</f>
        <v>3</v>
      </c>
      <c r="K62" s="190">
        <f t="shared" ref="K62:L62" si="126">IF(OR(I62="", I62=0), "",
  IF(I62&lt;=2,   1,
  IF(I62&lt;=4,   2,
  IF(I62&lt;=5.5, 3, 4))))</f>
        <v>2</v>
      </c>
      <c r="L62" s="190">
        <f t="shared" si="126"/>
        <v>2</v>
      </c>
      <c r="M62" s="190" t="str">
        <f t="shared" si="4"/>
        <v>Progress within level</v>
      </c>
      <c r="N62" s="220" t="s">
        <v>919</v>
      </c>
      <c r="O62" s="220" t="s">
        <v>924</v>
      </c>
      <c r="P62" s="190">
        <f t="shared" si="5"/>
        <v>2.5</v>
      </c>
      <c r="Q62" s="210">
        <f t="shared" si="6"/>
        <v>3</v>
      </c>
      <c r="R62" s="210">
        <f t="shared" ref="R62:S62" si="127">IF(OR(P62="", P62=0), "",
  IF(P62&lt;=2,   1,
  IF(P62&lt;=4,   2,
  IF(P62&lt;=5.5, 3, 4))))</f>
        <v>2</v>
      </c>
      <c r="S62" s="210">
        <f t="shared" si="127"/>
        <v>2</v>
      </c>
      <c r="T62" s="210" t="str">
        <f t="shared" si="8"/>
        <v>Progress within level</v>
      </c>
      <c r="U62" s="210">
        <f t="shared" si="9"/>
        <v>1</v>
      </c>
      <c r="V62" s="210"/>
    </row>
    <row r="63">
      <c r="A63" s="247" t="s">
        <v>357</v>
      </c>
      <c r="B63" s="217" t="s">
        <v>358</v>
      </c>
      <c r="C63" s="218" t="s">
        <v>57</v>
      </c>
      <c r="D63" s="218" t="s">
        <v>851</v>
      </c>
      <c r="E63" s="217" t="s">
        <v>22</v>
      </c>
      <c r="F63" s="13" t="s">
        <v>935</v>
      </c>
      <c r="G63" s="190"/>
      <c r="H63" s="219">
        <f>IFERROR(
  MINIFS(ATTENDANCE_LOG!$F:$F,
         ATTENDANCE_LOG!$A:$A, C63,
         ATTENDANCE_LOG!$B:$B, E63),
"")</f>
        <v>45841.58333</v>
      </c>
      <c r="I63" s="190">
        <f>IFERROR(VLOOKUP(F63, LEVEL_HELPER!$A:$B, 2, 0), "")</f>
        <v>3.5</v>
      </c>
      <c r="J63" s="190" t="str">
        <f>IFERROR(VLOOKUP(G63, LEVEL_HELPER!$A:$B, 2, 0), "")</f>
        <v/>
      </c>
      <c r="K63" s="190">
        <f t="shared" ref="K63:L63" si="128">IF(OR(I63="", I63=0), "",
  IF(I63&lt;=2,   1,
  IF(I63&lt;=4,   2,
  IF(I63&lt;=5.5, 3, 4))))</f>
        <v>2</v>
      </c>
      <c r="L63" s="190" t="str">
        <f t="shared" si="128"/>
        <v/>
      </c>
      <c r="M63" s="190" t="str">
        <f t="shared" si="4"/>
        <v>No Data</v>
      </c>
      <c r="N63" s="220" t="s">
        <v>943</v>
      </c>
      <c r="O63" s="229" t="s">
        <v>922</v>
      </c>
      <c r="P63" s="190">
        <f t="shared" si="5"/>
        <v>2.5</v>
      </c>
      <c r="Q63" s="210">
        <f t="shared" si="6"/>
        <v>3.5</v>
      </c>
      <c r="R63" s="210">
        <f t="shared" ref="R63:S63" si="129">IF(OR(P63="", P63=0), "",
  IF(P63&lt;=2,   1,
  IF(P63&lt;=4,   2,
  IF(P63&lt;=5.5, 3, 4))))</f>
        <v>2</v>
      </c>
      <c r="S63" s="210">
        <f t="shared" si="129"/>
        <v>2</v>
      </c>
      <c r="T63" s="210" t="str">
        <f t="shared" si="8"/>
        <v>Progress within level</v>
      </c>
      <c r="U63" s="210">
        <f t="shared" si="9"/>
        <v>0</v>
      </c>
      <c r="V63" s="210"/>
    </row>
    <row r="64">
      <c r="A64" s="220" t="s">
        <v>167</v>
      </c>
      <c r="B64" s="190" t="s">
        <v>168</v>
      </c>
      <c r="C64" s="223" t="s">
        <v>57</v>
      </c>
      <c r="D64" s="223" t="s">
        <v>851</v>
      </c>
      <c r="E64" s="190" t="s">
        <v>22</v>
      </c>
      <c r="F64" s="190"/>
      <c r="G64" s="190"/>
      <c r="H64" s="219">
        <f>IFERROR(
  MINIFS(ATTENDANCE_LOG!$F:$F,
         ATTENDANCE_LOG!$A:$A, C64,
         ATTENDANCE_LOG!$B:$B, E64),
"")</f>
        <v>45841.58333</v>
      </c>
      <c r="I64" s="190" t="str">
        <f>IFERROR(VLOOKUP(F64, LEVEL_HELPER!$A:$B, 2, 0), "")</f>
        <v/>
      </c>
      <c r="J64" s="190" t="str">
        <f>IFERROR(VLOOKUP(G64, LEVEL_HELPER!$A:$B, 2, 0), "")</f>
        <v/>
      </c>
      <c r="K64" s="190" t="str">
        <f t="shared" ref="K64:L64" si="130">IF(OR(I64="", I64=0), "",
  IF(I64&lt;=2,   1,
  IF(I64&lt;=4,   2,
  IF(I64&lt;=5.5, 3, 4))))</f>
        <v/>
      </c>
      <c r="L64" s="190" t="str">
        <f t="shared" si="130"/>
        <v/>
      </c>
      <c r="M64" s="190" t="str">
        <f t="shared" si="4"/>
        <v>No Data</v>
      </c>
      <c r="N64" s="220" t="s">
        <v>919</v>
      </c>
      <c r="O64" s="220" t="s">
        <v>923</v>
      </c>
      <c r="P64" s="190">
        <f t="shared" si="5"/>
        <v>1</v>
      </c>
      <c r="Q64" s="210">
        <f t="shared" si="6"/>
        <v>1.5</v>
      </c>
      <c r="R64" s="210">
        <f t="shared" ref="R64:S64" si="131">IF(OR(P64="", P64=0), "",
  IF(P64&lt;=2,   1,
  IF(P64&lt;=4,   2,
  IF(P64&lt;=5.5, 3, 4))))</f>
        <v>1</v>
      </c>
      <c r="S64" s="210">
        <f t="shared" si="131"/>
        <v>1</v>
      </c>
      <c r="T64" s="210" t="str">
        <f t="shared" si="8"/>
        <v>Progress within level</v>
      </c>
      <c r="U64" s="210">
        <f t="shared" si="9"/>
        <v>1</v>
      </c>
      <c r="V64" s="210"/>
    </row>
    <row r="65">
      <c r="A65" s="220" t="s">
        <v>184</v>
      </c>
      <c r="B65" s="190" t="s">
        <v>185</v>
      </c>
      <c r="C65" s="223" t="s">
        <v>57</v>
      </c>
      <c r="D65" s="223" t="s">
        <v>851</v>
      </c>
      <c r="E65" s="190" t="s">
        <v>22</v>
      </c>
      <c r="F65" s="190"/>
      <c r="G65" s="190"/>
      <c r="H65" s="219">
        <f>IFERROR(
  MINIFS(ATTENDANCE_LOG!$F:$F,
         ATTENDANCE_LOG!$A:$A, C65,
         ATTENDANCE_LOG!$B:$B, E65),
"")</f>
        <v>45841.58333</v>
      </c>
      <c r="I65" s="190" t="str">
        <f>IFERROR(VLOOKUP(F65, LEVEL_HELPER!$A:$B, 2, 0), "")</f>
        <v/>
      </c>
      <c r="J65" s="190" t="str">
        <f>IFERROR(VLOOKUP(G65, LEVEL_HELPER!$A:$B, 2, 0), "")</f>
        <v/>
      </c>
      <c r="K65" s="190" t="str">
        <f t="shared" ref="K65:L65" si="132">IF(OR(I65="", I65=0), "",
  IF(I65&lt;=2,   1,
  IF(I65&lt;=4,   2,
  IF(I65&lt;=5.5, 3, 4))))</f>
        <v/>
      </c>
      <c r="L65" s="190" t="str">
        <f t="shared" si="132"/>
        <v/>
      </c>
      <c r="M65" s="190" t="str">
        <f t="shared" si="4"/>
        <v>No Data</v>
      </c>
      <c r="N65" s="220" t="s">
        <v>943</v>
      </c>
      <c r="O65" s="220" t="s">
        <v>926</v>
      </c>
      <c r="P65" s="190">
        <f t="shared" si="5"/>
        <v>1</v>
      </c>
      <c r="Q65" s="210">
        <f t="shared" si="6"/>
        <v>3.5</v>
      </c>
      <c r="R65" s="210">
        <f t="shared" ref="R65:S65" si="133">IF(OR(P65="", P65=0), "",
  IF(P65&lt;=2,   1,
  IF(P65&lt;=4,   2,
  IF(P65&lt;=5.5, 3, 4))))</f>
        <v>1</v>
      </c>
      <c r="S65" s="210">
        <f t="shared" si="133"/>
        <v>2</v>
      </c>
      <c r="T65" s="210" t="str">
        <f t="shared" si="8"/>
        <v>Lv1 → Lv2</v>
      </c>
      <c r="U65" s="210">
        <f t="shared" si="9"/>
        <v>1</v>
      </c>
      <c r="V65" s="210"/>
    </row>
    <row r="66">
      <c r="A66" s="220" t="s">
        <v>188</v>
      </c>
      <c r="B66" s="190" t="s">
        <v>189</v>
      </c>
      <c r="C66" s="223" t="s">
        <v>57</v>
      </c>
      <c r="D66" s="223" t="s">
        <v>851</v>
      </c>
      <c r="E66" s="190" t="s">
        <v>22</v>
      </c>
      <c r="F66" s="190"/>
      <c r="G66" s="190"/>
      <c r="H66" s="219">
        <f>IFERROR(
  MINIFS(ATTENDANCE_LOG!$F:$F,
         ATTENDANCE_LOG!$A:$A, C66,
         ATTENDANCE_LOG!$B:$B, E66),
"")</f>
        <v>45841.58333</v>
      </c>
      <c r="I66" s="190" t="str">
        <f>IFERROR(VLOOKUP(F66, LEVEL_HELPER!$A:$B, 2, 0), "")</f>
        <v/>
      </c>
      <c r="J66" s="190" t="str">
        <f>IFERROR(VLOOKUP(G66, LEVEL_HELPER!$A:$B, 2, 0), "")</f>
        <v/>
      </c>
      <c r="K66" s="190" t="str">
        <f t="shared" ref="K66:L66" si="134">IF(OR(I66="", I66=0), "",
  IF(I66&lt;=2,   1,
  IF(I66&lt;=4,   2,
  IF(I66&lt;=5.5, 3, 4))))</f>
        <v/>
      </c>
      <c r="L66" s="190" t="str">
        <f t="shared" si="134"/>
        <v/>
      </c>
      <c r="M66" s="190" t="str">
        <f t="shared" si="4"/>
        <v>No Data</v>
      </c>
      <c r="N66" s="220" t="s">
        <v>919</v>
      </c>
      <c r="O66" s="220" t="s">
        <v>923</v>
      </c>
      <c r="P66" s="190">
        <f t="shared" si="5"/>
        <v>1</v>
      </c>
      <c r="Q66" s="210">
        <f t="shared" si="6"/>
        <v>3.5</v>
      </c>
      <c r="R66" s="210">
        <f t="shared" ref="R66:S66" si="135">IF(OR(P66="", P66=0), "",
  IF(P66&lt;=2,   1,
  IF(P66&lt;=4,   2,
  IF(P66&lt;=5.5, 3, 4))))</f>
        <v>1</v>
      </c>
      <c r="S66" s="210">
        <f t="shared" si="135"/>
        <v>2</v>
      </c>
      <c r="T66" s="210" t="str">
        <f t="shared" si="8"/>
        <v>Lv1 → Lv2</v>
      </c>
      <c r="U66" s="210">
        <f t="shared" si="9"/>
        <v>1</v>
      </c>
      <c r="V66" s="210"/>
    </row>
    <row r="67">
      <c r="A67" s="220" t="s">
        <v>230</v>
      </c>
      <c r="B67" s="190" t="s">
        <v>231</v>
      </c>
      <c r="C67" s="223" t="s">
        <v>57</v>
      </c>
      <c r="D67" s="223" t="s">
        <v>851</v>
      </c>
      <c r="E67" s="190" t="s">
        <v>22</v>
      </c>
      <c r="F67" s="13" t="s">
        <v>918</v>
      </c>
      <c r="G67" s="190"/>
      <c r="H67" s="219">
        <f>IFERROR(
  MINIFS(ATTENDANCE_LOG!$F:$F,
         ATTENDANCE_LOG!$A:$A, C67,
         ATTENDANCE_LOG!$B:$B, E67),
"")</f>
        <v>45841.58333</v>
      </c>
      <c r="I67" s="190">
        <f>IFERROR(VLOOKUP(F67, LEVEL_HELPER!$A:$B, 2, 0), "")</f>
        <v>3</v>
      </c>
      <c r="J67" s="190" t="str">
        <f>IFERROR(VLOOKUP(G67, LEVEL_HELPER!$A:$B, 2, 0), "")</f>
        <v/>
      </c>
      <c r="K67" s="190">
        <f t="shared" ref="K67:L67" si="136">IF(OR(I67="", I67=0), "",
  IF(I67&lt;=2,   1,
  IF(I67&lt;=4,   2,
  IF(I67&lt;=5.5, 3, 4))))</f>
        <v>2</v>
      </c>
      <c r="L67" s="190" t="str">
        <f t="shared" si="136"/>
        <v/>
      </c>
      <c r="M67" s="190" t="str">
        <f t="shared" si="4"/>
        <v>No Data</v>
      </c>
      <c r="N67" s="220" t="s">
        <v>943</v>
      </c>
      <c r="O67" s="229" t="s">
        <v>922</v>
      </c>
      <c r="P67" s="190">
        <f t="shared" si="5"/>
        <v>1</v>
      </c>
      <c r="Q67" s="210">
        <f t="shared" si="6"/>
        <v>3</v>
      </c>
      <c r="R67" s="210">
        <f t="shared" ref="R67:S67" si="137">IF(OR(P67="", P67=0), "",
  IF(P67&lt;=2,   1,
  IF(P67&lt;=4,   2,
  IF(P67&lt;=5.5, 3, 4))))</f>
        <v>1</v>
      </c>
      <c r="S67" s="210">
        <f t="shared" si="137"/>
        <v>2</v>
      </c>
      <c r="T67" s="210" t="str">
        <f t="shared" si="8"/>
        <v>Lv1 → Lv2</v>
      </c>
      <c r="U67" s="210">
        <f t="shared" si="9"/>
        <v>0</v>
      </c>
      <c r="V67" s="210"/>
    </row>
    <row r="68">
      <c r="A68" s="220" t="s">
        <v>568</v>
      </c>
      <c r="B68" s="190" t="s">
        <v>569</v>
      </c>
      <c r="C68" s="223" t="s">
        <v>57</v>
      </c>
      <c r="D68" s="223" t="s">
        <v>851</v>
      </c>
      <c r="E68" s="190" t="s">
        <v>22</v>
      </c>
      <c r="F68" s="13" t="s">
        <v>918</v>
      </c>
      <c r="G68" s="13" t="s">
        <v>941</v>
      </c>
      <c r="H68" s="219">
        <f>IFERROR(
  MINIFS(ATTENDANCE_LOG!$F:$F,
         ATTENDANCE_LOG!$A:$A, C68,
         ATTENDANCE_LOG!$B:$B, E68),
"")</f>
        <v>45841.58333</v>
      </c>
      <c r="I68" s="190">
        <f>IFERROR(VLOOKUP(F68, LEVEL_HELPER!$A:$B, 2, 0), "")</f>
        <v>3</v>
      </c>
      <c r="J68" s="190">
        <f>IFERROR(VLOOKUP(G68, LEVEL_HELPER!$A:$B, 2, 0), "")</f>
        <v>5</v>
      </c>
      <c r="K68" s="190">
        <f t="shared" ref="K68:L68" si="138">IF(OR(I68="", I68=0), "",
  IF(I68&lt;=2,   1,
  IF(I68&lt;=4,   2,
  IF(I68&lt;=5.5, 3, 4))))</f>
        <v>2</v>
      </c>
      <c r="L68" s="190">
        <f t="shared" si="138"/>
        <v>3</v>
      </c>
      <c r="M68" s="190" t="str">
        <f t="shared" si="4"/>
        <v>Lv2 → Lv3</v>
      </c>
      <c r="N68" s="220" t="s">
        <v>943</v>
      </c>
      <c r="O68" s="220" t="s">
        <v>923</v>
      </c>
      <c r="P68" s="190">
        <f t="shared" si="5"/>
        <v>1</v>
      </c>
      <c r="Q68" s="210">
        <f t="shared" si="6"/>
        <v>5</v>
      </c>
      <c r="R68" s="210">
        <f t="shared" ref="R68:S68" si="139">IF(OR(P68="", P68=0), "",
  IF(P68&lt;=2,   1,
  IF(P68&lt;=4,   2,
  IF(P68&lt;=5.5, 3, 4))))</f>
        <v>1</v>
      </c>
      <c r="S68" s="210">
        <f t="shared" si="139"/>
        <v>3</v>
      </c>
      <c r="T68" s="210" t="str">
        <f t="shared" si="8"/>
        <v>Lv1 → Lv3 (multi)</v>
      </c>
      <c r="U68" s="210">
        <f t="shared" si="9"/>
        <v>0</v>
      </c>
      <c r="V68" s="210"/>
    </row>
    <row r="69">
      <c r="A69" s="220" t="s">
        <v>625</v>
      </c>
      <c r="B69" s="190" t="s">
        <v>626</v>
      </c>
      <c r="C69" s="223" t="s">
        <v>57</v>
      </c>
      <c r="D69" s="223" t="s">
        <v>851</v>
      </c>
      <c r="E69" s="190" t="s">
        <v>22</v>
      </c>
      <c r="F69" s="13" t="s">
        <v>918</v>
      </c>
      <c r="G69" s="190"/>
      <c r="H69" s="219">
        <f>IFERROR(
  MINIFS(ATTENDANCE_LOG!$F:$F,
         ATTENDANCE_LOG!$A:$A, C69,
         ATTENDANCE_LOG!$B:$B, E69),
"")</f>
        <v>45841.58333</v>
      </c>
      <c r="I69" s="190">
        <f>IFERROR(VLOOKUP(F69, LEVEL_HELPER!$A:$B, 2, 0), "")</f>
        <v>3</v>
      </c>
      <c r="J69" s="190" t="str">
        <f>IFERROR(VLOOKUP(G69, LEVEL_HELPER!$A:$B, 2, 0), "")</f>
        <v/>
      </c>
      <c r="K69" s="190">
        <f t="shared" ref="K69:L69" si="140">IF(OR(I69="", I69=0), "",
  IF(I69&lt;=2,   1,
  IF(I69&lt;=4,   2,
  IF(I69&lt;=5.5, 3, 4))))</f>
        <v>2</v>
      </c>
      <c r="L69" s="190" t="str">
        <f t="shared" si="140"/>
        <v/>
      </c>
      <c r="M69" s="190" t="str">
        <f t="shared" si="4"/>
        <v>No Data</v>
      </c>
      <c r="N69" s="220" t="s">
        <v>943</v>
      </c>
      <c r="O69" s="229" t="s">
        <v>922</v>
      </c>
      <c r="P69" s="190">
        <f t="shared" si="5"/>
        <v>1</v>
      </c>
      <c r="Q69" s="210">
        <f t="shared" si="6"/>
        <v>3</v>
      </c>
      <c r="R69" s="210">
        <f t="shared" ref="R69:S69" si="141">IF(OR(P69="", P69=0), "",
  IF(P69&lt;=2,   1,
  IF(P69&lt;=4,   2,
  IF(P69&lt;=5.5, 3, 4))))</f>
        <v>1</v>
      </c>
      <c r="S69" s="210">
        <f t="shared" si="141"/>
        <v>2</v>
      </c>
      <c r="T69" s="210" t="str">
        <f t="shared" si="8"/>
        <v>Lv1 → Lv2</v>
      </c>
      <c r="U69" s="210">
        <f t="shared" si="9"/>
        <v>0</v>
      </c>
      <c r="V69" s="210"/>
    </row>
    <row r="70">
      <c r="A70" s="220" t="s">
        <v>697</v>
      </c>
      <c r="B70" s="190" t="s">
        <v>698</v>
      </c>
      <c r="C70" s="223" t="s">
        <v>57</v>
      </c>
      <c r="D70" s="223" t="s">
        <v>851</v>
      </c>
      <c r="E70" s="190" t="s">
        <v>22</v>
      </c>
      <c r="F70" s="190"/>
      <c r="G70" s="190"/>
      <c r="H70" s="219">
        <f>IFERROR(
  MINIFS(ATTENDANCE_LOG!$F:$F,
         ATTENDANCE_LOG!$A:$A, C70,
         ATTENDANCE_LOG!$B:$B, E70),
"")</f>
        <v>45841.58333</v>
      </c>
      <c r="I70" s="190" t="str">
        <f>IFERROR(VLOOKUP(F70, LEVEL_HELPER!$A:$B, 2, 0), "")</f>
        <v/>
      </c>
      <c r="J70" s="190" t="str">
        <f>IFERROR(VLOOKUP(G70, LEVEL_HELPER!$A:$B, 2, 0), "")</f>
        <v/>
      </c>
      <c r="K70" s="190" t="str">
        <f t="shared" ref="K70:L70" si="142">IF(OR(I70="", I70=0), "",
  IF(I70&lt;=2,   1,
  IF(I70&lt;=4,   2,
  IF(I70&lt;=5.5, 3, 4))))</f>
        <v/>
      </c>
      <c r="L70" s="190" t="str">
        <f t="shared" si="142"/>
        <v/>
      </c>
      <c r="M70" s="190" t="str">
        <f t="shared" si="4"/>
        <v>No Data</v>
      </c>
      <c r="N70" s="220" t="s">
        <v>943</v>
      </c>
      <c r="O70" s="220" t="s">
        <v>926</v>
      </c>
      <c r="P70" s="190">
        <f t="shared" si="5"/>
        <v>1</v>
      </c>
      <c r="Q70" s="210">
        <f t="shared" si="6"/>
        <v>3</v>
      </c>
      <c r="R70" s="210">
        <f t="shared" ref="R70:S70" si="143">IF(OR(P70="", P70=0), "",
  IF(P70&lt;=2,   1,
  IF(P70&lt;=4,   2,
  IF(P70&lt;=5.5, 3, 4))))</f>
        <v>1</v>
      </c>
      <c r="S70" s="210">
        <f t="shared" si="143"/>
        <v>2</v>
      </c>
      <c r="T70" s="210" t="str">
        <f t="shared" si="8"/>
        <v>Lv1 → Lv2</v>
      </c>
      <c r="U70" s="210">
        <f t="shared" si="9"/>
        <v>1</v>
      </c>
      <c r="V70" s="210"/>
    </row>
    <row r="71">
      <c r="A71" s="247" t="s">
        <v>603</v>
      </c>
      <c r="B71" s="217" t="s">
        <v>604</v>
      </c>
      <c r="C71" s="218" t="s">
        <v>58</v>
      </c>
      <c r="D71" s="218" t="s">
        <v>852</v>
      </c>
      <c r="E71" s="217" t="s">
        <v>24</v>
      </c>
      <c r="F71" s="190"/>
      <c r="G71" s="190"/>
      <c r="H71" s="219">
        <f>IFERROR(
  MINIFS(ATTENDANCE_LOG!$F:$F,
         ATTENDANCE_LOG!$A:$A, C71,
         ATTENDANCE_LOG!$B:$B, E71),
"")</f>
        <v>0</v>
      </c>
      <c r="I71" s="190" t="str">
        <f>IFERROR(VLOOKUP(F71, LEVEL_HELPER!$A:$B, 2, 0), "")</f>
        <v/>
      </c>
      <c r="J71" s="190" t="str">
        <f>IFERROR(VLOOKUP(G71, LEVEL_HELPER!$A:$B, 2, 0), "")</f>
        <v/>
      </c>
      <c r="K71" s="190" t="str">
        <f t="shared" ref="K71:L71" si="144">IF(OR(I71="", I71=0), "",
  IF(I71&lt;=2,   1,
  IF(I71&lt;=4,   2,
  IF(I71&lt;=5.5, 3, 4))))</f>
        <v/>
      </c>
      <c r="L71" s="190" t="str">
        <f t="shared" si="144"/>
        <v/>
      </c>
      <c r="M71" s="190" t="str">
        <f t="shared" si="4"/>
        <v>No Data</v>
      </c>
      <c r="N71" s="220" t="s">
        <v>943</v>
      </c>
      <c r="O71" s="220" t="s">
        <v>926</v>
      </c>
      <c r="P71" s="190">
        <f t="shared" si="5"/>
        <v>1</v>
      </c>
      <c r="Q71" s="210">
        <f t="shared" si="6"/>
        <v>5</v>
      </c>
      <c r="R71" s="210">
        <f t="shared" ref="R71:S71" si="145">IF(OR(P71="", P71=0), "",
  IF(P71&lt;=2,   1,
  IF(P71&lt;=4,   2,
  IF(P71&lt;=5.5, 3, 4))))</f>
        <v>1</v>
      </c>
      <c r="S71" s="210">
        <f t="shared" si="145"/>
        <v>3</v>
      </c>
      <c r="T71" s="210" t="str">
        <f t="shared" si="8"/>
        <v>Lv1 → Lv3 (multi)</v>
      </c>
      <c r="U71" s="210">
        <f t="shared" si="9"/>
        <v>1</v>
      </c>
      <c r="V71" s="210"/>
    </row>
    <row r="72">
      <c r="A72" s="220" t="s">
        <v>239</v>
      </c>
      <c r="B72" s="190" t="s">
        <v>240</v>
      </c>
      <c r="C72" s="223" t="s">
        <v>58</v>
      </c>
      <c r="D72" s="223" t="s">
        <v>852</v>
      </c>
      <c r="E72" s="190" t="s">
        <v>24</v>
      </c>
      <c r="F72" s="190"/>
      <c r="G72" s="190"/>
      <c r="H72" s="219">
        <f>IFERROR(
  MINIFS(ATTENDANCE_LOG!$F:$F,
         ATTENDANCE_LOG!$A:$A, C72,
         ATTENDANCE_LOG!$B:$B, E72),
"")</f>
        <v>0</v>
      </c>
      <c r="I72" s="190" t="str">
        <f>IFERROR(VLOOKUP(F72, LEVEL_HELPER!$A:$B, 2, 0), "")</f>
        <v/>
      </c>
      <c r="J72" s="190" t="str">
        <f>IFERROR(VLOOKUP(G72, LEVEL_HELPER!$A:$B, 2, 0), "")</f>
        <v/>
      </c>
      <c r="K72" s="190" t="str">
        <f t="shared" ref="K72:L72" si="146">IF(OR(I72="", I72=0), "",
  IF(I72&lt;=2,   1,
  IF(I72&lt;=4,   2,
  IF(I72&lt;=5.5, 3, 4))))</f>
        <v/>
      </c>
      <c r="L72" s="190" t="str">
        <f t="shared" si="146"/>
        <v/>
      </c>
      <c r="M72" s="190" t="str">
        <f t="shared" si="4"/>
        <v>No Data</v>
      </c>
      <c r="N72" s="220" t="s">
        <v>943</v>
      </c>
      <c r="O72" s="220" t="s">
        <v>926</v>
      </c>
      <c r="P72" s="190">
        <f t="shared" si="5"/>
        <v>1</v>
      </c>
      <c r="Q72" s="210">
        <f t="shared" si="6"/>
        <v>5</v>
      </c>
      <c r="R72" s="210">
        <f t="shared" ref="R72:S72" si="147">IF(OR(P72="", P72=0), "",
  IF(P72&lt;=2,   1,
  IF(P72&lt;=4,   2,
  IF(P72&lt;=5.5, 3, 4))))</f>
        <v>1</v>
      </c>
      <c r="S72" s="210">
        <f t="shared" si="147"/>
        <v>3</v>
      </c>
      <c r="T72" s="210" t="str">
        <f t="shared" si="8"/>
        <v>Lv1 → Lv3 (multi)</v>
      </c>
      <c r="U72" s="210">
        <f t="shared" si="9"/>
        <v>1</v>
      </c>
      <c r="V72" s="210"/>
    </row>
    <row r="73">
      <c r="A73" s="220" t="s">
        <v>263</v>
      </c>
      <c r="B73" s="190" t="s">
        <v>264</v>
      </c>
      <c r="C73" s="223" t="s">
        <v>58</v>
      </c>
      <c r="D73" s="223" t="s">
        <v>852</v>
      </c>
      <c r="E73" s="190" t="s">
        <v>24</v>
      </c>
      <c r="F73" s="190"/>
      <c r="G73" s="190"/>
      <c r="H73" s="219">
        <f>IFERROR(
  MINIFS(ATTENDANCE_LOG!$F:$F,
         ATTENDANCE_LOG!$A:$A, C73,
         ATTENDANCE_LOG!$B:$B, E73),
"")</f>
        <v>0</v>
      </c>
      <c r="I73" s="190" t="str">
        <f>IFERROR(VLOOKUP(F73, LEVEL_HELPER!$A:$B, 2, 0), "")</f>
        <v/>
      </c>
      <c r="J73" s="190" t="str">
        <f>IFERROR(VLOOKUP(G73, LEVEL_HELPER!$A:$B, 2, 0), "")</f>
        <v/>
      </c>
      <c r="K73" s="190" t="str">
        <f t="shared" ref="K73:L73" si="148">IF(OR(I73="", I73=0), "",
  IF(I73&lt;=2,   1,
  IF(I73&lt;=4,   2,
  IF(I73&lt;=5.5, 3, 4))))</f>
        <v/>
      </c>
      <c r="L73" s="190" t="str">
        <f t="shared" si="148"/>
        <v/>
      </c>
      <c r="M73" s="190" t="str">
        <f t="shared" si="4"/>
        <v>No Data</v>
      </c>
      <c r="N73" s="220" t="s">
        <v>919</v>
      </c>
      <c r="O73" s="220" t="s">
        <v>926</v>
      </c>
      <c r="P73" s="190">
        <f t="shared" si="5"/>
        <v>1</v>
      </c>
      <c r="Q73" s="210">
        <f t="shared" si="6"/>
        <v>4.5</v>
      </c>
      <c r="R73" s="210">
        <f t="shared" ref="R73:S73" si="149">IF(OR(P73="", P73=0), "",
  IF(P73&lt;=2,   1,
  IF(P73&lt;=4,   2,
  IF(P73&lt;=5.5, 3, 4))))</f>
        <v>1</v>
      </c>
      <c r="S73" s="210">
        <f t="shared" si="149"/>
        <v>3</v>
      </c>
      <c r="T73" s="210" t="str">
        <f t="shared" si="8"/>
        <v>Lv1 → Lv3 (multi)</v>
      </c>
      <c r="U73" s="210">
        <f t="shared" si="9"/>
        <v>1</v>
      </c>
      <c r="V73" s="210"/>
    </row>
    <row r="74">
      <c r="A74" s="220" t="s">
        <v>383</v>
      </c>
      <c r="B74" s="190" t="s">
        <v>384</v>
      </c>
      <c r="C74" s="223" t="s">
        <v>58</v>
      </c>
      <c r="D74" s="223" t="s">
        <v>852</v>
      </c>
      <c r="E74" s="190" t="s">
        <v>24</v>
      </c>
      <c r="F74" s="190"/>
      <c r="G74" s="190"/>
      <c r="H74" s="219">
        <f>IFERROR(
  MINIFS(ATTENDANCE_LOG!$F:$F,
         ATTENDANCE_LOG!$A:$A, C74,
         ATTENDANCE_LOG!$B:$B, E74),
"")</f>
        <v>0</v>
      </c>
      <c r="I74" s="190" t="str">
        <f>IFERROR(VLOOKUP(F74, LEVEL_HELPER!$A:$B, 2, 0), "")</f>
        <v/>
      </c>
      <c r="J74" s="190" t="str">
        <f>IFERROR(VLOOKUP(G74, LEVEL_HELPER!$A:$B, 2, 0), "")</f>
        <v/>
      </c>
      <c r="K74" s="190" t="str">
        <f t="shared" ref="K74:L74" si="150">IF(OR(I74="", I74=0), "",
  IF(I74&lt;=2,   1,
  IF(I74&lt;=4,   2,
  IF(I74&lt;=5.5, 3, 4))))</f>
        <v/>
      </c>
      <c r="L74" s="190" t="str">
        <f t="shared" si="150"/>
        <v/>
      </c>
      <c r="M74" s="190" t="str">
        <f t="shared" si="4"/>
        <v>No Data</v>
      </c>
      <c r="N74" s="220" t="s">
        <v>942</v>
      </c>
      <c r="O74" s="220" t="s">
        <v>926</v>
      </c>
      <c r="P74" s="190">
        <f t="shared" si="5"/>
        <v>4.5</v>
      </c>
      <c r="Q74" s="210">
        <f t="shared" si="6"/>
        <v>5.5</v>
      </c>
      <c r="R74" s="210">
        <f t="shared" ref="R74:S74" si="151">IF(OR(P74="", P74=0), "",
  IF(P74&lt;=2,   1,
  IF(P74&lt;=4,   2,
  IF(P74&lt;=5.5, 3, 4))))</f>
        <v>3</v>
      </c>
      <c r="S74" s="210">
        <f t="shared" si="151"/>
        <v>3</v>
      </c>
      <c r="T74" s="210" t="str">
        <f t="shared" si="8"/>
        <v>Progress within level</v>
      </c>
      <c r="U74" s="210">
        <f t="shared" si="9"/>
        <v>1</v>
      </c>
      <c r="V74" s="210"/>
    </row>
    <row r="75">
      <c r="A75" s="220" t="s">
        <v>528</v>
      </c>
      <c r="B75" s="190" t="s">
        <v>529</v>
      </c>
      <c r="C75" s="223" t="s">
        <v>58</v>
      </c>
      <c r="D75" s="223" t="s">
        <v>852</v>
      </c>
      <c r="E75" s="190" t="s">
        <v>24</v>
      </c>
      <c r="F75" s="190"/>
      <c r="G75" s="190"/>
      <c r="H75" s="219">
        <f>IFERROR(
  MINIFS(ATTENDANCE_LOG!$F:$F,
         ATTENDANCE_LOG!$A:$A, C75,
         ATTENDANCE_LOG!$B:$B, E75),
"")</f>
        <v>0</v>
      </c>
      <c r="I75" s="190" t="str">
        <f>IFERROR(VLOOKUP(F75, LEVEL_HELPER!$A:$B, 2, 0), "")</f>
        <v/>
      </c>
      <c r="J75" s="190" t="str">
        <f>IFERROR(VLOOKUP(G75, LEVEL_HELPER!$A:$B, 2, 0), "")</f>
        <v/>
      </c>
      <c r="K75" s="190" t="str">
        <f t="shared" ref="K75:L75" si="152">IF(OR(I75="", I75=0), "",
  IF(I75&lt;=2,   1,
  IF(I75&lt;=4,   2,
  IF(I75&lt;=5.5, 3, 4))))</f>
        <v/>
      </c>
      <c r="L75" s="190" t="str">
        <f t="shared" si="152"/>
        <v/>
      </c>
      <c r="M75" s="190" t="str">
        <f t="shared" si="4"/>
        <v>No Data</v>
      </c>
      <c r="N75" s="220" t="s">
        <v>943</v>
      </c>
      <c r="O75" s="220" t="s">
        <v>926</v>
      </c>
      <c r="P75" s="190">
        <f t="shared" si="5"/>
        <v>1</v>
      </c>
      <c r="Q75" s="210">
        <f t="shared" si="6"/>
        <v>5</v>
      </c>
      <c r="R75" s="210">
        <f t="shared" ref="R75:S75" si="153">IF(OR(P75="", P75=0), "",
  IF(P75&lt;=2,   1,
  IF(P75&lt;=4,   2,
  IF(P75&lt;=5.5, 3, 4))))</f>
        <v>1</v>
      </c>
      <c r="S75" s="210">
        <f t="shared" si="153"/>
        <v>3</v>
      </c>
      <c r="T75" s="210" t="str">
        <f t="shared" si="8"/>
        <v>Lv1 → Lv3 (multi)</v>
      </c>
      <c r="U75" s="210">
        <f t="shared" si="9"/>
        <v>1</v>
      </c>
      <c r="V75" s="210"/>
    </row>
    <row r="76">
      <c r="A76" s="220" t="s">
        <v>665</v>
      </c>
      <c r="B76" s="190" t="s">
        <v>666</v>
      </c>
      <c r="C76" s="223" t="s">
        <v>58</v>
      </c>
      <c r="D76" s="223" t="s">
        <v>852</v>
      </c>
      <c r="E76" s="190" t="s">
        <v>24</v>
      </c>
      <c r="F76" s="190"/>
      <c r="G76" s="190"/>
      <c r="H76" s="219">
        <f>IFERROR(
  MINIFS(ATTENDANCE_LOG!$F:$F,
         ATTENDANCE_LOG!$A:$A, C76,
         ATTENDANCE_LOG!$B:$B, E76),
"")</f>
        <v>0</v>
      </c>
      <c r="I76" s="190" t="str">
        <f>IFERROR(VLOOKUP(F76, LEVEL_HELPER!$A:$B, 2, 0), "")</f>
        <v/>
      </c>
      <c r="J76" s="190" t="str">
        <f>IFERROR(VLOOKUP(G76, LEVEL_HELPER!$A:$B, 2, 0), "")</f>
        <v/>
      </c>
      <c r="K76" s="190" t="str">
        <f t="shared" ref="K76:L76" si="154">IF(OR(I76="", I76=0), "",
  IF(I76&lt;=2,   1,
  IF(I76&lt;=4,   2,
  IF(I76&lt;=5.5, 3, 4))))</f>
        <v/>
      </c>
      <c r="L76" s="190" t="str">
        <f t="shared" si="154"/>
        <v/>
      </c>
      <c r="M76" s="190" t="str">
        <f t="shared" si="4"/>
        <v>No Data</v>
      </c>
      <c r="N76" s="220" t="s">
        <v>943</v>
      </c>
      <c r="O76" s="220" t="s">
        <v>926</v>
      </c>
      <c r="P76" s="190">
        <f t="shared" si="5"/>
        <v>1</v>
      </c>
      <c r="Q76" s="210">
        <f t="shared" si="6"/>
        <v>5</v>
      </c>
      <c r="R76" s="210">
        <f t="shared" ref="R76:S76" si="155">IF(OR(P76="", P76=0), "",
  IF(P76&lt;=2,   1,
  IF(P76&lt;=4,   2,
  IF(P76&lt;=5.5, 3, 4))))</f>
        <v>1</v>
      </c>
      <c r="S76" s="210">
        <f t="shared" si="155"/>
        <v>3</v>
      </c>
      <c r="T76" s="210" t="str">
        <f t="shared" si="8"/>
        <v>Lv1 → Lv3 (multi)</v>
      </c>
      <c r="U76" s="210">
        <f t="shared" si="9"/>
        <v>1</v>
      </c>
      <c r="V76" s="210"/>
    </row>
    <row r="77">
      <c r="A77" s="247" t="s">
        <v>603</v>
      </c>
      <c r="B77" s="217" t="s">
        <v>604</v>
      </c>
      <c r="C77" s="218" t="s">
        <v>58</v>
      </c>
      <c r="D77" s="218" t="s">
        <v>852</v>
      </c>
      <c r="E77" s="217" t="s">
        <v>21</v>
      </c>
      <c r="F77" s="13" t="s">
        <v>927</v>
      </c>
      <c r="G77" s="13" t="s">
        <v>918</v>
      </c>
      <c r="H77" s="219">
        <f>IFERROR(
  MINIFS(ATTENDANCE_LOG!$F:$F,
         ATTENDANCE_LOG!$A:$A, C77,
         ATTENDANCE_LOG!$B:$B, E77),
"")</f>
        <v>45772.58333</v>
      </c>
      <c r="I77" s="190">
        <f>IFERROR(VLOOKUP(F77, LEVEL_HELPER!$A:$B, 2, 0), "")</f>
        <v>1</v>
      </c>
      <c r="J77" s="190">
        <f>IFERROR(VLOOKUP(G77, LEVEL_HELPER!$A:$B, 2, 0), "")</f>
        <v>3</v>
      </c>
      <c r="K77" s="190">
        <f t="shared" ref="K77:L77" si="156">IF(OR(I77="", I77=0), "",
  IF(I77&lt;=2,   1,
  IF(I77&lt;=4,   2,
  IF(I77&lt;=5.5, 3, 4))))</f>
        <v>1</v>
      </c>
      <c r="L77" s="190">
        <f t="shared" si="156"/>
        <v>2</v>
      </c>
      <c r="M77" s="190" t="str">
        <f t="shared" si="4"/>
        <v>Lv1 → Lv2</v>
      </c>
      <c r="N77" s="220" t="s">
        <v>943</v>
      </c>
      <c r="O77" s="220" t="s">
        <v>926</v>
      </c>
      <c r="P77" s="190">
        <f t="shared" si="5"/>
        <v>1</v>
      </c>
      <c r="Q77" s="210">
        <f t="shared" si="6"/>
        <v>5</v>
      </c>
      <c r="R77" s="210">
        <f t="shared" ref="R77:S77" si="157">IF(OR(P77="", P77=0), "",
  IF(P77&lt;=2,   1,
  IF(P77&lt;=4,   2,
  IF(P77&lt;=5.5, 3, 4))))</f>
        <v>1</v>
      </c>
      <c r="S77" s="210">
        <f t="shared" si="157"/>
        <v>3</v>
      </c>
      <c r="T77" s="210" t="str">
        <f t="shared" si="8"/>
        <v>Lv1 → Lv3 (multi)</v>
      </c>
      <c r="U77" s="210">
        <f t="shared" si="9"/>
        <v>0</v>
      </c>
      <c r="V77" s="210"/>
    </row>
    <row r="78">
      <c r="A78" s="220" t="s">
        <v>239</v>
      </c>
      <c r="B78" s="190" t="s">
        <v>240</v>
      </c>
      <c r="C78" s="223" t="s">
        <v>58</v>
      </c>
      <c r="D78" s="223" t="s">
        <v>852</v>
      </c>
      <c r="E78" s="190" t="s">
        <v>21</v>
      </c>
      <c r="F78" s="13" t="s">
        <v>927</v>
      </c>
      <c r="G78" s="13" t="s">
        <v>929</v>
      </c>
      <c r="H78" s="219">
        <f>IFERROR(
  MINIFS(ATTENDANCE_LOG!$F:$F,
         ATTENDANCE_LOG!$A:$A, C78,
         ATTENDANCE_LOG!$B:$B, E78),
"")</f>
        <v>45772.58333</v>
      </c>
      <c r="I78" s="190">
        <f>IFERROR(VLOOKUP(F78, LEVEL_HELPER!$A:$B, 2, 0), "")</f>
        <v>1</v>
      </c>
      <c r="J78" s="190">
        <f>IFERROR(VLOOKUP(G78, LEVEL_HELPER!$A:$B, 2, 0), "")</f>
        <v>1.5</v>
      </c>
      <c r="K78" s="190">
        <f t="shared" ref="K78:L78" si="158">IF(OR(I78="", I78=0), "",
  IF(I78&lt;=2,   1,
  IF(I78&lt;=4,   2,
  IF(I78&lt;=5.5, 3, 4))))</f>
        <v>1</v>
      </c>
      <c r="L78" s="190">
        <f t="shared" si="158"/>
        <v>1</v>
      </c>
      <c r="M78" s="190" t="str">
        <f t="shared" si="4"/>
        <v>Progress within level</v>
      </c>
      <c r="N78" s="220" t="s">
        <v>943</v>
      </c>
      <c r="O78" s="220" t="s">
        <v>926</v>
      </c>
      <c r="P78" s="190">
        <f t="shared" si="5"/>
        <v>1</v>
      </c>
      <c r="Q78" s="210">
        <f t="shared" si="6"/>
        <v>5</v>
      </c>
      <c r="R78" s="210">
        <f t="shared" ref="R78:S78" si="159">IF(OR(P78="", P78=0), "",
  IF(P78&lt;=2,   1,
  IF(P78&lt;=4,   2,
  IF(P78&lt;=5.5, 3, 4))))</f>
        <v>1</v>
      </c>
      <c r="S78" s="210">
        <f t="shared" si="159"/>
        <v>3</v>
      </c>
      <c r="T78" s="210" t="str">
        <f t="shared" si="8"/>
        <v>Lv1 → Lv3 (multi)</v>
      </c>
      <c r="U78" s="210">
        <f t="shared" si="9"/>
        <v>0</v>
      </c>
      <c r="V78" s="210"/>
    </row>
    <row r="79">
      <c r="A79" s="220" t="s">
        <v>263</v>
      </c>
      <c r="B79" s="190" t="s">
        <v>264</v>
      </c>
      <c r="C79" s="223" t="s">
        <v>58</v>
      </c>
      <c r="D79" s="223" t="s">
        <v>852</v>
      </c>
      <c r="E79" s="190" t="s">
        <v>21</v>
      </c>
      <c r="F79" s="13" t="s">
        <v>927</v>
      </c>
      <c r="G79" s="13" t="s">
        <v>918</v>
      </c>
      <c r="H79" s="219">
        <f>IFERROR(
  MINIFS(ATTENDANCE_LOG!$F:$F,
         ATTENDANCE_LOG!$A:$A, C79,
         ATTENDANCE_LOG!$B:$B, E79),
"")</f>
        <v>45772.58333</v>
      </c>
      <c r="I79" s="190">
        <f>IFERROR(VLOOKUP(F79, LEVEL_HELPER!$A:$B, 2, 0), "")</f>
        <v>1</v>
      </c>
      <c r="J79" s="190">
        <f>IFERROR(VLOOKUP(G79, LEVEL_HELPER!$A:$B, 2, 0), "")</f>
        <v>3</v>
      </c>
      <c r="K79" s="190">
        <f t="shared" ref="K79:L79" si="160">IF(OR(I79="", I79=0), "",
  IF(I79&lt;=2,   1,
  IF(I79&lt;=4,   2,
  IF(I79&lt;=5.5, 3, 4))))</f>
        <v>1</v>
      </c>
      <c r="L79" s="190">
        <f t="shared" si="160"/>
        <v>2</v>
      </c>
      <c r="M79" s="190" t="str">
        <f t="shared" si="4"/>
        <v>Lv1 → Lv2</v>
      </c>
      <c r="N79" s="220" t="s">
        <v>919</v>
      </c>
      <c r="O79" s="220" t="s">
        <v>926</v>
      </c>
      <c r="P79" s="190">
        <f t="shared" si="5"/>
        <v>1</v>
      </c>
      <c r="Q79" s="210">
        <f t="shared" si="6"/>
        <v>4.5</v>
      </c>
      <c r="R79" s="210">
        <f t="shared" ref="R79:S79" si="161">IF(OR(P79="", P79=0), "",
  IF(P79&lt;=2,   1,
  IF(P79&lt;=4,   2,
  IF(P79&lt;=5.5, 3, 4))))</f>
        <v>1</v>
      </c>
      <c r="S79" s="210">
        <f t="shared" si="161"/>
        <v>3</v>
      </c>
      <c r="T79" s="210" t="str">
        <f t="shared" si="8"/>
        <v>Lv1 → Lv3 (multi)</v>
      </c>
      <c r="U79" s="210">
        <f t="shared" si="9"/>
        <v>0</v>
      </c>
      <c r="V79" s="210"/>
    </row>
    <row r="80">
      <c r="A80" s="220" t="s">
        <v>528</v>
      </c>
      <c r="B80" s="190" t="s">
        <v>529</v>
      </c>
      <c r="C80" s="223" t="s">
        <v>58</v>
      </c>
      <c r="D80" s="223" t="s">
        <v>852</v>
      </c>
      <c r="E80" s="190" t="s">
        <v>21</v>
      </c>
      <c r="F80" s="13" t="s">
        <v>927</v>
      </c>
      <c r="G80" s="13" t="s">
        <v>929</v>
      </c>
      <c r="H80" s="219">
        <f>IFERROR(
  MINIFS(ATTENDANCE_LOG!$F:$F,
         ATTENDANCE_LOG!$A:$A, C80,
         ATTENDANCE_LOG!$B:$B, E80),
"")</f>
        <v>45772.58333</v>
      </c>
      <c r="I80" s="190">
        <f>IFERROR(VLOOKUP(F80, LEVEL_HELPER!$A:$B, 2, 0), "")</f>
        <v>1</v>
      </c>
      <c r="J80" s="190">
        <f>IFERROR(VLOOKUP(G80, LEVEL_HELPER!$A:$B, 2, 0), "")</f>
        <v>1.5</v>
      </c>
      <c r="K80" s="190">
        <f t="shared" ref="K80:L80" si="162">IF(OR(I80="", I80=0), "",
  IF(I80&lt;=2,   1,
  IF(I80&lt;=4,   2,
  IF(I80&lt;=5.5, 3, 4))))</f>
        <v>1</v>
      </c>
      <c r="L80" s="190">
        <f t="shared" si="162"/>
        <v>1</v>
      </c>
      <c r="M80" s="190" t="str">
        <f t="shared" si="4"/>
        <v>Progress within level</v>
      </c>
      <c r="N80" s="220" t="s">
        <v>943</v>
      </c>
      <c r="O80" s="220" t="s">
        <v>926</v>
      </c>
      <c r="P80" s="190">
        <f t="shared" si="5"/>
        <v>1</v>
      </c>
      <c r="Q80" s="210">
        <f t="shared" si="6"/>
        <v>5</v>
      </c>
      <c r="R80" s="210">
        <f t="shared" ref="R80:S80" si="163">IF(OR(P80="", P80=0), "",
  IF(P80&lt;=2,   1,
  IF(P80&lt;=4,   2,
  IF(P80&lt;=5.5, 3, 4))))</f>
        <v>1</v>
      </c>
      <c r="S80" s="210">
        <f t="shared" si="163"/>
        <v>3</v>
      </c>
      <c r="T80" s="210" t="str">
        <f t="shared" si="8"/>
        <v>Lv1 → Lv3 (multi)</v>
      </c>
      <c r="U80" s="210">
        <f t="shared" si="9"/>
        <v>0</v>
      </c>
      <c r="V80" s="210"/>
    </row>
    <row r="81">
      <c r="A81" s="220" t="s">
        <v>665</v>
      </c>
      <c r="B81" s="190" t="s">
        <v>666</v>
      </c>
      <c r="C81" s="223" t="s">
        <v>58</v>
      </c>
      <c r="D81" s="223" t="s">
        <v>852</v>
      </c>
      <c r="E81" s="190" t="s">
        <v>21</v>
      </c>
      <c r="F81" s="13" t="s">
        <v>927</v>
      </c>
      <c r="G81" s="13" t="s">
        <v>935</v>
      </c>
      <c r="H81" s="219">
        <f>IFERROR(
  MINIFS(ATTENDANCE_LOG!$F:$F,
         ATTENDANCE_LOG!$A:$A, C81,
         ATTENDANCE_LOG!$B:$B, E81),
"")</f>
        <v>45772.58333</v>
      </c>
      <c r="I81" s="190">
        <f>IFERROR(VLOOKUP(F81, LEVEL_HELPER!$A:$B, 2, 0), "")</f>
        <v>1</v>
      </c>
      <c r="J81" s="190">
        <f>IFERROR(VLOOKUP(G81, LEVEL_HELPER!$A:$B, 2, 0), "")</f>
        <v>3.5</v>
      </c>
      <c r="K81" s="190">
        <f t="shared" ref="K81:L81" si="164">IF(OR(I81="", I81=0), "",
  IF(I81&lt;=2,   1,
  IF(I81&lt;=4,   2,
  IF(I81&lt;=5.5, 3, 4))))</f>
        <v>1</v>
      </c>
      <c r="L81" s="190">
        <f t="shared" si="164"/>
        <v>2</v>
      </c>
      <c r="M81" s="190" t="str">
        <f t="shared" si="4"/>
        <v>Lv1 → Lv2</v>
      </c>
      <c r="N81" s="220" t="s">
        <v>943</v>
      </c>
      <c r="O81" s="220" t="s">
        <v>926</v>
      </c>
      <c r="P81" s="190">
        <f t="shared" si="5"/>
        <v>1</v>
      </c>
      <c r="Q81" s="210">
        <f t="shared" si="6"/>
        <v>5</v>
      </c>
      <c r="R81" s="210">
        <f t="shared" ref="R81:S81" si="165">IF(OR(P81="", P81=0), "",
  IF(P81&lt;=2,   1,
  IF(P81&lt;=4,   2,
  IF(P81&lt;=5.5, 3, 4))))</f>
        <v>1</v>
      </c>
      <c r="S81" s="210">
        <f t="shared" si="165"/>
        <v>3</v>
      </c>
      <c r="T81" s="210" t="str">
        <f t="shared" si="8"/>
        <v>Lv1 → Lv3 (multi)</v>
      </c>
      <c r="U81" s="210">
        <f t="shared" si="9"/>
        <v>0</v>
      </c>
      <c r="V81" s="210"/>
    </row>
    <row r="82">
      <c r="A82" s="247" t="s">
        <v>603</v>
      </c>
      <c r="B82" s="217" t="s">
        <v>604</v>
      </c>
      <c r="C82" s="218" t="s">
        <v>58</v>
      </c>
      <c r="D82" s="218" t="s">
        <v>852</v>
      </c>
      <c r="E82" s="217" t="s">
        <v>22</v>
      </c>
      <c r="F82" s="13" t="s">
        <v>918</v>
      </c>
      <c r="G82" s="13" t="s">
        <v>941</v>
      </c>
      <c r="H82" s="219">
        <f>IFERROR(
  MINIFS(ATTENDANCE_LOG!$F:$F,
         ATTENDANCE_LOG!$A:$A, C82,
         ATTENDANCE_LOG!$B:$B, E82),
"")</f>
        <v>45946.45833</v>
      </c>
      <c r="I82" s="190">
        <f>IFERROR(VLOOKUP(F82, LEVEL_HELPER!$A:$B, 2, 0), "")</f>
        <v>3</v>
      </c>
      <c r="J82" s="190">
        <f>IFERROR(VLOOKUP(G82, LEVEL_HELPER!$A:$B, 2, 0), "")</f>
        <v>5</v>
      </c>
      <c r="K82" s="190">
        <f t="shared" ref="K82:L82" si="166">IF(OR(I82="", I82=0), "",
  IF(I82&lt;=2,   1,
  IF(I82&lt;=4,   2,
  IF(I82&lt;=5.5, 3, 4))))</f>
        <v>2</v>
      </c>
      <c r="L82" s="190">
        <f t="shared" si="166"/>
        <v>3</v>
      </c>
      <c r="M82" s="190" t="str">
        <f t="shared" si="4"/>
        <v>Lv2 → Lv3</v>
      </c>
      <c r="N82" s="220" t="s">
        <v>943</v>
      </c>
      <c r="O82" s="220" t="s">
        <v>926</v>
      </c>
      <c r="P82" s="190">
        <f t="shared" si="5"/>
        <v>1</v>
      </c>
      <c r="Q82" s="210">
        <f t="shared" si="6"/>
        <v>5</v>
      </c>
      <c r="R82" s="210">
        <f t="shared" ref="R82:S82" si="167">IF(OR(P82="", P82=0), "",
  IF(P82&lt;=2,   1,
  IF(P82&lt;=4,   2,
  IF(P82&lt;=5.5, 3, 4))))</f>
        <v>1</v>
      </c>
      <c r="S82" s="210">
        <f t="shared" si="167"/>
        <v>3</v>
      </c>
      <c r="T82" s="210" t="str">
        <f t="shared" si="8"/>
        <v>Lv1 → Lv3 (multi)</v>
      </c>
      <c r="U82" s="210">
        <f t="shared" si="9"/>
        <v>0</v>
      </c>
      <c r="V82" s="210"/>
    </row>
    <row r="83">
      <c r="A83" s="220" t="s">
        <v>239</v>
      </c>
      <c r="B83" s="190" t="s">
        <v>240</v>
      </c>
      <c r="C83" s="223" t="s">
        <v>58</v>
      </c>
      <c r="D83" s="223" t="s">
        <v>852</v>
      </c>
      <c r="E83" s="190" t="s">
        <v>22</v>
      </c>
      <c r="F83" s="13" t="s">
        <v>929</v>
      </c>
      <c r="G83" s="13" t="s">
        <v>941</v>
      </c>
      <c r="H83" s="219">
        <f>IFERROR(
  MINIFS(ATTENDANCE_LOG!$F:$F,
         ATTENDANCE_LOG!$A:$A, C83,
         ATTENDANCE_LOG!$B:$B, E83),
"")</f>
        <v>45946.45833</v>
      </c>
      <c r="I83" s="190">
        <f>IFERROR(VLOOKUP(F83, LEVEL_HELPER!$A:$B, 2, 0), "")</f>
        <v>1.5</v>
      </c>
      <c r="J83" s="190">
        <f>IFERROR(VLOOKUP(G83, LEVEL_HELPER!$A:$B, 2, 0), "")</f>
        <v>5</v>
      </c>
      <c r="K83" s="190">
        <f t="shared" ref="K83:L83" si="168">IF(OR(I83="", I83=0), "",
  IF(I83&lt;=2,   1,
  IF(I83&lt;=4,   2,
  IF(I83&lt;=5.5, 3, 4))))</f>
        <v>1</v>
      </c>
      <c r="L83" s="190">
        <f t="shared" si="168"/>
        <v>3</v>
      </c>
      <c r="M83" s="190" t="str">
        <f t="shared" si="4"/>
        <v>Lv1 → Lv3 (+2)</v>
      </c>
      <c r="N83" s="220" t="s">
        <v>943</v>
      </c>
      <c r="O83" s="220" t="s">
        <v>926</v>
      </c>
      <c r="P83" s="190">
        <f t="shared" si="5"/>
        <v>1</v>
      </c>
      <c r="Q83" s="210">
        <f t="shared" si="6"/>
        <v>5</v>
      </c>
      <c r="R83" s="210">
        <f t="shared" ref="R83:S83" si="169">IF(OR(P83="", P83=0), "",
  IF(P83&lt;=2,   1,
  IF(P83&lt;=4,   2,
  IF(P83&lt;=5.5, 3, 4))))</f>
        <v>1</v>
      </c>
      <c r="S83" s="210">
        <f t="shared" si="169"/>
        <v>3</v>
      </c>
      <c r="T83" s="210" t="str">
        <f t="shared" si="8"/>
        <v>Lv1 → Lv3 (multi)</v>
      </c>
      <c r="U83" s="210">
        <f t="shared" si="9"/>
        <v>0</v>
      </c>
      <c r="V83" s="210"/>
    </row>
    <row r="84">
      <c r="A84" s="220" t="s">
        <v>263</v>
      </c>
      <c r="B84" s="190" t="s">
        <v>264</v>
      </c>
      <c r="C84" s="223" t="s">
        <v>58</v>
      </c>
      <c r="D84" s="223" t="s">
        <v>852</v>
      </c>
      <c r="E84" s="190" t="s">
        <v>22</v>
      </c>
      <c r="F84" s="13" t="s">
        <v>918</v>
      </c>
      <c r="G84" s="13" t="s">
        <v>932</v>
      </c>
      <c r="H84" s="219">
        <f>IFERROR(
  MINIFS(ATTENDANCE_LOG!$F:$F,
         ATTENDANCE_LOG!$A:$A, C84,
         ATTENDANCE_LOG!$B:$B, E84),
"")</f>
        <v>45946.45833</v>
      </c>
      <c r="I84" s="190">
        <f>IFERROR(VLOOKUP(F84, LEVEL_HELPER!$A:$B, 2, 0), "")</f>
        <v>3</v>
      </c>
      <c r="J84" s="190">
        <f>IFERROR(VLOOKUP(G84, LEVEL_HELPER!$A:$B, 2, 0), "")</f>
        <v>4.5</v>
      </c>
      <c r="K84" s="190">
        <f t="shared" ref="K84:L84" si="170">IF(OR(I84="", I84=0), "",
  IF(I84&lt;=2,   1,
  IF(I84&lt;=4,   2,
  IF(I84&lt;=5.5, 3, 4))))</f>
        <v>2</v>
      </c>
      <c r="L84" s="190">
        <f t="shared" si="170"/>
        <v>3</v>
      </c>
      <c r="M84" s="190" t="str">
        <f t="shared" si="4"/>
        <v>Lv2 → Lv3</v>
      </c>
      <c r="N84" s="220" t="s">
        <v>919</v>
      </c>
      <c r="O84" s="220" t="s">
        <v>926</v>
      </c>
      <c r="P84" s="190">
        <f t="shared" si="5"/>
        <v>1</v>
      </c>
      <c r="Q84" s="210">
        <f t="shared" si="6"/>
        <v>4.5</v>
      </c>
      <c r="R84" s="210">
        <f t="shared" ref="R84:S84" si="171">IF(OR(P84="", P84=0), "",
  IF(P84&lt;=2,   1,
  IF(P84&lt;=4,   2,
  IF(P84&lt;=5.5, 3, 4))))</f>
        <v>1</v>
      </c>
      <c r="S84" s="210">
        <f t="shared" si="171"/>
        <v>3</v>
      </c>
      <c r="T84" s="210" t="str">
        <f t="shared" si="8"/>
        <v>Lv1 → Lv3 (multi)</v>
      </c>
      <c r="U84" s="210">
        <f t="shared" si="9"/>
        <v>0</v>
      </c>
      <c r="V84" s="210"/>
    </row>
    <row r="85">
      <c r="A85" s="220" t="s">
        <v>528</v>
      </c>
      <c r="B85" s="190" t="s">
        <v>529</v>
      </c>
      <c r="C85" s="223" t="s">
        <v>58</v>
      </c>
      <c r="D85" s="223" t="s">
        <v>852</v>
      </c>
      <c r="E85" s="190" t="s">
        <v>22</v>
      </c>
      <c r="F85" s="13" t="s">
        <v>929</v>
      </c>
      <c r="G85" s="13" t="s">
        <v>941</v>
      </c>
      <c r="H85" s="219">
        <f>IFERROR(
  MINIFS(ATTENDANCE_LOG!$F:$F,
         ATTENDANCE_LOG!$A:$A, C85,
         ATTENDANCE_LOG!$B:$B, E85),
"")</f>
        <v>45946.45833</v>
      </c>
      <c r="I85" s="190">
        <f>IFERROR(VLOOKUP(F85, LEVEL_HELPER!$A:$B, 2, 0), "")</f>
        <v>1.5</v>
      </c>
      <c r="J85" s="190">
        <f>IFERROR(VLOOKUP(G85, LEVEL_HELPER!$A:$B, 2, 0), "")</f>
        <v>5</v>
      </c>
      <c r="K85" s="190">
        <f t="shared" ref="K85:L85" si="172">IF(OR(I85="", I85=0), "",
  IF(I85&lt;=2,   1,
  IF(I85&lt;=4,   2,
  IF(I85&lt;=5.5, 3, 4))))</f>
        <v>1</v>
      </c>
      <c r="L85" s="190">
        <f t="shared" si="172"/>
        <v>3</v>
      </c>
      <c r="M85" s="190" t="str">
        <f t="shared" si="4"/>
        <v>Lv1 → Lv3 (+2)</v>
      </c>
      <c r="N85" s="220" t="s">
        <v>943</v>
      </c>
      <c r="O85" s="220" t="s">
        <v>926</v>
      </c>
      <c r="P85" s="190">
        <f t="shared" si="5"/>
        <v>1</v>
      </c>
      <c r="Q85" s="210">
        <f t="shared" si="6"/>
        <v>5</v>
      </c>
      <c r="R85" s="210">
        <f t="shared" ref="R85:S85" si="173">IF(OR(P85="", P85=0), "",
  IF(P85&lt;=2,   1,
  IF(P85&lt;=4,   2,
  IF(P85&lt;=5.5, 3, 4))))</f>
        <v>1</v>
      </c>
      <c r="S85" s="210">
        <f t="shared" si="173"/>
        <v>3</v>
      </c>
      <c r="T85" s="210" t="str">
        <f t="shared" si="8"/>
        <v>Lv1 → Lv3 (multi)</v>
      </c>
      <c r="U85" s="210">
        <f t="shared" si="9"/>
        <v>0</v>
      </c>
      <c r="V85" s="210"/>
    </row>
    <row r="86">
      <c r="A86" s="220" t="s">
        <v>665</v>
      </c>
      <c r="B86" s="190" t="s">
        <v>666</v>
      </c>
      <c r="C86" s="223" t="s">
        <v>58</v>
      </c>
      <c r="D86" s="223" t="s">
        <v>852</v>
      </c>
      <c r="E86" s="190" t="s">
        <v>22</v>
      </c>
      <c r="F86" s="13" t="s">
        <v>935</v>
      </c>
      <c r="G86" s="13" t="s">
        <v>941</v>
      </c>
      <c r="H86" s="219">
        <f>IFERROR(
  MINIFS(ATTENDANCE_LOG!$F:$F,
         ATTENDANCE_LOG!$A:$A, C86,
         ATTENDANCE_LOG!$B:$B, E86),
"")</f>
        <v>45946.45833</v>
      </c>
      <c r="I86" s="190">
        <f>IFERROR(VLOOKUP(F86, LEVEL_HELPER!$A:$B, 2, 0), "")</f>
        <v>3.5</v>
      </c>
      <c r="J86" s="190">
        <f>IFERROR(VLOOKUP(G86, LEVEL_HELPER!$A:$B, 2, 0), "")</f>
        <v>5</v>
      </c>
      <c r="K86" s="190">
        <f t="shared" ref="K86:L86" si="174">IF(OR(I86="", I86=0), "",
  IF(I86&lt;=2,   1,
  IF(I86&lt;=4,   2,
  IF(I86&lt;=5.5, 3, 4))))</f>
        <v>2</v>
      </c>
      <c r="L86" s="190">
        <f t="shared" si="174"/>
        <v>3</v>
      </c>
      <c r="M86" s="190" t="str">
        <f t="shared" si="4"/>
        <v>Lv2 → Lv3</v>
      </c>
      <c r="N86" s="220" t="s">
        <v>943</v>
      </c>
      <c r="O86" s="220" t="s">
        <v>926</v>
      </c>
      <c r="P86" s="190">
        <f t="shared" si="5"/>
        <v>1</v>
      </c>
      <c r="Q86" s="210">
        <f t="shared" si="6"/>
        <v>5</v>
      </c>
      <c r="R86" s="210">
        <f t="shared" ref="R86:S86" si="175">IF(OR(P86="", P86=0), "",
  IF(P86&lt;=2,   1,
  IF(P86&lt;=4,   2,
  IF(P86&lt;=5.5, 3, 4))))</f>
        <v>1</v>
      </c>
      <c r="S86" s="210">
        <f t="shared" si="175"/>
        <v>3</v>
      </c>
      <c r="T86" s="210" t="str">
        <f t="shared" si="8"/>
        <v>Lv1 → Lv3 (multi)</v>
      </c>
      <c r="U86" s="210">
        <f t="shared" si="9"/>
        <v>0</v>
      </c>
      <c r="V86" s="210"/>
    </row>
    <row r="87">
      <c r="A87" s="247" t="s">
        <v>484</v>
      </c>
      <c r="B87" s="217" t="s">
        <v>485</v>
      </c>
      <c r="C87" s="218" t="s">
        <v>59</v>
      </c>
      <c r="D87" s="218" t="s">
        <v>853</v>
      </c>
      <c r="E87" s="217" t="s">
        <v>21</v>
      </c>
      <c r="F87" s="13" t="s">
        <v>917</v>
      </c>
      <c r="G87" s="13" t="s">
        <v>935</v>
      </c>
      <c r="H87" s="219">
        <f>IFERROR(
  MINIFS(ATTENDANCE_LOG!$F:$F,
         ATTENDANCE_LOG!$A:$A, C87,
         ATTENDANCE_LOG!$B:$B, E87),
"")</f>
        <v>45663.58333</v>
      </c>
      <c r="I87" s="190">
        <f>IFERROR(VLOOKUP(F87, LEVEL_HELPER!$A:$B, 2, 0), "")</f>
        <v>2.5</v>
      </c>
      <c r="J87" s="190">
        <f>IFERROR(VLOOKUP(G87, LEVEL_HELPER!$A:$B, 2, 0), "")</f>
        <v>3.5</v>
      </c>
      <c r="K87" s="190">
        <f t="shared" ref="K87:L87" si="176">IF(OR(I87="", I87=0), "",
  IF(I87&lt;=2,   1,
  IF(I87&lt;=4,   2,
  IF(I87&lt;=5.5, 3, 4))))</f>
        <v>2</v>
      </c>
      <c r="L87" s="190">
        <f t="shared" si="176"/>
        <v>2</v>
      </c>
      <c r="M87" s="190" t="str">
        <f t="shared" si="4"/>
        <v>Progress within level</v>
      </c>
      <c r="N87" s="220" t="s">
        <v>931</v>
      </c>
      <c r="O87" s="229" t="s">
        <v>925</v>
      </c>
      <c r="P87" s="190">
        <f t="shared" si="5"/>
        <v>2.5</v>
      </c>
      <c r="Q87" s="210">
        <f t="shared" si="6"/>
        <v>3.5</v>
      </c>
      <c r="R87" s="210">
        <f t="shared" ref="R87:S87" si="177">IF(OR(P87="", P87=0), "",
  IF(P87&lt;=2,   1,
  IF(P87&lt;=4,   2,
  IF(P87&lt;=5.5, 3, 4))))</f>
        <v>2</v>
      </c>
      <c r="S87" s="210">
        <f t="shared" si="177"/>
        <v>2</v>
      </c>
      <c r="T87" s="210" t="str">
        <f t="shared" si="8"/>
        <v>Progress within level</v>
      </c>
      <c r="U87" s="210">
        <f t="shared" si="9"/>
        <v>1</v>
      </c>
      <c r="V87" s="210"/>
    </row>
    <row r="88">
      <c r="A88" s="220" t="s">
        <v>159</v>
      </c>
      <c r="B88" s="190" t="s">
        <v>160</v>
      </c>
      <c r="C88" s="223" t="s">
        <v>59</v>
      </c>
      <c r="D88" s="223" t="s">
        <v>853</v>
      </c>
      <c r="E88" s="190" t="s">
        <v>21</v>
      </c>
      <c r="F88" s="190"/>
      <c r="G88" s="190"/>
      <c r="H88" s="219">
        <f>IFERROR(
  MINIFS(ATTENDANCE_LOG!$F:$F,
         ATTENDANCE_LOG!$A:$A, C88,
         ATTENDANCE_LOG!$B:$B, E88),
"")</f>
        <v>45663.58333</v>
      </c>
      <c r="I88" s="190" t="str">
        <f>IFERROR(VLOOKUP(F88, LEVEL_HELPER!$A:$B, 2, 0), "")</f>
        <v/>
      </c>
      <c r="J88" s="190" t="str">
        <f>IFERROR(VLOOKUP(G88, LEVEL_HELPER!$A:$B, 2, 0), "")</f>
        <v/>
      </c>
      <c r="K88" s="190" t="str">
        <f t="shared" ref="K88:L88" si="178">IF(OR(I88="", I88=0), "",
  IF(I88&lt;=2,   1,
  IF(I88&lt;=4,   2,
  IF(I88&lt;=5.5, 3, 4))))</f>
        <v/>
      </c>
      <c r="L88" s="190" t="str">
        <f t="shared" si="178"/>
        <v/>
      </c>
      <c r="M88" s="190" t="str">
        <f t="shared" si="4"/>
        <v>No Data</v>
      </c>
      <c r="N88" s="220" t="s">
        <v>931</v>
      </c>
      <c r="O88" s="220" t="s">
        <v>923</v>
      </c>
      <c r="P88" s="190">
        <f t="shared" si="5"/>
        <v>3</v>
      </c>
      <c r="Q88" s="210">
        <f t="shared" si="6"/>
        <v>3</v>
      </c>
      <c r="R88" s="210">
        <f t="shared" ref="R88:S88" si="179">IF(OR(P88="", P88=0), "",
  IF(P88&lt;=2,   1,
  IF(P88&lt;=4,   2,
  IF(P88&lt;=5.5, 3, 4))))</f>
        <v>2</v>
      </c>
      <c r="S88" s="210">
        <f t="shared" si="179"/>
        <v>2</v>
      </c>
      <c r="T88" s="210" t="str">
        <f t="shared" si="8"/>
        <v>No Progress</v>
      </c>
      <c r="U88" s="210">
        <f t="shared" si="9"/>
        <v>1</v>
      </c>
      <c r="V88" s="210"/>
    </row>
    <row r="89">
      <c r="A89" s="220" t="s">
        <v>313</v>
      </c>
      <c r="B89" s="190" t="s">
        <v>314</v>
      </c>
      <c r="C89" s="223" t="s">
        <v>59</v>
      </c>
      <c r="D89" s="223" t="s">
        <v>853</v>
      </c>
      <c r="E89" s="190" t="s">
        <v>21</v>
      </c>
      <c r="F89" s="13" t="s">
        <v>927</v>
      </c>
      <c r="G89" s="13" t="s">
        <v>918</v>
      </c>
      <c r="H89" s="219">
        <f>IFERROR(
  MINIFS(ATTENDANCE_LOG!$F:$F,
         ATTENDANCE_LOG!$A:$A, C89,
         ATTENDANCE_LOG!$B:$B, E89),
"")</f>
        <v>45663.58333</v>
      </c>
      <c r="I89" s="190">
        <f>IFERROR(VLOOKUP(F89, LEVEL_HELPER!$A:$B, 2, 0), "")</f>
        <v>1</v>
      </c>
      <c r="J89" s="190">
        <f>IFERROR(VLOOKUP(G89, LEVEL_HELPER!$A:$B, 2, 0), "")</f>
        <v>3</v>
      </c>
      <c r="K89" s="190">
        <f t="shared" ref="K89:L89" si="180">IF(OR(I89="", I89=0), "",
  IF(I89&lt;=2,   1,
  IF(I89&lt;=4,   2,
  IF(I89&lt;=5.5, 3, 4))))</f>
        <v>1</v>
      </c>
      <c r="L89" s="190">
        <f t="shared" si="180"/>
        <v>2</v>
      </c>
      <c r="M89" s="190" t="str">
        <f t="shared" si="4"/>
        <v>Lv1 → Lv2</v>
      </c>
      <c r="N89" s="220" t="s">
        <v>931</v>
      </c>
      <c r="O89" s="220" t="s">
        <v>923</v>
      </c>
      <c r="P89" s="190">
        <f t="shared" si="5"/>
        <v>1</v>
      </c>
      <c r="Q89" s="210">
        <f t="shared" si="6"/>
        <v>5</v>
      </c>
      <c r="R89" s="210">
        <f t="shared" ref="R89:S89" si="181">IF(OR(P89="", P89=0), "",
  IF(P89&lt;=2,   1,
  IF(P89&lt;=4,   2,
  IF(P89&lt;=5.5, 3, 4))))</f>
        <v>1</v>
      </c>
      <c r="S89" s="210">
        <f t="shared" si="181"/>
        <v>3</v>
      </c>
      <c r="T89" s="210" t="str">
        <f t="shared" si="8"/>
        <v>Lv1 → Lv3 (multi)</v>
      </c>
      <c r="U89" s="210">
        <f t="shared" si="9"/>
        <v>1</v>
      </c>
      <c r="V89" s="210"/>
    </row>
    <row r="90">
      <c r="A90" s="220" t="s">
        <v>433</v>
      </c>
      <c r="B90" s="190" t="s">
        <v>432</v>
      </c>
      <c r="C90" s="223" t="s">
        <v>59</v>
      </c>
      <c r="D90" s="223" t="s">
        <v>853</v>
      </c>
      <c r="E90" s="190" t="s">
        <v>21</v>
      </c>
      <c r="F90" s="13" t="s">
        <v>917</v>
      </c>
      <c r="G90" s="13" t="s">
        <v>918</v>
      </c>
      <c r="H90" s="219">
        <f>IFERROR(
  MINIFS(ATTENDANCE_LOG!$F:$F,
         ATTENDANCE_LOG!$A:$A, C90,
         ATTENDANCE_LOG!$B:$B, E90),
"")</f>
        <v>45663.58333</v>
      </c>
      <c r="I90" s="190">
        <f>IFERROR(VLOOKUP(F90, LEVEL_HELPER!$A:$B, 2, 0), "")</f>
        <v>2.5</v>
      </c>
      <c r="J90" s="190">
        <f>IFERROR(VLOOKUP(G90, LEVEL_HELPER!$A:$B, 2, 0), "")</f>
        <v>3</v>
      </c>
      <c r="K90" s="190">
        <f t="shared" ref="K90:L90" si="182">IF(OR(I90="", I90=0), "",
  IF(I90&lt;=2,   1,
  IF(I90&lt;=4,   2,
  IF(I90&lt;=5.5, 3, 4))))</f>
        <v>2</v>
      </c>
      <c r="L90" s="190">
        <f t="shared" si="182"/>
        <v>2</v>
      </c>
      <c r="M90" s="190" t="str">
        <f t="shared" si="4"/>
        <v>Progress within level</v>
      </c>
      <c r="N90" s="220" t="s">
        <v>931</v>
      </c>
      <c r="O90" s="220" t="s">
        <v>923</v>
      </c>
      <c r="P90" s="190">
        <f t="shared" si="5"/>
        <v>2.5</v>
      </c>
      <c r="Q90" s="210">
        <f t="shared" si="6"/>
        <v>3.5</v>
      </c>
      <c r="R90" s="210">
        <f t="shared" ref="R90:S90" si="183">IF(OR(P90="", P90=0), "",
  IF(P90&lt;=2,   1,
  IF(P90&lt;=4,   2,
  IF(P90&lt;=5.5, 3, 4))))</f>
        <v>2</v>
      </c>
      <c r="S90" s="210">
        <f t="shared" si="183"/>
        <v>2</v>
      </c>
      <c r="T90" s="210" t="str">
        <f t="shared" si="8"/>
        <v>Progress within level</v>
      </c>
      <c r="U90" s="210">
        <f t="shared" si="9"/>
        <v>1</v>
      </c>
      <c r="V90" s="210"/>
    </row>
    <row r="91">
      <c r="A91" s="220" t="s">
        <v>451</v>
      </c>
      <c r="B91" s="190" t="s">
        <v>452</v>
      </c>
      <c r="C91" s="223" t="s">
        <v>59</v>
      </c>
      <c r="D91" s="223" t="s">
        <v>853</v>
      </c>
      <c r="E91" s="190" t="s">
        <v>21</v>
      </c>
      <c r="F91" s="13" t="s">
        <v>927</v>
      </c>
      <c r="G91" s="13" t="s">
        <v>935</v>
      </c>
      <c r="H91" s="219">
        <f>IFERROR(
  MINIFS(ATTENDANCE_LOG!$F:$F,
         ATTENDANCE_LOG!$A:$A, C91,
         ATTENDANCE_LOG!$B:$B, E91),
"")</f>
        <v>45663.58333</v>
      </c>
      <c r="I91" s="190">
        <f>IFERROR(VLOOKUP(F91, LEVEL_HELPER!$A:$B, 2, 0), "")</f>
        <v>1</v>
      </c>
      <c r="J91" s="190">
        <f>IFERROR(VLOOKUP(G91, LEVEL_HELPER!$A:$B, 2, 0), "")</f>
        <v>3.5</v>
      </c>
      <c r="K91" s="190">
        <f t="shared" ref="K91:L91" si="184">IF(OR(I91="", I91=0), "",
  IF(I91&lt;=2,   1,
  IF(I91&lt;=4,   2,
  IF(I91&lt;=5.5, 3, 4))))</f>
        <v>1</v>
      </c>
      <c r="L91" s="190">
        <f t="shared" si="184"/>
        <v>2</v>
      </c>
      <c r="M91" s="190" t="str">
        <f t="shared" si="4"/>
        <v>Lv1 → Lv2</v>
      </c>
      <c r="N91" s="220" t="s">
        <v>931</v>
      </c>
      <c r="O91" s="220" t="s">
        <v>923</v>
      </c>
      <c r="P91" s="190">
        <f t="shared" si="5"/>
        <v>1</v>
      </c>
      <c r="Q91" s="210">
        <f t="shared" si="6"/>
        <v>5.5</v>
      </c>
      <c r="R91" s="210">
        <f t="shared" ref="R91:S91" si="185">IF(OR(P91="", P91=0), "",
  IF(P91&lt;=2,   1,
  IF(P91&lt;=4,   2,
  IF(P91&lt;=5.5, 3, 4))))</f>
        <v>1</v>
      </c>
      <c r="S91" s="210">
        <f t="shared" si="185"/>
        <v>3</v>
      </c>
      <c r="T91" s="210" t="str">
        <f t="shared" si="8"/>
        <v>Lv1 → Lv3 (multi)</v>
      </c>
      <c r="U91" s="210">
        <f t="shared" si="9"/>
        <v>1</v>
      </c>
      <c r="V91" s="210"/>
    </row>
    <row r="92">
      <c r="A92" s="220" t="s">
        <v>466</v>
      </c>
      <c r="B92" s="190" t="s">
        <v>467</v>
      </c>
      <c r="C92" s="223" t="s">
        <v>59</v>
      </c>
      <c r="D92" s="223" t="s">
        <v>853</v>
      </c>
      <c r="E92" s="190" t="s">
        <v>21</v>
      </c>
      <c r="F92" s="13" t="s">
        <v>927</v>
      </c>
      <c r="G92" s="13" t="s">
        <v>929</v>
      </c>
      <c r="H92" s="219">
        <f>IFERROR(
  MINIFS(ATTENDANCE_LOG!$F:$F,
         ATTENDANCE_LOG!$A:$A, C92,
         ATTENDANCE_LOG!$B:$B, E92),
"")</f>
        <v>45663.58333</v>
      </c>
      <c r="I92" s="190">
        <f>IFERROR(VLOOKUP(F92, LEVEL_HELPER!$A:$B, 2, 0), "")</f>
        <v>1</v>
      </c>
      <c r="J92" s="190">
        <f>IFERROR(VLOOKUP(G92, LEVEL_HELPER!$A:$B, 2, 0), "")</f>
        <v>1.5</v>
      </c>
      <c r="K92" s="190">
        <f t="shared" ref="K92:L92" si="186">IF(OR(I92="", I92=0), "",
  IF(I92&lt;=2,   1,
  IF(I92&lt;=4,   2,
  IF(I92&lt;=5.5, 3, 4))))</f>
        <v>1</v>
      </c>
      <c r="L92" s="190">
        <f t="shared" si="186"/>
        <v>1</v>
      </c>
      <c r="M92" s="190" t="str">
        <f t="shared" si="4"/>
        <v>Progress within level</v>
      </c>
      <c r="N92" s="220" t="s">
        <v>931</v>
      </c>
      <c r="O92" s="220" t="s">
        <v>923</v>
      </c>
      <c r="P92" s="190">
        <f t="shared" si="5"/>
        <v>1</v>
      </c>
      <c r="Q92" s="210">
        <f t="shared" si="6"/>
        <v>3</v>
      </c>
      <c r="R92" s="210">
        <f t="shared" ref="R92:S92" si="187">IF(OR(P92="", P92=0), "",
  IF(P92&lt;=2,   1,
  IF(P92&lt;=4,   2,
  IF(P92&lt;=5.5, 3, 4))))</f>
        <v>1</v>
      </c>
      <c r="S92" s="210">
        <f t="shared" si="187"/>
        <v>2</v>
      </c>
      <c r="T92" s="210" t="str">
        <f t="shared" si="8"/>
        <v>Lv1 → Lv2</v>
      </c>
      <c r="U92" s="210">
        <f t="shared" si="9"/>
        <v>1</v>
      </c>
      <c r="V92" s="210"/>
    </row>
    <row r="93">
      <c r="A93" s="247" t="s">
        <v>330</v>
      </c>
      <c r="B93" s="217" t="s">
        <v>331</v>
      </c>
      <c r="C93" s="218" t="s">
        <v>59</v>
      </c>
      <c r="D93" s="218" t="s">
        <v>853</v>
      </c>
      <c r="E93" s="217" t="s">
        <v>22</v>
      </c>
      <c r="F93" s="13" t="s">
        <v>932</v>
      </c>
      <c r="G93" s="13" t="s">
        <v>938</v>
      </c>
      <c r="H93" s="219">
        <f>IFERROR(
  MINIFS(ATTENDANCE_LOG!$F:$F,
         ATTENDANCE_LOG!$A:$A, C93,
         ATTENDANCE_LOG!$B:$B, E93),
"")</f>
        <v>45915.54167</v>
      </c>
      <c r="I93" s="190">
        <f>IFERROR(VLOOKUP(F93, LEVEL_HELPER!$A:$B, 2, 0), "")</f>
        <v>4.5</v>
      </c>
      <c r="J93" s="190">
        <f>IFERROR(VLOOKUP(G93, LEVEL_HELPER!$A:$B, 2, 0), "")</f>
        <v>5.5</v>
      </c>
      <c r="K93" s="190">
        <f t="shared" ref="K93:L93" si="188">IF(OR(I93="", I93=0), "",
  IF(I93&lt;=2,   1,
  IF(I93&lt;=4,   2,
  IF(I93&lt;=5.5, 3, 4))))</f>
        <v>3</v>
      </c>
      <c r="L93" s="190">
        <f t="shared" si="188"/>
        <v>3</v>
      </c>
      <c r="M93" s="190" t="str">
        <f t="shared" si="4"/>
        <v>Progress within level</v>
      </c>
      <c r="N93" s="220" t="s">
        <v>943</v>
      </c>
      <c r="O93" s="220" t="s">
        <v>923</v>
      </c>
      <c r="P93" s="190">
        <f t="shared" si="5"/>
        <v>2.5</v>
      </c>
      <c r="Q93" s="210">
        <f t="shared" si="6"/>
        <v>5.5</v>
      </c>
      <c r="R93" s="210">
        <f t="shared" ref="R93:S93" si="189">IF(OR(P93="", P93=0), "",
  IF(P93&lt;=2,   1,
  IF(P93&lt;=4,   2,
  IF(P93&lt;=5.5, 3, 4))))</f>
        <v>2</v>
      </c>
      <c r="S93" s="210">
        <f t="shared" si="189"/>
        <v>3</v>
      </c>
      <c r="T93" s="210" t="str">
        <f t="shared" si="8"/>
        <v>Lv2 → Lv3</v>
      </c>
      <c r="U93" s="210">
        <f t="shared" si="9"/>
        <v>0</v>
      </c>
      <c r="V93" s="210"/>
    </row>
    <row r="94">
      <c r="A94" s="220" t="s">
        <v>247</v>
      </c>
      <c r="B94" s="190" t="s">
        <v>248</v>
      </c>
      <c r="C94" s="223" t="s">
        <v>59</v>
      </c>
      <c r="D94" s="223" t="s">
        <v>853</v>
      </c>
      <c r="E94" s="190" t="s">
        <v>22</v>
      </c>
      <c r="F94" s="13" t="s">
        <v>929</v>
      </c>
      <c r="G94" s="13" t="s">
        <v>929</v>
      </c>
      <c r="H94" s="219">
        <f>IFERROR(
  MINIFS(ATTENDANCE_LOG!$F:$F,
         ATTENDANCE_LOG!$A:$A, C94,
         ATTENDANCE_LOG!$B:$B, E94),
"")</f>
        <v>45915.54167</v>
      </c>
      <c r="I94" s="190">
        <f>IFERROR(VLOOKUP(F94, LEVEL_HELPER!$A:$B, 2, 0), "")</f>
        <v>1.5</v>
      </c>
      <c r="J94" s="190">
        <f>IFERROR(VLOOKUP(G94, LEVEL_HELPER!$A:$B, 2, 0), "")</f>
        <v>1.5</v>
      </c>
      <c r="K94" s="190">
        <f t="shared" ref="K94:L94" si="190">IF(OR(I94="", I94=0), "",
  IF(I94&lt;=2,   1,
  IF(I94&lt;=4,   2,
  IF(I94&lt;=5.5, 3, 4))))</f>
        <v>1</v>
      </c>
      <c r="L94" s="190">
        <f t="shared" si="190"/>
        <v>1</v>
      </c>
      <c r="M94" s="190" t="str">
        <f t="shared" si="4"/>
        <v>No Progress</v>
      </c>
      <c r="N94" s="220" t="s">
        <v>931</v>
      </c>
      <c r="O94" s="220" t="s">
        <v>923</v>
      </c>
      <c r="P94" s="190">
        <f t="shared" si="5"/>
        <v>1</v>
      </c>
      <c r="Q94" s="210">
        <f t="shared" si="6"/>
        <v>1.5</v>
      </c>
      <c r="R94" s="210">
        <f t="shared" ref="R94:S94" si="191">IF(OR(P94="", P94=0), "",
  IF(P94&lt;=2,   1,
  IF(P94&lt;=4,   2,
  IF(P94&lt;=5.5, 3, 4))))</f>
        <v>1</v>
      </c>
      <c r="S94" s="210">
        <f t="shared" si="191"/>
        <v>1</v>
      </c>
      <c r="T94" s="210" t="str">
        <f t="shared" si="8"/>
        <v>Progress within level</v>
      </c>
      <c r="U94" s="210">
        <f t="shared" si="9"/>
        <v>1</v>
      </c>
      <c r="V94" s="210"/>
    </row>
    <row r="95">
      <c r="A95" s="220" t="s">
        <v>294</v>
      </c>
      <c r="B95" s="190" t="s">
        <v>295</v>
      </c>
      <c r="C95" s="223" t="s">
        <v>59</v>
      </c>
      <c r="D95" s="223" t="s">
        <v>853</v>
      </c>
      <c r="E95" s="190" t="s">
        <v>22</v>
      </c>
      <c r="F95" s="13" t="s">
        <v>929</v>
      </c>
      <c r="G95" s="13" t="s">
        <v>918</v>
      </c>
      <c r="H95" s="219">
        <f>IFERROR(
  MINIFS(ATTENDANCE_LOG!$F:$F,
         ATTENDANCE_LOG!$A:$A, C95,
         ATTENDANCE_LOG!$B:$B, E95),
"")</f>
        <v>45915.54167</v>
      </c>
      <c r="I95" s="190">
        <f>IFERROR(VLOOKUP(F95, LEVEL_HELPER!$A:$B, 2, 0), "")</f>
        <v>1.5</v>
      </c>
      <c r="J95" s="190">
        <f>IFERROR(VLOOKUP(G95, LEVEL_HELPER!$A:$B, 2, 0), "")</f>
        <v>3</v>
      </c>
      <c r="K95" s="190">
        <f t="shared" ref="K95:L95" si="192">IF(OR(I95="", I95=0), "",
  IF(I95&lt;=2,   1,
  IF(I95&lt;=4,   2,
  IF(I95&lt;=5.5, 3, 4))))</f>
        <v>1</v>
      </c>
      <c r="L95" s="190">
        <f t="shared" si="192"/>
        <v>2</v>
      </c>
      <c r="M95" s="190" t="str">
        <f t="shared" si="4"/>
        <v>Lv1 → Lv2</v>
      </c>
      <c r="N95" s="220" t="s">
        <v>931</v>
      </c>
      <c r="O95" s="220" t="s">
        <v>923</v>
      </c>
      <c r="P95" s="190">
        <f t="shared" si="5"/>
        <v>1</v>
      </c>
      <c r="Q95" s="210">
        <f t="shared" si="6"/>
        <v>3</v>
      </c>
      <c r="R95" s="210">
        <f t="shared" ref="R95:S95" si="193">IF(OR(P95="", P95=0), "",
  IF(P95&lt;=2,   1,
  IF(P95&lt;=4,   2,
  IF(P95&lt;=5.5, 3, 4))))</f>
        <v>1</v>
      </c>
      <c r="S95" s="210">
        <f t="shared" si="193"/>
        <v>2</v>
      </c>
      <c r="T95" s="210" t="str">
        <f t="shared" si="8"/>
        <v>Lv1 → Lv2</v>
      </c>
      <c r="U95" s="210">
        <f t="shared" si="9"/>
        <v>0</v>
      </c>
      <c r="V95" s="210"/>
    </row>
    <row r="96">
      <c r="A96" s="220" t="s">
        <v>313</v>
      </c>
      <c r="B96" s="190" t="s">
        <v>314</v>
      </c>
      <c r="C96" s="223" t="s">
        <v>59</v>
      </c>
      <c r="D96" s="223" t="s">
        <v>853</v>
      </c>
      <c r="E96" s="190" t="s">
        <v>22</v>
      </c>
      <c r="F96" s="13" t="s">
        <v>918</v>
      </c>
      <c r="G96" s="13" t="s">
        <v>941</v>
      </c>
      <c r="H96" s="219">
        <f>IFERROR(
  MINIFS(ATTENDANCE_LOG!$F:$F,
         ATTENDANCE_LOG!$A:$A, C96,
         ATTENDANCE_LOG!$B:$B, E96),
"")</f>
        <v>45915.54167</v>
      </c>
      <c r="I96" s="190">
        <f>IFERROR(VLOOKUP(F96, LEVEL_HELPER!$A:$B, 2, 0), "")</f>
        <v>3</v>
      </c>
      <c r="J96" s="190">
        <f>IFERROR(VLOOKUP(G96, LEVEL_HELPER!$A:$B, 2, 0), "")</f>
        <v>5</v>
      </c>
      <c r="K96" s="190">
        <f t="shared" ref="K96:L96" si="194">IF(OR(I96="", I96=0), "",
  IF(I96&lt;=2,   1,
  IF(I96&lt;=4,   2,
  IF(I96&lt;=5.5, 3, 4))))</f>
        <v>2</v>
      </c>
      <c r="L96" s="190">
        <f t="shared" si="194"/>
        <v>3</v>
      </c>
      <c r="M96" s="190" t="str">
        <f t="shared" si="4"/>
        <v>Lv2 → Lv3</v>
      </c>
      <c r="N96" s="220" t="s">
        <v>931</v>
      </c>
      <c r="O96" s="220" t="s">
        <v>923</v>
      </c>
      <c r="P96" s="190">
        <f t="shared" si="5"/>
        <v>1</v>
      </c>
      <c r="Q96" s="210">
        <f t="shared" si="6"/>
        <v>5</v>
      </c>
      <c r="R96" s="210">
        <f t="shared" ref="R96:S96" si="195">IF(OR(P96="", P96=0), "",
  IF(P96&lt;=2,   1,
  IF(P96&lt;=4,   2,
  IF(P96&lt;=5.5, 3, 4))))</f>
        <v>1</v>
      </c>
      <c r="S96" s="210">
        <f t="shared" si="195"/>
        <v>3</v>
      </c>
      <c r="T96" s="210" t="str">
        <f t="shared" si="8"/>
        <v>Lv1 → Lv3 (multi)</v>
      </c>
      <c r="U96" s="210">
        <f t="shared" si="9"/>
        <v>0</v>
      </c>
      <c r="V96" s="210"/>
    </row>
    <row r="97">
      <c r="A97" s="220" t="s">
        <v>411</v>
      </c>
      <c r="B97" s="190" t="s">
        <v>412</v>
      </c>
      <c r="C97" s="223" t="s">
        <v>59</v>
      </c>
      <c r="D97" s="223" t="s">
        <v>853</v>
      </c>
      <c r="E97" s="190" t="s">
        <v>22</v>
      </c>
      <c r="F97" s="13" t="s">
        <v>929</v>
      </c>
      <c r="G97" s="13" t="s">
        <v>941</v>
      </c>
      <c r="H97" s="219">
        <f>IFERROR(
  MINIFS(ATTENDANCE_LOG!$F:$F,
         ATTENDANCE_LOG!$A:$A, C97,
         ATTENDANCE_LOG!$B:$B, E97),
"")</f>
        <v>45915.54167</v>
      </c>
      <c r="I97" s="190">
        <f>IFERROR(VLOOKUP(F97, LEVEL_HELPER!$A:$B, 2, 0), "")</f>
        <v>1.5</v>
      </c>
      <c r="J97" s="190">
        <f>IFERROR(VLOOKUP(G97, LEVEL_HELPER!$A:$B, 2, 0), "")</f>
        <v>5</v>
      </c>
      <c r="K97" s="190">
        <f t="shared" ref="K97:L97" si="196">IF(OR(I97="", I97=0), "",
  IF(I97&lt;=2,   1,
  IF(I97&lt;=4,   2,
  IF(I97&lt;=5.5, 3, 4))))</f>
        <v>1</v>
      </c>
      <c r="L97" s="190">
        <f t="shared" si="196"/>
        <v>3</v>
      </c>
      <c r="M97" s="190" t="str">
        <f t="shared" si="4"/>
        <v>Lv1 → Lv3 (+2)</v>
      </c>
      <c r="N97" s="220" t="s">
        <v>931</v>
      </c>
      <c r="O97" s="220" t="s">
        <v>923</v>
      </c>
      <c r="P97" s="190">
        <f t="shared" si="5"/>
        <v>1.5</v>
      </c>
      <c r="Q97" s="210">
        <f t="shared" si="6"/>
        <v>5</v>
      </c>
      <c r="R97" s="210">
        <f t="shared" ref="R97:S97" si="197">IF(OR(P97="", P97=0), "",
  IF(P97&lt;=2,   1,
  IF(P97&lt;=4,   2,
  IF(P97&lt;=5.5, 3, 4))))</f>
        <v>1</v>
      </c>
      <c r="S97" s="210">
        <f t="shared" si="197"/>
        <v>3</v>
      </c>
      <c r="T97" s="210" t="str">
        <f t="shared" si="8"/>
        <v>Lv1 → Lv3 (multi)</v>
      </c>
      <c r="U97" s="210">
        <f t="shared" si="9"/>
        <v>0</v>
      </c>
      <c r="V97" s="210"/>
    </row>
    <row r="98">
      <c r="A98" s="220" t="s">
        <v>451</v>
      </c>
      <c r="B98" s="190" t="s">
        <v>452</v>
      </c>
      <c r="C98" s="223" t="s">
        <v>59</v>
      </c>
      <c r="D98" s="223" t="s">
        <v>853</v>
      </c>
      <c r="E98" s="190" t="s">
        <v>22</v>
      </c>
      <c r="F98" s="13" t="s">
        <v>935</v>
      </c>
      <c r="G98" s="13" t="s">
        <v>938</v>
      </c>
      <c r="H98" s="219">
        <f>IFERROR(
  MINIFS(ATTENDANCE_LOG!$F:$F,
         ATTENDANCE_LOG!$A:$A, C98,
         ATTENDANCE_LOG!$B:$B, E98),
"")</f>
        <v>45915.54167</v>
      </c>
      <c r="I98" s="190">
        <f>IFERROR(VLOOKUP(F98, LEVEL_HELPER!$A:$B, 2, 0), "")</f>
        <v>3.5</v>
      </c>
      <c r="J98" s="190">
        <f>IFERROR(VLOOKUP(G98, LEVEL_HELPER!$A:$B, 2, 0), "")</f>
        <v>5.5</v>
      </c>
      <c r="K98" s="190">
        <f t="shared" ref="K98:L98" si="198">IF(OR(I98="", I98=0), "",
  IF(I98&lt;=2,   1,
  IF(I98&lt;=4,   2,
  IF(I98&lt;=5.5, 3, 4))))</f>
        <v>2</v>
      </c>
      <c r="L98" s="190">
        <f t="shared" si="198"/>
        <v>3</v>
      </c>
      <c r="M98" s="190" t="str">
        <f t="shared" si="4"/>
        <v>Lv2 → Lv3</v>
      </c>
      <c r="N98" s="220" t="s">
        <v>931</v>
      </c>
      <c r="O98" s="220" t="s">
        <v>923</v>
      </c>
      <c r="P98" s="190">
        <f t="shared" si="5"/>
        <v>1</v>
      </c>
      <c r="Q98" s="210">
        <f t="shared" si="6"/>
        <v>5.5</v>
      </c>
      <c r="R98" s="210">
        <f t="shared" ref="R98:S98" si="199">IF(OR(P98="", P98=0), "",
  IF(P98&lt;=2,   1,
  IF(P98&lt;=4,   2,
  IF(P98&lt;=5.5, 3, 4))))</f>
        <v>1</v>
      </c>
      <c r="S98" s="210">
        <f t="shared" si="199"/>
        <v>3</v>
      </c>
      <c r="T98" s="210" t="str">
        <f t="shared" si="8"/>
        <v>Lv1 → Lv3 (multi)</v>
      </c>
      <c r="U98" s="210">
        <f t="shared" si="9"/>
        <v>0</v>
      </c>
      <c r="V98" s="210"/>
    </row>
    <row r="99">
      <c r="A99" s="220" t="s">
        <v>466</v>
      </c>
      <c r="B99" s="190" t="s">
        <v>467</v>
      </c>
      <c r="C99" s="223" t="s">
        <v>59</v>
      </c>
      <c r="D99" s="223" t="s">
        <v>853</v>
      </c>
      <c r="E99" s="190" t="s">
        <v>22</v>
      </c>
      <c r="F99" s="13" t="s">
        <v>929</v>
      </c>
      <c r="G99" s="13" t="s">
        <v>918</v>
      </c>
      <c r="H99" s="219">
        <f>IFERROR(
  MINIFS(ATTENDANCE_LOG!$F:$F,
         ATTENDANCE_LOG!$A:$A, C99,
         ATTENDANCE_LOG!$B:$B, E99),
"")</f>
        <v>45915.54167</v>
      </c>
      <c r="I99" s="190">
        <f>IFERROR(VLOOKUP(F99, LEVEL_HELPER!$A:$B, 2, 0), "")</f>
        <v>1.5</v>
      </c>
      <c r="J99" s="190">
        <f>IFERROR(VLOOKUP(G99, LEVEL_HELPER!$A:$B, 2, 0), "")</f>
        <v>3</v>
      </c>
      <c r="K99" s="190">
        <f t="shared" ref="K99:L99" si="200">IF(OR(I99="", I99=0), "",
  IF(I99&lt;=2,   1,
  IF(I99&lt;=4,   2,
  IF(I99&lt;=5.5, 3, 4))))</f>
        <v>1</v>
      </c>
      <c r="L99" s="190">
        <f t="shared" si="200"/>
        <v>2</v>
      </c>
      <c r="M99" s="190" t="str">
        <f t="shared" si="4"/>
        <v>Lv1 → Lv2</v>
      </c>
      <c r="N99" s="220" t="s">
        <v>931</v>
      </c>
      <c r="O99" s="220" t="s">
        <v>923</v>
      </c>
      <c r="P99" s="190">
        <f t="shared" si="5"/>
        <v>1</v>
      </c>
      <c r="Q99" s="210">
        <f t="shared" si="6"/>
        <v>3</v>
      </c>
      <c r="R99" s="210">
        <f t="shared" ref="R99:S99" si="201">IF(OR(P99="", P99=0), "",
  IF(P99&lt;=2,   1,
  IF(P99&lt;=4,   2,
  IF(P99&lt;=5.5, 3, 4))))</f>
        <v>1</v>
      </c>
      <c r="S99" s="210">
        <f t="shared" si="201"/>
        <v>2</v>
      </c>
      <c r="T99" s="210" t="str">
        <f t="shared" si="8"/>
        <v>Lv1 → Lv2</v>
      </c>
      <c r="U99" s="210">
        <f t="shared" si="9"/>
        <v>0</v>
      </c>
      <c r="V99" s="210"/>
    </row>
    <row r="100">
      <c r="A100" s="220" t="s">
        <v>484</v>
      </c>
      <c r="B100" s="190" t="s">
        <v>485</v>
      </c>
      <c r="C100" s="223" t="s">
        <v>59</v>
      </c>
      <c r="D100" s="223" t="s">
        <v>853</v>
      </c>
      <c r="E100" s="190" t="s">
        <v>22</v>
      </c>
      <c r="F100" s="13" t="s">
        <v>935</v>
      </c>
      <c r="G100" s="13" t="s">
        <v>935</v>
      </c>
      <c r="H100" s="219">
        <f>IFERROR(
  MINIFS(ATTENDANCE_LOG!$F:$F,
         ATTENDANCE_LOG!$A:$A, C100,
         ATTENDANCE_LOG!$B:$B, E100),
"")</f>
        <v>45915.54167</v>
      </c>
      <c r="I100" s="190">
        <f>IFERROR(VLOOKUP(F100, LEVEL_HELPER!$A:$B, 2, 0), "")</f>
        <v>3.5</v>
      </c>
      <c r="J100" s="190">
        <f>IFERROR(VLOOKUP(G100, LEVEL_HELPER!$A:$B, 2, 0), "")</f>
        <v>3.5</v>
      </c>
      <c r="K100" s="190">
        <f t="shared" ref="K100:L100" si="202">IF(OR(I100="", I100=0), "",
  IF(I100&lt;=2,   1,
  IF(I100&lt;=4,   2,
  IF(I100&lt;=5.5, 3, 4))))</f>
        <v>2</v>
      </c>
      <c r="L100" s="190">
        <f t="shared" si="202"/>
        <v>2</v>
      </c>
      <c r="M100" s="190" t="str">
        <f t="shared" si="4"/>
        <v>No Progress</v>
      </c>
      <c r="N100" s="220" t="s">
        <v>931</v>
      </c>
      <c r="O100" s="229" t="s">
        <v>925</v>
      </c>
      <c r="P100" s="190">
        <f t="shared" si="5"/>
        <v>2.5</v>
      </c>
      <c r="Q100" s="210">
        <f t="shared" si="6"/>
        <v>3.5</v>
      </c>
      <c r="R100" s="210">
        <f t="shared" ref="R100:S100" si="203">IF(OR(P100="", P100=0), "",
  IF(P100&lt;=2,   1,
  IF(P100&lt;=4,   2,
  IF(P100&lt;=5.5, 3, 4))))</f>
        <v>2</v>
      </c>
      <c r="S100" s="210">
        <f t="shared" si="203"/>
        <v>2</v>
      </c>
      <c r="T100" s="210" t="str">
        <f t="shared" si="8"/>
        <v>Progress within level</v>
      </c>
      <c r="U100" s="210">
        <f t="shared" si="9"/>
        <v>0</v>
      </c>
      <c r="V100" s="210"/>
    </row>
    <row r="101">
      <c r="A101" s="220" t="s">
        <v>547</v>
      </c>
      <c r="B101" s="190" t="s">
        <v>548</v>
      </c>
      <c r="C101" s="223" t="s">
        <v>59</v>
      </c>
      <c r="D101" s="223" t="s">
        <v>853</v>
      </c>
      <c r="E101" s="190" t="s">
        <v>22</v>
      </c>
      <c r="F101" s="13" t="s">
        <v>932</v>
      </c>
      <c r="G101" s="13" t="s">
        <v>941</v>
      </c>
      <c r="H101" s="219">
        <f>IFERROR(
  MINIFS(ATTENDANCE_LOG!$F:$F,
         ATTENDANCE_LOG!$A:$A, C101,
         ATTENDANCE_LOG!$B:$B, E101),
"")</f>
        <v>45915.54167</v>
      </c>
      <c r="I101" s="190">
        <f>IFERROR(VLOOKUP(F101, LEVEL_HELPER!$A:$B, 2, 0), "")</f>
        <v>4.5</v>
      </c>
      <c r="J101" s="190">
        <f>IFERROR(VLOOKUP(G101, LEVEL_HELPER!$A:$B, 2, 0), "")</f>
        <v>5</v>
      </c>
      <c r="K101" s="190">
        <f t="shared" ref="K101:L101" si="204">IF(OR(I101="", I101=0), "",
  IF(I101&lt;=2,   1,
  IF(I101&lt;=4,   2,
  IF(I101&lt;=5.5, 3, 4))))</f>
        <v>3</v>
      </c>
      <c r="L101" s="190">
        <f t="shared" si="204"/>
        <v>3</v>
      </c>
      <c r="M101" s="190" t="str">
        <f t="shared" si="4"/>
        <v>Progress within level</v>
      </c>
      <c r="N101" s="220" t="s">
        <v>931</v>
      </c>
      <c r="O101" s="220" t="s">
        <v>923</v>
      </c>
      <c r="P101" s="190">
        <f t="shared" si="5"/>
        <v>4.5</v>
      </c>
      <c r="Q101" s="210">
        <f t="shared" si="6"/>
        <v>5</v>
      </c>
      <c r="R101" s="210">
        <f t="shared" ref="R101:S101" si="205">IF(OR(P101="", P101=0), "",
  IF(P101&lt;=2,   1,
  IF(P101&lt;=4,   2,
  IF(P101&lt;=5.5, 3, 4))))</f>
        <v>3</v>
      </c>
      <c r="S101" s="210">
        <f t="shared" si="205"/>
        <v>3</v>
      </c>
      <c r="T101" s="210" t="str">
        <f t="shared" si="8"/>
        <v>Progress within level</v>
      </c>
      <c r="U101" s="210">
        <f t="shared" si="9"/>
        <v>0</v>
      </c>
      <c r="V101" s="210"/>
    </row>
    <row r="102">
      <c r="A102" s="247" t="s">
        <v>627</v>
      </c>
      <c r="B102" s="217" t="s">
        <v>628</v>
      </c>
      <c r="C102" s="218" t="s">
        <v>60</v>
      </c>
      <c r="D102" s="218" t="s">
        <v>854</v>
      </c>
      <c r="E102" s="217" t="s">
        <v>21</v>
      </c>
      <c r="F102" s="13" t="s">
        <v>927</v>
      </c>
      <c r="G102" s="13" t="s">
        <v>917</v>
      </c>
      <c r="H102" s="219">
        <f>IFERROR(
  MINIFS(ATTENDANCE_LOG!$F:$F,
         ATTENDANCE_LOG!$A:$A, C102,
         ATTENDANCE_LOG!$B:$B, E102),
"")</f>
        <v>45644.375</v>
      </c>
      <c r="I102" s="190">
        <f>IFERROR(VLOOKUP(F102, LEVEL_HELPER!$A:$B, 2, 0), "")</f>
        <v>1</v>
      </c>
      <c r="J102" s="190">
        <f>IFERROR(VLOOKUP(G102, LEVEL_HELPER!$A:$B, 2, 0), "")</f>
        <v>2.5</v>
      </c>
      <c r="K102" s="190">
        <f t="shared" ref="K102:L102" si="206">IF(OR(I102="", I102=0), "",
  IF(I102&lt;=2,   1,
  IF(I102&lt;=4,   2,
  IF(I102&lt;=5.5, 3, 4))))</f>
        <v>1</v>
      </c>
      <c r="L102" s="190">
        <f t="shared" si="206"/>
        <v>2</v>
      </c>
      <c r="M102" s="190" t="str">
        <f t="shared" si="4"/>
        <v>Lv1 → Lv2</v>
      </c>
      <c r="N102" s="220" t="s">
        <v>945</v>
      </c>
      <c r="O102" s="229" t="s">
        <v>922</v>
      </c>
      <c r="P102" s="190">
        <f t="shared" si="5"/>
        <v>1</v>
      </c>
      <c r="Q102" s="210">
        <f t="shared" si="6"/>
        <v>2.5</v>
      </c>
      <c r="R102" s="210">
        <f t="shared" ref="R102:S102" si="207">IF(OR(P102="", P102=0), "",
  IF(P102&lt;=2,   1,
  IF(P102&lt;=4,   2,
  IF(P102&lt;=5.5, 3, 4))))</f>
        <v>1</v>
      </c>
      <c r="S102" s="210">
        <f t="shared" si="207"/>
        <v>2</v>
      </c>
      <c r="T102" s="210" t="str">
        <f t="shared" si="8"/>
        <v>Lv1 → Lv2</v>
      </c>
      <c r="U102" s="210">
        <f t="shared" si="9"/>
        <v>1</v>
      </c>
      <c r="V102" s="210"/>
    </row>
    <row r="103">
      <c r="A103" s="220" t="s">
        <v>216</v>
      </c>
      <c r="B103" s="190" t="s">
        <v>217</v>
      </c>
      <c r="C103" s="223" t="s">
        <v>60</v>
      </c>
      <c r="D103" s="223" t="s">
        <v>854</v>
      </c>
      <c r="E103" s="190" t="s">
        <v>21</v>
      </c>
      <c r="F103" s="13" t="s">
        <v>917</v>
      </c>
      <c r="G103" s="13" t="s">
        <v>917</v>
      </c>
      <c r="H103" s="219">
        <f>IFERROR(
  MINIFS(ATTENDANCE_LOG!$F:$F,
         ATTENDANCE_LOG!$A:$A, C103,
         ATTENDANCE_LOG!$B:$B, E103),
"")</f>
        <v>45644.375</v>
      </c>
      <c r="I103" s="190">
        <f>IFERROR(VLOOKUP(F103, LEVEL_HELPER!$A:$B, 2, 0), "")</f>
        <v>2.5</v>
      </c>
      <c r="J103" s="190">
        <f>IFERROR(VLOOKUP(G103, LEVEL_HELPER!$A:$B, 2, 0), "")</f>
        <v>2.5</v>
      </c>
      <c r="K103" s="190">
        <f t="shared" ref="K103:L103" si="208">IF(OR(I103="", I103=0), "",
  IF(I103&lt;=2,   1,
  IF(I103&lt;=4,   2,
  IF(I103&lt;=5.5, 3, 4))))</f>
        <v>2</v>
      </c>
      <c r="L103" s="190">
        <f t="shared" si="208"/>
        <v>2</v>
      </c>
      <c r="M103" s="190" t="str">
        <f t="shared" si="4"/>
        <v>No Progress</v>
      </c>
      <c r="N103" s="220" t="s">
        <v>943</v>
      </c>
      <c r="O103" s="229" t="s">
        <v>922</v>
      </c>
      <c r="P103" s="190">
        <f t="shared" si="5"/>
        <v>2.5</v>
      </c>
      <c r="Q103" s="210">
        <f t="shared" si="6"/>
        <v>2.5</v>
      </c>
      <c r="R103" s="210">
        <f t="shared" ref="R103:S103" si="209">IF(OR(P103="", P103=0), "",
  IF(P103&lt;=2,   1,
  IF(P103&lt;=4,   2,
  IF(P103&lt;=5.5, 3, 4))))</f>
        <v>2</v>
      </c>
      <c r="S103" s="210">
        <f t="shared" si="209"/>
        <v>2</v>
      </c>
      <c r="T103" s="210" t="str">
        <f t="shared" si="8"/>
        <v>No Progress</v>
      </c>
      <c r="U103" s="210">
        <f t="shared" si="9"/>
        <v>1</v>
      </c>
      <c r="V103" s="210"/>
    </row>
    <row r="104">
      <c r="A104" s="220" t="s">
        <v>232</v>
      </c>
      <c r="B104" s="190" t="s">
        <v>233</v>
      </c>
      <c r="C104" s="223" t="s">
        <v>60</v>
      </c>
      <c r="D104" s="223" t="s">
        <v>854</v>
      </c>
      <c r="E104" s="190" t="s">
        <v>21</v>
      </c>
      <c r="F104" s="13" t="s">
        <v>927</v>
      </c>
      <c r="G104" s="13" t="s">
        <v>917</v>
      </c>
      <c r="H104" s="219">
        <f>IFERROR(
  MINIFS(ATTENDANCE_LOG!$F:$F,
         ATTENDANCE_LOG!$A:$A, C104,
         ATTENDANCE_LOG!$B:$B, E104),
"")</f>
        <v>45644.375</v>
      </c>
      <c r="I104" s="190">
        <f>IFERROR(VLOOKUP(F104, LEVEL_HELPER!$A:$B, 2, 0), "")</f>
        <v>1</v>
      </c>
      <c r="J104" s="190">
        <f>IFERROR(VLOOKUP(G104, LEVEL_HELPER!$A:$B, 2, 0), "")</f>
        <v>2.5</v>
      </c>
      <c r="K104" s="190">
        <f t="shared" ref="K104:L104" si="210">IF(OR(I104="", I104=0), "",
  IF(I104&lt;=2,   1,
  IF(I104&lt;=4,   2,
  IF(I104&lt;=5.5, 3, 4))))</f>
        <v>1</v>
      </c>
      <c r="L104" s="190">
        <f t="shared" si="210"/>
        <v>2</v>
      </c>
      <c r="M104" s="190" t="str">
        <f t="shared" si="4"/>
        <v>Lv1 → Lv2</v>
      </c>
      <c r="N104" s="220" t="s">
        <v>943</v>
      </c>
      <c r="O104" s="229" t="s">
        <v>922</v>
      </c>
      <c r="P104" s="190">
        <f t="shared" si="5"/>
        <v>1</v>
      </c>
      <c r="Q104" s="210">
        <f t="shared" si="6"/>
        <v>2.5</v>
      </c>
      <c r="R104" s="210">
        <f t="shared" ref="R104:S104" si="211">IF(OR(P104="", P104=0), "",
  IF(P104&lt;=2,   1,
  IF(P104&lt;=4,   2,
  IF(P104&lt;=5.5, 3, 4))))</f>
        <v>1</v>
      </c>
      <c r="S104" s="210">
        <f t="shared" si="211"/>
        <v>2</v>
      </c>
      <c r="T104" s="210" t="str">
        <f t="shared" si="8"/>
        <v>Lv1 → Lv2</v>
      </c>
      <c r="U104" s="210">
        <f t="shared" si="9"/>
        <v>1</v>
      </c>
      <c r="V104" s="210"/>
    </row>
    <row r="105">
      <c r="A105" s="220" t="s">
        <v>321</v>
      </c>
      <c r="B105" s="190" t="s">
        <v>322</v>
      </c>
      <c r="C105" s="223" t="s">
        <v>60</v>
      </c>
      <c r="D105" s="223" t="s">
        <v>854</v>
      </c>
      <c r="E105" s="190" t="s">
        <v>21</v>
      </c>
      <c r="F105" s="13" t="s">
        <v>927</v>
      </c>
      <c r="G105" s="13" t="s">
        <v>917</v>
      </c>
      <c r="H105" s="219">
        <f>IFERROR(
  MINIFS(ATTENDANCE_LOG!$F:$F,
         ATTENDANCE_LOG!$A:$A, C105,
         ATTENDANCE_LOG!$B:$B, E105),
"")</f>
        <v>45644.375</v>
      </c>
      <c r="I105" s="190">
        <f>IFERROR(VLOOKUP(F105, LEVEL_HELPER!$A:$B, 2, 0), "")</f>
        <v>1</v>
      </c>
      <c r="J105" s="190">
        <f>IFERROR(VLOOKUP(G105, LEVEL_HELPER!$A:$B, 2, 0), "")</f>
        <v>2.5</v>
      </c>
      <c r="K105" s="190">
        <f t="shared" ref="K105:L105" si="212">IF(OR(I105="", I105=0), "",
  IF(I105&lt;=2,   1,
  IF(I105&lt;=4,   2,
  IF(I105&lt;=5.5, 3, 4))))</f>
        <v>1</v>
      </c>
      <c r="L105" s="190">
        <f t="shared" si="212"/>
        <v>2</v>
      </c>
      <c r="M105" s="190" t="str">
        <f t="shared" si="4"/>
        <v>Lv1 → Lv2</v>
      </c>
      <c r="N105" s="220" t="s">
        <v>919</v>
      </c>
      <c r="O105" s="229" t="s">
        <v>922</v>
      </c>
      <c r="P105" s="190">
        <f t="shared" si="5"/>
        <v>1</v>
      </c>
      <c r="Q105" s="210">
        <f t="shared" si="6"/>
        <v>2.5</v>
      </c>
      <c r="R105" s="210">
        <f t="shared" ref="R105:S105" si="213">IF(OR(P105="", P105=0), "",
  IF(P105&lt;=2,   1,
  IF(P105&lt;=4,   2,
  IF(P105&lt;=5.5, 3, 4))))</f>
        <v>1</v>
      </c>
      <c r="S105" s="210">
        <f t="shared" si="213"/>
        <v>2</v>
      </c>
      <c r="T105" s="210" t="str">
        <f t="shared" si="8"/>
        <v>Lv1 → Lv2</v>
      </c>
      <c r="U105" s="210">
        <f t="shared" si="9"/>
        <v>1</v>
      </c>
      <c r="V105" s="210"/>
    </row>
    <row r="106">
      <c r="A106" s="220" t="s">
        <v>689</v>
      </c>
      <c r="B106" s="190" t="s">
        <v>690</v>
      </c>
      <c r="C106" s="223" t="s">
        <v>60</v>
      </c>
      <c r="D106" s="223" t="s">
        <v>854</v>
      </c>
      <c r="E106" s="190" t="s">
        <v>21</v>
      </c>
      <c r="F106" s="13" t="s">
        <v>927</v>
      </c>
      <c r="G106" s="13" t="s">
        <v>917</v>
      </c>
      <c r="H106" s="219">
        <f>IFERROR(
  MINIFS(ATTENDANCE_LOG!$F:$F,
         ATTENDANCE_LOG!$A:$A, C106,
         ATTENDANCE_LOG!$B:$B, E106),
"")</f>
        <v>45644.375</v>
      </c>
      <c r="I106" s="190">
        <f>IFERROR(VLOOKUP(F106, LEVEL_HELPER!$A:$B, 2, 0), "")</f>
        <v>1</v>
      </c>
      <c r="J106" s="190">
        <f>IFERROR(VLOOKUP(G106, LEVEL_HELPER!$A:$B, 2, 0), "")</f>
        <v>2.5</v>
      </c>
      <c r="K106" s="190">
        <f t="shared" ref="K106:L106" si="214">IF(OR(I106="", I106=0), "",
  IF(I106&lt;=2,   1,
  IF(I106&lt;=4,   2,
  IF(I106&lt;=5.5, 3, 4))))</f>
        <v>1</v>
      </c>
      <c r="L106" s="190">
        <f t="shared" si="214"/>
        <v>2</v>
      </c>
      <c r="M106" s="190" t="str">
        <f t="shared" si="4"/>
        <v>Lv1 → Lv2</v>
      </c>
      <c r="N106" s="220" t="s">
        <v>944</v>
      </c>
      <c r="O106" s="229" t="s">
        <v>922</v>
      </c>
      <c r="P106" s="190">
        <f t="shared" si="5"/>
        <v>1</v>
      </c>
      <c r="Q106" s="210">
        <f t="shared" si="6"/>
        <v>2.5</v>
      </c>
      <c r="R106" s="210">
        <f t="shared" ref="R106:S106" si="215">IF(OR(P106="", P106=0), "",
  IF(P106&lt;=2,   1,
  IF(P106&lt;=4,   2,
  IF(P106&lt;=5.5, 3, 4))))</f>
        <v>1</v>
      </c>
      <c r="S106" s="210">
        <f t="shared" si="215"/>
        <v>2</v>
      </c>
      <c r="T106" s="210" t="str">
        <f t="shared" si="8"/>
        <v>Lv1 → Lv2</v>
      </c>
      <c r="U106" s="210">
        <f t="shared" si="9"/>
        <v>1</v>
      </c>
      <c r="V106" s="210"/>
    </row>
    <row r="107">
      <c r="A107" s="247" t="s">
        <v>504</v>
      </c>
      <c r="B107" s="217" t="s">
        <v>505</v>
      </c>
      <c r="C107" s="218" t="s">
        <v>60</v>
      </c>
      <c r="D107" s="218" t="s">
        <v>854</v>
      </c>
      <c r="E107" s="217" t="s">
        <v>22</v>
      </c>
      <c r="F107" s="13" t="s">
        <v>927</v>
      </c>
      <c r="G107" s="190"/>
      <c r="H107" s="219">
        <f>IFERROR(
  MINIFS(ATTENDANCE_LOG!$F:$F,
         ATTENDANCE_LOG!$A:$A, C107,
         ATTENDANCE_LOG!$B:$B, E107),
"")</f>
        <v>45853.375</v>
      </c>
      <c r="I107" s="190">
        <f>IFERROR(VLOOKUP(F107, LEVEL_HELPER!$A:$B, 2, 0), "")</f>
        <v>1</v>
      </c>
      <c r="J107" s="190" t="str">
        <f>IFERROR(VLOOKUP(G107, LEVEL_HELPER!$A:$B, 2, 0), "")</f>
        <v/>
      </c>
      <c r="K107" s="190">
        <f t="shared" ref="K107:L107" si="216">IF(OR(I107="", I107=0), "",
  IF(I107&lt;=2,   1,
  IF(I107&lt;=4,   2,
  IF(I107&lt;=5.5, 3, 4))))</f>
        <v>1</v>
      </c>
      <c r="L107" s="190" t="str">
        <f t="shared" si="216"/>
        <v/>
      </c>
      <c r="M107" s="190" t="str">
        <f t="shared" si="4"/>
        <v>No Data</v>
      </c>
      <c r="N107" s="220" t="s">
        <v>943</v>
      </c>
      <c r="O107" s="229" t="s">
        <v>922</v>
      </c>
      <c r="P107" s="190">
        <f t="shared" si="5"/>
        <v>1</v>
      </c>
      <c r="Q107" s="210">
        <f t="shared" si="6"/>
        <v>1</v>
      </c>
      <c r="R107" s="210">
        <f t="shared" ref="R107:S107" si="217">IF(OR(P107="", P107=0), "",
  IF(P107&lt;=2,   1,
  IF(P107&lt;=4,   2,
  IF(P107&lt;=5.5, 3, 4))))</f>
        <v>1</v>
      </c>
      <c r="S107" s="210">
        <f t="shared" si="217"/>
        <v>1</v>
      </c>
      <c r="T107" s="210" t="str">
        <f t="shared" si="8"/>
        <v>No Progress</v>
      </c>
      <c r="U107" s="210">
        <f t="shared" si="9"/>
        <v>1</v>
      </c>
      <c r="V107" s="210"/>
    </row>
    <row r="108">
      <c r="A108" s="220" t="s">
        <v>140</v>
      </c>
      <c r="B108" s="190" t="s">
        <v>141</v>
      </c>
      <c r="C108" s="223" t="s">
        <v>60</v>
      </c>
      <c r="D108" s="223" t="s">
        <v>854</v>
      </c>
      <c r="E108" s="190" t="s">
        <v>22</v>
      </c>
      <c r="F108" s="13" t="s">
        <v>917</v>
      </c>
      <c r="G108" s="190"/>
      <c r="H108" s="219">
        <f>IFERROR(
  MINIFS(ATTENDANCE_LOG!$F:$F,
         ATTENDANCE_LOG!$A:$A, C108,
         ATTENDANCE_LOG!$B:$B, E108),
"")</f>
        <v>45853.375</v>
      </c>
      <c r="I108" s="190">
        <f>IFERROR(VLOOKUP(F108, LEVEL_HELPER!$A:$B, 2, 0), "")</f>
        <v>2.5</v>
      </c>
      <c r="J108" s="190" t="str">
        <f>IFERROR(VLOOKUP(G108, LEVEL_HELPER!$A:$B, 2, 0), "")</f>
        <v/>
      </c>
      <c r="K108" s="190">
        <f t="shared" ref="K108:L108" si="218">IF(OR(I108="", I108=0), "",
  IF(I108&lt;=2,   1,
  IF(I108&lt;=4,   2,
  IF(I108&lt;=5.5, 3, 4))))</f>
        <v>2</v>
      </c>
      <c r="L108" s="190" t="str">
        <f t="shared" si="218"/>
        <v/>
      </c>
      <c r="M108" s="190" t="str">
        <f t="shared" si="4"/>
        <v>No Data</v>
      </c>
      <c r="N108" s="220" t="s">
        <v>943</v>
      </c>
      <c r="O108" s="229" t="s">
        <v>922</v>
      </c>
      <c r="P108" s="190">
        <f t="shared" si="5"/>
        <v>1</v>
      </c>
      <c r="Q108" s="210">
        <f t="shared" si="6"/>
        <v>2.5</v>
      </c>
      <c r="R108" s="210">
        <f t="shared" ref="R108:S108" si="219">IF(OR(P108="", P108=0), "",
  IF(P108&lt;=2,   1,
  IF(P108&lt;=4,   2,
  IF(P108&lt;=5.5, 3, 4))))</f>
        <v>1</v>
      </c>
      <c r="S108" s="210">
        <f t="shared" si="219"/>
        <v>2</v>
      </c>
      <c r="T108" s="210" t="str">
        <f t="shared" si="8"/>
        <v>Lv1 → Lv2</v>
      </c>
      <c r="U108" s="210">
        <f t="shared" si="9"/>
        <v>1</v>
      </c>
      <c r="V108" s="210"/>
    </row>
    <row r="109">
      <c r="A109" s="220" t="s">
        <v>216</v>
      </c>
      <c r="B109" s="190" t="s">
        <v>217</v>
      </c>
      <c r="C109" s="223" t="s">
        <v>60</v>
      </c>
      <c r="D109" s="223" t="s">
        <v>854</v>
      </c>
      <c r="E109" s="190" t="s">
        <v>22</v>
      </c>
      <c r="F109" s="13" t="s">
        <v>917</v>
      </c>
      <c r="G109" s="190"/>
      <c r="H109" s="219">
        <f>IFERROR(
  MINIFS(ATTENDANCE_LOG!$F:$F,
         ATTENDANCE_LOG!$A:$A, C109,
         ATTENDANCE_LOG!$B:$B, E109),
"")</f>
        <v>45853.375</v>
      </c>
      <c r="I109" s="190">
        <f>IFERROR(VLOOKUP(F109, LEVEL_HELPER!$A:$B, 2, 0), "")</f>
        <v>2.5</v>
      </c>
      <c r="J109" s="190" t="str">
        <f>IFERROR(VLOOKUP(G109, LEVEL_HELPER!$A:$B, 2, 0), "")</f>
        <v/>
      </c>
      <c r="K109" s="190">
        <f t="shared" ref="K109:L109" si="220">IF(OR(I109="", I109=0), "",
  IF(I109&lt;=2,   1,
  IF(I109&lt;=4,   2,
  IF(I109&lt;=5.5, 3, 4))))</f>
        <v>2</v>
      </c>
      <c r="L109" s="190" t="str">
        <f t="shared" si="220"/>
        <v/>
      </c>
      <c r="M109" s="190" t="str">
        <f t="shared" si="4"/>
        <v>No Data</v>
      </c>
      <c r="N109" s="220" t="s">
        <v>943</v>
      </c>
      <c r="O109" s="229" t="s">
        <v>922</v>
      </c>
      <c r="P109" s="190">
        <f t="shared" si="5"/>
        <v>2.5</v>
      </c>
      <c r="Q109" s="210">
        <f t="shared" si="6"/>
        <v>2.5</v>
      </c>
      <c r="R109" s="210">
        <f t="shared" ref="R109:S109" si="221">IF(OR(P109="", P109=0), "",
  IF(P109&lt;=2,   1,
  IF(P109&lt;=4,   2,
  IF(P109&lt;=5.5, 3, 4))))</f>
        <v>2</v>
      </c>
      <c r="S109" s="210">
        <f t="shared" si="221"/>
        <v>2</v>
      </c>
      <c r="T109" s="210" t="str">
        <f t="shared" si="8"/>
        <v>No Progress</v>
      </c>
      <c r="U109" s="210">
        <f t="shared" si="9"/>
        <v>0</v>
      </c>
      <c r="V109" s="210"/>
    </row>
    <row r="110">
      <c r="A110" s="220" t="s">
        <v>232</v>
      </c>
      <c r="B110" s="190" t="s">
        <v>233</v>
      </c>
      <c r="C110" s="223" t="s">
        <v>60</v>
      </c>
      <c r="D110" s="223" t="s">
        <v>854</v>
      </c>
      <c r="E110" s="190" t="s">
        <v>22</v>
      </c>
      <c r="F110" s="13" t="s">
        <v>917</v>
      </c>
      <c r="G110" s="190"/>
      <c r="H110" s="219">
        <f>IFERROR(
  MINIFS(ATTENDANCE_LOG!$F:$F,
         ATTENDANCE_LOG!$A:$A, C110,
         ATTENDANCE_LOG!$B:$B, E110),
"")</f>
        <v>45853.375</v>
      </c>
      <c r="I110" s="190">
        <f>IFERROR(VLOOKUP(F110, LEVEL_HELPER!$A:$B, 2, 0), "")</f>
        <v>2.5</v>
      </c>
      <c r="J110" s="190" t="str">
        <f>IFERROR(VLOOKUP(G110, LEVEL_HELPER!$A:$B, 2, 0), "")</f>
        <v/>
      </c>
      <c r="K110" s="190">
        <f t="shared" ref="K110:L110" si="222">IF(OR(I110="", I110=0), "",
  IF(I110&lt;=2,   1,
  IF(I110&lt;=4,   2,
  IF(I110&lt;=5.5, 3, 4))))</f>
        <v>2</v>
      </c>
      <c r="L110" s="190" t="str">
        <f t="shared" si="222"/>
        <v/>
      </c>
      <c r="M110" s="190" t="str">
        <f t="shared" si="4"/>
        <v>No Data</v>
      </c>
      <c r="N110" s="220" t="s">
        <v>943</v>
      </c>
      <c r="O110" s="229" t="s">
        <v>922</v>
      </c>
      <c r="P110" s="190">
        <f t="shared" si="5"/>
        <v>1</v>
      </c>
      <c r="Q110" s="210">
        <f t="shared" si="6"/>
        <v>2.5</v>
      </c>
      <c r="R110" s="210">
        <f t="shared" ref="R110:S110" si="223">IF(OR(P110="", P110=0), "",
  IF(P110&lt;=2,   1,
  IF(P110&lt;=4,   2,
  IF(P110&lt;=5.5, 3, 4))))</f>
        <v>1</v>
      </c>
      <c r="S110" s="210">
        <f t="shared" si="223"/>
        <v>2</v>
      </c>
      <c r="T110" s="210" t="str">
        <f t="shared" si="8"/>
        <v>Lv1 → Lv2</v>
      </c>
      <c r="U110" s="210">
        <f t="shared" si="9"/>
        <v>0</v>
      </c>
      <c r="V110" s="210"/>
    </row>
    <row r="111">
      <c r="A111" s="220" t="s">
        <v>321</v>
      </c>
      <c r="B111" s="190" t="s">
        <v>322</v>
      </c>
      <c r="C111" s="223" t="s">
        <v>60</v>
      </c>
      <c r="D111" s="223" t="s">
        <v>854</v>
      </c>
      <c r="E111" s="190" t="s">
        <v>22</v>
      </c>
      <c r="F111" s="13" t="s">
        <v>917</v>
      </c>
      <c r="G111" s="190"/>
      <c r="H111" s="219">
        <f>IFERROR(
  MINIFS(ATTENDANCE_LOG!$F:$F,
         ATTENDANCE_LOG!$A:$A, C111,
         ATTENDANCE_LOG!$B:$B, E111),
"")</f>
        <v>45853.375</v>
      </c>
      <c r="I111" s="190">
        <f>IFERROR(VLOOKUP(F111, LEVEL_HELPER!$A:$B, 2, 0), "")</f>
        <v>2.5</v>
      </c>
      <c r="J111" s="190" t="str">
        <f>IFERROR(VLOOKUP(G111, LEVEL_HELPER!$A:$B, 2, 0), "")</f>
        <v/>
      </c>
      <c r="K111" s="190">
        <f t="shared" ref="K111:L111" si="224">IF(OR(I111="", I111=0), "",
  IF(I111&lt;=2,   1,
  IF(I111&lt;=4,   2,
  IF(I111&lt;=5.5, 3, 4))))</f>
        <v>2</v>
      </c>
      <c r="L111" s="190" t="str">
        <f t="shared" si="224"/>
        <v/>
      </c>
      <c r="M111" s="190" t="str">
        <f t="shared" si="4"/>
        <v>No Data</v>
      </c>
      <c r="N111" s="220" t="s">
        <v>919</v>
      </c>
      <c r="O111" s="229" t="s">
        <v>922</v>
      </c>
      <c r="P111" s="190">
        <f t="shared" si="5"/>
        <v>1</v>
      </c>
      <c r="Q111" s="210">
        <f t="shared" si="6"/>
        <v>2.5</v>
      </c>
      <c r="R111" s="210">
        <f t="shared" ref="R111:S111" si="225">IF(OR(P111="", P111=0), "",
  IF(P111&lt;=2,   1,
  IF(P111&lt;=4,   2,
  IF(P111&lt;=5.5, 3, 4))))</f>
        <v>1</v>
      </c>
      <c r="S111" s="210">
        <f t="shared" si="225"/>
        <v>2</v>
      </c>
      <c r="T111" s="210" t="str">
        <f t="shared" si="8"/>
        <v>Lv1 → Lv2</v>
      </c>
      <c r="U111" s="210">
        <f t="shared" si="9"/>
        <v>0</v>
      </c>
      <c r="V111" s="210"/>
    </row>
    <row r="112">
      <c r="A112" s="220" t="s">
        <v>340</v>
      </c>
      <c r="B112" s="190" t="s">
        <v>341</v>
      </c>
      <c r="C112" s="223" t="s">
        <v>60</v>
      </c>
      <c r="D112" s="223" t="s">
        <v>854</v>
      </c>
      <c r="E112" s="190" t="s">
        <v>22</v>
      </c>
      <c r="F112" s="13" t="s">
        <v>917</v>
      </c>
      <c r="G112" s="190"/>
      <c r="H112" s="219">
        <f>IFERROR(
  MINIFS(ATTENDANCE_LOG!$F:$F,
         ATTENDANCE_LOG!$A:$A, C112,
         ATTENDANCE_LOG!$B:$B, E112),
"")</f>
        <v>45853.375</v>
      </c>
      <c r="I112" s="190">
        <f>IFERROR(VLOOKUP(F112, LEVEL_HELPER!$A:$B, 2, 0), "")</f>
        <v>2.5</v>
      </c>
      <c r="J112" s="190" t="str">
        <f>IFERROR(VLOOKUP(G112, LEVEL_HELPER!$A:$B, 2, 0), "")</f>
        <v/>
      </c>
      <c r="K112" s="190">
        <f t="shared" ref="K112:L112" si="226">IF(OR(I112="", I112=0), "",
  IF(I112&lt;=2,   1,
  IF(I112&lt;=4,   2,
  IF(I112&lt;=5.5, 3, 4))))</f>
        <v>2</v>
      </c>
      <c r="L112" s="190" t="str">
        <f t="shared" si="226"/>
        <v/>
      </c>
      <c r="M112" s="190" t="str">
        <f t="shared" si="4"/>
        <v>No Data</v>
      </c>
      <c r="N112" s="220" t="s">
        <v>943</v>
      </c>
      <c r="O112" s="229" t="s">
        <v>922</v>
      </c>
      <c r="P112" s="190">
        <f t="shared" si="5"/>
        <v>1</v>
      </c>
      <c r="Q112" s="210">
        <f t="shared" si="6"/>
        <v>2.5</v>
      </c>
      <c r="R112" s="210">
        <f t="shared" ref="R112:S112" si="227">IF(OR(P112="", P112=0), "",
  IF(P112&lt;=2,   1,
  IF(P112&lt;=4,   2,
  IF(P112&lt;=5.5, 3, 4))))</f>
        <v>1</v>
      </c>
      <c r="S112" s="210">
        <f t="shared" si="227"/>
        <v>2</v>
      </c>
      <c r="T112" s="210" t="str">
        <f t="shared" si="8"/>
        <v>Lv1 → Lv2</v>
      </c>
      <c r="U112" s="210">
        <f t="shared" si="9"/>
        <v>1</v>
      </c>
      <c r="V112" s="210"/>
    </row>
    <row r="113">
      <c r="A113" s="220" t="s">
        <v>395</v>
      </c>
      <c r="B113" s="190" t="s">
        <v>396</v>
      </c>
      <c r="C113" s="223" t="s">
        <v>60</v>
      </c>
      <c r="D113" s="223" t="s">
        <v>854</v>
      </c>
      <c r="E113" s="190" t="s">
        <v>22</v>
      </c>
      <c r="F113" s="13" t="s">
        <v>917</v>
      </c>
      <c r="G113" s="190"/>
      <c r="H113" s="219">
        <f>IFERROR(
  MINIFS(ATTENDANCE_LOG!$F:$F,
         ATTENDANCE_LOG!$A:$A, C113,
         ATTENDANCE_LOG!$B:$B, E113),
"")</f>
        <v>45853.375</v>
      </c>
      <c r="I113" s="190">
        <f>IFERROR(VLOOKUP(F113, LEVEL_HELPER!$A:$B, 2, 0), "")</f>
        <v>2.5</v>
      </c>
      <c r="J113" s="190" t="str">
        <f>IFERROR(VLOOKUP(G113, LEVEL_HELPER!$A:$B, 2, 0), "")</f>
        <v/>
      </c>
      <c r="K113" s="190">
        <f t="shared" ref="K113:L113" si="228">IF(OR(I113="", I113=0), "",
  IF(I113&lt;=2,   1,
  IF(I113&lt;=4,   2,
  IF(I113&lt;=5.5, 3, 4))))</f>
        <v>2</v>
      </c>
      <c r="L113" s="190" t="str">
        <f t="shared" si="228"/>
        <v/>
      </c>
      <c r="M113" s="190" t="str">
        <f t="shared" si="4"/>
        <v>No Data</v>
      </c>
      <c r="N113" s="220" t="s">
        <v>919</v>
      </c>
      <c r="O113" s="229" t="s">
        <v>922</v>
      </c>
      <c r="P113" s="190">
        <f t="shared" si="5"/>
        <v>2.5</v>
      </c>
      <c r="Q113" s="210">
        <f t="shared" si="6"/>
        <v>2.5</v>
      </c>
      <c r="R113" s="210">
        <f t="shared" ref="R113:S113" si="229">IF(OR(P113="", P113=0), "",
  IF(P113&lt;=2,   1,
  IF(P113&lt;=4,   2,
  IF(P113&lt;=5.5, 3, 4))))</f>
        <v>2</v>
      </c>
      <c r="S113" s="210">
        <f t="shared" si="229"/>
        <v>2</v>
      </c>
      <c r="T113" s="210" t="str">
        <f t="shared" si="8"/>
        <v>No Progress</v>
      </c>
      <c r="U113" s="210">
        <f t="shared" si="9"/>
        <v>1</v>
      </c>
      <c r="V113" s="210"/>
    </row>
    <row r="114">
      <c r="A114" s="220" t="s">
        <v>583</v>
      </c>
      <c r="B114" s="190" t="s">
        <v>584</v>
      </c>
      <c r="C114" s="223" t="s">
        <v>60</v>
      </c>
      <c r="D114" s="223" t="s">
        <v>854</v>
      </c>
      <c r="E114" s="190" t="s">
        <v>22</v>
      </c>
      <c r="F114" s="13" t="s">
        <v>932</v>
      </c>
      <c r="G114" s="190"/>
      <c r="H114" s="219">
        <f>IFERROR(
  MINIFS(ATTENDANCE_LOG!$F:$F,
         ATTENDANCE_LOG!$A:$A, C114,
         ATTENDANCE_LOG!$B:$B, E114),
"")</f>
        <v>45853.375</v>
      </c>
      <c r="I114" s="190">
        <f>IFERROR(VLOOKUP(F114, LEVEL_HELPER!$A:$B, 2, 0), "")</f>
        <v>4.5</v>
      </c>
      <c r="J114" s="190" t="str">
        <f>IFERROR(VLOOKUP(G114, LEVEL_HELPER!$A:$B, 2, 0), "")</f>
        <v/>
      </c>
      <c r="K114" s="190">
        <f t="shared" ref="K114:L114" si="230">IF(OR(I114="", I114=0), "",
  IF(I114&lt;=2,   1,
  IF(I114&lt;=4,   2,
  IF(I114&lt;=5.5, 3, 4))))</f>
        <v>3</v>
      </c>
      <c r="L114" s="190" t="str">
        <f t="shared" si="230"/>
        <v/>
      </c>
      <c r="M114" s="190" t="str">
        <f t="shared" si="4"/>
        <v>No Data</v>
      </c>
      <c r="N114" s="220" t="s">
        <v>943</v>
      </c>
      <c r="O114" s="229" t="s">
        <v>922</v>
      </c>
      <c r="P114" s="190">
        <f t="shared" si="5"/>
        <v>2.5</v>
      </c>
      <c r="Q114" s="210">
        <f t="shared" si="6"/>
        <v>4.5</v>
      </c>
      <c r="R114" s="210">
        <f t="shared" ref="R114:S114" si="231">IF(OR(P114="", P114=0), "",
  IF(P114&lt;=2,   1,
  IF(P114&lt;=4,   2,
  IF(P114&lt;=5.5, 3, 4))))</f>
        <v>2</v>
      </c>
      <c r="S114" s="210">
        <f t="shared" si="231"/>
        <v>3</v>
      </c>
      <c r="T114" s="210" t="str">
        <f t="shared" si="8"/>
        <v>Lv2 → Lv3</v>
      </c>
      <c r="U114" s="210">
        <f t="shared" si="9"/>
        <v>1</v>
      </c>
      <c r="V114" s="210"/>
    </row>
    <row r="115">
      <c r="A115" s="247" t="s">
        <v>395</v>
      </c>
      <c r="B115" s="217" t="s">
        <v>396</v>
      </c>
      <c r="C115" s="218" t="s">
        <v>61</v>
      </c>
      <c r="D115" s="218" t="s">
        <v>855</v>
      </c>
      <c r="E115" s="217" t="s">
        <v>21</v>
      </c>
      <c r="F115" s="13" t="s">
        <v>917</v>
      </c>
      <c r="G115" s="13" t="s">
        <v>917</v>
      </c>
      <c r="H115" s="219">
        <f>IFERROR(
  MINIFS(ATTENDANCE_LOG!$F:$F,
         ATTENDANCE_LOG!$A:$A, C115,
         ATTENDANCE_LOG!$B:$B, E115),
"")</f>
        <v>45644.375</v>
      </c>
      <c r="I115" s="190">
        <f>IFERROR(VLOOKUP(F115, LEVEL_HELPER!$A:$B, 2, 0), "")</f>
        <v>2.5</v>
      </c>
      <c r="J115" s="190">
        <f>IFERROR(VLOOKUP(G115, LEVEL_HELPER!$A:$B, 2, 0), "")</f>
        <v>2.5</v>
      </c>
      <c r="K115" s="190">
        <f t="shared" ref="K115:L115" si="232">IF(OR(I115="", I115=0), "",
  IF(I115&lt;=2,   1,
  IF(I115&lt;=4,   2,
  IF(I115&lt;=5.5, 3, 4))))</f>
        <v>2</v>
      </c>
      <c r="L115" s="190">
        <f t="shared" si="232"/>
        <v>2</v>
      </c>
      <c r="M115" s="190" t="str">
        <f t="shared" si="4"/>
        <v>No Progress</v>
      </c>
      <c r="N115" s="220" t="s">
        <v>919</v>
      </c>
      <c r="O115" s="229" t="s">
        <v>922</v>
      </c>
      <c r="P115" s="190">
        <f t="shared" si="5"/>
        <v>2.5</v>
      </c>
      <c r="Q115" s="210">
        <f t="shared" si="6"/>
        <v>2.5</v>
      </c>
      <c r="R115" s="210">
        <f t="shared" ref="R115:S115" si="233">IF(OR(P115="", P115=0), "",
  IF(P115&lt;=2,   1,
  IF(P115&lt;=4,   2,
  IF(P115&lt;=5.5, 3, 4))))</f>
        <v>2</v>
      </c>
      <c r="S115" s="210">
        <f t="shared" si="233"/>
        <v>2</v>
      </c>
      <c r="T115" s="210" t="str">
        <f t="shared" si="8"/>
        <v>No Progress</v>
      </c>
      <c r="U115" s="210">
        <f t="shared" si="9"/>
        <v>0</v>
      </c>
      <c r="V115" s="210"/>
    </row>
    <row r="116">
      <c r="A116" s="220" t="s">
        <v>140</v>
      </c>
      <c r="B116" s="190" t="s">
        <v>141</v>
      </c>
      <c r="C116" s="223" t="s">
        <v>61</v>
      </c>
      <c r="D116" s="223" t="s">
        <v>855</v>
      </c>
      <c r="E116" s="190" t="s">
        <v>21</v>
      </c>
      <c r="F116" s="13" t="s">
        <v>927</v>
      </c>
      <c r="G116" s="13" t="s">
        <v>917</v>
      </c>
      <c r="H116" s="219">
        <f>IFERROR(
  MINIFS(ATTENDANCE_LOG!$F:$F,
         ATTENDANCE_LOG!$A:$A, C116,
         ATTENDANCE_LOG!$B:$B, E116),
"")</f>
        <v>45644.375</v>
      </c>
      <c r="I116" s="190">
        <f>IFERROR(VLOOKUP(F116, LEVEL_HELPER!$A:$B, 2, 0), "")</f>
        <v>1</v>
      </c>
      <c r="J116" s="190">
        <f>IFERROR(VLOOKUP(G116, LEVEL_HELPER!$A:$B, 2, 0), "")</f>
        <v>2.5</v>
      </c>
      <c r="K116" s="190">
        <f t="shared" ref="K116:L116" si="234">IF(OR(I116="", I116=0), "",
  IF(I116&lt;=2,   1,
  IF(I116&lt;=4,   2,
  IF(I116&lt;=5.5, 3, 4))))</f>
        <v>1</v>
      </c>
      <c r="L116" s="190">
        <f t="shared" si="234"/>
        <v>2</v>
      </c>
      <c r="M116" s="190" t="str">
        <f t="shared" si="4"/>
        <v>Lv1 → Lv2</v>
      </c>
      <c r="N116" s="220" t="s">
        <v>943</v>
      </c>
      <c r="O116" s="229" t="s">
        <v>922</v>
      </c>
      <c r="P116" s="190">
        <f t="shared" si="5"/>
        <v>1</v>
      </c>
      <c r="Q116" s="210">
        <f t="shared" si="6"/>
        <v>2.5</v>
      </c>
      <c r="R116" s="210">
        <f t="shared" ref="R116:S116" si="235">IF(OR(P116="", P116=0), "",
  IF(P116&lt;=2,   1,
  IF(P116&lt;=4,   2,
  IF(P116&lt;=5.5, 3, 4))))</f>
        <v>1</v>
      </c>
      <c r="S116" s="210">
        <f t="shared" si="235"/>
        <v>2</v>
      </c>
      <c r="T116" s="210" t="str">
        <f t="shared" si="8"/>
        <v>Lv1 → Lv2</v>
      </c>
      <c r="U116" s="210">
        <f t="shared" si="9"/>
        <v>0</v>
      </c>
      <c r="V116" s="210"/>
    </row>
    <row r="117">
      <c r="A117" s="220" t="s">
        <v>340</v>
      </c>
      <c r="B117" s="190" t="s">
        <v>341</v>
      </c>
      <c r="C117" s="223" t="s">
        <v>61</v>
      </c>
      <c r="D117" s="223" t="s">
        <v>855</v>
      </c>
      <c r="E117" s="190" t="s">
        <v>21</v>
      </c>
      <c r="F117" s="13" t="s">
        <v>927</v>
      </c>
      <c r="G117" s="13" t="s">
        <v>917</v>
      </c>
      <c r="H117" s="219">
        <f>IFERROR(
  MINIFS(ATTENDANCE_LOG!$F:$F,
         ATTENDANCE_LOG!$A:$A, C117,
         ATTENDANCE_LOG!$B:$B, E117),
"")</f>
        <v>45644.375</v>
      </c>
      <c r="I117" s="190">
        <f>IFERROR(VLOOKUP(F117, LEVEL_HELPER!$A:$B, 2, 0), "")</f>
        <v>1</v>
      </c>
      <c r="J117" s="190">
        <f>IFERROR(VLOOKUP(G117, LEVEL_HELPER!$A:$B, 2, 0), "")</f>
        <v>2.5</v>
      </c>
      <c r="K117" s="190">
        <f t="shared" ref="K117:L117" si="236">IF(OR(I117="", I117=0), "",
  IF(I117&lt;=2,   1,
  IF(I117&lt;=4,   2,
  IF(I117&lt;=5.5, 3, 4))))</f>
        <v>1</v>
      </c>
      <c r="L117" s="190">
        <f t="shared" si="236"/>
        <v>2</v>
      </c>
      <c r="M117" s="190" t="str">
        <f t="shared" si="4"/>
        <v>Lv1 → Lv2</v>
      </c>
      <c r="N117" s="220" t="s">
        <v>943</v>
      </c>
      <c r="O117" s="229" t="s">
        <v>922</v>
      </c>
      <c r="P117" s="190">
        <f t="shared" si="5"/>
        <v>1</v>
      </c>
      <c r="Q117" s="210">
        <f t="shared" si="6"/>
        <v>2.5</v>
      </c>
      <c r="R117" s="210">
        <f t="shared" ref="R117:S117" si="237">IF(OR(P117="", P117=0), "",
  IF(P117&lt;=2,   1,
  IF(P117&lt;=4,   2,
  IF(P117&lt;=5.5, 3, 4))))</f>
        <v>1</v>
      </c>
      <c r="S117" s="210">
        <f t="shared" si="237"/>
        <v>2</v>
      </c>
      <c r="T117" s="210" t="str">
        <f t="shared" si="8"/>
        <v>Lv1 → Lv2</v>
      </c>
      <c r="U117" s="210">
        <f t="shared" si="9"/>
        <v>0</v>
      </c>
      <c r="V117" s="210"/>
    </row>
    <row r="118">
      <c r="A118" s="220" t="s">
        <v>504</v>
      </c>
      <c r="B118" s="190" t="s">
        <v>505</v>
      </c>
      <c r="C118" s="223" t="s">
        <v>61</v>
      </c>
      <c r="D118" s="223" t="s">
        <v>855</v>
      </c>
      <c r="E118" s="190" t="s">
        <v>21</v>
      </c>
      <c r="F118" s="13" t="s">
        <v>927</v>
      </c>
      <c r="G118" s="13" t="s">
        <v>927</v>
      </c>
      <c r="H118" s="219">
        <f>IFERROR(
  MINIFS(ATTENDANCE_LOG!$F:$F,
         ATTENDANCE_LOG!$A:$A, C118,
         ATTENDANCE_LOG!$B:$B, E118),
"")</f>
        <v>45644.375</v>
      </c>
      <c r="I118" s="190">
        <f>IFERROR(VLOOKUP(F118, LEVEL_HELPER!$A:$B, 2, 0), "")</f>
        <v>1</v>
      </c>
      <c r="J118" s="190">
        <f>IFERROR(VLOOKUP(G118, LEVEL_HELPER!$A:$B, 2, 0), "")</f>
        <v>1</v>
      </c>
      <c r="K118" s="190">
        <f t="shared" ref="K118:L118" si="238">IF(OR(I118="", I118=0), "",
  IF(I118&lt;=2,   1,
  IF(I118&lt;=4,   2,
  IF(I118&lt;=5.5, 3, 4))))</f>
        <v>1</v>
      </c>
      <c r="L118" s="190">
        <f t="shared" si="238"/>
        <v>1</v>
      </c>
      <c r="M118" s="190" t="str">
        <f t="shared" si="4"/>
        <v>No Progress</v>
      </c>
      <c r="N118" s="220" t="s">
        <v>943</v>
      </c>
      <c r="O118" s="229" t="s">
        <v>922</v>
      </c>
      <c r="P118" s="190">
        <f t="shared" si="5"/>
        <v>1</v>
      </c>
      <c r="Q118" s="210">
        <f t="shared" si="6"/>
        <v>1</v>
      </c>
      <c r="R118" s="210">
        <f t="shared" ref="R118:S118" si="239">IF(OR(P118="", P118=0), "",
  IF(P118&lt;=2,   1,
  IF(P118&lt;=4,   2,
  IF(P118&lt;=5.5, 3, 4))))</f>
        <v>1</v>
      </c>
      <c r="S118" s="210">
        <f t="shared" si="239"/>
        <v>1</v>
      </c>
      <c r="T118" s="210" t="str">
        <f t="shared" si="8"/>
        <v>No Progress</v>
      </c>
      <c r="U118" s="210">
        <f t="shared" si="9"/>
        <v>0</v>
      </c>
      <c r="V118" s="210"/>
    </row>
    <row r="119">
      <c r="A119" s="220" t="s">
        <v>583</v>
      </c>
      <c r="B119" s="190" t="s">
        <v>584</v>
      </c>
      <c r="C119" s="223" t="s">
        <v>61</v>
      </c>
      <c r="D119" s="223" t="s">
        <v>855</v>
      </c>
      <c r="E119" s="190" t="s">
        <v>21</v>
      </c>
      <c r="F119" s="13" t="s">
        <v>917</v>
      </c>
      <c r="G119" s="13" t="s">
        <v>932</v>
      </c>
      <c r="H119" s="219">
        <f>IFERROR(
  MINIFS(ATTENDANCE_LOG!$F:$F,
         ATTENDANCE_LOG!$A:$A, C119,
         ATTENDANCE_LOG!$B:$B, E119),
"")</f>
        <v>45644.375</v>
      </c>
      <c r="I119" s="190">
        <f>IFERROR(VLOOKUP(F119, LEVEL_HELPER!$A:$B, 2, 0), "")</f>
        <v>2.5</v>
      </c>
      <c r="J119" s="190">
        <f>IFERROR(VLOOKUP(G119, LEVEL_HELPER!$A:$B, 2, 0), "")</f>
        <v>4.5</v>
      </c>
      <c r="K119" s="190">
        <f t="shared" ref="K119:L119" si="240">IF(OR(I119="", I119=0), "",
  IF(I119&lt;=2,   1,
  IF(I119&lt;=4,   2,
  IF(I119&lt;=5.5, 3, 4))))</f>
        <v>2</v>
      </c>
      <c r="L119" s="190">
        <f t="shared" si="240"/>
        <v>3</v>
      </c>
      <c r="M119" s="190" t="str">
        <f t="shared" si="4"/>
        <v>Lv2 → Lv3</v>
      </c>
      <c r="N119" s="220" t="s">
        <v>943</v>
      </c>
      <c r="O119" s="229" t="s">
        <v>922</v>
      </c>
      <c r="P119" s="190">
        <f t="shared" si="5"/>
        <v>2.5</v>
      </c>
      <c r="Q119" s="210">
        <f t="shared" si="6"/>
        <v>4.5</v>
      </c>
      <c r="R119" s="210">
        <f t="shared" ref="R119:S119" si="241">IF(OR(P119="", P119=0), "",
  IF(P119&lt;=2,   1,
  IF(P119&lt;=4,   2,
  IF(P119&lt;=5.5, 3, 4))))</f>
        <v>2</v>
      </c>
      <c r="S119" s="210">
        <f t="shared" si="241"/>
        <v>3</v>
      </c>
      <c r="T119" s="210" t="str">
        <f t="shared" si="8"/>
        <v>Lv2 → Lv3</v>
      </c>
      <c r="U119" s="210">
        <f t="shared" si="9"/>
        <v>0</v>
      </c>
      <c r="V119" s="210"/>
    </row>
    <row r="120">
      <c r="A120" s="247" t="s">
        <v>307</v>
      </c>
      <c r="B120" s="217" t="s">
        <v>308</v>
      </c>
      <c r="C120" s="218" t="s">
        <v>62</v>
      </c>
      <c r="D120" s="218" t="s">
        <v>856</v>
      </c>
      <c r="E120" s="217" t="s">
        <v>21</v>
      </c>
      <c r="F120" s="13" t="s">
        <v>917</v>
      </c>
      <c r="G120" s="13" t="s">
        <v>935</v>
      </c>
      <c r="H120" s="219">
        <f>IFERROR(
  MINIFS(ATTENDANCE_LOG!$F:$F,
         ATTENDANCE_LOG!$A:$A, C120,
         ATTENDANCE_LOG!$B:$B, E120),
"")</f>
        <v>45646.375</v>
      </c>
      <c r="I120" s="190">
        <f>IFERROR(VLOOKUP(F120, LEVEL_HELPER!$A:$B, 2, 0), "")</f>
        <v>2.5</v>
      </c>
      <c r="J120" s="190">
        <f>IFERROR(VLOOKUP(G120, LEVEL_HELPER!$A:$B, 2, 0), "")</f>
        <v>3.5</v>
      </c>
      <c r="K120" s="190">
        <f t="shared" ref="K120:L120" si="242">IF(OR(I120="", I120=0), "",
  IF(I120&lt;=2,   1,
  IF(I120&lt;=4,   2,
  IF(I120&lt;=5.5, 3, 4))))</f>
        <v>2</v>
      </c>
      <c r="L120" s="190">
        <f t="shared" si="242"/>
        <v>2</v>
      </c>
      <c r="M120" s="190" t="str">
        <f t="shared" si="4"/>
        <v>Progress within level</v>
      </c>
      <c r="N120" s="220" t="s">
        <v>943</v>
      </c>
      <c r="O120" s="229" t="s">
        <v>922</v>
      </c>
      <c r="P120" s="190">
        <f t="shared" si="5"/>
        <v>2.5</v>
      </c>
      <c r="Q120" s="210">
        <f t="shared" si="6"/>
        <v>3.5</v>
      </c>
      <c r="R120" s="210">
        <f t="shared" ref="R120:S120" si="243">IF(OR(P120="", P120=0), "",
  IF(P120&lt;=2,   1,
  IF(P120&lt;=4,   2,
  IF(P120&lt;=5.5, 3, 4))))</f>
        <v>2</v>
      </c>
      <c r="S120" s="210">
        <f t="shared" si="243"/>
        <v>2</v>
      </c>
      <c r="T120" s="210" t="str">
        <f t="shared" si="8"/>
        <v>Progress within level</v>
      </c>
      <c r="U120" s="210">
        <f t="shared" si="9"/>
        <v>1</v>
      </c>
      <c r="V120" s="210"/>
    </row>
    <row r="121">
      <c r="A121" s="220" t="s">
        <v>190</v>
      </c>
      <c r="B121" s="190" t="s">
        <v>191</v>
      </c>
      <c r="C121" s="223" t="s">
        <v>62</v>
      </c>
      <c r="D121" s="223" t="s">
        <v>856</v>
      </c>
      <c r="E121" s="190" t="s">
        <v>21</v>
      </c>
      <c r="F121" s="13" t="s">
        <v>927</v>
      </c>
      <c r="G121" s="190"/>
      <c r="H121" s="219">
        <f>IFERROR(
  MINIFS(ATTENDANCE_LOG!$F:$F,
         ATTENDANCE_LOG!$A:$A, C121,
         ATTENDANCE_LOG!$B:$B, E121),
"")</f>
        <v>45646.375</v>
      </c>
      <c r="I121" s="190">
        <f>IFERROR(VLOOKUP(F121, LEVEL_HELPER!$A:$B, 2, 0), "")</f>
        <v>1</v>
      </c>
      <c r="J121" s="190" t="str">
        <f>IFERROR(VLOOKUP(G121, LEVEL_HELPER!$A:$B, 2, 0), "")</f>
        <v/>
      </c>
      <c r="K121" s="190">
        <f t="shared" ref="K121:L121" si="244">IF(OR(I121="", I121=0), "",
  IF(I121&lt;=2,   1,
  IF(I121&lt;=4,   2,
  IF(I121&lt;=5.5, 3, 4))))</f>
        <v>1</v>
      </c>
      <c r="L121" s="190" t="str">
        <f t="shared" si="244"/>
        <v/>
      </c>
      <c r="M121" s="190" t="str">
        <f t="shared" si="4"/>
        <v>No Data</v>
      </c>
      <c r="N121" s="220" t="s">
        <v>944</v>
      </c>
      <c r="O121" s="229" t="s">
        <v>922</v>
      </c>
      <c r="P121" s="190">
        <f t="shared" si="5"/>
        <v>1</v>
      </c>
      <c r="Q121" s="210">
        <f t="shared" si="6"/>
        <v>0</v>
      </c>
      <c r="R121" s="210">
        <f t="shared" ref="R121:S121" si="245">IF(OR(P121="", P121=0), "",
  IF(P121&lt;=2,   1,
  IF(P121&lt;=4,   2,
  IF(P121&lt;=5.5, 3, 4))))</f>
        <v>1</v>
      </c>
      <c r="S121" s="210" t="str">
        <f t="shared" si="245"/>
        <v/>
      </c>
      <c r="T121" s="210" t="str">
        <f t="shared" si="8"/>
        <v>No Data</v>
      </c>
      <c r="U121" s="210">
        <f t="shared" si="9"/>
        <v>1</v>
      </c>
      <c r="V121" s="210"/>
    </row>
    <row r="122">
      <c r="A122" s="220" t="s">
        <v>198</v>
      </c>
      <c r="B122" s="190" t="s">
        <v>199</v>
      </c>
      <c r="C122" s="223" t="s">
        <v>62</v>
      </c>
      <c r="D122" s="223" t="s">
        <v>856</v>
      </c>
      <c r="E122" s="190" t="s">
        <v>21</v>
      </c>
      <c r="F122" s="13" t="s">
        <v>917</v>
      </c>
      <c r="G122" s="190"/>
      <c r="H122" s="219">
        <f>IFERROR(
  MINIFS(ATTENDANCE_LOG!$F:$F,
         ATTENDANCE_LOG!$A:$A, C122,
         ATTENDANCE_LOG!$B:$B, E122),
"")</f>
        <v>45646.375</v>
      </c>
      <c r="I122" s="190">
        <f>IFERROR(VLOOKUP(F122, LEVEL_HELPER!$A:$B, 2, 0), "")</f>
        <v>2.5</v>
      </c>
      <c r="J122" s="190" t="str">
        <f>IFERROR(VLOOKUP(G122, LEVEL_HELPER!$A:$B, 2, 0), "")</f>
        <v/>
      </c>
      <c r="K122" s="190">
        <f t="shared" ref="K122:L122" si="246">IF(OR(I122="", I122=0), "",
  IF(I122&lt;=2,   1,
  IF(I122&lt;=4,   2,
  IF(I122&lt;=5.5, 3, 4))))</f>
        <v>2</v>
      </c>
      <c r="L122" s="190" t="str">
        <f t="shared" si="246"/>
        <v/>
      </c>
      <c r="M122" s="190" t="str">
        <f t="shared" si="4"/>
        <v>No Data</v>
      </c>
      <c r="N122" s="220" t="s">
        <v>943</v>
      </c>
      <c r="O122" s="220" t="s">
        <v>926</v>
      </c>
      <c r="P122" s="190">
        <f t="shared" si="5"/>
        <v>2.5</v>
      </c>
      <c r="Q122" s="210">
        <f t="shared" si="6"/>
        <v>0</v>
      </c>
      <c r="R122" s="210">
        <f t="shared" ref="R122:S122" si="247">IF(OR(P122="", P122=0), "",
  IF(P122&lt;=2,   1,
  IF(P122&lt;=4,   2,
  IF(P122&lt;=5.5, 3, 4))))</f>
        <v>2</v>
      </c>
      <c r="S122" s="210" t="str">
        <f t="shared" si="247"/>
        <v/>
      </c>
      <c r="T122" s="210" t="str">
        <f t="shared" si="8"/>
        <v>No Data</v>
      </c>
      <c r="U122" s="210">
        <f t="shared" si="9"/>
        <v>1</v>
      </c>
      <c r="V122" s="210"/>
    </row>
    <row r="123">
      <c r="A123" s="220" t="s">
        <v>237</v>
      </c>
      <c r="B123" s="190" t="s">
        <v>238</v>
      </c>
      <c r="C123" s="223" t="s">
        <v>62</v>
      </c>
      <c r="D123" s="223" t="s">
        <v>856</v>
      </c>
      <c r="E123" s="190" t="s">
        <v>21</v>
      </c>
      <c r="F123" s="13" t="s">
        <v>917</v>
      </c>
      <c r="G123" s="190"/>
      <c r="H123" s="219">
        <f>IFERROR(
  MINIFS(ATTENDANCE_LOG!$F:$F,
         ATTENDANCE_LOG!$A:$A, C123,
         ATTENDANCE_LOG!$B:$B, E123),
"")</f>
        <v>45646.375</v>
      </c>
      <c r="I123" s="190">
        <f>IFERROR(VLOOKUP(F123, LEVEL_HELPER!$A:$B, 2, 0), "")</f>
        <v>2.5</v>
      </c>
      <c r="J123" s="190" t="str">
        <f>IFERROR(VLOOKUP(G123, LEVEL_HELPER!$A:$B, 2, 0), "")</f>
        <v/>
      </c>
      <c r="K123" s="190">
        <f t="shared" ref="K123:L123" si="248">IF(OR(I123="", I123=0), "",
  IF(I123&lt;=2,   1,
  IF(I123&lt;=4,   2,
  IF(I123&lt;=5.5, 3, 4))))</f>
        <v>2</v>
      </c>
      <c r="L123" s="190" t="str">
        <f t="shared" si="248"/>
        <v/>
      </c>
      <c r="M123" s="190" t="str">
        <f t="shared" si="4"/>
        <v>No Data</v>
      </c>
      <c r="N123" s="220" t="s">
        <v>919</v>
      </c>
      <c r="O123" s="229" t="s">
        <v>922</v>
      </c>
      <c r="P123" s="190">
        <f t="shared" si="5"/>
        <v>2.5</v>
      </c>
      <c r="Q123" s="210">
        <f t="shared" si="6"/>
        <v>0</v>
      </c>
      <c r="R123" s="210">
        <f t="shared" ref="R123:S123" si="249">IF(OR(P123="", P123=0), "",
  IF(P123&lt;=2,   1,
  IF(P123&lt;=4,   2,
  IF(P123&lt;=5.5, 3, 4))))</f>
        <v>2</v>
      </c>
      <c r="S123" s="210" t="str">
        <f t="shared" si="249"/>
        <v/>
      </c>
      <c r="T123" s="210" t="str">
        <f t="shared" si="8"/>
        <v>No Data</v>
      </c>
      <c r="U123" s="210">
        <f t="shared" si="9"/>
        <v>1</v>
      </c>
      <c r="V123" s="210"/>
    </row>
    <row r="124">
      <c r="A124" s="220" t="s">
        <v>249</v>
      </c>
      <c r="B124" s="190" t="s">
        <v>250</v>
      </c>
      <c r="C124" s="223" t="s">
        <v>62</v>
      </c>
      <c r="D124" s="223" t="s">
        <v>856</v>
      </c>
      <c r="E124" s="190" t="s">
        <v>21</v>
      </c>
      <c r="F124" s="13" t="s">
        <v>927</v>
      </c>
      <c r="G124" s="190"/>
      <c r="H124" s="219">
        <f>IFERROR(
  MINIFS(ATTENDANCE_LOG!$F:$F,
         ATTENDANCE_LOG!$A:$A, C124,
         ATTENDANCE_LOG!$B:$B, E124),
"")</f>
        <v>45646.375</v>
      </c>
      <c r="I124" s="190">
        <f>IFERROR(VLOOKUP(F124, LEVEL_HELPER!$A:$B, 2, 0), "")</f>
        <v>1</v>
      </c>
      <c r="J124" s="190" t="str">
        <f>IFERROR(VLOOKUP(G124, LEVEL_HELPER!$A:$B, 2, 0), "")</f>
        <v/>
      </c>
      <c r="K124" s="190">
        <f t="shared" ref="K124:L124" si="250">IF(OR(I124="", I124=0), "",
  IF(I124&lt;=2,   1,
  IF(I124&lt;=4,   2,
  IF(I124&lt;=5.5, 3, 4))))</f>
        <v>1</v>
      </c>
      <c r="L124" s="190" t="str">
        <f t="shared" si="250"/>
        <v/>
      </c>
      <c r="M124" s="190" t="str">
        <f t="shared" si="4"/>
        <v>No Data</v>
      </c>
      <c r="N124" s="220" t="s">
        <v>943</v>
      </c>
      <c r="O124" s="229" t="s">
        <v>922</v>
      </c>
      <c r="P124" s="190">
        <f t="shared" si="5"/>
        <v>1</v>
      </c>
      <c r="Q124" s="210">
        <f t="shared" si="6"/>
        <v>0</v>
      </c>
      <c r="R124" s="210">
        <f t="shared" ref="R124:S124" si="251">IF(OR(P124="", P124=0), "",
  IF(P124&lt;=2,   1,
  IF(P124&lt;=4,   2,
  IF(P124&lt;=5.5, 3, 4))))</f>
        <v>1</v>
      </c>
      <c r="S124" s="210" t="str">
        <f t="shared" si="251"/>
        <v/>
      </c>
      <c r="T124" s="210" t="str">
        <f t="shared" si="8"/>
        <v>No Data</v>
      </c>
      <c r="U124" s="210">
        <f t="shared" si="9"/>
        <v>1</v>
      </c>
      <c r="V124" s="210"/>
    </row>
    <row r="125">
      <c r="A125" s="220" t="s">
        <v>376</v>
      </c>
      <c r="B125" s="190" t="s">
        <v>377</v>
      </c>
      <c r="C125" s="223" t="s">
        <v>62</v>
      </c>
      <c r="D125" s="223" t="s">
        <v>856</v>
      </c>
      <c r="E125" s="190" t="s">
        <v>21</v>
      </c>
      <c r="F125" s="13" t="s">
        <v>927</v>
      </c>
      <c r="G125" s="190"/>
      <c r="H125" s="219">
        <f>IFERROR(
  MINIFS(ATTENDANCE_LOG!$F:$F,
         ATTENDANCE_LOG!$A:$A, C125,
         ATTENDANCE_LOG!$B:$B, E125),
"")</f>
        <v>45646.375</v>
      </c>
      <c r="I125" s="190">
        <f>IFERROR(VLOOKUP(F125, LEVEL_HELPER!$A:$B, 2, 0), "")</f>
        <v>1</v>
      </c>
      <c r="J125" s="190" t="str">
        <f>IFERROR(VLOOKUP(G125, LEVEL_HELPER!$A:$B, 2, 0), "")</f>
        <v/>
      </c>
      <c r="K125" s="190">
        <f t="shared" ref="K125:L125" si="252">IF(OR(I125="", I125=0), "",
  IF(I125&lt;=2,   1,
  IF(I125&lt;=4,   2,
  IF(I125&lt;=5.5, 3, 4))))</f>
        <v>1</v>
      </c>
      <c r="L125" s="190" t="str">
        <f t="shared" si="252"/>
        <v/>
      </c>
      <c r="M125" s="190" t="str">
        <f t="shared" si="4"/>
        <v>No Data</v>
      </c>
      <c r="N125" s="220" t="s">
        <v>919</v>
      </c>
      <c r="O125" s="229" t="s">
        <v>922</v>
      </c>
      <c r="P125" s="190">
        <f t="shared" si="5"/>
        <v>1</v>
      </c>
      <c r="Q125" s="210">
        <f t="shared" si="6"/>
        <v>0</v>
      </c>
      <c r="R125" s="210">
        <f t="shared" ref="R125:S125" si="253">IF(OR(P125="", P125=0), "",
  IF(P125&lt;=2,   1,
  IF(P125&lt;=4,   2,
  IF(P125&lt;=5.5, 3, 4))))</f>
        <v>1</v>
      </c>
      <c r="S125" s="210" t="str">
        <f t="shared" si="253"/>
        <v/>
      </c>
      <c r="T125" s="210" t="str">
        <f t="shared" si="8"/>
        <v>No Data</v>
      </c>
      <c r="U125" s="210">
        <f t="shared" si="9"/>
        <v>1</v>
      </c>
      <c r="V125" s="210"/>
    </row>
    <row r="126">
      <c r="A126" s="220" t="s">
        <v>387</v>
      </c>
      <c r="B126" s="190" t="s">
        <v>388</v>
      </c>
      <c r="C126" s="223" t="s">
        <v>62</v>
      </c>
      <c r="D126" s="223" t="s">
        <v>856</v>
      </c>
      <c r="E126" s="190" t="s">
        <v>21</v>
      </c>
      <c r="F126" s="13" t="s">
        <v>927</v>
      </c>
      <c r="G126" s="13" t="s">
        <v>929</v>
      </c>
      <c r="H126" s="219">
        <f>IFERROR(
  MINIFS(ATTENDANCE_LOG!$F:$F,
         ATTENDANCE_LOG!$A:$A, C126,
         ATTENDANCE_LOG!$B:$B, E126),
"")</f>
        <v>45646.375</v>
      </c>
      <c r="I126" s="190">
        <f>IFERROR(VLOOKUP(F126, LEVEL_HELPER!$A:$B, 2, 0), "")</f>
        <v>1</v>
      </c>
      <c r="J126" s="190">
        <f>IFERROR(VLOOKUP(G126, LEVEL_HELPER!$A:$B, 2, 0), "")</f>
        <v>1.5</v>
      </c>
      <c r="K126" s="190">
        <f t="shared" ref="K126:L126" si="254">IF(OR(I126="", I126=0), "",
  IF(I126&lt;=2,   1,
  IF(I126&lt;=4,   2,
  IF(I126&lt;=5.5, 3, 4))))</f>
        <v>1</v>
      </c>
      <c r="L126" s="190">
        <f t="shared" si="254"/>
        <v>1</v>
      </c>
      <c r="M126" s="190" t="str">
        <f t="shared" si="4"/>
        <v>Progress within level</v>
      </c>
      <c r="N126" s="220" t="s">
        <v>943</v>
      </c>
      <c r="O126" s="229" t="s">
        <v>922</v>
      </c>
      <c r="P126" s="190">
        <f t="shared" si="5"/>
        <v>1</v>
      </c>
      <c r="Q126" s="210">
        <f t="shared" si="6"/>
        <v>1.5</v>
      </c>
      <c r="R126" s="210">
        <f t="shared" ref="R126:S126" si="255">IF(OR(P126="", P126=0), "",
  IF(P126&lt;=2,   1,
  IF(P126&lt;=4,   2,
  IF(P126&lt;=5.5, 3, 4))))</f>
        <v>1</v>
      </c>
      <c r="S126" s="210">
        <f t="shared" si="255"/>
        <v>1</v>
      </c>
      <c r="T126" s="210" t="str">
        <f t="shared" si="8"/>
        <v>Progress within level</v>
      </c>
      <c r="U126" s="210">
        <f t="shared" si="9"/>
        <v>1</v>
      </c>
      <c r="V126" s="210"/>
    </row>
    <row r="127">
      <c r="A127" s="247" t="s">
        <v>298</v>
      </c>
      <c r="B127" s="217" t="s">
        <v>299</v>
      </c>
      <c r="C127" s="218" t="s">
        <v>63</v>
      </c>
      <c r="D127" s="218" t="s">
        <v>857</v>
      </c>
      <c r="E127" s="217" t="s">
        <v>21</v>
      </c>
      <c r="F127" s="13" t="s">
        <v>927</v>
      </c>
      <c r="G127" s="13" t="s">
        <v>918</v>
      </c>
      <c r="H127" s="219">
        <f>IFERROR(
  MINIFS(ATTENDANCE_LOG!$F:$F,
         ATTENDANCE_LOG!$A:$A, C127,
         ATTENDANCE_LOG!$B:$B, E127),
"")</f>
        <v>45636.45833</v>
      </c>
      <c r="I127" s="190">
        <f>IFERROR(VLOOKUP(F127, LEVEL_HELPER!$A:$B, 2, 0), "")</f>
        <v>1</v>
      </c>
      <c r="J127" s="190">
        <f>IFERROR(VLOOKUP(G127, LEVEL_HELPER!$A:$B, 2, 0), "")</f>
        <v>3</v>
      </c>
      <c r="K127" s="190">
        <f t="shared" ref="K127:L127" si="256">IF(OR(I127="", I127=0), "",
  IF(I127&lt;=2,   1,
  IF(I127&lt;=4,   2,
  IF(I127&lt;=5.5, 3, 4))))</f>
        <v>1</v>
      </c>
      <c r="L127" s="190">
        <f t="shared" si="256"/>
        <v>2</v>
      </c>
      <c r="M127" s="190" t="str">
        <f t="shared" si="4"/>
        <v>Lv1 → Lv2</v>
      </c>
      <c r="N127" s="220" t="s">
        <v>943</v>
      </c>
      <c r="O127" s="220" t="s">
        <v>925</v>
      </c>
      <c r="P127" s="190">
        <f t="shared" si="5"/>
        <v>1</v>
      </c>
      <c r="Q127" s="210">
        <f t="shared" si="6"/>
        <v>3.5</v>
      </c>
      <c r="R127" s="210">
        <f t="shared" ref="R127:S127" si="257">IF(OR(P127="", P127=0), "",
  IF(P127&lt;=2,   1,
  IF(P127&lt;=4,   2,
  IF(P127&lt;=5.5, 3, 4))))</f>
        <v>1</v>
      </c>
      <c r="S127" s="210">
        <f t="shared" si="257"/>
        <v>2</v>
      </c>
      <c r="T127" s="210" t="str">
        <f t="shared" si="8"/>
        <v>Lv1 → Lv2</v>
      </c>
      <c r="U127" s="210">
        <f t="shared" si="9"/>
        <v>1</v>
      </c>
      <c r="V127" s="210"/>
    </row>
    <row r="128">
      <c r="A128" s="220" t="s">
        <v>220</v>
      </c>
      <c r="B128" s="190" t="s">
        <v>221</v>
      </c>
      <c r="C128" s="223" t="s">
        <v>63</v>
      </c>
      <c r="D128" s="223" t="s">
        <v>857</v>
      </c>
      <c r="E128" s="190" t="s">
        <v>21</v>
      </c>
      <c r="F128" s="13" t="s">
        <v>927</v>
      </c>
      <c r="G128" s="13" t="s">
        <v>929</v>
      </c>
      <c r="H128" s="219">
        <f>IFERROR(
  MINIFS(ATTENDANCE_LOG!$F:$F,
         ATTENDANCE_LOG!$A:$A, C128,
         ATTENDANCE_LOG!$B:$B, E128),
"")</f>
        <v>45636.45833</v>
      </c>
      <c r="I128" s="190">
        <f>IFERROR(VLOOKUP(F128, LEVEL_HELPER!$A:$B, 2, 0), "")</f>
        <v>1</v>
      </c>
      <c r="J128" s="190">
        <f>IFERROR(VLOOKUP(G128, LEVEL_HELPER!$A:$B, 2, 0), "")</f>
        <v>1.5</v>
      </c>
      <c r="K128" s="190">
        <f t="shared" ref="K128:L128" si="258">IF(OR(I128="", I128=0), "",
  IF(I128&lt;=2,   1,
  IF(I128&lt;=4,   2,
  IF(I128&lt;=5.5, 3, 4))))</f>
        <v>1</v>
      </c>
      <c r="L128" s="190">
        <f t="shared" si="258"/>
        <v>1</v>
      </c>
      <c r="M128" s="190" t="str">
        <f t="shared" si="4"/>
        <v>Progress within level</v>
      </c>
      <c r="N128" s="220" t="s">
        <v>943</v>
      </c>
      <c r="O128" s="220" t="s">
        <v>925</v>
      </c>
      <c r="P128" s="190">
        <f t="shared" si="5"/>
        <v>1</v>
      </c>
      <c r="Q128" s="210">
        <f t="shared" si="6"/>
        <v>3</v>
      </c>
      <c r="R128" s="210">
        <f t="shared" ref="R128:S128" si="259">IF(OR(P128="", P128=0), "",
  IF(P128&lt;=2,   1,
  IF(P128&lt;=4,   2,
  IF(P128&lt;=5.5, 3, 4))))</f>
        <v>1</v>
      </c>
      <c r="S128" s="210">
        <f t="shared" si="259"/>
        <v>2</v>
      </c>
      <c r="T128" s="210" t="str">
        <f t="shared" si="8"/>
        <v>Lv1 → Lv2</v>
      </c>
      <c r="U128" s="210">
        <f t="shared" si="9"/>
        <v>1</v>
      </c>
      <c r="V128" s="210"/>
    </row>
    <row r="129">
      <c r="A129" s="220" t="s">
        <v>234</v>
      </c>
      <c r="B129" s="190" t="s">
        <v>235</v>
      </c>
      <c r="C129" s="223" t="s">
        <v>63</v>
      </c>
      <c r="D129" s="223" t="s">
        <v>857</v>
      </c>
      <c r="E129" s="190" t="s">
        <v>21</v>
      </c>
      <c r="F129" s="13" t="s">
        <v>917</v>
      </c>
      <c r="G129" s="13" t="s">
        <v>918</v>
      </c>
      <c r="H129" s="219">
        <f>IFERROR(
  MINIFS(ATTENDANCE_LOG!$F:$F,
         ATTENDANCE_LOG!$A:$A, C129,
         ATTENDANCE_LOG!$B:$B, E129),
"")</f>
        <v>45636.45833</v>
      </c>
      <c r="I129" s="190">
        <f>IFERROR(VLOOKUP(F129, LEVEL_HELPER!$A:$B, 2, 0), "")</f>
        <v>2.5</v>
      </c>
      <c r="J129" s="190">
        <f>IFERROR(VLOOKUP(G129, LEVEL_HELPER!$A:$B, 2, 0), "")</f>
        <v>3</v>
      </c>
      <c r="K129" s="190">
        <f t="shared" ref="K129:L129" si="260">IF(OR(I129="", I129=0), "",
  IF(I129&lt;=2,   1,
  IF(I129&lt;=4,   2,
  IF(I129&lt;=5.5, 3, 4))))</f>
        <v>2</v>
      </c>
      <c r="L129" s="190">
        <f t="shared" si="260"/>
        <v>2</v>
      </c>
      <c r="M129" s="190" t="str">
        <f t="shared" si="4"/>
        <v>Progress within level</v>
      </c>
      <c r="N129" s="220" t="s">
        <v>943</v>
      </c>
      <c r="O129" s="220" t="s">
        <v>925</v>
      </c>
      <c r="P129" s="190">
        <f t="shared" si="5"/>
        <v>2.5</v>
      </c>
      <c r="Q129" s="210">
        <f t="shared" si="6"/>
        <v>3.5</v>
      </c>
      <c r="R129" s="210">
        <f t="shared" ref="R129:S129" si="261">IF(OR(P129="", P129=0), "",
  IF(P129&lt;=2,   1,
  IF(P129&lt;=4,   2,
  IF(P129&lt;=5.5, 3, 4))))</f>
        <v>2</v>
      </c>
      <c r="S129" s="210">
        <f t="shared" si="261"/>
        <v>2</v>
      </c>
      <c r="T129" s="210" t="str">
        <f t="shared" si="8"/>
        <v>Progress within level</v>
      </c>
      <c r="U129" s="210">
        <f t="shared" si="9"/>
        <v>1</v>
      </c>
      <c r="V129" s="210"/>
    </row>
    <row r="130">
      <c r="A130" s="220" t="s">
        <v>438</v>
      </c>
      <c r="B130" s="190" t="s">
        <v>439</v>
      </c>
      <c r="C130" s="223" t="s">
        <v>63</v>
      </c>
      <c r="D130" s="223" t="s">
        <v>857</v>
      </c>
      <c r="E130" s="190" t="s">
        <v>21</v>
      </c>
      <c r="F130" s="13" t="s">
        <v>927</v>
      </c>
      <c r="G130" s="13" t="s">
        <v>929</v>
      </c>
      <c r="H130" s="219">
        <f>IFERROR(
  MINIFS(ATTENDANCE_LOG!$F:$F,
         ATTENDANCE_LOG!$A:$A, C130,
         ATTENDANCE_LOG!$B:$B, E130),
"")</f>
        <v>45636.45833</v>
      </c>
      <c r="I130" s="190">
        <f>IFERROR(VLOOKUP(F130, LEVEL_HELPER!$A:$B, 2, 0), "")</f>
        <v>1</v>
      </c>
      <c r="J130" s="190">
        <f>IFERROR(VLOOKUP(G130, LEVEL_HELPER!$A:$B, 2, 0), "")</f>
        <v>1.5</v>
      </c>
      <c r="K130" s="190">
        <f t="shared" ref="K130:L130" si="262">IF(OR(I130="", I130=0), "",
  IF(I130&lt;=2,   1,
  IF(I130&lt;=4,   2,
  IF(I130&lt;=5.5, 3, 4))))</f>
        <v>1</v>
      </c>
      <c r="L130" s="190">
        <f t="shared" si="262"/>
        <v>1</v>
      </c>
      <c r="M130" s="190" t="str">
        <f t="shared" si="4"/>
        <v>Progress within level</v>
      </c>
      <c r="N130" s="220" t="s">
        <v>943</v>
      </c>
      <c r="O130" s="220" t="s">
        <v>925</v>
      </c>
      <c r="P130" s="190">
        <f t="shared" si="5"/>
        <v>1</v>
      </c>
      <c r="Q130" s="210">
        <f t="shared" si="6"/>
        <v>1.5</v>
      </c>
      <c r="R130" s="210">
        <f t="shared" ref="R130:S130" si="263">IF(OR(P130="", P130=0), "",
  IF(P130&lt;=2,   1,
  IF(P130&lt;=4,   2,
  IF(P130&lt;=5.5, 3, 4))))</f>
        <v>1</v>
      </c>
      <c r="S130" s="210">
        <f t="shared" si="263"/>
        <v>1</v>
      </c>
      <c r="T130" s="210" t="str">
        <f t="shared" si="8"/>
        <v>Progress within level</v>
      </c>
      <c r="U130" s="210">
        <f t="shared" si="9"/>
        <v>1</v>
      </c>
      <c r="V130" s="210"/>
    </row>
    <row r="131">
      <c r="A131" s="220" t="s">
        <v>599</v>
      </c>
      <c r="B131" s="190" t="s">
        <v>600</v>
      </c>
      <c r="C131" s="223" t="s">
        <v>63</v>
      </c>
      <c r="D131" s="223" t="s">
        <v>857</v>
      </c>
      <c r="E131" s="190" t="s">
        <v>21</v>
      </c>
      <c r="F131" s="13" t="s">
        <v>917</v>
      </c>
      <c r="G131" s="13" t="s">
        <v>935</v>
      </c>
      <c r="H131" s="219">
        <f>IFERROR(
  MINIFS(ATTENDANCE_LOG!$F:$F,
         ATTENDANCE_LOG!$A:$A, C131,
         ATTENDANCE_LOG!$B:$B, E131),
"")</f>
        <v>45636.45833</v>
      </c>
      <c r="I131" s="190">
        <f>IFERROR(VLOOKUP(F131, LEVEL_HELPER!$A:$B, 2, 0), "")</f>
        <v>2.5</v>
      </c>
      <c r="J131" s="190">
        <f>IFERROR(VLOOKUP(G131, LEVEL_HELPER!$A:$B, 2, 0), "")</f>
        <v>3.5</v>
      </c>
      <c r="K131" s="190">
        <f t="shared" ref="K131:L131" si="264">IF(OR(I131="", I131=0), "",
  IF(I131&lt;=2,   1,
  IF(I131&lt;=4,   2,
  IF(I131&lt;=5.5, 3, 4))))</f>
        <v>2</v>
      </c>
      <c r="L131" s="190">
        <f t="shared" si="264"/>
        <v>2</v>
      </c>
      <c r="M131" s="190" t="str">
        <f t="shared" si="4"/>
        <v>Progress within level</v>
      </c>
      <c r="N131" s="220" t="s">
        <v>943</v>
      </c>
      <c r="O131" s="220" t="s">
        <v>925</v>
      </c>
      <c r="P131" s="190">
        <f t="shared" si="5"/>
        <v>2.5</v>
      </c>
      <c r="Q131" s="210">
        <f t="shared" si="6"/>
        <v>3.5</v>
      </c>
      <c r="R131" s="210">
        <f t="shared" ref="R131:S131" si="265">IF(OR(P131="", P131=0), "",
  IF(P131&lt;=2,   1,
  IF(P131&lt;=4,   2,
  IF(P131&lt;=5.5, 3, 4))))</f>
        <v>2</v>
      </c>
      <c r="S131" s="210">
        <f t="shared" si="265"/>
        <v>2</v>
      </c>
      <c r="T131" s="210" t="str">
        <f t="shared" si="8"/>
        <v>Progress within level</v>
      </c>
      <c r="U131" s="210">
        <f t="shared" si="9"/>
        <v>1</v>
      </c>
      <c r="V131" s="210"/>
    </row>
    <row r="132">
      <c r="A132" s="220" t="s">
        <v>611</v>
      </c>
      <c r="B132" s="190" t="s">
        <v>612</v>
      </c>
      <c r="C132" s="223" t="s">
        <v>63</v>
      </c>
      <c r="D132" s="223" t="s">
        <v>857</v>
      </c>
      <c r="E132" s="190" t="s">
        <v>21</v>
      </c>
      <c r="F132" s="13" t="s">
        <v>927</v>
      </c>
      <c r="G132" s="13" t="s">
        <v>935</v>
      </c>
      <c r="H132" s="219">
        <f>IFERROR(
  MINIFS(ATTENDANCE_LOG!$F:$F,
         ATTENDANCE_LOG!$A:$A, C132,
         ATTENDANCE_LOG!$B:$B, E132),
"")</f>
        <v>45636.45833</v>
      </c>
      <c r="I132" s="190">
        <f>IFERROR(VLOOKUP(F132, LEVEL_HELPER!$A:$B, 2, 0), "")</f>
        <v>1</v>
      </c>
      <c r="J132" s="190">
        <f>IFERROR(VLOOKUP(G132, LEVEL_HELPER!$A:$B, 2, 0), "")</f>
        <v>3.5</v>
      </c>
      <c r="K132" s="190">
        <f t="shared" ref="K132:L132" si="266">IF(OR(I132="", I132=0), "",
  IF(I132&lt;=2,   1,
  IF(I132&lt;=4,   2,
  IF(I132&lt;=5.5, 3, 4))))</f>
        <v>1</v>
      </c>
      <c r="L132" s="190">
        <f t="shared" si="266"/>
        <v>2</v>
      </c>
      <c r="M132" s="190" t="str">
        <f t="shared" si="4"/>
        <v>Lv1 → Lv2</v>
      </c>
      <c r="N132" s="220" t="s">
        <v>919</v>
      </c>
      <c r="O132" s="220" t="s">
        <v>923</v>
      </c>
      <c r="P132" s="190">
        <f t="shared" si="5"/>
        <v>1</v>
      </c>
      <c r="Q132" s="210">
        <f t="shared" si="6"/>
        <v>5</v>
      </c>
      <c r="R132" s="210">
        <f t="shared" ref="R132:S132" si="267">IF(OR(P132="", P132=0), "",
  IF(P132&lt;=2,   1,
  IF(P132&lt;=4,   2,
  IF(P132&lt;=5.5, 3, 4))))</f>
        <v>1</v>
      </c>
      <c r="S132" s="210">
        <f t="shared" si="267"/>
        <v>3</v>
      </c>
      <c r="T132" s="210" t="str">
        <f t="shared" si="8"/>
        <v>Lv1 → Lv3 (multi)</v>
      </c>
      <c r="U132" s="210">
        <f t="shared" si="9"/>
        <v>1</v>
      </c>
      <c r="V132" s="210"/>
    </row>
    <row r="133">
      <c r="A133" s="247" t="s">
        <v>298</v>
      </c>
      <c r="B133" s="217" t="s">
        <v>299</v>
      </c>
      <c r="C133" s="218" t="s">
        <v>63</v>
      </c>
      <c r="D133" s="218" t="s">
        <v>857</v>
      </c>
      <c r="E133" s="217" t="s">
        <v>22</v>
      </c>
      <c r="F133" s="13" t="s">
        <v>918</v>
      </c>
      <c r="G133" s="13" t="s">
        <v>935</v>
      </c>
      <c r="H133" s="219">
        <f>IFERROR(
  MINIFS(ATTENDANCE_LOG!$F:$F,
         ATTENDANCE_LOG!$A:$A, C133,
         ATTENDANCE_LOG!$B:$B, E133),
"")</f>
        <v>45841.375</v>
      </c>
      <c r="I133" s="190">
        <f>IFERROR(VLOOKUP(F133, LEVEL_HELPER!$A:$B, 2, 0), "")</f>
        <v>3</v>
      </c>
      <c r="J133" s="190">
        <f>IFERROR(VLOOKUP(G133, LEVEL_HELPER!$A:$B, 2, 0), "")</f>
        <v>3.5</v>
      </c>
      <c r="K133" s="190">
        <f t="shared" ref="K133:L133" si="268">IF(OR(I133="", I133=0), "",
  IF(I133&lt;=2,   1,
  IF(I133&lt;=4,   2,
  IF(I133&lt;=5.5, 3, 4))))</f>
        <v>2</v>
      </c>
      <c r="L133" s="190">
        <f t="shared" si="268"/>
        <v>2</v>
      </c>
      <c r="M133" s="190" t="str">
        <f t="shared" si="4"/>
        <v>Progress within level</v>
      </c>
      <c r="N133" s="220" t="s">
        <v>943</v>
      </c>
      <c r="O133" s="220" t="s">
        <v>925</v>
      </c>
      <c r="P133" s="190">
        <f t="shared" si="5"/>
        <v>1</v>
      </c>
      <c r="Q133" s="210">
        <f t="shared" si="6"/>
        <v>3.5</v>
      </c>
      <c r="R133" s="210">
        <f t="shared" ref="R133:S133" si="269">IF(OR(P133="", P133=0), "",
  IF(P133&lt;=2,   1,
  IF(P133&lt;=4,   2,
  IF(P133&lt;=5.5, 3, 4))))</f>
        <v>1</v>
      </c>
      <c r="S133" s="210">
        <f t="shared" si="269"/>
        <v>2</v>
      </c>
      <c r="T133" s="210" t="str">
        <f t="shared" si="8"/>
        <v>Lv1 → Lv2</v>
      </c>
      <c r="U133" s="210">
        <f t="shared" si="9"/>
        <v>0</v>
      </c>
      <c r="V133" s="210"/>
    </row>
    <row r="134">
      <c r="A134" s="220" t="s">
        <v>220</v>
      </c>
      <c r="B134" s="190" t="s">
        <v>221</v>
      </c>
      <c r="C134" s="223" t="s">
        <v>63</v>
      </c>
      <c r="D134" s="223" t="s">
        <v>857</v>
      </c>
      <c r="E134" s="190" t="s">
        <v>22</v>
      </c>
      <c r="F134" s="13" t="s">
        <v>929</v>
      </c>
      <c r="G134" s="13" t="s">
        <v>918</v>
      </c>
      <c r="H134" s="219">
        <f>IFERROR(
  MINIFS(ATTENDANCE_LOG!$F:$F,
         ATTENDANCE_LOG!$A:$A, C134,
         ATTENDANCE_LOG!$B:$B, E134),
"")</f>
        <v>45841.375</v>
      </c>
      <c r="I134" s="190">
        <f>IFERROR(VLOOKUP(F134, LEVEL_HELPER!$A:$B, 2, 0), "")</f>
        <v>1.5</v>
      </c>
      <c r="J134" s="190">
        <f>IFERROR(VLOOKUP(G134, LEVEL_HELPER!$A:$B, 2, 0), "")</f>
        <v>3</v>
      </c>
      <c r="K134" s="190">
        <f t="shared" ref="K134:L134" si="270">IF(OR(I134="", I134=0), "",
  IF(I134&lt;=2,   1,
  IF(I134&lt;=4,   2,
  IF(I134&lt;=5.5, 3, 4))))</f>
        <v>1</v>
      </c>
      <c r="L134" s="190">
        <f t="shared" si="270"/>
        <v>2</v>
      </c>
      <c r="M134" s="190" t="str">
        <f t="shared" si="4"/>
        <v>Lv1 → Lv2</v>
      </c>
      <c r="N134" s="220" t="s">
        <v>943</v>
      </c>
      <c r="O134" s="220" t="s">
        <v>925</v>
      </c>
      <c r="P134" s="190">
        <f t="shared" si="5"/>
        <v>1</v>
      </c>
      <c r="Q134" s="210">
        <f t="shared" si="6"/>
        <v>3</v>
      </c>
      <c r="R134" s="210">
        <f t="shared" ref="R134:S134" si="271">IF(OR(P134="", P134=0), "",
  IF(P134&lt;=2,   1,
  IF(P134&lt;=4,   2,
  IF(P134&lt;=5.5, 3, 4))))</f>
        <v>1</v>
      </c>
      <c r="S134" s="210">
        <f t="shared" si="271"/>
        <v>2</v>
      </c>
      <c r="T134" s="210" t="str">
        <f t="shared" si="8"/>
        <v>Lv1 → Lv2</v>
      </c>
      <c r="U134" s="210">
        <f t="shared" si="9"/>
        <v>0</v>
      </c>
      <c r="V134" s="210"/>
    </row>
    <row r="135">
      <c r="A135" s="220" t="s">
        <v>234</v>
      </c>
      <c r="B135" s="190" t="s">
        <v>235</v>
      </c>
      <c r="C135" s="223" t="s">
        <v>63</v>
      </c>
      <c r="D135" s="223" t="s">
        <v>857</v>
      </c>
      <c r="E135" s="190" t="s">
        <v>22</v>
      </c>
      <c r="F135" s="13" t="s">
        <v>918</v>
      </c>
      <c r="G135" s="13" t="s">
        <v>935</v>
      </c>
      <c r="H135" s="219">
        <f>IFERROR(
  MINIFS(ATTENDANCE_LOG!$F:$F,
         ATTENDANCE_LOG!$A:$A, C135,
         ATTENDANCE_LOG!$B:$B, E135),
"")</f>
        <v>45841.375</v>
      </c>
      <c r="I135" s="190">
        <f>IFERROR(VLOOKUP(F135, LEVEL_HELPER!$A:$B, 2, 0), "")</f>
        <v>3</v>
      </c>
      <c r="J135" s="190">
        <f>IFERROR(VLOOKUP(G135, LEVEL_HELPER!$A:$B, 2, 0), "")</f>
        <v>3.5</v>
      </c>
      <c r="K135" s="190">
        <f t="shared" ref="K135:L135" si="272">IF(OR(I135="", I135=0), "",
  IF(I135&lt;=2,   1,
  IF(I135&lt;=4,   2,
  IF(I135&lt;=5.5, 3, 4))))</f>
        <v>2</v>
      </c>
      <c r="L135" s="190">
        <f t="shared" si="272"/>
        <v>2</v>
      </c>
      <c r="M135" s="190" t="str">
        <f t="shared" si="4"/>
        <v>Progress within level</v>
      </c>
      <c r="N135" s="220" t="s">
        <v>943</v>
      </c>
      <c r="O135" s="220" t="s">
        <v>925</v>
      </c>
      <c r="P135" s="190">
        <f t="shared" si="5"/>
        <v>2.5</v>
      </c>
      <c r="Q135" s="210">
        <f t="shared" si="6"/>
        <v>3.5</v>
      </c>
      <c r="R135" s="210">
        <f t="shared" ref="R135:S135" si="273">IF(OR(P135="", P135=0), "",
  IF(P135&lt;=2,   1,
  IF(P135&lt;=4,   2,
  IF(P135&lt;=5.5, 3, 4))))</f>
        <v>2</v>
      </c>
      <c r="S135" s="210">
        <f t="shared" si="273"/>
        <v>2</v>
      </c>
      <c r="T135" s="210" t="str">
        <f t="shared" si="8"/>
        <v>Progress within level</v>
      </c>
      <c r="U135" s="210">
        <f t="shared" si="9"/>
        <v>0</v>
      </c>
      <c r="V135" s="210"/>
    </row>
    <row r="136">
      <c r="A136" s="220" t="s">
        <v>438</v>
      </c>
      <c r="B136" s="190" t="s">
        <v>439</v>
      </c>
      <c r="C136" s="223" t="s">
        <v>63</v>
      </c>
      <c r="D136" s="223" t="s">
        <v>857</v>
      </c>
      <c r="E136" s="190" t="s">
        <v>22</v>
      </c>
      <c r="F136" s="13" t="s">
        <v>929</v>
      </c>
      <c r="G136" s="190"/>
      <c r="H136" s="219">
        <f>IFERROR(
  MINIFS(ATTENDANCE_LOG!$F:$F,
         ATTENDANCE_LOG!$A:$A, C136,
         ATTENDANCE_LOG!$B:$B, E136),
"")</f>
        <v>45841.375</v>
      </c>
      <c r="I136" s="190">
        <f>IFERROR(VLOOKUP(F136, LEVEL_HELPER!$A:$B, 2, 0), "")</f>
        <v>1.5</v>
      </c>
      <c r="J136" s="190" t="str">
        <f>IFERROR(VLOOKUP(G136, LEVEL_HELPER!$A:$B, 2, 0), "")</f>
        <v/>
      </c>
      <c r="K136" s="190">
        <f t="shared" ref="K136:L136" si="274">IF(OR(I136="", I136=0), "",
  IF(I136&lt;=2,   1,
  IF(I136&lt;=4,   2,
  IF(I136&lt;=5.5, 3, 4))))</f>
        <v>1</v>
      </c>
      <c r="L136" s="190" t="str">
        <f t="shared" si="274"/>
        <v/>
      </c>
      <c r="M136" s="190" t="str">
        <f t="shared" si="4"/>
        <v>No Data</v>
      </c>
      <c r="N136" s="220" t="s">
        <v>943</v>
      </c>
      <c r="O136" s="220" t="s">
        <v>925</v>
      </c>
      <c r="P136" s="190">
        <f t="shared" si="5"/>
        <v>1</v>
      </c>
      <c r="Q136" s="210">
        <f t="shared" si="6"/>
        <v>1.5</v>
      </c>
      <c r="R136" s="210">
        <f t="shared" ref="R136:S136" si="275">IF(OR(P136="", P136=0), "",
  IF(P136&lt;=2,   1,
  IF(P136&lt;=4,   2,
  IF(P136&lt;=5.5, 3, 4))))</f>
        <v>1</v>
      </c>
      <c r="S136" s="210">
        <f t="shared" si="275"/>
        <v>1</v>
      </c>
      <c r="T136" s="210" t="str">
        <f t="shared" si="8"/>
        <v>Progress within level</v>
      </c>
      <c r="U136" s="210">
        <f t="shared" si="9"/>
        <v>0</v>
      </c>
      <c r="V136" s="210"/>
    </row>
    <row r="137">
      <c r="A137" s="220" t="s">
        <v>599</v>
      </c>
      <c r="B137" s="190" t="s">
        <v>600</v>
      </c>
      <c r="C137" s="223" t="s">
        <v>63</v>
      </c>
      <c r="D137" s="223" t="s">
        <v>857</v>
      </c>
      <c r="E137" s="190" t="s">
        <v>22</v>
      </c>
      <c r="F137" s="13" t="s">
        <v>935</v>
      </c>
      <c r="G137" s="13" t="s">
        <v>935</v>
      </c>
      <c r="H137" s="219">
        <f>IFERROR(
  MINIFS(ATTENDANCE_LOG!$F:$F,
         ATTENDANCE_LOG!$A:$A, C137,
         ATTENDANCE_LOG!$B:$B, E137),
"")</f>
        <v>45841.375</v>
      </c>
      <c r="I137" s="190">
        <f>IFERROR(VLOOKUP(F137, LEVEL_HELPER!$A:$B, 2, 0), "")</f>
        <v>3.5</v>
      </c>
      <c r="J137" s="190">
        <f>IFERROR(VLOOKUP(G137, LEVEL_HELPER!$A:$B, 2, 0), "")</f>
        <v>3.5</v>
      </c>
      <c r="K137" s="190">
        <f t="shared" ref="K137:L137" si="276">IF(OR(I137="", I137=0), "",
  IF(I137&lt;=2,   1,
  IF(I137&lt;=4,   2,
  IF(I137&lt;=5.5, 3, 4))))</f>
        <v>2</v>
      </c>
      <c r="L137" s="190">
        <f t="shared" si="276"/>
        <v>2</v>
      </c>
      <c r="M137" s="190" t="str">
        <f t="shared" si="4"/>
        <v>No Progress</v>
      </c>
      <c r="N137" s="220" t="s">
        <v>943</v>
      </c>
      <c r="O137" s="220" t="s">
        <v>925</v>
      </c>
      <c r="P137" s="190">
        <f t="shared" si="5"/>
        <v>2.5</v>
      </c>
      <c r="Q137" s="210">
        <f t="shared" si="6"/>
        <v>3.5</v>
      </c>
      <c r="R137" s="210">
        <f t="shared" ref="R137:S137" si="277">IF(OR(P137="", P137=0), "",
  IF(P137&lt;=2,   1,
  IF(P137&lt;=4,   2,
  IF(P137&lt;=5.5, 3, 4))))</f>
        <v>2</v>
      </c>
      <c r="S137" s="210">
        <f t="shared" si="277"/>
        <v>2</v>
      </c>
      <c r="T137" s="210" t="str">
        <f t="shared" si="8"/>
        <v>Progress within level</v>
      </c>
      <c r="U137" s="210">
        <f t="shared" si="9"/>
        <v>0</v>
      </c>
      <c r="V137" s="210"/>
    </row>
    <row r="138">
      <c r="A138" s="220" t="s">
        <v>611</v>
      </c>
      <c r="B138" s="190" t="s">
        <v>612</v>
      </c>
      <c r="C138" s="223" t="s">
        <v>63</v>
      </c>
      <c r="D138" s="223" t="s">
        <v>857</v>
      </c>
      <c r="E138" s="190" t="s">
        <v>22</v>
      </c>
      <c r="F138" s="13" t="s">
        <v>935</v>
      </c>
      <c r="G138" s="13" t="s">
        <v>941</v>
      </c>
      <c r="H138" s="219">
        <f>IFERROR(
  MINIFS(ATTENDANCE_LOG!$F:$F,
         ATTENDANCE_LOG!$A:$A, C138,
         ATTENDANCE_LOG!$B:$B, E138),
"")</f>
        <v>45841.375</v>
      </c>
      <c r="I138" s="190">
        <f>IFERROR(VLOOKUP(F138, LEVEL_HELPER!$A:$B, 2, 0), "")</f>
        <v>3.5</v>
      </c>
      <c r="J138" s="190">
        <f>IFERROR(VLOOKUP(G138, LEVEL_HELPER!$A:$B, 2, 0), "")</f>
        <v>5</v>
      </c>
      <c r="K138" s="190">
        <f t="shared" ref="K138:L138" si="278">IF(OR(I138="", I138=0), "",
  IF(I138&lt;=2,   1,
  IF(I138&lt;=4,   2,
  IF(I138&lt;=5.5, 3, 4))))</f>
        <v>2</v>
      </c>
      <c r="L138" s="190">
        <f t="shared" si="278"/>
        <v>3</v>
      </c>
      <c r="M138" s="190" t="str">
        <f t="shared" si="4"/>
        <v>Lv2 → Lv3</v>
      </c>
      <c r="N138" s="220" t="s">
        <v>919</v>
      </c>
      <c r="O138" s="220" t="s">
        <v>923</v>
      </c>
      <c r="P138" s="190">
        <f t="shared" si="5"/>
        <v>1</v>
      </c>
      <c r="Q138" s="210">
        <f t="shared" si="6"/>
        <v>5</v>
      </c>
      <c r="R138" s="210">
        <f t="shared" ref="R138:S138" si="279">IF(OR(P138="", P138=0), "",
  IF(P138&lt;=2,   1,
  IF(P138&lt;=4,   2,
  IF(P138&lt;=5.5, 3, 4))))</f>
        <v>1</v>
      </c>
      <c r="S138" s="210">
        <f t="shared" si="279"/>
        <v>3</v>
      </c>
      <c r="T138" s="210" t="str">
        <f t="shared" si="8"/>
        <v>Lv1 → Lv3 (multi)</v>
      </c>
      <c r="U138" s="210">
        <f t="shared" si="9"/>
        <v>0</v>
      </c>
      <c r="V138" s="210"/>
    </row>
    <row r="139">
      <c r="A139" s="247" t="s">
        <v>298</v>
      </c>
      <c r="B139" s="217" t="s">
        <v>299</v>
      </c>
      <c r="C139" s="218" t="s">
        <v>63</v>
      </c>
      <c r="D139" s="218" t="s">
        <v>857</v>
      </c>
      <c r="E139" s="217" t="s">
        <v>23</v>
      </c>
      <c r="F139" s="190"/>
      <c r="G139" s="190"/>
      <c r="H139" s="219">
        <f>IFERROR(
  MINIFS(ATTENDANCE_LOG!$F:$F,
         ATTENDANCE_LOG!$A:$A, C139,
         ATTENDANCE_LOG!$B:$B, E139),
"")</f>
        <v>45729.45833</v>
      </c>
      <c r="I139" s="190" t="str">
        <f>IFERROR(VLOOKUP(F139, LEVEL_HELPER!$A:$B, 2, 0), "")</f>
        <v/>
      </c>
      <c r="J139" s="190" t="str">
        <f>IFERROR(VLOOKUP(G139, LEVEL_HELPER!$A:$B, 2, 0), "")</f>
        <v/>
      </c>
      <c r="K139" s="190" t="str">
        <f t="shared" ref="K139:L139" si="280">IF(OR(I139="", I139=0), "",
  IF(I139&lt;=2,   1,
  IF(I139&lt;=4,   2,
  IF(I139&lt;=5.5, 3, 4))))</f>
        <v/>
      </c>
      <c r="L139" s="190" t="str">
        <f t="shared" si="280"/>
        <v/>
      </c>
      <c r="M139" s="190" t="str">
        <f t="shared" si="4"/>
        <v>No Data</v>
      </c>
      <c r="N139" s="220" t="s">
        <v>943</v>
      </c>
      <c r="O139" s="220" t="s">
        <v>925</v>
      </c>
      <c r="P139" s="190">
        <f t="shared" si="5"/>
        <v>1</v>
      </c>
      <c r="Q139" s="210">
        <f t="shared" si="6"/>
        <v>3.5</v>
      </c>
      <c r="R139" s="210">
        <f t="shared" ref="R139:S139" si="281">IF(OR(P139="", P139=0), "",
  IF(P139&lt;=2,   1,
  IF(P139&lt;=4,   2,
  IF(P139&lt;=5.5, 3, 4))))</f>
        <v>1</v>
      </c>
      <c r="S139" s="210">
        <f t="shared" si="281"/>
        <v>2</v>
      </c>
      <c r="T139" s="210" t="str">
        <f t="shared" si="8"/>
        <v>Lv1 → Lv2</v>
      </c>
      <c r="U139" s="210">
        <f t="shared" si="9"/>
        <v>0</v>
      </c>
      <c r="V139" s="210"/>
    </row>
    <row r="140">
      <c r="A140" s="220" t="s">
        <v>220</v>
      </c>
      <c r="B140" s="190" t="s">
        <v>221</v>
      </c>
      <c r="C140" s="223" t="s">
        <v>63</v>
      </c>
      <c r="D140" s="223" t="s">
        <v>857</v>
      </c>
      <c r="E140" s="190" t="s">
        <v>23</v>
      </c>
      <c r="F140" s="190"/>
      <c r="G140" s="190"/>
      <c r="H140" s="219">
        <f>IFERROR(
  MINIFS(ATTENDANCE_LOG!$F:$F,
         ATTENDANCE_LOG!$A:$A, C140,
         ATTENDANCE_LOG!$B:$B, E140),
"")</f>
        <v>45729.45833</v>
      </c>
      <c r="I140" s="190" t="str">
        <f>IFERROR(VLOOKUP(F140, LEVEL_HELPER!$A:$B, 2, 0), "")</f>
        <v/>
      </c>
      <c r="J140" s="190" t="str">
        <f>IFERROR(VLOOKUP(G140, LEVEL_HELPER!$A:$B, 2, 0), "")</f>
        <v/>
      </c>
      <c r="K140" s="190" t="str">
        <f t="shared" ref="K140:L140" si="282">IF(OR(I140="", I140=0), "",
  IF(I140&lt;=2,   1,
  IF(I140&lt;=4,   2,
  IF(I140&lt;=5.5, 3, 4))))</f>
        <v/>
      </c>
      <c r="L140" s="190" t="str">
        <f t="shared" si="282"/>
        <v/>
      </c>
      <c r="M140" s="190" t="str">
        <f t="shared" si="4"/>
        <v>No Data</v>
      </c>
      <c r="N140" s="220" t="s">
        <v>943</v>
      </c>
      <c r="O140" s="220" t="s">
        <v>925</v>
      </c>
      <c r="P140" s="190">
        <f t="shared" si="5"/>
        <v>1</v>
      </c>
      <c r="Q140" s="210">
        <f t="shared" si="6"/>
        <v>3</v>
      </c>
      <c r="R140" s="210">
        <f t="shared" ref="R140:S140" si="283">IF(OR(P140="", P140=0), "",
  IF(P140&lt;=2,   1,
  IF(P140&lt;=4,   2,
  IF(P140&lt;=5.5, 3, 4))))</f>
        <v>1</v>
      </c>
      <c r="S140" s="210">
        <f t="shared" si="283"/>
        <v>2</v>
      </c>
      <c r="T140" s="210" t="str">
        <f t="shared" si="8"/>
        <v>Lv1 → Lv2</v>
      </c>
      <c r="U140" s="210">
        <f t="shared" si="9"/>
        <v>0</v>
      </c>
      <c r="V140" s="210"/>
    </row>
    <row r="141">
      <c r="A141" s="220" t="s">
        <v>234</v>
      </c>
      <c r="B141" s="190" t="s">
        <v>235</v>
      </c>
      <c r="C141" s="223" t="s">
        <v>63</v>
      </c>
      <c r="D141" s="223" t="s">
        <v>857</v>
      </c>
      <c r="E141" s="190" t="s">
        <v>23</v>
      </c>
      <c r="F141" s="190"/>
      <c r="G141" s="190"/>
      <c r="H141" s="219">
        <f>IFERROR(
  MINIFS(ATTENDANCE_LOG!$F:$F,
         ATTENDANCE_LOG!$A:$A, C141,
         ATTENDANCE_LOG!$B:$B, E141),
"")</f>
        <v>45729.45833</v>
      </c>
      <c r="I141" s="190" t="str">
        <f>IFERROR(VLOOKUP(F141, LEVEL_HELPER!$A:$B, 2, 0), "")</f>
        <v/>
      </c>
      <c r="J141" s="190" t="str">
        <f>IFERROR(VLOOKUP(G141, LEVEL_HELPER!$A:$B, 2, 0), "")</f>
        <v/>
      </c>
      <c r="K141" s="190" t="str">
        <f t="shared" ref="K141:L141" si="284">IF(OR(I141="", I141=0), "",
  IF(I141&lt;=2,   1,
  IF(I141&lt;=4,   2,
  IF(I141&lt;=5.5, 3, 4))))</f>
        <v/>
      </c>
      <c r="L141" s="190" t="str">
        <f t="shared" si="284"/>
        <v/>
      </c>
      <c r="M141" s="190" t="str">
        <f t="shared" si="4"/>
        <v>No Data</v>
      </c>
      <c r="N141" s="220" t="s">
        <v>943</v>
      </c>
      <c r="O141" s="220" t="s">
        <v>925</v>
      </c>
      <c r="P141" s="190">
        <f t="shared" si="5"/>
        <v>2.5</v>
      </c>
      <c r="Q141" s="210">
        <f t="shared" si="6"/>
        <v>3.5</v>
      </c>
      <c r="R141" s="210">
        <f t="shared" ref="R141:S141" si="285">IF(OR(P141="", P141=0), "",
  IF(P141&lt;=2,   1,
  IF(P141&lt;=4,   2,
  IF(P141&lt;=5.5, 3, 4))))</f>
        <v>2</v>
      </c>
      <c r="S141" s="210">
        <f t="shared" si="285"/>
        <v>2</v>
      </c>
      <c r="T141" s="210" t="str">
        <f t="shared" si="8"/>
        <v>Progress within level</v>
      </c>
      <c r="U141" s="210">
        <f t="shared" si="9"/>
        <v>0</v>
      </c>
      <c r="V141" s="210"/>
    </row>
    <row r="142">
      <c r="A142" s="220" t="s">
        <v>553</v>
      </c>
      <c r="B142" s="190" t="s">
        <v>554</v>
      </c>
      <c r="C142" s="223" t="s">
        <v>63</v>
      </c>
      <c r="D142" s="223" t="s">
        <v>857</v>
      </c>
      <c r="E142" s="190" t="s">
        <v>23</v>
      </c>
      <c r="F142" s="190"/>
      <c r="G142" s="190"/>
      <c r="H142" s="219">
        <f>IFERROR(
  MINIFS(ATTENDANCE_LOG!$F:$F,
         ATTENDANCE_LOG!$A:$A, C142,
         ATTENDANCE_LOG!$B:$B, E142),
"")</f>
        <v>45729.45833</v>
      </c>
      <c r="I142" s="190" t="str">
        <f>IFERROR(VLOOKUP(F142, LEVEL_HELPER!$A:$B, 2, 0), "")</f>
        <v/>
      </c>
      <c r="J142" s="190" t="str">
        <f>IFERROR(VLOOKUP(G142, LEVEL_HELPER!$A:$B, 2, 0), "")</f>
        <v/>
      </c>
      <c r="K142" s="190" t="str">
        <f t="shared" ref="K142:L142" si="286">IF(OR(I142="", I142=0), "",
  IF(I142&lt;=2,   1,
  IF(I142&lt;=4,   2,
  IF(I142&lt;=5.5, 3, 4))))</f>
        <v/>
      </c>
      <c r="L142" s="190" t="str">
        <f t="shared" si="286"/>
        <v/>
      </c>
      <c r="M142" s="190" t="str">
        <f t="shared" si="4"/>
        <v>No Data</v>
      </c>
      <c r="N142" s="220" t="s">
        <v>943</v>
      </c>
      <c r="O142" s="220" t="s">
        <v>925</v>
      </c>
      <c r="P142" s="190">
        <f t="shared" si="5"/>
        <v>1</v>
      </c>
      <c r="Q142" s="210">
        <f t="shared" si="6"/>
        <v>5</v>
      </c>
      <c r="R142" s="210">
        <f t="shared" ref="R142:S142" si="287">IF(OR(P142="", P142=0), "",
  IF(P142&lt;=2,   1,
  IF(P142&lt;=4,   2,
  IF(P142&lt;=5.5, 3, 4))))</f>
        <v>1</v>
      </c>
      <c r="S142" s="210">
        <f t="shared" si="287"/>
        <v>3</v>
      </c>
      <c r="T142" s="210" t="str">
        <f t="shared" si="8"/>
        <v>Lv1 → Lv3 (multi)</v>
      </c>
      <c r="U142" s="210">
        <f t="shared" si="9"/>
        <v>0</v>
      </c>
      <c r="V142" s="210"/>
    </row>
    <row r="143">
      <c r="A143" s="220" t="s">
        <v>599</v>
      </c>
      <c r="B143" s="190" t="s">
        <v>600</v>
      </c>
      <c r="C143" s="223" t="s">
        <v>63</v>
      </c>
      <c r="D143" s="223" t="s">
        <v>857</v>
      </c>
      <c r="E143" s="190" t="s">
        <v>23</v>
      </c>
      <c r="F143" s="190"/>
      <c r="G143" s="190"/>
      <c r="H143" s="219">
        <f>IFERROR(
  MINIFS(ATTENDANCE_LOG!$F:$F,
         ATTENDANCE_LOG!$A:$A, C143,
         ATTENDANCE_LOG!$B:$B, E143),
"")</f>
        <v>45729.45833</v>
      </c>
      <c r="I143" s="190" t="str">
        <f>IFERROR(VLOOKUP(F143, LEVEL_HELPER!$A:$B, 2, 0), "")</f>
        <v/>
      </c>
      <c r="J143" s="190" t="str">
        <f>IFERROR(VLOOKUP(G143, LEVEL_HELPER!$A:$B, 2, 0), "")</f>
        <v/>
      </c>
      <c r="K143" s="190" t="str">
        <f t="shared" ref="K143:L143" si="288">IF(OR(I143="", I143=0), "",
  IF(I143&lt;=2,   1,
  IF(I143&lt;=4,   2,
  IF(I143&lt;=5.5, 3, 4))))</f>
        <v/>
      </c>
      <c r="L143" s="190" t="str">
        <f t="shared" si="288"/>
        <v/>
      </c>
      <c r="M143" s="190" t="str">
        <f t="shared" si="4"/>
        <v>No Data</v>
      </c>
      <c r="N143" s="220" t="s">
        <v>943</v>
      </c>
      <c r="O143" s="220" t="s">
        <v>925</v>
      </c>
      <c r="P143" s="190">
        <f t="shared" si="5"/>
        <v>2.5</v>
      </c>
      <c r="Q143" s="210">
        <f t="shared" si="6"/>
        <v>3.5</v>
      </c>
      <c r="R143" s="210">
        <f t="shared" ref="R143:S143" si="289">IF(OR(P143="", P143=0), "",
  IF(P143&lt;=2,   1,
  IF(P143&lt;=4,   2,
  IF(P143&lt;=5.5, 3, 4))))</f>
        <v>2</v>
      </c>
      <c r="S143" s="210">
        <f t="shared" si="289"/>
        <v>2</v>
      </c>
      <c r="T143" s="210" t="str">
        <f t="shared" si="8"/>
        <v>Progress within level</v>
      </c>
      <c r="U143" s="210">
        <f t="shared" si="9"/>
        <v>0</v>
      </c>
      <c r="V143" s="210"/>
    </row>
    <row r="144">
      <c r="A144" s="220" t="s">
        <v>611</v>
      </c>
      <c r="B144" s="190" t="s">
        <v>612</v>
      </c>
      <c r="C144" s="223" t="s">
        <v>63</v>
      </c>
      <c r="D144" s="223" t="s">
        <v>857</v>
      </c>
      <c r="E144" s="190" t="s">
        <v>23</v>
      </c>
      <c r="F144" s="190"/>
      <c r="G144" s="190"/>
      <c r="H144" s="219">
        <f>IFERROR(
  MINIFS(ATTENDANCE_LOG!$F:$F,
         ATTENDANCE_LOG!$A:$A, C144,
         ATTENDANCE_LOG!$B:$B, E144),
"")</f>
        <v>45729.45833</v>
      </c>
      <c r="I144" s="190" t="str">
        <f>IFERROR(VLOOKUP(F144, LEVEL_HELPER!$A:$B, 2, 0), "")</f>
        <v/>
      </c>
      <c r="J144" s="190" t="str">
        <f>IFERROR(VLOOKUP(G144, LEVEL_HELPER!$A:$B, 2, 0), "")</f>
        <v/>
      </c>
      <c r="K144" s="190" t="str">
        <f t="shared" ref="K144:L144" si="290">IF(OR(I144="", I144=0), "",
  IF(I144&lt;=2,   1,
  IF(I144&lt;=4,   2,
  IF(I144&lt;=5.5, 3, 4))))</f>
        <v/>
      </c>
      <c r="L144" s="190" t="str">
        <f t="shared" si="290"/>
        <v/>
      </c>
      <c r="M144" s="190" t="str">
        <f t="shared" si="4"/>
        <v>No Data</v>
      </c>
      <c r="N144" s="220" t="s">
        <v>919</v>
      </c>
      <c r="O144" s="220" t="s">
        <v>923</v>
      </c>
      <c r="P144" s="190">
        <f t="shared" si="5"/>
        <v>1</v>
      </c>
      <c r="Q144" s="210">
        <f t="shared" si="6"/>
        <v>5</v>
      </c>
      <c r="R144" s="210">
        <f t="shared" ref="R144:S144" si="291">IF(OR(P144="", P144=0), "",
  IF(P144&lt;=2,   1,
  IF(P144&lt;=4,   2,
  IF(P144&lt;=5.5, 3, 4))))</f>
        <v>1</v>
      </c>
      <c r="S144" s="210">
        <f t="shared" si="291"/>
        <v>3</v>
      </c>
      <c r="T144" s="210" t="str">
        <f t="shared" si="8"/>
        <v>Lv1 → Lv3 (multi)</v>
      </c>
      <c r="U144" s="210">
        <f t="shared" si="9"/>
        <v>0</v>
      </c>
      <c r="V144" s="210"/>
    </row>
    <row r="145">
      <c r="A145" s="262">
        <v>213820.0</v>
      </c>
      <c r="B145" s="242" t="s">
        <v>723</v>
      </c>
      <c r="C145" s="243" t="s">
        <v>64</v>
      </c>
      <c r="D145" s="243" t="s">
        <v>829</v>
      </c>
      <c r="E145" s="242" t="s">
        <v>21</v>
      </c>
      <c r="F145" s="13" t="s">
        <v>927</v>
      </c>
      <c r="G145" s="13" t="s">
        <v>927</v>
      </c>
      <c r="H145" s="219">
        <f>IFERROR(
  MINIFS(ATTENDANCE_LOG!$F:$F,
         ATTENDANCE_LOG!$A:$A, C145,
         ATTENDANCE_LOG!$B:$B, E145),
"")</f>
        <v>45635.4375</v>
      </c>
      <c r="I145" s="190">
        <f>IFERROR(VLOOKUP(F145, LEVEL_HELPER!$A:$B, 2, 0), "")</f>
        <v>1</v>
      </c>
      <c r="J145" s="190">
        <f>IFERROR(VLOOKUP(G145, LEVEL_HELPER!$A:$B, 2, 0), "")</f>
        <v>1</v>
      </c>
      <c r="K145" s="190">
        <f t="shared" ref="K145:L145" si="292">IF(OR(I145="", I145=0), "",
  IF(I145&lt;=2,   1,
  IF(I145&lt;=4,   2,
  IF(I145&lt;=5.5, 3, 4))))</f>
        <v>1</v>
      </c>
      <c r="L145" s="190">
        <f t="shared" si="292"/>
        <v>1</v>
      </c>
      <c r="M145" s="190" t="str">
        <f t="shared" si="4"/>
        <v>No Progress</v>
      </c>
      <c r="N145" s="220" t="s">
        <v>919</v>
      </c>
      <c r="O145" s="220" t="s">
        <v>923</v>
      </c>
      <c r="P145" s="190">
        <f t="shared" si="5"/>
        <v>1</v>
      </c>
      <c r="Q145" s="210">
        <f t="shared" si="6"/>
        <v>1</v>
      </c>
      <c r="R145" s="210">
        <f t="shared" ref="R145:S145" si="293">IF(OR(P145="", P145=0), "",
  IF(P145&lt;=2,   1,
  IF(P145&lt;=4,   2,
  IF(P145&lt;=5.5, 3, 4))))</f>
        <v>1</v>
      </c>
      <c r="S145" s="210">
        <f t="shared" si="293"/>
        <v>1</v>
      </c>
      <c r="T145" s="210" t="str">
        <f t="shared" si="8"/>
        <v>No Progress</v>
      </c>
      <c r="U145" s="210">
        <f t="shared" si="9"/>
        <v>1</v>
      </c>
      <c r="V145" s="210"/>
    </row>
    <row r="146">
      <c r="A146" s="220" t="s">
        <v>317</v>
      </c>
      <c r="B146" s="190" t="s">
        <v>318</v>
      </c>
      <c r="C146" s="223" t="s">
        <v>64</v>
      </c>
      <c r="D146" s="223" t="s">
        <v>829</v>
      </c>
      <c r="E146" s="190" t="s">
        <v>21</v>
      </c>
      <c r="F146" s="13" t="s">
        <v>927</v>
      </c>
      <c r="G146" s="13" t="s">
        <v>927</v>
      </c>
      <c r="H146" s="219">
        <f>IFERROR(
  MINIFS(ATTENDANCE_LOG!$F:$F,
         ATTENDANCE_LOG!$A:$A, C146,
         ATTENDANCE_LOG!$B:$B, E146),
"")</f>
        <v>45635.4375</v>
      </c>
      <c r="I146" s="190">
        <f>IFERROR(VLOOKUP(F146, LEVEL_HELPER!$A:$B, 2, 0), "")</f>
        <v>1</v>
      </c>
      <c r="J146" s="190">
        <f>IFERROR(VLOOKUP(G146, LEVEL_HELPER!$A:$B, 2, 0), "")</f>
        <v>1</v>
      </c>
      <c r="K146" s="190">
        <f t="shared" ref="K146:L146" si="294">IF(OR(I146="", I146=0), "",
  IF(I146&lt;=2,   1,
  IF(I146&lt;=4,   2,
  IF(I146&lt;=5.5, 3, 4))))</f>
        <v>1</v>
      </c>
      <c r="L146" s="190">
        <f t="shared" si="294"/>
        <v>1</v>
      </c>
      <c r="M146" s="190" t="str">
        <f t="shared" si="4"/>
        <v>No Progress</v>
      </c>
      <c r="N146" s="220" t="s">
        <v>919</v>
      </c>
      <c r="O146" s="220" t="s">
        <v>925</v>
      </c>
      <c r="P146" s="190">
        <f t="shared" si="5"/>
        <v>1</v>
      </c>
      <c r="Q146" s="210">
        <f t="shared" si="6"/>
        <v>1</v>
      </c>
      <c r="R146" s="210">
        <f t="shared" ref="R146:S146" si="295">IF(OR(P146="", P146=0), "",
  IF(P146&lt;=2,   1,
  IF(P146&lt;=4,   2,
  IF(P146&lt;=5.5, 3, 4))))</f>
        <v>1</v>
      </c>
      <c r="S146" s="210">
        <f t="shared" si="295"/>
        <v>1</v>
      </c>
      <c r="T146" s="210" t="str">
        <f t="shared" si="8"/>
        <v>No Progress</v>
      </c>
      <c r="U146" s="210">
        <f t="shared" si="9"/>
        <v>1</v>
      </c>
      <c r="V146" s="210"/>
    </row>
    <row r="147">
      <c r="A147" s="220" t="s">
        <v>342</v>
      </c>
      <c r="B147" s="190" t="s">
        <v>343</v>
      </c>
      <c r="C147" s="223" t="s">
        <v>64</v>
      </c>
      <c r="D147" s="223" t="s">
        <v>829</v>
      </c>
      <c r="E147" s="190" t="s">
        <v>21</v>
      </c>
      <c r="F147" s="13" t="s">
        <v>927</v>
      </c>
      <c r="G147" s="13" t="s">
        <v>927</v>
      </c>
      <c r="H147" s="219">
        <f>IFERROR(
  MINIFS(ATTENDANCE_LOG!$F:$F,
         ATTENDANCE_LOG!$A:$A, C147,
         ATTENDANCE_LOG!$B:$B, E147),
"")</f>
        <v>45635.4375</v>
      </c>
      <c r="I147" s="190">
        <f>IFERROR(VLOOKUP(F147, LEVEL_HELPER!$A:$B, 2, 0), "")</f>
        <v>1</v>
      </c>
      <c r="J147" s="190">
        <f>IFERROR(VLOOKUP(G147, LEVEL_HELPER!$A:$B, 2, 0), "")</f>
        <v>1</v>
      </c>
      <c r="K147" s="190">
        <f t="shared" ref="K147:L147" si="296">IF(OR(I147="", I147=0), "",
  IF(I147&lt;=2,   1,
  IF(I147&lt;=4,   2,
  IF(I147&lt;=5.5, 3, 4))))</f>
        <v>1</v>
      </c>
      <c r="L147" s="190">
        <f t="shared" si="296"/>
        <v>1</v>
      </c>
      <c r="M147" s="190" t="str">
        <f t="shared" si="4"/>
        <v>No Progress</v>
      </c>
      <c r="N147" s="220" t="s">
        <v>919</v>
      </c>
      <c r="O147" s="220" t="s">
        <v>924</v>
      </c>
      <c r="P147" s="190">
        <f t="shared" si="5"/>
        <v>1</v>
      </c>
      <c r="Q147" s="210">
        <f t="shared" si="6"/>
        <v>1</v>
      </c>
      <c r="R147" s="210">
        <f t="shared" ref="R147:S147" si="297">IF(OR(P147="", P147=0), "",
  IF(P147&lt;=2,   1,
  IF(P147&lt;=4,   2,
  IF(P147&lt;=5.5, 3, 4))))</f>
        <v>1</v>
      </c>
      <c r="S147" s="210">
        <f t="shared" si="297"/>
        <v>1</v>
      </c>
      <c r="T147" s="210" t="str">
        <f t="shared" si="8"/>
        <v>No Progress</v>
      </c>
      <c r="U147" s="210">
        <f t="shared" si="9"/>
        <v>1</v>
      </c>
      <c r="V147" s="210"/>
    </row>
    <row r="148">
      <c r="A148" s="220" t="s">
        <v>370</v>
      </c>
      <c r="B148" s="190" t="s">
        <v>371</v>
      </c>
      <c r="C148" s="223" t="s">
        <v>64</v>
      </c>
      <c r="D148" s="223" t="s">
        <v>829</v>
      </c>
      <c r="E148" s="190" t="s">
        <v>21</v>
      </c>
      <c r="F148" s="13" t="s">
        <v>927</v>
      </c>
      <c r="G148" s="13" t="s">
        <v>927</v>
      </c>
      <c r="H148" s="219">
        <f>IFERROR(
  MINIFS(ATTENDANCE_LOG!$F:$F,
         ATTENDANCE_LOG!$A:$A, C148,
         ATTENDANCE_LOG!$B:$B, E148),
"")</f>
        <v>45635.4375</v>
      </c>
      <c r="I148" s="190">
        <f>IFERROR(VLOOKUP(F148, LEVEL_HELPER!$A:$B, 2, 0), "")</f>
        <v>1</v>
      </c>
      <c r="J148" s="190">
        <f>IFERROR(VLOOKUP(G148, LEVEL_HELPER!$A:$B, 2, 0), "")</f>
        <v>1</v>
      </c>
      <c r="K148" s="190">
        <f t="shared" ref="K148:L148" si="298">IF(OR(I148="", I148=0), "",
  IF(I148&lt;=2,   1,
  IF(I148&lt;=4,   2,
  IF(I148&lt;=5.5, 3, 4))))</f>
        <v>1</v>
      </c>
      <c r="L148" s="190">
        <f t="shared" si="298"/>
        <v>1</v>
      </c>
      <c r="M148" s="190" t="str">
        <f t="shared" si="4"/>
        <v>No Progress</v>
      </c>
      <c r="N148" s="220" t="s">
        <v>919</v>
      </c>
      <c r="O148" s="220" t="s">
        <v>925</v>
      </c>
      <c r="P148" s="190">
        <f t="shared" si="5"/>
        <v>0.5</v>
      </c>
      <c r="Q148" s="210">
        <f t="shared" si="6"/>
        <v>1</v>
      </c>
      <c r="R148" s="210">
        <f t="shared" ref="R148:S148" si="299">IF(OR(P148="", P148=0), "",
  IF(P148&lt;=2,   1,
  IF(P148&lt;=4,   2,
  IF(P148&lt;=5.5, 3, 4))))</f>
        <v>1</v>
      </c>
      <c r="S148" s="210">
        <f t="shared" si="299"/>
        <v>1</v>
      </c>
      <c r="T148" s="210" t="str">
        <f t="shared" si="8"/>
        <v>Progress within level</v>
      </c>
      <c r="U148" s="210">
        <f t="shared" si="9"/>
        <v>1</v>
      </c>
      <c r="V148" s="210"/>
    </row>
    <row r="149">
      <c r="A149" s="220" t="s">
        <v>717</v>
      </c>
      <c r="B149" s="190" t="s">
        <v>718</v>
      </c>
      <c r="C149" s="223" t="s">
        <v>64</v>
      </c>
      <c r="D149" s="223" t="s">
        <v>829</v>
      </c>
      <c r="E149" s="190" t="s">
        <v>21</v>
      </c>
      <c r="F149" s="13" t="s">
        <v>932</v>
      </c>
      <c r="G149" s="13" t="s">
        <v>917</v>
      </c>
      <c r="H149" s="219">
        <f>IFERROR(
  MINIFS(ATTENDANCE_LOG!$F:$F,
         ATTENDANCE_LOG!$A:$A, C149,
         ATTENDANCE_LOG!$B:$B, E149),
"")</f>
        <v>45635.4375</v>
      </c>
      <c r="I149" s="190">
        <f>IFERROR(VLOOKUP(F149, LEVEL_HELPER!$A:$B, 2, 0), "")</f>
        <v>4.5</v>
      </c>
      <c r="J149" s="190">
        <f>IFERROR(VLOOKUP(G149, LEVEL_HELPER!$A:$B, 2, 0), "")</f>
        <v>2.5</v>
      </c>
      <c r="K149" s="190">
        <f t="shared" ref="K149:L149" si="300">IF(OR(I149="", I149=0), "",
  IF(I149&lt;=2,   1,
  IF(I149&lt;=4,   2,
  IF(I149&lt;=5.5, 3, 4))))</f>
        <v>3</v>
      </c>
      <c r="L149" s="190">
        <f t="shared" si="300"/>
        <v>2</v>
      </c>
      <c r="M149" s="190" t="str">
        <f t="shared" si="4"/>
        <v>Regressed</v>
      </c>
      <c r="N149" s="220" t="s">
        <v>919</v>
      </c>
      <c r="O149" s="220" t="s">
        <v>925</v>
      </c>
      <c r="P149" s="190">
        <f t="shared" si="5"/>
        <v>4.5</v>
      </c>
      <c r="Q149" s="210">
        <f t="shared" si="6"/>
        <v>2.5</v>
      </c>
      <c r="R149" s="210">
        <f t="shared" ref="R149:S149" si="301">IF(OR(P149="", P149=0), "",
  IF(P149&lt;=2,   1,
  IF(P149&lt;=4,   2,
  IF(P149&lt;=5.5, 3, 4))))</f>
        <v>3</v>
      </c>
      <c r="S149" s="210">
        <f t="shared" si="301"/>
        <v>2</v>
      </c>
      <c r="T149" s="210" t="str">
        <f t="shared" si="8"/>
        <v>Regressed</v>
      </c>
      <c r="U149" s="210">
        <f t="shared" si="9"/>
        <v>1</v>
      </c>
      <c r="V149" s="210"/>
    </row>
    <row r="150">
      <c r="A150" s="247" t="s">
        <v>149</v>
      </c>
      <c r="B150" s="217" t="s">
        <v>150</v>
      </c>
      <c r="C150" s="218" t="s">
        <v>65</v>
      </c>
      <c r="D150" s="218" t="s">
        <v>858</v>
      </c>
      <c r="E150" s="217" t="s">
        <v>21</v>
      </c>
      <c r="F150" s="13" t="s">
        <v>927</v>
      </c>
      <c r="G150" s="13" t="s">
        <v>917</v>
      </c>
      <c r="H150" s="219">
        <f>IFERROR(
  MINIFS(ATTENDANCE_LOG!$F:$F,
         ATTENDANCE_LOG!$A:$A, C150,
         ATTENDANCE_LOG!$B:$B, E150),
"")</f>
        <v>45637.375</v>
      </c>
      <c r="I150" s="190">
        <f>IFERROR(VLOOKUP(F150, LEVEL_HELPER!$A:$B, 2, 0), "")</f>
        <v>1</v>
      </c>
      <c r="J150" s="190">
        <f>IFERROR(VLOOKUP(G150, LEVEL_HELPER!$A:$B, 2, 0), "")</f>
        <v>2.5</v>
      </c>
      <c r="K150" s="190">
        <f t="shared" ref="K150:L150" si="302">IF(OR(I150="", I150=0), "",
  IF(I150&lt;=2,   1,
  IF(I150&lt;=4,   2,
  IF(I150&lt;=5.5, 3, 4))))</f>
        <v>1</v>
      </c>
      <c r="L150" s="190">
        <f t="shared" si="302"/>
        <v>2</v>
      </c>
      <c r="M150" s="190" t="str">
        <f t="shared" si="4"/>
        <v>Lv1 → Lv2</v>
      </c>
      <c r="N150" s="220" t="s">
        <v>919</v>
      </c>
      <c r="O150" s="220" t="s">
        <v>925</v>
      </c>
      <c r="P150" s="190">
        <f t="shared" si="5"/>
        <v>1</v>
      </c>
      <c r="Q150" s="210">
        <f t="shared" si="6"/>
        <v>2.5</v>
      </c>
      <c r="R150" s="210">
        <f t="shared" ref="R150:S150" si="303">IF(OR(P150="", P150=0), "",
  IF(P150&lt;=2,   1,
  IF(P150&lt;=4,   2,
  IF(P150&lt;=5.5, 3, 4))))</f>
        <v>1</v>
      </c>
      <c r="S150" s="210">
        <f t="shared" si="303"/>
        <v>2</v>
      </c>
      <c r="T150" s="210" t="str">
        <f t="shared" si="8"/>
        <v>Lv1 → Lv2</v>
      </c>
      <c r="U150" s="210">
        <f t="shared" si="9"/>
        <v>1</v>
      </c>
      <c r="V150" s="210"/>
    </row>
    <row r="151">
      <c r="A151" s="220" t="s">
        <v>212</v>
      </c>
      <c r="B151" s="190" t="s">
        <v>213</v>
      </c>
      <c r="C151" s="223" t="s">
        <v>65</v>
      </c>
      <c r="D151" s="223" t="s">
        <v>858</v>
      </c>
      <c r="E151" s="190" t="s">
        <v>21</v>
      </c>
      <c r="F151" s="13" t="s">
        <v>927</v>
      </c>
      <c r="G151" s="13" t="s">
        <v>917</v>
      </c>
      <c r="H151" s="219">
        <f>IFERROR(
  MINIFS(ATTENDANCE_LOG!$F:$F,
         ATTENDANCE_LOG!$A:$A, C151,
         ATTENDANCE_LOG!$B:$B, E151),
"")</f>
        <v>45637.375</v>
      </c>
      <c r="I151" s="190">
        <f>IFERROR(VLOOKUP(F151, LEVEL_HELPER!$A:$B, 2, 0), "")</f>
        <v>1</v>
      </c>
      <c r="J151" s="190">
        <f>IFERROR(VLOOKUP(G151, LEVEL_HELPER!$A:$B, 2, 0), "")</f>
        <v>2.5</v>
      </c>
      <c r="K151" s="190">
        <f t="shared" ref="K151:L151" si="304">IF(OR(I151="", I151=0), "",
  IF(I151&lt;=2,   1,
  IF(I151&lt;=4,   2,
  IF(I151&lt;=5.5, 3, 4))))</f>
        <v>1</v>
      </c>
      <c r="L151" s="190">
        <f t="shared" si="304"/>
        <v>2</v>
      </c>
      <c r="M151" s="190" t="str">
        <f t="shared" si="4"/>
        <v>Lv1 → Lv2</v>
      </c>
      <c r="N151" s="229" t="s">
        <v>919</v>
      </c>
      <c r="O151" s="220" t="s">
        <v>925</v>
      </c>
      <c r="P151" s="190">
        <f t="shared" si="5"/>
        <v>1</v>
      </c>
      <c r="Q151" s="210">
        <f t="shared" si="6"/>
        <v>2.5</v>
      </c>
      <c r="R151" s="210">
        <f t="shared" ref="R151:S151" si="305">IF(OR(P151="", P151=0), "",
  IF(P151&lt;=2,   1,
  IF(P151&lt;=4,   2,
  IF(P151&lt;=5.5, 3, 4))))</f>
        <v>1</v>
      </c>
      <c r="S151" s="210">
        <f t="shared" si="305"/>
        <v>2</v>
      </c>
      <c r="T151" s="210" t="str">
        <f t="shared" si="8"/>
        <v>Lv1 → Lv2</v>
      </c>
      <c r="U151" s="210">
        <f t="shared" si="9"/>
        <v>1</v>
      </c>
      <c r="V151" s="210"/>
    </row>
    <row r="152">
      <c r="A152" s="220" t="s">
        <v>267</v>
      </c>
      <c r="B152" s="190" t="s">
        <v>268</v>
      </c>
      <c r="C152" s="223" t="s">
        <v>65</v>
      </c>
      <c r="D152" s="223" t="s">
        <v>858</v>
      </c>
      <c r="E152" s="190" t="s">
        <v>21</v>
      </c>
      <c r="F152" s="13" t="s">
        <v>927</v>
      </c>
      <c r="G152" s="13" t="s">
        <v>917</v>
      </c>
      <c r="H152" s="219">
        <f>IFERROR(
  MINIFS(ATTENDANCE_LOG!$F:$F,
         ATTENDANCE_LOG!$A:$A, C152,
         ATTENDANCE_LOG!$B:$B, E152),
"")</f>
        <v>45637.375</v>
      </c>
      <c r="I152" s="190">
        <f>IFERROR(VLOOKUP(F152, LEVEL_HELPER!$A:$B, 2, 0), "")</f>
        <v>1</v>
      </c>
      <c r="J152" s="190">
        <f>IFERROR(VLOOKUP(G152, LEVEL_HELPER!$A:$B, 2, 0), "")</f>
        <v>2.5</v>
      </c>
      <c r="K152" s="190">
        <f t="shared" ref="K152:L152" si="306">IF(OR(I152="", I152=0), "",
  IF(I152&lt;=2,   1,
  IF(I152&lt;=4,   2,
  IF(I152&lt;=5.5, 3, 4))))</f>
        <v>1</v>
      </c>
      <c r="L152" s="190">
        <f t="shared" si="306"/>
        <v>2</v>
      </c>
      <c r="M152" s="190" t="str">
        <f t="shared" si="4"/>
        <v>Lv1 → Lv2</v>
      </c>
      <c r="N152" s="220" t="s">
        <v>919</v>
      </c>
      <c r="O152" s="220" t="s">
        <v>925</v>
      </c>
      <c r="P152" s="190">
        <f t="shared" si="5"/>
        <v>0.5</v>
      </c>
      <c r="Q152" s="210">
        <f t="shared" si="6"/>
        <v>2.5</v>
      </c>
      <c r="R152" s="210">
        <f t="shared" ref="R152:S152" si="307">IF(OR(P152="", P152=0), "",
  IF(P152&lt;=2,   1,
  IF(P152&lt;=4,   2,
  IF(P152&lt;=5.5, 3, 4))))</f>
        <v>1</v>
      </c>
      <c r="S152" s="210">
        <f t="shared" si="307"/>
        <v>2</v>
      </c>
      <c r="T152" s="210" t="str">
        <f t="shared" si="8"/>
        <v>Lv1 → Lv2</v>
      </c>
      <c r="U152" s="210">
        <f t="shared" si="9"/>
        <v>1</v>
      </c>
      <c r="V152" s="210"/>
    </row>
    <row r="153">
      <c r="A153" s="220" t="s">
        <v>413</v>
      </c>
      <c r="B153" s="190" t="s">
        <v>414</v>
      </c>
      <c r="C153" s="223" t="s">
        <v>65</v>
      </c>
      <c r="D153" s="223" t="s">
        <v>858</v>
      </c>
      <c r="E153" s="190" t="s">
        <v>21</v>
      </c>
      <c r="F153" s="13" t="s">
        <v>927</v>
      </c>
      <c r="G153" s="13" t="s">
        <v>917</v>
      </c>
      <c r="H153" s="219">
        <f>IFERROR(
  MINIFS(ATTENDANCE_LOG!$F:$F,
         ATTENDANCE_LOG!$A:$A, C153,
         ATTENDANCE_LOG!$B:$B, E153),
"")</f>
        <v>45637.375</v>
      </c>
      <c r="I153" s="190">
        <f>IFERROR(VLOOKUP(F153, LEVEL_HELPER!$A:$B, 2, 0), "")</f>
        <v>1</v>
      </c>
      <c r="J153" s="190">
        <f>IFERROR(VLOOKUP(G153, LEVEL_HELPER!$A:$B, 2, 0), "")</f>
        <v>2.5</v>
      </c>
      <c r="K153" s="190">
        <f t="shared" ref="K153:L153" si="308">IF(OR(I153="", I153=0), "",
  IF(I153&lt;=2,   1,
  IF(I153&lt;=4,   2,
  IF(I153&lt;=5.5, 3, 4))))</f>
        <v>1</v>
      </c>
      <c r="L153" s="190">
        <f t="shared" si="308"/>
        <v>2</v>
      </c>
      <c r="M153" s="190" t="str">
        <f t="shared" si="4"/>
        <v>Lv1 → Lv2</v>
      </c>
      <c r="N153" s="220" t="s">
        <v>919</v>
      </c>
      <c r="O153" s="220" t="s">
        <v>925</v>
      </c>
      <c r="P153" s="190">
        <f t="shared" si="5"/>
        <v>0.5</v>
      </c>
      <c r="Q153" s="210">
        <f t="shared" si="6"/>
        <v>2.5</v>
      </c>
      <c r="R153" s="210">
        <f t="shared" ref="R153:S153" si="309">IF(OR(P153="", P153=0), "",
  IF(P153&lt;=2,   1,
  IF(P153&lt;=4,   2,
  IF(P153&lt;=5.5, 3, 4))))</f>
        <v>1</v>
      </c>
      <c r="S153" s="210">
        <f t="shared" si="309"/>
        <v>2</v>
      </c>
      <c r="T153" s="210" t="str">
        <f t="shared" si="8"/>
        <v>Lv1 → Lv2</v>
      </c>
      <c r="U153" s="210">
        <f t="shared" si="9"/>
        <v>1</v>
      </c>
      <c r="V153" s="210"/>
    </row>
    <row r="154">
      <c r="A154" s="220" t="s">
        <v>601</v>
      </c>
      <c r="B154" s="190" t="s">
        <v>602</v>
      </c>
      <c r="C154" s="223" t="s">
        <v>65</v>
      </c>
      <c r="D154" s="223" t="s">
        <v>858</v>
      </c>
      <c r="E154" s="190" t="s">
        <v>21</v>
      </c>
      <c r="F154" s="13" t="s">
        <v>932</v>
      </c>
      <c r="G154" s="190"/>
      <c r="H154" s="219">
        <f>IFERROR(
  MINIFS(ATTENDANCE_LOG!$F:$F,
         ATTENDANCE_LOG!$A:$A, C154,
         ATTENDANCE_LOG!$B:$B, E154),
"")</f>
        <v>45637.375</v>
      </c>
      <c r="I154" s="190">
        <f>IFERROR(VLOOKUP(F154, LEVEL_HELPER!$A:$B, 2, 0), "")</f>
        <v>4.5</v>
      </c>
      <c r="J154" s="190" t="str">
        <f>IFERROR(VLOOKUP(G154, LEVEL_HELPER!$A:$B, 2, 0), "")</f>
        <v/>
      </c>
      <c r="K154" s="190">
        <f t="shared" ref="K154:L154" si="310">IF(OR(I154="", I154=0), "",
  IF(I154&lt;=2,   1,
  IF(I154&lt;=4,   2,
  IF(I154&lt;=5.5, 3, 4))))</f>
        <v>3</v>
      </c>
      <c r="L154" s="190" t="str">
        <f t="shared" si="310"/>
        <v/>
      </c>
      <c r="M154" s="190" t="str">
        <f t="shared" si="4"/>
        <v>No Data</v>
      </c>
      <c r="N154" s="220" t="s">
        <v>919</v>
      </c>
      <c r="O154" s="229" t="s">
        <v>923</v>
      </c>
      <c r="P154" s="190">
        <f t="shared" si="5"/>
        <v>4.5</v>
      </c>
      <c r="Q154" s="210">
        <f t="shared" si="6"/>
        <v>0</v>
      </c>
      <c r="R154" s="210">
        <f t="shared" ref="R154:S154" si="311">IF(OR(P154="", P154=0), "",
  IF(P154&lt;=2,   1,
  IF(P154&lt;=4,   2,
  IF(P154&lt;=5.5, 3, 4))))</f>
        <v>3</v>
      </c>
      <c r="S154" s="210" t="str">
        <f t="shared" si="311"/>
        <v/>
      </c>
      <c r="T154" s="210" t="str">
        <f t="shared" si="8"/>
        <v>No Data</v>
      </c>
      <c r="U154" s="210">
        <f t="shared" si="9"/>
        <v>1</v>
      </c>
      <c r="V154" s="210"/>
    </row>
    <row r="155">
      <c r="A155" s="220" t="s">
        <v>699</v>
      </c>
      <c r="B155" s="190" t="s">
        <v>700</v>
      </c>
      <c r="C155" s="223" t="s">
        <v>65</v>
      </c>
      <c r="D155" s="223" t="s">
        <v>858</v>
      </c>
      <c r="E155" s="190" t="s">
        <v>21</v>
      </c>
      <c r="F155" s="13" t="s">
        <v>917</v>
      </c>
      <c r="G155" s="13" t="s">
        <v>932</v>
      </c>
      <c r="H155" s="219">
        <f>IFERROR(
  MINIFS(ATTENDANCE_LOG!$F:$F,
         ATTENDANCE_LOG!$A:$A, C155,
         ATTENDANCE_LOG!$B:$B, E155),
"")</f>
        <v>45637.375</v>
      </c>
      <c r="I155" s="190">
        <f>IFERROR(VLOOKUP(F155, LEVEL_HELPER!$A:$B, 2, 0), "")</f>
        <v>2.5</v>
      </c>
      <c r="J155" s="190">
        <f>IFERROR(VLOOKUP(G155, LEVEL_HELPER!$A:$B, 2, 0), "")</f>
        <v>4.5</v>
      </c>
      <c r="K155" s="190">
        <f t="shared" ref="K155:L155" si="312">IF(OR(I155="", I155=0), "",
  IF(I155&lt;=2,   1,
  IF(I155&lt;=4,   2,
  IF(I155&lt;=5.5, 3, 4))))</f>
        <v>2</v>
      </c>
      <c r="L155" s="190">
        <f t="shared" si="312"/>
        <v>3</v>
      </c>
      <c r="M155" s="190" t="str">
        <f t="shared" si="4"/>
        <v>Lv2 → Lv3</v>
      </c>
      <c r="N155" s="220" t="s">
        <v>919</v>
      </c>
      <c r="O155" s="220" t="s">
        <v>923</v>
      </c>
      <c r="P155" s="190">
        <f t="shared" si="5"/>
        <v>2.5</v>
      </c>
      <c r="Q155" s="210">
        <f t="shared" si="6"/>
        <v>4.5</v>
      </c>
      <c r="R155" s="210">
        <f t="shared" ref="R155:S155" si="313">IF(OR(P155="", P155=0), "",
  IF(P155&lt;=2,   1,
  IF(P155&lt;=4,   2,
  IF(P155&lt;=5.5, 3, 4))))</f>
        <v>2</v>
      </c>
      <c r="S155" s="210">
        <f t="shared" si="313"/>
        <v>3</v>
      </c>
      <c r="T155" s="210" t="str">
        <f t="shared" si="8"/>
        <v>Lv2 → Lv3</v>
      </c>
      <c r="U155" s="210">
        <f t="shared" si="9"/>
        <v>1</v>
      </c>
      <c r="V155" s="210"/>
    </row>
    <row r="156">
      <c r="A156" s="247" t="s">
        <v>413</v>
      </c>
      <c r="B156" s="217" t="s">
        <v>414</v>
      </c>
      <c r="C156" s="218" t="s">
        <v>65</v>
      </c>
      <c r="D156" s="218" t="s">
        <v>858</v>
      </c>
      <c r="E156" s="217" t="s">
        <v>22</v>
      </c>
      <c r="F156" s="13" t="s">
        <v>917</v>
      </c>
      <c r="G156" s="13" t="s">
        <v>917</v>
      </c>
      <c r="H156" s="219">
        <f>IFERROR(
  MINIFS(ATTENDANCE_LOG!$F:$F,
         ATTENDANCE_LOG!$A:$A, C156,
         ATTENDANCE_LOG!$B:$B, E156),
"")</f>
        <v>45839.375</v>
      </c>
      <c r="I156" s="190">
        <f>IFERROR(VLOOKUP(F156, LEVEL_HELPER!$A:$B, 2, 0), "")</f>
        <v>2.5</v>
      </c>
      <c r="J156" s="190">
        <f>IFERROR(VLOOKUP(G156, LEVEL_HELPER!$A:$B, 2, 0), "")</f>
        <v>2.5</v>
      </c>
      <c r="K156" s="190">
        <f t="shared" ref="K156:L156" si="314">IF(OR(I156="", I156=0), "",
  IF(I156&lt;=2,   1,
  IF(I156&lt;=4,   2,
  IF(I156&lt;=5.5, 3, 4))))</f>
        <v>2</v>
      </c>
      <c r="L156" s="190">
        <f t="shared" si="314"/>
        <v>2</v>
      </c>
      <c r="M156" s="190" t="str">
        <f t="shared" si="4"/>
        <v>No Progress</v>
      </c>
      <c r="N156" s="220" t="s">
        <v>919</v>
      </c>
      <c r="O156" s="220" t="s">
        <v>925</v>
      </c>
      <c r="P156" s="190">
        <f t="shared" si="5"/>
        <v>0.5</v>
      </c>
      <c r="Q156" s="210">
        <f t="shared" si="6"/>
        <v>2.5</v>
      </c>
      <c r="R156" s="210">
        <f t="shared" ref="R156:S156" si="315">IF(OR(P156="", P156=0), "",
  IF(P156&lt;=2,   1,
  IF(P156&lt;=4,   2,
  IF(P156&lt;=5.5, 3, 4))))</f>
        <v>1</v>
      </c>
      <c r="S156" s="210">
        <f t="shared" si="315"/>
        <v>2</v>
      </c>
      <c r="T156" s="210" t="str">
        <f t="shared" si="8"/>
        <v>Lv1 → Lv2</v>
      </c>
      <c r="U156" s="210">
        <f t="shared" si="9"/>
        <v>0</v>
      </c>
      <c r="V156" s="210"/>
    </row>
    <row r="157">
      <c r="A157" s="220" t="s">
        <v>212</v>
      </c>
      <c r="B157" s="190" t="s">
        <v>213</v>
      </c>
      <c r="C157" s="223" t="s">
        <v>65</v>
      </c>
      <c r="D157" s="223" t="s">
        <v>858</v>
      </c>
      <c r="E157" s="190" t="s">
        <v>22</v>
      </c>
      <c r="F157" s="13" t="s">
        <v>917</v>
      </c>
      <c r="G157" s="13" t="s">
        <v>917</v>
      </c>
      <c r="H157" s="219">
        <f>IFERROR(
  MINIFS(ATTENDANCE_LOG!$F:$F,
         ATTENDANCE_LOG!$A:$A, C157,
         ATTENDANCE_LOG!$B:$B, E157),
"")</f>
        <v>45839.375</v>
      </c>
      <c r="I157" s="190">
        <f>IFERROR(VLOOKUP(F157, LEVEL_HELPER!$A:$B, 2, 0), "")</f>
        <v>2.5</v>
      </c>
      <c r="J157" s="190">
        <f>IFERROR(VLOOKUP(G157, LEVEL_HELPER!$A:$B, 2, 0), "")</f>
        <v>2.5</v>
      </c>
      <c r="K157" s="190">
        <f t="shared" ref="K157:L157" si="316">IF(OR(I157="", I157=0), "",
  IF(I157&lt;=2,   1,
  IF(I157&lt;=4,   2,
  IF(I157&lt;=5.5, 3, 4))))</f>
        <v>2</v>
      </c>
      <c r="L157" s="190">
        <f t="shared" si="316"/>
        <v>2</v>
      </c>
      <c r="M157" s="190" t="str">
        <f t="shared" si="4"/>
        <v>No Progress</v>
      </c>
      <c r="N157" s="229" t="s">
        <v>919</v>
      </c>
      <c r="O157" s="220" t="s">
        <v>925</v>
      </c>
      <c r="P157" s="190">
        <f t="shared" si="5"/>
        <v>1</v>
      </c>
      <c r="Q157" s="210">
        <f t="shared" si="6"/>
        <v>2.5</v>
      </c>
      <c r="R157" s="210">
        <f t="shared" ref="R157:S157" si="317">IF(OR(P157="", P157=0), "",
  IF(P157&lt;=2,   1,
  IF(P157&lt;=4,   2,
  IF(P157&lt;=5.5, 3, 4))))</f>
        <v>1</v>
      </c>
      <c r="S157" s="210">
        <f t="shared" si="317"/>
        <v>2</v>
      </c>
      <c r="T157" s="210" t="str">
        <f t="shared" si="8"/>
        <v>Lv1 → Lv2</v>
      </c>
      <c r="U157" s="210">
        <f t="shared" si="9"/>
        <v>0</v>
      </c>
      <c r="V157" s="210"/>
    </row>
    <row r="158">
      <c r="A158" s="220" t="s">
        <v>267</v>
      </c>
      <c r="B158" s="190" t="s">
        <v>268</v>
      </c>
      <c r="C158" s="223" t="s">
        <v>65</v>
      </c>
      <c r="D158" s="223" t="s">
        <v>858</v>
      </c>
      <c r="E158" s="190" t="s">
        <v>22</v>
      </c>
      <c r="F158" s="13" t="s">
        <v>917</v>
      </c>
      <c r="G158" s="13" t="s">
        <v>917</v>
      </c>
      <c r="H158" s="219">
        <f>IFERROR(
  MINIFS(ATTENDANCE_LOG!$F:$F,
         ATTENDANCE_LOG!$A:$A, C158,
         ATTENDANCE_LOG!$B:$B, E158),
"")</f>
        <v>45839.375</v>
      </c>
      <c r="I158" s="190">
        <f>IFERROR(VLOOKUP(F158, LEVEL_HELPER!$A:$B, 2, 0), "")</f>
        <v>2.5</v>
      </c>
      <c r="J158" s="190">
        <f>IFERROR(VLOOKUP(G158, LEVEL_HELPER!$A:$B, 2, 0), "")</f>
        <v>2.5</v>
      </c>
      <c r="K158" s="190">
        <f t="shared" ref="K158:L158" si="318">IF(OR(I158="", I158=0), "",
  IF(I158&lt;=2,   1,
  IF(I158&lt;=4,   2,
  IF(I158&lt;=5.5, 3, 4))))</f>
        <v>2</v>
      </c>
      <c r="L158" s="190">
        <f t="shared" si="318"/>
        <v>2</v>
      </c>
      <c r="M158" s="190" t="str">
        <f t="shared" si="4"/>
        <v>No Progress</v>
      </c>
      <c r="N158" s="220" t="s">
        <v>919</v>
      </c>
      <c r="O158" s="220" t="s">
        <v>925</v>
      </c>
      <c r="P158" s="190">
        <f t="shared" si="5"/>
        <v>0.5</v>
      </c>
      <c r="Q158" s="210">
        <f t="shared" si="6"/>
        <v>2.5</v>
      </c>
      <c r="R158" s="210">
        <f t="shared" ref="R158:S158" si="319">IF(OR(P158="", P158=0), "",
  IF(P158&lt;=2,   1,
  IF(P158&lt;=4,   2,
  IF(P158&lt;=5.5, 3, 4))))</f>
        <v>1</v>
      </c>
      <c r="S158" s="210">
        <f t="shared" si="319"/>
        <v>2</v>
      </c>
      <c r="T158" s="210" t="str">
        <f t="shared" si="8"/>
        <v>Lv1 → Lv2</v>
      </c>
      <c r="U158" s="210">
        <f t="shared" si="9"/>
        <v>0</v>
      </c>
      <c r="V158" s="210"/>
    </row>
    <row r="159">
      <c r="A159" s="220" t="s">
        <v>699</v>
      </c>
      <c r="B159" s="190" t="s">
        <v>700</v>
      </c>
      <c r="C159" s="223" t="s">
        <v>65</v>
      </c>
      <c r="D159" s="223" t="s">
        <v>858</v>
      </c>
      <c r="E159" s="190" t="s">
        <v>22</v>
      </c>
      <c r="F159" s="13" t="s">
        <v>932</v>
      </c>
      <c r="G159" s="13" t="s">
        <v>932</v>
      </c>
      <c r="H159" s="219">
        <f>IFERROR(
  MINIFS(ATTENDANCE_LOG!$F:$F,
         ATTENDANCE_LOG!$A:$A, C159,
         ATTENDANCE_LOG!$B:$B, E159),
"")</f>
        <v>45839.375</v>
      </c>
      <c r="I159" s="190">
        <f>IFERROR(VLOOKUP(F159, LEVEL_HELPER!$A:$B, 2, 0), "")</f>
        <v>4.5</v>
      </c>
      <c r="J159" s="190">
        <f>IFERROR(VLOOKUP(G159, LEVEL_HELPER!$A:$B, 2, 0), "")</f>
        <v>4.5</v>
      </c>
      <c r="K159" s="190">
        <f t="shared" ref="K159:L159" si="320">IF(OR(I159="", I159=0), "",
  IF(I159&lt;=2,   1,
  IF(I159&lt;=4,   2,
  IF(I159&lt;=5.5, 3, 4))))</f>
        <v>3</v>
      </c>
      <c r="L159" s="190">
        <f t="shared" si="320"/>
        <v>3</v>
      </c>
      <c r="M159" s="190" t="str">
        <f t="shared" si="4"/>
        <v>No Progress</v>
      </c>
      <c r="N159" s="220" t="s">
        <v>919</v>
      </c>
      <c r="O159" s="220" t="s">
        <v>923</v>
      </c>
      <c r="P159" s="190">
        <f t="shared" si="5"/>
        <v>2.5</v>
      </c>
      <c r="Q159" s="210">
        <f t="shared" si="6"/>
        <v>4.5</v>
      </c>
      <c r="R159" s="210">
        <f t="shared" ref="R159:S159" si="321">IF(OR(P159="", P159=0), "",
  IF(P159&lt;=2,   1,
  IF(P159&lt;=4,   2,
  IF(P159&lt;=5.5, 3, 4))))</f>
        <v>2</v>
      </c>
      <c r="S159" s="210">
        <f t="shared" si="321"/>
        <v>3</v>
      </c>
      <c r="T159" s="210" t="str">
        <f t="shared" si="8"/>
        <v>Lv2 → Lv3</v>
      </c>
      <c r="U159" s="210">
        <f t="shared" si="9"/>
        <v>0</v>
      </c>
      <c r="V159" s="210"/>
    </row>
    <row r="160">
      <c r="A160" s="247" t="s">
        <v>346</v>
      </c>
      <c r="B160" s="217" t="s">
        <v>347</v>
      </c>
      <c r="C160" s="218" t="s">
        <v>66</v>
      </c>
      <c r="D160" s="218" t="s">
        <v>859</v>
      </c>
      <c r="E160" s="217" t="s">
        <v>21</v>
      </c>
      <c r="F160" s="190"/>
      <c r="G160" s="190"/>
      <c r="H160" s="219">
        <f>IFERROR(
  MINIFS(ATTENDANCE_LOG!$F:$F,
         ATTENDANCE_LOG!$A:$A, C160,
         ATTENDANCE_LOG!$B:$B, E160),
"")</f>
        <v>45693.45833</v>
      </c>
      <c r="I160" s="190" t="str">
        <f>IFERROR(VLOOKUP(F160, LEVEL_HELPER!$A:$B, 2, 0), "")</f>
        <v/>
      </c>
      <c r="J160" s="190" t="str">
        <f>IFERROR(VLOOKUP(G160, LEVEL_HELPER!$A:$B, 2, 0), "")</f>
        <v/>
      </c>
      <c r="K160" s="190" t="str">
        <f t="shared" ref="K160:L160" si="322">IF(OR(I160="", I160=0), "",
  IF(I160&lt;=2,   1,
  IF(I160&lt;=4,   2,
  IF(I160&lt;=5.5, 3, 4))))</f>
        <v/>
      </c>
      <c r="L160" s="190" t="str">
        <f t="shared" si="322"/>
        <v/>
      </c>
      <c r="M160" s="190" t="str">
        <f t="shared" si="4"/>
        <v>No Data</v>
      </c>
      <c r="N160" s="220" t="s">
        <v>947</v>
      </c>
      <c r="O160" s="220" t="s">
        <v>926</v>
      </c>
      <c r="P160" s="190">
        <f t="shared" si="5"/>
        <v>0</v>
      </c>
      <c r="Q160" s="210">
        <f t="shared" si="6"/>
        <v>0</v>
      </c>
      <c r="R160" s="210" t="str">
        <f t="shared" ref="R160:S160" si="323">IF(OR(P160="", P160=0), "",
  IF(P160&lt;=2,   1,
  IF(P160&lt;=4,   2,
  IF(P160&lt;=5.5, 3, 4))))</f>
        <v/>
      </c>
      <c r="S160" s="210" t="str">
        <f t="shared" si="323"/>
        <v/>
      </c>
      <c r="T160" s="210" t="str">
        <f t="shared" si="8"/>
        <v>No Data</v>
      </c>
      <c r="U160" s="210">
        <f t="shared" si="9"/>
        <v>1</v>
      </c>
      <c r="V160" s="210"/>
    </row>
    <row r="161">
      <c r="A161" s="220" t="s">
        <v>514</v>
      </c>
      <c r="B161" s="190" t="s">
        <v>515</v>
      </c>
      <c r="C161" s="223" t="s">
        <v>66</v>
      </c>
      <c r="D161" s="223" t="s">
        <v>859</v>
      </c>
      <c r="E161" s="190" t="s">
        <v>21</v>
      </c>
      <c r="F161" s="190"/>
      <c r="G161" s="190"/>
      <c r="H161" s="219">
        <f>IFERROR(
  MINIFS(ATTENDANCE_LOG!$F:$F,
         ATTENDANCE_LOG!$A:$A, C161,
         ATTENDANCE_LOG!$B:$B, E161),
"")</f>
        <v>45693.45833</v>
      </c>
      <c r="I161" s="190" t="str">
        <f>IFERROR(VLOOKUP(F161, LEVEL_HELPER!$A:$B, 2, 0), "")</f>
        <v/>
      </c>
      <c r="J161" s="190" t="str">
        <f>IFERROR(VLOOKUP(G161, LEVEL_HELPER!$A:$B, 2, 0), "")</f>
        <v/>
      </c>
      <c r="K161" s="190" t="str">
        <f t="shared" ref="K161:L161" si="324">IF(OR(I161="", I161=0), "",
  IF(I161&lt;=2,   1,
  IF(I161&lt;=4,   2,
  IF(I161&lt;=5.5, 3, 4))))</f>
        <v/>
      </c>
      <c r="L161" s="190" t="str">
        <f t="shared" si="324"/>
        <v/>
      </c>
      <c r="M161" s="190" t="str">
        <f t="shared" si="4"/>
        <v>No Data</v>
      </c>
      <c r="N161" s="220" t="s">
        <v>943</v>
      </c>
      <c r="O161" s="220" t="s">
        <v>926</v>
      </c>
      <c r="P161" s="190">
        <f t="shared" si="5"/>
        <v>0</v>
      </c>
      <c r="Q161" s="210">
        <f t="shared" si="6"/>
        <v>0</v>
      </c>
      <c r="R161" s="210" t="str">
        <f t="shared" ref="R161:S161" si="325">IF(OR(P161="", P161=0), "",
  IF(P161&lt;=2,   1,
  IF(P161&lt;=4,   2,
  IF(P161&lt;=5.5, 3, 4))))</f>
        <v/>
      </c>
      <c r="S161" s="210" t="str">
        <f t="shared" si="325"/>
        <v/>
      </c>
      <c r="T161" s="210" t="str">
        <f t="shared" si="8"/>
        <v>No Data</v>
      </c>
      <c r="U161" s="210">
        <f t="shared" si="9"/>
        <v>1</v>
      </c>
      <c r="V161" s="210"/>
    </row>
    <row r="162">
      <c r="A162" s="220" t="s">
        <v>518</v>
      </c>
      <c r="B162" s="190" t="s">
        <v>519</v>
      </c>
      <c r="C162" s="223" t="s">
        <v>66</v>
      </c>
      <c r="D162" s="223" t="s">
        <v>859</v>
      </c>
      <c r="E162" s="190" t="s">
        <v>21</v>
      </c>
      <c r="F162" s="190"/>
      <c r="G162" s="190"/>
      <c r="H162" s="219">
        <f>IFERROR(
  MINIFS(ATTENDANCE_LOG!$F:$F,
         ATTENDANCE_LOG!$A:$A, C162,
         ATTENDANCE_LOG!$B:$B, E162),
"")</f>
        <v>45693.45833</v>
      </c>
      <c r="I162" s="190" t="str">
        <f>IFERROR(VLOOKUP(F162, LEVEL_HELPER!$A:$B, 2, 0), "")</f>
        <v/>
      </c>
      <c r="J162" s="190" t="str">
        <f>IFERROR(VLOOKUP(G162, LEVEL_HELPER!$A:$B, 2, 0), "")</f>
        <v/>
      </c>
      <c r="K162" s="190" t="str">
        <f t="shared" ref="K162:L162" si="326">IF(OR(I162="", I162=0), "",
  IF(I162&lt;=2,   1,
  IF(I162&lt;=4,   2,
  IF(I162&lt;=5.5, 3, 4))))</f>
        <v/>
      </c>
      <c r="L162" s="190" t="str">
        <f t="shared" si="326"/>
        <v/>
      </c>
      <c r="M162" s="190" t="str">
        <f t="shared" si="4"/>
        <v>No Data</v>
      </c>
      <c r="N162" s="220" t="s">
        <v>943</v>
      </c>
      <c r="O162" s="220" t="s">
        <v>926</v>
      </c>
      <c r="P162" s="190">
        <f t="shared" si="5"/>
        <v>0</v>
      </c>
      <c r="Q162" s="210">
        <f t="shared" si="6"/>
        <v>0</v>
      </c>
      <c r="R162" s="210" t="str">
        <f t="shared" ref="R162:S162" si="327">IF(OR(P162="", P162=0), "",
  IF(P162&lt;=2,   1,
  IF(P162&lt;=4,   2,
  IF(P162&lt;=5.5, 3, 4))))</f>
        <v/>
      </c>
      <c r="S162" s="210" t="str">
        <f t="shared" si="327"/>
        <v/>
      </c>
      <c r="T162" s="210" t="str">
        <f t="shared" si="8"/>
        <v>No Data</v>
      </c>
      <c r="U162" s="210">
        <f t="shared" si="9"/>
        <v>1</v>
      </c>
      <c r="V162" s="210"/>
    </row>
    <row r="163">
      <c r="A163" s="220" t="s">
        <v>522</v>
      </c>
      <c r="B163" s="190" t="s">
        <v>523</v>
      </c>
      <c r="C163" s="223" t="s">
        <v>66</v>
      </c>
      <c r="D163" s="223" t="s">
        <v>859</v>
      </c>
      <c r="E163" s="190" t="s">
        <v>21</v>
      </c>
      <c r="F163" s="190"/>
      <c r="G163" s="190"/>
      <c r="H163" s="219">
        <f>IFERROR(
  MINIFS(ATTENDANCE_LOG!$F:$F,
         ATTENDANCE_LOG!$A:$A, C163,
         ATTENDANCE_LOG!$B:$B, E163),
"")</f>
        <v>45693.45833</v>
      </c>
      <c r="I163" s="190" t="str">
        <f>IFERROR(VLOOKUP(F163, LEVEL_HELPER!$A:$B, 2, 0), "")</f>
        <v/>
      </c>
      <c r="J163" s="190" t="str">
        <f>IFERROR(VLOOKUP(G163, LEVEL_HELPER!$A:$B, 2, 0), "")</f>
        <v/>
      </c>
      <c r="K163" s="190" t="str">
        <f t="shared" ref="K163:L163" si="328">IF(OR(I163="", I163=0), "",
  IF(I163&lt;=2,   1,
  IF(I163&lt;=4,   2,
  IF(I163&lt;=5.5, 3, 4))))</f>
        <v/>
      </c>
      <c r="L163" s="190" t="str">
        <f t="shared" si="328"/>
        <v/>
      </c>
      <c r="M163" s="190" t="str">
        <f t="shared" si="4"/>
        <v>No Data</v>
      </c>
      <c r="N163" s="220" t="s">
        <v>943</v>
      </c>
      <c r="O163" s="220" t="s">
        <v>926</v>
      </c>
      <c r="P163" s="190">
        <f t="shared" si="5"/>
        <v>0</v>
      </c>
      <c r="Q163" s="210">
        <f t="shared" si="6"/>
        <v>0</v>
      </c>
      <c r="R163" s="210" t="str">
        <f t="shared" ref="R163:S163" si="329">IF(OR(P163="", P163=0), "",
  IF(P163&lt;=2,   1,
  IF(P163&lt;=4,   2,
  IF(P163&lt;=5.5, 3, 4))))</f>
        <v/>
      </c>
      <c r="S163" s="210" t="str">
        <f t="shared" si="329"/>
        <v/>
      </c>
      <c r="T163" s="210" t="str">
        <f t="shared" si="8"/>
        <v>No Data</v>
      </c>
      <c r="U163" s="210">
        <f t="shared" si="9"/>
        <v>1</v>
      </c>
      <c r="V163" s="210"/>
    </row>
    <row r="164">
      <c r="A164" s="220" t="s">
        <v>589</v>
      </c>
      <c r="B164" s="190" t="s">
        <v>590</v>
      </c>
      <c r="C164" s="223" t="s">
        <v>66</v>
      </c>
      <c r="D164" s="223" t="s">
        <v>859</v>
      </c>
      <c r="E164" s="190" t="s">
        <v>21</v>
      </c>
      <c r="F164" s="190"/>
      <c r="G164" s="190"/>
      <c r="H164" s="219">
        <f>IFERROR(
  MINIFS(ATTENDANCE_LOG!$F:$F,
         ATTENDANCE_LOG!$A:$A, C164,
         ATTENDANCE_LOG!$B:$B, E164),
"")</f>
        <v>45693.45833</v>
      </c>
      <c r="I164" s="190" t="str">
        <f>IFERROR(VLOOKUP(F164, LEVEL_HELPER!$A:$B, 2, 0), "")</f>
        <v/>
      </c>
      <c r="J164" s="190" t="str">
        <f>IFERROR(VLOOKUP(G164, LEVEL_HELPER!$A:$B, 2, 0), "")</f>
        <v/>
      </c>
      <c r="K164" s="190" t="str">
        <f t="shared" ref="K164:L164" si="330">IF(OR(I164="", I164=0), "",
  IF(I164&lt;=2,   1,
  IF(I164&lt;=4,   2,
  IF(I164&lt;=5.5, 3, 4))))</f>
        <v/>
      </c>
      <c r="L164" s="190" t="str">
        <f t="shared" si="330"/>
        <v/>
      </c>
      <c r="M164" s="190" t="str">
        <f t="shared" si="4"/>
        <v>No Data</v>
      </c>
      <c r="N164" s="220" t="s">
        <v>943</v>
      </c>
      <c r="O164" s="220" t="s">
        <v>926</v>
      </c>
      <c r="P164" s="190">
        <f t="shared" si="5"/>
        <v>0</v>
      </c>
      <c r="Q164" s="210">
        <f t="shared" si="6"/>
        <v>0</v>
      </c>
      <c r="R164" s="210" t="str">
        <f t="shared" ref="R164:S164" si="331">IF(OR(P164="", P164=0), "",
  IF(P164&lt;=2,   1,
  IF(P164&lt;=4,   2,
  IF(P164&lt;=5.5, 3, 4))))</f>
        <v/>
      </c>
      <c r="S164" s="210" t="str">
        <f t="shared" si="331"/>
        <v/>
      </c>
      <c r="T164" s="210" t="str">
        <f t="shared" si="8"/>
        <v>No Data</v>
      </c>
      <c r="U164" s="210">
        <f t="shared" si="9"/>
        <v>1</v>
      </c>
      <c r="V164" s="210"/>
    </row>
    <row r="165">
      <c r="A165" s="220" t="s">
        <v>645</v>
      </c>
      <c r="B165" s="190" t="s">
        <v>646</v>
      </c>
      <c r="C165" s="223" t="s">
        <v>66</v>
      </c>
      <c r="D165" s="223" t="s">
        <v>859</v>
      </c>
      <c r="E165" s="190" t="s">
        <v>21</v>
      </c>
      <c r="F165" s="190"/>
      <c r="G165" s="190"/>
      <c r="H165" s="219">
        <f>IFERROR(
  MINIFS(ATTENDANCE_LOG!$F:$F,
         ATTENDANCE_LOG!$A:$A, C165,
         ATTENDANCE_LOG!$B:$B, E165),
"")</f>
        <v>45693.45833</v>
      </c>
      <c r="I165" s="190" t="str">
        <f>IFERROR(VLOOKUP(F165, LEVEL_HELPER!$A:$B, 2, 0), "")</f>
        <v/>
      </c>
      <c r="J165" s="190" t="str">
        <f>IFERROR(VLOOKUP(G165, LEVEL_HELPER!$A:$B, 2, 0), "")</f>
        <v/>
      </c>
      <c r="K165" s="190" t="str">
        <f t="shared" ref="K165:L165" si="332">IF(OR(I165="", I165=0), "",
  IF(I165&lt;=2,   1,
  IF(I165&lt;=4,   2,
  IF(I165&lt;=5.5, 3, 4))))</f>
        <v/>
      </c>
      <c r="L165" s="190" t="str">
        <f t="shared" si="332"/>
        <v/>
      </c>
      <c r="M165" s="190" t="str">
        <f t="shared" si="4"/>
        <v>No Data</v>
      </c>
      <c r="N165" s="220" t="s">
        <v>943</v>
      </c>
      <c r="O165" s="220" t="s">
        <v>926</v>
      </c>
      <c r="P165" s="190">
        <f t="shared" si="5"/>
        <v>0</v>
      </c>
      <c r="Q165" s="210">
        <f t="shared" si="6"/>
        <v>0</v>
      </c>
      <c r="R165" s="210" t="str">
        <f t="shared" ref="R165:S165" si="333">IF(OR(P165="", P165=0), "",
  IF(P165&lt;=2,   1,
  IF(P165&lt;=4,   2,
  IF(P165&lt;=5.5, 3, 4))))</f>
        <v/>
      </c>
      <c r="S165" s="210" t="str">
        <f t="shared" si="333"/>
        <v/>
      </c>
      <c r="T165" s="210" t="str">
        <f t="shared" si="8"/>
        <v>No Data</v>
      </c>
      <c r="U165" s="210">
        <f t="shared" si="9"/>
        <v>1</v>
      </c>
      <c r="V165" s="210"/>
    </row>
    <row r="166">
      <c r="A166" s="247" t="s">
        <v>142</v>
      </c>
      <c r="B166" s="217" t="s">
        <v>143</v>
      </c>
      <c r="C166" s="218" t="s">
        <v>67</v>
      </c>
      <c r="D166" s="218" t="s">
        <v>860</v>
      </c>
      <c r="E166" s="217" t="s">
        <v>21</v>
      </c>
      <c r="F166" s="190"/>
      <c r="G166" s="190"/>
      <c r="H166" s="219">
        <f>IFERROR(
  MINIFS(ATTENDANCE_LOG!$F:$F,
         ATTENDANCE_LOG!$A:$A, C166,
         ATTENDANCE_LOG!$B:$B, E166),
"")</f>
        <v>45639.45833</v>
      </c>
      <c r="I166" s="190" t="str">
        <f>IFERROR(VLOOKUP(F166, LEVEL_HELPER!$A:$B, 2, 0), "")</f>
        <v/>
      </c>
      <c r="J166" s="190" t="str">
        <f>IFERROR(VLOOKUP(G166, LEVEL_HELPER!$A:$B, 2, 0), "")</f>
        <v/>
      </c>
      <c r="K166" s="190" t="str">
        <f t="shared" ref="K166:L166" si="334">IF(OR(I166="", I166=0), "",
  IF(I166&lt;=2,   1,
  IF(I166&lt;=4,   2,
  IF(I166&lt;=5.5, 3, 4))))</f>
        <v/>
      </c>
      <c r="L166" s="190" t="str">
        <f t="shared" si="334"/>
        <v/>
      </c>
      <c r="M166" s="190" t="str">
        <f t="shared" si="4"/>
        <v>No Data</v>
      </c>
      <c r="N166" s="229" t="s">
        <v>948</v>
      </c>
      <c r="O166" s="220" t="s">
        <v>921</v>
      </c>
      <c r="P166" s="190">
        <f t="shared" si="5"/>
        <v>0</v>
      </c>
      <c r="Q166" s="210">
        <f t="shared" si="6"/>
        <v>0</v>
      </c>
      <c r="R166" s="210" t="str">
        <f t="shared" ref="R166:S166" si="335">IF(OR(P166="", P166=0), "",
  IF(P166&lt;=2,   1,
  IF(P166&lt;=4,   2,
  IF(P166&lt;=5.5, 3, 4))))</f>
        <v/>
      </c>
      <c r="S166" s="210" t="str">
        <f t="shared" si="335"/>
        <v/>
      </c>
      <c r="T166" s="210" t="str">
        <f t="shared" si="8"/>
        <v>No Data</v>
      </c>
      <c r="U166" s="210">
        <f t="shared" si="9"/>
        <v>1</v>
      </c>
      <c r="V166" s="210"/>
    </row>
    <row r="167">
      <c r="A167" s="220" t="s">
        <v>204</v>
      </c>
      <c r="B167" s="190" t="s">
        <v>205</v>
      </c>
      <c r="C167" s="223" t="s">
        <v>67</v>
      </c>
      <c r="D167" s="223" t="s">
        <v>860</v>
      </c>
      <c r="E167" s="190" t="s">
        <v>21</v>
      </c>
      <c r="F167" s="190"/>
      <c r="G167" s="190"/>
      <c r="H167" s="219">
        <f>IFERROR(
  MINIFS(ATTENDANCE_LOG!$F:$F,
         ATTENDANCE_LOG!$A:$A, C167,
         ATTENDANCE_LOG!$B:$B, E167),
"")</f>
        <v>45639.45833</v>
      </c>
      <c r="I167" s="190" t="str">
        <f>IFERROR(VLOOKUP(F167, LEVEL_HELPER!$A:$B, 2, 0), "")</f>
        <v/>
      </c>
      <c r="J167" s="190" t="str">
        <f>IFERROR(VLOOKUP(G167, LEVEL_HELPER!$A:$B, 2, 0), "")</f>
        <v/>
      </c>
      <c r="K167" s="190" t="str">
        <f t="shared" ref="K167:L167" si="336">IF(OR(I167="", I167=0), "",
  IF(I167&lt;=2,   1,
  IF(I167&lt;=4,   2,
  IF(I167&lt;=5.5, 3, 4))))</f>
        <v/>
      </c>
      <c r="L167" s="190" t="str">
        <f t="shared" si="336"/>
        <v/>
      </c>
      <c r="M167" s="190" t="str">
        <f t="shared" si="4"/>
        <v>No Data</v>
      </c>
      <c r="N167" s="229" t="s">
        <v>948</v>
      </c>
      <c r="O167" s="220" t="s">
        <v>923</v>
      </c>
      <c r="P167" s="190">
        <f t="shared" si="5"/>
        <v>0</v>
      </c>
      <c r="Q167" s="210">
        <f t="shared" si="6"/>
        <v>0</v>
      </c>
      <c r="R167" s="210" t="str">
        <f t="shared" ref="R167:S167" si="337">IF(OR(P167="", P167=0), "",
  IF(P167&lt;=2,   1,
  IF(P167&lt;=4,   2,
  IF(P167&lt;=5.5, 3, 4))))</f>
        <v/>
      </c>
      <c r="S167" s="210" t="str">
        <f t="shared" si="337"/>
        <v/>
      </c>
      <c r="T167" s="210" t="str">
        <f t="shared" si="8"/>
        <v>No Data</v>
      </c>
      <c r="U167" s="210">
        <f t="shared" si="9"/>
        <v>1</v>
      </c>
      <c r="V167" s="210"/>
    </row>
    <row r="168">
      <c r="A168" s="220" t="s">
        <v>222</v>
      </c>
      <c r="B168" s="190" t="s">
        <v>223</v>
      </c>
      <c r="C168" s="223" t="s">
        <v>67</v>
      </c>
      <c r="D168" s="223" t="s">
        <v>860</v>
      </c>
      <c r="E168" s="190" t="s">
        <v>21</v>
      </c>
      <c r="F168" s="190"/>
      <c r="G168" s="190"/>
      <c r="H168" s="219">
        <f>IFERROR(
  MINIFS(ATTENDANCE_LOG!$F:$F,
         ATTENDANCE_LOG!$A:$A, C168,
         ATTENDANCE_LOG!$B:$B, E168),
"")</f>
        <v>45639.45833</v>
      </c>
      <c r="I168" s="190" t="str">
        <f>IFERROR(VLOOKUP(F168, LEVEL_HELPER!$A:$B, 2, 0), "")</f>
        <v/>
      </c>
      <c r="J168" s="190" t="str">
        <f>IFERROR(VLOOKUP(G168, LEVEL_HELPER!$A:$B, 2, 0), "")</f>
        <v/>
      </c>
      <c r="K168" s="190" t="str">
        <f t="shared" ref="K168:L168" si="338">IF(OR(I168="", I168=0), "",
  IF(I168&lt;=2,   1,
  IF(I168&lt;=4,   2,
  IF(I168&lt;=5.5, 3, 4))))</f>
        <v/>
      </c>
      <c r="L168" s="190" t="str">
        <f t="shared" si="338"/>
        <v/>
      </c>
      <c r="M168" s="190" t="str">
        <f t="shared" si="4"/>
        <v>No Data</v>
      </c>
      <c r="N168" s="229" t="s">
        <v>948</v>
      </c>
      <c r="O168" s="220" t="s">
        <v>921</v>
      </c>
      <c r="P168" s="190">
        <f t="shared" si="5"/>
        <v>0</v>
      </c>
      <c r="Q168" s="210">
        <f t="shared" si="6"/>
        <v>0</v>
      </c>
      <c r="R168" s="210" t="str">
        <f t="shared" ref="R168:S168" si="339">IF(OR(P168="", P168=0), "",
  IF(P168&lt;=2,   1,
  IF(P168&lt;=4,   2,
  IF(P168&lt;=5.5, 3, 4))))</f>
        <v/>
      </c>
      <c r="S168" s="210" t="str">
        <f t="shared" si="339"/>
        <v/>
      </c>
      <c r="T168" s="210" t="str">
        <f t="shared" si="8"/>
        <v>No Data</v>
      </c>
      <c r="U168" s="210">
        <f t="shared" si="9"/>
        <v>1</v>
      </c>
      <c r="V168" s="210"/>
    </row>
    <row r="169">
      <c r="A169" s="220" t="s">
        <v>292</v>
      </c>
      <c r="B169" s="190" t="s">
        <v>293</v>
      </c>
      <c r="C169" s="223" t="s">
        <v>67</v>
      </c>
      <c r="D169" s="223" t="s">
        <v>860</v>
      </c>
      <c r="E169" s="190" t="s">
        <v>21</v>
      </c>
      <c r="F169" s="190"/>
      <c r="G169" s="190"/>
      <c r="H169" s="219">
        <f>IFERROR(
  MINIFS(ATTENDANCE_LOG!$F:$F,
         ATTENDANCE_LOG!$A:$A, C169,
         ATTENDANCE_LOG!$B:$B, E169),
"")</f>
        <v>45639.45833</v>
      </c>
      <c r="I169" s="190" t="str">
        <f>IFERROR(VLOOKUP(F169, LEVEL_HELPER!$A:$B, 2, 0), "")</f>
        <v/>
      </c>
      <c r="J169" s="190" t="str">
        <f>IFERROR(VLOOKUP(G169, LEVEL_HELPER!$A:$B, 2, 0), "")</f>
        <v/>
      </c>
      <c r="K169" s="190" t="str">
        <f t="shared" ref="K169:L169" si="340">IF(OR(I169="", I169=0), "",
  IF(I169&lt;=2,   1,
  IF(I169&lt;=4,   2,
  IF(I169&lt;=5.5, 3, 4))))</f>
        <v/>
      </c>
      <c r="L169" s="190" t="str">
        <f t="shared" si="340"/>
        <v/>
      </c>
      <c r="M169" s="190" t="str">
        <f t="shared" si="4"/>
        <v>No Data</v>
      </c>
      <c r="N169" s="229" t="s">
        <v>948</v>
      </c>
      <c r="O169" s="220" t="s">
        <v>921</v>
      </c>
      <c r="P169" s="190">
        <f t="shared" si="5"/>
        <v>0</v>
      </c>
      <c r="Q169" s="210">
        <f t="shared" si="6"/>
        <v>0</v>
      </c>
      <c r="R169" s="210" t="str">
        <f t="shared" ref="R169:S169" si="341">IF(OR(P169="", P169=0), "",
  IF(P169&lt;=2,   1,
  IF(P169&lt;=4,   2,
  IF(P169&lt;=5.5, 3, 4))))</f>
        <v/>
      </c>
      <c r="S169" s="210" t="str">
        <f t="shared" si="341"/>
        <v/>
      </c>
      <c r="T169" s="210" t="str">
        <f t="shared" si="8"/>
        <v>No Data</v>
      </c>
      <c r="U169" s="210">
        <f t="shared" si="9"/>
        <v>1</v>
      </c>
      <c r="V169" s="210"/>
    </row>
    <row r="170">
      <c r="A170" s="220" t="s">
        <v>348</v>
      </c>
      <c r="B170" s="190" t="s">
        <v>349</v>
      </c>
      <c r="C170" s="223" t="s">
        <v>67</v>
      </c>
      <c r="D170" s="223" t="s">
        <v>860</v>
      </c>
      <c r="E170" s="190" t="s">
        <v>21</v>
      </c>
      <c r="F170" s="13" t="s">
        <v>917</v>
      </c>
      <c r="G170" s="13" t="s">
        <v>932</v>
      </c>
      <c r="H170" s="219">
        <f>IFERROR(
  MINIFS(ATTENDANCE_LOG!$F:$F,
         ATTENDANCE_LOG!$A:$A, C170,
         ATTENDANCE_LOG!$B:$B, E170),
"")</f>
        <v>45639.45833</v>
      </c>
      <c r="I170" s="190">
        <f>IFERROR(VLOOKUP(F170, LEVEL_HELPER!$A:$B, 2, 0), "")</f>
        <v>2.5</v>
      </c>
      <c r="J170" s="190">
        <f>IFERROR(VLOOKUP(G170, LEVEL_HELPER!$A:$B, 2, 0), "")</f>
        <v>4.5</v>
      </c>
      <c r="K170" s="190">
        <f t="shared" ref="K170:L170" si="342">IF(OR(I170="", I170=0), "",
  IF(I170&lt;=2,   1,
  IF(I170&lt;=4,   2,
  IF(I170&lt;=5.5, 3, 4))))</f>
        <v>2</v>
      </c>
      <c r="L170" s="190">
        <f t="shared" si="342"/>
        <v>3</v>
      </c>
      <c r="M170" s="190" t="str">
        <f t="shared" si="4"/>
        <v>Lv2 → Lv3</v>
      </c>
      <c r="N170" s="229" t="s">
        <v>948</v>
      </c>
      <c r="O170" s="220" t="s">
        <v>921</v>
      </c>
      <c r="P170" s="190">
        <f t="shared" si="5"/>
        <v>2.5</v>
      </c>
      <c r="Q170" s="210">
        <f t="shared" si="6"/>
        <v>4.5</v>
      </c>
      <c r="R170" s="210">
        <f t="shared" ref="R170:S170" si="343">IF(OR(P170="", P170=0), "",
  IF(P170&lt;=2,   1,
  IF(P170&lt;=4,   2,
  IF(P170&lt;=5.5, 3, 4))))</f>
        <v>2</v>
      </c>
      <c r="S170" s="210">
        <f t="shared" si="343"/>
        <v>3</v>
      </c>
      <c r="T170" s="210" t="str">
        <f t="shared" si="8"/>
        <v>Lv2 → Lv3</v>
      </c>
      <c r="U170" s="210">
        <f t="shared" si="9"/>
        <v>1</v>
      </c>
      <c r="V170" s="210"/>
    </row>
    <row r="171">
      <c r="A171" s="220" t="s">
        <v>480</v>
      </c>
      <c r="B171" s="190" t="s">
        <v>481</v>
      </c>
      <c r="C171" s="223" t="s">
        <v>67</v>
      </c>
      <c r="D171" s="223" t="s">
        <v>860</v>
      </c>
      <c r="E171" s="190" t="s">
        <v>21</v>
      </c>
      <c r="F171" s="190"/>
      <c r="G171" s="190"/>
      <c r="H171" s="219">
        <f>IFERROR(
  MINIFS(ATTENDANCE_LOG!$F:$F,
         ATTENDANCE_LOG!$A:$A, C171,
         ATTENDANCE_LOG!$B:$B, E171),
"")</f>
        <v>45639.45833</v>
      </c>
      <c r="I171" s="190" t="str">
        <f>IFERROR(VLOOKUP(F171, LEVEL_HELPER!$A:$B, 2, 0), "")</f>
        <v/>
      </c>
      <c r="J171" s="190" t="str">
        <f>IFERROR(VLOOKUP(G171, LEVEL_HELPER!$A:$B, 2, 0), "")</f>
        <v/>
      </c>
      <c r="K171" s="190" t="str">
        <f t="shared" ref="K171:L171" si="344">IF(OR(I171="", I171=0), "",
  IF(I171&lt;=2,   1,
  IF(I171&lt;=4,   2,
  IF(I171&lt;=5.5, 3, 4))))</f>
        <v/>
      </c>
      <c r="L171" s="190" t="str">
        <f t="shared" si="344"/>
        <v/>
      </c>
      <c r="M171" s="190" t="str">
        <f t="shared" si="4"/>
        <v>No Data</v>
      </c>
      <c r="N171" s="229" t="s">
        <v>948</v>
      </c>
      <c r="O171" s="220" t="s">
        <v>921</v>
      </c>
      <c r="P171" s="190">
        <f t="shared" si="5"/>
        <v>0</v>
      </c>
      <c r="Q171" s="210">
        <f t="shared" si="6"/>
        <v>0</v>
      </c>
      <c r="R171" s="210" t="str">
        <f t="shared" ref="R171:S171" si="345">IF(OR(P171="", P171=0), "",
  IF(P171&lt;=2,   1,
  IF(P171&lt;=4,   2,
  IF(P171&lt;=5.5, 3, 4))))</f>
        <v/>
      </c>
      <c r="S171" s="210" t="str">
        <f t="shared" si="345"/>
        <v/>
      </c>
      <c r="T171" s="210" t="str">
        <f t="shared" si="8"/>
        <v>No Data</v>
      </c>
      <c r="U171" s="210">
        <f t="shared" si="9"/>
        <v>1</v>
      </c>
      <c r="V171" s="210"/>
    </row>
    <row r="172">
      <c r="A172" s="220" t="s">
        <v>564</v>
      </c>
      <c r="B172" s="190" t="s">
        <v>565</v>
      </c>
      <c r="C172" s="223" t="s">
        <v>67</v>
      </c>
      <c r="D172" s="223" t="s">
        <v>860</v>
      </c>
      <c r="E172" s="190" t="s">
        <v>21</v>
      </c>
      <c r="F172" s="190"/>
      <c r="G172" s="190"/>
      <c r="H172" s="219">
        <f>IFERROR(
  MINIFS(ATTENDANCE_LOG!$F:$F,
         ATTENDANCE_LOG!$A:$A, C172,
         ATTENDANCE_LOG!$B:$B, E172),
"")</f>
        <v>45639.45833</v>
      </c>
      <c r="I172" s="190" t="str">
        <f>IFERROR(VLOOKUP(F172, LEVEL_HELPER!$A:$B, 2, 0), "")</f>
        <v/>
      </c>
      <c r="J172" s="190" t="str">
        <f>IFERROR(VLOOKUP(G172, LEVEL_HELPER!$A:$B, 2, 0), "")</f>
        <v/>
      </c>
      <c r="K172" s="190" t="str">
        <f t="shared" ref="K172:L172" si="346">IF(OR(I172="", I172=0), "",
  IF(I172&lt;=2,   1,
  IF(I172&lt;=4,   2,
  IF(I172&lt;=5.5, 3, 4))))</f>
        <v/>
      </c>
      <c r="L172" s="190" t="str">
        <f t="shared" si="346"/>
        <v/>
      </c>
      <c r="M172" s="190" t="str">
        <f t="shared" si="4"/>
        <v>No Data</v>
      </c>
      <c r="N172" s="229" t="s">
        <v>949</v>
      </c>
      <c r="O172" s="220" t="s">
        <v>921</v>
      </c>
      <c r="P172" s="190">
        <f t="shared" si="5"/>
        <v>0</v>
      </c>
      <c r="Q172" s="210">
        <f t="shared" si="6"/>
        <v>0</v>
      </c>
      <c r="R172" s="210" t="str">
        <f t="shared" ref="R172:S172" si="347">IF(OR(P172="", P172=0), "",
  IF(P172&lt;=2,   1,
  IF(P172&lt;=4,   2,
  IF(P172&lt;=5.5, 3, 4))))</f>
        <v/>
      </c>
      <c r="S172" s="210" t="str">
        <f t="shared" si="347"/>
        <v/>
      </c>
      <c r="T172" s="210" t="str">
        <f t="shared" si="8"/>
        <v>No Data</v>
      </c>
      <c r="U172" s="210">
        <f t="shared" si="9"/>
        <v>1</v>
      </c>
      <c r="V172" s="210"/>
    </row>
    <row r="173">
      <c r="A173" s="220" t="s">
        <v>647</v>
      </c>
      <c r="B173" s="190" t="s">
        <v>648</v>
      </c>
      <c r="C173" s="223" t="s">
        <v>67</v>
      </c>
      <c r="D173" s="223" t="s">
        <v>860</v>
      </c>
      <c r="E173" s="190" t="s">
        <v>21</v>
      </c>
      <c r="F173" s="190"/>
      <c r="G173" s="190"/>
      <c r="H173" s="219">
        <f>IFERROR(
  MINIFS(ATTENDANCE_LOG!$F:$F,
         ATTENDANCE_LOG!$A:$A, C173,
         ATTENDANCE_LOG!$B:$B, E173),
"")</f>
        <v>45639.45833</v>
      </c>
      <c r="I173" s="190" t="str">
        <f>IFERROR(VLOOKUP(F173, LEVEL_HELPER!$A:$B, 2, 0), "")</f>
        <v/>
      </c>
      <c r="J173" s="190" t="str">
        <f>IFERROR(VLOOKUP(G173, LEVEL_HELPER!$A:$B, 2, 0), "")</f>
        <v/>
      </c>
      <c r="K173" s="190" t="str">
        <f t="shared" ref="K173:L173" si="348">IF(OR(I173="", I173=0), "",
  IF(I173&lt;=2,   1,
  IF(I173&lt;=4,   2,
  IF(I173&lt;=5.5, 3, 4))))</f>
        <v/>
      </c>
      <c r="L173" s="190" t="str">
        <f t="shared" si="348"/>
        <v/>
      </c>
      <c r="M173" s="190" t="str">
        <f t="shared" si="4"/>
        <v>No Data</v>
      </c>
      <c r="N173" s="229" t="s">
        <v>949</v>
      </c>
      <c r="O173" s="220" t="s">
        <v>921</v>
      </c>
      <c r="P173" s="190">
        <f t="shared" si="5"/>
        <v>0</v>
      </c>
      <c r="Q173" s="210">
        <f t="shared" si="6"/>
        <v>0</v>
      </c>
      <c r="R173" s="210" t="str">
        <f t="shared" ref="R173:S173" si="349">IF(OR(P173="", P173=0), "",
  IF(P173&lt;=2,   1,
  IF(P173&lt;=4,   2,
  IF(P173&lt;=5.5, 3, 4))))</f>
        <v/>
      </c>
      <c r="S173" s="210" t="str">
        <f t="shared" si="349"/>
        <v/>
      </c>
      <c r="T173" s="210" t="str">
        <f t="shared" si="8"/>
        <v>No Data</v>
      </c>
      <c r="U173" s="210">
        <f t="shared" si="9"/>
        <v>1</v>
      </c>
      <c r="V173" s="210"/>
    </row>
    <row r="174">
      <c r="A174" s="247" t="s">
        <v>556</v>
      </c>
      <c r="B174" s="217" t="s">
        <v>557</v>
      </c>
      <c r="C174" s="218" t="s">
        <v>68</v>
      </c>
      <c r="D174" s="218" t="s">
        <v>861</v>
      </c>
      <c r="E174" s="217" t="s">
        <v>21</v>
      </c>
      <c r="F174" s="13" t="s">
        <v>917</v>
      </c>
      <c r="G174" s="13" t="s">
        <v>935</v>
      </c>
      <c r="H174" s="219">
        <f>IFERROR(
  MINIFS(ATTENDANCE_LOG!$F:$F,
         ATTENDANCE_LOG!$A:$A, C174,
         ATTENDANCE_LOG!$B:$B, E174),
"")</f>
        <v>45645.41667</v>
      </c>
      <c r="I174" s="190">
        <f>IFERROR(VLOOKUP(F174, LEVEL_HELPER!$A:$B, 2, 0), "")</f>
        <v>2.5</v>
      </c>
      <c r="J174" s="190">
        <f>IFERROR(VLOOKUP(G174, LEVEL_HELPER!$A:$B, 2, 0), "")</f>
        <v>3.5</v>
      </c>
      <c r="K174" s="190">
        <f t="shared" ref="K174:L174" si="350">IF(OR(I174="", I174=0), "",
  IF(I174&lt;=2,   1,
  IF(I174&lt;=4,   2,
  IF(I174&lt;=5.5, 3, 4))))</f>
        <v>2</v>
      </c>
      <c r="L174" s="190">
        <f t="shared" si="350"/>
        <v>2</v>
      </c>
      <c r="M174" s="190" t="str">
        <f t="shared" si="4"/>
        <v>Progress within level</v>
      </c>
      <c r="N174" s="220" t="s">
        <v>943</v>
      </c>
      <c r="O174" s="220" t="s">
        <v>925</v>
      </c>
      <c r="P174" s="190">
        <f t="shared" si="5"/>
        <v>2.5</v>
      </c>
      <c r="Q174" s="210">
        <f t="shared" si="6"/>
        <v>3.5</v>
      </c>
      <c r="R174" s="210">
        <f t="shared" ref="R174:S174" si="351">IF(OR(P174="", P174=0), "",
  IF(P174&lt;=2,   1,
  IF(P174&lt;=4,   2,
  IF(P174&lt;=5.5, 3, 4))))</f>
        <v>2</v>
      </c>
      <c r="S174" s="210">
        <f t="shared" si="351"/>
        <v>2</v>
      </c>
      <c r="T174" s="210" t="str">
        <f t="shared" si="8"/>
        <v>Progress within level</v>
      </c>
      <c r="U174" s="210">
        <f t="shared" si="9"/>
        <v>1</v>
      </c>
      <c r="V174" s="210"/>
    </row>
    <row r="175">
      <c r="A175" s="220" t="s">
        <v>218</v>
      </c>
      <c r="B175" s="190" t="s">
        <v>219</v>
      </c>
      <c r="C175" s="223" t="s">
        <v>68</v>
      </c>
      <c r="D175" s="223" t="s">
        <v>861</v>
      </c>
      <c r="E175" s="190" t="s">
        <v>21</v>
      </c>
      <c r="F175" s="13" t="s">
        <v>927</v>
      </c>
      <c r="G175" s="13" t="s">
        <v>935</v>
      </c>
      <c r="H175" s="219">
        <f>IFERROR(
  MINIFS(ATTENDANCE_LOG!$F:$F,
         ATTENDANCE_LOG!$A:$A, C175,
         ATTENDANCE_LOG!$B:$B, E175),
"")</f>
        <v>45645.41667</v>
      </c>
      <c r="I175" s="190">
        <f>IFERROR(VLOOKUP(F175, LEVEL_HELPER!$A:$B, 2, 0), "")</f>
        <v>1</v>
      </c>
      <c r="J175" s="190">
        <f>IFERROR(VLOOKUP(G175, LEVEL_HELPER!$A:$B, 2, 0), "")</f>
        <v>3.5</v>
      </c>
      <c r="K175" s="190">
        <f t="shared" ref="K175:L175" si="352">IF(OR(I175="", I175=0), "",
  IF(I175&lt;=2,   1,
  IF(I175&lt;=4,   2,
  IF(I175&lt;=5.5, 3, 4))))</f>
        <v>1</v>
      </c>
      <c r="L175" s="190">
        <f t="shared" si="352"/>
        <v>2</v>
      </c>
      <c r="M175" s="190" t="str">
        <f t="shared" si="4"/>
        <v>Lv1 → Lv2</v>
      </c>
      <c r="N175" s="220" t="s">
        <v>943</v>
      </c>
      <c r="O175" s="220" t="s">
        <v>925</v>
      </c>
      <c r="P175" s="190">
        <f t="shared" si="5"/>
        <v>1</v>
      </c>
      <c r="Q175" s="210">
        <f t="shared" si="6"/>
        <v>3.5</v>
      </c>
      <c r="R175" s="210">
        <f t="shared" ref="R175:S175" si="353">IF(OR(P175="", P175=0), "",
  IF(P175&lt;=2,   1,
  IF(P175&lt;=4,   2,
  IF(P175&lt;=5.5, 3, 4))))</f>
        <v>1</v>
      </c>
      <c r="S175" s="210">
        <f t="shared" si="353"/>
        <v>2</v>
      </c>
      <c r="T175" s="210" t="str">
        <f t="shared" si="8"/>
        <v>Lv1 → Lv2</v>
      </c>
      <c r="U175" s="210">
        <f t="shared" si="9"/>
        <v>1</v>
      </c>
      <c r="V175" s="210"/>
    </row>
    <row r="176">
      <c r="A176" s="220" t="s">
        <v>374</v>
      </c>
      <c r="B176" s="190" t="s">
        <v>375</v>
      </c>
      <c r="C176" s="223" t="s">
        <v>68</v>
      </c>
      <c r="D176" s="223" t="s">
        <v>861</v>
      </c>
      <c r="E176" s="190" t="s">
        <v>21</v>
      </c>
      <c r="F176" s="190"/>
      <c r="G176" s="190"/>
      <c r="H176" s="219">
        <f>IFERROR(
  MINIFS(ATTENDANCE_LOG!$F:$F,
         ATTENDANCE_LOG!$A:$A, C176,
         ATTENDANCE_LOG!$B:$B, E176),
"")</f>
        <v>45645.41667</v>
      </c>
      <c r="I176" s="190" t="str">
        <f>IFERROR(VLOOKUP(F176, LEVEL_HELPER!$A:$B, 2, 0), "")</f>
        <v/>
      </c>
      <c r="J176" s="190" t="str">
        <f>IFERROR(VLOOKUP(G176, LEVEL_HELPER!$A:$B, 2, 0), "")</f>
        <v/>
      </c>
      <c r="K176" s="190" t="str">
        <f t="shared" ref="K176:L176" si="354">IF(OR(I176="", I176=0), "",
  IF(I176&lt;=2,   1,
  IF(I176&lt;=4,   2,
  IF(I176&lt;=5.5, 3, 4))))</f>
        <v/>
      </c>
      <c r="L176" s="190" t="str">
        <f t="shared" si="354"/>
        <v/>
      </c>
      <c r="M176" s="190" t="str">
        <f t="shared" si="4"/>
        <v>No Data</v>
      </c>
      <c r="N176" s="220" t="s">
        <v>943</v>
      </c>
      <c r="O176" s="220" t="s">
        <v>925</v>
      </c>
      <c r="P176" s="190">
        <f t="shared" si="5"/>
        <v>0</v>
      </c>
      <c r="Q176" s="210">
        <f t="shared" si="6"/>
        <v>0</v>
      </c>
      <c r="R176" s="210" t="str">
        <f t="shared" ref="R176:S176" si="355">IF(OR(P176="", P176=0), "",
  IF(P176&lt;=2,   1,
  IF(P176&lt;=4,   2,
  IF(P176&lt;=5.5, 3, 4))))</f>
        <v/>
      </c>
      <c r="S176" s="210" t="str">
        <f t="shared" si="355"/>
        <v/>
      </c>
      <c r="T176" s="210" t="str">
        <f t="shared" si="8"/>
        <v>No Data</v>
      </c>
      <c r="U176" s="210">
        <f t="shared" si="9"/>
        <v>1</v>
      </c>
      <c r="V176" s="210"/>
    </row>
    <row r="177">
      <c r="A177" s="220" t="s">
        <v>643</v>
      </c>
      <c r="B177" s="190" t="s">
        <v>644</v>
      </c>
      <c r="C177" s="223" t="s">
        <v>68</v>
      </c>
      <c r="D177" s="223" t="s">
        <v>861</v>
      </c>
      <c r="E177" s="190" t="s">
        <v>21</v>
      </c>
      <c r="F177" s="13" t="s">
        <v>927</v>
      </c>
      <c r="G177" s="13" t="s">
        <v>918</v>
      </c>
      <c r="H177" s="219">
        <f>IFERROR(
  MINIFS(ATTENDANCE_LOG!$F:$F,
         ATTENDANCE_LOG!$A:$A, C177,
         ATTENDANCE_LOG!$B:$B, E177),
"")</f>
        <v>45645.41667</v>
      </c>
      <c r="I177" s="190">
        <f>IFERROR(VLOOKUP(F177, LEVEL_HELPER!$A:$B, 2, 0), "")</f>
        <v>1</v>
      </c>
      <c r="J177" s="190">
        <f>IFERROR(VLOOKUP(G177, LEVEL_HELPER!$A:$B, 2, 0), "")</f>
        <v>3</v>
      </c>
      <c r="K177" s="190">
        <f t="shared" ref="K177:L177" si="356">IF(OR(I177="", I177=0), "",
  IF(I177&lt;=2,   1,
  IF(I177&lt;=4,   2,
  IF(I177&lt;=5.5, 3, 4))))</f>
        <v>1</v>
      </c>
      <c r="L177" s="190">
        <f t="shared" si="356"/>
        <v>2</v>
      </c>
      <c r="M177" s="190" t="str">
        <f t="shared" si="4"/>
        <v>Lv1 → Lv2</v>
      </c>
      <c r="N177" s="220" t="s">
        <v>943</v>
      </c>
      <c r="O177" s="220" t="s">
        <v>925</v>
      </c>
      <c r="P177" s="190">
        <f t="shared" si="5"/>
        <v>1</v>
      </c>
      <c r="Q177" s="210">
        <f t="shared" si="6"/>
        <v>3</v>
      </c>
      <c r="R177" s="210">
        <f t="shared" ref="R177:S177" si="357">IF(OR(P177="", P177=0), "",
  IF(P177&lt;=2,   1,
  IF(P177&lt;=4,   2,
  IF(P177&lt;=5.5, 3, 4))))</f>
        <v>1</v>
      </c>
      <c r="S177" s="210">
        <f t="shared" si="357"/>
        <v>2</v>
      </c>
      <c r="T177" s="210" t="str">
        <f t="shared" si="8"/>
        <v>Lv1 → Lv2</v>
      </c>
      <c r="U177" s="210">
        <f t="shared" si="9"/>
        <v>1</v>
      </c>
      <c r="V177" s="210"/>
    </row>
    <row r="178">
      <c r="A178" s="247" t="s">
        <v>556</v>
      </c>
      <c r="B178" s="217" t="s">
        <v>557</v>
      </c>
      <c r="C178" s="218" t="s">
        <v>68</v>
      </c>
      <c r="D178" s="218" t="s">
        <v>861</v>
      </c>
      <c r="E178" s="217" t="s">
        <v>22</v>
      </c>
      <c r="F178" s="13" t="s">
        <v>935</v>
      </c>
      <c r="G178" s="190"/>
      <c r="H178" s="219">
        <f>IFERROR(
  MINIFS(ATTENDANCE_LOG!$F:$F,
         ATTENDANCE_LOG!$A:$A, C178,
         ATTENDANCE_LOG!$B:$B, E178),
"")</f>
        <v>45887.375</v>
      </c>
      <c r="I178" s="190">
        <f>IFERROR(VLOOKUP(F178, LEVEL_HELPER!$A:$B, 2, 0), "")</f>
        <v>3.5</v>
      </c>
      <c r="J178" s="190" t="str">
        <f>IFERROR(VLOOKUP(G178, LEVEL_HELPER!$A:$B, 2, 0), "")</f>
        <v/>
      </c>
      <c r="K178" s="190">
        <f t="shared" ref="K178:L178" si="358">IF(OR(I178="", I178=0), "",
  IF(I178&lt;=2,   1,
  IF(I178&lt;=4,   2,
  IF(I178&lt;=5.5, 3, 4))))</f>
        <v>2</v>
      </c>
      <c r="L178" s="190" t="str">
        <f t="shared" si="358"/>
        <v/>
      </c>
      <c r="M178" s="190" t="str">
        <f t="shared" si="4"/>
        <v>No Data</v>
      </c>
      <c r="N178" s="220" t="s">
        <v>943</v>
      </c>
      <c r="O178" s="220" t="s">
        <v>925</v>
      </c>
      <c r="P178" s="190">
        <f t="shared" si="5"/>
        <v>2.5</v>
      </c>
      <c r="Q178" s="210">
        <f t="shared" si="6"/>
        <v>3.5</v>
      </c>
      <c r="R178" s="210">
        <f t="shared" ref="R178:S178" si="359">IF(OR(P178="", P178=0), "",
  IF(P178&lt;=2,   1,
  IF(P178&lt;=4,   2,
  IF(P178&lt;=5.5, 3, 4))))</f>
        <v>2</v>
      </c>
      <c r="S178" s="210">
        <f t="shared" si="359"/>
        <v>2</v>
      </c>
      <c r="T178" s="210" t="str">
        <f t="shared" si="8"/>
        <v>Progress within level</v>
      </c>
      <c r="U178" s="210">
        <f t="shared" si="9"/>
        <v>0</v>
      </c>
      <c r="V178" s="210"/>
    </row>
    <row r="179">
      <c r="A179" s="220" t="s">
        <v>218</v>
      </c>
      <c r="B179" s="190" t="s">
        <v>219</v>
      </c>
      <c r="C179" s="223" t="s">
        <v>68</v>
      </c>
      <c r="D179" s="223" t="s">
        <v>861</v>
      </c>
      <c r="E179" s="190" t="s">
        <v>22</v>
      </c>
      <c r="F179" s="13" t="s">
        <v>927</v>
      </c>
      <c r="G179" s="190"/>
      <c r="H179" s="219">
        <f>IFERROR(
  MINIFS(ATTENDANCE_LOG!$F:$F,
         ATTENDANCE_LOG!$A:$A, C179,
         ATTENDANCE_LOG!$B:$B, E179),
"")</f>
        <v>45887.375</v>
      </c>
      <c r="I179" s="190">
        <f>IFERROR(VLOOKUP(F179, LEVEL_HELPER!$A:$B, 2, 0), "")</f>
        <v>1</v>
      </c>
      <c r="J179" s="190" t="str">
        <f>IFERROR(VLOOKUP(G179, LEVEL_HELPER!$A:$B, 2, 0), "")</f>
        <v/>
      </c>
      <c r="K179" s="190">
        <f t="shared" ref="K179:L179" si="360">IF(OR(I179="", I179=0), "",
  IF(I179&lt;=2,   1,
  IF(I179&lt;=4,   2,
  IF(I179&lt;=5.5, 3, 4))))</f>
        <v>1</v>
      </c>
      <c r="L179" s="190" t="str">
        <f t="shared" si="360"/>
        <v/>
      </c>
      <c r="M179" s="190" t="str">
        <f t="shared" si="4"/>
        <v>No Data</v>
      </c>
      <c r="N179" s="220" t="s">
        <v>943</v>
      </c>
      <c r="O179" s="220" t="s">
        <v>925</v>
      </c>
      <c r="P179" s="190">
        <f t="shared" si="5"/>
        <v>1</v>
      </c>
      <c r="Q179" s="210">
        <f t="shared" si="6"/>
        <v>3.5</v>
      </c>
      <c r="R179" s="210">
        <f t="shared" ref="R179:S179" si="361">IF(OR(P179="", P179=0), "",
  IF(P179&lt;=2,   1,
  IF(P179&lt;=4,   2,
  IF(P179&lt;=5.5, 3, 4))))</f>
        <v>1</v>
      </c>
      <c r="S179" s="210">
        <f t="shared" si="361"/>
        <v>2</v>
      </c>
      <c r="T179" s="210" t="str">
        <f t="shared" si="8"/>
        <v>Lv1 → Lv2</v>
      </c>
      <c r="U179" s="210">
        <f t="shared" si="9"/>
        <v>0</v>
      </c>
      <c r="V179" s="210"/>
    </row>
    <row r="180">
      <c r="A180" s="220" t="s">
        <v>323</v>
      </c>
      <c r="B180" s="190" t="s">
        <v>324</v>
      </c>
      <c r="C180" s="223" t="s">
        <v>68</v>
      </c>
      <c r="D180" s="223" t="s">
        <v>861</v>
      </c>
      <c r="E180" s="190" t="s">
        <v>22</v>
      </c>
      <c r="F180" s="13" t="s">
        <v>927</v>
      </c>
      <c r="G180" s="190"/>
      <c r="H180" s="219">
        <f>IFERROR(
  MINIFS(ATTENDANCE_LOG!$F:$F,
         ATTENDANCE_LOG!$A:$A, C180,
         ATTENDANCE_LOG!$B:$B, E180),
"")</f>
        <v>45887.375</v>
      </c>
      <c r="I180" s="190">
        <f>IFERROR(VLOOKUP(F180, LEVEL_HELPER!$A:$B, 2, 0), "")</f>
        <v>1</v>
      </c>
      <c r="J180" s="190" t="str">
        <f>IFERROR(VLOOKUP(G180, LEVEL_HELPER!$A:$B, 2, 0), "")</f>
        <v/>
      </c>
      <c r="K180" s="190">
        <f t="shared" ref="K180:L180" si="362">IF(OR(I180="", I180=0), "",
  IF(I180&lt;=2,   1,
  IF(I180&lt;=4,   2,
  IF(I180&lt;=5.5, 3, 4))))</f>
        <v>1</v>
      </c>
      <c r="L180" s="190" t="str">
        <f t="shared" si="362"/>
        <v/>
      </c>
      <c r="M180" s="190" t="str">
        <f t="shared" si="4"/>
        <v>No Data</v>
      </c>
      <c r="N180" s="220" t="s">
        <v>943</v>
      </c>
      <c r="O180" s="220" t="s">
        <v>925</v>
      </c>
      <c r="P180" s="190">
        <f t="shared" si="5"/>
        <v>1</v>
      </c>
      <c r="Q180" s="210">
        <f t="shared" si="6"/>
        <v>1</v>
      </c>
      <c r="R180" s="210">
        <f t="shared" ref="R180:S180" si="363">IF(OR(P180="", P180=0), "",
  IF(P180&lt;=2,   1,
  IF(P180&lt;=4,   2,
  IF(P180&lt;=5.5, 3, 4))))</f>
        <v>1</v>
      </c>
      <c r="S180" s="210">
        <f t="shared" si="363"/>
        <v>1</v>
      </c>
      <c r="T180" s="210" t="str">
        <f t="shared" si="8"/>
        <v>No Progress</v>
      </c>
      <c r="U180" s="210">
        <f t="shared" si="9"/>
        <v>1</v>
      </c>
      <c r="V180" s="210"/>
    </row>
    <row r="181">
      <c r="A181" s="220" t="s">
        <v>639</v>
      </c>
      <c r="B181" s="190" t="s">
        <v>640</v>
      </c>
      <c r="C181" s="223" t="s">
        <v>68</v>
      </c>
      <c r="D181" s="223" t="s">
        <v>861</v>
      </c>
      <c r="E181" s="190" t="s">
        <v>22</v>
      </c>
      <c r="F181" s="13" t="s">
        <v>917</v>
      </c>
      <c r="G181" s="190"/>
      <c r="H181" s="219">
        <f>IFERROR(
  MINIFS(ATTENDANCE_LOG!$F:$F,
         ATTENDANCE_LOG!$A:$A, C181,
         ATTENDANCE_LOG!$B:$B, E181),
"")</f>
        <v>45887.375</v>
      </c>
      <c r="I181" s="190">
        <f>IFERROR(VLOOKUP(F181, LEVEL_HELPER!$A:$B, 2, 0), "")</f>
        <v>2.5</v>
      </c>
      <c r="J181" s="190" t="str">
        <f>IFERROR(VLOOKUP(G181, LEVEL_HELPER!$A:$B, 2, 0), "")</f>
        <v/>
      </c>
      <c r="K181" s="190">
        <f t="shared" ref="K181:L181" si="364">IF(OR(I181="", I181=0), "",
  IF(I181&lt;=2,   1,
  IF(I181&lt;=4,   2,
  IF(I181&lt;=5.5, 3, 4))))</f>
        <v>2</v>
      </c>
      <c r="L181" s="190" t="str">
        <f t="shared" si="364"/>
        <v/>
      </c>
      <c r="M181" s="190" t="str">
        <f t="shared" si="4"/>
        <v>No Data</v>
      </c>
      <c r="N181" s="220" t="s">
        <v>943</v>
      </c>
      <c r="O181" s="220" t="s">
        <v>925</v>
      </c>
      <c r="P181" s="190">
        <f t="shared" si="5"/>
        <v>1</v>
      </c>
      <c r="Q181" s="210">
        <f t="shared" si="6"/>
        <v>2.5</v>
      </c>
      <c r="R181" s="210">
        <f t="shared" ref="R181:S181" si="365">IF(OR(P181="", P181=0), "",
  IF(P181&lt;=2,   1,
  IF(P181&lt;=4,   2,
  IF(P181&lt;=5.5, 3, 4))))</f>
        <v>1</v>
      </c>
      <c r="S181" s="210">
        <f t="shared" si="365"/>
        <v>2</v>
      </c>
      <c r="T181" s="210" t="str">
        <f t="shared" si="8"/>
        <v>Lv1 → Lv2</v>
      </c>
      <c r="U181" s="210">
        <f t="shared" si="9"/>
        <v>1</v>
      </c>
      <c r="V181" s="210"/>
    </row>
    <row r="182">
      <c r="A182" s="220" t="s">
        <v>643</v>
      </c>
      <c r="B182" s="190" t="s">
        <v>644</v>
      </c>
      <c r="C182" s="223" t="s">
        <v>68</v>
      </c>
      <c r="D182" s="223" t="s">
        <v>861</v>
      </c>
      <c r="E182" s="190" t="s">
        <v>22</v>
      </c>
      <c r="F182" s="13" t="s">
        <v>918</v>
      </c>
      <c r="G182" s="190"/>
      <c r="H182" s="219">
        <f>IFERROR(
  MINIFS(ATTENDANCE_LOG!$F:$F,
         ATTENDANCE_LOG!$A:$A, C182,
         ATTENDANCE_LOG!$B:$B, E182),
"")</f>
        <v>45887.375</v>
      </c>
      <c r="I182" s="190">
        <f>IFERROR(VLOOKUP(F182, LEVEL_HELPER!$A:$B, 2, 0), "")</f>
        <v>3</v>
      </c>
      <c r="J182" s="190" t="str">
        <f>IFERROR(VLOOKUP(G182, LEVEL_HELPER!$A:$B, 2, 0), "")</f>
        <v/>
      </c>
      <c r="K182" s="190">
        <f t="shared" ref="K182:L182" si="366">IF(OR(I182="", I182=0), "",
  IF(I182&lt;=2,   1,
  IF(I182&lt;=4,   2,
  IF(I182&lt;=5.5, 3, 4))))</f>
        <v>2</v>
      </c>
      <c r="L182" s="190" t="str">
        <f t="shared" si="366"/>
        <v/>
      </c>
      <c r="M182" s="190" t="str">
        <f t="shared" si="4"/>
        <v>No Data</v>
      </c>
      <c r="N182" s="220" t="s">
        <v>943</v>
      </c>
      <c r="O182" s="220" t="s">
        <v>925</v>
      </c>
      <c r="P182" s="190">
        <f t="shared" si="5"/>
        <v>1</v>
      </c>
      <c r="Q182" s="210">
        <f t="shared" si="6"/>
        <v>3</v>
      </c>
      <c r="R182" s="210">
        <f t="shared" ref="R182:S182" si="367">IF(OR(P182="", P182=0), "",
  IF(P182&lt;=2,   1,
  IF(P182&lt;=4,   2,
  IF(P182&lt;=5.5, 3, 4))))</f>
        <v>1</v>
      </c>
      <c r="S182" s="210">
        <f t="shared" si="367"/>
        <v>2</v>
      </c>
      <c r="T182" s="210" t="str">
        <f t="shared" si="8"/>
        <v>Lv1 → Lv2</v>
      </c>
      <c r="U182" s="210">
        <f t="shared" si="9"/>
        <v>0</v>
      </c>
      <c r="V182" s="210"/>
    </row>
    <row r="183">
      <c r="A183" s="220" t="s">
        <v>715</v>
      </c>
      <c r="B183" s="190" t="s">
        <v>716</v>
      </c>
      <c r="C183" s="223" t="s">
        <v>68</v>
      </c>
      <c r="D183" s="223" t="s">
        <v>861</v>
      </c>
      <c r="E183" s="190" t="s">
        <v>22</v>
      </c>
      <c r="F183" s="13" t="s">
        <v>917</v>
      </c>
      <c r="G183" s="190"/>
      <c r="H183" s="219">
        <f>IFERROR(
  MINIFS(ATTENDANCE_LOG!$F:$F,
         ATTENDANCE_LOG!$A:$A, C183,
         ATTENDANCE_LOG!$B:$B, E183),
"")</f>
        <v>45887.375</v>
      </c>
      <c r="I183" s="190">
        <f>IFERROR(VLOOKUP(F183, LEVEL_HELPER!$A:$B, 2, 0), "")</f>
        <v>2.5</v>
      </c>
      <c r="J183" s="190" t="str">
        <f>IFERROR(VLOOKUP(G183, LEVEL_HELPER!$A:$B, 2, 0), "")</f>
        <v/>
      </c>
      <c r="K183" s="190">
        <f t="shared" ref="K183:L183" si="368">IF(OR(I183="", I183=0), "",
  IF(I183&lt;=2,   1,
  IF(I183&lt;=4,   2,
  IF(I183&lt;=5.5, 3, 4))))</f>
        <v>2</v>
      </c>
      <c r="L183" s="190" t="str">
        <f t="shared" si="368"/>
        <v/>
      </c>
      <c r="M183" s="190" t="str">
        <f t="shared" si="4"/>
        <v>No Data</v>
      </c>
      <c r="N183" s="220" t="s">
        <v>943</v>
      </c>
      <c r="O183" s="220" t="s">
        <v>925</v>
      </c>
      <c r="P183" s="190">
        <f t="shared" si="5"/>
        <v>2.5</v>
      </c>
      <c r="Q183" s="210">
        <f t="shared" si="6"/>
        <v>2.5</v>
      </c>
      <c r="R183" s="210">
        <f t="shared" ref="R183:S183" si="369">IF(OR(P183="", P183=0), "",
  IF(P183&lt;=2,   1,
  IF(P183&lt;=4,   2,
  IF(P183&lt;=5.5, 3, 4))))</f>
        <v>2</v>
      </c>
      <c r="S183" s="210">
        <f t="shared" si="369"/>
        <v>2</v>
      </c>
      <c r="T183" s="210" t="str">
        <f t="shared" si="8"/>
        <v>No Progress</v>
      </c>
      <c r="U183" s="210">
        <f t="shared" si="9"/>
        <v>1</v>
      </c>
      <c r="V183" s="210"/>
    </row>
    <row r="184">
      <c r="A184" s="247" t="s">
        <v>257</v>
      </c>
      <c r="B184" s="217" t="s">
        <v>258</v>
      </c>
      <c r="C184" s="218" t="s">
        <v>69</v>
      </c>
      <c r="D184" s="218" t="s">
        <v>862</v>
      </c>
      <c r="E184" s="217" t="s">
        <v>21</v>
      </c>
      <c r="F184" s="13" t="s">
        <v>917</v>
      </c>
      <c r="G184" s="13" t="s">
        <v>932</v>
      </c>
      <c r="H184" s="219">
        <f>IFERROR(
  MINIFS(ATTENDANCE_LOG!$F:$F,
         ATTENDANCE_LOG!$A:$A, C184,
         ATTENDANCE_LOG!$B:$B, E184),
"")</f>
        <v>45663.41667</v>
      </c>
      <c r="I184" s="190">
        <f>IFERROR(VLOOKUP(F184, LEVEL_HELPER!$A:$B, 2, 0), "")</f>
        <v>2.5</v>
      </c>
      <c r="J184" s="190">
        <f>IFERROR(VLOOKUP(G184, LEVEL_HELPER!$A:$B, 2, 0), "")</f>
        <v>4.5</v>
      </c>
      <c r="K184" s="190">
        <f t="shared" ref="K184:L184" si="370">IF(OR(I184="", I184=0), "",
  IF(I184&lt;=2,   1,
  IF(I184&lt;=4,   2,
  IF(I184&lt;=5.5, 3, 4))))</f>
        <v>2</v>
      </c>
      <c r="L184" s="190">
        <f t="shared" si="370"/>
        <v>3</v>
      </c>
      <c r="M184" s="190" t="str">
        <f t="shared" si="4"/>
        <v>Lv2 → Lv3</v>
      </c>
      <c r="N184" s="220" t="s">
        <v>943</v>
      </c>
      <c r="O184" s="220" t="s">
        <v>925</v>
      </c>
      <c r="P184" s="190">
        <f t="shared" si="5"/>
        <v>2.5</v>
      </c>
      <c r="Q184" s="210">
        <f t="shared" si="6"/>
        <v>4.5</v>
      </c>
      <c r="R184" s="210">
        <f t="shared" ref="R184:S184" si="371">IF(OR(P184="", P184=0), "",
  IF(P184&lt;=2,   1,
  IF(P184&lt;=4,   2,
  IF(P184&lt;=5.5, 3, 4))))</f>
        <v>2</v>
      </c>
      <c r="S184" s="210">
        <f t="shared" si="371"/>
        <v>3</v>
      </c>
      <c r="T184" s="210" t="str">
        <f t="shared" si="8"/>
        <v>Lv2 → Lv3</v>
      </c>
      <c r="U184" s="210">
        <f t="shared" si="9"/>
        <v>1</v>
      </c>
      <c r="V184" s="210"/>
    </row>
    <row r="185">
      <c r="A185" s="220" t="s">
        <v>311</v>
      </c>
      <c r="B185" s="190" t="s">
        <v>312</v>
      </c>
      <c r="C185" s="223" t="s">
        <v>69</v>
      </c>
      <c r="D185" s="223" t="s">
        <v>862</v>
      </c>
      <c r="E185" s="190" t="s">
        <v>21</v>
      </c>
      <c r="F185" s="13" t="s">
        <v>927</v>
      </c>
      <c r="G185" s="13" t="s">
        <v>927</v>
      </c>
      <c r="H185" s="219">
        <f>IFERROR(
  MINIFS(ATTENDANCE_LOG!$F:$F,
         ATTENDANCE_LOG!$A:$A, C185,
         ATTENDANCE_LOG!$B:$B, E185),
"")</f>
        <v>45663.41667</v>
      </c>
      <c r="I185" s="190">
        <f>IFERROR(VLOOKUP(F185, LEVEL_HELPER!$A:$B, 2, 0), "")</f>
        <v>1</v>
      </c>
      <c r="J185" s="190">
        <f>IFERROR(VLOOKUP(G185, LEVEL_HELPER!$A:$B, 2, 0), "")</f>
        <v>1</v>
      </c>
      <c r="K185" s="190">
        <f t="shared" ref="K185:L185" si="372">IF(OR(I185="", I185=0), "",
  IF(I185&lt;=2,   1,
  IF(I185&lt;=4,   2,
  IF(I185&lt;=5.5, 3, 4))))</f>
        <v>1</v>
      </c>
      <c r="L185" s="190">
        <f t="shared" si="372"/>
        <v>1</v>
      </c>
      <c r="M185" s="190" t="str">
        <f t="shared" si="4"/>
        <v>No Progress</v>
      </c>
      <c r="N185" s="220" t="s">
        <v>943</v>
      </c>
      <c r="O185" s="220" t="s">
        <v>925</v>
      </c>
      <c r="P185" s="190">
        <f t="shared" si="5"/>
        <v>1</v>
      </c>
      <c r="Q185" s="210">
        <f t="shared" si="6"/>
        <v>1</v>
      </c>
      <c r="R185" s="210">
        <f t="shared" ref="R185:S185" si="373">IF(OR(P185="", P185=0), "",
  IF(P185&lt;=2,   1,
  IF(P185&lt;=4,   2,
  IF(P185&lt;=5.5, 3, 4))))</f>
        <v>1</v>
      </c>
      <c r="S185" s="210">
        <f t="shared" si="373"/>
        <v>1</v>
      </c>
      <c r="T185" s="210" t="str">
        <f t="shared" si="8"/>
        <v>No Progress</v>
      </c>
      <c r="U185" s="210">
        <f t="shared" si="9"/>
        <v>1</v>
      </c>
      <c r="V185" s="210"/>
    </row>
    <row r="186">
      <c r="A186" s="220" t="s">
        <v>323</v>
      </c>
      <c r="B186" s="190" t="s">
        <v>324</v>
      </c>
      <c r="C186" s="223" t="s">
        <v>69</v>
      </c>
      <c r="D186" s="223" t="s">
        <v>862</v>
      </c>
      <c r="E186" s="190" t="s">
        <v>21</v>
      </c>
      <c r="F186" s="13" t="s">
        <v>927</v>
      </c>
      <c r="G186" s="13" t="s">
        <v>927</v>
      </c>
      <c r="H186" s="219">
        <f>IFERROR(
  MINIFS(ATTENDANCE_LOG!$F:$F,
         ATTENDANCE_LOG!$A:$A, C186,
         ATTENDANCE_LOG!$B:$B, E186),
"")</f>
        <v>45663.41667</v>
      </c>
      <c r="I186" s="190">
        <f>IFERROR(VLOOKUP(F186, LEVEL_HELPER!$A:$B, 2, 0), "")</f>
        <v>1</v>
      </c>
      <c r="J186" s="190">
        <f>IFERROR(VLOOKUP(G186, LEVEL_HELPER!$A:$B, 2, 0), "")</f>
        <v>1</v>
      </c>
      <c r="K186" s="190">
        <f t="shared" ref="K186:L186" si="374">IF(OR(I186="", I186=0), "",
  IF(I186&lt;=2,   1,
  IF(I186&lt;=4,   2,
  IF(I186&lt;=5.5, 3, 4))))</f>
        <v>1</v>
      </c>
      <c r="L186" s="190">
        <f t="shared" si="374"/>
        <v>1</v>
      </c>
      <c r="M186" s="190" t="str">
        <f t="shared" si="4"/>
        <v>No Progress</v>
      </c>
      <c r="N186" s="220" t="s">
        <v>943</v>
      </c>
      <c r="O186" s="220" t="s">
        <v>925</v>
      </c>
      <c r="P186" s="190">
        <f t="shared" si="5"/>
        <v>1</v>
      </c>
      <c r="Q186" s="210">
        <f t="shared" si="6"/>
        <v>1</v>
      </c>
      <c r="R186" s="210">
        <f t="shared" ref="R186:S186" si="375">IF(OR(P186="", P186=0), "",
  IF(P186&lt;=2,   1,
  IF(P186&lt;=4,   2,
  IF(P186&lt;=5.5, 3, 4))))</f>
        <v>1</v>
      </c>
      <c r="S186" s="210">
        <f t="shared" si="375"/>
        <v>1</v>
      </c>
      <c r="T186" s="210" t="str">
        <f t="shared" si="8"/>
        <v>No Progress</v>
      </c>
      <c r="U186" s="210">
        <f t="shared" si="9"/>
        <v>0</v>
      </c>
      <c r="V186" s="210"/>
    </row>
    <row r="187">
      <c r="A187" s="220" t="s">
        <v>403</v>
      </c>
      <c r="B187" s="190" t="s">
        <v>404</v>
      </c>
      <c r="C187" s="223" t="s">
        <v>69</v>
      </c>
      <c r="D187" s="223" t="s">
        <v>862</v>
      </c>
      <c r="E187" s="190" t="s">
        <v>21</v>
      </c>
      <c r="F187" s="13" t="s">
        <v>917</v>
      </c>
      <c r="G187" s="13" t="s">
        <v>932</v>
      </c>
      <c r="H187" s="219">
        <f>IFERROR(
  MINIFS(ATTENDANCE_LOG!$F:$F,
         ATTENDANCE_LOG!$A:$A, C187,
         ATTENDANCE_LOG!$B:$B, E187),
"")</f>
        <v>45663.41667</v>
      </c>
      <c r="I187" s="190">
        <f>IFERROR(VLOOKUP(F187, LEVEL_HELPER!$A:$B, 2, 0), "")</f>
        <v>2.5</v>
      </c>
      <c r="J187" s="190">
        <f>IFERROR(VLOOKUP(G187, LEVEL_HELPER!$A:$B, 2, 0), "")</f>
        <v>4.5</v>
      </c>
      <c r="K187" s="190">
        <f t="shared" ref="K187:L187" si="376">IF(OR(I187="", I187=0), "",
  IF(I187&lt;=2,   1,
  IF(I187&lt;=4,   2,
  IF(I187&lt;=5.5, 3, 4))))</f>
        <v>2</v>
      </c>
      <c r="L187" s="190">
        <f t="shared" si="376"/>
        <v>3</v>
      </c>
      <c r="M187" s="190" t="str">
        <f t="shared" si="4"/>
        <v>Lv2 → Lv3</v>
      </c>
      <c r="N187" s="220" t="s">
        <v>943</v>
      </c>
      <c r="O187" s="220" t="s">
        <v>925</v>
      </c>
      <c r="P187" s="190">
        <f t="shared" si="5"/>
        <v>2.5</v>
      </c>
      <c r="Q187" s="210">
        <f t="shared" si="6"/>
        <v>4.5</v>
      </c>
      <c r="R187" s="210">
        <f t="shared" ref="R187:S187" si="377">IF(OR(P187="", P187=0), "",
  IF(P187&lt;=2,   1,
  IF(P187&lt;=4,   2,
  IF(P187&lt;=5.5, 3, 4))))</f>
        <v>2</v>
      </c>
      <c r="S187" s="210">
        <f t="shared" si="377"/>
        <v>3</v>
      </c>
      <c r="T187" s="210" t="str">
        <f t="shared" si="8"/>
        <v>Lv2 → Lv3</v>
      </c>
      <c r="U187" s="210">
        <f t="shared" si="9"/>
        <v>1</v>
      </c>
      <c r="V187" s="210"/>
    </row>
    <row r="188">
      <c r="A188" s="220" t="s">
        <v>639</v>
      </c>
      <c r="B188" s="190" t="s">
        <v>640</v>
      </c>
      <c r="C188" s="223" t="s">
        <v>69</v>
      </c>
      <c r="D188" s="223" t="s">
        <v>862</v>
      </c>
      <c r="E188" s="190" t="s">
        <v>21</v>
      </c>
      <c r="F188" s="13" t="s">
        <v>927</v>
      </c>
      <c r="G188" s="13" t="s">
        <v>917</v>
      </c>
      <c r="H188" s="219">
        <f>IFERROR(
  MINIFS(ATTENDANCE_LOG!$F:$F,
         ATTENDANCE_LOG!$A:$A, C188,
         ATTENDANCE_LOG!$B:$B, E188),
"")</f>
        <v>45663.41667</v>
      </c>
      <c r="I188" s="190">
        <f>IFERROR(VLOOKUP(F188, LEVEL_HELPER!$A:$B, 2, 0), "")</f>
        <v>1</v>
      </c>
      <c r="J188" s="190">
        <f>IFERROR(VLOOKUP(G188, LEVEL_HELPER!$A:$B, 2, 0), "")</f>
        <v>2.5</v>
      </c>
      <c r="K188" s="190">
        <f t="shared" ref="K188:L188" si="378">IF(OR(I188="", I188=0), "",
  IF(I188&lt;=2,   1,
  IF(I188&lt;=4,   2,
  IF(I188&lt;=5.5, 3, 4))))</f>
        <v>1</v>
      </c>
      <c r="L188" s="190">
        <f t="shared" si="378"/>
        <v>2</v>
      </c>
      <c r="M188" s="190" t="str">
        <f t="shared" si="4"/>
        <v>Lv1 → Lv2</v>
      </c>
      <c r="N188" s="220" t="s">
        <v>943</v>
      </c>
      <c r="O188" s="220" t="s">
        <v>925</v>
      </c>
      <c r="P188" s="190">
        <f t="shared" si="5"/>
        <v>1</v>
      </c>
      <c r="Q188" s="210">
        <f t="shared" si="6"/>
        <v>2.5</v>
      </c>
      <c r="R188" s="210">
        <f t="shared" ref="R188:S188" si="379">IF(OR(P188="", P188=0), "",
  IF(P188&lt;=2,   1,
  IF(P188&lt;=4,   2,
  IF(P188&lt;=5.5, 3, 4))))</f>
        <v>1</v>
      </c>
      <c r="S188" s="210">
        <f t="shared" si="379"/>
        <v>2</v>
      </c>
      <c r="T188" s="210" t="str">
        <f t="shared" si="8"/>
        <v>Lv1 → Lv2</v>
      </c>
      <c r="U188" s="210">
        <f t="shared" si="9"/>
        <v>0</v>
      </c>
      <c r="V188" s="210"/>
    </row>
    <row r="189">
      <c r="A189" s="220" t="s">
        <v>715</v>
      </c>
      <c r="B189" s="190" t="s">
        <v>716</v>
      </c>
      <c r="C189" s="223" t="s">
        <v>69</v>
      </c>
      <c r="D189" s="223" t="s">
        <v>862</v>
      </c>
      <c r="E189" s="190" t="s">
        <v>21</v>
      </c>
      <c r="F189" s="13" t="s">
        <v>917</v>
      </c>
      <c r="G189" s="13" t="s">
        <v>917</v>
      </c>
      <c r="H189" s="219">
        <f>IFERROR(
  MINIFS(ATTENDANCE_LOG!$F:$F,
         ATTENDANCE_LOG!$A:$A, C189,
         ATTENDANCE_LOG!$B:$B, E189),
"")</f>
        <v>45663.41667</v>
      </c>
      <c r="I189" s="190">
        <f>IFERROR(VLOOKUP(F189, LEVEL_HELPER!$A:$B, 2, 0), "")</f>
        <v>2.5</v>
      </c>
      <c r="J189" s="190">
        <f>IFERROR(VLOOKUP(G189, LEVEL_HELPER!$A:$B, 2, 0), "")</f>
        <v>2.5</v>
      </c>
      <c r="K189" s="190">
        <f t="shared" ref="K189:L189" si="380">IF(OR(I189="", I189=0), "",
  IF(I189&lt;=2,   1,
  IF(I189&lt;=4,   2,
  IF(I189&lt;=5.5, 3, 4))))</f>
        <v>2</v>
      </c>
      <c r="L189" s="190">
        <f t="shared" si="380"/>
        <v>2</v>
      </c>
      <c r="M189" s="190" t="str">
        <f t="shared" si="4"/>
        <v>No Progress</v>
      </c>
      <c r="N189" s="220" t="s">
        <v>943</v>
      </c>
      <c r="O189" s="220" t="s">
        <v>925</v>
      </c>
      <c r="P189" s="190">
        <f t="shared" si="5"/>
        <v>2.5</v>
      </c>
      <c r="Q189" s="210">
        <f t="shared" si="6"/>
        <v>2.5</v>
      </c>
      <c r="R189" s="210">
        <f t="shared" ref="R189:S189" si="381">IF(OR(P189="", P189=0), "",
  IF(P189&lt;=2,   1,
  IF(P189&lt;=4,   2,
  IF(P189&lt;=5.5, 3, 4))))</f>
        <v>2</v>
      </c>
      <c r="S189" s="210">
        <f t="shared" si="381"/>
        <v>2</v>
      </c>
      <c r="T189" s="210" t="str">
        <f t="shared" si="8"/>
        <v>No Progress</v>
      </c>
      <c r="U189" s="210">
        <f t="shared" si="9"/>
        <v>0</v>
      </c>
      <c r="V189" s="210"/>
    </row>
    <row r="190">
      <c r="A190" s="247" t="s">
        <v>434</v>
      </c>
      <c r="B190" s="217" t="s">
        <v>435</v>
      </c>
      <c r="C190" s="218" t="s">
        <v>70</v>
      </c>
      <c r="D190" s="218" t="s">
        <v>863</v>
      </c>
      <c r="E190" s="217" t="s">
        <v>21</v>
      </c>
      <c r="F190" s="13" t="s">
        <v>927</v>
      </c>
      <c r="G190" s="13" t="s">
        <v>935</v>
      </c>
      <c r="H190" s="219">
        <f>IFERROR(
  MINIFS(ATTENDANCE_LOG!$F:$F,
         ATTENDANCE_LOG!$A:$A, C190,
         ATTENDANCE_LOG!$B:$B, E190),
"")</f>
        <v>45638.41667</v>
      </c>
      <c r="I190" s="190">
        <f>IFERROR(VLOOKUP(F190, LEVEL_HELPER!$A:$B, 2, 0), "")</f>
        <v>1</v>
      </c>
      <c r="J190" s="190">
        <f>IFERROR(VLOOKUP(G190, LEVEL_HELPER!$A:$B, 2, 0), "")</f>
        <v>3.5</v>
      </c>
      <c r="K190" s="190">
        <f t="shared" ref="K190:L190" si="382">IF(OR(I190="", I190=0), "",
  IF(I190&lt;=2,   1,
  IF(I190&lt;=4,   2,
  IF(I190&lt;=5.5, 3, 4))))</f>
        <v>1</v>
      </c>
      <c r="L190" s="190">
        <f t="shared" si="382"/>
        <v>2</v>
      </c>
      <c r="M190" s="190" t="str">
        <f t="shared" si="4"/>
        <v>Lv1 → Lv2</v>
      </c>
      <c r="N190" s="220" t="s">
        <v>943</v>
      </c>
      <c r="O190" s="220" t="s">
        <v>926</v>
      </c>
      <c r="P190" s="190">
        <f t="shared" si="5"/>
        <v>1</v>
      </c>
      <c r="Q190" s="210">
        <f t="shared" si="6"/>
        <v>3.5</v>
      </c>
      <c r="R190" s="210">
        <f t="shared" ref="R190:S190" si="383">IF(OR(P190="", P190=0), "",
  IF(P190&lt;=2,   1,
  IF(P190&lt;=4,   2,
  IF(P190&lt;=5.5, 3, 4))))</f>
        <v>1</v>
      </c>
      <c r="S190" s="210">
        <f t="shared" si="383"/>
        <v>2</v>
      </c>
      <c r="T190" s="210" t="str">
        <f t="shared" si="8"/>
        <v>Lv1 → Lv2</v>
      </c>
      <c r="U190" s="210">
        <f t="shared" si="9"/>
        <v>1</v>
      </c>
      <c r="V190" s="210"/>
    </row>
    <row r="191">
      <c r="A191" s="220" t="s">
        <v>167</v>
      </c>
      <c r="B191" s="190" t="s">
        <v>168</v>
      </c>
      <c r="C191" s="223" t="s">
        <v>70</v>
      </c>
      <c r="D191" s="223" t="s">
        <v>863</v>
      </c>
      <c r="E191" s="190" t="s">
        <v>21</v>
      </c>
      <c r="F191" s="13" t="s">
        <v>927</v>
      </c>
      <c r="G191" s="13" t="s">
        <v>929</v>
      </c>
      <c r="H191" s="219">
        <f>IFERROR(
  MINIFS(ATTENDANCE_LOG!$F:$F,
         ATTENDANCE_LOG!$A:$A, C191,
         ATTENDANCE_LOG!$B:$B, E191),
"")</f>
        <v>45638.41667</v>
      </c>
      <c r="I191" s="190">
        <f>IFERROR(VLOOKUP(F191, LEVEL_HELPER!$A:$B, 2, 0), "")</f>
        <v>1</v>
      </c>
      <c r="J191" s="190">
        <f>IFERROR(VLOOKUP(G191, LEVEL_HELPER!$A:$B, 2, 0), "")</f>
        <v>1.5</v>
      </c>
      <c r="K191" s="190">
        <f t="shared" ref="K191:L191" si="384">IF(OR(I191="", I191=0), "",
  IF(I191&lt;=2,   1,
  IF(I191&lt;=4,   2,
  IF(I191&lt;=5.5, 3, 4))))</f>
        <v>1</v>
      </c>
      <c r="L191" s="190">
        <f t="shared" si="384"/>
        <v>1</v>
      </c>
      <c r="M191" s="190" t="str">
        <f t="shared" si="4"/>
        <v>Progress within level</v>
      </c>
      <c r="N191" s="220" t="s">
        <v>919</v>
      </c>
      <c r="O191" s="220" t="s">
        <v>923</v>
      </c>
      <c r="P191" s="190">
        <f t="shared" si="5"/>
        <v>1</v>
      </c>
      <c r="Q191" s="210">
        <f t="shared" si="6"/>
        <v>1.5</v>
      </c>
      <c r="R191" s="210">
        <f t="shared" ref="R191:S191" si="385">IF(OR(P191="", P191=0), "",
  IF(P191&lt;=2,   1,
  IF(P191&lt;=4,   2,
  IF(P191&lt;=5.5, 3, 4))))</f>
        <v>1</v>
      </c>
      <c r="S191" s="210">
        <f t="shared" si="385"/>
        <v>1</v>
      </c>
      <c r="T191" s="210" t="str">
        <f t="shared" si="8"/>
        <v>Progress within level</v>
      </c>
      <c r="U191" s="210">
        <f t="shared" si="9"/>
        <v>0</v>
      </c>
      <c r="V191" s="210"/>
    </row>
    <row r="192">
      <c r="A192" s="220" t="s">
        <v>184</v>
      </c>
      <c r="B192" s="190" t="s">
        <v>185</v>
      </c>
      <c r="C192" s="223" t="s">
        <v>70</v>
      </c>
      <c r="D192" s="223" t="s">
        <v>863</v>
      </c>
      <c r="E192" s="190" t="s">
        <v>21</v>
      </c>
      <c r="F192" s="13" t="s">
        <v>927</v>
      </c>
      <c r="G192" s="13" t="s">
        <v>935</v>
      </c>
      <c r="H192" s="219">
        <f>IFERROR(
  MINIFS(ATTENDANCE_LOG!$F:$F,
         ATTENDANCE_LOG!$A:$A, C192,
         ATTENDANCE_LOG!$B:$B, E192),
"")</f>
        <v>45638.41667</v>
      </c>
      <c r="I192" s="190">
        <f>IFERROR(VLOOKUP(F192, LEVEL_HELPER!$A:$B, 2, 0), "")</f>
        <v>1</v>
      </c>
      <c r="J192" s="190">
        <f>IFERROR(VLOOKUP(G192, LEVEL_HELPER!$A:$B, 2, 0), "")</f>
        <v>3.5</v>
      </c>
      <c r="K192" s="190">
        <f t="shared" ref="K192:L192" si="386">IF(OR(I192="", I192=0), "",
  IF(I192&lt;=2,   1,
  IF(I192&lt;=4,   2,
  IF(I192&lt;=5.5, 3, 4))))</f>
        <v>1</v>
      </c>
      <c r="L192" s="190">
        <f t="shared" si="386"/>
        <v>2</v>
      </c>
      <c r="M192" s="190" t="str">
        <f t="shared" si="4"/>
        <v>Lv1 → Lv2</v>
      </c>
      <c r="N192" s="220" t="s">
        <v>943</v>
      </c>
      <c r="O192" s="220" t="s">
        <v>926</v>
      </c>
      <c r="P192" s="190">
        <f t="shared" si="5"/>
        <v>1</v>
      </c>
      <c r="Q192" s="210">
        <f t="shared" si="6"/>
        <v>3.5</v>
      </c>
      <c r="R192" s="210">
        <f t="shared" ref="R192:S192" si="387">IF(OR(P192="", P192=0), "",
  IF(P192&lt;=2,   1,
  IF(P192&lt;=4,   2,
  IF(P192&lt;=5.5, 3, 4))))</f>
        <v>1</v>
      </c>
      <c r="S192" s="210">
        <f t="shared" si="387"/>
        <v>2</v>
      </c>
      <c r="T192" s="210" t="str">
        <f t="shared" si="8"/>
        <v>Lv1 → Lv2</v>
      </c>
      <c r="U192" s="210">
        <f t="shared" si="9"/>
        <v>0</v>
      </c>
      <c r="V192" s="210"/>
    </row>
    <row r="193">
      <c r="A193" s="220" t="s">
        <v>188</v>
      </c>
      <c r="B193" s="190" t="s">
        <v>189</v>
      </c>
      <c r="C193" s="223" t="s">
        <v>70</v>
      </c>
      <c r="D193" s="223" t="s">
        <v>863</v>
      </c>
      <c r="E193" s="190" t="s">
        <v>21</v>
      </c>
      <c r="F193" s="13" t="s">
        <v>927</v>
      </c>
      <c r="G193" s="13" t="s">
        <v>935</v>
      </c>
      <c r="H193" s="219">
        <f>IFERROR(
  MINIFS(ATTENDANCE_LOG!$F:$F,
         ATTENDANCE_LOG!$A:$A, C193,
         ATTENDANCE_LOG!$B:$B, E193),
"")</f>
        <v>45638.41667</v>
      </c>
      <c r="I193" s="190">
        <f>IFERROR(VLOOKUP(F193, LEVEL_HELPER!$A:$B, 2, 0), "")</f>
        <v>1</v>
      </c>
      <c r="J193" s="190">
        <f>IFERROR(VLOOKUP(G193, LEVEL_HELPER!$A:$B, 2, 0), "")</f>
        <v>3.5</v>
      </c>
      <c r="K193" s="190">
        <f t="shared" ref="K193:L193" si="388">IF(OR(I193="", I193=0), "",
  IF(I193&lt;=2,   1,
  IF(I193&lt;=4,   2,
  IF(I193&lt;=5.5, 3, 4))))</f>
        <v>1</v>
      </c>
      <c r="L193" s="190">
        <f t="shared" si="388"/>
        <v>2</v>
      </c>
      <c r="M193" s="190" t="str">
        <f t="shared" si="4"/>
        <v>Lv1 → Lv2</v>
      </c>
      <c r="N193" s="220" t="s">
        <v>919</v>
      </c>
      <c r="O193" s="220" t="s">
        <v>923</v>
      </c>
      <c r="P193" s="190">
        <f t="shared" si="5"/>
        <v>1</v>
      </c>
      <c r="Q193" s="210">
        <f t="shared" si="6"/>
        <v>3.5</v>
      </c>
      <c r="R193" s="210">
        <f t="shared" ref="R193:S193" si="389">IF(OR(P193="", P193=0), "",
  IF(P193&lt;=2,   1,
  IF(P193&lt;=4,   2,
  IF(P193&lt;=5.5, 3, 4))))</f>
        <v>1</v>
      </c>
      <c r="S193" s="210">
        <f t="shared" si="389"/>
        <v>2</v>
      </c>
      <c r="T193" s="210" t="str">
        <f t="shared" si="8"/>
        <v>Lv1 → Lv2</v>
      </c>
      <c r="U193" s="210">
        <f t="shared" si="9"/>
        <v>0</v>
      </c>
      <c r="V193" s="210"/>
    </row>
    <row r="194">
      <c r="A194" s="220" t="s">
        <v>192</v>
      </c>
      <c r="B194" s="190" t="s">
        <v>193</v>
      </c>
      <c r="C194" s="223" t="s">
        <v>70</v>
      </c>
      <c r="D194" s="223" t="s">
        <v>863</v>
      </c>
      <c r="E194" s="190" t="s">
        <v>21</v>
      </c>
      <c r="F194" s="13" t="s">
        <v>927</v>
      </c>
      <c r="G194" s="13" t="s">
        <v>918</v>
      </c>
      <c r="H194" s="219">
        <f>IFERROR(
  MINIFS(ATTENDANCE_LOG!$F:$F,
         ATTENDANCE_LOG!$A:$A, C194,
         ATTENDANCE_LOG!$B:$B, E194),
"")</f>
        <v>45638.41667</v>
      </c>
      <c r="I194" s="190">
        <f>IFERROR(VLOOKUP(F194, LEVEL_HELPER!$A:$B, 2, 0), "")</f>
        <v>1</v>
      </c>
      <c r="J194" s="190">
        <f>IFERROR(VLOOKUP(G194, LEVEL_HELPER!$A:$B, 2, 0), "")</f>
        <v>3</v>
      </c>
      <c r="K194" s="190">
        <f t="shared" ref="K194:L194" si="390">IF(OR(I194="", I194=0), "",
  IF(I194&lt;=2,   1,
  IF(I194&lt;=4,   2,
  IF(I194&lt;=5.5, 3, 4))))</f>
        <v>1</v>
      </c>
      <c r="L194" s="190">
        <f t="shared" si="390"/>
        <v>2</v>
      </c>
      <c r="M194" s="190" t="str">
        <f t="shared" si="4"/>
        <v>Lv1 → Lv2</v>
      </c>
      <c r="N194" s="220" t="s">
        <v>943</v>
      </c>
      <c r="O194" s="220" t="s">
        <v>923</v>
      </c>
      <c r="P194" s="190">
        <f t="shared" si="5"/>
        <v>1</v>
      </c>
      <c r="Q194" s="210">
        <f t="shared" si="6"/>
        <v>3</v>
      </c>
      <c r="R194" s="210">
        <f t="shared" ref="R194:S194" si="391">IF(OR(P194="", P194=0), "",
  IF(P194&lt;=2,   1,
  IF(P194&lt;=4,   2,
  IF(P194&lt;=5.5, 3, 4))))</f>
        <v>1</v>
      </c>
      <c r="S194" s="210">
        <f t="shared" si="391"/>
        <v>2</v>
      </c>
      <c r="T194" s="210" t="str">
        <f t="shared" si="8"/>
        <v>Lv1 → Lv2</v>
      </c>
      <c r="U194" s="210">
        <f t="shared" si="9"/>
        <v>1</v>
      </c>
      <c r="V194" s="210"/>
    </row>
    <row r="195">
      <c r="A195" s="220" t="s">
        <v>202</v>
      </c>
      <c r="B195" s="190" t="s">
        <v>203</v>
      </c>
      <c r="C195" s="223" t="s">
        <v>70</v>
      </c>
      <c r="D195" s="223" t="s">
        <v>863</v>
      </c>
      <c r="E195" s="190" t="s">
        <v>21</v>
      </c>
      <c r="F195" s="13" t="s">
        <v>932</v>
      </c>
      <c r="G195" s="13" t="s">
        <v>932</v>
      </c>
      <c r="H195" s="219">
        <f>IFERROR(
  MINIFS(ATTENDANCE_LOG!$F:$F,
         ATTENDANCE_LOG!$A:$A, C195,
         ATTENDANCE_LOG!$B:$B, E195),
"")</f>
        <v>45638.41667</v>
      </c>
      <c r="I195" s="190">
        <f>IFERROR(VLOOKUP(F195, LEVEL_HELPER!$A:$B, 2, 0), "")</f>
        <v>4.5</v>
      </c>
      <c r="J195" s="190">
        <f>IFERROR(VLOOKUP(G195, LEVEL_HELPER!$A:$B, 2, 0), "")</f>
        <v>4.5</v>
      </c>
      <c r="K195" s="190">
        <f t="shared" ref="K195:L195" si="392">IF(OR(I195="", I195=0), "",
  IF(I195&lt;=2,   1,
  IF(I195&lt;=4,   2,
  IF(I195&lt;=5.5, 3, 4))))</f>
        <v>3</v>
      </c>
      <c r="L195" s="190">
        <f t="shared" si="392"/>
        <v>3</v>
      </c>
      <c r="M195" s="190" t="str">
        <f t="shared" si="4"/>
        <v>No Progress</v>
      </c>
      <c r="N195" s="220" t="s">
        <v>943</v>
      </c>
      <c r="O195" s="220" t="s">
        <v>926</v>
      </c>
      <c r="P195" s="190">
        <f t="shared" si="5"/>
        <v>4.5</v>
      </c>
      <c r="Q195" s="210">
        <f t="shared" si="6"/>
        <v>4.5</v>
      </c>
      <c r="R195" s="210">
        <f t="shared" ref="R195:S195" si="393">IF(OR(P195="", P195=0), "",
  IF(P195&lt;=2,   1,
  IF(P195&lt;=4,   2,
  IF(P195&lt;=5.5, 3, 4))))</f>
        <v>3</v>
      </c>
      <c r="S195" s="210">
        <f t="shared" si="393"/>
        <v>3</v>
      </c>
      <c r="T195" s="210" t="str">
        <f t="shared" si="8"/>
        <v>No Progress</v>
      </c>
      <c r="U195" s="210">
        <f t="shared" si="9"/>
        <v>1</v>
      </c>
      <c r="V195" s="210"/>
    </row>
    <row r="196">
      <c r="A196" s="220" t="s">
        <v>607</v>
      </c>
      <c r="B196" s="190" t="s">
        <v>608</v>
      </c>
      <c r="C196" s="223" t="s">
        <v>70</v>
      </c>
      <c r="D196" s="223" t="s">
        <v>863</v>
      </c>
      <c r="E196" s="190" t="s">
        <v>21</v>
      </c>
      <c r="F196" s="13" t="s">
        <v>927</v>
      </c>
      <c r="G196" s="13" t="s">
        <v>935</v>
      </c>
      <c r="H196" s="219">
        <f>IFERROR(
  MINIFS(ATTENDANCE_LOG!$F:$F,
         ATTENDANCE_LOG!$A:$A, C196,
         ATTENDANCE_LOG!$B:$B, E196),
"")</f>
        <v>45638.41667</v>
      </c>
      <c r="I196" s="190">
        <f>IFERROR(VLOOKUP(F196, LEVEL_HELPER!$A:$B, 2, 0), "")</f>
        <v>1</v>
      </c>
      <c r="J196" s="190">
        <f>IFERROR(VLOOKUP(G196, LEVEL_HELPER!$A:$B, 2, 0), "")</f>
        <v>3.5</v>
      </c>
      <c r="K196" s="190">
        <f t="shared" ref="K196:L196" si="394">IF(OR(I196="", I196=0), "",
  IF(I196&lt;=2,   1,
  IF(I196&lt;=4,   2,
  IF(I196&lt;=5.5, 3, 4))))</f>
        <v>1</v>
      </c>
      <c r="L196" s="190">
        <f t="shared" si="394"/>
        <v>2</v>
      </c>
      <c r="M196" s="190" t="str">
        <f t="shared" si="4"/>
        <v>Lv1 → Lv2</v>
      </c>
      <c r="N196" s="220" t="s">
        <v>943</v>
      </c>
      <c r="O196" s="220" t="s">
        <v>969</v>
      </c>
      <c r="P196" s="190">
        <f t="shared" si="5"/>
        <v>1</v>
      </c>
      <c r="Q196" s="210">
        <f t="shared" si="6"/>
        <v>3.5</v>
      </c>
      <c r="R196" s="210">
        <f t="shared" ref="R196:S196" si="395">IF(OR(P196="", P196=0), "",
  IF(P196&lt;=2,   1,
  IF(P196&lt;=4,   2,
  IF(P196&lt;=5.5, 3, 4))))</f>
        <v>1</v>
      </c>
      <c r="S196" s="210">
        <f t="shared" si="395"/>
        <v>2</v>
      </c>
      <c r="T196" s="210" t="str">
        <f t="shared" si="8"/>
        <v>Lv1 → Lv2</v>
      </c>
      <c r="U196" s="210">
        <f t="shared" si="9"/>
        <v>1</v>
      </c>
      <c r="V196" s="210"/>
    </row>
    <row r="197">
      <c r="A197" s="220" t="s">
        <v>697</v>
      </c>
      <c r="B197" s="190" t="s">
        <v>698</v>
      </c>
      <c r="C197" s="223" t="s">
        <v>70</v>
      </c>
      <c r="D197" s="223" t="s">
        <v>863</v>
      </c>
      <c r="E197" s="190" t="s">
        <v>21</v>
      </c>
      <c r="F197" s="13" t="s">
        <v>927</v>
      </c>
      <c r="G197" s="13" t="s">
        <v>918</v>
      </c>
      <c r="H197" s="219">
        <f>IFERROR(
  MINIFS(ATTENDANCE_LOG!$F:$F,
         ATTENDANCE_LOG!$A:$A, C197,
         ATTENDANCE_LOG!$B:$B, E197),
"")</f>
        <v>45638.41667</v>
      </c>
      <c r="I197" s="190">
        <f>IFERROR(VLOOKUP(F197, LEVEL_HELPER!$A:$B, 2, 0), "")</f>
        <v>1</v>
      </c>
      <c r="J197" s="190">
        <f>IFERROR(VLOOKUP(G197, LEVEL_HELPER!$A:$B, 2, 0), "")</f>
        <v>3</v>
      </c>
      <c r="K197" s="190">
        <f t="shared" ref="K197:L197" si="396">IF(OR(I197="", I197=0), "",
  IF(I197&lt;=2,   1,
  IF(I197&lt;=4,   2,
  IF(I197&lt;=5.5, 3, 4))))</f>
        <v>1</v>
      </c>
      <c r="L197" s="190">
        <f t="shared" si="396"/>
        <v>2</v>
      </c>
      <c r="M197" s="190" t="str">
        <f t="shared" si="4"/>
        <v>Lv1 → Lv2</v>
      </c>
      <c r="N197" s="220" t="s">
        <v>943</v>
      </c>
      <c r="O197" s="220" t="s">
        <v>926</v>
      </c>
      <c r="P197" s="190">
        <f t="shared" si="5"/>
        <v>1</v>
      </c>
      <c r="Q197" s="210">
        <f t="shared" si="6"/>
        <v>3</v>
      </c>
      <c r="R197" s="210">
        <f t="shared" ref="R197:S197" si="397">IF(OR(P197="", P197=0), "",
  IF(P197&lt;=2,   1,
  IF(P197&lt;=4,   2,
  IF(P197&lt;=5.5, 3, 4))))</f>
        <v>1</v>
      </c>
      <c r="S197" s="210">
        <f t="shared" si="397"/>
        <v>2</v>
      </c>
      <c r="T197" s="210" t="str">
        <f t="shared" si="8"/>
        <v>Lv1 → Lv2</v>
      </c>
      <c r="U197" s="210">
        <f t="shared" si="9"/>
        <v>0</v>
      </c>
      <c r="V197" s="210"/>
    </row>
    <row r="198">
      <c r="A198" s="247" t="s">
        <v>434</v>
      </c>
      <c r="B198" s="217" t="s">
        <v>435</v>
      </c>
      <c r="C198" s="218" t="s">
        <v>70</v>
      </c>
      <c r="D198" s="218" t="s">
        <v>863</v>
      </c>
      <c r="E198" s="217" t="s">
        <v>22</v>
      </c>
      <c r="F198" s="13" t="s">
        <v>935</v>
      </c>
      <c r="G198" s="190"/>
      <c r="H198" s="219">
        <f>IFERROR(
  MINIFS(ATTENDANCE_LOG!$F:$F,
         ATTENDANCE_LOG!$A:$A, C198,
         ATTENDANCE_LOG!$B:$B, E198),
"")</f>
        <v>45841.58333</v>
      </c>
      <c r="I198" s="190">
        <f>IFERROR(VLOOKUP(F198, LEVEL_HELPER!$A:$B, 2, 0), "")</f>
        <v>3.5</v>
      </c>
      <c r="J198" s="190" t="str">
        <f>IFERROR(VLOOKUP(G198, LEVEL_HELPER!$A:$B, 2, 0), "")</f>
        <v/>
      </c>
      <c r="K198" s="190">
        <f t="shared" ref="K198:L198" si="398">IF(OR(I198="", I198=0), "",
  IF(I198&lt;=2,   1,
  IF(I198&lt;=4,   2,
  IF(I198&lt;=5.5, 3, 4))))</f>
        <v>2</v>
      </c>
      <c r="L198" s="190" t="str">
        <f t="shared" si="398"/>
        <v/>
      </c>
      <c r="M198" s="190" t="str">
        <f t="shared" si="4"/>
        <v>No Data</v>
      </c>
      <c r="N198" s="220" t="s">
        <v>943</v>
      </c>
      <c r="O198" s="220" t="s">
        <v>926</v>
      </c>
      <c r="P198" s="190">
        <f t="shared" si="5"/>
        <v>1</v>
      </c>
      <c r="Q198" s="210">
        <f t="shared" si="6"/>
        <v>3.5</v>
      </c>
      <c r="R198" s="210">
        <f t="shared" ref="R198:S198" si="399">IF(OR(P198="", P198=0), "",
  IF(P198&lt;=2,   1,
  IF(P198&lt;=4,   2,
  IF(P198&lt;=5.5, 3, 4))))</f>
        <v>1</v>
      </c>
      <c r="S198" s="210">
        <f t="shared" si="399"/>
        <v>2</v>
      </c>
      <c r="T198" s="210" t="str">
        <f t="shared" si="8"/>
        <v>Lv1 → Lv2</v>
      </c>
      <c r="U198" s="210">
        <f t="shared" si="9"/>
        <v>0</v>
      </c>
      <c r="V198" s="210"/>
    </row>
    <row r="199">
      <c r="A199" s="220" t="s">
        <v>167</v>
      </c>
      <c r="B199" s="190" t="s">
        <v>168</v>
      </c>
      <c r="C199" s="223" t="s">
        <v>70</v>
      </c>
      <c r="D199" s="223" t="s">
        <v>863</v>
      </c>
      <c r="E199" s="190" t="s">
        <v>22</v>
      </c>
      <c r="F199" s="13" t="s">
        <v>929</v>
      </c>
      <c r="G199" s="13" t="s">
        <v>929</v>
      </c>
      <c r="H199" s="219">
        <f>IFERROR(
  MINIFS(ATTENDANCE_LOG!$F:$F,
         ATTENDANCE_LOG!$A:$A, C199,
         ATTENDANCE_LOG!$B:$B, E199),
"")</f>
        <v>45841.58333</v>
      </c>
      <c r="I199" s="190">
        <f>IFERROR(VLOOKUP(F199, LEVEL_HELPER!$A:$B, 2, 0), "")</f>
        <v>1.5</v>
      </c>
      <c r="J199" s="190">
        <f>IFERROR(VLOOKUP(G199, LEVEL_HELPER!$A:$B, 2, 0), "")</f>
        <v>1.5</v>
      </c>
      <c r="K199" s="190">
        <f t="shared" ref="K199:L199" si="400">IF(OR(I199="", I199=0), "",
  IF(I199&lt;=2,   1,
  IF(I199&lt;=4,   2,
  IF(I199&lt;=5.5, 3, 4))))</f>
        <v>1</v>
      </c>
      <c r="L199" s="190">
        <f t="shared" si="400"/>
        <v>1</v>
      </c>
      <c r="M199" s="190" t="str">
        <f t="shared" si="4"/>
        <v>No Progress</v>
      </c>
      <c r="N199" s="220" t="s">
        <v>919</v>
      </c>
      <c r="O199" s="220" t="s">
        <v>923</v>
      </c>
      <c r="P199" s="190">
        <f t="shared" si="5"/>
        <v>1</v>
      </c>
      <c r="Q199" s="210">
        <f t="shared" si="6"/>
        <v>1.5</v>
      </c>
      <c r="R199" s="210">
        <f t="shared" ref="R199:S199" si="401">IF(OR(P199="", P199=0), "",
  IF(P199&lt;=2,   1,
  IF(P199&lt;=4,   2,
  IF(P199&lt;=5.5, 3, 4))))</f>
        <v>1</v>
      </c>
      <c r="S199" s="210">
        <f t="shared" si="401"/>
        <v>1</v>
      </c>
      <c r="T199" s="210" t="str">
        <f t="shared" si="8"/>
        <v>Progress within level</v>
      </c>
      <c r="U199" s="210">
        <f t="shared" si="9"/>
        <v>0</v>
      </c>
      <c r="V199" s="210"/>
    </row>
    <row r="200">
      <c r="A200" s="220" t="s">
        <v>184</v>
      </c>
      <c r="B200" s="190" t="s">
        <v>185</v>
      </c>
      <c r="C200" s="223" t="s">
        <v>70</v>
      </c>
      <c r="D200" s="223" t="s">
        <v>863</v>
      </c>
      <c r="E200" s="190" t="s">
        <v>22</v>
      </c>
      <c r="F200" s="13" t="s">
        <v>935</v>
      </c>
      <c r="G200" s="190"/>
      <c r="H200" s="219">
        <f>IFERROR(
  MINIFS(ATTENDANCE_LOG!$F:$F,
         ATTENDANCE_LOG!$A:$A, C200,
         ATTENDANCE_LOG!$B:$B, E200),
"")</f>
        <v>45841.58333</v>
      </c>
      <c r="I200" s="190">
        <f>IFERROR(VLOOKUP(F200, LEVEL_HELPER!$A:$B, 2, 0), "")</f>
        <v>3.5</v>
      </c>
      <c r="J200" s="190" t="str">
        <f>IFERROR(VLOOKUP(G200, LEVEL_HELPER!$A:$B, 2, 0), "")</f>
        <v/>
      </c>
      <c r="K200" s="190">
        <f t="shared" ref="K200:L200" si="402">IF(OR(I200="", I200=0), "",
  IF(I200&lt;=2,   1,
  IF(I200&lt;=4,   2,
  IF(I200&lt;=5.5, 3, 4))))</f>
        <v>2</v>
      </c>
      <c r="L200" s="190" t="str">
        <f t="shared" si="402"/>
        <v/>
      </c>
      <c r="M200" s="190" t="str">
        <f t="shared" si="4"/>
        <v>No Data</v>
      </c>
      <c r="N200" s="220" t="s">
        <v>943</v>
      </c>
      <c r="O200" s="220" t="s">
        <v>926</v>
      </c>
      <c r="P200" s="190">
        <f t="shared" si="5"/>
        <v>1</v>
      </c>
      <c r="Q200" s="210">
        <f t="shared" si="6"/>
        <v>3.5</v>
      </c>
      <c r="R200" s="210">
        <f t="shared" ref="R200:S200" si="403">IF(OR(P200="", P200=0), "",
  IF(P200&lt;=2,   1,
  IF(P200&lt;=4,   2,
  IF(P200&lt;=5.5, 3, 4))))</f>
        <v>1</v>
      </c>
      <c r="S200" s="210">
        <f t="shared" si="403"/>
        <v>2</v>
      </c>
      <c r="T200" s="210" t="str">
        <f t="shared" si="8"/>
        <v>Lv1 → Lv2</v>
      </c>
      <c r="U200" s="210">
        <f t="shared" si="9"/>
        <v>0</v>
      </c>
      <c r="V200" s="210"/>
    </row>
    <row r="201">
      <c r="A201" s="220" t="s">
        <v>188</v>
      </c>
      <c r="B201" s="190" t="s">
        <v>189</v>
      </c>
      <c r="C201" s="223" t="s">
        <v>70</v>
      </c>
      <c r="D201" s="223" t="s">
        <v>863</v>
      </c>
      <c r="E201" s="190" t="s">
        <v>22</v>
      </c>
      <c r="F201" s="13" t="s">
        <v>935</v>
      </c>
      <c r="G201" s="190"/>
      <c r="H201" s="219">
        <f>IFERROR(
  MINIFS(ATTENDANCE_LOG!$F:$F,
         ATTENDANCE_LOG!$A:$A, C201,
         ATTENDANCE_LOG!$B:$B, E201),
"")</f>
        <v>45841.58333</v>
      </c>
      <c r="I201" s="190">
        <f>IFERROR(VLOOKUP(F201, LEVEL_HELPER!$A:$B, 2, 0), "")</f>
        <v>3.5</v>
      </c>
      <c r="J201" s="190" t="str">
        <f>IFERROR(VLOOKUP(G201, LEVEL_HELPER!$A:$B, 2, 0), "")</f>
        <v/>
      </c>
      <c r="K201" s="190">
        <f t="shared" ref="K201:L201" si="404">IF(OR(I201="", I201=0), "",
  IF(I201&lt;=2,   1,
  IF(I201&lt;=4,   2,
  IF(I201&lt;=5.5, 3, 4))))</f>
        <v>2</v>
      </c>
      <c r="L201" s="190" t="str">
        <f t="shared" si="404"/>
        <v/>
      </c>
      <c r="M201" s="190" t="str">
        <f t="shared" si="4"/>
        <v>No Data</v>
      </c>
      <c r="N201" s="220" t="s">
        <v>919</v>
      </c>
      <c r="O201" s="220" t="s">
        <v>923</v>
      </c>
      <c r="P201" s="190">
        <f t="shared" si="5"/>
        <v>1</v>
      </c>
      <c r="Q201" s="210">
        <f t="shared" si="6"/>
        <v>3.5</v>
      </c>
      <c r="R201" s="210">
        <f t="shared" ref="R201:S201" si="405">IF(OR(P201="", P201=0), "",
  IF(P201&lt;=2,   1,
  IF(P201&lt;=4,   2,
  IF(P201&lt;=5.5, 3, 4))))</f>
        <v>1</v>
      </c>
      <c r="S201" s="210">
        <f t="shared" si="405"/>
        <v>2</v>
      </c>
      <c r="T201" s="210" t="str">
        <f t="shared" si="8"/>
        <v>Lv1 → Lv2</v>
      </c>
      <c r="U201" s="210">
        <f t="shared" si="9"/>
        <v>0</v>
      </c>
      <c r="V201" s="210"/>
    </row>
    <row r="202">
      <c r="A202" s="220" t="s">
        <v>697</v>
      </c>
      <c r="B202" s="190" t="s">
        <v>698</v>
      </c>
      <c r="C202" s="223" t="s">
        <v>70</v>
      </c>
      <c r="D202" s="223" t="s">
        <v>863</v>
      </c>
      <c r="E202" s="190" t="s">
        <v>22</v>
      </c>
      <c r="F202" s="13" t="s">
        <v>935</v>
      </c>
      <c r="G202" s="190"/>
      <c r="H202" s="219">
        <f>IFERROR(
  MINIFS(ATTENDANCE_LOG!$F:$F,
         ATTENDANCE_LOG!$A:$A, C202,
         ATTENDANCE_LOG!$B:$B, E202),
"")</f>
        <v>45841.58333</v>
      </c>
      <c r="I202" s="190">
        <f>IFERROR(VLOOKUP(F202, LEVEL_HELPER!$A:$B, 2, 0), "")</f>
        <v>3.5</v>
      </c>
      <c r="J202" s="190" t="str">
        <f>IFERROR(VLOOKUP(G202, LEVEL_HELPER!$A:$B, 2, 0), "")</f>
        <v/>
      </c>
      <c r="K202" s="190">
        <f t="shared" ref="K202:L202" si="406">IF(OR(I202="", I202=0), "",
  IF(I202&lt;=2,   1,
  IF(I202&lt;=4,   2,
  IF(I202&lt;=5.5, 3, 4))))</f>
        <v>2</v>
      </c>
      <c r="L202" s="190" t="str">
        <f t="shared" si="406"/>
        <v/>
      </c>
      <c r="M202" s="190" t="str">
        <f t="shared" si="4"/>
        <v>No Data</v>
      </c>
      <c r="N202" s="220" t="s">
        <v>943</v>
      </c>
      <c r="O202" s="220" t="s">
        <v>926</v>
      </c>
      <c r="P202" s="190">
        <f t="shared" si="5"/>
        <v>1</v>
      </c>
      <c r="Q202" s="210">
        <f t="shared" si="6"/>
        <v>3</v>
      </c>
      <c r="R202" s="210">
        <f t="shared" ref="R202:S202" si="407">IF(OR(P202="", P202=0), "",
  IF(P202&lt;=2,   1,
  IF(P202&lt;=4,   2,
  IF(P202&lt;=5.5, 3, 4))))</f>
        <v>1</v>
      </c>
      <c r="S202" s="210">
        <f t="shared" si="407"/>
        <v>2</v>
      </c>
      <c r="T202" s="210" t="str">
        <f t="shared" si="8"/>
        <v>Lv1 → Lv2</v>
      </c>
      <c r="U202" s="210">
        <f t="shared" si="9"/>
        <v>0</v>
      </c>
      <c r="V202" s="210"/>
    </row>
    <row r="203">
      <c r="A203" s="247" t="s">
        <v>631</v>
      </c>
      <c r="B203" s="217" t="s">
        <v>632</v>
      </c>
      <c r="C203" s="218" t="s">
        <v>71</v>
      </c>
      <c r="D203" s="218" t="s">
        <v>864</v>
      </c>
      <c r="E203" s="217" t="s">
        <v>24</v>
      </c>
      <c r="F203" s="13" t="s">
        <v>932</v>
      </c>
      <c r="G203" s="13" t="s">
        <v>950</v>
      </c>
      <c r="H203" s="219">
        <f>IFERROR(
  MINIFS(ATTENDANCE_LOG!$F:$F,
         ATTENDANCE_LOG!$A:$A, C203,
         ATTENDANCE_LOG!$B:$B, E203),
"")</f>
        <v>45713.58333</v>
      </c>
      <c r="I203" s="190">
        <f>IFERROR(VLOOKUP(F203, LEVEL_HELPER!$A:$B, 2, 0), "")</f>
        <v>4.5</v>
      </c>
      <c r="J203" s="190">
        <f>IFERROR(VLOOKUP(G203, LEVEL_HELPER!$A:$B, 2, 0), "")</f>
        <v>6</v>
      </c>
      <c r="K203" s="190">
        <f t="shared" ref="K203:L203" si="408">IF(OR(I203="", I203=0), "",
  IF(I203&lt;=2,   1,
  IF(I203&lt;=4,   2,
  IF(I203&lt;=5.5, 3, 4))))</f>
        <v>3</v>
      </c>
      <c r="L203" s="190">
        <f t="shared" si="408"/>
        <v>4</v>
      </c>
      <c r="M203" s="190" t="str">
        <f t="shared" si="4"/>
        <v>Lv3 → Lv4</v>
      </c>
      <c r="N203" s="220" t="s">
        <v>951</v>
      </c>
      <c r="O203" s="220" t="s">
        <v>923</v>
      </c>
      <c r="P203" s="190">
        <f t="shared" si="5"/>
        <v>4.5</v>
      </c>
      <c r="Q203" s="210">
        <f t="shared" si="6"/>
        <v>6</v>
      </c>
      <c r="R203" s="210">
        <f t="shared" ref="R203:S203" si="409">IF(OR(P203="", P203=0), "",
  IF(P203&lt;=2,   1,
  IF(P203&lt;=4,   2,
  IF(P203&lt;=5.5, 3, 4))))</f>
        <v>3</v>
      </c>
      <c r="S203" s="210">
        <f t="shared" si="409"/>
        <v>4</v>
      </c>
      <c r="T203" s="210" t="str">
        <f t="shared" si="8"/>
        <v>Lv3 → Lv4</v>
      </c>
      <c r="U203" s="210">
        <f t="shared" si="9"/>
        <v>1</v>
      </c>
      <c r="V203" s="210"/>
    </row>
    <row r="204">
      <c r="A204" s="220" t="s">
        <v>288</v>
      </c>
      <c r="B204" s="190" t="s">
        <v>289</v>
      </c>
      <c r="C204" s="223" t="s">
        <v>71</v>
      </c>
      <c r="D204" s="223" t="s">
        <v>864</v>
      </c>
      <c r="E204" s="190" t="s">
        <v>24</v>
      </c>
      <c r="F204" s="13" t="s">
        <v>932</v>
      </c>
      <c r="G204" s="13" t="s">
        <v>950</v>
      </c>
      <c r="H204" s="219">
        <f>IFERROR(
  MINIFS(ATTENDANCE_LOG!$F:$F,
         ATTENDANCE_LOG!$A:$A, C204,
         ATTENDANCE_LOG!$B:$B, E204),
"")</f>
        <v>45713.58333</v>
      </c>
      <c r="I204" s="190">
        <f>IFERROR(VLOOKUP(F204, LEVEL_HELPER!$A:$B, 2, 0), "")</f>
        <v>4.5</v>
      </c>
      <c r="J204" s="190">
        <f>IFERROR(VLOOKUP(G204, LEVEL_HELPER!$A:$B, 2, 0), "")</f>
        <v>6</v>
      </c>
      <c r="K204" s="190">
        <f t="shared" ref="K204:L204" si="410">IF(OR(I204="", I204=0), "",
  IF(I204&lt;=2,   1,
  IF(I204&lt;=4,   2,
  IF(I204&lt;=5.5, 3, 4))))</f>
        <v>3</v>
      </c>
      <c r="L204" s="190">
        <f t="shared" si="410"/>
        <v>4</v>
      </c>
      <c r="M204" s="190" t="str">
        <f t="shared" si="4"/>
        <v>Lv3 → Lv4</v>
      </c>
      <c r="N204" s="220" t="s">
        <v>951</v>
      </c>
      <c r="O204" s="220" t="s">
        <v>923</v>
      </c>
      <c r="P204" s="190">
        <f t="shared" si="5"/>
        <v>4.5</v>
      </c>
      <c r="Q204" s="210">
        <f t="shared" si="6"/>
        <v>6</v>
      </c>
      <c r="R204" s="210">
        <f t="shared" ref="R204:S204" si="411">IF(OR(P204="", P204=0), "",
  IF(P204&lt;=2,   1,
  IF(P204&lt;=4,   2,
  IF(P204&lt;=5.5, 3, 4))))</f>
        <v>3</v>
      </c>
      <c r="S204" s="210">
        <f t="shared" si="411"/>
        <v>4</v>
      </c>
      <c r="T204" s="210" t="str">
        <f t="shared" si="8"/>
        <v>Lv3 → Lv4</v>
      </c>
      <c r="U204" s="210">
        <f t="shared" si="9"/>
        <v>1</v>
      </c>
      <c r="V204" s="210"/>
    </row>
    <row r="205">
      <c r="A205" s="220" t="s">
        <v>348</v>
      </c>
      <c r="B205" s="190" t="s">
        <v>349</v>
      </c>
      <c r="C205" s="223" t="s">
        <v>71</v>
      </c>
      <c r="D205" s="223" t="s">
        <v>864</v>
      </c>
      <c r="E205" s="190" t="s">
        <v>24</v>
      </c>
      <c r="F205" s="13" t="s">
        <v>932</v>
      </c>
      <c r="G205" s="190"/>
      <c r="H205" s="219">
        <f>IFERROR(
  MINIFS(ATTENDANCE_LOG!$F:$F,
         ATTENDANCE_LOG!$A:$A, C205,
         ATTENDANCE_LOG!$B:$B, E205),
"")</f>
        <v>45713.58333</v>
      </c>
      <c r="I205" s="190">
        <f>IFERROR(VLOOKUP(F205, LEVEL_HELPER!$A:$B, 2, 0), "")</f>
        <v>4.5</v>
      </c>
      <c r="J205" s="190" t="str">
        <f>IFERROR(VLOOKUP(G205, LEVEL_HELPER!$A:$B, 2, 0), "")</f>
        <v/>
      </c>
      <c r="K205" s="190">
        <f t="shared" ref="K205:L205" si="412">IF(OR(I205="", I205=0), "",
  IF(I205&lt;=2,   1,
  IF(I205&lt;=4,   2,
  IF(I205&lt;=5.5, 3, 4))))</f>
        <v>3</v>
      </c>
      <c r="L205" s="190" t="str">
        <f t="shared" si="412"/>
        <v/>
      </c>
      <c r="M205" s="190" t="str">
        <f t="shared" si="4"/>
        <v>No Data</v>
      </c>
      <c r="N205" s="220" t="s">
        <v>952</v>
      </c>
      <c r="O205" s="220" t="s">
        <v>921</v>
      </c>
      <c r="P205" s="190">
        <f t="shared" si="5"/>
        <v>2.5</v>
      </c>
      <c r="Q205" s="210">
        <f t="shared" si="6"/>
        <v>4.5</v>
      </c>
      <c r="R205" s="210">
        <f t="shared" ref="R205:S205" si="413">IF(OR(P205="", P205=0), "",
  IF(P205&lt;=2,   1,
  IF(P205&lt;=4,   2,
  IF(P205&lt;=5.5, 3, 4))))</f>
        <v>2</v>
      </c>
      <c r="S205" s="210">
        <f t="shared" si="413"/>
        <v>3</v>
      </c>
      <c r="T205" s="210" t="str">
        <f t="shared" si="8"/>
        <v>Lv2 → Lv3</v>
      </c>
      <c r="U205" s="210">
        <f t="shared" si="9"/>
        <v>0</v>
      </c>
      <c r="V205" s="210"/>
    </row>
    <row r="206">
      <c r="A206" s="220" t="s">
        <v>570</v>
      </c>
      <c r="B206" s="190" t="s">
        <v>571</v>
      </c>
      <c r="C206" s="223" t="s">
        <v>71</v>
      </c>
      <c r="D206" s="223" t="s">
        <v>864</v>
      </c>
      <c r="E206" s="190" t="s">
        <v>24</v>
      </c>
      <c r="F206" s="13" t="s">
        <v>932</v>
      </c>
      <c r="G206" s="13" t="s">
        <v>950</v>
      </c>
      <c r="H206" s="219">
        <f>IFERROR(
  MINIFS(ATTENDANCE_LOG!$F:$F,
         ATTENDANCE_LOG!$A:$A, C206,
         ATTENDANCE_LOG!$B:$B, E206),
"")</f>
        <v>45713.58333</v>
      </c>
      <c r="I206" s="190">
        <f>IFERROR(VLOOKUP(F206, LEVEL_HELPER!$A:$B, 2, 0), "")</f>
        <v>4.5</v>
      </c>
      <c r="J206" s="190">
        <f>IFERROR(VLOOKUP(G206, LEVEL_HELPER!$A:$B, 2, 0), "")</f>
        <v>6</v>
      </c>
      <c r="K206" s="190">
        <f t="shared" ref="K206:L206" si="414">IF(OR(I206="", I206=0), "",
  IF(I206&lt;=2,   1,
  IF(I206&lt;=4,   2,
  IF(I206&lt;=5.5, 3, 4))))</f>
        <v>3</v>
      </c>
      <c r="L206" s="190">
        <f t="shared" si="414"/>
        <v>4</v>
      </c>
      <c r="M206" s="190" t="str">
        <f t="shared" si="4"/>
        <v>Lv3 → Lv4</v>
      </c>
      <c r="N206" s="220" t="s">
        <v>951</v>
      </c>
      <c r="O206" s="220" t="s">
        <v>969</v>
      </c>
      <c r="P206" s="190">
        <f t="shared" si="5"/>
        <v>4.5</v>
      </c>
      <c r="Q206" s="210">
        <f t="shared" si="6"/>
        <v>6</v>
      </c>
      <c r="R206" s="210">
        <f t="shared" ref="R206:S206" si="415">IF(OR(P206="", P206=0), "",
  IF(P206&lt;=2,   1,
  IF(P206&lt;=4,   2,
  IF(P206&lt;=5.5, 3, 4))))</f>
        <v>3</v>
      </c>
      <c r="S206" s="210">
        <f t="shared" si="415"/>
        <v>4</v>
      </c>
      <c r="T206" s="210" t="str">
        <f t="shared" si="8"/>
        <v>Lv3 → Lv4</v>
      </c>
      <c r="U206" s="210">
        <f t="shared" si="9"/>
        <v>1</v>
      </c>
      <c r="V206" s="210"/>
    </row>
    <row r="207">
      <c r="A207" s="220" t="s">
        <v>619</v>
      </c>
      <c r="B207" s="190" t="s">
        <v>620</v>
      </c>
      <c r="C207" s="223" t="s">
        <v>71</v>
      </c>
      <c r="D207" s="223" t="s">
        <v>864</v>
      </c>
      <c r="E207" s="190" t="s">
        <v>24</v>
      </c>
      <c r="F207" s="13" t="s">
        <v>932</v>
      </c>
      <c r="G207" s="13" t="s">
        <v>950</v>
      </c>
      <c r="H207" s="219">
        <f>IFERROR(
  MINIFS(ATTENDANCE_LOG!$F:$F,
         ATTENDANCE_LOG!$A:$A, C207,
         ATTENDANCE_LOG!$B:$B, E207),
"")</f>
        <v>45713.58333</v>
      </c>
      <c r="I207" s="190">
        <f>IFERROR(VLOOKUP(F207, LEVEL_HELPER!$A:$B, 2, 0), "")</f>
        <v>4.5</v>
      </c>
      <c r="J207" s="190">
        <f>IFERROR(VLOOKUP(G207, LEVEL_HELPER!$A:$B, 2, 0), "")</f>
        <v>6</v>
      </c>
      <c r="K207" s="190">
        <f t="shared" ref="K207:L207" si="416">IF(OR(I207="", I207=0), "",
  IF(I207&lt;=2,   1,
  IF(I207&lt;=4,   2,
  IF(I207&lt;=5.5, 3, 4))))</f>
        <v>3</v>
      </c>
      <c r="L207" s="190">
        <f t="shared" si="416"/>
        <v>4</v>
      </c>
      <c r="M207" s="190" t="str">
        <f t="shared" si="4"/>
        <v>Lv3 → Lv4</v>
      </c>
      <c r="N207" s="220" t="s">
        <v>951</v>
      </c>
      <c r="O207" s="220" t="s">
        <v>923</v>
      </c>
      <c r="P207" s="190">
        <f t="shared" si="5"/>
        <v>4.5</v>
      </c>
      <c r="Q207" s="210">
        <f t="shared" si="6"/>
        <v>6</v>
      </c>
      <c r="R207" s="210">
        <f t="shared" ref="R207:S207" si="417">IF(OR(P207="", P207=0), "",
  IF(P207&lt;=2,   1,
  IF(P207&lt;=4,   2,
  IF(P207&lt;=5.5, 3, 4))))</f>
        <v>3</v>
      </c>
      <c r="S207" s="210">
        <f t="shared" si="417"/>
        <v>4</v>
      </c>
      <c r="T207" s="210" t="str">
        <f t="shared" si="8"/>
        <v>Lv3 → Lv4</v>
      </c>
      <c r="U207" s="210">
        <f t="shared" si="9"/>
        <v>1</v>
      </c>
      <c r="V207" s="210"/>
    </row>
    <row r="208">
      <c r="A208" s="220" t="s">
        <v>635</v>
      </c>
      <c r="B208" s="190" t="s">
        <v>636</v>
      </c>
      <c r="C208" s="223" t="s">
        <v>71</v>
      </c>
      <c r="D208" s="223" t="s">
        <v>864</v>
      </c>
      <c r="E208" s="190" t="s">
        <v>24</v>
      </c>
      <c r="F208" s="13" t="s">
        <v>932</v>
      </c>
      <c r="G208" s="13" t="s">
        <v>950</v>
      </c>
      <c r="H208" s="219">
        <f>IFERROR(
  MINIFS(ATTENDANCE_LOG!$F:$F,
         ATTENDANCE_LOG!$A:$A, C208,
         ATTENDANCE_LOG!$B:$B, E208),
"")</f>
        <v>45713.58333</v>
      </c>
      <c r="I208" s="190">
        <f>IFERROR(VLOOKUP(F208, LEVEL_HELPER!$A:$B, 2, 0), "")</f>
        <v>4.5</v>
      </c>
      <c r="J208" s="190">
        <f>IFERROR(VLOOKUP(G208, LEVEL_HELPER!$A:$B, 2, 0), "")</f>
        <v>6</v>
      </c>
      <c r="K208" s="190">
        <f t="shared" ref="K208:L208" si="418">IF(OR(I208="", I208=0), "",
  IF(I208&lt;=2,   1,
  IF(I208&lt;=4,   2,
  IF(I208&lt;=5.5, 3, 4))))</f>
        <v>3</v>
      </c>
      <c r="L208" s="190">
        <f t="shared" si="418"/>
        <v>4</v>
      </c>
      <c r="M208" s="190" t="str">
        <f t="shared" si="4"/>
        <v>Lv3 → Lv4</v>
      </c>
      <c r="N208" s="220" t="s">
        <v>919</v>
      </c>
      <c r="O208" s="220" t="s">
        <v>923</v>
      </c>
      <c r="P208" s="190">
        <f t="shared" si="5"/>
        <v>4.5</v>
      </c>
      <c r="Q208" s="210">
        <f t="shared" si="6"/>
        <v>6</v>
      </c>
      <c r="R208" s="210">
        <f t="shared" ref="R208:S208" si="419">IF(OR(P208="", P208=0), "",
  IF(P208&lt;=2,   1,
  IF(P208&lt;=4,   2,
  IF(P208&lt;=5.5, 3, 4))))</f>
        <v>3</v>
      </c>
      <c r="S208" s="210">
        <f t="shared" si="419"/>
        <v>4</v>
      </c>
      <c r="T208" s="210" t="str">
        <f t="shared" si="8"/>
        <v>Lv3 → Lv4</v>
      </c>
      <c r="U208" s="210">
        <f t="shared" si="9"/>
        <v>1</v>
      </c>
      <c r="V208" s="210"/>
    </row>
    <row r="209">
      <c r="A209" s="220" t="s">
        <v>667</v>
      </c>
      <c r="B209" s="190" t="s">
        <v>668</v>
      </c>
      <c r="C209" s="223" t="s">
        <v>71</v>
      </c>
      <c r="D209" s="223" t="s">
        <v>864</v>
      </c>
      <c r="E209" s="190" t="s">
        <v>24</v>
      </c>
      <c r="F209" s="13" t="s">
        <v>932</v>
      </c>
      <c r="G209" s="13" t="s">
        <v>950</v>
      </c>
      <c r="H209" s="219">
        <f>IFERROR(
  MINIFS(ATTENDANCE_LOG!$F:$F,
         ATTENDANCE_LOG!$A:$A, C209,
         ATTENDANCE_LOG!$B:$B, E209),
"")</f>
        <v>45713.58333</v>
      </c>
      <c r="I209" s="190">
        <f>IFERROR(VLOOKUP(F209, LEVEL_HELPER!$A:$B, 2, 0), "")</f>
        <v>4.5</v>
      </c>
      <c r="J209" s="190">
        <f>IFERROR(VLOOKUP(G209, LEVEL_HELPER!$A:$B, 2, 0), "")</f>
        <v>6</v>
      </c>
      <c r="K209" s="190">
        <f t="shared" ref="K209:L209" si="420">IF(OR(I209="", I209=0), "",
  IF(I209&lt;=2,   1,
  IF(I209&lt;=4,   2,
  IF(I209&lt;=5.5, 3, 4))))</f>
        <v>3</v>
      </c>
      <c r="L209" s="190">
        <f t="shared" si="420"/>
        <v>4</v>
      </c>
      <c r="M209" s="190" t="str">
        <f t="shared" si="4"/>
        <v>Lv3 → Lv4</v>
      </c>
      <c r="N209" s="220" t="s">
        <v>945</v>
      </c>
      <c r="O209" s="220" t="s">
        <v>969</v>
      </c>
      <c r="P209" s="190">
        <f t="shared" si="5"/>
        <v>4.5</v>
      </c>
      <c r="Q209" s="210">
        <f t="shared" si="6"/>
        <v>6</v>
      </c>
      <c r="R209" s="210">
        <f t="shared" ref="R209:S209" si="421">IF(OR(P209="", P209=0), "",
  IF(P209&lt;=2,   1,
  IF(P209&lt;=4,   2,
  IF(P209&lt;=5.5, 3, 4))))</f>
        <v>3</v>
      </c>
      <c r="S209" s="210">
        <f t="shared" si="421"/>
        <v>4</v>
      </c>
      <c r="T209" s="210" t="str">
        <f t="shared" si="8"/>
        <v>Lv3 → Lv4</v>
      </c>
      <c r="U209" s="210">
        <f t="shared" si="9"/>
        <v>1</v>
      </c>
      <c r="V209" s="210"/>
    </row>
    <row r="210">
      <c r="A210" s="247" t="s">
        <v>683</v>
      </c>
      <c r="B210" s="217" t="s">
        <v>684</v>
      </c>
      <c r="C210" s="218" t="s">
        <v>72</v>
      </c>
      <c r="D210" s="218" t="s">
        <v>865</v>
      </c>
      <c r="E210" s="217" t="s">
        <v>21</v>
      </c>
      <c r="F210" s="13" t="s">
        <v>927</v>
      </c>
      <c r="G210" s="13" t="s">
        <v>918</v>
      </c>
      <c r="H210" s="219">
        <f>IFERROR(
  MINIFS(ATTENDANCE_LOG!$F:$F,
         ATTENDANCE_LOG!$A:$A, C210,
         ATTENDANCE_LOG!$B:$B, E210),
"")</f>
        <v>45670.54167</v>
      </c>
      <c r="I210" s="190">
        <f>IFERROR(VLOOKUP(F210, LEVEL_HELPER!$A:$B, 2, 0), "")</f>
        <v>1</v>
      </c>
      <c r="J210" s="190">
        <f>IFERROR(VLOOKUP(G210, LEVEL_HELPER!$A:$B, 2, 0), "")</f>
        <v>3</v>
      </c>
      <c r="K210" s="190">
        <f t="shared" ref="K210:L210" si="422">IF(OR(I210="", I210=0), "",
  IF(I210&lt;=2,   1,
  IF(I210&lt;=4,   2,
  IF(I210&lt;=5.5, 3, 4))))</f>
        <v>1</v>
      </c>
      <c r="L210" s="190">
        <f t="shared" si="422"/>
        <v>2</v>
      </c>
      <c r="M210" s="190" t="str">
        <f t="shared" si="4"/>
        <v>Lv1 → Lv2</v>
      </c>
      <c r="N210" s="220" t="s">
        <v>943</v>
      </c>
      <c r="O210" s="220" t="s">
        <v>920</v>
      </c>
      <c r="P210" s="190">
        <f t="shared" si="5"/>
        <v>1</v>
      </c>
      <c r="Q210" s="210">
        <f t="shared" si="6"/>
        <v>3.5</v>
      </c>
      <c r="R210" s="210">
        <f t="shared" ref="R210:S210" si="423">IF(OR(P210="", P210=0), "",
  IF(P210&lt;=2,   1,
  IF(P210&lt;=4,   2,
  IF(P210&lt;=5.5, 3, 4))))</f>
        <v>1</v>
      </c>
      <c r="S210" s="210">
        <f t="shared" si="423"/>
        <v>2</v>
      </c>
      <c r="T210" s="210" t="str">
        <f t="shared" si="8"/>
        <v>Lv1 → Lv2</v>
      </c>
      <c r="U210" s="210">
        <f t="shared" si="9"/>
        <v>1</v>
      </c>
      <c r="V210" s="210"/>
    </row>
    <row r="211">
      <c r="A211" s="220" t="s">
        <v>265</v>
      </c>
      <c r="B211" s="190" t="s">
        <v>266</v>
      </c>
      <c r="C211" s="223" t="s">
        <v>72</v>
      </c>
      <c r="D211" s="223" t="s">
        <v>865</v>
      </c>
      <c r="E211" s="190" t="s">
        <v>21</v>
      </c>
      <c r="F211" s="13" t="s">
        <v>927</v>
      </c>
      <c r="G211" s="13" t="s">
        <v>918</v>
      </c>
      <c r="H211" s="219">
        <f>IFERROR(
  MINIFS(ATTENDANCE_LOG!$F:$F,
         ATTENDANCE_LOG!$A:$A, C211,
         ATTENDANCE_LOG!$B:$B, E211),
"")</f>
        <v>45670.54167</v>
      </c>
      <c r="I211" s="190">
        <f>IFERROR(VLOOKUP(F211, LEVEL_HELPER!$A:$B, 2, 0), "")</f>
        <v>1</v>
      </c>
      <c r="J211" s="190">
        <f>IFERROR(VLOOKUP(G211, LEVEL_HELPER!$A:$B, 2, 0), "")</f>
        <v>3</v>
      </c>
      <c r="K211" s="190">
        <f t="shared" ref="K211:L211" si="424">IF(OR(I211="", I211=0), "",
  IF(I211&lt;=2,   1,
  IF(I211&lt;=4,   2,
  IF(I211&lt;=5.5, 3, 4))))</f>
        <v>1</v>
      </c>
      <c r="L211" s="190">
        <f t="shared" si="424"/>
        <v>2</v>
      </c>
      <c r="M211" s="190" t="str">
        <f t="shared" si="4"/>
        <v>Lv1 → Lv2</v>
      </c>
      <c r="N211" s="220" t="s">
        <v>943</v>
      </c>
      <c r="O211" s="220" t="s">
        <v>920</v>
      </c>
      <c r="P211" s="190">
        <f t="shared" si="5"/>
        <v>1</v>
      </c>
      <c r="Q211" s="210">
        <f t="shared" si="6"/>
        <v>3.5</v>
      </c>
      <c r="R211" s="210">
        <f t="shared" ref="R211:S211" si="425">IF(OR(P211="", P211=0), "",
  IF(P211&lt;=2,   1,
  IF(P211&lt;=4,   2,
  IF(P211&lt;=5.5, 3, 4))))</f>
        <v>1</v>
      </c>
      <c r="S211" s="210">
        <f t="shared" si="425"/>
        <v>2</v>
      </c>
      <c r="T211" s="210" t="str">
        <f t="shared" si="8"/>
        <v>Lv1 → Lv2</v>
      </c>
      <c r="U211" s="210">
        <f t="shared" si="9"/>
        <v>1</v>
      </c>
      <c r="V211" s="210"/>
    </row>
    <row r="212">
      <c r="A212" s="220" t="s">
        <v>108</v>
      </c>
      <c r="B212" s="190" t="s">
        <v>283</v>
      </c>
      <c r="C212" s="223" t="s">
        <v>72</v>
      </c>
      <c r="D212" s="223" t="s">
        <v>865</v>
      </c>
      <c r="E212" s="190" t="s">
        <v>21</v>
      </c>
      <c r="F212" s="13" t="s">
        <v>927</v>
      </c>
      <c r="G212" s="13" t="s">
        <v>918</v>
      </c>
      <c r="H212" s="219">
        <f>IFERROR(
  MINIFS(ATTENDANCE_LOG!$F:$F,
         ATTENDANCE_LOG!$A:$A, C212,
         ATTENDANCE_LOG!$B:$B, E212),
"")</f>
        <v>45670.54167</v>
      </c>
      <c r="I212" s="190">
        <f>IFERROR(VLOOKUP(F212, LEVEL_HELPER!$A:$B, 2, 0), "")</f>
        <v>1</v>
      </c>
      <c r="J212" s="190">
        <f>IFERROR(VLOOKUP(G212, LEVEL_HELPER!$A:$B, 2, 0), "")</f>
        <v>3</v>
      </c>
      <c r="K212" s="190">
        <f t="shared" ref="K212:L212" si="426">IF(OR(I212="", I212=0), "",
  IF(I212&lt;=2,   1,
  IF(I212&lt;=4,   2,
  IF(I212&lt;=5.5, 3, 4))))</f>
        <v>1</v>
      </c>
      <c r="L212" s="190">
        <f t="shared" si="426"/>
        <v>2</v>
      </c>
      <c r="M212" s="190" t="str">
        <f t="shared" si="4"/>
        <v>Lv1 → Lv2</v>
      </c>
      <c r="N212" s="220" t="s">
        <v>943</v>
      </c>
      <c r="O212" s="220" t="s">
        <v>920</v>
      </c>
      <c r="P212" s="190">
        <f t="shared" si="5"/>
        <v>1</v>
      </c>
      <c r="Q212" s="210">
        <f t="shared" si="6"/>
        <v>3.5</v>
      </c>
      <c r="R212" s="210">
        <f t="shared" ref="R212:S212" si="427">IF(OR(P212="", P212=0), "",
  IF(P212&lt;=2,   1,
  IF(P212&lt;=4,   2,
  IF(P212&lt;=5.5, 3, 4))))</f>
        <v>1</v>
      </c>
      <c r="S212" s="210">
        <f t="shared" si="427"/>
        <v>2</v>
      </c>
      <c r="T212" s="210" t="str">
        <f t="shared" si="8"/>
        <v>Lv1 → Lv2</v>
      </c>
      <c r="U212" s="210">
        <f t="shared" si="9"/>
        <v>1</v>
      </c>
      <c r="V212" s="210"/>
    </row>
    <row r="213">
      <c r="A213" s="220" t="s">
        <v>315</v>
      </c>
      <c r="B213" s="190" t="s">
        <v>316</v>
      </c>
      <c r="C213" s="223" t="s">
        <v>72</v>
      </c>
      <c r="D213" s="223" t="s">
        <v>865</v>
      </c>
      <c r="E213" s="190" t="s">
        <v>21</v>
      </c>
      <c r="F213" s="13" t="s">
        <v>927</v>
      </c>
      <c r="G213" s="13" t="s">
        <v>929</v>
      </c>
      <c r="H213" s="219">
        <f>IFERROR(
  MINIFS(ATTENDANCE_LOG!$F:$F,
         ATTENDANCE_LOG!$A:$A, C213,
         ATTENDANCE_LOG!$B:$B, E213),
"")</f>
        <v>45670.54167</v>
      </c>
      <c r="I213" s="190">
        <f>IFERROR(VLOOKUP(F213, LEVEL_HELPER!$A:$B, 2, 0), "")</f>
        <v>1</v>
      </c>
      <c r="J213" s="190">
        <f>IFERROR(VLOOKUP(G213, LEVEL_HELPER!$A:$B, 2, 0), "")</f>
        <v>1.5</v>
      </c>
      <c r="K213" s="190">
        <f t="shared" ref="K213:L213" si="428">IF(OR(I213="", I213=0), "",
  IF(I213&lt;=2,   1,
  IF(I213&lt;=4,   2,
  IF(I213&lt;=5.5, 3, 4))))</f>
        <v>1</v>
      </c>
      <c r="L213" s="190">
        <f t="shared" si="428"/>
        <v>1</v>
      </c>
      <c r="M213" s="190" t="str">
        <f t="shared" si="4"/>
        <v>Progress within level</v>
      </c>
      <c r="N213" s="220" t="s">
        <v>943</v>
      </c>
      <c r="O213" s="220" t="s">
        <v>926</v>
      </c>
      <c r="P213" s="190">
        <f t="shared" si="5"/>
        <v>1</v>
      </c>
      <c r="Q213" s="210">
        <f t="shared" si="6"/>
        <v>1.5</v>
      </c>
      <c r="R213" s="210">
        <f t="shared" ref="R213:S213" si="429">IF(OR(P213="", P213=0), "",
  IF(P213&lt;=2,   1,
  IF(P213&lt;=4,   2,
  IF(P213&lt;=5.5, 3, 4))))</f>
        <v>1</v>
      </c>
      <c r="S213" s="210">
        <f t="shared" si="429"/>
        <v>1</v>
      </c>
      <c r="T213" s="210" t="str">
        <f t="shared" si="8"/>
        <v>Progress within level</v>
      </c>
      <c r="U213" s="210">
        <f t="shared" si="9"/>
        <v>1</v>
      </c>
      <c r="V213" s="210"/>
    </row>
    <row r="214">
      <c r="A214" s="220" t="s">
        <v>334</v>
      </c>
      <c r="B214" s="190" t="s">
        <v>335</v>
      </c>
      <c r="C214" s="223" t="s">
        <v>72</v>
      </c>
      <c r="D214" s="223" t="s">
        <v>865</v>
      </c>
      <c r="E214" s="190" t="s">
        <v>21</v>
      </c>
      <c r="F214" s="13" t="s">
        <v>917</v>
      </c>
      <c r="G214" s="13" t="s">
        <v>932</v>
      </c>
      <c r="H214" s="219">
        <f>IFERROR(
  MINIFS(ATTENDANCE_LOG!$F:$F,
         ATTENDANCE_LOG!$A:$A, C214,
         ATTENDANCE_LOG!$B:$B, E214),
"")</f>
        <v>45670.54167</v>
      </c>
      <c r="I214" s="190">
        <f>IFERROR(VLOOKUP(F214, LEVEL_HELPER!$A:$B, 2, 0), "")</f>
        <v>2.5</v>
      </c>
      <c r="J214" s="190">
        <f>IFERROR(VLOOKUP(G214, LEVEL_HELPER!$A:$B, 2, 0), "")</f>
        <v>4.5</v>
      </c>
      <c r="K214" s="190">
        <f t="shared" ref="K214:L214" si="430">IF(OR(I214="", I214=0), "",
  IF(I214&lt;=2,   1,
  IF(I214&lt;=4,   2,
  IF(I214&lt;=5.5, 3, 4))))</f>
        <v>2</v>
      </c>
      <c r="L214" s="190">
        <f t="shared" si="430"/>
        <v>3</v>
      </c>
      <c r="M214" s="190" t="str">
        <f t="shared" si="4"/>
        <v>Lv2 → Lv3</v>
      </c>
      <c r="N214" s="220" t="s">
        <v>943</v>
      </c>
      <c r="O214" s="220" t="s">
        <v>926</v>
      </c>
      <c r="P214" s="190">
        <f t="shared" si="5"/>
        <v>2.5</v>
      </c>
      <c r="Q214" s="210">
        <f t="shared" si="6"/>
        <v>4.5</v>
      </c>
      <c r="R214" s="210">
        <f t="shared" ref="R214:S214" si="431">IF(OR(P214="", P214=0), "",
  IF(P214&lt;=2,   1,
  IF(P214&lt;=4,   2,
  IF(P214&lt;=5.5, 3, 4))))</f>
        <v>2</v>
      </c>
      <c r="S214" s="210">
        <f t="shared" si="431"/>
        <v>3</v>
      </c>
      <c r="T214" s="210" t="str">
        <f t="shared" si="8"/>
        <v>Lv2 → Lv3</v>
      </c>
      <c r="U214" s="210">
        <f t="shared" si="9"/>
        <v>1</v>
      </c>
      <c r="V214" s="210"/>
    </row>
    <row r="215">
      <c r="A215" s="220" t="s">
        <v>401</v>
      </c>
      <c r="B215" s="190" t="s">
        <v>402</v>
      </c>
      <c r="C215" s="223" t="s">
        <v>72</v>
      </c>
      <c r="D215" s="223" t="s">
        <v>865</v>
      </c>
      <c r="E215" s="190" t="s">
        <v>21</v>
      </c>
      <c r="F215" s="13" t="s">
        <v>927</v>
      </c>
      <c r="G215" s="13" t="s">
        <v>935</v>
      </c>
      <c r="H215" s="219">
        <f>IFERROR(
  MINIFS(ATTENDANCE_LOG!$F:$F,
         ATTENDANCE_LOG!$A:$A, C215,
         ATTENDANCE_LOG!$B:$B, E215),
"")</f>
        <v>45670.54167</v>
      </c>
      <c r="I215" s="190">
        <f>IFERROR(VLOOKUP(F215, LEVEL_HELPER!$A:$B, 2, 0), "")</f>
        <v>1</v>
      </c>
      <c r="J215" s="190">
        <f>IFERROR(VLOOKUP(G215, LEVEL_HELPER!$A:$B, 2, 0), "")</f>
        <v>3.5</v>
      </c>
      <c r="K215" s="190">
        <f t="shared" ref="K215:L215" si="432">IF(OR(I215="", I215=0), "",
  IF(I215&lt;=2,   1,
  IF(I215&lt;=4,   2,
  IF(I215&lt;=5.5, 3, 4))))</f>
        <v>1</v>
      </c>
      <c r="L215" s="190">
        <f t="shared" si="432"/>
        <v>2</v>
      </c>
      <c r="M215" s="190" t="str">
        <f t="shared" si="4"/>
        <v>Lv1 → Lv2</v>
      </c>
      <c r="N215" s="220" t="s">
        <v>943</v>
      </c>
      <c r="O215" s="220" t="s">
        <v>920</v>
      </c>
      <c r="P215" s="190">
        <f t="shared" si="5"/>
        <v>1</v>
      </c>
      <c r="Q215" s="210">
        <f t="shared" si="6"/>
        <v>4</v>
      </c>
      <c r="R215" s="210">
        <f t="shared" ref="R215:S215" si="433">IF(OR(P215="", P215=0), "",
  IF(P215&lt;=2,   1,
  IF(P215&lt;=4,   2,
  IF(P215&lt;=5.5, 3, 4))))</f>
        <v>1</v>
      </c>
      <c r="S215" s="210">
        <f t="shared" si="433"/>
        <v>2</v>
      </c>
      <c r="T215" s="210" t="str">
        <f t="shared" si="8"/>
        <v>Lv1 → Lv2</v>
      </c>
      <c r="U215" s="210">
        <f t="shared" si="9"/>
        <v>1</v>
      </c>
      <c r="V215" s="210"/>
    </row>
    <row r="216">
      <c r="A216" s="220" t="s">
        <v>572</v>
      </c>
      <c r="B216" s="190" t="s">
        <v>573</v>
      </c>
      <c r="C216" s="223" t="s">
        <v>72</v>
      </c>
      <c r="D216" s="223" t="s">
        <v>865</v>
      </c>
      <c r="E216" s="190" t="s">
        <v>21</v>
      </c>
      <c r="F216" s="13" t="s">
        <v>927</v>
      </c>
      <c r="G216" s="13" t="s">
        <v>918</v>
      </c>
      <c r="H216" s="219">
        <f>IFERROR(
  MINIFS(ATTENDANCE_LOG!$F:$F,
         ATTENDANCE_LOG!$A:$A, C216,
         ATTENDANCE_LOG!$B:$B, E216),
"")</f>
        <v>45670.54167</v>
      </c>
      <c r="I216" s="190">
        <f>IFERROR(VLOOKUP(F216, LEVEL_HELPER!$A:$B, 2, 0), "")</f>
        <v>1</v>
      </c>
      <c r="J216" s="190">
        <f>IFERROR(VLOOKUP(G216, LEVEL_HELPER!$A:$B, 2, 0), "")</f>
        <v>3</v>
      </c>
      <c r="K216" s="190">
        <f t="shared" ref="K216:L216" si="434">IF(OR(I216="", I216=0), "",
  IF(I216&lt;=2,   1,
  IF(I216&lt;=4,   2,
  IF(I216&lt;=5.5, 3, 4))))</f>
        <v>1</v>
      </c>
      <c r="L216" s="190">
        <f t="shared" si="434"/>
        <v>2</v>
      </c>
      <c r="M216" s="190" t="str">
        <f t="shared" si="4"/>
        <v>Lv1 → Lv2</v>
      </c>
      <c r="N216" s="220" t="s">
        <v>943</v>
      </c>
      <c r="O216" s="220" t="s">
        <v>926</v>
      </c>
      <c r="P216" s="190">
        <f t="shared" si="5"/>
        <v>1</v>
      </c>
      <c r="Q216" s="210">
        <f t="shared" si="6"/>
        <v>3</v>
      </c>
      <c r="R216" s="210">
        <f t="shared" ref="R216:S216" si="435">IF(OR(P216="", P216=0), "",
  IF(P216&lt;=2,   1,
  IF(P216&lt;=4,   2,
  IF(P216&lt;=5.5, 3, 4))))</f>
        <v>1</v>
      </c>
      <c r="S216" s="210">
        <f t="shared" si="435"/>
        <v>2</v>
      </c>
      <c r="T216" s="210" t="str">
        <f t="shared" si="8"/>
        <v>Lv1 → Lv2</v>
      </c>
      <c r="U216" s="210">
        <f t="shared" si="9"/>
        <v>1</v>
      </c>
      <c r="V216" s="210"/>
    </row>
    <row r="217">
      <c r="A217" s="220" t="s">
        <v>576</v>
      </c>
      <c r="B217" s="190" t="s">
        <v>577</v>
      </c>
      <c r="C217" s="223" t="s">
        <v>72</v>
      </c>
      <c r="D217" s="223" t="s">
        <v>865</v>
      </c>
      <c r="E217" s="190" t="s">
        <v>21</v>
      </c>
      <c r="F217" s="13" t="s">
        <v>917</v>
      </c>
      <c r="G217" s="13" t="s">
        <v>935</v>
      </c>
      <c r="H217" s="219">
        <f>IFERROR(
  MINIFS(ATTENDANCE_LOG!$F:$F,
         ATTENDANCE_LOG!$A:$A, C217,
         ATTENDANCE_LOG!$B:$B, E217),
"")</f>
        <v>45670.54167</v>
      </c>
      <c r="I217" s="190">
        <f>IFERROR(VLOOKUP(F217, LEVEL_HELPER!$A:$B, 2, 0), "")</f>
        <v>2.5</v>
      </c>
      <c r="J217" s="190">
        <f>IFERROR(VLOOKUP(G217, LEVEL_HELPER!$A:$B, 2, 0), "")</f>
        <v>3.5</v>
      </c>
      <c r="K217" s="190">
        <f t="shared" ref="K217:L217" si="436">IF(OR(I217="", I217=0), "",
  IF(I217&lt;=2,   1,
  IF(I217&lt;=4,   2,
  IF(I217&lt;=5.5, 3, 4))))</f>
        <v>2</v>
      </c>
      <c r="L217" s="190">
        <f t="shared" si="436"/>
        <v>2</v>
      </c>
      <c r="M217" s="190" t="str">
        <f t="shared" si="4"/>
        <v>Progress within level</v>
      </c>
      <c r="N217" s="220" t="s">
        <v>943</v>
      </c>
      <c r="O217" s="220" t="s">
        <v>920</v>
      </c>
      <c r="P217" s="190">
        <f t="shared" si="5"/>
        <v>2.5</v>
      </c>
      <c r="Q217" s="210">
        <f t="shared" si="6"/>
        <v>3.5</v>
      </c>
      <c r="R217" s="210">
        <f t="shared" ref="R217:S217" si="437">IF(OR(P217="", P217=0), "",
  IF(P217&lt;=2,   1,
  IF(P217&lt;=4,   2,
  IF(P217&lt;=5.5, 3, 4))))</f>
        <v>2</v>
      </c>
      <c r="S217" s="210">
        <f t="shared" si="437"/>
        <v>2</v>
      </c>
      <c r="T217" s="210" t="str">
        <f t="shared" si="8"/>
        <v>Progress within level</v>
      </c>
      <c r="U217" s="210">
        <f t="shared" si="9"/>
        <v>1</v>
      </c>
      <c r="V217" s="210"/>
    </row>
    <row r="218">
      <c r="A218" s="247" t="s">
        <v>683</v>
      </c>
      <c r="B218" s="217" t="s">
        <v>684</v>
      </c>
      <c r="C218" s="218" t="s">
        <v>72</v>
      </c>
      <c r="D218" s="218" t="s">
        <v>865</v>
      </c>
      <c r="E218" s="217" t="s">
        <v>22</v>
      </c>
      <c r="F218" s="13" t="s">
        <v>918</v>
      </c>
      <c r="G218" s="13" t="s">
        <v>935</v>
      </c>
      <c r="H218" s="219">
        <f>IFERROR(
  MINIFS(ATTENDANCE_LOG!$F:$F,
         ATTENDANCE_LOG!$A:$A, C218,
         ATTENDANCE_LOG!$B:$B, E218),
"")</f>
        <v>45866.54167</v>
      </c>
      <c r="I218" s="190">
        <f>IFERROR(VLOOKUP(F218, LEVEL_HELPER!$A:$B, 2, 0), "")</f>
        <v>3</v>
      </c>
      <c r="J218" s="190">
        <f>IFERROR(VLOOKUP(G218, LEVEL_HELPER!$A:$B, 2, 0), "")</f>
        <v>3.5</v>
      </c>
      <c r="K218" s="190">
        <f t="shared" ref="K218:L218" si="438">IF(OR(I218="", I218=0), "",
  IF(I218&lt;=2,   1,
  IF(I218&lt;=4,   2,
  IF(I218&lt;=5.5, 3, 4))))</f>
        <v>2</v>
      </c>
      <c r="L218" s="190">
        <f t="shared" si="438"/>
        <v>2</v>
      </c>
      <c r="M218" s="190" t="str">
        <f t="shared" si="4"/>
        <v>Progress within level</v>
      </c>
      <c r="N218" s="220" t="s">
        <v>943</v>
      </c>
      <c r="O218" s="220" t="s">
        <v>920</v>
      </c>
      <c r="P218" s="190">
        <f t="shared" si="5"/>
        <v>1</v>
      </c>
      <c r="Q218" s="210">
        <f t="shared" si="6"/>
        <v>3.5</v>
      </c>
      <c r="R218" s="210">
        <f t="shared" ref="R218:S218" si="439">IF(OR(P218="", P218=0), "",
  IF(P218&lt;=2,   1,
  IF(P218&lt;=4,   2,
  IF(P218&lt;=5.5, 3, 4))))</f>
        <v>1</v>
      </c>
      <c r="S218" s="210">
        <f t="shared" si="439"/>
        <v>2</v>
      </c>
      <c r="T218" s="210" t="str">
        <f t="shared" si="8"/>
        <v>Lv1 → Lv2</v>
      </c>
      <c r="U218" s="210">
        <f t="shared" si="9"/>
        <v>0</v>
      </c>
      <c r="V218" s="210"/>
    </row>
    <row r="219">
      <c r="A219" s="220" t="s">
        <v>265</v>
      </c>
      <c r="B219" s="190" t="s">
        <v>266</v>
      </c>
      <c r="C219" s="223" t="s">
        <v>72</v>
      </c>
      <c r="D219" s="223" t="s">
        <v>865</v>
      </c>
      <c r="E219" s="190" t="s">
        <v>22</v>
      </c>
      <c r="F219" s="13" t="s">
        <v>918</v>
      </c>
      <c r="G219" s="13" t="s">
        <v>935</v>
      </c>
      <c r="H219" s="219">
        <f>IFERROR(
  MINIFS(ATTENDANCE_LOG!$F:$F,
         ATTENDANCE_LOG!$A:$A, C219,
         ATTENDANCE_LOG!$B:$B, E219),
"")</f>
        <v>45866.54167</v>
      </c>
      <c r="I219" s="190">
        <f>IFERROR(VLOOKUP(F219, LEVEL_HELPER!$A:$B, 2, 0), "")</f>
        <v>3</v>
      </c>
      <c r="J219" s="190">
        <f>IFERROR(VLOOKUP(G219, LEVEL_HELPER!$A:$B, 2, 0), "")</f>
        <v>3.5</v>
      </c>
      <c r="K219" s="190">
        <f t="shared" ref="K219:L219" si="440">IF(OR(I219="", I219=0), "",
  IF(I219&lt;=2,   1,
  IF(I219&lt;=4,   2,
  IF(I219&lt;=5.5, 3, 4))))</f>
        <v>2</v>
      </c>
      <c r="L219" s="190">
        <f t="shared" si="440"/>
        <v>2</v>
      </c>
      <c r="M219" s="190" t="str">
        <f t="shared" si="4"/>
        <v>Progress within level</v>
      </c>
      <c r="N219" s="220" t="s">
        <v>943</v>
      </c>
      <c r="O219" s="220" t="s">
        <v>920</v>
      </c>
      <c r="P219" s="190">
        <f t="shared" si="5"/>
        <v>1</v>
      </c>
      <c r="Q219" s="210">
        <f t="shared" si="6"/>
        <v>3.5</v>
      </c>
      <c r="R219" s="210">
        <f t="shared" ref="R219:S219" si="441">IF(OR(P219="", P219=0), "",
  IF(P219&lt;=2,   1,
  IF(P219&lt;=4,   2,
  IF(P219&lt;=5.5, 3, 4))))</f>
        <v>1</v>
      </c>
      <c r="S219" s="210">
        <f t="shared" si="441"/>
        <v>2</v>
      </c>
      <c r="T219" s="210" t="str">
        <f t="shared" si="8"/>
        <v>Lv1 → Lv2</v>
      </c>
      <c r="U219" s="210">
        <f t="shared" si="9"/>
        <v>0</v>
      </c>
      <c r="V219" s="210"/>
    </row>
    <row r="220">
      <c r="A220" s="220" t="s">
        <v>108</v>
      </c>
      <c r="B220" s="190" t="s">
        <v>283</v>
      </c>
      <c r="C220" s="223" t="s">
        <v>72</v>
      </c>
      <c r="D220" s="223" t="s">
        <v>865</v>
      </c>
      <c r="E220" s="190" t="s">
        <v>22</v>
      </c>
      <c r="F220" s="13" t="s">
        <v>918</v>
      </c>
      <c r="G220" s="13" t="s">
        <v>935</v>
      </c>
      <c r="H220" s="219">
        <f>IFERROR(
  MINIFS(ATTENDANCE_LOG!$F:$F,
         ATTENDANCE_LOG!$A:$A, C220,
         ATTENDANCE_LOG!$B:$B, E220),
"")</f>
        <v>45866.54167</v>
      </c>
      <c r="I220" s="190">
        <f>IFERROR(VLOOKUP(F220, LEVEL_HELPER!$A:$B, 2, 0), "")</f>
        <v>3</v>
      </c>
      <c r="J220" s="190">
        <f>IFERROR(VLOOKUP(G220, LEVEL_HELPER!$A:$B, 2, 0), "")</f>
        <v>3.5</v>
      </c>
      <c r="K220" s="190">
        <f t="shared" ref="K220:L220" si="442">IF(OR(I220="", I220=0), "",
  IF(I220&lt;=2,   1,
  IF(I220&lt;=4,   2,
  IF(I220&lt;=5.5, 3, 4))))</f>
        <v>2</v>
      </c>
      <c r="L220" s="190">
        <f t="shared" si="442"/>
        <v>2</v>
      </c>
      <c r="M220" s="190" t="str">
        <f t="shared" si="4"/>
        <v>Progress within level</v>
      </c>
      <c r="N220" s="220" t="s">
        <v>943</v>
      </c>
      <c r="O220" s="220" t="s">
        <v>920</v>
      </c>
      <c r="P220" s="190">
        <f t="shared" si="5"/>
        <v>1</v>
      </c>
      <c r="Q220" s="210">
        <f t="shared" si="6"/>
        <v>3.5</v>
      </c>
      <c r="R220" s="210">
        <f t="shared" ref="R220:S220" si="443">IF(OR(P220="", P220=0), "",
  IF(P220&lt;=2,   1,
  IF(P220&lt;=4,   2,
  IF(P220&lt;=5.5, 3, 4))))</f>
        <v>1</v>
      </c>
      <c r="S220" s="210">
        <f t="shared" si="443"/>
        <v>2</v>
      </c>
      <c r="T220" s="210" t="str">
        <f t="shared" si="8"/>
        <v>Lv1 → Lv2</v>
      </c>
      <c r="U220" s="210">
        <f t="shared" si="9"/>
        <v>0</v>
      </c>
      <c r="V220" s="210"/>
    </row>
    <row r="221">
      <c r="A221" s="220" t="s">
        <v>315</v>
      </c>
      <c r="B221" s="190" t="s">
        <v>316</v>
      </c>
      <c r="C221" s="223" t="s">
        <v>72</v>
      </c>
      <c r="D221" s="223" t="s">
        <v>865</v>
      </c>
      <c r="E221" s="190" t="s">
        <v>22</v>
      </c>
      <c r="F221" s="13" t="s">
        <v>929</v>
      </c>
      <c r="G221" s="13" t="s">
        <v>929</v>
      </c>
      <c r="H221" s="219">
        <f>IFERROR(
  MINIFS(ATTENDANCE_LOG!$F:$F,
         ATTENDANCE_LOG!$A:$A, C221,
         ATTENDANCE_LOG!$B:$B, E221),
"")</f>
        <v>45866.54167</v>
      </c>
      <c r="I221" s="190">
        <f>IFERROR(VLOOKUP(F221, LEVEL_HELPER!$A:$B, 2, 0), "")</f>
        <v>1.5</v>
      </c>
      <c r="J221" s="190">
        <f>IFERROR(VLOOKUP(G221, LEVEL_HELPER!$A:$B, 2, 0), "")</f>
        <v>1.5</v>
      </c>
      <c r="K221" s="190">
        <f t="shared" ref="K221:L221" si="444">IF(OR(I221="", I221=0), "",
  IF(I221&lt;=2,   1,
  IF(I221&lt;=4,   2,
  IF(I221&lt;=5.5, 3, 4))))</f>
        <v>1</v>
      </c>
      <c r="L221" s="190">
        <f t="shared" si="444"/>
        <v>1</v>
      </c>
      <c r="M221" s="190" t="str">
        <f t="shared" si="4"/>
        <v>No Progress</v>
      </c>
      <c r="N221" s="220" t="s">
        <v>943</v>
      </c>
      <c r="O221" s="220" t="s">
        <v>926</v>
      </c>
      <c r="P221" s="190">
        <f t="shared" si="5"/>
        <v>1</v>
      </c>
      <c r="Q221" s="210">
        <f t="shared" si="6"/>
        <v>1.5</v>
      </c>
      <c r="R221" s="210">
        <f t="shared" ref="R221:S221" si="445">IF(OR(P221="", P221=0), "",
  IF(P221&lt;=2,   1,
  IF(P221&lt;=4,   2,
  IF(P221&lt;=5.5, 3, 4))))</f>
        <v>1</v>
      </c>
      <c r="S221" s="210">
        <f t="shared" si="445"/>
        <v>1</v>
      </c>
      <c r="T221" s="210" t="str">
        <f t="shared" si="8"/>
        <v>Progress within level</v>
      </c>
      <c r="U221" s="210">
        <f t="shared" si="9"/>
        <v>0</v>
      </c>
      <c r="V221" s="210"/>
    </row>
    <row r="222">
      <c r="A222" s="220" t="s">
        <v>334</v>
      </c>
      <c r="B222" s="190" t="s">
        <v>335</v>
      </c>
      <c r="C222" s="223" t="s">
        <v>72</v>
      </c>
      <c r="D222" s="223" t="s">
        <v>865</v>
      </c>
      <c r="E222" s="190" t="s">
        <v>22</v>
      </c>
      <c r="F222" s="13" t="s">
        <v>932</v>
      </c>
      <c r="G222" s="190"/>
      <c r="H222" s="219">
        <f>IFERROR(
  MINIFS(ATTENDANCE_LOG!$F:$F,
         ATTENDANCE_LOG!$A:$A, C222,
         ATTENDANCE_LOG!$B:$B, E222),
"")</f>
        <v>45866.54167</v>
      </c>
      <c r="I222" s="190">
        <f>IFERROR(VLOOKUP(F222, LEVEL_HELPER!$A:$B, 2, 0), "")</f>
        <v>4.5</v>
      </c>
      <c r="J222" s="190" t="str">
        <f>IFERROR(VLOOKUP(G222, LEVEL_HELPER!$A:$B, 2, 0), "")</f>
        <v/>
      </c>
      <c r="K222" s="190">
        <f t="shared" ref="K222:L222" si="446">IF(OR(I222="", I222=0), "",
  IF(I222&lt;=2,   1,
  IF(I222&lt;=4,   2,
  IF(I222&lt;=5.5, 3, 4))))</f>
        <v>3</v>
      </c>
      <c r="L222" s="190" t="str">
        <f t="shared" si="446"/>
        <v/>
      </c>
      <c r="M222" s="190" t="str">
        <f t="shared" si="4"/>
        <v>No Data</v>
      </c>
      <c r="N222" s="220" t="s">
        <v>943</v>
      </c>
      <c r="O222" s="220" t="s">
        <v>926</v>
      </c>
      <c r="P222" s="190">
        <f t="shared" si="5"/>
        <v>2.5</v>
      </c>
      <c r="Q222" s="210">
        <f t="shared" si="6"/>
        <v>4.5</v>
      </c>
      <c r="R222" s="210">
        <f t="shared" ref="R222:S222" si="447">IF(OR(P222="", P222=0), "",
  IF(P222&lt;=2,   1,
  IF(P222&lt;=4,   2,
  IF(P222&lt;=5.5, 3, 4))))</f>
        <v>2</v>
      </c>
      <c r="S222" s="210">
        <f t="shared" si="447"/>
        <v>3</v>
      </c>
      <c r="T222" s="210" t="str">
        <f t="shared" si="8"/>
        <v>Lv2 → Lv3</v>
      </c>
      <c r="U222" s="210">
        <f t="shared" si="9"/>
        <v>0</v>
      </c>
      <c r="V222" s="210"/>
    </row>
    <row r="223">
      <c r="A223" s="220" t="s">
        <v>401</v>
      </c>
      <c r="B223" s="190" t="s">
        <v>402</v>
      </c>
      <c r="C223" s="223" t="s">
        <v>72</v>
      </c>
      <c r="D223" s="223" t="s">
        <v>865</v>
      </c>
      <c r="E223" s="190" t="s">
        <v>22</v>
      </c>
      <c r="F223" s="13" t="s">
        <v>935</v>
      </c>
      <c r="G223" s="13" t="s">
        <v>953</v>
      </c>
      <c r="H223" s="219">
        <f>IFERROR(
  MINIFS(ATTENDANCE_LOG!$F:$F,
         ATTENDANCE_LOG!$A:$A, C223,
         ATTENDANCE_LOG!$B:$B, E223),
"")</f>
        <v>45866.54167</v>
      </c>
      <c r="I223" s="190">
        <f>IFERROR(VLOOKUP(F223, LEVEL_HELPER!$A:$B, 2, 0), "")</f>
        <v>3.5</v>
      </c>
      <c r="J223" s="190">
        <f>IFERROR(VLOOKUP(G223, LEVEL_HELPER!$A:$B, 2, 0), "")</f>
        <v>4</v>
      </c>
      <c r="K223" s="190">
        <f t="shared" ref="K223:L223" si="448">IF(OR(I223="", I223=0), "",
  IF(I223&lt;=2,   1,
  IF(I223&lt;=4,   2,
  IF(I223&lt;=5.5, 3, 4))))</f>
        <v>2</v>
      </c>
      <c r="L223" s="190">
        <f t="shared" si="448"/>
        <v>2</v>
      </c>
      <c r="M223" s="190" t="str">
        <f t="shared" si="4"/>
        <v>Progress within level</v>
      </c>
      <c r="N223" s="220" t="s">
        <v>943</v>
      </c>
      <c r="O223" s="220" t="s">
        <v>920</v>
      </c>
      <c r="P223" s="190">
        <f t="shared" si="5"/>
        <v>1</v>
      </c>
      <c r="Q223" s="210">
        <f t="shared" si="6"/>
        <v>4</v>
      </c>
      <c r="R223" s="210">
        <f t="shared" ref="R223:S223" si="449">IF(OR(P223="", P223=0), "",
  IF(P223&lt;=2,   1,
  IF(P223&lt;=4,   2,
  IF(P223&lt;=5.5, 3, 4))))</f>
        <v>1</v>
      </c>
      <c r="S223" s="210">
        <f t="shared" si="449"/>
        <v>2</v>
      </c>
      <c r="T223" s="210" t="str">
        <f t="shared" si="8"/>
        <v>Lv1 → Lv2</v>
      </c>
      <c r="U223" s="210">
        <f t="shared" si="9"/>
        <v>0</v>
      </c>
      <c r="V223" s="210"/>
    </row>
    <row r="224">
      <c r="A224" s="220" t="s">
        <v>572</v>
      </c>
      <c r="B224" s="190" t="s">
        <v>573</v>
      </c>
      <c r="C224" s="223" t="s">
        <v>72</v>
      </c>
      <c r="D224" s="223" t="s">
        <v>865</v>
      </c>
      <c r="E224" s="190" t="s">
        <v>22</v>
      </c>
      <c r="F224" s="13" t="s">
        <v>918</v>
      </c>
      <c r="G224" s="13" t="s">
        <v>918</v>
      </c>
      <c r="H224" s="219">
        <f>IFERROR(
  MINIFS(ATTENDANCE_LOG!$F:$F,
         ATTENDANCE_LOG!$A:$A, C224,
         ATTENDANCE_LOG!$B:$B, E224),
"")</f>
        <v>45866.54167</v>
      </c>
      <c r="I224" s="190">
        <f>IFERROR(VLOOKUP(F224, LEVEL_HELPER!$A:$B, 2, 0), "")</f>
        <v>3</v>
      </c>
      <c r="J224" s="190">
        <f>IFERROR(VLOOKUP(G224, LEVEL_HELPER!$A:$B, 2, 0), "")</f>
        <v>3</v>
      </c>
      <c r="K224" s="190">
        <f t="shared" ref="K224:L224" si="450">IF(OR(I224="", I224=0), "",
  IF(I224&lt;=2,   1,
  IF(I224&lt;=4,   2,
  IF(I224&lt;=5.5, 3, 4))))</f>
        <v>2</v>
      </c>
      <c r="L224" s="190">
        <f t="shared" si="450"/>
        <v>2</v>
      </c>
      <c r="M224" s="190" t="str">
        <f t="shared" si="4"/>
        <v>No Progress</v>
      </c>
      <c r="N224" s="220" t="s">
        <v>943</v>
      </c>
      <c r="O224" s="220" t="s">
        <v>926</v>
      </c>
      <c r="P224" s="190">
        <f t="shared" si="5"/>
        <v>1</v>
      </c>
      <c r="Q224" s="210">
        <f t="shared" si="6"/>
        <v>3</v>
      </c>
      <c r="R224" s="210">
        <f t="shared" ref="R224:S224" si="451">IF(OR(P224="", P224=0), "",
  IF(P224&lt;=2,   1,
  IF(P224&lt;=4,   2,
  IF(P224&lt;=5.5, 3, 4))))</f>
        <v>1</v>
      </c>
      <c r="S224" s="210">
        <f t="shared" si="451"/>
        <v>2</v>
      </c>
      <c r="T224" s="210" t="str">
        <f t="shared" si="8"/>
        <v>Lv1 → Lv2</v>
      </c>
      <c r="U224" s="210">
        <f t="shared" si="9"/>
        <v>0</v>
      </c>
      <c r="V224" s="210"/>
    </row>
    <row r="225">
      <c r="A225" s="220" t="s">
        <v>576</v>
      </c>
      <c r="B225" s="190" t="s">
        <v>577</v>
      </c>
      <c r="C225" s="223" t="s">
        <v>72</v>
      </c>
      <c r="D225" s="223" t="s">
        <v>865</v>
      </c>
      <c r="E225" s="190" t="s">
        <v>22</v>
      </c>
      <c r="F225" s="13" t="s">
        <v>935</v>
      </c>
      <c r="G225" s="13" t="s">
        <v>935</v>
      </c>
      <c r="H225" s="219">
        <f>IFERROR(
  MINIFS(ATTENDANCE_LOG!$F:$F,
         ATTENDANCE_LOG!$A:$A, C225,
         ATTENDANCE_LOG!$B:$B, E225),
"")</f>
        <v>45866.54167</v>
      </c>
      <c r="I225" s="190">
        <f>IFERROR(VLOOKUP(F225, LEVEL_HELPER!$A:$B, 2, 0), "")</f>
        <v>3.5</v>
      </c>
      <c r="J225" s="190">
        <f>IFERROR(VLOOKUP(G225, LEVEL_HELPER!$A:$B, 2, 0), "")</f>
        <v>3.5</v>
      </c>
      <c r="K225" s="190">
        <f t="shared" ref="K225:L225" si="452">IF(OR(I225="", I225=0), "",
  IF(I225&lt;=2,   1,
  IF(I225&lt;=4,   2,
  IF(I225&lt;=5.5, 3, 4))))</f>
        <v>2</v>
      </c>
      <c r="L225" s="190">
        <f t="shared" si="452"/>
        <v>2</v>
      </c>
      <c r="M225" s="190" t="str">
        <f t="shared" si="4"/>
        <v>No Progress</v>
      </c>
      <c r="N225" s="220" t="s">
        <v>943</v>
      </c>
      <c r="O225" s="220" t="s">
        <v>920</v>
      </c>
      <c r="P225" s="190">
        <f t="shared" si="5"/>
        <v>2.5</v>
      </c>
      <c r="Q225" s="210">
        <f t="shared" si="6"/>
        <v>3.5</v>
      </c>
      <c r="R225" s="210">
        <f t="shared" ref="R225:S225" si="453">IF(OR(P225="", P225=0), "",
  IF(P225&lt;=2,   1,
  IF(P225&lt;=4,   2,
  IF(P225&lt;=5.5, 3, 4))))</f>
        <v>2</v>
      </c>
      <c r="S225" s="210">
        <f t="shared" si="453"/>
        <v>2</v>
      </c>
      <c r="T225" s="210" t="str">
        <f t="shared" si="8"/>
        <v>Progress within level</v>
      </c>
      <c r="U225" s="210">
        <f t="shared" si="9"/>
        <v>0</v>
      </c>
      <c r="V225" s="210"/>
    </row>
    <row r="226">
      <c r="A226" s="247" t="s">
        <v>683</v>
      </c>
      <c r="B226" s="217" t="s">
        <v>684</v>
      </c>
      <c r="C226" s="218" t="s">
        <v>72</v>
      </c>
      <c r="D226" s="218" t="s">
        <v>865</v>
      </c>
      <c r="E226" s="217" t="s">
        <v>23</v>
      </c>
      <c r="F226" s="190"/>
      <c r="G226" s="190"/>
      <c r="H226" s="219">
        <f>IFERROR(
  MINIFS(ATTENDANCE_LOG!$F:$F,
         ATTENDANCE_LOG!$A:$A, C226,
         ATTENDANCE_LOG!$B:$B, E226),
"")</f>
        <v>46084.58333</v>
      </c>
      <c r="I226" s="190" t="str">
        <f>IFERROR(VLOOKUP(F226, LEVEL_HELPER!$A:$B, 2, 0), "")</f>
        <v/>
      </c>
      <c r="J226" s="190" t="str">
        <f>IFERROR(VLOOKUP(G226, LEVEL_HELPER!$A:$B, 2, 0), "")</f>
        <v/>
      </c>
      <c r="K226" s="190" t="str">
        <f t="shared" ref="K226:L226" si="454">IF(OR(I226="", I226=0), "",
  IF(I226&lt;=2,   1,
  IF(I226&lt;=4,   2,
  IF(I226&lt;=5.5, 3, 4))))</f>
        <v/>
      </c>
      <c r="L226" s="190" t="str">
        <f t="shared" si="454"/>
        <v/>
      </c>
      <c r="M226" s="190" t="str">
        <f t="shared" si="4"/>
        <v>No Data</v>
      </c>
      <c r="N226" s="220" t="s">
        <v>943</v>
      </c>
      <c r="O226" s="220" t="s">
        <v>920</v>
      </c>
      <c r="P226" s="190">
        <f t="shared" si="5"/>
        <v>1</v>
      </c>
      <c r="Q226" s="210">
        <f t="shared" si="6"/>
        <v>3.5</v>
      </c>
      <c r="R226" s="210">
        <f t="shared" ref="R226:S226" si="455">IF(OR(P226="", P226=0), "",
  IF(P226&lt;=2,   1,
  IF(P226&lt;=4,   2,
  IF(P226&lt;=5.5, 3, 4))))</f>
        <v>1</v>
      </c>
      <c r="S226" s="210">
        <f t="shared" si="455"/>
        <v>2</v>
      </c>
      <c r="T226" s="210" t="str">
        <f t="shared" si="8"/>
        <v>Lv1 → Lv2</v>
      </c>
      <c r="U226" s="210">
        <f t="shared" si="9"/>
        <v>0</v>
      </c>
      <c r="V226" s="210"/>
    </row>
    <row r="227">
      <c r="A227" s="220" t="s">
        <v>265</v>
      </c>
      <c r="B227" s="190" t="s">
        <v>266</v>
      </c>
      <c r="C227" s="223" t="s">
        <v>72</v>
      </c>
      <c r="D227" s="223" t="s">
        <v>865</v>
      </c>
      <c r="E227" s="190" t="s">
        <v>23</v>
      </c>
      <c r="F227" s="190"/>
      <c r="G227" s="190"/>
      <c r="H227" s="219">
        <f>IFERROR(
  MINIFS(ATTENDANCE_LOG!$F:$F,
         ATTENDANCE_LOG!$A:$A, C227,
         ATTENDANCE_LOG!$B:$B, E227),
"")</f>
        <v>46084.58333</v>
      </c>
      <c r="I227" s="190" t="str">
        <f>IFERROR(VLOOKUP(F227, LEVEL_HELPER!$A:$B, 2, 0), "")</f>
        <v/>
      </c>
      <c r="J227" s="190" t="str">
        <f>IFERROR(VLOOKUP(G227, LEVEL_HELPER!$A:$B, 2, 0), "")</f>
        <v/>
      </c>
      <c r="K227" s="190" t="str">
        <f t="shared" ref="K227:L227" si="456">IF(OR(I227="", I227=0), "",
  IF(I227&lt;=2,   1,
  IF(I227&lt;=4,   2,
  IF(I227&lt;=5.5, 3, 4))))</f>
        <v/>
      </c>
      <c r="L227" s="190" t="str">
        <f t="shared" si="456"/>
        <v/>
      </c>
      <c r="M227" s="190" t="str">
        <f t="shared" si="4"/>
        <v>No Data</v>
      </c>
      <c r="N227" s="220" t="s">
        <v>943</v>
      </c>
      <c r="O227" s="220" t="s">
        <v>920</v>
      </c>
      <c r="P227" s="190">
        <f t="shared" si="5"/>
        <v>1</v>
      </c>
      <c r="Q227" s="210">
        <f t="shared" si="6"/>
        <v>3.5</v>
      </c>
      <c r="R227" s="210">
        <f t="shared" ref="R227:S227" si="457">IF(OR(P227="", P227=0), "",
  IF(P227&lt;=2,   1,
  IF(P227&lt;=4,   2,
  IF(P227&lt;=5.5, 3, 4))))</f>
        <v>1</v>
      </c>
      <c r="S227" s="210">
        <f t="shared" si="457"/>
        <v>2</v>
      </c>
      <c r="T227" s="210" t="str">
        <f t="shared" si="8"/>
        <v>Lv1 → Lv2</v>
      </c>
      <c r="U227" s="210">
        <f t="shared" si="9"/>
        <v>0</v>
      </c>
      <c r="V227" s="210"/>
    </row>
    <row r="228">
      <c r="A228" s="220" t="s">
        <v>108</v>
      </c>
      <c r="B228" s="190" t="s">
        <v>283</v>
      </c>
      <c r="C228" s="223" t="s">
        <v>72</v>
      </c>
      <c r="D228" s="223" t="s">
        <v>865</v>
      </c>
      <c r="E228" s="190" t="s">
        <v>23</v>
      </c>
      <c r="F228" s="190"/>
      <c r="G228" s="190"/>
      <c r="H228" s="219">
        <f>IFERROR(
  MINIFS(ATTENDANCE_LOG!$F:$F,
         ATTENDANCE_LOG!$A:$A, C228,
         ATTENDANCE_LOG!$B:$B, E228),
"")</f>
        <v>46084.58333</v>
      </c>
      <c r="I228" s="190" t="str">
        <f>IFERROR(VLOOKUP(F228, LEVEL_HELPER!$A:$B, 2, 0), "")</f>
        <v/>
      </c>
      <c r="J228" s="190" t="str">
        <f>IFERROR(VLOOKUP(G228, LEVEL_HELPER!$A:$B, 2, 0), "")</f>
        <v/>
      </c>
      <c r="K228" s="190" t="str">
        <f t="shared" ref="K228:L228" si="458">IF(OR(I228="", I228=0), "",
  IF(I228&lt;=2,   1,
  IF(I228&lt;=4,   2,
  IF(I228&lt;=5.5, 3, 4))))</f>
        <v/>
      </c>
      <c r="L228" s="190" t="str">
        <f t="shared" si="458"/>
        <v/>
      </c>
      <c r="M228" s="190" t="str">
        <f t="shared" si="4"/>
        <v>No Data</v>
      </c>
      <c r="N228" s="220" t="s">
        <v>943</v>
      </c>
      <c r="O228" s="220" t="s">
        <v>920</v>
      </c>
      <c r="P228" s="190">
        <f t="shared" si="5"/>
        <v>1</v>
      </c>
      <c r="Q228" s="210">
        <f t="shared" si="6"/>
        <v>3.5</v>
      </c>
      <c r="R228" s="210">
        <f t="shared" ref="R228:S228" si="459">IF(OR(P228="", P228=0), "",
  IF(P228&lt;=2,   1,
  IF(P228&lt;=4,   2,
  IF(P228&lt;=5.5, 3, 4))))</f>
        <v>1</v>
      </c>
      <c r="S228" s="210">
        <f t="shared" si="459"/>
        <v>2</v>
      </c>
      <c r="T228" s="210" t="str">
        <f t="shared" si="8"/>
        <v>Lv1 → Lv2</v>
      </c>
      <c r="U228" s="210">
        <f t="shared" si="9"/>
        <v>0</v>
      </c>
      <c r="V228" s="210"/>
    </row>
    <row r="229">
      <c r="A229" s="220" t="s">
        <v>296</v>
      </c>
      <c r="B229" s="190" t="s">
        <v>297</v>
      </c>
      <c r="C229" s="223" t="s">
        <v>72</v>
      </c>
      <c r="D229" s="223" t="s">
        <v>865</v>
      </c>
      <c r="E229" s="190" t="s">
        <v>23</v>
      </c>
      <c r="F229" s="190"/>
      <c r="G229" s="190"/>
      <c r="H229" s="219">
        <f>IFERROR(
  MINIFS(ATTENDANCE_LOG!$F:$F,
         ATTENDANCE_LOG!$A:$A, C229,
         ATTENDANCE_LOG!$B:$B, E229),
"")</f>
        <v>46084.58333</v>
      </c>
      <c r="I229" s="190" t="str">
        <f>IFERROR(VLOOKUP(F229, LEVEL_HELPER!$A:$B, 2, 0), "")</f>
        <v/>
      </c>
      <c r="J229" s="190" t="str">
        <f>IFERROR(VLOOKUP(G229, LEVEL_HELPER!$A:$B, 2, 0), "")</f>
        <v/>
      </c>
      <c r="K229" s="190" t="str">
        <f t="shared" ref="K229:L229" si="460">IF(OR(I229="", I229=0), "",
  IF(I229&lt;=2,   1,
  IF(I229&lt;=4,   2,
  IF(I229&lt;=5.5, 3, 4))))</f>
        <v/>
      </c>
      <c r="L229" s="190" t="str">
        <f t="shared" si="460"/>
        <v/>
      </c>
      <c r="M229" s="190" t="str">
        <f t="shared" si="4"/>
        <v>No Data</v>
      </c>
      <c r="N229" s="220" t="s">
        <v>919</v>
      </c>
      <c r="O229" s="220" t="s">
        <v>920</v>
      </c>
      <c r="P229" s="190">
        <f t="shared" si="5"/>
        <v>1</v>
      </c>
      <c r="Q229" s="210">
        <f t="shared" si="6"/>
        <v>3.5</v>
      </c>
      <c r="R229" s="210">
        <f t="shared" ref="R229:S229" si="461">IF(OR(P229="", P229=0), "",
  IF(P229&lt;=2,   1,
  IF(P229&lt;=4,   2,
  IF(P229&lt;=5.5, 3, 4))))</f>
        <v>1</v>
      </c>
      <c r="S229" s="210">
        <f t="shared" si="461"/>
        <v>2</v>
      </c>
      <c r="T229" s="210" t="str">
        <f t="shared" si="8"/>
        <v>Lv1 → Lv2</v>
      </c>
      <c r="U229" s="210">
        <f t="shared" si="9"/>
        <v>0</v>
      </c>
      <c r="V229" s="210"/>
    </row>
    <row r="230">
      <c r="A230" s="220" t="s">
        <v>315</v>
      </c>
      <c r="B230" s="190" t="s">
        <v>316</v>
      </c>
      <c r="C230" s="223" t="s">
        <v>72</v>
      </c>
      <c r="D230" s="223" t="s">
        <v>865</v>
      </c>
      <c r="E230" s="190" t="s">
        <v>23</v>
      </c>
      <c r="F230" s="190"/>
      <c r="G230" s="190"/>
      <c r="H230" s="219">
        <f>IFERROR(
  MINIFS(ATTENDANCE_LOG!$F:$F,
         ATTENDANCE_LOG!$A:$A, C230,
         ATTENDANCE_LOG!$B:$B, E230),
"")</f>
        <v>46084.58333</v>
      </c>
      <c r="I230" s="190" t="str">
        <f>IFERROR(VLOOKUP(F230, LEVEL_HELPER!$A:$B, 2, 0), "")</f>
        <v/>
      </c>
      <c r="J230" s="190" t="str">
        <f>IFERROR(VLOOKUP(G230, LEVEL_HELPER!$A:$B, 2, 0), "")</f>
        <v/>
      </c>
      <c r="K230" s="190" t="str">
        <f t="shared" ref="K230:L230" si="462">IF(OR(I230="", I230=0), "",
  IF(I230&lt;=2,   1,
  IF(I230&lt;=4,   2,
  IF(I230&lt;=5.5, 3, 4))))</f>
        <v/>
      </c>
      <c r="L230" s="190" t="str">
        <f t="shared" si="462"/>
        <v/>
      </c>
      <c r="M230" s="190" t="str">
        <f t="shared" si="4"/>
        <v>No Data</v>
      </c>
      <c r="N230" s="220" t="s">
        <v>943</v>
      </c>
      <c r="O230" s="220" t="s">
        <v>926</v>
      </c>
      <c r="P230" s="190">
        <f t="shared" si="5"/>
        <v>1</v>
      </c>
      <c r="Q230" s="210">
        <f t="shared" si="6"/>
        <v>1.5</v>
      </c>
      <c r="R230" s="210">
        <f t="shared" ref="R230:S230" si="463">IF(OR(P230="", P230=0), "",
  IF(P230&lt;=2,   1,
  IF(P230&lt;=4,   2,
  IF(P230&lt;=5.5, 3, 4))))</f>
        <v>1</v>
      </c>
      <c r="S230" s="210">
        <f t="shared" si="463"/>
        <v>1</v>
      </c>
      <c r="T230" s="210" t="str">
        <f t="shared" si="8"/>
        <v>Progress within level</v>
      </c>
      <c r="U230" s="210">
        <f t="shared" si="9"/>
        <v>0</v>
      </c>
      <c r="V230" s="210"/>
    </row>
    <row r="231">
      <c r="A231" s="220" t="s">
        <v>319</v>
      </c>
      <c r="B231" s="190" t="s">
        <v>320</v>
      </c>
      <c r="C231" s="223" t="s">
        <v>72</v>
      </c>
      <c r="D231" s="223" t="s">
        <v>865</v>
      </c>
      <c r="E231" s="190" t="s">
        <v>23</v>
      </c>
      <c r="F231" s="190"/>
      <c r="G231" s="190"/>
      <c r="H231" s="219">
        <f>IFERROR(
  MINIFS(ATTENDANCE_LOG!$F:$F,
         ATTENDANCE_LOG!$A:$A, C231,
         ATTENDANCE_LOG!$B:$B, E231),
"")</f>
        <v>46084.58333</v>
      </c>
      <c r="I231" s="190" t="str">
        <f>IFERROR(VLOOKUP(F231, LEVEL_HELPER!$A:$B, 2, 0), "")</f>
        <v/>
      </c>
      <c r="J231" s="190" t="str">
        <f>IFERROR(VLOOKUP(G231, LEVEL_HELPER!$A:$B, 2, 0), "")</f>
        <v/>
      </c>
      <c r="K231" s="190" t="str">
        <f t="shared" ref="K231:L231" si="464">IF(OR(I231="", I231=0), "",
  IF(I231&lt;=2,   1,
  IF(I231&lt;=4,   2,
  IF(I231&lt;=5.5, 3, 4))))</f>
        <v/>
      </c>
      <c r="L231" s="190" t="str">
        <f t="shared" si="464"/>
        <v/>
      </c>
      <c r="M231" s="190" t="str">
        <f t="shared" si="4"/>
        <v>No Data</v>
      </c>
      <c r="N231" s="220" t="s">
        <v>919</v>
      </c>
      <c r="O231" s="220" t="s">
        <v>920</v>
      </c>
      <c r="P231" s="190">
        <f t="shared" si="5"/>
        <v>1</v>
      </c>
      <c r="Q231" s="210">
        <f t="shared" si="6"/>
        <v>2</v>
      </c>
      <c r="R231" s="210">
        <f t="shared" ref="R231:S231" si="465">IF(OR(P231="", P231=0), "",
  IF(P231&lt;=2,   1,
  IF(P231&lt;=4,   2,
  IF(P231&lt;=5.5, 3, 4))))</f>
        <v>1</v>
      </c>
      <c r="S231" s="210">
        <f t="shared" si="465"/>
        <v>1</v>
      </c>
      <c r="T231" s="210" t="str">
        <f t="shared" si="8"/>
        <v>Progress within level</v>
      </c>
      <c r="U231" s="210">
        <f t="shared" si="9"/>
        <v>0</v>
      </c>
      <c r="V231" s="210"/>
    </row>
    <row r="232">
      <c r="A232" s="220" t="s">
        <v>401</v>
      </c>
      <c r="B232" s="190" t="s">
        <v>402</v>
      </c>
      <c r="C232" s="223" t="s">
        <v>72</v>
      </c>
      <c r="D232" s="223" t="s">
        <v>865</v>
      </c>
      <c r="E232" s="190" t="s">
        <v>23</v>
      </c>
      <c r="F232" s="190"/>
      <c r="G232" s="190"/>
      <c r="H232" s="219">
        <f>IFERROR(
  MINIFS(ATTENDANCE_LOG!$F:$F,
         ATTENDANCE_LOG!$A:$A, C232,
         ATTENDANCE_LOG!$B:$B, E232),
"")</f>
        <v>46084.58333</v>
      </c>
      <c r="I232" s="190" t="str">
        <f>IFERROR(VLOOKUP(F232, LEVEL_HELPER!$A:$B, 2, 0), "")</f>
        <v/>
      </c>
      <c r="J232" s="190" t="str">
        <f>IFERROR(VLOOKUP(G232, LEVEL_HELPER!$A:$B, 2, 0), "")</f>
        <v/>
      </c>
      <c r="K232" s="190" t="str">
        <f t="shared" ref="K232:L232" si="466">IF(OR(I232="", I232=0), "",
  IF(I232&lt;=2,   1,
  IF(I232&lt;=4,   2,
  IF(I232&lt;=5.5, 3, 4))))</f>
        <v/>
      </c>
      <c r="L232" s="190" t="str">
        <f t="shared" si="466"/>
        <v/>
      </c>
      <c r="M232" s="190" t="str">
        <f t="shared" si="4"/>
        <v>No Data</v>
      </c>
      <c r="N232" s="220" t="s">
        <v>943</v>
      </c>
      <c r="O232" s="220" t="s">
        <v>920</v>
      </c>
      <c r="P232" s="190">
        <f t="shared" si="5"/>
        <v>1</v>
      </c>
      <c r="Q232" s="210">
        <f t="shared" si="6"/>
        <v>4</v>
      </c>
      <c r="R232" s="210">
        <f t="shared" ref="R232:S232" si="467">IF(OR(P232="", P232=0), "",
  IF(P232&lt;=2,   1,
  IF(P232&lt;=4,   2,
  IF(P232&lt;=5.5, 3, 4))))</f>
        <v>1</v>
      </c>
      <c r="S232" s="210">
        <f t="shared" si="467"/>
        <v>2</v>
      </c>
      <c r="T232" s="210" t="str">
        <f t="shared" si="8"/>
        <v>Lv1 → Lv2</v>
      </c>
      <c r="U232" s="210">
        <f t="shared" si="9"/>
        <v>0</v>
      </c>
      <c r="V232" s="210"/>
    </row>
    <row r="233">
      <c r="A233" s="220" t="s">
        <v>474</v>
      </c>
      <c r="B233" s="190" t="s">
        <v>475</v>
      </c>
      <c r="C233" s="223" t="s">
        <v>72</v>
      </c>
      <c r="D233" s="223" t="s">
        <v>865</v>
      </c>
      <c r="E233" s="190" t="s">
        <v>23</v>
      </c>
      <c r="F233" s="190"/>
      <c r="G233" s="190"/>
      <c r="H233" s="219">
        <f>IFERROR(
  MINIFS(ATTENDANCE_LOG!$F:$F,
         ATTENDANCE_LOG!$A:$A, C233,
         ATTENDANCE_LOG!$B:$B, E233),
"")</f>
        <v>46084.58333</v>
      </c>
      <c r="I233" s="190" t="str">
        <f>IFERROR(VLOOKUP(F233, LEVEL_HELPER!$A:$B, 2, 0), "")</f>
        <v/>
      </c>
      <c r="J233" s="190" t="str">
        <f>IFERROR(VLOOKUP(G233, LEVEL_HELPER!$A:$B, 2, 0), "")</f>
        <v/>
      </c>
      <c r="K233" s="190" t="str">
        <f t="shared" ref="K233:L233" si="468">IF(OR(I233="", I233=0), "",
  IF(I233&lt;=2,   1,
  IF(I233&lt;=4,   2,
  IF(I233&lt;=5.5, 3, 4))))</f>
        <v/>
      </c>
      <c r="L233" s="190" t="str">
        <f t="shared" si="468"/>
        <v/>
      </c>
      <c r="M233" s="190" t="str">
        <f t="shared" si="4"/>
        <v>No Data</v>
      </c>
      <c r="N233" s="220" t="s">
        <v>919</v>
      </c>
      <c r="O233" s="220" t="s">
        <v>920</v>
      </c>
      <c r="P233" s="190">
        <f t="shared" si="5"/>
        <v>1</v>
      </c>
      <c r="Q233" s="210">
        <f t="shared" si="6"/>
        <v>3.5</v>
      </c>
      <c r="R233" s="210">
        <f t="shared" ref="R233:S233" si="469">IF(OR(P233="", P233=0), "",
  IF(P233&lt;=2,   1,
  IF(P233&lt;=4,   2,
  IF(P233&lt;=5.5, 3, 4))))</f>
        <v>1</v>
      </c>
      <c r="S233" s="210">
        <f t="shared" si="469"/>
        <v>2</v>
      </c>
      <c r="T233" s="210" t="str">
        <f t="shared" si="8"/>
        <v>Lv1 → Lv2</v>
      </c>
      <c r="U233" s="210">
        <f t="shared" si="9"/>
        <v>0</v>
      </c>
      <c r="V233" s="210"/>
    </row>
    <row r="234">
      <c r="A234" s="247" t="s">
        <v>309</v>
      </c>
      <c r="B234" s="217" t="s">
        <v>310</v>
      </c>
      <c r="C234" s="218" t="s">
        <v>73</v>
      </c>
      <c r="D234" s="218" t="s">
        <v>866</v>
      </c>
      <c r="E234" s="217" t="s">
        <v>21</v>
      </c>
      <c r="F234" s="13" t="s">
        <v>927</v>
      </c>
      <c r="G234" s="13" t="s">
        <v>929</v>
      </c>
      <c r="H234" s="219">
        <f>IFERROR(
  MINIFS(ATTENDANCE_LOG!$F:$F,
         ATTENDANCE_LOG!$A:$A, C234,
         ATTENDANCE_LOG!$B:$B, E234),
"")</f>
        <v>45765.375</v>
      </c>
      <c r="I234" s="190">
        <f>IFERROR(VLOOKUP(F234, LEVEL_HELPER!$A:$B, 2, 0), "")</f>
        <v>1</v>
      </c>
      <c r="J234" s="190">
        <f>IFERROR(VLOOKUP(G234, LEVEL_HELPER!$A:$B, 2, 0), "")</f>
        <v>1.5</v>
      </c>
      <c r="K234" s="190">
        <f t="shared" ref="K234:L234" si="470">IF(OR(I234="", I234=0), "",
  IF(I234&lt;=2,   1,
  IF(I234&lt;=4,   2,
  IF(I234&lt;=5.5, 3, 4))))</f>
        <v>1</v>
      </c>
      <c r="L234" s="190">
        <f t="shared" si="470"/>
        <v>1</v>
      </c>
      <c r="M234" s="190" t="str">
        <f t="shared" si="4"/>
        <v>Progress within level</v>
      </c>
      <c r="N234" s="220" t="s">
        <v>943</v>
      </c>
      <c r="O234" s="220" t="s">
        <v>924</v>
      </c>
      <c r="P234" s="190">
        <f t="shared" si="5"/>
        <v>1</v>
      </c>
      <c r="Q234" s="210">
        <f t="shared" si="6"/>
        <v>5</v>
      </c>
      <c r="R234" s="210">
        <f t="shared" ref="R234:S234" si="471">IF(OR(P234="", P234=0), "",
  IF(P234&lt;=2,   1,
  IF(P234&lt;=4,   2,
  IF(P234&lt;=5.5, 3, 4))))</f>
        <v>1</v>
      </c>
      <c r="S234" s="210">
        <f t="shared" si="471"/>
        <v>3</v>
      </c>
      <c r="T234" s="210" t="str">
        <f t="shared" si="8"/>
        <v>Lv1 → Lv3 (multi)</v>
      </c>
      <c r="U234" s="210">
        <f t="shared" si="9"/>
        <v>1</v>
      </c>
      <c r="V234" s="210"/>
    </row>
    <row r="235">
      <c r="A235" s="220" t="s">
        <v>332</v>
      </c>
      <c r="B235" s="190" t="s">
        <v>333</v>
      </c>
      <c r="C235" s="223" t="s">
        <v>73</v>
      </c>
      <c r="D235" s="223" t="s">
        <v>866</v>
      </c>
      <c r="E235" s="190" t="s">
        <v>21</v>
      </c>
      <c r="F235" s="13" t="s">
        <v>927</v>
      </c>
      <c r="G235" s="13" t="s">
        <v>918</v>
      </c>
      <c r="H235" s="219">
        <f>IFERROR(
  MINIFS(ATTENDANCE_LOG!$F:$F,
         ATTENDANCE_LOG!$A:$A, C235,
         ATTENDANCE_LOG!$B:$B, E235),
"")</f>
        <v>45765.375</v>
      </c>
      <c r="I235" s="190">
        <f>IFERROR(VLOOKUP(F235, LEVEL_HELPER!$A:$B, 2, 0), "")</f>
        <v>1</v>
      </c>
      <c r="J235" s="190">
        <f>IFERROR(VLOOKUP(G235, LEVEL_HELPER!$A:$B, 2, 0), "")</f>
        <v>3</v>
      </c>
      <c r="K235" s="190">
        <f t="shared" ref="K235:L235" si="472">IF(OR(I235="", I235=0), "",
  IF(I235&lt;=2,   1,
  IF(I235&lt;=4,   2,
  IF(I235&lt;=5.5, 3, 4))))</f>
        <v>1</v>
      </c>
      <c r="L235" s="190">
        <f t="shared" si="472"/>
        <v>2</v>
      </c>
      <c r="M235" s="190" t="str">
        <f t="shared" si="4"/>
        <v>Lv1 → Lv2</v>
      </c>
      <c r="N235" s="220" t="s">
        <v>943</v>
      </c>
      <c r="O235" s="220" t="s">
        <v>924</v>
      </c>
      <c r="P235" s="190">
        <f t="shared" si="5"/>
        <v>1</v>
      </c>
      <c r="Q235" s="210">
        <f t="shared" si="6"/>
        <v>5</v>
      </c>
      <c r="R235" s="210">
        <f t="shared" ref="R235:S235" si="473">IF(OR(P235="", P235=0), "",
  IF(P235&lt;=2,   1,
  IF(P235&lt;=4,   2,
  IF(P235&lt;=5.5, 3, 4))))</f>
        <v>1</v>
      </c>
      <c r="S235" s="210">
        <f t="shared" si="473"/>
        <v>3</v>
      </c>
      <c r="T235" s="210" t="str">
        <f t="shared" si="8"/>
        <v>Lv1 → Lv3 (multi)</v>
      </c>
      <c r="U235" s="210">
        <f t="shared" si="9"/>
        <v>1</v>
      </c>
      <c r="V235" s="210"/>
    </row>
    <row r="236">
      <c r="A236" s="220" t="s">
        <v>419</v>
      </c>
      <c r="B236" s="190" t="s">
        <v>420</v>
      </c>
      <c r="C236" s="223" t="s">
        <v>73</v>
      </c>
      <c r="D236" s="223" t="s">
        <v>866</v>
      </c>
      <c r="E236" s="190" t="s">
        <v>21</v>
      </c>
      <c r="F236" s="13" t="s">
        <v>927</v>
      </c>
      <c r="G236" s="13" t="s">
        <v>927</v>
      </c>
      <c r="H236" s="219">
        <f>IFERROR(
  MINIFS(ATTENDANCE_LOG!$F:$F,
         ATTENDANCE_LOG!$A:$A, C236,
         ATTENDANCE_LOG!$B:$B, E236),
"")</f>
        <v>45765.375</v>
      </c>
      <c r="I236" s="190">
        <f>IFERROR(VLOOKUP(F236, LEVEL_HELPER!$A:$B, 2, 0), "")</f>
        <v>1</v>
      </c>
      <c r="J236" s="190">
        <f>IFERROR(VLOOKUP(G236, LEVEL_HELPER!$A:$B, 2, 0), "")</f>
        <v>1</v>
      </c>
      <c r="K236" s="190">
        <f t="shared" ref="K236:L236" si="474">IF(OR(I236="", I236=0), "",
  IF(I236&lt;=2,   1,
  IF(I236&lt;=4,   2,
  IF(I236&lt;=5.5, 3, 4))))</f>
        <v>1</v>
      </c>
      <c r="L236" s="190">
        <f t="shared" si="474"/>
        <v>1</v>
      </c>
      <c r="M236" s="190" t="str">
        <f t="shared" si="4"/>
        <v>No Progress</v>
      </c>
      <c r="N236" s="220" t="s">
        <v>943</v>
      </c>
      <c r="O236" s="220" t="s">
        <v>923</v>
      </c>
      <c r="P236" s="190">
        <f t="shared" si="5"/>
        <v>1</v>
      </c>
      <c r="Q236" s="210">
        <f t="shared" si="6"/>
        <v>3</v>
      </c>
      <c r="R236" s="210">
        <f t="shared" ref="R236:S236" si="475">IF(OR(P236="", P236=0), "",
  IF(P236&lt;=2,   1,
  IF(P236&lt;=4,   2,
  IF(P236&lt;=5.5, 3, 4))))</f>
        <v>1</v>
      </c>
      <c r="S236" s="210">
        <f t="shared" si="475"/>
        <v>2</v>
      </c>
      <c r="T236" s="210" t="str">
        <f t="shared" si="8"/>
        <v>Lv1 → Lv2</v>
      </c>
      <c r="U236" s="210">
        <f t="shared" si="9"/>
        <v>1</v>
      </c>
      <c r="V236" s="210"/>
    </row>
    <row r="237">
      <c r="A237" s="220" t="s">
        <v>562</v>
      </c>
      <c r="B237" s="190" t="s">
        <v>563</v>
      </c>
      <c r="C237" s="223" t="s">
        <v>73</v>
      </c>
      <c r="D237" s="223" t="s">
        <v>866</v>
      </c>
      <c r="E237" s="190" t="s">
        <v>21</v>
      </c>
      <c r="F237" s="13" t="s">
        <v>927</v>
      </c>
      <c r="G237" s="13" t="s">
        <v>918</v>
      </c>
      <c r="H237" s="219">
        <f>IFERROR(
  MINIFS(ATTENDANCE_LOG!$F:$F,
         ATTENDANCE_LOG!$A:$A, C237,
         ATTENDANCE_LOG!$B:$B, E237),
"")</f>
        <v>45765.375</v>
      </c>
      <c r="I237" s="190">
        <f>IFERROR(VLOOKUP(F237, LEVEL_HELPER!$A:$B, 2, 0), "")</f>
        <v>1</v>
      </c>
      <c r="J237" s="190">
        <f>IFERROR(VLOOKUP(G237, LEVEL_HELPER!$A:$B, 2, 0), "")</f>
        <v>3</v>
      </c>
      <c r="K237" s="190">
        <f t="shared" ref="K237:L237" si="476">IF(OR(I237="", I237=0), "",
  IF(I237&lt;=2,   1,
  IF(I237&lt;=4,   2,
  IF(I237&lt;=5.5, 3, 4))))</f>
        <v>1</v>
      </c>
      <c r="L237" s="190">
        <f t="shared" si="476"/>
        <v>2</v>
      </c>
      <c r="M237" s="190" t="str">
        <f t="shared" si="4"/>
        <v>Lv1 → Lv2</v>
      </c>
      <c r="N237" s="220" t="s">
        <v>943</v>
      </c>
      <c r="O237" s="220" t="s">
        <v>924</v>
      </c>
      <c r="P237" s="190">
        <f t="shared" si="5"/>
        <v>1</v>
      </c>
      <c r="Q237" s="210">
        <f t="shared" si="6"/>
        <v>3.5</v>
      </c>
      <c r="R237" s="210">
        <f t="shared" ref="R237:S237" si="477">IF(OR(P237="", P237=0), "",
  IF(P237&lt;=2,   1,
  IF(P237&lt;=4,   2,
  IF(P237&lt;=5.5, 3, 4))))</f>
        <v>1</v>
      </c>
      <c r="S237" s="210">
        <f t="shared" si="477"/>
        <v>2</v>
      </c>
      <c r="T237" s="210" t="str">
        <f t="shared" si="8"/>
        <v>Lv1 → Lv2</v>
      </c>
      <c r="U237" s="210">
        <f t="shared" si="9"/>
        <v>1</v>
      </c>
      <c r="V237" s="210"/>
    </row>
    <row r="238">
      <c r="A238" s="220" t="s">
        <v>693</v>
      </c>
      <c r="B238" s="190" t="s">
        <v>694</v>
      </c>
      <c r="C238" s="223" t="s">
        <v>73</v>
      </c>
      <c r="D238" s="223" t="s">
        <v>866</v>
      </c>
      <c r="E238" s="190" t="s">
        <v>21</v>
      </c>
      <c r="F238" s="13" t="s">
        <v>927</v>
      </c>
      <c r="G238" s="13" t="s">
        <v>918</v>
      </c>
      <c r="H238" s="219">
        <f>IFERROR(
  MINIFS(ATTENDANCE_LOG!$F:$F,
         ATTENDANCE_LOG!$A:$A, C238,
         ATTENDANCE_LOG!$B:$B, E238),
"")</f>
        <v>45765.375</v>
      </c>
      <c r="I238" s="190">
        <f>IFERROR(VLOOKUP(F238, LEVEL_HELPER!$A:$B, 2, 0), "")</f>
        <v>1</v>
      </c>
      <c r="J238" s="190">
        <f>IFERROR(VLOOKUP(G238, LEVEL_HELPER!$A:$B, 2, 0), "")</f>
        <v>3</v>
      </c>
      <c r="K238" s="190">
        <f t="shared" ref="K238:L238" si="478">IF(OR(I238="", I238=0), "",
  IF(I238&lt;=2,   1,
  IF(I238&lt;=4,   2,
  IF(I238&lt;=5.5, 3, 4))))</f>
        <v>1</v>
      </c>
      <c r="L238" s="190">
        <f t="shared" si="478"/>
        <v>2</v>
      </c>
      <c r="M238" s="190" t="str">
        <f t="shared" si="4"/>
        <v>Lv1 → Lv2</v>
      </c>
      <c r="N238" s="220" t="s">
        <v>943</v>
      </c>
      <c r="O238" s="220" t="s">
        <v>924</v>
      </c>
      <c r="P238" s="190">
        <f t="shared" si="5"/>
        <v>1</v>
      </c>
      <c r="Q238" s="210">
        <f t="shared" si="6"/>
        <v>3.5</v>
      </c>
      <c r="R238" s="210">
        <f t="shared" ref="R238:S238" si="479">IF(OR(P238="", P238=0), "",
  IF(P238&lt;=2,   1,
  IF(P238&lt;=4,   2,
  IF(P238&lt;=5.5, 3, 4))))</f>
        <v>1</v>
      </c>
      <c r="S238" s="210">
        <f t="shared" si="479"/>
        <v>2</v>
      </c>
      <c r="T238" s="210" t="str">
        <f t="shared" si="8"/>
        <v>Lv1 → Lv2</v>
      </c>
      <c r="U238" s="210">
        <f t="shared" si="9"/>
        <v>1</v>
      </c>
      <c r="V238" s="210"/>
    </row>
    <row r="239">
      <c r="A239" s="247" t="s">
        <v>224</v>
      </c>
      <c r="B239" s="217" t="s">
        <v>225</v>
      </c>
      <c r="C239" s="218" t="s">
        <v>74</v>
      </c>
      <c r="D239" s="218" t="s">
        <v>867</v>
      </c>
      <c r="E239" s="217" t="s">
        <v>25</v>
      </c>
      <c r="F239" s="13" t="s">
        <v>927</v>
      </c>
      <c r="G239" s="13" t="s">
        <v>927</v>
      </c>
      <c r="H239" s="219">
        <f>IFERROR(
  MINIFS(ATTENDANCE_LOG!$F:$F,
         ATTENDANCE_LOG!$A:$A, C239,
         ATTENDANCE_LOG!$B:$B, E239),
"")</f>
        <v>45818.375</v>
      </c>
      <c r="I239" s="190">
        <f>IFERROR(VLOOKUP(F239, LEVEL_HELPER!$A:$B, 2, 0), "")</f>
        <v>1</v>
      </c>
      <c r="J239" s="190">
        <f>IFERROR(VLOOKUP(G239, LEVEL_HELPER!$A:$B, 2, 0), "")</f>
        <v>1</v>
      </c>
      <c r="K239" s="190">
        <f t="shared" ref="K239:L239" si="480">IF(OR(I239="", I239=0), "",
  IF(I239&lt;=2,   1,
  IF(I239&lt;=4,   2,
  IF(I239&lt;=5.5, 3, 4))))</f>
        <v>1</v>
      </c>
      <c r="L239" s="190">
        <f t="shared" si="480"/>
        <v>1</v>
      </c>
      <c r="M239" s="190" t="str">
        <f t="shared" si="4"/>
        <v>No Progress</v>
      </c>
      <c r="N239" s="220" t="s">
        <v>943</v>
      </c>
      <c r="O239" s="220" t="s">
        <v>923</v>
      </c>
      <c r="P239" s="190">
        <f t="shared" si="5"/>
        <v>1</v>
      </c>
      <c r="Q239" s="210">
        <f t="shared" si="6"/>
        <v>3</v>
      </c>
      <c r="R239" s="210">
        <f t="shared" ref="R239:S239" si="481">IF(OR(P239="", P239=0), "",
  IF(P239&lt;=2,   1,
  IF(P239&lt;=4,   2,
  IF(P239&lt;=5.5, 3, 4))))</f>
        <v>1</v>
      </c>
      <c r="S239" s="210">
        <f t="shared" si="481"/>
        <v>2</v>
      </c>
      <c r="T239" s="210" t="str">
        <f t="shared" si="8"/>
        <v>Lv1 → Lv2</v>
      </c>
      <c r="U239" s="210">
        <f t="shared" si="9"/>
        <v>1</v>
      </c>
      <c r="V239" s="210"/>
    </row>
    <row r="240">
      <c r="A240" s="220" t="s">
        <v>186</v>
      </c>
      <c r="B240" s="190" t="s">
        <v>187</v>
      </c>
      <c r="C240" s="223" t="s">
        <v>74</v>
      </c>
      <c r="D240" s="223" t="s">
        <v>867</v>
      </c>
      <c r="E240" s="190" t="s">
        <v>25</v>
      </c>
      <c r="F240" s="13" t="s">
        <v>927</v>
      </c>
      <c r="G240" s="13" t="s">
        <v>927</v>
      </c>
      <c r="H240" s="219">
        <f>IFERROR(
  MINIFS(ATTENDANCE_LOG!$F:$F,
         ATTENDANCE_LOG!$A:$A, C240,
         ATTENDANCE_LOG!$B:$B, E240),
"")</f>
        <v>45818.375</v>
      </c>
      <c r="I240" s="190">
        <f>IFERROR(VLOOKUP(F240, LEVEL_HELPER!$A:$B, 2, 0), "")</f>
        <v>1</v>
      </c>
      <c r="J240" s="190">
        <f>IFERROR(VLOOKUP(G240, LEVEL_HELPER!$A:$B, 2, 0), "")</f>
        <v>1</v>
      </c>
      <c r="K240" s="190">
        <f t="shared" ref="K240:L240" si="482">IF(OR(I240="", I240=0), "",
  IF(I240&lt;=2,   1,
  IF(I240&lt;=4,   2,
  IF(I240&lt;=5.5, 3, 4))))</f>
        <v>1</v>
      </c>
      <c r="L240" s="190">
        <f t="shared" si="482"/>
        <v>1</v>
      </c>
      <c r="M240" s="190" t="str">
        <f t="shared" si="4"/>
        <v>No Progress</v>
      </c>
      <c r="N240" s="220" t="s">
        <v>943</v>
      </c>
      <c r="O240" s="220" t="s">
        <v>924</v>
      </c>
      <c r="P240" s="190">
        <f t="shared" si="5"/>
        <v>1</v>
      </c>
      <c r="Q240" s="210">
        <f t="shared" si="6"/>
        <v>3.5</v>
      </c>
      <c r="R240" s="210">
        <f t="shared" ref="R240:S240" si="483">IF(OR(P240="", P240=0), "",
  IF(P240&lt;=2,   1,
  IF(P240&lt;=4,   2,
  IF(P240&lt;=5.5, 3, 4))))</f>
        <v>1</v>
      </c>
      <c r="S240" s="210">
        <f t="shared" si="483"/>
        <v>2</v>
      </c>
      <c r="T240" s="210" t="str">
        <f t="shared" si="8"/>
        <v>Lv1 → Lv2</v>
      </c>
      <c r="U240" s="210">
        <f t="shared" si="9"/>
        <v>1</v>
      </c>
      <c r="V240" s="210"/>
    </row>
    <row r="241">
      <c r="A241" s="220" t="s">
        <v>382</v>
      </c>
      <c r="B241" s="190" t="s">
        <v>380</v>
      </c>
      <c r="C241" s="223" t="s">
        <v>74</v>
      </c>
      <c r="D241" s="223" t="s">
        <v>867</v>
      </c>
      <c r="E241" s="190" t="s">
        <v>25</v>
      </c>
      <c r="F241" s="13" t="s">
        <v>927</v>
      </c>
      <c r="G241" s="13" t="s">
        <v>927</v>
      </c>
      <c r="H241" s="219">
        <f>IFERROR(
  MINIFS(ATTENDANCE_LOG!$F:$F,
         ATTENDANCE_LOG!$A:$A, C241,
         ATTENDANCE_LOG!$B:$B, E241),
"")</f>
        <v>45818.375</v>
      </c>
      <c r="I241" s="190">
        <f>IFERROR(VLOOKUP(F241, LEVEL_HELPER!$A:$B, 2, 0), "")</f>
        <v>1</v>
      </c>
      <c r="J241" s="190">
        <f>IFERROR(VLOOKUP(G241, LEVEL_HELPER!$A:$B, 2, 0), "")</f>
        <v>1</v>
      </c>
      <c r="K241" s="190">
        <f t="shared" ref="K241:L241" si="484">IF(OR(I241="", I241=0), "",
  IF(I241&lt;=2,   1,
  IF(I241&lt;=4,   2,
  IF(I241&lt;=5.5, 3, 4))))</f>
        <v>1</v>
      </c>
      <c r="L241" s="190">
        <f t="shared" si="484"/>
        <v>1</v>
      </c>
      <c r="M241" s="190" t="str">
        <f t="shared" si="4"/>
        <v>No Progress</v>
      </c>
      <c r="N241" s="220" t="s">
        <v>943</v>
      </c>
      <c r="O241" s="220" t="s">
        <v>924</v>
      </c>
      <c r="P241" s="190">
        <f t="shared" si="5"/>
        <v>1</v>
      </c>
      <c r="Q241" s="210">
        <f t="shared" si="6"/>
        <v>3</v>
      </c>
      <c r="R241" s="210">
        <f t="shared" ref="R241:S241" si="485">IF(OR(P241="", P241=0), "",
  IF(P241&lt;=2,   1,
  IF(P241&lt;=4,   2,
  IF(P241&lt;=5.5, 3, 4))))</f>
        <v>1</v>
      </c>
      <c r="S241" s="210">
        <f t="shared" si="485"/>
        <v>2</v>
      </c>
      <c r="T241" s="210" t="str">
        <f t="shared" si="8"/>
        <v>Lv1 → Lv2</v>
      </c>
      <c r="U241" s="210">
        <f t="shared" si="9"/>
        <v>1</v>
      </c>
      <c r="V241" s="210"/>
    </row>
    <row r="242">
      <c r="A242" s="220" t="s">
        <v>425</v>
      </c>
      <c r="B242" s="190" t="s">
        <v>426</v>
      </c>
      <c r="C242" s="223" t="s">
        <v>74</v>
      </c>
      <c r="D242" s="223" t="s">
        <v>867</v>
      </c>
      <c r="E242" s="190" t="s">
        <v>25</v>
      </c>
      <c r="F242" s="13" t="s">
        <v>927</v>
      </c>
      <c r="G242" s="13" t="s">
        <v>927</v>
      </c>
      <c r="H242" s="219">
        <f>IFERROR(
  MINIFS(ATTENDANCE_LOG!$F:$F,
         ATTENDANCE_LOG!$A:$A, C242,
         ATTENDANCE_LOG!$B:$B, E242),
"")</f>
        <v>45818.375</v>
      </c>
      <c r="I242" s="190">
        <f>IFERROR(VLOOKUP(F242, LEVEL_HELPER!$A:$B, 2, 0), "")</f>
        <v>1</v>
      </c>
      <c r="J242" s="190">
        <f>IFERROR(VLOOKUP(G242, LEVEL_HELPER!$A:$B, 2, 0), "")</f>
        <v>1</v>
      </c>
      <c r="K242" s="190">
        <f t="shared" ref="K242:L242" si="486">IF(OR(I242="", I242=0), "",
  IF(I242&lt;=2,   1,
  IF(I242&lt;=4,   2,
  IF(I242&lt;=5.5, 3, 4))))</f>
        <v>1</v>
      </c>
      <c r="L242" s="190">
        <f t="shared" si="486"/>
        <v>1</v>
      </c>
      <c r="M242" s="190" t="str">
        <f t="shared" si="4"/>
        <v>No Progress</v>
      </c>
      <c r="N242" s="220" t="s">
        <v>943</v>
      </c>
      <c r="O242" s="220" t="s">
        <v>923</v>
      </c>
      <c r="P242" s="190">
        <f t="shared" si="5"/>
        <v>1</v>
      </c>
      <c r="Q242" s="210">
        <f t="shared" si="6"/>
        <v>3.5</v>
      </c>
      <c r="R242" s="210">
        <f t="shared" ref="R242:S242" si="487">IF(OR(P242="", P242=0), "",
  IF(P242&lt;=2,   1,
  IF(P242&lt;=4,   2,
  IF(P242&lt;=5.5, 3, 4))))</f>
        <v>1</v>
      </c>
      <c r="S242" s="210">
        <f t="shared" si="487"/>
        <v>2</v>
      </c>
      <c r="T242" s="210" t="str">
        <f t="shared" si="8"/>
        <v>Lv1 → Lv2</v>
      </c>
      <c r="U242" s="210">
        <f t="shared" si="9"/>
        <v>1</v>
      </c>
      <c r="V242" s="210"/>
    </row>
    <row r="243">
      <c r="A243" s="220" t="s">
        <v>431</v>
      </c>
      <c r="B243" s="190" t="s">
        <v>432</v>
      </c>
      <c r="C243" s="223" t="s">
        <v>74</v>
      </c>
      <c r="D243" s="223" t="s">
        <v>867</v>
      </c>
      <c r="E243" s="190" t="s">
        <v>25</v>
      </c>
      <c r="F243" s="13" t="s">
        <v>927</v>
      </c>
      <c r="G243" s="13" t="s">
        <v>927</v>
      </c>
      <c r="H243" s="219">
        <f>IFERROR(
  MINIFS(ATTENDANCE_LOG!$F:$F,
         ATTENDANCE_LOG!$A:$A, C243,
         ATTENDANCE_LOG!$B:$B, E243),
"")</f>
        <v>45818.375</v>
      </c>
      <c r="I243" s="190">
        <f>IFERROR(VLOOKUP(F243, LEVEL_HELPER!$A:$B, 2, 0), "")</f>
        <v>1</v>
      </c>
      <c r="J243" s="190">
        <f>IFERROR(VLOOKUP(G243, LEVEL_HELPER!$A:$B, 2, 0), "")</f>
        <v>1</v>
      </c>
      <c r="K243" s="190">
        <f t="shared" ref="K243:L243" si="488">IF(OR(I243="", I243=0), "",
  IF(I243&lt;=2,   1,
  IF(I243&lt;=4,   2,
  IF(I243&lt;=5.5, 3, 4))))</f>
        <v>1</v>
      </c>
      <c r="L243" s="190">
        <f t="shared" si="488"/>
        <v>1</v>
      </c>
      <c r="M243" s="190" t="str">
        <f t="shared" si="4"/>
        <v>No Progress</v>
      </c>
      <c r="N243" s="220" t="s">
        <v>943</v>
      </c>
      <c r="O243" s="220" t="s">
        <v>924</v>
      </c>
      <c r="P243" s="190">
        <f t="shared" si="5"/>
        <v>1</v>
      </c>
      <c r="Q243" s="210">
        <f t="shared" si="6"/>
        <v>5</v>
      </c>
      <c r="R243" s="210">
        <f t="shared" ref="R243:S243" si="489">IF(OR(P243="", P243=0), "",
  IF(P243&lt;=2,   1,
  IF(P243&lt;=4,   2,
  IF(P243&lt;=5.5, 3, 4))))</f>
        <v>1</v>
      </c>
      <c r="S243" s="210">
        <f t="shared" si="489"/>
        <v>3</v>
      </c>
      <c r="T243" s="210" t="str">
        <f t="shared" si="8"/>
        <v>Lv1 → Lv3 (multi)</v>
      </c>
      <c r="U243" s="210">
        <f t="shared" si="9"/>
        <v>1</v>
      </c>
      <c r="V243" s="210"/>
    </row>
    <row r="244">
      <c r="A244" s="220" t="s">
        <v>453</v>
      </c>
      <c r="B244" s="190" t="s">
        <v>454</v>
      </c>
      <c r="C244" s="223" t="s">
        <v>74</v>
      </c>
      <c r="D244" s="223" t="s">
        <v>867</v>
      </c>
      <c r="E244" s="190" t="s">
        <v>25</v>
      </c>
      <c r="F244" s="13" t="s">
        <v>927</v>
      </c>
      <c r="G244" s="13" t="s">
        <v>927</v>
      </c>
      <c r="H244" s="219">
        <f>IFERROR(
  MINIFS(ATTENDANCE_LOG!$F:$F,
         ATTENDANCE_LOG!$A:$A, C244,
         ATTENDANCE_LOG!$B:$B, E244),
"")</f>
        <v>45818.375</v>
      </c>
      <c r="I244" s="190">
        <f>IFERROR(VLOOKUP(F244, LEVEL_HELPER!$A:$B, 2, 0), "")</f>
        <v>1</v>
      </c>
      <c r="J244" s="190">
        <f>IFERROR(VLOOKUP(G244, LEVEL_HELPER!$A:$B, 2, 0), "")</f>
        <v>1</v>
      </c>
      <c r="K244" s="190">
        <f t="shared" ref="K244:L244" si="490">IF(OR(I244="", I244=0), "",
  IF(I244&lt;=2,   1,
  IF(I244&lt;=4,   2,
  IF(I244&lt;=5.5, 3, 4))))</f>
        <v>1</v>
      </c>
      <c r="L244" s="190">
        <f t="shared" si="490"/>
        <v>1</v>
      </c>
      <c r="M244" s="190" t="str">
        <f t="shared" si="4"/>
        <v>No Progress</v>
      </c>
      <c r="N244" s="220" t="s">
        <v>943</v>
      </c>
      <c r="O244" s="220" t="s">
        <v>924</v>
      </c>
      <c r="P244" s="190">
        <f t="shared" si="5"/>
        <v>1</v>
      </c>
      <c r="Q244" s="210">
        <f t="shared" si="6"/>
        <v>3</v>
      </c>
      <c r="R244" s="210">
        <f t="shared" ref="R244:S244" si="491">IF(OR(P244="", P244=0), "",
  IF(P244&lt;=2,   1,
  IF(P244&lt;=4,   2,
  IF(P244&lt;=5.5, 3, 4))))</f>
        <v>1</v>
      </c>
      <c r="S244" s="210">
        <f t="shared" si="491"/>
        <v>2</v>
      </c>
      <c r="T244" s="210" t="str">
        <f t="shared" si="8"/>
        <v>Lv1 → Lv2</v>
      </c>
      <c r="U244" s="210">
        <f t="shared" si="9"/>
        <v>1</v>
      </c>
      <c r="V244" s="210"/>
    </row>
    <row r="245">
      <c r="A245" s="247" t="s">
        <v>224</v>
      </c>
      <c r="B245" s="217" t="s">
        <v>225</v>
      </c>
      <c r="C245" s="218" t="s">
        <v>74</v>
      </c>
      <c r="D245" s="218" t="s">
        <v>867</v>
      </c>
      <c r="E245" s="217" t="s">
        <v>21</v>
      </c>
      <c r="F245" s="13" t="s">
        <v>927</v>
      </c>
      <c r="G245" s="13" t="s">
        <v>918</v>
      </c>
      <c r="H245" s="219">
        <f>IFERROR(
  MINIFS(ATTENDANCE_LOG!$F:$F,
         ATTENDANCE_LOG!$A:$A, C245,
         ATTENDANCE_LOG!$B:$B, E245),
"")</f>
        <v>45813.375</v>
      </c>
      <c r="I245" s="190">
        <f>IFERROR(VLOOKUP(F245, LEVEL_HELPER!$A:$B, 2, 0), "")</f>
        <v>1</v>
      </c>
      <c r="J245" s="190">
        <f>IFERROR(VLOOKUP(G245, LEVEL_HELPER!$A:$B, 2, 0), "")</f>
        <v>3</v>
      </c>
      <c r="K245" s="190">
        <f t="shared" ref="K245:L245" si="492">IF(OR(I245="", I245=0), "",
  IF(I245&lt;=2,   1,
  IF(I245&lt;=4,   2,
  IF(I245&lt;=5.5, 3, 4))))</f>
        <v>1</v>
      </c>
      <c r="L245" s="190">
        <f t="shared" si="492"/>
        <v>2</v>
      </c>
      <c r="M245" s="190" t="str">
        <f t="shared" si="4"/>
        <v>Lv1 → Lv2</v>
      </c>
      <c r="N245" s="220" t="s">
        <v>943</v>
      </c>
      <c r="O245" s="220" t="s">
        <v>923</v>
      </c>
      <c r="P245" s="190">
        <f t="shared" si="5"/>
        <v>1</v>
      </c>
      <c r="Q245" s="210">
        <f t="shared" si="6"/>
        <v>3</v>
      </c>
      <c r="R245" s="210">
        <f t="shared" ref="R245:S245" si="493">IF(OR(P245="", P245=0), "",
  IF(P245&lt;=2,   1,
  IF(P245&lt;=4,   2,
  IF(P245&lt;=5.5, 3, 4))))</f>
        <v>1</v>
      </c>
      <c r="S245" s="210">
        <f t="shared" si="493"/>
        <v>2</v>
      </c>
      <c r="T245" s="210" t="str">
        <f t="shared" si="8"/>
        <v>Lv1 → Lv2</v>
      </c>
      <c r="U245" s="210">
        <f t="shared" si="9"/>
        <v>0</v>
      </c>
      <c r="V245" s="210"/>
    </row>
    <row r="246">
      <c r="A246" s="220" t="s">
        <v>186</v>
      </c>
      <c r="B246" s="190" t="s">
        <v>187</v>
      </c>
      <c r="C246" s="223" t="s">
        <v>74</v>
      </c>
      <c r="D246" s="223" t="s">
        <v>867</v>
      </c>
      <c r="E246" s="190" t="s">
        <v>21</v>
      </c>
      <c r="F246" s="13" t="s">
        <v>927</v>
      </c>
      <c r="G246" s="13" t="s">
        <v>935</v>
      </c>
      <c r="H246" s="219">
        <f>IFERROR(
  MINIFS(ATTENDANCE_LOG!$F:$F,
         ATTENDANCE_LOG!$A:$A, C246,
         ATTENDANCE_LOG!$B:$B, E246),
"")</f>
        <v>45813.375</v>
      </c>
      <c r="I246" s="190">
        <f>IFERROR(VLOOKUP(F246, LEVEL_HELPER!$A:$B, 2, 0), "")</f>
        <v>1</v>
      </c>
      <c r="J246" s="190">
        <f>IFERROR(VLOOKUP(G246, LEVEL_HELPER!$A:$B, 2, 0), "")</f>
        <v>3.5</v>
      </c>
      <c r="K246" s="190">
        <f t="shared" ref="K246:L246" si="494">IF(OR(I246="", I246=0), "",
  IF(I246&lt;=2,   1,
  IF(I246&lt;=4,   2,
  IF(I246&lt;=5.5, 3, 4))))</f>
        <v>1</v>
      </c>
      <c r="L246" s="190">
        <f t="shared" si="494"/>
        <v>2</v>
      </c>
      <c r="M246" s="190" t="str">
        <f t="shared" si="4"/>
        <v>Lv1 → Lv2</v>
      </c>
      <c r="N246" s="220" t="s">
        <v>943</v>
      </c>
      <c r="O246" s="220" t="s">
        <v>924</v>
      </c>
      <c r="P246" s="190">
        <f t="shared" si="5"/>
        <v>1</v>
      </c>
      <c r="Q246" s="210">
        <f t="shared" si="6"/>
        <v>3.5</v>
      </c>
      <c r="R246" s="210">
        <f t="shared" ref="R246:S246" si="495">IF(OR(P246="", P246=0), "",
  IF(P246&lt;=2,   1,
  IF(P246&lt;=4,   2,
  IF(P246&lt;=5.5, 3, 4))))</f>
        <v>1</v>
      </c>
      <c r="S246" s="210">
        <f t="shared" si="495"/>
        <v>2</v>
      </c>
      <c r="T246" s="210" t="str">
        <f t="shared" si="8"/>
        <v>Lv1 → Lv2</v>
      </c>
      <c r="U246" s="210">
        <f t="shared" si="9"/>
        <v>0</v>
      </c>
      <c r="V246" s="210"/>
    </row>
    <row r="247">
      <c r="A247" s="220" t="s">
        <v>382</v>
      </c>
      <c r="B247" s="190" t="s">
        <v>380</v>
      </c>
      <c r="C247" s="223" t="s">
        <v>74</v>
      </c>
      <c r="D247" s="223" t="s">
        <v>867</v>
      </c>
      <c r="E247" s="190" t="s">
        <v>21</v>
      </c>
      <c r="F247" s="13" t="s">
        <v>927</v>
      </c>
      <c r="G247" s="13" t="s">
        <v>918</v>
      </c>
      <c r="H247" s="219">
        <f>IFERROR(
  MINIFS(ATTENDANCE_LOG!$F:$F,
         ATTENDANCE_LOG!$A:$A, C247,
         ATTENDANCE_LOG!$B:$B, E247),
"")</f>
        <v>45813.375</v>
      </c>
      <c r="I247" s="190">
        <f>IFERROR(VLOOKUP(F247, LEVEL_HELPER!$A:$B, 2, 0), "")</f>
        <v>1</v>
      </c>
      <c r="J247" s="190">
        <f>IFERROR(VLOOKUP(G247, LEVEL_HELPER!$A:$B, 2, 0), "")</f>
        <v>3</v>
      </c>
      <c r="K247" s="190">
        <f t="shared" ref="K247:L247" si="496">IF(OR(I247="", I247=0), "",
  IF(I247&lt;=2,   1,
  IF(I247&lt;=4,   2,
  IF(I247&lt;=5.5, 3, 4))))</f>
        <v>1</v>
      </c>
      <c r="L247" s="190">
        <f t="shared" si="496"/>
        <v>2</v>
      </c>
      <c r="M247" s="190" t="str">
        <f t="shared" si="4"/>
        <v>Lv1 → Lv2</v>
      </c>
      <c r="N247" s="220" t="s">
        <v>943</v>
      </c>
      <c r="O247" s="220" t="s">
        <v>924</v>
      </c>
      <c r="P247" s="190">
        <f t="shared" si="5"/>
        <v>1</v>
      </c>
      <c r="Q247" s="210">
        <f t="shared" si="6"/>
        <v>3</v>
      </c>
      <c r="R247" s="210">
        <f t="shared" ref="R247:S247" si="497">IF(OR(P247="", P247=0), "",
  IF(P247&lt;=2,   1,
  IF(P247&lt;=4,   2,
  IF(P247&lt;=5.5, 3, 4))))</f>
        <v>1</v>
      </c>
      <c r="S247" s="210">
        <f t="shared" si="497"/>
        <v>2</v>
      </c>
      <c r="T247" s="210" t="str">
        <f t="shared" si="8"/>
        <v>Lv1 → Lv2</v>
      </c>
      <c r="U247" s="210">
        <f t="shared" si="9"/>
        <v>0</v>
      </c>
      <c r="V247" s="210"/>
    </row>
    <row r="248">
      <c r="A248" s="220" t="s">
        <v>425</v>
      </c>
      <c r="B248" s="190" t="s">
        <v>426</v>
      </c>
      <c r="C248" s="223" t="s">
        <v>74</v>
      </c>
      <c r="D248" s="223" t="s">
        <v>867</v>
      </c>
      <c r="E248" s="190" t="s">
        <v>21</v>
      </c>
      <c r="F248" s="13" t="s">
        <v>927</v>
      </c>
      <c r="G248" s="13" t="s">
        <v>935</v>
      </c>
      <c r="H248" s="219">
        <f>IFERROR(
  MINIFS(ATTENDANCE_LOG!$F:$F,
         ATTENDANCE_LOG!$A:$A, C248,
         ATTENDANCE_LOG!$B:$B, E248),
"")</f>
        <v>45813.375</v>
      </c>
      <c r="I248" s="190">
        <f>IFERROR(VLOOKUP(F248, LEVEL_HELPER!$A:$B, 2, 0), "")</f>
        <v>1</v>
      </c>
      <c r="J248" s="190">
        <f>IFERROR(VLOOKUP(G248, LEVEL_HELPER!$A:$B, 2, 0), "")</f>
        <v>3.5</v>
      </c>
      <c r="K248" s="190">
        <f t="shared" ref="K248:L248" si="498">IF(OR(I248="", I248=0), "",
  IF(I248&lt;=2,   1,
  IF(I248&lt;=4,   2,
  IF(I248&lt;=5.5, 3, 4))))</f>
        <v>1</v>
      </c>
      <c r="L248" s="190">
        <f t="shared" si="498"/>
        <v>2</v>
      </c>
      <c r="M248" s="190" t="str">
        <f t="shared" si="4"/>
        <v>Lv1 → Lv2</v>
      </c>
      <c r="N248" s="220" t="s">
        <v>943</v>
      </c>
      <c r="O248" s="220" t="s">
        <v>923</v>
      </c>
      <c r="P248" s="190">
        <f t="shared" si="5"/>
        <v>1</v>
      </c>
      <c r="Q248" s="210">
        <f t="shared" si="6"/>
        <v>3.5</v>
      </c>
      <c r="R248" s="210">
        <f t="shared" ref="R248:S248" si="499">IF(OR(P248="", P248=0), "",
  IF(P248&lt;=2,   1,
  IF(P248&lt;=4,   2,
  IF(P248&lt;=5.5, 3, 4))))</f>
        <v>1</v>
      </c>
      <c r="S248" s="210">
        <f t="shared" si="499"/>
        <v>2</v>
      </c>
      <c r="T248" s="210" t="str">
        <f t="shared" si="8"/>
        <v>Lv1 → Lv2</v>
      </c>
      <c r="U248" s="210">
        <f t="shared" si="9"/>
        <v>0</v>
      </c>
      <c r="V248" s="210"/>
    </row>
    <row r="249">
      <c r="A249" s="220" t="s">
        <v>431</v>
      </c>
      <c r="B249" s="190" t="s">
        <v>432</v>
      </c>
      <c r="C249" s="223" t="s">
        <v>74</v>
      </c>
      <c r="D249" s="223" t="s">
        <v>867</v>
      </c>
      <c r="E249" s="190" t="s">
        <v>21</v>
      </c>
      <c r="F249" s="13" t="s">
        <v>927</v>
      </c>
      <c r="G249" s="13" t="s">
        <v>941</v>
      </c>
      <c r="H249" s="219">
        <f>IFERROR(
  MINIFS(ATTENDANCE_LOG!$F:$F,
         ATTENDANCE_LOG!$A:$A, C249,
         ATTENDANCE_LOG!$B:$B, E249),
"")</f>
        <v>45813.375</v>
      </c>
      <c r="I249" s="190">
        <f>IFERROR(VLOOKUP(F249, LEVEL_HELPER!$A:$B, 2, 0), "")</f>
        <v>1</v>
      </c>
      <c r="J249" s="190">
        <f>IFERROR(VLOOKUP(G249, LEVEL_HELPER!$A:$B, 2, 0), "")</f>
        <v>5</v>
      </c>
      <c r="K249" s="190">
        <f t="shared" ref="K249:L249" si="500">IF(OR(I249="", I249=0), "",
  IF(I249&lt;=2,   1,
  IF(I249&lt;=4,   2,
  IF(I249&lt;=5.5, 3, 4))))</f>
        <v>1</v>
      </c>
      <c r="L249" s="190">
        <f t="shared" si="500"/>
        <v>3</v>
      </c>
      <c r="M249" s="190" t="str">
        <f t="shared" si="4"/>
        <v>Lv1 → Lv3 (+2)</v>
      </c>
      <c r="N249" s="220" t="s">
        <v>943</v>
      </c>
      <c r="O249" s="220" t="s">
        <v>924</v>
      </c>
      <c r="P249" s="190">
        <f t="shared" si="5"/>
        <v>1</v>
      </c>
      <c r="Q249" s="210">
        <f t="shared" si="6"/>
        <v>5</v>
      </c>
      <c r="R249" s="210">
        <f t="shared" ref="R249:S249" si="501">IF(OR(P249="", P249=0), "",
  IF(P249&lt;=2,   1,
  IF(P249&lt;=4,   2,
  IF(P249&lt;=5.5, 3, 4))))</f>
        <v>1</v>
      </c>
      <c r="S249" s="210">
        <f t="shared" si="501"/>
        <v>3</v>
      </c>
      <c r="T249" s="210" t="str">
        <f t="shared" si="8"/>
        <v>Lv1 → Lv3 (multi)</v>
      </c>
      <c r="U249" s="210">
        <f t="shared" si="9"/>
        <v>0</v>
      </c>
      <c r="V249" s="210"/>
    </row>
    <row r="250">
      <c r="A250" s="220" t="s">
        <v>453</v>
      </c>
      <c r="B250" s="190" t="s">
        <v>454</v>
      </c>
      <c r="C250" s="223" t="s">
        <v>74</v>
      </c>
      <c r="D250" s="223" t="s">
        <v>867</v>
      </c>
      <c r="E250" s="190" t="s">
        <v>21</v>
      </c>
      <c r="F250" s="13" t="s">
        <v>927</v>
      </c>
      <c r="G250" s="13" t="s">
        <v>918</v>
      </c>
      <c r="H250" s="219">
        <f>IFERROR(
  MINIFS(ATTENDANCE_LOG!$F:$F,
         ATTENDANCE_LOG!$A:$A, C250,
         ATTENDANCE_LOG!$B:$B, E250),
"")</f>
        <v>45813.375</v>
      </c>
      <c r="I250" s="190">
        <f>IFERROR(VLOOKUP(F250, LEVEL_HELPER!$A:$B, 2, 0), "")</f>
        <v>1</v>
      </c>
      <c r="J250" s="190">
        <f>IFERROR(VLOOKUP(G250, LEVEL_HELPER!$A:$B, 2, 0), "")</f>
        <v>3</v>
      </c>
      <c r="K250" s="190">
        <f t="shared" ref="K250:L250" si="502">IF(OR(I250="", I250=0), "",
  IF(I250&lt;=2,   1,
  IF(I250&lt;=4,   2,
  IF(I250&lt;=5.5, 3, 4))))</f>
        <v>1</v>
      </c>
      <c r="L250" s="190">
        <f t="shared" si="502"/>
        <v>2</v>
      </c>
      <c r="M250" s="190" t="str">
        <f t="shared" si="4"/>
        <v>Lv1 → Lv2</v>
      </c>
      <c r="N250" s="220" t="s">
        <v>943</v>
      </c>
      <c r="O250" s="220" t="s">
        <v>924</v>
      </c>
      <c r="P250" s="190">
        <f t="shared" si="5"/>
        <v>1</v>
      </c>
      <c r="Q250" s="210">
        <f t="shared" si="6"/>
        <v>3</v>
      </c>
      <c r="R250" s="210">
        <f t="shared" ref="R250:S250" si="503">IF(OR(P250="", P250=0), "",
  IF(P250&lt;=2,   1,
  IF(P250&lt;=4,   2,
  IF(P250&lt;=5.5, 3, 4))))</f>
        <v>1</v>
      </c>
      <c r="S250" s="210">
        <f t="shared" si="503"/>
        <v>2</v>
      </c>
      <c r="T250" s="210" t="str">
        <f t="shared" si="8"/>
        <v>Lv1 → Lv2</v>
      </c>
      <c r="U250" s="210">
        <f t="shared" si="9"/>
        <v>0</v>
      </c>
      <c r="V250" s="210"/>
    </row>
    <row r="251">
      <c r="A251" s="220" t="s">
        <v>492</v>
      </c>
      <c r="B251" s="190" t="s">
        <v>493</v>
      </c>
      <c r="C251" s="223" t="s">
        <v>74</v>
      </c>
      <c r="D251" s="223" t="s">
        <v>867</v>
      </c>
      <c r="E251" s="190" t="s">
        <v>21</v>
      </c>
      <c r="F251" s="190"/>
      <c r="G251" s="190"/>
      <c r="H251" s="219">
        <f>IFERROR(
  MINIFS(ATTENDANCE_LOG!$F:$F,
         ATTENDANCE_LOG!$A:$A, C251,
         ATTENDANCE_LOG!$B:$B, E251),
"")</f>
        <v>45813.375</v>
      </c>
      <c r="I251" s="190" t="str">
        <f>IFERROR(VLOOKUP(F251, LEVEL_HELPER!$A:$B, 2, 0), "")</f>
        <v/>
      </c>
      <c r="J251" s="190" t="str">
        <f>IFERROR(VLOOKUP(G251, LEVEL_HELPER!$A:$B, 2, 0), "")</f>
        <v/>
      </c>
      <c r="K251" s="190" t="str">
        <f t="shared" ref="K251:L251" si="504">IF(OR(I251="", I251=0), "",
  IF(I251&lt;=2,   1,
  IF(I251&lt;=4,   2,
  IF(I251&lt;=5.5, 3, 4))))</f>
        <v/>
      </c>
      <c r="L251" s="190" t="str">
        <f t="shared" si="504"/>
        <v/>
      </c>
      <c r="M251" s="190" t="str">
        <f t="shared" si="4"/>
        <v>No Data</v>
      </c>
      <c r="N251" s="220" t="s">
        <v>943</v>
      </c>
      <c r="O251" s="220" t="s">
        <v>923</v>
      </c>
      <c r="P251" s="190">
        <f t="shared" si="5"/>
        <v>0</v>
      </c>
      <c r="Q251" s="210">
        <f t="shared" si="6"/>
        <v>0</v>
      </c>
      <c r="R251" s="210" t="str">
        <f t="shared" ref="R251:S251" si="505">IF(OR(P251="", P251=0), "",
  IF(P251&lt;=2,   1,
  IF(P251&lt;=4,   2,
  IF(P251&lt;=5.5, 3, 4))))</f>
        <v/>
      </c>
      <c r="S251" s="210" t="str">
        <f t="shared" si="505"/>
        <v/>
      </c>
      <c r="T251" s="210" t="str">
        <f t="shared" si="8"/>
        <v>No Data</v>
      </c>
      <c r="U251" s="210">
        <f t="shared" si="9"/>
        <v>1</v>
      </c>
      <c r="V251" s="210"/>
    </row>
    <row r="252">
      <c r="A252" s="220" t="s">
        <v>591</v>
      </c>
      <c r="B252" s="190" t="s">
        <v>592</v>
      </c>
      <c r="C252" s="223" t="s">
        <v>74</v>
      </c>
      <c r="D252" s="223" t="s">
        <v>867</v>
      </c>
      <c r="E252" s="190" t="s">
        <v>21</v>
      </c>
      <c r="F252" s="190"/>
      <c r="G252" s="190"/>
      <c r="H252" s="219">
        <f>IFERROR(
  MINIFS(ATTENDANCE_LOG!$F:$F,
         ATTENDANCE_LOG!$A:$A, C252,
         ATTENDANCE_LOG!$B:$B, E252),
"")</f>
        <v>45813.375</v>
      </c>
      <c r="I252" s="190" t="str">
        <f>IFERROR(VLOOKUP(F252, LEVEL_HELPER!$A:$B, 2, 0), "")</f>
        <v/>
      </c>
      <c r="J252" s="190" t="str">
        <f>IFERROR(VLOOKUP(G252, LEVEL_HELPER!$A:$B, 2, 0), "")</f>
        <v/>
      </c>
      <c r="K252" s="190" t="str">
        <f t="shared" ref="K252:L252" si="506">IF(OR(I252="", I252=0), "",
  IF(I252&lt;=2,   1,
  IF(I252&lt;=4,   2,
  IF(I252&lt;=5.5, 3, 4))))</f>
        <v/>
      </c>
      <c r="L252" s="190" t="str">
        <f t="shared" si="506"/>
        <v/>
      </c>
      <c r="M252" s="190" t="str">
        <f t="shared" si="4"/>
        <v>No Data</v>
      </c>
      <c r="N252" s="220" t="s">
        <v>943</v>
      </c>
      <c r="O252" s="229" t="s">
        <v>923</v>
      </c>
      <c r="P252" s="190">
        <f t="shared" si="5"/>
        <v>0</v>
      </c>
      <c r="Q252" s="210">
        <f t="shared" si="6"/>
        <v>0</v>
      </c>
      <c r="R252" s="210" t="str">
        <f t="shared" ref="R252:S252" si="507">IF(OR(P252="", P252=0), "",
  IF(P252&lt;=2,   1,
  IF(P252&lt;=4,   2,
  IF(P252&lt;=5.5, 3, 4))))</f>
        <v/>
      </c>
      <c r="S252" s="210" t="str">
        <f t="shared" si="507"/>
        <v/>
      </c>
      <c r="T252" s="210" t="str">
        <f t="shared" si="8"/>
        <v>No Data</v>
      </c>
      <c r="U252" s="210">
        <f t="shared" si="9"/>
        <v>1</v>
      </c>
      <c r="V252" s="210"/>
    </row>
    <row r="253">
      <c r="A253" s="247" t="s">
        <v>224</v>
      </c>
      <c r="B253" s="217" t="s">
        <v>225</v>
      </c>
      <c r="C253" s="218" t="s">
        <v>74</v>
      </c>
      <c r="D253" s="218" t="s">
        <v>867</v>
      </c>
      <c r="E253" s="217" t="s">
        <v>22</v>
      </c>
      <c r="F253" s="190"/>
      <c r="G253" s="190"/>
      <c r="H253" s="219">
        <f>IFERROR(
  MINIFS(ATTENDANCE_LOG!$F:$F,
         ATTENDANCE_LOG!$A:$A, C253,
         ATTENDANCE_LOG!$B:$B, E253),
"")</f>
        <v>46106.41667</v>
      </c>
      <c r="I253" s="190" t="str">
        <f>IFERROR(VLOOKUP(F253, LEVEL_HELPER!$A:$B, 2, 0), "")</f>
        <v/>
      </c>
      <c r="J253" s="190" t="str">
        <f>IFERROR(VLOOKUP(G253, LEVEL_HELPER!$A:$B, 2, 0), "")</f>
        <v/>
      </c>
      <c r="K253" s="190" t="str">
        <f t="shared" ref="K253:L253" si="508">IF(OR(I253="", I253=0), "",
  IF(I253&lt;=2,   1,
  IF(I253&lt;=4,   2,
  IF(I253&lt;=5.5, 3, 4))))</f>
        <v/>
      </c>
      <c r="L253" s="190" t="str">
        <f t="shared" si="508"/>
        <v/>
      </c>
      <c r="M253" s="190" t="str">
        <f t="shared" si="4"/>
        <v>No Data</v>
      </c>
      <c r="N253" s="220" t="s">
        <v>943</v>
      </c>
      <c r="O253" s="220" t="s">
        <v>923</v>
      </c>
      <c r="P253" s="190">
        <f t="shared" si="5"/>
        <v>1</v>
      </c>
      <c r="Q253" s="210">
        <f t="shared" si="6"/>
        <v>3</v>
      </c>
      <c r="R253" s="210">
        <f t="shared" ref="R253:S253" si="509">IF(OR(P253="", P253=0), "",
  IF(P253&lt;=2,   1,
  IF(P253&lt;=4,   2,
  IF(P253&lt;=5.5, 3, 4))))</f>
        <v>1</v>
      </c>
      <c r="S253" s="210">
        <f t="shared" si="509"/>
        <v>2</v>
      </c>
      <c r="T253" s="210" t="str">
        <f t="shared" si="8"/>
        <v>Lv1 → Lv2</v>
      </c>
      <c r="U253" s="210">
        <f t="shared" si="9"/>
        <v>0</v>
      </c>
      <c r="V253" s="210"/>
    </row>
    <row r="254">
      <c r="A254" s="220" t="s">
        <v>186</v>
      </c>
      <c r="B254" s="190" t="s">
        <v>187</v>
      </c>
      <c r="C254" s="223" t="s">
        <v>74</v>
      </c>
      <c r="D254" s="223" t="s">
        <v>867</v>
      </c>
      <c r="E254" s="190" t="s">
        <v>22</v>
      </c>
      <c r="F254" s="190"/>
      <c r="G254" s="190"/>
      <c r="H254" s="219">
        <f>IFERROR(
  MINIFS(ATTENDANCE_LOG!$F:$F,
         ATTENDANCE_LOG!$A:$A, C254,
         ATTENDANCE_LOG!$B:$B, E254),
"")</f>
        <v>46106.41667</v>
      </c>
      <c r="I254" s="190" t="str">
        <f>IFERROR(VLOOKUP(F254, LEVEL_HELPER!$A:$B, 2, 0), "")</f>
        <v/>
      </c>
      <c r="J254" s="190" t="str">
        <f>IFERROR(VLOOKUP(G254, LEVEL_HELPER!$A:$B, 2, 0), "")</f>
        <v/>
      </c>
      <c r="K254" s="190" t="str">
        <f t="shared" ref="K254:L254" si="510">IF(OR(I254="", I254=0), "",
  IF(I254&lt;=2,   1,
  IF(I254&lt;=4,   2,
  IF(I254&lt;=5.5, 3, 4))))</f>
        <v/>
      </c>
      <c r="L254" s="190" t="str">
        <f t="shared" si="510"/>
        <v/>
      </c>
      <c r="M254" s="190" t="str">
        <f t="shared" si="4"/>
        <v>No Data</v>
      </c>
      <c r="N254" s="220" t="s">
        <v>943</v>
      </c>
      <c r="O254" s="220" t="s">
        <v>924</v>
      </c>
      <c r="P254" s="190">
        <f t="shared" si="5"/>
        <v>1</v>
      </c>
      <c r="Q254" s="210">
        <f t="shared" si="6"/>
        <v>3.5</v>
      </c>
      <c r="R254" s="210">
        <f t="shared" ref="R254:S254" si="511">IF(OR(P254="", P254=0), "",
  IF(P254&lt;=2,   1,
  IF(P254&lt;=4,   2,
  IF(P254&lt;=5.5, 3, 4))))</f>
        <v>1</v>
      </c>
      <c r="S254" s="210">
        <f t="shared" si="511"/>
        <v>2</v>
      </c>
      <c r="T254" s="210" t="str">
        <f t="shared" si="8"/>
        <v>Lv1 → Lv2</v>
      </c>
      <c r="U254" s="210">
        <f t="shared" si="9"/>
        <v>0</v>
      </c>
      <c r="V254" s="210"/>
    </row>
    <row r="255">
      <c r="A255" s="220" t="s">
        <v>382</v>
      </c>
      <c r="B255" s="190" t="s">
        <v>380</v>
      </c>
      <c r="C255" s="223" t="s">
        <v>74</v>
      </c>
      <c r="D255" s="223" t="s">
        <v>867</v>
      </c>
      <c r="E255" s="190" t="s">
        <v>22</v>
      </c>
      <c r="F255" s="190"/>
      <c r="G255" s="190"/>
      <c r="H255" s="219">
        <f>IFERROR(
  MINIFS(ATTENDANCE_LOG!$F:$F,
         ATTENDANCE_LOG!$A:$A, C255,
         ATTENDANCE_LOG!$B:$B, E255),
"")</f>
        <v>46106.41667</v>
      </c>
      <c r="I255" s="190" t="str">
        <f>IFERROR(VLOOKUP(F255, LEVEL_HELPER!$A:$B, 2, 0), "")</f>
        <v/>
      </c>
      <c r="J255" s="190" t="str">
        <f>IFERROR(VLOOKUP(G255, LEVEL_HELPER!$A:$B, 2, 0), "")</f>
        <v/>
      </c>
      <c r="K255" s="190" t="str">
        <f t="shared" ref="K255:L255" si="512">IF(OR(I255="", I255=0), "",
  IF(I255&lt;=2,   1,
  IF(I255&lt;=4,   2,
  IF(I255&lt;=5.5, 3, 4))))</f>
        <v/>
      </c>
      <c r="L255" s="190" t="str">
        <f t="shared" si="512"/>
        <v/>
      </c>
      <c r="M255" s="190" t="str">
        <f t="shared" si="4"/>
        <v>No Data</v>
      </c>
      <c r="N255" s="220" t="s">
        <v>943</v>
      </c>
      <c r="O255" s="220" t="s">
        <v>924</v>
      </c>
      <c r="P255" s="190">
        <f t="shared" si="5"/>
        <v>1</v>
      </c>
      <c r="Q255" s="210">
        <f t="shared" si="6"/>
        <v>3</v>
      </c>
      <c r="R255" s="210">
        <f t="shared" ref="R255:S255" si="513">IF(OR(P255="", P255=0), "",
  IF(P255&lt;=2,   1,
  IF(P255&lt;=4,   2,
  IF(P255&lt;=5.5, 3, 4))))</f>
        <v>1</v>
      </c>
      <c r="S255" s="210">
        <f t="shared" si="513"/>
        <v>2</v>
      </c>
      <c r="T255" s="210" t="str">
        <f t="shared" si="8"/>
        <v>Lv1 → Lv2</v>
      </c>
      <c r="U255" s="210">
        <f t="shared" si="9"/>
        <v>0</v>
      </c>
      <c r="V255" s="210"/>
    </row>
    <row r="256">
      <c r="A256" s="220" t="s">
        <v>425</v>
      </c>
      <c r="B256" s="190" t="s">
        <v>426</v>
      </c>
      <c r="C256" s="223" t="s">
        <v>74</v>
      </c>
      <c r="D256" s="223" t="s">
        <v>867</v>
      </c>
      <c r="E256" s="190" t="s">
        <v>22</v>
      </c>
      <c r="F256" s="190"/>
      <c r="G256" s="190"/>
      <c r="H256" s="219">
        <f>IFERROR(
  MINIFS(ATTENDANCE_LOG!$F:$F,
         ATTENDANCE_LOG!$A:$A, C256,
         ATTENDANCE_LOG!$B:$B, E256),
"")</f>
        <v>46106.41667</v>
      </c>
      <c r="I256" s="190" t="str">
        <f>IFERROR(VLOOKUP(F256, LEVEL_HELPER!$A:$B, 2, 0), "")</f>
        <v/>
      </c>
      <c r="J256" s="190" t="str">
        <f>IFERROR(VLOOKUP(G256, LEVEL_HELPER!$A:$B, 2, 0), "")</f>
        <v/>
      </c>
      <c r="K256" s="190" t="str">
        <f t="shared" ref="K256:L256" si="514">IF(OR(I256="", I256=0), "",
  IF(I256&lt;=2,   1,
  IF(I256&lt;=4,   2,
  IF(I256&lt;=5.5, 3, 4))))</f>
        <v/>
      </c>
      <c r="L256" s="190" t="str">
        <f t="shared" si="514"/>
        <v/>
      </c>
      <c r="M256" s="190" t="str">
        <f t="shared" si="4"/>
        <v>No Data</v>
      </c>
      <c r="N256" s="220" t="s">
        <v>943</v>
      </c>
      <c r="O256" s="220" t="s">
        <v>923</v>
      </c>
      <c r="P256" s="190">
        <f t="shared" si="5"/>
        <v>1</v>
      </c>
      <c r="Q256" s="210">
        <f t="shared" si="6"/>
        <v>3.5</v>
      </c>
      <c r="R256" s="210">
        <f t="shared" ref="R256:S256" si="515">IF(OR(P256="", P256=0), "",
  IF(P256&lt;=2,   1,
  IF(P256&lt;=4,   2,
  IF(P256&lt;=5.5, 3, 4))))</f>
        <v>1</v>
      </c>
      <c r="S256" s="210">
        <f t="shared" si="515"/>
        <v>2</v>
      </c>
      <c r="T256" s="210" t="str">
        <f t="shared" si="8"/>
        <v>Lv1 → Lv2</v>
      </c>
      <c r="U256" s="210">
        <f t="shared" si="9"/>
        <v>0</v>
      </c>
      <c r="V256" s="210"/>
    </row>
    <row r="257">
      <c r="A257" s="220" t="s">
        <v>431</v>
      </c>
      <c r="B257" s="190" t="s">
        <v>432</v>
      </c>
      <c r="C257" s="223" t="s">
        <v>74</v>
      </c>
      <c r="D257" s="223" t="s">
        <v>867</v>
      </c>
      <c r="E257" s="190" t="s">
        <v>22</v>
      </c>
      <c r="F257" s="190"/>
      <c r="G257" s="190"/>
      <c r="H257" s="219">
        <f>IFERROR(
  MINIFS(ATTENDANCE_LOG!$F:$F,
         ATTENDANCE_LOG!$A:$A, C257,
         ATTENDANCE_LOG!$B:$B, E257),
"")</f>
        <v>46106.41667</v>
      </c>
      <c r="I257" s="190" t="str">
        <f>IFERROR(VLOOKUP(F257, LEVEL_HELPER!$A:$B, 2, 0), "")</f>
        <v/>
      </c>
      <c r="J257" s="190" t="str">
        <f>IFERROR(VLOOKUP(G257, LEVEL_HELPER!$A:$B, 2, 0), "")</f>
        <v/>
      </c>
      <c r="K257" s="190" t="str">
        <f t="shared" ref="K257:L257" si="516">IF(OR(I257="", I257=0), "",
  IF(I257&lt;=2,   1,
  IF(I257&lt;=4,   2,
  IF(I257&lt;=5.5, 3, 4))))</f>
        <v/>
      </c>
      <c r="L257" s="190" t="str">
        <f t="shared" si="516"/>
        <v/>
      </c>
      <c r="M257" s="190" t="str">
        <f t="shared" si="4"/>
        <v>No Data</v>
      </c>
      <c r="N257" s="220" t="s">
        <v>943</v>
      </c>
      <c r="O257" s="220" t="s">
        <v>924</v>
      </c>
      <c r="P257" s="190">
        <f t="shared" si="5"/>
        <v>1</v>
      </c>
      <c r="Q257" s="210">
        <f t="shared" si="6"/>
        <v>5</v>
      </c>
      <c r="R257" s="210">
        <f t="shared" ref="R257:S257" si="517">IF(OR(P257="", P257=0), "",
  IF(P257&lt;=2,   1,
  IF(P257&lt;=4,   2,
  IF(P257&lt;=5.5, 3, 4))))</f>
        <v>1</v>
      </c>
      <c r="S257" s="210">
        <f t="shared" si="517"/>
        <v>3</v>
      </c>
      <c r="T257" s="210" t="str">
        <f t="shared" si="8"/>
        <v>Lv1 → Lv3 (multi)</v>
      </c>
      <c r="U257" s="210">
        <f t="shared" si="9"/>
        <v>0</v>
      </c>
      <c r="V257" s="210"/>
    </row>
    <row r="258">
      <c r="A258" s="220" t="s">
        <v>453</v>
      </c>
      <c r="B258" s="190" t="s">
        <v>454</v>
      </c>
      <c r="C258" s="223" t="s">
        <v>74</v>
      </c>
      <c r="D258" s="223" t="s">
        <v>867</v>
      </c>
      <c r="E258" s="190" t="s">
        <v>22</v>
      </c>
      <c r="F258" s="190"/>
      <c r="G258" s="190"/>
      <c r="H258" s="219">
        <f>IFERROR(
  MINIFS(ATTENDANCE_LOG!$F:$F,
         ATTENDANCE_LOG!$A:$A, C258,
         ATTENDANCE_LOG!$B:$B, E258),
"")</f>
        <v>46106.41667</v>
      </c>
      <c r="I258" s="190" t="str">
        <f>IFERROR(VLOOKUP(F258, LEVEL_HELPER!$A:$B, 2, 0), "")</f>
        <v/>
      </c>
      <c r="J258" s="190" t="str">
        <f>IFERROR(VLOOKUP(G258, LEVEL_HELPER!$A:$B, 2, 0), "")</f>
        <v/>
      </c>
      <c r="K258" s="190" t="str">
        <f t="shared" ref="K258:L258" si="518">IF(OR(I258="", I258=0), "",
  IF(I258&lt;=2,   1,
  IF(I258&lt;=4,   2,
  IF(I258&lt;=5.5, 3, 4))))</f>
        <v/>
      </c>
      <c r="L258" s="190" t="str">
        <f t="shared" si="518"/>
        <v/>
      </c>
      <c r="M258" s="190" t="str">
        <f t="shared" si="4"/>
        <v>No Data</v>
      </c>
      <c r="N258" s="220" t="s">
        <v>943</v>
      </c>
      <c r="O258" s="220" t="s">
        <v>924</v>
      </c>
      <c r="P258" s="190">
        <f t="shared" si="5"/>
        <v>1</v>
      </c>
      <c r="Q258" s="210">
        <f t="shared" si="6"/>
        <v>3</v>
      </c>
      <c r="R258" s="210">
        <f t="shared" ref="R258:S258" si="519">IF(OR(P258="", P258=0), "",
  IF(P258&lt;=2,   1,
  IF(P258&lt;=4,   2,
  IF(P258&lt;=5.5, 3, 4))))</f>
        <v>1</v>
      </c>
      <c r="S258" s="210">
        <f t="shared" si="519"/>
        <v>2</v>
      </c>
      <c r="T258" s="210" t="str">
        <f t="shared" si="8"/>
        <v>Lv1 → Lv2</v>
      </c>
      <c r="U258" s="210">
        <f t="shared" si="9"/>
        <v>0</v>
      </c>
      <c r="V258" s="210"/>
    </row>
    <row r="259">
      <c r="A259" s="220" t="s">
        <v>492</v>
      </c>
      <c r="B259" s="190" t="s">
        <v>493</v>
      </c>
      <c r="C259" s="223" t="s">
        <v>74</v>
      </c>
      <c r="D259" s="223" t="s">
        <v>867</v>
      </c>
      <c r="E259" s="190" t="s">
        <v>22</v>
      </c>
      <c r="F259" s="190"/>
      <c r="G259" s="190"/>
      <c r="H259" s="219">
        <f>IFERROR(
  MINIFS(ATTENDANCE_LOG!$F:$F,
         ATTENDANCE_LOG!$A:$A, C259,
         ATTENDANCE_LOG!$B:$B, E259),
"")</f>
        <v>46106.41667</v>
      </c>
      <c r="I259" s="190" t="str">
        <f>IFERROR(VLOOKUP(F259, LEVEL_HELPER!$A:$B, 2, 0), "")</f>
        <v/>
      </c>
      <c r="J259" s="190" t="str">
        <f>IFERROR(VLOOKUP(G259, LEVEL_HELPER!$A:$B, 2, 0), "")</f>
        <v/>
      </c>
      <c r="K259" s="190" t="str">
        <f t="shared" ref="K259:L259" si="520">IF(OR(I259="", I259=0), "",
  IF(I259&lt;=2,   1,
  IF(I259&lt;=4,   2,
  IF(I259&lt;=5.5, 3, 4))))</f>
        <v/>
      </c>
      <c r="L259" s="190" t="str">
        <f t="shared" si="520"/>
        <v/>
      </c>
      <c r="M259" s="190" t="str">
        <f t="shared" si="4"/>
        <v>No Data</v>
      </c>
      <c r="N259" s="220" t="s">
        <v>943</v>
      </c>
      <c r="O259" s="220" t="s">
        <v>923</v>
      </c>
      <c r="P259" s="190">
        <f t="shared" si="5"/>
        <v>0</v>
      </c>
      <c r="Q259" s="210">
        <f t="shared" si="6"/>
        <v>0</v>
      </c>
      <c r="R259" s="210" t="str">
        <f t="shared" ref="R259:S259" si="521">IF(OR(P259="", P259=0), "",
  IF(P259&lt;=2,   1,
  IF(P259&lt;=4,   2,
  IF(P259&lt;=5.5, 3, 4))))</f>
        <v/>
      </c>
      <c r="S259" s="210" t="str">
        <f t="shared" si="521"/>
        <v/>
      </c>
      <c r="T259" s="210" t="str">
        <f t="shared" si="8"/>
        <v>No Data</v>
      </c>
      <c r="U259" s="210">
        <f t="shared" si="9"/>
        <v>0</v>
      </c>
      <c r="V259" s="210"/>
    </row>
    <row r="260">
      <c r="A260" s="220" t="s">
        <v>591</v>
      </c>
      <c r="B260" s="190" t="s">
        <v>592</v>
      </c>
      <c r="C260" s="223" t="s">
        <v>74</v>
      </c>
      <c r="D260" s="223" t="s">
        <v>867</v>
      </c>
      <c r="E260" s="190" t="s">
        <v>22</v>
      </c>
      <c r="F260" s="190"/>
      <c r="G260" s="190"/>
      <c r="H260" s="219">
        <f>IFERROR(
  MINIFS(ATTENDANCE_LOG!$F:$F,
         ATTENDANCE_LOG!$A:$A, C260,
         ATTENDANCE_LOG!$B:$B, E260),
"")</f>
        <v>46106.41667</v>
      </c>
      <c r="I260" s="190" t="str">
        <f>IFERROR(VLOOKUP(F260, LEVEL_HELPER!$A:$B, 2, 0), "")</f>
        <v/>
      </c>
      <c r="J260" s="190" t="str">
        <f>IFERROR(VLOOKUP(G260, LEVEL_HELPER!$A:$B, 2, 0), "")</f>
        <v/>
      </c>
      <c r="K260" s="190" t="str">
        <f t="shared" ref="K260:L260" si="522">IF(OR(I260="", I260=0), "",
  IF(I260&lt;=2,   1,
  IF(I260&lt;=4,   2,
  IF(I260&lt;=5.5, 3, 4))))</f>
        <v/>
      </c>
      <c r="L260" s="190" t="str">
        <f t="shared" si="522"/>
        <v/>
      </c>
      <c r="M260" s="190" t="str">
        <f t="shared" si="4"/>
        <v>No Data</v>
      </c>
      <c r="N260" s="220" t="s">
        <v>943</v>
      </c>
      <c r="O260" s="229" t="s">
        <v>923</v>
      </c>
      <c r="P260" s="190">
        <f t="shared" si="5"/>
        <v>0</v>
      </c>
      <c r="Q260" s="210">
        <f t="shared" si="6"/>
        <v>0</v>
      </c>
      <c r="R260" s="210" t="str">
        <f t="shared" ref="R260:S260" si="523">IF(OR(P260="", P260=0), "",
  IF(P260&lt;=2,   1,
  IF(P260&lt;=4,   2,
  IF(P260&lt;=5.5, 3, 4))))</f>
        <v/>
      </c>
      <c r="S260" s="210" t="str">
        <f t="shared" si="523"/>
        <v/>
      </c>
      <c r="T260" s="210" t="str">
        <f t="shared" si="8"/>
        <v>No Data</v>
      </c>
      <c r="U260" s="210">
        <f t="shared" si="9"/>
        <v>0</v>
      </c>
      <c r="V260" s="210"/>
    </row>
    <row r="261">
      <c r="A261" s="220" t="s">
        <v>593</v>
      </c>
      <c r="B261" s="217" t="s">
        <v>594</v>
      </c>
      <c r="C261" s="218" t="s">
        <v>75</v>
      </c>
      <c r="D261" s="218" t="s">
        <v>868</v>
      </c>
      <c r="E261" s="217" t="s">
        <v>21</v>
      </c>
      <c r="F261" s="13" t="s">
        <v>927</v>
      </c>
      <c r="G261" s="13" t="s">
        <v>929</v>
      </c>
      <c r="H261" s="219">
        <f>IFERROR(
  MINIFS(ATTENDANCE_LOG!$F:$F,
         ATTENDANCE_LOG!$A:$A, C261,
         ATTENDANCE_LOG!$B:$B, E261),
"")</f>
        <v>45761.41667</v>
      </c>
      <c r="I261" s="190">
        <f>IFERROR(VLOOKUP(F261, LEVEL_HELPER!$A:$B, 2, 0), "")</f>
        <v>1</v>
      </c>
      <c r="J261" s="190">
        <f>IFERROR(VLOOKUP(G261, LEVEL_HELPER!$A:$B, 2, 0), "")</f>
        <v>1.5</v>
      </c>
      <c r="K261" s="190">
        <f t="shared" ref="K261:L261" si="524">IF(OR(I261="", I261=0), "",
  IF(I261&lt;=2,   1,
  IF(I261&lt;=4,   2,
  IF(I261&lt;=5.5, 3, 4))))</f>
        <v>1</v>
      </c>
      <c r="L261" s="190">
        <f t="shared" si="524"/>
        <v>1</v>
      </c>
      <c r="M261" s="190" t="str">
        <f t="shared" si="4"/>
        <v>Progress within level</v>
      </c>
      <c r="N261" s="220" t="s">
        <v>943</v>
      </c>
      <c r="O261" s="220" t="s">
        <v>924</v>
      </c>
      <c r="P261" s="190">
        <f t="shared" si="5"/>
        <v>1</v>
      </c>
      <c r="Q261" s="210">
        <f t="shared" si="6"/>
        <v>1.5</v>
      </c>
      <c r="R261" s="210">
        <f t="shared" ref="R261:S261" si="525">IF(OR(P261="", P261=0), "",
  IF(P261&lt;=2,   1,
  IF(P261&lt;=4,   2,
  IF(P261&lt;=5.5, 3, 4))))</f>
        <v>1</v>
      </c>
      <c r="S261" s="210">
        <f t="shared" si="525"/>
        <v>1</v>
      </c>
      <c r="T261" s="210" t="str">
        <f t="shared" si="8"/>
        <v>Progress within level</v>
      </c>
      <c r="U261" s="210">
        <f>IF(COUNTIF($A$2:A266, A261)=1, 1, 0)</f>
        <v>1</v>
      </c>
      <c r="V261" s="210"/>
    </row>
    <row r="262">
      <c r="A262" s="220" t="s">
        <v>173</v>
      </c>
      <c r="B262" s="190" t="s">
        <v>174</v>
      </c>
      <c r="C262" s="223" t="s">
        <v>75</v>
      </c>
      <c r="D262" s="223" t="s">
        <v>868</v>
      </c>
      <c r="E262" s="190" t="s">
        <v>21</v>
      </c>
      <c r="F262" s="13" t="s">
        <v>927</v>
      </c>
      <c r="G262" s="13" t="s">
        <v>918</v>
      </c>
      <c r="H262" s="219">
        <f>IFERROR(
  MINIFS(ATTENDANCE_LOG!$F:$F,
         ATTENDANCE_LOG!$A:$A, C262,
         ATTENDANCE_LOG!$B:$B, E262),
"")</f>
        <v>45761.41667</v>
      </c>
      <c r="I262" s="190">
        <f>IFERROR(VLOOKUP(F262, LEVEL_HELPER!$A:$B, 2, 0), "")</f>
        <v>1</v>
      </c>
      <c r="J262" s="190">
        <f>IFERROR(VLOOKUP(G262, LEVEL_HELPER!$A:$B, 2, 0), "")</f>
        <v>3</v>
      </c>
      <c r="K262" s="190">
        <f t="shared" ref="K262:L262" si="526">IF(OR(I262="", I262=0), "",
  IF(I262&lt;=2,   1,
  IF(I262&lt;=4,   2,
  IF(I262&lt;=5.5, 3, 4))))</f>
        <v>1</v>
      </c>
      <c r="L262" s="190">
        <f t="shared" si="526"/>
        <v>2</v>
      </c>
      <c r="M262" s="190" t="str">
        <f t="shared" si="4"/>
        <v>Lv1 → Lv2</v>
      </c>
      <c r="N262" s="220" t="s">
        <v>943</v>
      </c>
      <c r="O262" s="220" t="s">
        <v>924</v>
      </c>
      <c r="P262" s="190">
        <f t="shared" si="5"/>
        <v>1</v>
      </c>
      <c r="Q262" s="210">
        <f t="shared" si="6"/>
        <v>3</v>
      </c>
      <c r="R262" s="210">
        <f t="shared" ref="R262:S262" si="527">IF(OR(P262="", P262=0), "",
  IF(P262&lt;=2,   1,
  IF(P262&lt;=4,   2,
  IF(P262&lt;=5.5, 3, 4))))</f>
        <v>1</v>
      </c>
      <c r="S262" s="210">
        <f t="shared" si="527"/>
        <v>2</v>
      </c>
      <c r="T262" s="210" t="str">
        <f t="shared" si="8"/>
        <v>Lv1 → Lv2</v>
      </c>
      <c r="U262" s="210">
        <f t="shared" ref="U262:U266" si="530">IF(COUNTIF($A$2:A262, A262)=1, 1, 0)</f>
        <v>1</v>
      </c>
      <c r="V262" s="210"/>
    </row>
    <row r="263">
      <c r="A263" s="220" t="s">
        <v>281</v>
      </c>
      <c r="B263" s="190" t="s">
        <v>282</v>
      </c>
      <c r="C263" s="223" t="s">
        <v>75</v>
      </c>
      <c r="D263" s="223" t="s">
        <v>868</v>
      </c>
      <c r="E263" s="190" t="s">
        <v>21</v>
      </c>
      <c r="F263" s="13" t="s">
        <v>927</v>
      </c>
      <c r="G263" s="13" t="s">
        <v>918</v>
      </c>
      <c r="H263" s="219">
        <f>IFERROR(
  MINIFS(ATTENDANCE_LOG!$F:$F,
         ATTENDANCE_LOG!$A:$A, C263,
         ATTENDANCE_LOG!$B:$B, E263),
"")</f>
        <v>45761.41667</v>
      </c>
      <c r="I263" s="190">
        <f>IFERROR(VLOOKUP(F263, LEVEL_HELPER!$A:$B, 2, 0), "")</f>
        <v>1</v>
      </c>
      <c r="J263" s="190">
        <f>IFERROR(VLOOKUP(G263, LEVEL_HELPER!$A:$B, 2, 0), "")</f>
        <v>3</v>
      </c>
      <c r="K263" s="190">
        <f t="shared" ref="K263:L263" si="528">IF(OR(I263="", I263=0), "",
  IF(I263&lt;=2,   1,
  IF(I263&lt;=4,   2,
  IF(I263&lt;=5.5, 3, 4))))</f>
        <v>1</v>
      </c>
      <c r="L263" s="190">
        <f t="shared" si="528"/>
        <v>2</v>
      </c>
      <c r="M263" s="190" t="str">
        <f t="shared" si="4"/>
        <v>Lv1 → Lv2</v>
      </c>
      <c r="N263" s="220" t="s">
        <v>943</v>
      </c>
      <c r="O263" s="220" t="s">
        <v>924</v>
      </c>
      <c r="P263" s="190">
        <f t="shared" si="5"/>
        <v>1</v>
      </c>
      <c r="Q263" s="210">
        <f t="shared" si="6"/>
        <v>3</v>
      </c>
      <c r="R263" s="210">
        <f t="shared" ref="R263:S263" si="529">IF(OR(P263="", P263=0), "",
  IF(P263&lt;=2,   1,
  IF(P263&lt;=4,   2,
  IF(P263&lt;=5.5, 3, 4))))</f>
        <v>1</v>
      </c>
      <c r="S263" s="210">
        <f t="shared" si="529"/>
        <v>2</v>
      </c>
      <c r="T263" s="210" t="str">
        <f t="shared" si="8"/>
        <v>Lv1 → Lv2</v>
      </c>
      <c r="U263" s="210">
        <f t="shared" si="530"/>
        <v>1</v>
      </c>
      <c r="V263" s="210"/>
    </row>
    <row r="264">
      <c r="A264" s="220" t="s">
        <v>336</v>
      </c>
      <c r="B264" s="190" t="s">
        <v>337</v>
      </c>
      <c r="C264" s="223" t="s">
        <v>75</v>
      </c>
      <c r="D264" s="223" t="s">
        <v>868</v>
      </c>
      <c r="E264" s="190" t="s">
        <v>21</v>
      </c>
      <c r="F264" s="13" t="s">
        <v>927</v>
      </c>
      <c r="G264" s="13" t="s">
        <v>935</v>
      </c>
      <c r="H264" s="219">
        <f>IFERROR(
  MINIFS(ATTENDANCE_LOG!$F:$F,
         ATTENDANCE_LOG!$A:$A, C264,
         ATTENDANCE_LOG!$B:$B, E264),
"")</f>
        <v>45761.41667</v>
      </c>
      <c r="I264" s="190">
        <f>IFERROR(VLOOKUP(F264, LEVEL_HELPER!$A:$B, 2, 0), "")</f>
        <v>1</v>
      </c>
      <c r="J264" s="190">
        <f>IFERROR(VLOOKUP(G264, LEVEL_HELPER!$A:$B, 2, 0), "")</f>
        <v>3.5</v>
      </c>
      <c r="K264" s="190">
        <f t="shared" ref="K264:L264" si="531">IF(OR(I264="", I264=0), "",
  IF(I264&lt;=2,   1,
  IF(I264&lt;=4,   2,
  IF(I264&lt;=5.5, 3, 4))))</f>
        <v>1</v>
      </c>
      <c r="L264" s="190">
        <f t="shared" si="531"/>
        <v>2</v>
      </c>
      <c r="M264" s="190" t="str">
        <f t="shared" si="4"/>
        <v>Lv1 → Lv2</v>
      </c>
      <c r="N264" s="220" t="s">
        <v>919</v>
      </c>
      <c r="O264" s="220" t="s">
        <v>924</v>
      </c>
      <c r="P264" s="190">
        <f t="shared" si="5"/>
        <v>1</v>
      </c>
      <c r="Q264" s="210">
        <f t="shared" si="6"/>
        <v>3.5</v>
      </c>
      <c r="R264" s="210">
        <f t="shared" ref="R264:S264" si="532">IF(OR(P264="", P264=0), "",
  IF(P264&lt;=2,   1,
  IF(P264&lt;=4,   2,
  IF(P264&lt;=5.5, 3, 4))))</f>
        <v>1</v>
      </c>
      <c r="S264" s="210">
        <f t="shared" si="532"/>
        <v>2</v>
      </c>
      <c r="T264" s="210" t="str">
        <f t="shared" si="8"/>
        <v>Lv1 → Lv2</v>
      </c>
      <c r="U264" s="210">
        <f t="shared" si="530"/>
        <v>1</v>
      </c>
      <c r="V264" s="210"/>
    </row>
    <row r="265">
      <c r="A265" s="220" t="s">
        <v>417</v>
      </c>
      <c r="B265" s="190" t="s">
        <v>418</v>
      </c>
      <c r="C265" s="223" t="s">
        <v>75</v>
      </c>
      <c r="D265" s="223" t="s">
        <v>868</v>
      </c>
      <c r="E265" s="190" t="s">
        <v>21</v>
      </c>
      <c r="F265" s="13" t="s">
        <v>927</v>
      </c>
      <c r="G265" s="13" t="s">
        <v>929</v>
      </c>
      <c r="H265" s="219">
        <f>IFERROR(
  MINIFS(ATTENDANCE_LOG!$F:$F,
         ATTENDANCE_LOG!$A:$A, C265,
         ATTENDANCE_LOG!$B:$B, E265),
"")</f>
        <v>45761.41667</v>
      </c>
      <c r="I265" s="190">
        <f>IFERROR(VLOOKUP(F265, LEVEL_HELPER!$A:$B, 2, 0), "")</f>
        <v>1</v>
      </c>
      <c r="J265" s="190">
        <f>IFERROR(VLOOKUP(G265, LEVEL_HELPER!$A:$B, 2, 0), "")</f>
        <v>1.5</v>
      </c>
      <c r="K265" s="190">
        <f t="shared" ref="K265:L265" si="533">IF(OR(I265="", I265=0), "",
  IF(I265&lt;=2,   1,
  IF(I265&lt;=4,   2,
  IF(I265&lt;=5.5, 3, 4))))</f>
        <v>1</v>
      </c>
      <c r="L265" s="190">
        <f t="shared" si="533"/>
        <v>1</v>
      </c>
      <c r="M265" s="190" t="str">
        <f t="shared" si="4"/>
        <v>Progress within level</v>
      </c>
      <c r="N265" s="220" t="s">
        <v>919</v>
      </c>
      <c r="O265" s="220" t="s">
        <v>924</v>
      </c>
      <c r="P265" s="190">
        <f t="shared" si="5"/>
        <v>1</v>
      </c>
      <c r="Q265" s="210">
        <f t="shared" si="6"/>
        <v>1.5</v>
      </c>
      <c r="R265" s="210">
        <f t="shared" ref="R265:S265" si="534">IF(OR(P265="", P265=0), "",
  IF(P265&lt;=2,   1,
  IF(P265&lt;=4,   2,
  IF(P265&lt;=5.5, 3, 4))))</f>
        <v>1</v>
      </c>
      <c r="S265" s="210">
        <f t="shared" si="534"/>
        <v>1</v>
      </c>
      <c r="T265" s="210" t="str">
        <f t="shared" si="8"/>
        <v>Progress within level</v>
      </c>
      <c r="U265" s="210">
        <f t="shared" si="530"/>
        <v>1</v>
      </c>
      <c r="V265" s="210"/>
    </row>
    <row r="266">
      <c r="A266" s="220" t="s">
        <v>587</v>
      </c>
      <c r="B266" s="190" t="s">
        <v>588</v>
      </c>
      <c r="C266" s="223" t="s">
        <v>75</v>
      </c>
      <c r="D266" s="223" t="s">
        <v>868</v>
      </c>
      <c r="E266" s="190" t="s">
        <v>21</v>
      </c>
      <c r="F266" s="13" t="s">
        <v>927</v>
      </c>
      <c r="G266" s="13" t="s">
        <v>918</v>
      </c>
      <c r="H266" s="219">
        <f>IFERROR(
  MINIFS(ATTENDANCE_LOG!$F:$F,
         ATTENDANCE_LOG!$A:$A, C266,
         ATTENDANCE_LOG!$B:$B, E266),
"")</f>
        <v>45761.41667</v>
      </c>
      <c r="I266" s="190">
        <f>IFERROR(VLOOKUP(F266, LEVEL_HELPER!$A:$B, 2, 0), "")</f>
        <v>1</v>
      </c>
      <c r="J266" s="190">
        <f>IFERROR(VLOOKUP(G266, LEVEL_HELPER!$A:$B, 2, 0), "")</f>
        <v>3</v>
      </c>
      <c r="K266" s="190">
        <f t="shared" ref="K266:L266" si="535">IF(OR(I266="", I266=0), "",
  IF(I266&lt;=2,   1,
  IF(I266&lt;=4,   2,
  IF(I266&lt;=5.5, 3, 4))))</f>
        <v>1</v>
      </c>
      <c r="L266" s="190">
        <f t="shared" si="535"/>
        <v>2</v>
      </c>
      <c r="M266" s="190" t="str">
        <f t="shared" si="4"/>
        <v>Lv1 → Lv2</v>
      </c>
      <c r="N266" s="220" t="s">
        <v>943</v>
      </c>
      <c r="O266" s="220" t="s">
        <v>923</v>
      </c>
      <c r="P266" s="190">
        <f t="shared" si="5"/>
        <v>1</v>
      </c>
      <c r="Q266" s="210">
        <f t="shared" si="6"/>
        <v>3</v>
      </c>
      <c r="R266" s="210">
        <f t="shared" ref="R266:S266" si="536">IF(OR(P266="", P266=0), "",
  IF(P266&lt;=2,   1,
  IF(P266&lt;=4,   2,
  IF(P266&lt;=5.5, 3, 4))))</f>
        <v>1</v>
      </c>
      <c r="S266" s="210">
        <f t="shared" si="536"/>
        <v>2</v>
      </c>
      <c r="T266" s="210" t="str">
        <f t="shared" si="8"/>
        <v>Lv1 → Lv2</v>
      </c>
      <c r="U266" s="210">
        <f t="shared" si="530"/>
        <v>1</v>
      </c>
      <c r="V266" s="210"/>
    </row>
    <row r="267">
      <c r="A267" s="220" t="s">
        <v>593</v>
      </c>
      <c r="B267" s="217" t="s">
        <v>594</v>
      </c>
      <c r="C267" s="218" t="s">
        <v>75</v>
      </c>
      <c r="D267" s="218" t="s">
        <v>868</v>
      </c>
      <c r="E267" s="217" t="s">
        <v>22</v>
      </c>
      <c r="F267" s="13" t="s">
        <v>929</v>
      </c>
      <c r="G267" s="190"/>
      <c r="H267" s="219">
        <f>IFERROR(
  MINIFS(ATTENDANCE_LOG!$F:$F,
         ATTENDANCE_LOG!$A:$A, C267,
         ATTENDANCE_LOG!$B:$B, E267),
"")</f>
        <v>45922.41667</v>
      </c>
      <c r="I267" s="190">
        <f>IFERROR(VLOOKUP(F267, LEVEL_HELPER!$A:$B, 2, 0), "")</f>
        <v>1.5</v>
      </c>
      <c r="J267" s="190" t="str">
        <f>IFERROR(VLOOKUP(G267, LEVEL_HELPER!$A:$B, 2, 0), "")</f>
        <v/>
      </c>
      <c r="K267" s="190">
        <f t="shared" ref="K267:L267" si="537">IF(OR(I267="", I267=0), "",
  IF(I267&lt;=2,   1,
  IF(I267&lt;=4,   2,
  IF(I267&lt;=5.5, 3, 4))))</f>
        <v>1</v>
      </c>
      <c r="L267" s="190" t="str">
        <f t="shared" si="537"/>
        <v/>
      </c>
      <c r="M267" s="190" t="str">
        <f t="shared" si="4"/>
        <v>No Data</v>
      </c>
      <c r="N267" s="220" t="s">
        <v>943</v>
      </c>
      <c r="O267" s="220" t="s">
        <v>924</v>
      </c>
      <c r="P267" s="190">
        <f t="shared" si="5"/>
        <v>1</v>
      </c>
      <c r="Q267" s="210">
        <f t="shared" si="6"/>
        <v>1.5</v>
      </c>
      <c r="R267" s="210">
        <f t="shared" ref="R267:S267" si="538">IF(OR(P267="", P267=0), "",
  IF(P267&lt;=2,   1,
  IF(P267&lt;=4,   2,
  IF(P267&lt;=5.5, 3, 4))))</f>
        <v>1</v>
      </c>
      <c r="S267" s="210">
        <f t="shared" si="538"/>
        <v>1</v>
      </c>
      <c r="T267" s="210" t="str">
        <f t="shared" si="8"/>
        <v>Progress within level</v>
      </c>
      <c r="U267" s="210">
        <f>IF(COUNTIF($A$2:A272, A267)=1, 1, 0)</f>
        <v>0</v>
      </c>
      <c r="V267" s="210"/>
    </row>
    <row r="268">
      <c r="A268" s="220" t="s">
        <v>173</v>
      </c>
      <c r="B268" s="190" t="s">
        <v>174</v>
      </c>
      <c r="C268" s="223" t="s">
        <v>75</v>
      </c>
      <c r="D268" s="223" t="s">
        <v>868</v>
      </c>
      <c r="E268" s="190" t="s">
        <v>22</v>
      </c>
      <c r="F268" s="13" t="s">
        <v>918</v>
      </c>
      <c r="G268" s="190"/>
      <c r="H268" s="219">
        <f>IFERROR(
  MINIFS(ATTENDANCE_LOG!$F:$F,
         ATTENDANCE_LOG!$A:$A, C268,
         ATTENDANCE_LOG!$B:$B, E268),
"")</f>
        <v>45922.41667</v>
      </c>
      <c r="I268" s="190">
        <f>IFERROR(VLOOKUP(F268, LEVEL_HELPER!$A:$B, 2, 0), "")</f>
        <v>3</v>
      </c>
      <c r="J268" s="190" t="str">
        <f>IFERROR(VLOOKUP(G268, LEVEL_HELPER!$A:$B, 2, 0), "")</f>
        <v/>
      </c>
      <c r="K268" s="190">
        <f t="shared" ref="K268:L268" si="539">IF(OR(I268="", I268=0), "",
  IF(I268&lt;=2,   1,
  IF(I268&lt;=4,   2,
  IF(I268&lt;=5.5, 3, 4))))</f>
        <v>2</v>
      </c>
      <c r="L268" s="190" t="str">
        <f t="shared" si="539"/>
        <v/>
      </c>
      <c r="M268" s="190" t="str">
        <f t="shared" si="4"/>
        <v>No Data</v>
      </c>
      <c r="N268" s="220" t="s">
        <v>943</v>
      </c>
      <c r="O268" s="220" t="s">
        <v>924</v>
      </c>
      <c r="P268" s="190">
        <f t="shared" si="5"/>
        <v>1</v>
      </c>
      <c r="Q268" s="210">
        <f t="shared" si="6"/>
        <v>3</v>
      </c>
      <c r="R268" s="210">
        <f t="shared" ref="R268:S268" si="540">IF(OR(P268="", P268=0), "",
  IF(P268&lt;=2,   1,
  IF(P268&lt;=4,   2,
  IF(P268&lt;=5.5, 3, 4))))</f>
        <v>1</v>
      </c>
      <c r="S268" s="210">
        <f t="shared" si="540"/>
        <v>2</v>
      </c>
      <c r="T268" s="210" t="str">
        <f t="shared" si="8"/>
        <v>Lv1 → Lv2</v>
      </c>
      <c r="U268" s="210">
        <f t="shared" ref="U268:U272" si="543">IF(COUNTIF($A$2:A268, A268)=1, 1, 0)</f>
        <v>0</v>
      </c>
      <c r="V268" s="210"/>
    </row>
    <row r="269">
      <c r="A269" s="220" t="s">
        <v>281</v>
      </c>
      <c r="B269" s="190" t="s">
        <v>282</v>
      </c>
      <c r="C269" s="223" t="s">
        <v>75</v>
      </c>
      <c r="D269" s="223" t="s">
        <v>868</v>
      </c>
      <c r="E269" s="190" t="s">
        <v>22</v>
      </c>
      <c r="F269" s="13" t="s">
        <v>918</v>
      </c>
      <c r="G269" s="190"/>
      <c r="H269" s="219">
        <f>IFERROR(
  MINIFS(ATTENDANCE_LOG!$F:$F,
         ATTENDANCE_LOG!$A:$A, C269,
         ATTENDANCE_LOG!$B:$B, E269),
"")</f>
        <v>45922.41667</v>
      </c>
      <c r="I269" s="190">
        <f>IFERROR(VLOOKUP(F269, LEVEL_HELPER!$A:$B, 2, 0), "")</f>
        <v>3</v>
      </c>
      <c r="J269" s="190" t="str">
        <f>IFERROR(VLOOKUP(G269, LEVEL_HELPER!$A:$B, 2, 0), "")</f>
        <v/>
      </c>
      <c r="K269" s="190">
        <f t="shared" ref="K269:L269" si="541">IF(OR(I269="", I269=0), "",
  IF(I269&lt;=2,   1,
  IF(I269&lt;=4,   2,
  IF(I269&lt;=5.5, 3, 4))))</f>
        <v>2</v>
      </c>
      <c r="L269" s="190" t="str">
        <f t="shared" si="541"/>
        <v/>
      </c>
      <c r="M269" s="190" t="str">
        <f t="shared" si="4"/>
        <v>No Data</v>
      </c>
      <c r="N269" s="220" t="s">
        <v>943</v>
      </c>
      <c r="O269" s="220" t="s">
        <v>924</v>
      </c>
      <c r="P269" s="190">
        <f t="shared" si="5"/>
        <v>1</v>
      </c>
      <c r="Q269" s="210">
        <f t="shared" si="6"/>
        <v>3</v>
      </c>
      <c r="R269" s="210">
        <f t="shared" ref="R269:S269" si="542">IF(OR(P269="", P269=0), "",
  IF(P269&lt;=2,   1,
  IF(P269&lt;=4,   2,
  IF(P269&lt;=5.5, 3, 4))))</f>
        <v>1</v>
      </c>
      <c r="S269" s="210">
        <f t="shared" si="542"/>
        <v>2</v>
      </c>
      <c r="T269" s="210" t="str">
        <f t="shared" si="8"/>
        <v>Lv1 → Lv2</v>
      </c>
      <c r="U269" s="210">
        <f t="shared" si="543"/>
        <v>0</v>
      </c>
      <c r="V269" s="210"/>
    </row>
    <row r="270">
      <c r="A270" s="220" t="s">
        <v>336</v>
      </c>
      <c r="B270" s="190" t="s">
        <v>337</v>
      </c>
      <c r="C270" s="223" t="s">
        <v>75</v>
      </c>
      <c r="D270" s="223" t="s">
        <v>868</v>
      </c>
      <c r="E270" s="190" t="s">
        <v>22</v>
      </c>
      <c r="F270" s="13" t="s">
        <v>935</v>
      </c>
      <c r="G270" s="190"/>
      <c r="H270" s="219">
        <f>IFERROR(
  MINIFS(ATTENDANCE_LOG!$F:$F,
         ATTENDANCE_LOG!$A:$A, C270,
         ATTENDANCE_LOG!$B:$B, E270),
"")</f>
        <v>45922.41667</v>
      </c>
      <c r="I270" s="190">
        <f>IFERROR(VLOOKUP(F270, LEVEL_HELPER!$A:$B, 2, 0), "")</f>
        <v>3.5</v>
      </c>
      <c r="J270" s="190" t="str">
        <f>IFERROR(VLOOKUP(G270, LEVEL_HELPER!$A:$B, 2, 0), "")</f>
        <v/>
      </c>
      <c r="K270" s="190">
        <f t="shared" ref="K270:L270" si="544">IF(OR(I270="", I270=0), "",
  IF(I270&lt;=2,   1,
  IF(I270&lt;=4,   2,
  IF(I270&lt;=5.5, 3, 4))))</f>
        <v>2</v>
      </c>
      <c r="L270" s="190" t="str">
        <f t="shared" si="544"/>
        <v/>
      </c>
      <c r="M270" s="190" t="str">
        <f t="shared" si="4"/>
        <v>No Data</v>
      </c>
      <c r="N270" s="220" t="s">
        <v>919</v>
      </c>
      <c r="O270" s="220" t="s">
        <v>924</v>
      </c>
      <c r="P270" s="190">
        <f t="shared" si="5"/>
        <v>1</v>
      </c>
      <c r="Q270" s="210">
        <f t="shared" si="6"/>
        <v>3.5</v>
      </c>
      <c r="R270" s="210">
        <f t="shared" ref="R270:S270" si="545">IF(OR(P270="", P270=0), "",
  IF(P270&lt;=2,   1,
  IF(P270&lt;=4,   2,
  IF(P270&lt;=5.5, 3, 4))))</f>
        <v>1</v>
      </c>
      <c r="S270" s="210">
        <f t="shared" si="545"/>
        <v>2</v>
      </c>
      <c r="T270" s="210" t="str">
        <f t="shared" si="8"/>
        <v>Lv1 → Lv2</v>
      </c>
      <c r="U270" s="210">
        <f t="shared" si="543"/>
        <v>0</v>
      </c>
      <c r="V270" s="210"/>
    </row>
    <row r="271">
      <c r="A271" s="220" t="s">
        <v>417</v>
      </c>
      <c r="B271" s="190" t="s">
        <v>418</v>
      </c>
      <c r="C271" s="223" t="s">
        <v>75</v>
      </c>
      <c r="D271" s="223" t="s">
        <v>868</v>
      </c>
      <c r="E271" s="190" t="s">
        <v>22</v>
      </c>
      <c r="F271" s="13" t="s">
        <v>929</v>
      </c>
      <c r="G271" s="190"/>
      <c r="H271" s="219">
        <f>IFERROR(
  MINIFS(ATTENDANCE_LOG!$F:$F,
         ATTENDANCE_LOG!$A:$A, C271,
         ATTENDANCE_LOG!$B:$B, E271),
"")</f>
        <v>45922.41667</v>
      </c>
      <c r="I271" s="190">
        <f>IFERROR(VLOOKUP(F271, LEVEL_HELPER!$A:$B, 2, 0), "")</f>
        <v>1.5</v>
      </c>
      <c r="J271" s="190" t="str">
        <f>IFERROR(VLOOKUP(G271, LEVEL_HELPER!$A:$B, 2, 0), "")</f>
        <v/>
      </c>
      <c r="K271" s="190">
        <f t="shared" ref="K271:L271" si="546">IF(OR(I271="", I271=0), "",
  IF(I271&lt;=2,   1,
  IF(I271&lt;=4,   2,
  IF(I271&lt;=5.5, 3, 4))))</f>
        <v>1</v>
      </c>
      <c r="L271" s="190" t="str">
        <f t="shared" si="546"/>
        <v/>
      </c>
      <c r="M271" s="190" t="str">
        <f t="shared" si="4"/>
        <v>No Data</v>
      </c>
      <c r="N271" s="220" t="s">
        <v>919</v>
      </c>
      <c r="O271" s="220" t="s">
        <v>924</v>
      </c>
      <c r="P271" s="190">
        <f t="shared" si="5"/>
        <v>1</v>
      </c>
      <c r="Q271" s="210">
        <f t="shared" si="6"/>
        <v>1.5</v>
      </c>
      <c r="R271" s="210">
        <f t="shared" ref="R271:S271" si="547">IF(OR(P271="", P271=0), "",
  IF(P271&lt;=2,   1,
  IF(P271&lt;=4,   2,
  IF(P271&lt;=5.5, 3, 4))))</f>
        <v>1</v>
      </c>
      <c r="S271" s="210">
        <f t="shared" si="547"/>
        <v>1</v>
      </c>
      <c r="T271" s="210" t="str">
        <f t="shared" si="8"/>
        <v>Progress within level</v>
      </c>
      <c r="U271" s="210">
        <f t="shared" si="543"/>
        <v>0</v>
      </c>
      <c r="V271" s="210"/>
    </row>
    <row r="272">
      <c r="A272" s="220" t="s">
        <v>587</v>
      </c>
      <c r="B272" s="190" t="s">
        <v>588</v>
      </c>
      <c r="C272" s="223" t="s">
        <v>75</v>
      </c>
      <c r="D272" s="223" t="s">
        <v>868</v>
      </c>
      <c r="E272" s="190" t="s">
        <v>22</v>
      </c>
      <c r="F272" s="13" t="s">
        <v>918</v>
      </c>
      <c r="G272" s="190"/>
      <c r="H272" s="219">
        <f>IFERROR(
  MINIFS(ATTENDANCE_LOG!$F:$F,
         ATTENDANCE_LOG!$A:$A, C272,
         ATTENDANCE_LOG!$B:$B, E272),
"")</f>
        <v>45922.41667</v>
      </c>
      <c r="I272" s="190">
        <f>IFERROR(VLOOKUP(F272, LEVEL_HELPER!$A:$B, 2, 0), "")</f>
        <v>3</v>
      </c>
      <c r="J272" s="190" t="str">
        <f>IFERROR(VLOOKUP(G272, LEVEL_HELPER!$A:$B, 2, 0), "")</f>
        <v/>
      </c>
      <c r="K272" s="190">
        <f t="shared" ref="K272:L272" si="548">IF(OR(I272="", I272=0), "",
  IF(I272&lt;=2,   1,
  IF(I272&lt;=4,   2,
  IF(I272&lt;=5.5, 3, 4))))</f>
        <v>2</v>
      </c>
      <c r="L272" s="190" t="str">
        <f t="shared" si="548"/>
        <v/>
      </c>
      <c r="M272" s="190" t="str">
        <f t="shared" si="4"/>
        <v>No Data</v>
      </c>
      <c r="N272" s="220" t="s">
        <v>943</v>
      </c>
      <c r="O272" s="220" t="s">
        <v>923</v>
      </c>
      <c r="P272" s="190">
        <f t="shared" si="5"/>
        <v>1</v>
      </c>
      <c r="Q272" s="210">
        <f t="shared" si="6"/>
        <v>3</v>
      </c>
      <c r="R272" s="210">
        <f t="shared" ref="R272:S272" si="549">IF(OR(P272="", P272=0), "",
  IF(P272&lt;=2,   1,
  IF(P272&lt;=4,   2,
  IF(P272&lt;=5.5, 3, 4))))</f>
        <v>1</v>
      </c>
      <c r="S272" s="210">
        <f t="shared" si="549"/>
        <v>2</v>
      </c>
      <c r="T272" s="210" t="str">
        <f t="shared" si="8"/>
        <v>Lv1 → Lv2</v>
      </c>
      <c r="U272" s="210">
        <f t="shared" si="543"/>
        <v>0</v>
      </c>
      <c r="V272" s="210"/>
    </row>
    <row r="273">
      <c r="A273" s="247" t="s">
        <v>651</v>
      </c>
      <c r="B273" s="217" t="s">
        <v>652</v>
      </c>
      <c r="C273" s="218" t="s">
        <v>76</v>
      </c>
      <c r="D273" s="218" t="s">
        <v>869</v>
      </c>
      <c r="E273" s="217" t="s">
        <v>21</v>
      </c>
      <c r="F273" s="13" t="s">
        <v>927</v>
      </c>
      <c r="G273" s="13" t="s">
        <v>918</v>
      </c>
      <c r="H273" s="219">
        <f>IFERROR(
  MINIFS(ATTENDANCE_LOG!$F:$F,
         ATTENDANCE_LOG!$A:$A, C273,
         ATTENDANCE_LOG!$B:$B, E273),
"")</f>
        <v>45763.54167</v>
      </c>
      <c r="I273" s="190">
        <f>IFERROR(VLOOKUP(F273, LEVEL_HELPER!$A:$B, 2, 0), "")</f>
        <v>1</v>
      </c>
      <c r="J273" s="190">
        <f>IFERROR(VLOOKUP(G273, LEVEL_HELPER!$A:$B, 2, 0), "")</f>
        <v>3</v>
      </c>
      <c r="K273" s="190">
        <f t="shared" ref="K273:L273" si="550">IF(OR(I273="", I273=0), "",
  IF(I273&lt;=2,   1,
  IF(I273&lt;=4,   2,
  IF(I273&lt;=5.5, 3, 4))))</f>
        <v>1</v>
      </c>
      <c r="L273" s="190">
        <f t="shared" si="550"/>
        <v>2</v>
      </c>
      <c r="M273" s="190" t="str">
        <f t="shared" si="4"/>
        <v>Lv1 → Lv2</v>
      </c>
      <c r="N273" s="220" t="s">
        <v>919</v>
      </c>
      <c r="O273" s="220" t="s">
        <v>923</v>
      </c>
      <c r="P273" s="190">
        <f t="shared" si="5"/>
        <v>1</v>
      </c>
      <c r="Q273" s="210">
        <f t="shared" si="6"/>
        <v>3</v>
      </c>
      <c r="R273" s="210">
        <f t="shared" ref="R273:S273" si="551">IF(OR(P273="", P273=0), "",
  IF(P273&lt;=2,   1,
  IF(P273&lt;=4,   2,
  IF(P273&lt;=5.5, 3, 4))))</f>
        <v>1</v>
      </c>
      <c r="S273" s="210">
        <f t="shared" si="551"/>
        <v>2</v>
      </c>
      <c r="T273" s="210" t="str">
        <f t="shared" si="8"/>
        <v>Lv1 → Lv2</v>
      </c>
      <c r="U273" s="210">
        <f>IF(COUNTIF($A$2:A274, A273)=1, 1, 0)</f>
        <v>1</v>
      </c>
      <c r="V273" s="210"/>
    </row>
    <row r="274">
      <c r="A274" s="220" t="s">
        <v>210</v>
      </c>
      <c r="B274" s="190" t="s">
        <v>211</v>
      </c>
      <c r="C274" s="223" t="s">
        <v>76</v>
      </c>
      <c r="D274" s="223" t="s">
        <v>869</v>
      </c>
      <c r="E274" s="190" t="s">
        <v>21</v>
      </c>
      <c r="F274" s="13" t="s">
        <v>917</v>
      </c>
      <c r="G274" s="13" t="s">
        <v>918</v>
      </c>
      <c r="H274" s="219">
        <f>IFERROR(
  MINIFS(ATTENDANCE_LOG!$F:$F,
         ATTENDANCE_LOG!$A:$A, C274,
         ATTENDANCE_LOG!$B:$B, E274),
"")</f>
        <v>45763.54167</v>
      </c>
      <c r="I274" s="190">
        <f>IFERROR(VLOOKUP(F274, LEVEL_HELPER!$A:$B, 2, 0), "")</f>
        <v>2.5</v>
      </c>
      <c r="J274" s="190">
        <f>IFERROR(VLOOKUP(G274, LEVEL_HELPER!$A:$B, 2, 0), "")</f>
        <v>3</v>
      </c>
      <c r="K274" s="190">
        <f t="shared" ref="K274:L274" si="552">IF(OR(I274="", I274=0), "",
  IF(I274&lt;=2,   1,
  IF(I274&lt;=4,   2,
  IF(I274&lt;=5.5, 3, 4))))</f>
        <v>2</v>
      </c>
      <c r="L274" s="190">
        <f t="shared" si="552"/>
        <v>2</v>
      </c>
      <c r="M274" s="190" t="str">
        <f t="shared" si="4"/>
        <v>Progress within level</v>
      </c>
      <c r="N274" s="220" t="s">
        <v>943</v>
      </c>
      <c r="O274" s="220" t="s">
        <v>923</v>
      </c>
      <c r="P274" s="190">
        <f t="shared" si="5"/>
        <v>2.5</v>
      </c>
      <c r="Q274" s="210">
        <f t="shared" si="6"/>
        <v>3</v>
      </c>
      <c r="R274" s="210">
        <f t="shared" ref="R274:S274" si="553">IF(OR(P274="", P274=0), "",
  IF(P274&lt;=2,   1,
  IF(P274&lt;=4,   2,
  IF(P274&lt;=5.5, 3, 4))))</f>
        <v>2</v>
      </c>
      <c r="S274" s="210">
        <f t="shared" si="553"/>
        <v>2</v>
      </c>
      <c r="T274" s="210" t="str">
        <f t="shared" si="8"/>
        <v>Progress within level</v>
      </c>
      <c r="U274" s="210">
        <f t="shared" ref="U274:U312" si="556">IF(COUNTIF($A$2:A274, A274)=1, 1, 0)</f>
        <v>1</v>
      </c>
      <c r="V274" s="210"/>
    </row>
    <row r="275">
      <c r="A275" s="220" t="s">
        <v>440</v>
      </c>
      <c r="B275" s="190" t="s">
        <v>441</v>
      </c>
      <c r="C275" s="223" t="s">
        <v>76</v>
      </c>
      <c r="D275" s="223" t="s">
        <v>869</v>
      </c>
      <c r="E275" s="190" t="s">
        <v>21</v>
      </c>
      <c r="F275" s="13" t="s">
        <v>927</v>
      </c>
      <c r="G275" s="13" t="s">
        <v>927</v>
      </c>
      <c r="H275" s="219">
        <f>IFERROR(
  MINIFS(ATTENDANCE_LOG!$F:$F,
         ATTENDANCE_LOG!$A:$A, C275,
         ATTENDANCE_LOG!$B:$B, E275),
"")</f>
        <v>45763.54167</v>
      </c>
      <c r="I275" s="190">
        <f>IFERROR(VLOOKUP(F275, LEVEL_HELPER!$A:$B, 2, 0), "")</f>
        <v>1</v>
      </c>
      <c r="J275" s="190">
        <f>IFERROR(VLOOKUP(G275, LEVEL_HELPER!$A:$B, 2, 0), "")</f>
        <v>1</v>
      </c>
      <c r="K275" s="190">
        <f t="shared" ref="K275:L275" si="554">IF(OR(I275="", I275=0), "",
  IF(I275&lt;=2,   1,
  IF(I275&lt;=4,   2,
  IF(I275&lt;=5.5, 3, 4))))</f>
        <v>1</v>
      </c>
      <c r="L275" s="190">
        <f t="shared" si="554"/>
        <v>1</v>
      </c>
      <c r="M275" s="190" t="str">
        <f t="shared" si="4"/>
        <v>No Progress</v>
      </c>
      <c r="N275" s="220" t="s">
        <v>943</v>
      </c>
      <c r="O275" s="220" t="s">
        <v>923</v>
      </c>
      <c r="P275" s="190">
        <f t="shared" si="5"/>
        <v>1</v>
      </c>
      <c r="Q275" s="210">
        <f t="shared" si="6"/>
        <v>1.5</v>
      </c>
      <c r="R275" s="210">
        <f t="shared" ref="R275:S275" si="555">IF(OR(P275="", P275=0), "",
  IF(P275&lt;=2,   1,
  IF(P275&lt;=4,   2,
  IF(P275&lt;=5.5, 3, 4))))</f>
        <v>1</v>
      </c>
      <c r="S275" s="210">
        <f t="shared" si="555"/>
        <v>1</v>
      </c>
      <c r="T275" s="210" t="str">
        <f t="shared" si="8"/>
        <v>Progress within level</v>
      </c>
      <c r="U275" s="210">
        <f t="shared" si="556"/>
        <v>1</v>
      </c>
      <c r="V275" s="210"/>
    </row>
    <row r="276">
      <c r="A276" s="220" t="s">
        <v>520</v>
      </c>
      <c r="B276" s="190" t="s">
        <v>521</v>
      </c>
      <c r="C276" s="223" t="s">
        <v>76</v>
      </c>
      <c r="D276" s="223" t="s">
        <v>869</v>
      </c>
      <c r="E276" s="190" t="s">
        <v>21</v>
      </c>
      <c r="F276" s="13" t="s">
        <v>927</v>
      </c>
      <c r="G276" s="13" t="s">
        <v>927</v>
      </c>
      <c r="H276" s="219">
        <f>IFERROR(
  MINIFS(ATTENDANCE_LOG!$F:$F,
         ATTENDANCE_LOG!$A:$A, C276,
         ATTENDANCE_LOG!$B:$B, E276),
"")</f>
        <v>45763.54167</v>
      </c>
      <c r="I276" s="190">
        <f>IFERROR(VLOOKUP(F276, LEVEL_HELPER!$A:$B, 2, 0), "")</f>
        <v>1</v>
      </c>
      <c r="J276" s="190">
        <f>IFERROR(VLOOKUP(G276, LEVEL_HELPER!$A:$B, 2, 0), "")</f>
        <v>1</v>
      </c>
      <c r="K276" s="190">
        <f t="shared" ref="K276:L276" si="557">IF(OR(I276="", I276=0), "",
  IF(I276&lt;=2,   1,
  IF(I276&lt;=4,   2,
  IF(I276&lt;=5.5, 3, 4))))</f>
        <v>1</v>
      </c>
      <c r="L276" s="190">
        <f t="shared" si="557"/>
        <v>1</v>
      </c>
      <c r="M276" s="190" t="str">
        <f t="shared" si="4"/>
        <v>No Progress</v>
      </c>
      <c r="N276" s="220" t="s">
        <v>943</v>
      </c>
      <c r="O276" s="220" t="s">
        <v>923</v>
      </c>
      <c r="P276" s="190">
        <f t="shared" si="5"/>
        <v>1</v>
      </c>
      <c r="Q276" s="210">
        <f t="shared" si="6"/>
        <v>1</v>
      </c>
      <c r="R276" s="210">
        <f t="shared" ref="R276:S276" si="558">IF(OR(P276="", P276=0), "",
  IF(P276&lt;=2,   1,
  IF(P276&lt;=4,   2,
  IF(P276&lt;=5.5, 3, 4))))</f>
        <v>1</v>
      </c>
      <c r="S276" s="210">
        <f t="shared" si="558"/>
        <v>1</v>
      </c>
      <c r="T276" s="210" t="str">
        <f t="shared" si="8"/>
        <v>No Progress</v>
      </c>
      <c r="U276" s="210">
        <f t="shared" si="556"/>
        <v>1</v>
      </c>
      <c r="V276" s="210"/>
    </row>
    <row r="277">
      <c r="A277" s="220" t="s">
        <v>595</v>
      </c>
      <c r="B277" s="190" t="s">
        <v>596</v>
      </c>
      <c r="C277" s="223" t="s">
        <v>76</v>
      </c>
      <c r="D277" s="223" t="s">
        <v>869</v>
      </c>
      <c r="E277" s="190" t="s">
        <v>21</v>
      </c>
      <c r="F277" s="13" t="s">
        <v>927</v>
      </c>
      <c r="G277" s="13" t="s">
        <v>927</v>
      </c>
      <c r="H277" s="219">
        <f>IFERROR(
  MINIFS(ATTENDANCE_LOG!$F:$F,
         ATTENDANCE_LOG!$A:$A, C277,
         ATTENDANCE_LOG!$B:$B, E277),
"")</f>
        <v>45763.54167</v>
      </c>
      <c r="I277" s="190">
        <f>IFERROR(VLOOKUP(F277, LEVEL_HELPER!$A:$B, 2, 0), "")</f>
        <v>1</v>
      </c>
      <c r="J277" s="190">
        <f>IFERROR(VLOOKUP(G277, LEVEL_HELPER!$A:$B, 2, 0), "")</f>
        <v>1</v>
      </c>
      <c r="K277" s="190">
        <f t="shared" ref="K277:L277" si="559">IF(OR(I277="", I277=0), "",
  IF(I277&lt;=2,   1,
  IF(I277&lt;=4,   2,
  IF(I277&lt;=5.5, 3, 4))))</f>
        <v>1</v>
      </c>
      <c r="L277" s="190">
        <f t="shared" si="559"/>
        <v>1</v>
      </c>
      <c r="M277" s="190" t="str">
        <f t="shared" si="4"/>
        <v>No Progress</v>
      </c>
      <c r="N277" s="220" t="s">
        <v>943</v>
      </c>
      <c r="O277" s="220" t="s">
        <v>923</v>
      </c>
      <c r="P277" s="190">
        <f t="shared" si="5"/>
        <v>1</v>
      </c>
      <c r="Q277" s="210">
        <f t="shared" si="6"/>
        <v>1</v>
      </c>
      <c r="R277" s="210">
        <f t="shared" ref="R277:S277" si="560">IF(OR(P277="", P277=0), "",
  IF(P277&lt;=2,   1,
  IF(P277&lt;=4,   2,
  IF(P277&lt;=5.5, 3, 4))))</f>
        <v>1</v>
      </c>
      <c r="S277" s="210">
        <f t="shared" si="560"/>
        <v>1</v>
      </c>
      <c r="T277" s="210" t="str">
        <f t="shared" si="8"/>
        <v>No Progress</v>
      </c>
      <c r="U277" s="210">
        <f t="shared" si="556"/>
        <v>1</v>
      </c>
      <c r="V277" s="210"/>
    </row>
    <row r="278">
      <c r="A278" s="220" t="s">
        <v>615</v>
      </c>
      <c r="B278" s="190" t="s">
        <v>616</v>
      </c>
      <c r="C278" s="223" t="s">
        <v>76</v>
      </c>
      <c r="D278" s="223" t="s">
        <v>869</v>
      </c>
      <c r="E278" s="190" t="s">
        <v>21</v>
      </c>
      <c r="F278" s="13" t="s">
        <v>927</v>
      </c>
      <c r="G278" s="13" t="s">
        <v>935</v>
      </c>
      <c r="H278" s="219">
        <f>IFERROR(
  MINIFS(ATTENDANCE_LOG!$F:$F,
         ATTENDANCE_LOG!$A:$A, C278,
         ATTENDANCE_LOG!$B:$B, E278),
"")</f>
        <v>45763.54167</v>
      </c>
      <c r="I278" s="190">
        <f>IFERROR(VLOOKUP(F278, LEVEL_HELPER!$A:$B, 2, 0), "")</f>
        <v>1</v>
      </c>
      <c r="J278" s="190">
        <f>IFERROR(VLOOKUP(G278, LEVEL_HELPER!$A:$B, 2, 0), "")</f>
        <v>3.5</v>
      </c>
      <c r="K278" s="190">
        <f t="shared" ref="K278:L278" si="561">IF(OR(I278="", I278=0), "",
  IF(I278&lt;=2,   1,
  IF(I278&lt;=4,   2,
  IF(I278&lt;=5.5, 3, 4))))</f>
        <v>1</v>
      </c>
      <c r="L278" s="190">
        <f t="shared" si="561"/>
        <v>2</v>
      </c>
      <c r="M278" s="190" t="str">
        <f t="shared" si="4"/>
        <v>Lv1 → Lv2</v>
      </c>
      <c r="N278" s="220" t="s">
        <v>919</v>
      </c>
      <c r="O278" s="220" t="s">
        <v>923</v>
      </c>
      <c r="P278" s="190">
        <f t="shared" si="5"/>
        <v>1</v>
      </c>
      <c r="Q278" s="210">
        <f t="shared" si="6"/>
        <v>3.5</v>
      </c>
      <c r="R278" s="210">
        <f t="shared" ref="R278:S278" si="562">IF(OR(P278="", P278=0), "",
  IF(P278&lt;=2,   1,
  IF(P278&lt;=4,   2,
  IF(P278&lt;=5.5, 3, 4))))</f>
        <v>1</v>
      </c>
      <c r="S278" s="210">
        <f t="shared" si="562"/>
        <v>2</v>
      </c>
      <c r="T278" s="210" t="str">
        <f t="shared" si="8"/>
        <v>Lv1 → Lv2</v>
      </c>
      <c r="U278" s="210">
        <f t="shared" si="556"/>
        <v>1</v>
      </c>
      <c r="V278" s="210"/>
    </row>
    <row r="279">
      <c r="A279" s="220" t="s">
        <v>685</v>
      </c>
      <c r="B279" s="190" t="s">
        <v>686</v>
      </c>
      <c r="C279" s="223" t="s">
        <v>76</v>
      </c>
      <c r="D279" s="223" t="s">
        <v>869</v>
      </c>
      <c r="E279" s="190" t="s">
        <v>21</v>
      </c>
      <c r="F279" s="13" t="s">
        <v>927</v>
      </c>
      <c r="G279" s="13" t="s">
        <v>927</v>
      </c>
      <c r="H279" s="219">
        <f>IFERROR(
  MINIFS(ATTENDANCE_LOG!$F:$F,
         ATTENDANCE_LOG!$A:$A, C279,
         ATTENDANCE_LOG!$B:$B, E279),
"")</f>
        <v>45763.54167</v>
      </c>
      <c r="I279" s="190">
        <f>IFERROR(VLOOKUP(F279, LEVEL_HELPER!$A:$B, 2, 0), "")</f>
        <v>1</v>
      </c>
      <c r="J279" s="190">
        <f>IFERROR(VLOOKUP(G279, LEVEL_HELPER!$A:$B, 2, 0), "")</f>
        <v>1</v>
      </c>
      <c r="K279" s="190">
        <f t="shared" ref="K279:L279" si="563">IF(OR(I279="", I279=0), "",
  IF(I279&lt;=2,   1,
  IF(I279&lt;=4,   2,
  IF(I279&lt;=5.5, 3, 4))))</f>
        <v>1</v>
      </c>
      <c r="L279" s="190">
        <f t="shared" si="563"/>
        <v>1</v>
      </c>
      <c r="M279" s="190" t="str">
        <f t="shared" si="4"/>
        <v>No Progress</v>
      </c>
      <c r="N279" s="220" t="s">
        <v>943</v>
      </c>
      <c r="O279" s="220" t="s">
        <v>923</v>
      </c>
      <c r="P279" s="190">
        <f t="shared" si="5"/>
        <v>1</v>
      </c>
      <c r="Q279" s="210">
        <f t="shared" si="6"/>
        <v>1.5</v>
      </c>
      <c r="R279" s="210">
        <f t="shared" ref="R279:S279" si="564">IF(OR(P279="", P279=0), "",
  IF(P279&lt;=2,   1,
  IF(P279&lt;=4,   2,
  IF(P279&lt;=5.5, 3, 4))))</f>
        <v>1</v>
      </c>
      <c r="S279" s="210">
        <f t="shared" si="564"/>
        <v>1</v>
      </c>
      <c r="T279" s="210" t="str">
        <f t="shared" si="8"/>
        <v>Progress within level</v>
      </c>
      <c r="U279" s="210">
        <f t="shared" si="556"/>
        <v>1</v>
      </c>
      <c r="V279" s="210"/>
    </row>
    <row r="280">
      <c r="A280" s="220" t="s">
        <v>709</v>
      </c>
      <c r="B280" s="190" t="s">
        <v>710</v>
      </c>
      <c r="C280" s="223" t="s">
        <v>76</v>
      </c>
      <c r="D280" s="223" t="s">
        <v>869</v>
      </c>
      <c r="E280" s="190" t="s">
        <v>21</v>
      </c>
      <c r="F280" s="13" t="s">
        <v>927</v>
      </c>
      <c r="G280" s="13" t="s">
        <v>927</v>
      </c>
      <c r="H280" s="219">
        <f>IFERROR(
  MINIFS(ATTENDANCE_LOG!$F:$F,
         ATTENDANCE_LOG!$A:$A, C280,
         ATTENDANCE_LOG!$B:$B, E280),
"")</f>
        <v>45763.54167</v>
      </c>
      <c r="I280" s="190">
        <f>IFERROR(VLOOKUP(F280, LEVEL_HELPER!$A:$B, 2, 0), "")</f>
        <v>1</v>
      </c>
      <c r="J280" s="190">
        <f>IFERROR(VLOOKUP(G280, LEVEL_HELPER!$A:$B, 2, 0), "")</f>
        <v>1</v>
      </c>
      <c r="K280" s="190">
        <f t="shared" ref="K280:L280" si="565">IF(OR(I280="", I280=0), "",
  IF(I280&lt;=2,   1,
  IF(I280&lt;=4,   2,
  IF(I280&lt;=5.5, 3, 4))))</f>
        <v>1</v>
      </c>
      <c r="L280" s="190">
        <f t="shared" si="565"/>
        <v>1</v>
      </c>
      <c r="M280" s="190" t="str">
        <f t="shared" si="4"/>
        <v>No Progress</v>
      </c>
      <c r="N280" s="220" t="s">
        <v>943</v>
      </c>
      <c r="O280" s="220" t="s">
        <v>923</v>
      </c>
      <c r="P280" s="190">
        <f t="shared" si="5"/>
        <v>1</v>
      </c>
      <c r="Q280" s="210">
        <f t="shared" si="6"/>
        <v>3.5</v>
      </c>
      <c r="R280" s="210">
        <f t="shared" ref="R280:S280" si="566">IF(OR(P280="", P280=0), "",
  IF(P280&lt;=2,   1,
  IF(P280&lt;=4,   2,
  IF(P280&lt;=5.5, 3, 4))))</f>
        <v>1</v>
      </c>
      <c r="S280" s="210">
        <f t="shared" si="566"/>
        <v>2</v>
      </c>
      <c r="T280" s="210" t="str">
        <f t="shared" si="8"/>
        <v>Lv1 → Lv2</v>
      </c>
      <c r="U280" s="210">
        <f t="shared" si="556"/>
        <v>1</v>
      </c>
      <c r="V280" s="210"/>
    </row>
    <row r="281">
      <c r="A281" s="220" t="s">
        <v>210</v>
      </c>
      <c r="B281" s="190" t="s">
        <v>211</v>
      </c>
      <c r="C281" s="223" t="s">
        <v>76</v>
      </c>
      <c r="D281" s="223" t="s">
        <v>869</v>
      </c>
      <c r="E281" s="190" t="s">
        <v>22</v>
      </c>
      <c r="F281" s="13" t="s">
        <v>917</v>
      </c>
      <c r="G281" s="13" t="s">
        <v>918</v>
      </c>
      <c r="H281" s="219">
        <f>IFERROR(
  MINIFS(ATTENDANCE_LOG!$F:$F,
         ATTENDANCE_LOG!$A:$A, C281,
         ATTENDANCE_LOG!$B:$B, E281),
"")</f>
        <v>45895.58333</v>
      </c>
      <c r="I281" s="190">
        <f>IFERROR(VLOOKUP(F281, LEVEL_HELPER!$A:$B, 2, 0), "")</f>
        <v>2.5</v>
      </c>
      <c r="J281" s="190">
        <f>IFERROR(VLOOKUP(G281, LEVEL_HELPER!$A:$B, 2, 0), "")</f>
        <v>3</v>
      </c>
      <c r="K281" s="190">
        <f t="shared" ref="K281:L281" si="567">IF(OR(I281="", I281=0), "",
  IF(I281&lt;=2,   1,
  IF(I281&lt;=4,   2,
  IF(I281&lt;=5.5, 3, 4))))</f>
        <v>2</v>
      </c>
      <c r="L281" s="190">
        <f t="shared" si="567"/>
        <v>2</v>
      </c>
      <c r="M281" s="190" t="str">
        <f t="shared" si="4"/>
        <v>Progress within level</v>
      </c>
      <c r="N281" s="220" t="s">
        <v>943</v>
      </c>
      <c r="O281" s="220" t="s">
        <v>923</v>
      </c>
      <c r="P281" s="190">
        <f t="shared" si="5"/>
        <v>2.5</v>
      </c>
      <c r="Q281" s="210">
        <f t="shared" si="6"/>
        <v>3</v>
      </c>
      <c r="R281" s="210">
        <f t="shared" ref="R281:S281" si="568">IF(OR(P281="", P281=0), "",
  IF(P281&lt;=2,   1,
  IF(P281&lt;=4,   2,
  IF(P281&lt;=5.5, 3, 4))))</f>
        <v>2</v>
      </c>
      <c r="S281" s="210">
        <f t="shared" si="568"/>
        <v>2</v>
      </c>
      <c r="T281" s="210" t="str">
        <f t="shared" si="8"/>
        <v>Progress within level</v>
      </c>
      <c r="U281" s="210">
        <f t="shared" si="556"/>
        <v>0</v>
      </c>
      <c r="V281" s="210"/>
    </row>
    <row r="282">
      <c r="A282" s="247" t="s">
        <v>651</v>
      </c>
      <c r="B282" s="217" t="s">
        <v>652</v>
      </c>
      <c r="C282" s="218" t="s">
        <v>76</v>
      </c>
      <c r="D282" s="218" t="s">
        <v>869</v>
      </c>
      <c r="E282" s="217" t="s">
        <v>22</v>
      </c>
      <c r="F282" s="13" t="s">
        <v>918</v>
      </c>
      <c r="G282" s="190"/>
      <c r="H282" s="219">
        <f>IFERROR(
  MINIFS(ATTENDANCE_LOG!$F:$F,
         ATTENDANCE_LOG!$A:$A, C282,
         ATTENDANCE_LOG!$B:$B, E282),
"")</f>
        <v>45895.58333</v>
      </c>
      <c r="I282" s="190">
        <f>IFERROR(VLOOKUP(F282, LEVEL_HELPER!$A:$B, 2, 0), "")</f>
        <v>3</v>
      </c>
      <c r="J282" s="190" t="str">
        <f>IFERROR(VLOOKUP(G282, LEVEL_HELPER!$A:$B, 2, 0), "")</f>
        <v/>
      </c>
      <c r="K282" s="190">
        <f t="shared" ref="K282:L282" si="569">IF(OR(I282="", I282=0), "",
  IF(I282&lt;=2,   1,
  IF(I282&lt;=4,   2,
  IF(I282&lt;=5.5, 3, 4))))</f>
        <v>2</v>
      </c>
      <c r="L282" s="190" t="str">
        <f t="shared" si="569"/>
        <v/>
      </c>
      <c r="M282" s="190" t="str">
        <f t="shared" si="4"/>
        <v>No Data</v>
      </c>
      <c r="N282" s="220" t="s">
        <v>919</v>
      </c>
      <c r="O282" s="220" t="s">
        <v>923</v>
      </c>
      <c r="P282" s="190">
        <f t="shared" si="5"/>
        <v>1</v>
      </c>
      <c r="Q282" s="210">
        <f t="shared" si="6"/>
        <v>3</v>
      </c>
      <c r="R282" s="210">
        <f t="shared" ref="R282:S282" si="570">IF(OR(P282="", P282=0), "",
  IF(P282&lt;=2,   1,
  IF(P282&lt;=4,   2,
  IF(P282&lt;=5.5, 3, 4))))</f>
        <v>1</v>
      </c>
      <c r="S282" s="210">
        <f t="shared" si="570"/>
        <v>2</v>
      </c>
      <c r="T282" s="210" t="str">
        <f t="shared" si="8"/>
        <v>Lv1 → Lv2</v>
      </c>
      <c r="U282" s="210">
        <f t="shared" si="556"/>
        <v>0</v>
      </c>
      <c r="V282" s="210"/>
    </row>
    <row r="283">
      <c r="A283" s="220" t="s">
        <v>228</v>
      </c>
      <c r="B283" s="190" t="s">
        <v>229</v>
      </c>
      <c r="C283" s="223" t="s">
        <v>76</v>
      </c>
      <c r="D283" s="223" t="s">
        <v>869</v>
      </c>
      <c r="E283" s="190" t="s">
        <v>22</v>
      </c>
      <c r="F283" s="13" t="s">
        <v>918</v>
      </c>
      <c r="G283" s="190"/>
      <c r="H283" s="219">
        <f>IFERROR(
  MINIFS(ATTENDANCE_LOG!$F:$F,
         ATTENDANCE_LOG!$A:$A, C283,
         ATTENDANCE_LOG!$B:$B, E283),
"")</f>
        <v>45895.58333</v>
      </c>
      <c r="I283" s="190">
        <f>IFERROR(VLOOKUP(F283, LEVEL_HELPER!$A:$B, 2, 0), "")</f>
        <v>3</v>
      </c>
      <c r="J283" s="190" t="str">
        <f>IFERROR(VLOOKUP(G283, LEVEL_HELPER!$A:$B, 2, 0), "")</f>
        <v/>
      </c>
      <c r="K283" s="190">
        <f t="shared" ref="K283:L283" si="571">IF(OR(I283="", I283=0), "",
  IF(I283&lt;=2,   1,
  IF(I283&lt;=4,   2,
  IF(I283&lt;=5.5, 3, 4))))</f>
        <v>2</v>
      </c>
      <c r="L283" s="190" t="str">
        <f t="shared" si="571"/>
        <v/>
      </c>
      <c r="M283" s="190" t="str">
        <f t="shared" si="4"/>
        <v>No Data</v>
      </c>
      <c r="N283" s="220" t="s">
        <v>943</v>
      </c>
      <c r="O283" s="220" t="s">
        <v>923</v>
      </c>
      <c r="P283" s="190">
        <f t="shared" si="5"/>
        <v>1</v>
      </c>
      <c r="Q283" s="210">
        <f t="shared" si="6"/>
        <v>3</v>
      </c>
      <c r="R283" s="210">
        <f t="shared" ref="R283:S283" si="572">IF(OR(P283="", P283=0), "",
  IF(P283&lt;=2,   1,
  IF(P283&lt;=4,   2,
  IF(P283&lt;=5.5, 3, 4))))</f>
        <v>1</v>
      </c>
      <c r="S283" s="210">
        <f t="shared" si="572"/>
        <v>2</v>
      </c>
      <c r="T283" s="210" t="str">
        <f t="shared" si="8"/>
        <v>Lv1 → Lv2</v>
      </c>
      <c r="U283" s="210">
        <f t="shared" si="556"/>
        <v>0</v>
      </c>
      <c r="V283" s="210"/>
    </row>
    <row r="284">
      <c r="A284" s="220" t="s">
        <v>399</v>
      </c>
      <c r="B284" s="190" t="s">
        <v>400</v>
      </c>
      <c r="C284" s="223" t="s">
        <v>76</v>
      </c>
      <c r="D284" s="223" t="s">
        <v>869</v>
      </c>
      <c r="E284" s="190" t="s">
        <v>22</v>
      </c>
      <c r="F284" s="13" t="s">
        <v>935</v>
      </c>
      <c r="G284" s="190"/>
      <c r="H284" s="219">
        <f>IFERROR(
  MINIFS(ATTENDANCE_LOG!$F:$F,
         ATTENDANCE_LOG!$A:$A, C284,
         ATTENDANCE_LOG!$B:$B, E284),
"")</f>
        <v>45895.58333</v>
      </c>
      <c r="I284" s="190">
        <f>IFERROR(VLOOKUP(F284, LEVEL_HELPER!$A:$B, 2, 0), "")</f>
        <v>3.5</v>
      </c>
      <c r="J284" s="190" t="str">
        <f>IFERROR(VLOOKUP(G284, LEVEL_HELPER!$A:$B, 2, 0), "")</f>
        <v/>
      </c>
      <c r="K284" s="190">
        <f t="shared" ref="K284:L284" si="573">IF(OR(I284="", I284=0), "",
  IF(I284&lt;=2,   1,
  IF(I284&lt;=4,   2,
  IF(I284&lt;=5.5, 3, 4))))</f>
        <v>2</v>
      </c>
      <c r="L284" s="190" t="str">
        <f t="shared" si="573"/>
        <v/>
      </c>
      <c r="M284" s="190" t="str">
        <f t="shared" si="4"/>
        <v>No Data</v>
      </c>
      <c r="N284" s="220" t="s">
        <v>945</v>
      </c>
      <c r="O284" s="220" t="s">
        <v>923</v>
      </c>
      <c r="P284" s="190">
        <f t="shared" si="5"/>
        <v>2.5</v>
      </c>
      <c r="Q284" s="210">
        <f t="shared" si="6"/>
        <v>3.5</v>
      </c>
      <c r="R284" s="210">
        <f t="shared" ref="R284:S284" si="574">IF(OR(P284="", P284=0), "",
  IF(P284&lt;=2,   1,
  IF(P284&lt;=4,   2,
  IF(P284&lt;=5.5, 3, 4))))</f>
        <v>2</v>
      </c>
      <c r="S284" s="210">
        <f t="shared" si="574"/>
        <v>2</v>
      </c>
      <c r="T284" s="210" t="str">
        <f t="shared" si="8"/>
        <v>Progress within level</v>
      </c>
      <c r="U284" s="210">
        <f t="shared" si="556"/>
        <v>0</v>
      </c>
      <c r="V284" s="210"/>
    </row>
    <row r="285" ht="14.25" customHeight="1">
      <c r="A285" s="220" t="s">
        <v>534</v>
      </c>
      <c r="B285" s="190" t="s">
        <v>535</v>
      </c>
      <c r="C285" s="223" t="s">
        <v>76</v>
      </c>
      <c r="D285" s="223" t="s">
        <v>869</v>
      </c>
      <c r="E285" s="190" t="s">
        <v>22</v>
      </c>
      <c r="F285" s="13" t="s">
        <v>918</v>
      </c>
      <c r="G285" s="190"/>
      <c r="H285" s="219">
        <f>IFERROR(
  MINIFS(ATTENDANCE_LOG!$F:$F,
         ATTENDANCE_LOG!$A:$A, C285,
         ATTENDANCE_LOG!$B:$B, E285),
"")</f>
        <v>45895.58333</v>
      </c>
      <c r="I285" s="190">
        <f>IFERROR(VLOOKUP(F285, LEVEL_HELPER!$A:$B, 2, 0), "")</f>
        <v>3</v>
      </c>
      <c r="J285" s="190" t="str">
        <f>IFERROR(VLOOKUP(G285, LEVEL_HELPER!$A:$B, 2, 0), "")</f>
        <v/>
      </c>
      <c r="K285" s="190">
        <f t="shared" ref="K285:L285" si="575">IF(OR(I285="", I285=0), "",
  IF(I285&lt;=2,   1,
  IF(I285&lt;=4,   2,
  IF(I285&lt;=5.5, 3, 4))))</f>
        <v>2</v>
      </c>
      <c r="L285" s="190" t="str">
        <f t="shared" si="575"/>
        <v/>
      </c>
      <c r="M285" s="190" t="str">
        <f t="shared" si="4"/>
        <v>No Data</v>
      </c>
      <c r="N285" s="220" t="s">
        <v>919</v>
      </c>
      <c r="O285" s="220" t="s">
        <v>923</v>
      </c>
      <c r="P285" s="190">
        <f t="shared" si="5"/>
        <v>1</v>
      </c>
      <c r="Q285" s="210">
        <f t="shared" si="6"/>
        <v>3</v>
      </c>
      <c r="R285" s="210">
        <f t="shared" ref="R285:S285" si="576">IF(OR(P285="", P285=0), "",
  IF(P285&lt;=2,   1,
  IF(P285&lt;=4,   2,
  IF(P285&lt;=5.5, 3, 4))))</f>
        <v>1</v>
      </c>
      <c r="S285" s="210">
        <f t="shared" si="576"/>
        <v>2</v>
      </c>
      <c r="T285" s="210" t="str">
        <f t="shared" si="8"/>
        <v>Lv1 → Lv2</v>
      </c>
      <c r="U285" s="210">
        <f t="shared" si="556"/>
        <v>0</v>
      </c>
      <c r="V285" s="210"/>
    </row>
    <row r="286">
      <c r="A286" s="220" t="s">
        <v>595</v>
      </c>
      <c r="B286" s="190" t="s">
        <v>596</v>
      </c>
      <c r="C286" s="223" t="s">
        <v>76</v>
      </c>
      <c r="D286" s="223" t="s">
        <v>869</v>
      </c>
      <c r="E286" s="190" t="s">
        <v>22</v>
      </c>
      <c r="F286" s="13" t="s">
        <v>927</v>
      </c>
      <c r="G286" s="190"/>
      <c r="H286" s="219">
        <f>IFERROR(
  MINIFS(ATTENDANCE_LOG!$F:$F,
         ATTENDANCE_LOG!$A:$A, C286,
         ATTENDANCE_LOG!$B:$B, E286),
"")</f>
        <v>45895.58333</v>
      </c>
      <c r="I286" s="190">
        <f>IFERROR(VLOOKUP(F286, LEVEL_HELPER!$A:$B, 2, 0), "")</f>
        <v>1</v>
      </c>
      <c r="J286" s="190" t="str">
        <f>IFERROR(VLOOKUP(G286, LEVEL_HELPER!$A:$B, 2, 0), "")</f>
        <v/>
      </c>
      <c r="K286" s="190">
        <f t="shared" ref="K286:L286" si="577">IF(OR(I286="", I286=0), "",
  IF(I286&lt;=2,   1,
  IF(I286&lt;=4,   2,
  IF(I286&lt;=5.5, 3, 4))))</f>
        <v>1</v>
      </c>
      <c r="L286" s="190" t="str">
        <f t="shared" si="577"/>
        <v/>
      </c>
      <c r="M286" s="190" t="str">
        <f t="shared" si="4"/>
        <v>No Data</v>
      </c>
      <c r="N286" s="220" t="s">
        <v>943</v>
      </c>
      <c r="O286" s="220" t="s">
        <v>923</v>
      </c>
      <c r="P286" s="190">
        <f t="shared" si="5"/>
        <v>1</v>
      </c>
      <c r="Q286" s="210">
        <f t="shared" si="6"/>
        <v>1</v>
      </c>
      <c r="R286" s="210">
        <f t="shared" ref="R286:S286" si="578">IF(OR(P286="", P286=0), "",
  IF(P286&lt;=2,   1,
  IF(P286&lt;=4,   2,
  IF(P286&lt;=5.5, 3, 4))))</f>
        <v>1</v>
      </c>
      <c r="S286" s="210">
        <f t="shared" si="578"/>
        <v>1</v>
      </c>
      <c r="T286" s="210" t="str">
        <f t="shared" si="8"/>
        <v>No Progress</v>
      </c>
      <c r="U286" s="210">
        <f t="shared" si="556"/>
        <v>0</v>
      </c>
      <c r="V286" s="210"/>
    </row>
    <row r="287">
      <c r="A287" s="220" t="s">
        <v>615</v>
      </c>
      <c r="B287" s="190" t="s">
        <v>616</v>
      </c>
      <c r="C287" s="223" t="s">
        <v>76</v>
      </c>
      <c r="D287" s="223" t="s">
        <v>869</v>
      </c>
      <c r="E287" s="190" t="s">
        <v>22</v>
      </c>
      <c r="F287" s="13" t="s">
        <v>935</v>
      </c>
      <c r="G287" s="190"/>
      <c r="H287" s="219">
        <f>IFERROR(
  MINIFS(ATTENDANCE_LOG!$F:$F,
         ATTENDANCE_LOG!$A:$A, C287,
         ATTENDANCE_LOG!$B:$B, E287),
"")</f>
        <v>45895.58333</v>
      </c>
      <c r="I287" s="190">
        <f>IFERROR(VLOOKUP(F287, LEVEL_HELPER!$A:$B, 2, 0), "")</f>
        <v>3.5</v>
      </c>
      <c r="J287" s="190" t="str">
        <f>IFERROR(VLOOKUP(G287, LEVEL_HELPER!$A:$B, 2, 0), "")</f>
        <v/>
      </c>
      <c r="K287" s="190">
        <f t="shared" ref="K287:L287" si="579">IF(OR(I287="", I287=0), "",
  IF(I287&lt;=2,   1,
  IF(I287&lt;=4,   2,
  IF(I287&lt;=5.5, 3, 4))))</f>
        <v>2</v>
      </c>
      <c r="L287" s="190" t="str">
        <f t="shared" si="579"/>
        <v/>
      </c>
      <c r="M287" s="190" t="str">
        <f t="shared" si="4"/>
        <v>No Data</v>
      </c>
      <c r="N287" s="220" t="s">
        <v>919</v>
      </c>
      <c r="O287" s="220" t="s">
        <v>923</v>
      </c>
      <c r="P287" s="190">
        <f t="shared" si="5"/>
        <v>1</v>
      </c>
      <c r="Q287" s="210">
        <f t="shared" si="6"/>
        <v>3.5</v>
      </c>
      <c r="R287" s="210">
        <f t="shared" ref="R287:S287" si="580">IF(OR(P287="", P287=0), "",
  IF(P287&lt;=2,   1,
  IF(P287&lt;=4,   2,
  IF(P287&lt;=5.5, 3, 4))))</f>
        <v>1</v>
      </c>
      <c r="S287" s="210">
        <f t="shared" si="580"/>
        <v>2</v>
      </c>
      <c r="T287" s="210" t="str">
        <f t="shared" si="8"/>
        <v>Lv1 → Lv2</v>
      </c>
      <c r="U287" s="210">
        <f t="shared" si="556"/>
        <v>0</v>
      </c>
      <c r="V287" s="210"/>
    </row>
    <row r="288">
      <c r="A288" s="247" t="s">
        <v>421</v>
      </c>
      <c r="B288" s="217" t="s">
        <v>422</v>
      </c>
      <c r="C288" s="218" t="s">
        <v>77</v>
      </c>
      <c r="D288" s="218" t="s">
        <v>870</v>
      </c>
      <c r="E288" s="217" t="s">
        <v>21</v>
      </c>
      <c r="F288" s="13" t="s">
        <v>927</v>
      </c>
      <c r="G288" s="13" t="s">
        <v>918</v>
      </c>
      <c r="H288" s="219">
        <f>IFERROR(
  MINIFS(ATTENDANCE_LOG!$F:$F,
         ATTENDANCE_LOG!$A:$A, C288,
         ATTENDANCE_LOG!$B:$B, E288),
"")</f>
        <v>45715.58333</v>
      </c>
      <c r="I288" s="190">
        <f>IFERROR(VLOOKUP(F288, LEVEL_HELPER!$A:$B, 2, 0), "")</f>
        <v>1</v>
      </c>
      <c r="J288" s="190">
        <f>IFERROR(VLOOKUP(G288, LEVEL_HELPER!$A:$B, 2, 0), "")</f>
        <v>3</v>
      </c>
      <c r="K288" s="190">
        <f t="shared" ref="K288:L288" si="581">IF(OR(I288="", I288=0), "",
  IF(I288&lt;=2,   1,
  IF(I288&lt;=4,   2,
  IF(I288&lt;=5.5, 3, 4))))</f>
        <v>1</v>
      </c>
      <c r="L288" s="190">
        <f t="shared" si="581"/>
        <v>2</v>
      </c>
      <c r="M288" s="190" t="str">
        <f t="shared" si="4"/>
        <v>Lv1 → Lv2</v>
      </c>
      <c r="N288" s="220" t="s">
        <v>931</v>
      </c>
      <c r="O288" s="220" t="s">
        <v>923</v>
      </c>
      <c r="P288" s="190">
        <f t="shared" si="5"/>
        <v>1</v>
      </c>
      <c r="Q288" s="210">
        <f t="shared" si="6"/>
        <v>3.5</v>
      </c>
      <c r="R288" s="210">
        <f t="shared" ref="R288:S288" si="582">IF(OR(P288="", P288=0), "",
  IF(P288&lt;=2,   1,
  IF(P288&lt;=4,   2,
  IF(P288&lt;=5.5, 3, 4))))</f>
        <v>1</v>
      </c>
      <c r="S288" s="210">
        <f t="shared" si="582"/>
        <v>2</v>
      </c>
      <c r="T288" s="210" t="str">
        <f t="shared" si="8"/>
        <v>Lv1 → Lv2</v>
      </c>
      <c r="U288" s="210">
        <f t="shared" si="556"/>
        <v>1</v>
      </c>
      <c r="V288" s="210"/>
    </row>
    <row r="289">
      <c r="A289" s="220" t="s">
        <v>147</v>
      </c>
      <c r="B289" s="190" t="s">
        <v>148</v>
      </c>
      <c r="C289" s="223" t="s">
        <v>77</v>
      </c>
      <c r="D289" s="223" t="s">
        <v>870</v>
      </c>
      <c r="E289" s="190" t="s">
        <v>21</v>
      </c>
      <c r="F289" s="13" t="s">
        <v>927</v>
      </c>
      <c r="G289" s="13" t="s">
        <v>918</v>
      </c>
      <c r="H289" s="219">
        <f>IFERROR(
  MINIFS(ATTENDANCE_LOG!$F:$F,
         ATTENDANCE_LOG!$A:$A, C289,
         ATTENDANCE_LOG!$B:$B, E289),
"")</f>
        <v>45715.58333</v>
      </c>
      <c r="I289" s="190">
        <f>IFERROR(VLOOKUP(F289, LEVEL_HELPER!$A:$B, 2, 0), "")</f>
        <v>1</v>
      </c>
      <c r="J289" s="190">
        <f>IFERROR(VLOOKUP(G289, LEVEL_HELPER!$A:$B, 2, 0), "")</f>
        <v>3</v>
      </c>
      <c r="K289" s="190">
        <f t="shared" ref="K289:L289" si="583">IF(OR(I289="", I289=0), "",
  IF(I289&lt;=2,   1,
  IF(I289&lt;=4,   2,
  IF(I289&lt;=5.5, 3, 4))))</f>
        <v>1</v>
      </c>
      <c r="L289" s="190">
        <f t="shared" si="583"/>
        <v>2</v>
      </c>
      <c r="M289" s="190" t="str">
        <f t="shared" si="4"/>
        <v>Lv1 → Lv2</v>
      </c>
      <c r="N289" s="220" t="s">
        <v>931</v>
      </c>
      <c r="O289" s="220" t="s">
        <v>923</v>
      </c>
      <c r="P289" s="190">
        <f t="shared" si="5"/>
        <v>1</v>
      </c>
      <c r="Q289" s="210">
        <f t="shared" si="6"/>
        <v>3.5</v>
      </c>
      <c r="R289" s="210">
        <f t="shared" ref="R289:S289" si="584">IF(OR(P289="", P289=0), "",
  IF(P289&lt;=2,   1,
  IF(P289&lt;=4,   2,
  IF(P289&lt;=5.5, 3, 4))))</f>
        <v>1</v>
      </c>
      <c r="S289" s="210">
        <f t="shared" si="584"/>
        <v>2</v>
      </c>
      <c r="T289" s="210" t="str">
        <f t="shared" si="8"/>
        <v>Lv1 → Lv2</v>
      </c>
      <c r="U289" s="210">
        <f t="shared" si="556"/>
        <v>1</v>
      </c>
      <c r="V289" s="210"/>
    </row>
    <row r="290">
      <c r="A290" s="220" t="s">
        <v>247</v>
      </c>
      <c r="B290" s="190" t="s">
        <v>248</v>
      </c>
      <c r="C290" s="223" t="s">
        <v>77</v>
      </c>
      <c r="D290" s="223" t="s">
        <v>870</v>
      </c>
      <c r="E290" s="190" t="s">
        <v>21</v>
      </c>
      <c r="F290" s="13" t="s">
        <v>927</v>
      </c>
      <c r="G290" s="13" t="s">
        <v>929</v>
      </c>
      <c r="H290" s="219">
        <f>IFERROR(
  MINIFS(ATTENDANCE_LOG!$F:$F,
         ATTENDANCE_LOG!$A:$A, C290,
         ATTENDANCE_LOG!$B:$B, E290),
"")</f>
        <v>45715.58333</v>
      </c>
      <c r="I290" s="190">
        <f>IFERROR(VLOOKUP(F290, LEVEL_HELPER!$A:$B, 2, 0), "")</f>
        <v>1</v>
      </c>
      <c r="J290" s="190">
        <f>IFERROR(VLOOKUP(G290, LEVEL_HELPER!$A:$B, 2, 0), "")</f>
        <v>1.5</v>
      </c>
      <c r="K290" s="190">
        <f t="shared" ref="K290:L290" si="585">IF(OR(I290="", I290=0), "",
  IF(I290&lt;=2,   1,
  IF(I290&lt;=4,   2,
  IF(I290&lt;=5.5, 3, 4))))</f>
        <v>1</v>
      </c>
      <c r="L290" s="190">
        <f t="shared" si="585"/>
        <v>1</v>
      </c>
      <c r="M290" s="190" t="str">
        <f t="shared" si="4"/>
        <v>Progress within level</v>
      </c>
      <c r="N290" s="220" t="s">
        <v>931</v>
      </c>
      <c r="O290" s="220" t="s">
        <v>923</v>
      </c>
      <c r="P290" s="190">
        <f t="shared" si="5"/>
        <v>1</v>
      </c>
      <c r="Q290" s="210">
        <f t="shared" si="6"/>
        <v>1.5</v>
      </c>
      <c r="R290" s="210">
        <f t="shared" ref="R290:S290" si="586">IF(OR(P290="", P290=0), "",
  IF(P290&lt;=2,   1,
  IF(P290&lt;=4,   2,
  IF(P290&lt;=5.5, 3, 4))))</f>
        <v>1</v>
      </c>
      <c r="S290" s="210">
        <f t="shared" si="586"/>
        <v>1</v>
      </c>
      <c r="T290" s="210" t="str">
        <f t="shared" si="8"/>
        <v>Progress within level</v>
      </c>
      <c r="U290" s="210">
        <f t="shared" si="556"/>
        <v>0</v>
      </c>
      <c r="V290" s="210"/>
    </row>
    <row r="291">
      <c r="A291" s="220" t="s">
        <v>255</v>
      </c>
      <c r="B291" s="190" t="s">
        <v>256</v>
      </c>
      <c r="C291" s="223" t="s">
        <v>77</v>
      </c>
      <c r="D291" s="223" t="s">
        <v>870</v>
      </c>
      <c r="E291" s="190" t="s">
        <v>21</v>
      </c>
      <c r="F291" s="13" t="s">
        <v>927</v>
      </c>
      <c r="G291" s="13" t="s">
        <v>918</v>
      </c>
      <c r="H291" s="219">
        <f>IFERROR(
  MINIFS(ATTENDANCE_LOG!$F:$F,
         ATTENDANCE_LOG!$A:$A, C291,
         ATTENDANCE_LOG!$B:$B, E291),
"")</f>
        <v>45715.58333</v>
      </c>
      <c r="I291" s="190">
        <f>IFERROR(VLOOKUP(F291, LEVEL_HELPER!$A:$B, 2, 0), "")</f>
        <v>1</v>
      </c>
      <c r="J291" s="190">
        <f>IFERROR(VLOOKUP(G291, LEVEL_HELPER!$A:$B, 2, 0), "")</f>
        <v>3</v>
      </c>
      <c r="K291" s="190">
        <f t="shared" ref="K291:L291" si="587">IF(OR(I291="", I291=0), "",
  IF(I291&lt;=2,   1,
  IF(I291&lt;=4,   2,
  IF(I291&lt;=5.5, 3, 4))))</f>
        <v>1</v>
      </c>
      <c r="L291" s="190">
        <f t="shared" si="587"/>
        <v>2</v>
      </c>
      <c r="M291" s="190" t="str">
        <f t="shared" si="4"/>
        <v>Lv1 → Lv2</v>
      </c>
      <c r="N291" s="220" t="s">
        <v>931</v>
      </c>
      <c r="O291" s="220" t="s">
        <v>923</v>
      </c>
      <c r="P291" s="190">
        <f t="shared" si="5"/>
        <v>1</v>
      </c>
      <c r="Q291" s="210">
        <f t="shared" si="6"/>
        <v>3.5</v>
      </c>
      <c r="R291" s="210">
        <f t="shared" ref="R291:S291" si="588">IF(OR(P291="", P291=0), "",
  IF(P291&lt;=2,   1,
  IF(P291&lt;=4,   2,
  IF(P291&lt;=5.5, 3, 4))))</f>
        <v>1</v>
      </c>
      <c r="S291" s="210">
        <f t="shared" si="588"/>
        <v>2</v>
      </c>
      <c r="T291" s="210" t="str">
        <f t="shared" si="8"/>
        <v>Lv1 → Lv2</v>
      </c>
      <c r="U291" s="210">
        <f t="shared" si="556"/>
        <v>1</v>
      </c>
      <c r="V291" s="210"/>
    </row>
    <row r="292">
      <c r="A292" s="220" t="s">
        <v>273</v>
      </c>
      <c r="B292" s="190" t="s">
        <v>274</v>
      </c>
      <c r="C292" s="223" t="s">
        <v>77</v>
      </c>
      <c r="D292" s="223" t="s">
        <v>870</v>
      </c>
      <c r="E292" s="190" t="s">
        <v>21</v>
      </c>
      <c r="F292" s="190"/>
      <c r="G292" s="190"/>
      <c r="H292" s="219">
        <f>IFERROR(
  MINIFS(ATTENDANCE_LOG!$F:$F,
         ATTENDANCE_LOG!$A:$A, C292,
         ATTENDANCE_LOG!$B:$B, E292),
"")</f>
        <v>45715.58333</v>
      </c>
      <c r="I292" s="190" t="str">
        <f>IFERROR(VLOOKUP(F292, LEVEL_HELPER!$A:$B, 2, 0), "")</f>
        <v/>
      </c>
      <c r="J292" s="190" t="str">
        <f>IFERROR(VLOOKUP(G292, LEVEL_HELPER!$A:$B, 2, 0), "")</f>
        <v/>
      </c>
      <c r="K292" s="190" t="str">
        <f t="shared" ref="K292:L292" si="589">IF(OR(I292="", I292=0), "",
  IF(I292&lt;=2,   1,
  IF(I292&lt;=4,   2,
  IF(I292&lt;=5.5, 3, 4))))</f>
        <v/>
      </c>
      <c r="L292" s="190" t="str">
        <f t="shared" si="589"/>
        <v/>
      </c>
      <c r="M292" s="190" t="str">
        <f t="shared" si="4"/>
        <v>No Data</v>
      </c>
      <c r="N292" s="220" t="s">
        <v>931</v>
      </c>
      <c r="O292" s="220" t="s">
        <v>923</v>
      </c>
      <c r="P292" s="190">
        <f t="shared" si="5"/>
        <v>0.5</v>
      </c>
      <c r="Q292" s="210">
        <f t="shared" si="6"/>
        <v>1</v>
      </c>
      <c r="R292" s="210">
        <f t="shared" ref="R292:S292" si="590">IF(OR(P292="", P292=0), "",
  IF(P292&lt;=2,   1,
  IF(P292&lt;=4,   2,
  IF(P292&lt;=5.5, 3, 4))))</f>
        <v>1</v>
      </c>
      <c r="S292" s="210">
        <f t="shared" si="590"/>
        <v>1</v>
      </c>
      <c r="T292" s="210" t="str">
        <f t="shared" si="8"/>
        <v>Progress within level</v>
      </c>
      <c r="U292" s="210">
        <f t="shared" si="556"/>
        <v>1</v>
      </c>
      <c r="V292" s="210"/>
    </row>
    <row r="293">
      <c r="A293" s="220" t="s">
        <v>302</v>
      </c>
      <c r="B293" s="190" t="s">
        <v>303</v>
      </c>
      <c r="C293" s="223" t="s">
        <v>77</v>
      </c>
      <c r="D293" s="223" t="s">
        <v>870</v>
      </c>
      <c r="E293" s="190" t="s">
        <v>21</v>
      </c>
      <c r="F293" s="190"/>
      <c r="G293" s="190"/>
      <c r="H293" s="219">
        <f>IFERROR(
  MINIFS(ATTENDANCE_LOG!$F:$F,
         ATTENDANCE_LOG!$A:$A, C293,
         ATTENDANCE_LOG!$B:$B, E293),
"")</f>
        <v>45715.58333</v>
      </c>
      <c r="I293" s="190" t="str">
        <f>IFERROR(VLOOKUP(F293, LEVEL_HELPER!$A:$B, 2, 0), "")</f>
        <v/>
      </c>
      <c r="J293" s="190" t="str">
        <f>IFERROR(VLOOKUP(G293, LEVEL_HELPER!$A:$B, 2, 0), "")</f>
        <v/>
      </c>
      <c r="K293" s="190" t="str">
        <f t="shared" ref="K293:L293" si="591">IF(OR(I293="", I293=0), "",
  IF(I293&lt;=2,   1,
  IF(I293&lt;=4,   2,
  IF(I293&lt;=5.5, 3, 4))))</f>
        <v/>
      </c>
      <c r="L293" s="190" t="str">
        <f t="shared" si="591"/>
        <v/>
      </c>
      <c r="M293" s="190" t="str">
        <f t="shared" si="4"/>
        <v>No Data</v>
      </c>
      <c r="N293" s="220" t="s">
        <v>947</v>
      </c>
      <c r="O293" s="220" t="s">
        <v>923</v>
      </c>
      <c r="P293" s="190">
        <f t="shared" si="5"/>
        <v>0.5</v>
      </c>
      <c r="Q293" s="210">
        <f t="shared" si="6"/>
        <v>0.5</v>
      </c>
      <c r="R293" s="210">
        <f t="shared" ref="R293:S293" si="592">IF(OR(P293="", P293=0), "",
  IF(P293&lt;=2,   1,
  IF(P293&lt;=4,   2,
  IF(P293&lt;=5.5, 3, 4))))</f>
        <v>1</v>
      </c>
      <c r="S293" s="210">
        <f t="shared" si="592"/>
        <v>1</v>
      </c>
      <c r="T293" s="210" t="str">
        <f t="shared" si="8"/>
        <v>No Progress</v>
      </c>
      <c r="U293" s="210">
        <f t="shared" si="556"/>
        <v>1</v>
      </c>
      <c r="V293" s="210"/>
    </row>
    <row r="294">
      <c r="A294" s="220" t="s">
        <v>494</v>
      </c>
      <c r="B294" s="190" t="s">
        <v>495</v>
      </c>
      <c r="C294" s="223" t="s">
        <v>77</v>
      </c>
      <c r="D294" s="223" t="s">
        <v>870</v>
      </c>
      <c r="E294" s="190" t="s">
        <v>21</v>
      </c>
      <c r="F294" s="13" t="s">
        <v>927</v>
      </c>
      <c r="G294" s="13" t="s">
        <v>918</v>
      </c>
      <c r="H294" s="219">
        <f>IFERROR(
  MINIFS(ATTENDANCE_LOG!$F:$F,
         ATTENDANCE_LOG!$A:$A, C294,
         ATTENDANCE_LOG!$B:$B, E294),
"")</f>
        <v>45715.58333</v>
      </c>
      <c r="I294" s="190">
        <f>IFERROR(VLOOKUP(F294, LEVEL_HELPER!$A:$B, 2, 0), "")</f>
        <v>1</v>
      </c>
      <c r="J294" s="190">
        <f>IFERROR(VLOOKUP(G294, LEVEL_HELPER!$A:$B, 2, 0), "")</f>
        <v>3</v>
      </c>
      <c r="K294" s="190">
        <f t="shared" ref="K294:L294" si="593">IF(OR(I294="", I294=0), "",
  IF(I294&lt;=2,   1,
  IF(I294&lt;=4,   2,
  IF(I294&lt;=5.5, 3, 4))))</f>
        <v>1</v>
      </c>
      <c r="L294" s="190">
        <f t="shared" si="593"/>
        <v>2</v>
      </c>
      <c r="M294" s="190" t="str">
        <f t="shared" si="4"/>
        <v>Lv1 → Lv2</v>
      </c>
      <c r="N294" s="220" t="s">
        <v>931</v>
      </c>
      <c r="O294" s="220" t="s">
        <v>923</v>
      </c>
      <c r="P294" s="190">
        <f t="shared" si="5"/>
        <v>1</v>
      </c>
      <c r="Q294" s="210">
        <f t="shared" si="6"/>
        <v>3.5</v>
      </c>
      <c r="R294" s="210">
        <f t="shared" ref="R294:S294" si="594">IF(OR(P294="", P294=0), "",
  IF(P294&lt;=2,   1,
  IF(P294&lt;=4,   2,
  IF(P294&lt;=5.5, 3, 4))))</f>
        <v>1</v>
      </c>
      <c r="S294" s="210">
        <f t="shared" si="594"/>
        <v>2</v>
      </c>
      <c r="T294" s="210" t="str">
        <f t="shared" si="8"/>
        <v>Lv1 → Lv2</v>
      </c>
      <c r="U294" s="210">
        <f t="shared" si="556"/>
        <v>1</v>
      </c>
      <c r="V294" s="210"/>
    </row>
    <row r="295">
      <c r="A295" s="220" t="s">
        <v>498</v>
      </c>
      <c r="B295" s="190" t="s">
        <v>499</v>
      </c>
      <c r="C295" s="223" t="s">
        <v>77</v>
      </c>
      <c r="D295" s="223" t="s">
        <v>870</v>
      </c>
      <c r="E295" s="190" t="s">
        <v>21</v>
      </c>
      <c r="F295" s="13" t="s">
        <v>927</v>
      </c>
      <c r="G295" s="13" t="s">
        <v>929</v>
      </c>
      <c r="H295" s="219">
        <f>IFERROR(
  MINIFS(ATTENDANCE_LOG!$F:$F,
         ATTENDANCE_LOG!$A:$A, C295,
         ATTENDANCE_LOG!$B:$B, E295),
"")</f>
        <v>45715.58333</v>
      </c>
      <c r="I295" s="190">
        <f>IFERROR(VLOOKUP(F295, LEVEL_HELPER!$A:$B, 2, 0), "")</f>
        <v>1</v>
      </c>
      <c r="J295" s="190">
        <f>IFERROR(VLOOKUP(G295, LEVEL_HELPER!$A:$B, 2, 0), "")</f>
        <v>1.5</v>
      </c>
      <c r="K295" s="190">
        <f t="shared" ref="K295:L295" si="595">IF(OR(I295="", I295=0), "",
  IF(I295&lt;=2,   1,
  IF(I295&lt;=4,   2,
  IF(I295&lt;=5.5, 3, 4))))</f>
        <v>1</v>
      </c>
      <c r="L295" s="190">
        <f t="shared" si="595"/>
        <v>1</v>
      </c>
      <c r="M295" s="190" t="str">
        <f t="shared" si="4"/>
        <v>Progress within level</v>
      </c>
      <c r="N295" s="220" t="s">
        <v>931</v>
      </c>
      <c r="O295" s="220" t="s">
        <v>923</v>
      </c>
      <c r="P295" s="190">
        <f t="shared" si="5"/>
        <v>1</v>
      </c>
      <c r="Q295" s="210">
        <f t="shared" si="6"/>
        <v>3</v>
      </c>
      <c r="R295" s="210">
        <f t="shared" ref="R295:S295" si="596">IF(OR(P295="", P295=0), "",
  IF(P295&lt;=2,   1,
  IF(P295&lt;=4,   2,
  IF(P295&lt;=5.5, 3, 4))))</f>
        <v>1</v>
      </c>
      <c r="S295" s="210">
        <f t="shared" si="596"/>
        <v>2</v>
      </c>
      <c r="T295" s="210" t="str">
        <f t="shared" si="8"/>
        <v>Lv1 → Lv2</v>
      </c>
      <c r="U295" s="210">
        <f t="shared" si="556"/>
        <v>1</v>
      </c>
      <c r="V295" s="210"/>
    </row>
    <row r="296">
      <c r="A296" s="220" t="s">
        <v>566</v>
      </c>
      <c r="B296" s="190" t="s">
        <v>567</v>
      </c>
      <c r="C296" s="223" t="s">
        <v>77</v>
      </c>
      <c r="D296" s="223" t="s">
        <v>870</v>
      </c>
      <c r="E296" s="190" t="s">
        <v>21</v>
      </c>
      <c r="F296" s="13" t="s">
        <v>927</v>
      </c>
      <c r="G296" s="13" t="s">
        <v>929</v>
      </c>
      <c r="H296" s="219">
        <f>IFERROR(
  MINIFS(ATTENDANCE_LOG!$F:$F,
         ATTENDANCE_LOG!$A:$A, C296,
         ATTENDANCE_LOG!$B:$B, E296),
"")</f>
        <v>45715.58333</v>
      </c>
      <c r="I296" s="190">
        <f>IFERROR(VLOOKUP(F296, LEVEL_HELPER!$A:$B, 2, 0), "")</f>
        <v>1</v>
      </c>
      <c r="J296" s="190">
        <f>IFERROR(VLOOKUP(G296, LEVEL_HELPER!$A:$B, 2, 0), "")</f>
        <v>1.5</v>
      </c>
      <c r="K296" s="190">
        <f t="shared" ref="K296:L296" si="597">IF(OR(I296="", I296=0), "",
  IF(I296&lt;=2,   1,
  IF(I296&lt;=4,   2,
  IF(I296&lt;=5.5, 3, 4))))</f>
        <v>1</v>
      </c>
      <c r="L296" s="190">
        <f t="shared" si="597"/>
        <v>1</v>
      </c>
      <c r="M296" s="190" t="str">
        <f t="shared" si="4"/>
        <v>Progress within level</v>
      </c>
      <c r="N296" s="220" t="s">
        <v>947</v>
      </c>
      <c r="O296" s="220" t="s">
        <v>923</v>
      </c>
      <c r="P296" s="190">
        <f t="shared" si="5"/>
        <v>1</v>
      </c>
      <c r="Q296" s="210">
        <f t="shared" si="6"/>
        <v>1.5</v>
      </c>
      <c r="R296" s="210">
        <f t="shared" ref="R296:S296" si="598">IF(OR(P296="", P296=0), "",
  IF(P296&lt;=2,   1,
  IF(P296&lt;=4,   2,
  IF(P296&lt;=5.5, 3, 4))))</f>
        <v>1</v>
      </c>
      <c r="S296" s="210">
        <f t="shared" si="598"/>
        <v>1</v>
      </c>
      <c r="T296" s="210" t="str">
        <f t="shared" si="8"/>
        <v>Progress within level</v>
      </c>
      <c r="U296" s="210">
        <f t="shared" si="556"/>
        <v>1</v>
      </c>
      <c r="V296" s="210"/>
    </row>
    <row r="297">
      <c r="A297" s="247" t="s">
        <v>421</v>
      </c>
      <c r="B297" s="217" t="s">
        <v>422</v>
      </c>
      <c r="C297" s="218" t="s">
        <v>77</v>
      </c>
      <c r="D297" s="218" t="s">
        <v>870</v>
      </c>
      <c r="E297" s="217" t="s">
        <v>22</v>
      </c>
      <c r="F297" s="13" t="s">
        <v>918</v>
      </c>
      <c r="G297" s="13" t="s">
        <v>935</v>
      </c>
      <c r="H297" s="219">
        <f>IFERROR(
  MINIFS(ATTENDANCE_LOG!$F:$F,
         ATTENDANCE_LOG!$A:$A, C297,
         ATTENDANCE_LOG!$B:$B, E297),
"")</f>
        <v>45890.54167</v>
      </c>
      <c r="I297" s="190">
        <f>IFERROR(VLOOKUP(F297, LEVEL_HELPER!$A:$B, 2, 0), "")</f>
        <v>3</v>
      </c>
      <c r="J297" s="190">
        <f>IFERROR(VLOOKUP(G297, LEVEL_HELPER!$A:$B, 2, 0), "")</f>
        <v>3.5</v>
      </c>
      <c r="K297" s="190">
        <f t="shared" ref="K297:L297" si="599">IF(OR(I297="", I297=0), "",
  IF(I297&lt;=2,   1,
  IF(I297&lt;=4,   2,
  IF(I297&lt;=5.5, 3, 4))))</f>
        <v>2</v>
      </c>
      <c r="L297" s="190">
        <f t="shared" si="599"/>
        <v>2</v>
      </c>
      <c r="M297" s="190" t="str">
        <f t="shared" si="4"/>
        <v>Progress within level</v>
      </c>
      <c r="N297" s="220" t="s">
        <v>931</v>
      </c>
      <c r="O297" s="220" t="s">
        <v>923</v>
      </c>
      <c r="P297" s="190">
        <f t="shared" si="5"/>
        <v>1</v>
      </c>
      <c r="Q297" s="210">
        <f t="shared" si="6"/>
        <v>3.5</v>
      </c>
      <c r="R297" s="210">
        <f t="shared" ref="R297:S297" si="600">IF(OR(P297="", P297=0), "",
  IF(P297&lt;=2,   1,
  IF(P297&lt;=4,   2,
  IF(P297&lt;=5.5, 3, 4))))</f>
        <v>1</v>
      </c>
      <c r="S297" s="210">
        <f t="shared" si="600"/>
        <v>2</v>
      </c>
      <c r="T297" s="210" t="str">
        <f t="shared" si="8"/>
        <v>Lv1 → Lv2</v>
      </c>
      <c r="U297" s="210">
        <f t="shared" si="556"/>
        <v>0</v>
      </c>
      <c r="V297" s="210"/>
    </row>
    <row r="298">
      <c r="A298" s="220" t="s">
        <v>147</v>
      </c>
      <c r="B298" s="190" t="s">
        <v>148</v>
      </c>
      <c r="C298" s="223" t="s">
        <v>77</v>
      </c>
      <c r="D298" s="223" t="s">
        <v>870</v>
      </c>
      <c r="E298" s="190" t="s">
        <v>22</v>
      </c>
      <c r="F298" s="13" t="s">
        <v>918</v>
      </c>
      <c r="G298" s="13" t="s">
        <v>935</v>
      </c>
      <c r="H298" s="219">
        <f>IFERROR(
  MINIFS(ATTENDANCE_LOG!$F:$F,
         ATTENDANCE_LOG!$A:$A, C298,
         ATTENDANCE_LOG!$B:$B, E298),
"")</f>
        <v>45890.54167</v>
      </c>
      <c r="I298" s="190">
        <f>IFERROR(VLOOKUP(F298, LEVEL_HELPER!$A:$B, 2, 0), "")</f>
        <v>3</v>
      </c>
      <c r="J298" s="190">
        <f>IFERROR(VLOOKUP(G298, LEVEL_HELPER!$A:$B, 2, 0), "")</f>
        <v>3.5</v>
      </c>
      <c r="K298" s="190">
        <f t="shared" ref="K298:L298" si="601">IF(OR(I298="", I298=0), "",
  IF(I298&lt;=2,   1,
  IF(I298&lt;=4,   2,
  IF(I298&lt;=5.5, 3, 4))))</f>
        <v>2</v>
      </c>
      <c r="L298" s="190">
        <f t="shared" si="601"/>
        <v>2</v>
      </c>
      <c r="M298" s="190" t="str">
        <f t="shared" si="4"/>
        <v>Progress within level</v>
      </c>
      <c r="N298" s="220" t="s">
        <v>931</v>
      </c>
      <c r="O298" s="220" t="s">
        <v>923</v>
      </c>
      <c r="P298" s="190">
        <f t="shared" si="5"/>
        <v>1</v>
      </c>
      <c r="Q298" s="210">
        <f t="shared" si="6"/>
        <v>3.5</v>
      </c>
      <c r="R298" s="210">
        <f t="shared" ref="R298:S298" si="602">IF(OR(P298="", P298=0), "",
  IF(P298&lt;=2,   1,
  IF(P298&lt;=4,   2,
  IF(P298&lt;=5.5, 3, 4))))</f>
        <v>1</v>
      </c>
      <c r="S298" s="210">
        <f t="shared" si="602"/>
        <v>2</v>
      </c>
      <c r="T298" s="210" t="str">
        <f t="shared" si="8"/>
        <v>Lv1 → Lv2</v>
      </c>
      <c r="U298" s="210">
        <f t="shared" si="556"/>
        <v>0</v>
      </c>
      <c r="V298" s="210"/>
    </row>
    <row r="299">
      <c r="A299" s="220" t="s">
        <v>159</v>
      </c>
      <c r="B299" s="190" t="s">
        <v>160</v>
      </c>
      <c r="C299" s="223" t="s">
        <v>77</v>
      </c>
      <c r="D299" s="223" t="s">
        <v>870</v>
      </c>
      <c r="E299" s="190" t="s">
        <v>22</v>
      </c>
      <c r="F299" s="13" t="s">
        <v>918</v>
      </c>
      <c r="G299" s="13" t="s">
        <v>918</v>
      </c>
      <c r="H299" s="219">
        <f>IFERROR(
  MINIFS(ATTENDANCE_LOG!$F:$F,
         ATTENDANCE_LOG!$A:$A, C299,
         ATTENDANCE_LOG!$B:$B, E299),
"")</f>
        <v>45890.54167</v>
      </c>
      <c r="I299" s="190">
        <f>IFERROR(VLOOKUP(F299, LEVEL_HELPER!$A:$B, 2, 0), "")</f>
        <v>3</v>
      </c>
      <c r="J299" s="190">
        <f>IFERROR(VLOOKUP(G299, LEVEL_HELPER!$A:$B, 2, 0), "")</f>
        <v>3</v>
      </c>
      <c r="K299" s="190">
        <f t="shared" ref="K299:L299" si="603">IF(OR(I299="", I299=0), "",
  IF(I299&lt;=2,   1,
  IF(I299&lt;=4,   2,
  IF(I299&lt;=5.5, 3, 4))))</f>
        <v>2</v>
      </c>
      <c r="L299" s="190">
        <f t="shared" si="603"/>
        <v>2</v>
      </c>
      <c r="M299" s="190" t="str">
        <f t="shared" si="4"/>
        <v>No Progress</v>
      </c>
      <c r="N299" s="220" t="s">
        <v>931</v>
      </c>
      <c r="O299" s="220" t="s">
        <v>923</v>
      </c>
      <c r="P299" s="190">
        <f t="shared" si="5"/>
        <v>3</v>
      </c>
      <c r="Q299" s="210">
        <f t="shared" si="6"/>
        <v>3</v>
      </c>
      <c r="R299" s="210">
        <f t="shared" ref="R299:S299" si="604">IF(OR(P299="", P299=0), "",
  IF(P299&lt;=2,   1,
  IF(P299&lt;=4,   2,
  IF(P299&lt;=5.5, 3, 4))))</f>
        <v>2</v>
      </c>
      <c r="S299" s="210">
        <f t="shared" si="604"/>
        <v>2</v>
      </c>
      <c r="T299" s="210" t="str">
        <f t="shared" si="8"/>
        <v>No Progress</v>
      </c>
      <c r="U299" s="210">
        <f t="shared" si="556"/>
        <v>0</v>
      </c>
      <c r="V299" s="210"/>
    </row>
    <row r="300">
      <c r="A300" s="220" t="s">
        <v>255</v>
      </c>
      <c r="B300" s="190" t="s">
        <v>256</v>
      </c>
      <c r="C300" s="223" t="s">
        <v>77</v>
      </c>
      <c r="D300" s="223" t="s">
        <v>870</v>
      </c>
      <c r="E300" s="190" t="s">
        <v>22</v>
      </c>
      <c r="F300" s="13" t="s">
        <v>918</v>
      </c>
      <c r="G300" s="13" t="s">
        <v>935</v>
      </c>
      <c r="H300" s="219">
        <f>IFERROR(
  MINIFS(ATTENDANCE_LOG!$F:$F,
         ATTENDANCE_LOG!$A:$A, C300,
         ATTENDANCE_LOG!$B:$B, E300),
"")</f>
        <v>45890.54167</v>
      </c>
      <c r="I300" s="190">
        <f>IFERROR(VLOOKUP(F300, LEVEL_HELPER!$A:$B, 2, 0), "")</f>
        <v>3</v>
      </c>
      <c r="J300" s="190">
        <f>IFERROR(VLOOKUP(G300, LEVEL_HELPER!$A:$B, 2, 0), "")</f>
        <v>3.5</v>
      </c>
      <c r="K300" s="190">
        <f t="shared" ref="K300:L300" si="605">IF(OR(I300="", I300=0), "",
  IF(I300&lt;=2,   1,
  IF(I300&lt;=4,   2,
  IF(I300&lt;=5.5, 3, 4))))</f>
        <v>2</v>
      </c>
      <c r="L300" s="190">
        <f t="shared" si="605"/>
        <v>2</v>
      </c>
      <c r="M300" s="190" t="str">
        <f t="shared" si="4"/>
        <v>Progress within level</v>
      </c>
      <c r="N300" s="220" t="s">
        <v>931</v>
      </c>
      <c r="O300" s="220" t="s">
        <v>923</v>
      </c>
      <c r="P300" s="190">
        <f t="shared" si="5"/>
        <v>1</v>
      </c>
      <c r="Q300" s="210">
        <f t="shared" si="6"/>
        <v>3.5</v>
      </c>
      <c r="R300" s="210">
        <f t="shared" ref="R300:S300" si="606">IF(OR(P300="", P300=0), "",
  IF(P300&lt;=2,   1,
  IF(P300&lt;=4,   2,
  IF(P300&lt;=5.5, 3, 4))))</f>
        <v>1</v>
      </c>
      <c r="S300" s="210">
        <f t="shared" si="606"/>
        <v>2</v>
      </c>
      <c r="T300" s="210" t="str">
        <f t="shared" si="8"/>
        <v>Lv1 → Lv2</v>
      </c>
      <c r="U300" s="210">
        <f t="shared" si="556"/>
        <v>0</v>
      </c>
      <c r="V300" s="210"/>
    </row>
    <row r="301">
      <c r="A301" s="220" t="s">
        <v>433</v>
      </c>
      <c r="B301" s="190" t="s">
        <v>432</v>
      </c>
      <c r="C301" s="223" t="s">
        <v>77</v>
      </c>
      <c r="D301" s="223" t="s">
        <v>870</v>
      </c>
      <c r="E301" s="190" t="s">
        <v>22</v>
      </c>
      <c r="F301" s="13" t="s">
        <v>918</v>
      </c>
      <c r="G301" s="13" t="s">
        <v>935</v>
      </c>
      <c r="H301" s="219">
        <f>IFERROR(
  MINIFS(ATTENDANCE_LOG!$F:$F,
         ATTENDANCE_LOG!$A:$A, C301,
         ATTENDANCE_LOG!$B:$B, E301),
"")</f>
        <v>45890.54167</v>
      </c>
      <c r="I301" s="190">
        <f>IFERROR(VLOOKUP(F301, LEVEL_HELPER!$A:$B, 2, 0), "")</f>
        <v>3</v>
      </c>
      <c r="J301" s="190">
        <f>IFERROR(VLOOKUP(G301, LEVEL_HELPER!$A:$B, 2, 0), "")</f>
        <v>3.5</v>
      </c>
      <c r="K301" s="190">
        <f t="shared" ref="K301:L301" si="607">IF(OR(I301="", I301=0), "",
  IF(I301&lt;=2,   1,
  IF(I301&lt;=4,   2,
  IF(I301&lt;=5.5, 3, 4))))</f>
        <v>2</v>
      </c>
      <c r="L301" s="190">
        <f t="shared" si="607"/>
        <v>2</v>
      </c>
      <c r="M301" s="190" t="str">
        <f t="shared" si="4"/>
        <v>Progress within level</v>
      </c>
      <c r="N301" s="220" t="s">
        <v>931</v>
      </c>
      <c r="O301" s="220" t="s">
        <v>923</v>
      </c>
      <c r="P301" s="190">
        <f t="shared" si="5"/>
        <v>2.5</v>
      </c>
      <c r="Q301" s="210">
        <f t="shared" si="6"/>
        <v>3.5</v>
      </c>
      <c r="R301" s="210">
        <f t="shared" ref="R301:S301" si="608">IF(OR(P301="", P301=0), "",
  IF(P301&lt;=2,   1,
  IF(P301&lt;=4,   2,
  IF(P301&lt;=5.5, 3, 4))))</f>
        <v>2</v>
      </c>
      <c r="S301" s="210">
        <f t="shared" si="608"/>
        <v>2</v>
      </c>
      <c r="T301" s="210" t="str">
        <f t="shared" si="8"/>
        <v>Progress within level</v>
      </c>
      <c r="U301" s="210">
        <f t="shared" si="556"/>
        <v>0</v>
      </c>
      <c r="V301" s="210"/>
    </row>
    <row r="302">
      <c r="A302" s="220" t="s">
        <v>494</v>
      </c>
      <c r="B302" s="190" t="s">
        <v>495</v>
      </c>
      <c r="C302" s="223" t="s">
        <v>77</v>
      </c>
      <c r="D302" s="223" t="s">
        <v>870</v>
      </c>
      <c r="E302" s="190" t="s">
        <v>22</v>
      </c>
      <c r="F302" s="13" t="s">
        <v>918</v>
      </c>
      <c r="G302" s="13" t="s">
        <v>935</v>
      </c>
      <c r="H302" s="219">
        <f>IFERROR(
  MINIFS(ATTENDANCE_LOG!$F:$F,
         ATTENDANCE_LOG!$A:$A, C302,
         ATTENDANCE_LOG!$B:$B, E302),
"")</f>
        <v>45890.54167</v>
      </c>
      <c r="I302" s="190">
        <f>IFERROR(VLOOKUP(F302, LEVEL_HELPER!$A:$B, 2, 0), "")</f>
        <v>3</v>
      </c>
      <c r="J302" s="190">
        <f>IFERROR(VLOOKUP(G302, LEVEL_HELPER!$A:$B, 2, 0), "")</f>
        <v>3.5</v>
      </c>
      <c r="K302" s="190">
        <f t="shared" ref="K302:L302" si="609">IF(OR(I302="", I302=0), "",
  IF(I302&lt;=2,   1,
  IF(I302&lt;=4,   2,
  IF(I302&lt;=5.5, 3, 4))))</f>
        <v>2</v>
      </c>
      <c r="L302" s="190">
        <f t="shared" si="609"/>
        <v>2</v>
      </c>
      <c r="M302" s="190" t="str">
        <f t="shared" si="4"/>
        <v>Progress within level</v>
      </c>
      <c r="N302" s="220" t="s">
        <v>931</v>
      </c>
      <c r="O302" s="220" t="s">
        <v>923</v>
      </c>
      <c r="P302" s="190">
        <f t="shared" si="5"/>
        <v>1</v>
      </c>
      <c r="Q302" s="210">
        <f t="shared" si="6"/>
        <v>3.5</v>
      </c>
      <c r="R302" s="210">
        <f t="shared" ref="R302:S302" si="610">IF(OR(P302="", P302=0), "",
  IF(P302&lt;=2,   1,
  IF(P302&lt;=4,   2,
  IF(P302&lt;=5.5, 3, 4))))</f>
        <v>1</v>
      </c>
      <c r="S302" s="210">
        <f t="shared" si="610"/>
        <v>2</v>
      </c>
      <c r="T302" s="210" t="str">
        <f t="shared" si="8"/>
        <v>Lv1 → Lv2</v>
      </c>
      <c r="U302" s="210">
        <f t="shared" si="556"/>
        <v>0</v>
      </c>
      <c r="V302" s="210"/>
    </row>
    <row r="303">
      <c r="A303" s="220" t="s">
        <v>498</v>
      </c>
      <c r="B303" s="190" t="s">
        <v>499</v>
      </c>
      <c r="C303" s="223" t="s">
        <v>77</v>
      </c>
      <c r="D303" s="223" t="s">
        <v>870</v>
      </c>
      <c r="E303" s="190" t="s">
        <v>22</v>
      </c>
      <c r="F303" s="13" t="s">
        <v>929</v>
      </c>
      <c r="G303" s="13" t="s">
        <v>918</v>
      </c>
      <c r="H303" s="219">
        <f>IFERROR(
  MINIFS(ATTENDANCE_LOG!$F:$F,
         ATTENDANCE_LOG!$A:$A, C303,
         ATTENDANCE_LOG!$B:$B, E303),
"")</f>
        <v>45890.54167</v>
      </c>
      <c r="I303" s="190">
        <f>IFERROR(VLOOKUP(F303, LEVEL_HELPER!$A:$B, 2, 0), "")</f>
        <v>1.5</v>
      </c>
      <c r="J303" s="190">
        <f>IFERROR(VLOOKUP(G303, LEVEL_HELPER!$A:$B, 2, 0), "")</f>
        <v>3</v>
      </c>
      <c r="K303" s="190">
        <f t="shared" ref="K303:L303" si="611">IF(OR(I303="", I303=0), "",
  IF(I303&lt;=2,   1,
  IF(I303&lt;=4,   2,
  IF(I303&lt;=5.5, 3, 4))))</f>
        <v>1</v>
      </c>
      <c r="L303" s="190">
        <f t="shared" si="611"/>
        <v>2</v>
      </c>
      <c r="M303" s="190" t="str">
        <f t="shared" si="4"/>
        <v>Lv1 → Lv2</v>
      </c>
      <c r="N303" s="220" t="s">
        <v>931</v>
      </c>
      <c r="O303" s="220" t="s">
        <v>923</v>
      </c>
      <c r="P303" s="190">
        <f t="shared" si="5"/>
        <v>1</v>
      </c>
      <c r="Q303" s="210">
        <f t="shared" si="6"/>
        <v>3</v>
      </c>
      <c r="R303" s="210">
        <f t="shared" ref="R303:S303" si="612">IF(OR(P303="", P303=0), "",
  IF(P303&lt;=2,   1,
  IF(P303&lt;=4,   2,
  IF(P303&lt;=5.5, 3, 4))))</f>
        <v>1</v>
      </c>
      <c r="S303" s="210">
        <f t="shared" si="612"/>
        <v>2</v>
      </c>
      <c r="T303" s="210" t="str">
        <f t="shared" si="8"/>
        <v>Lv1 → Lv2</v>
      </c>
      <c r="U303" s="210">
        <f t="shared" si="556"/>
        <v>0</v>
      </c>
      <c r="V303" s="210"/>
    </row>
    <row r="304">
      <c r="A304" s="247" t="s">
        <v>421</v>
      </c>
      <c r="B304" s="217" t="s">
        <v>422</v>
      </c>
      <c r="C304" s="218" t="s">
        <v>77</v>
      </c>
      <c r="D304" s="218" t="s">
        <v>870</v>
      </c>
      <c r="E304" s="217" t="s">
        <v>23</v>
      </c>
      <c r="F304" s="190"/>
      <c r="G304" s="190"/>
      <c r="H304" s="219">
        <f>IFERROR(
  MINIFS(ATTENDANCE_LOG!$F:$F,
         ATTENDANCE_LOG!$A:$A, C304,
         ATTENDANCE_LOG!$B:$B, E304),
"")</f>
        <v>46107.58333</v>
      </c>
      <c r="I304" s="190" t="str">
        <f>IFERROR(VLOOKUP(F304, LEVEL_HELPER!$A:$B, 2, 0), "")</f>
        <v/>
      </c>
      <c r="J304" s="190" t="str">
        <f>IFERROR(VLOOKUP(G304, LEVEL_HELPER!$A:$B, 2, 0), "")</f>
        <v/>
      </c>
      <c r="K304" s="190" t="str">
        <f t="shared" ref="K304:L304" si="613">IF(OR(I304="", I304=0), "",
  IF(I304&lt;=2,   1,
  IF(I304&lt;=4,   2,
  IF(I304&lt;=5.5, 3, 4))))</f>
        <v/>
      </c>
      <c r="L304" s="190" t="str">
        <f t="shared" si="613"/>
        <v/>
      </c>
      <c r="M304" s="190" t="str">
        <f t="shared" si="4"/>
        <v>No Data</v>
      </c>
      <c r="N304" s="220" t="s">
        <v>931</v>
      </c>
      <c r="O304" s="220" t="s">
        <v>923</v>
      </c>
      <c r="P304" s="190">
        <f t="shared" si="5"/>
        <v>1</v>
      </c>
      <c r="Q304" s="210">
        <f t="shared" si="6"/>
        <v>3.5</v>
      </c>
      <c r="R304" s="210">
        <f t="shared" ref="R304:S304" si="614">IF(OR(P304="", P304=0), "",
  IF(P304&lt;=2,   1,
  IF(P304&lt;=4,   2,
  IF(P304&lt;=5.5, 3, 4))))</f>
        <v>1</v>
      </c>
      <c r="S304" s="210">
        <f t="shared" si="614"/>
        <v>2</v>
      </c>
      <c r="T304" s="210" t="str">
        <f t="shared" si="8"/>
        <v>Lv1 → Lv2</v>
      </c>
      <c r="U304" s="210">
        <f t="shared" si="556"/>
        <v>0</v>
      </c>
      <c r="V304" s="210"/>
    </row>
    <row r="305">
      <c r="A305" s="220" t="s">
        <v>566</v>
      </c>
      <c r="B305" s="190" t="s">
        <v>567</v>
      </c>
      <c r="C305" s="223" t="s">
        <v>77</v>
      </c>
      <c r="D305" s="223" t="s">
        <v>870</v>
      </c>
      <c r="E305" s="190" t="s">
        <v>22</v>
      </c>
      <c r="F305" s="190"/>
      <c r="G305" s="190"/>
      <c r="H305" s="219">
        <f>IFERROR(
  MINIFS(ATTENDANCE_LOG!$F:$F,
         ATTENDANCE_LOG!$A:$A, C305,
         ATTENDANCE_LOG!$B:$B, E305),
"")</f>
        <v>45890.54167</v>
      </c>
      <c r="I305" s="190" t="str">
        <f>IFERROR(VLOOKUP(F305, LEVEL_HELPER!$A:$B, 2, 0), "")</f>
        <v/>
      </c>
      <c r="J305" s="190" t="str">
        <f>IFERROR(VLOOKUP(G305, LEVEL_HELPER!$A:$B, 2, 0), "")</f>
        <v/>
      </c>
      <c r="K305" s="190" t="str">
        <f t="shared" ref="K305:L305" si="615">IF(OR(I305="", I305=0), "",
  IF(I305&lt;=2,   1,
  IF(I305&lt;=4,   2,
  IF(I305&lt;=5.5, 3, 4))))</f>
        <v/>
      </c>
      <c r="L305" s="190" t="str">
        <f t="shared" si="615"/>
        <v/>
      </c>
      <c r="M305" s="190" t="str">
        <f t="shared" si="4"/>
        <v>No Data</v>
      </c>
      <c r="N305" s="220" t="s">
        <v>947</v>
      </c>
      <c r="O305" s="220" t="s">
        <v>923</v>
      </c>
      <c r="P305" s="190">
        <f t="shared" si="5"/>
        <v>1</v>
      </c>
      <c r="Q305" s="210">
        <f t="shared" si="6"/>
        <v>1.5</v>
      </c>
      <c r="R305" s="210">
        <f t="shared" ref="R305:S305" si="616">IF(OR(P305="", P305=0), "",
  IF(P305&lt;=2,   1,
  IF(P305&lt;=4,   2,
  IF(P305&lt;=5.5, 3, 4))))</f>
        <v>1</v>
      </c>
      <c r="S305" s="210">
        <f t="shared" si="616"/>
        <v>1</v>
      </c>
      <c r="T305" s="210" t="str">
        <f t="shared" si="8"/>
        <v>Progress within level</v>
      </c>
      <c r="U305" s="210">
        <f t="shared" si="556"/>
        <v>0</v>
      </c>
      <c r="V305" s="210"/>
    </row>
    <row r="306">
      <c r="A306" s="220" t="s">
        <v>147</v>
      </c>
      <c r="B306" s="190" t="s">
        <v>148</v>
      </c>
      <c r="C306" s="223" t="s">
        <v>77</v>
      </c>
      <c r="D306" s="223" t="s">
        <v>870</v>
      </c>
      <c r="E306" s="190" t="s">
        <v>23</v>
      </c>
      <c r="F306" s="190"/>
      <c r="G306" s="190"/>
      <c r="H306" s="219">
        <f>IFERROR(
  MINIFS(ATTENDANCE_LOG!$F:$F,
         ATTENDANCE_LOG!$A:$A, C306,
         ATTENDANCE_LOG!$B:$B, E306),
"")</f>
        <v>46107.58333</v>
      </c>
      <c r="I306" s="190" t="str">
        <f>IFERROR(VLOOKUP(F306, LEVEL_HELPER!$A:$B, 2, 0), "")</f>
        <v/>
      </c>
      <c r="J306" s="190" t="str">
        <f>IFERROR(VLOOKUP(G306, LEVEL_HELPER!$A:$B, 2, 0), "")</f>
        <v/>
      </c>
      <c r="K306" s="190" t="str">
        <f t="shared" ref="K306:L306" si="617">IF(OR(I306="", I306=0), "",
  IF(I306&lt;=2,   1,
  IF(I306&lt;=4,   2,
  IF(I306&lt;=5.5, 3, 4))))</f>
        <v/>
      </c>
      <c r="L306" s="190" t="str">
        <f t="shared" si="617"/>
        <v/>
      </c>
      <c r="M306" s="190" t="str">
        <f t="shared" si="4"/>
        <v>No Data</v>
      </c>
      <c r="N306" s="220" t="s">
        <v>931</v>
      </c>
      <c r="O306" s="220" t="s">
        <v>923</v>
      </c>
      <c r="P306" s="190">
        <f t="shared" si="5"/>
        <v>1</v>
      </c>
      <c r="Q306" s="210">
        <f t="shared" si="6"/>
        <v>3.5</v>
      </c>
      <c r="R306" s="210">
        <f t="shared" ref="R306:S306" si="618">IF(OR(P306="", P306=0), "",
  IF(P306&lt;=2,   1,
  IF(P306&lt;=4,   2,
  IF(P306&lt;=5.5, 3, 4))))</f>
        <v>1</v>
      </c>
      <c r="S306" s="210">
        <f t="shared" si="618"/>
        <v>2</v>
      </c>
      <c r="T306" s="210" t="str">
        <f t="shared" si="8"/>
        <v>Lv1 → Lv2</v>
      </c>
      <c r="U306" s="210">
        <f t="shared" si="556"/>
        <v>0</v>
      </c>
      <c r="V306" s="210"/>
    </row>
    <row r="307">
      <c r="A307" s="220" t="s">
        <v>159</v>
      </c>
      <c r="B307" s="190" t="s">
        <v>160</v>
      </c>
      <c r="C307" s="223" t="s">
        <v>77</v>
      </c>
      <c r="D307" s="223" t="s">
        <v>870</v>
      </c>
      <c r="E307" s="190" t="s">
        <v>23</v>
      </c>
      <c r="F307" s="190"/>
      <c r="G307" s="190"/>
      <c r="H307" s="219">
        <f>IFERROR(
  MINIFS(ATTENDANCE_LOG!$F:$F,
         ATTENDANCE_LOG!$A:$A, C307,
         ATTENDANCE_LOG!$B:$B, E307),
"")</f>
        <v>46107.58333</v>
      </c>
      <c r="I307" s="190" t="str">
        <f>IFERROR(VLOOKUP(F307, LEVEL_HELPER!$A:$B, 2, 0), "")</f>
        <v/>
      </c>
      <c r="J307" s="190" t="str">
        <f>IFERROR(VLOOKUP(G307, LEVEL_HELPER!$A:$B, 2, 0), "")</f>
        <v/>
      </c>
      <c r="K307" s="190" t="str">
        <f t="shared" ref="K307:L307" si="619">IF(OR(I307="", I307=0), "",
  IF(I307&lt;=2,   1,
  IF(I307&lt;=4,   2,
  IF(I307&lt;=5.5, 3, 4))))</f>
        <v/>
      </c>
      <c r="L307" s="190" t="str">
        <f t="shared" si="619"/>
        <v/>
      </c>
      <c r="M307" s="190" t="str">
        <f t="shared" si="4"/>
        <v>No Data</v>
      </c>
      <c r="N307" s="220" t="s">
        <v>931</v>
      </c>
      <c r="O307" s="220" t="s">
        <v>923</v>
      </c>
      <c r="P307" s="190">
        <f t="shared" si="5"/>
        <v>3</v>
      </c>
      <c r="Q307" s="210">
        <f t="shared" si="6"/>
        <v>3</v>
      </c>
      <c r="R307" s="210">
        <f t="shared" ref="R307:S307" si="620">IF(OR(P307="", P307=0), "",
  IF(P307&lt;=2,   1,
  IF(P307&lt;=4,   2,
  IF(P307&lt;=5.5, 3, 4))))</f>
        <v>2</v>
      </c>
      <c r="S307" s="210">
        <f t="shared" si="620"/>
        <v>2</v>
      </c>
      <c r="T307" s="210" t="str">
        <f t="shared" si="8"/>
        <v>No Progress</v>
      </c>
      <c r="U307" s="210">
        <f t="shared" si="556"/>
        <v>0</v>
      </c>
      <c r="V307" s="210"/>
    </row>
    <row r="308">
      <c r="A308" s="220" t="s">
        <v>255</v>
      </c>
      <c r="B308" s="190" t="s">
        <v>256</v>
      </c>
      <c r="C308" s="223" t="s">
        <v>77</v>
      </c>
      <c r="D308" s="223" t="s">
        <v>870</v>
      </c>
      <c r="E308" s="190" t="s">
        <v>23</v>
      </c>
      <c r="F308" s="190"/>
      <c r="G308" s="190"/>
      <c r="H308" s="219">
        <f>IFERROR(
  MINIFS(ATTENDANCE_LOG!$F:$F,
         ATTENDANCE_LOG!$A:$A, C308,
         ATTENDANCE_LOG!$B:$B, E308),
"")</f>
        <v>46107.58333</v>
      </c>
      <c r="I308" s="190" t="str">
        <f>IFERROR(VLOOKUP(F308, LEVEL_HELPER!$A:$B, 2, 0), "")</f>
        <v/>
      </c>
      <c r="J308" s="190" t="str">
        <f>IFERROR(VLOOKUP(G308, LEVEL_HELPER!$A:$B, 2, 0), "")</f>
        <v/>
      </c>
      <c r="K308" s="190" t="str">
        <f t="shared" ref="K308:L308" si="621">IF(OR(I308="", I308=0), "",
  IF(I308&lt;=2,   1,
  IF(I308&lt;=4,   2,
  IF(I308&lt;=5.5, 3, 4))))</f>
        <v/>
      </c>
      <c r="L308" s="190" t="str">
        <f t="shared" si="621"/>
        <v/>
      </c>
      <c r="M308" s="190" t="str">
        <f t="shared" si="4"/>
        <v>No Data</v>
      </c>
      <c r="N308" s="220" t="s">
        <v>931</v>
      </c>
      <c r="O308" s="220" t="s">
        <v>923</v>
      </c>
      <c r="P308" s="190">
        <f t="shared" si="5"/>
        <v>1</v>
      </c>
      <c r="Q308" s="210">
        <f t="shared" si="6"/>
        <v>3.5</v>
      </c>
      <c r="R308" s="210">
        <f t="shared" ref="R308:S308" si="622">IF(OR(P308="", P308=0), "",
  IF(P308&lt;=2,   1,
  IF(P308&lt;=4,   2,
  IF(P308&lt;=5.5, 3, 4))))</f>
        <v>1</v>
      </c>
      <c r="S308" s="210">
        <f t="shared" si="622"/>
        <v>2</v>
      </c>
      <c r="T308" s="210" t="str">
        <f t="shared" si="8"/>
        <v>Lv1 → Lv2</v>
      </c>
      <c r="U308" s="210">
        <f t="shared" si="556"/>
        <v>0</v>
      </c>
      <c r="V308" s="210"/>
    </row>
    <row r="309">
      <c r="A309" s="220" t="s">
        <v>433</v>
      </c>
      <c r="B309" s="190" t="s">
        <v>432</v>
      </c>
      <c r="C309" s="223" t="s">
        <v>77</v>
      </c>
      <c r="D309" s="223" t="s">
        <v>870</v>
      </c>
      <c r="E309" s="190" t="s">
        <v>23</v>
      </c>
      <c r="F309" s="190"/>
      <c r="G309" s="190"/>
      <c r="H309" s="219">
        <f>IFERROR(
  MINIFS(ATTENDANCE_LOG!$F:$F,
         ATTENDANCE_LOG!$A:$A, C309,
         ATTENDANCE_LOG!$B:$B, E309),
"")</f>
        <v>46107.58333</v>
      </c>
      <c r="I309" s="190" t="str">
        <f>IFERROR(VLOOKUP(F309, LEVEL_HELPER!$A:$B, 2, 0), "")</f>
        <v/>
      </c>
      <c r="J309" s="190" t="str">
        <f>IFERROR(VLOOKUP(G309, LEVEL_HELPER!$A:$B, 2, 0), "")</f>
        <v/>
      </c>
      <c r="K309" s="190" t="str">
        <f t="shared" ref="K309:L309" si="623">IF(OR(I309="", I309=0), "",
  IF(I309&lt;=2,   1,
  IF(I309&lt;=4,   2,
  IF(I309&lt;=5.5, 3, 4))))</f>
        <v/>
      </c>
      <c r="L309" s="190" t="str">
        <f t="shared" si="623"/>
        <v/>
      </c>
      <c r="M309" s="190" t="str">
        <f t="shared" si="4"/>
        <v>No Data</v>
      </c>
      <c r="N309" s="220" t="s">
        <v>931</v>
      </c>
      <c r="O309" s="220" t="s">
        <v>923</v>
      </c>
      <c r="P309" s="190">
        <f t="shared" si="5"/>
        <v>2.5</v>
      </c>
      <c r="Q309" s="210">
        <f t="shared" si="6"/>
        <v>3.5</v>
      </c>
      <c r="R309" s="210">
        <f t="shared" ref="R309:S309" si="624">IF(OR(P309="", P309=0), "",
  IF(P309&lt;=2,   1,
  IF(P309&lt;=4,   2,
  IF(P309&lt;=5.5, 3, 4))))</f>
        <v>2</v>
      </c>
      <c r="S309" s="210">
        <f t="shared" si="624"/>
        <v>2</v>
      </c>
      <c r="T309" s="210" t="str">
        <f t="shared" si="8"/>
        <v>Progress within level</v>
      </c>
      <c r="U309" s="210">
        <f t="shared" si="556"/>
        <v>0</v>
      </c>
      <c r="V309" s="210"/>
    </row>
    <row r="310">
      <c r="A310" s="220" t="s">
        <v>494</v>
      </c>
      <c r="B310" s="190" t="s">
        <v>495</v>
      </c>
      <c r="C310" s="223" t="s">
        <v>77</v>
      </c>
      <c r="D310" s="223" t="s">
        <v>870</v>
      </c>
      <c r="E310" s="190" t="s">
        <v>23</v>
      </c>
      <c r="F310" s="190"/>
      <c r="G310" s="190"/>
      <c r="H310" s="219">
        <f>IFERROR(
  MINIFS(ATTENDANCE_LOG!$F:$F,
         ATTENDANCE_LOG!$A:$A, C310,
         ATTENDANCE_LOG!$B:$B, E310),
"")</f>
        <v>46107.58333</v>
      </c>
      <c r="I310" s="190" t="str">
        <f>IFERROR(VLOOKUP(F310, LEVEL_HELPER!$A:$B, 2, 0), "")</f>
        <v/>
      </c>
      <c r="J310" s="190" t="str">
        <f>IFERROR(VLOOKUP(G310, LEVEL_HELPER!$A:$B, 2, 0), "")</f>
        <v/>
      </c>
      <c r="K310" s="190" t="str">
        <f t="shared" ref="K310:L310" si="625">IF(OR(I310="", I310=0), "",
  IF(I310&lt;=2,   1,
  IF(I310&lt;=4,   2,
  IF(I310&lt;=5.5, 3, 4))))</f>
        <v/>
      </c>
      <c r="L310" s="190" t="str">
        <f t="shared" si="625"/>
        <v/>
      </c>
      <c r="M310" s="190" t="str">
        <f t="shared" si="4"/>
        <v>No Data</v>
      </c>
      <c r="N310" s="220" t="s">
        <v>931</v>
      </c>
      <c r="O310" s="220" t="s">
        <v>923</v>
      </c>
      <c r="P310" s="190">
        <f t="shared" si="5"/>
        <v>1</v>
      </c>
      <c r="Q310" s="210">
        <f t="shared" si="6"/>
        <v>3.5</v>
      </c>
      <c r="R310" s="210">
        <f t="shared" ref="R310:S310" si="626">IF(OR(P310="", P310=0), "",
  IF(P310&lt;=2,   1,
  IF(P310&lt;=4,   2,
  IF(P310&lt;=5.5, 3, 4))))</f>
        <v>1</v>
      </c>
      <c r="S310" s="210">
        <f t="shared" si="626"/>
        <v>2</v>
      </c>
      <c r="T310" s="210" t="str">
        <f t="shared" si="8"/>
        <v>Lv1 → Lv2</v>
      </c>
      <c r="U310" s="210">
        <f t="shared" si="556"/>
        <v>0</v>
      </c>
      <c r="V310" s="210"/>
    </row>
    <row r="311">
      <c r="A311" s="220" t="s">
        <v>498</v>
      </c>
      <c r="B311" s="190" t="s">
        <v>499</v>
      </c>
      <c r="C311" s="223" t="s">
        <v>77</v>
      </c>
      <c r="D311" s="223" t="s">
        <v>870</v>
      </c>
      <c r="E311" s="190" t="s">
        <v>23</v>
      </c>
      <c r="F311" s="190"/>
      <c r="G311" s="190"/>
      <c r="H311" s="219">
        <f>IFERROR(
  MINIFS(ATTENDANCE_LOG!$F:$F,
         ATTENDANCE_LOG!$A:$A, C311,
         ATTENDANCE_LOG!$B:$B, E311),
"")</f>
        <v>46107.58333</v>
      </c>
      <c r="I311" s="190" t="str">
        <f>IFERROR(VLOOKUP(F311, LEVEL_HELPER!$A:$B, 2, 0), "")</f>
        <v/>
      </c>
      <c r="J311" s="190" t="str">
        <f>IFERROR(VLOOKUP(G311, LEVEL_HELPER!$A:$B, 2, 0), "")</f>
        <v/>
      </c>
      <c r="K311" s="190" t="str">
        <f t="shared" ref="K311:L311" si="627">IF(OR(I311="", I311=0), "",
  IF(I311&lt;=2,   1,
  IF(I311&lt;=4,   2,
  IF(I311&lt;=5.5, 3, 4))))</f>
        <v/>
      </c>
      <c r="L311" s="190" t="str">
        <f t="shared" si="627"/>
        <v/>
      </c>
      <c r="M311" s="190" t="str">
        <f t="shared" si="4"/>
        <v>No Data</v>
      </c>
      <c r="N311" s="220" t="s">
        <v>931</v>
      </c>
      <c r="O311" s="220" t="s">
        <v>923</v>
      </c>
      <c r="P311" s="190">
        <f t="shared" si="5"/>
        <v>1</v>
      </c>
      <c r="Q311" s="210">
        <f t="shared" si="6"/>
        <v>3</v>
      </c>
      <c r="R311" s="210">
        <f t="shared" ref="R311:S311" si="628">IF(OR(P311="", P311=0), "",
  IF(P311&lt;=2,   1,
  IF(P311&lt;=4,   2,
  IF(P311&lt;=5.5, 3, 4))))</f>
        <v>1</v>
      </c>
      <c r="S311" s="210">
        <f t="shared" si="628"/>
        <v>2</v>
      </c>
      <c r="T311" s="210" t="str">
        <f t="shared" si="8"/>
        <v>Lv1 → Lv2</v>
      </c>
      <c r="U311" s="210">
        <f t="shared" si="556"/>
        <v>0</v>
      </c>
      <c r="V311" s="210"/>
    </row>
    <row r="312">
      <c r="A312" s="220" t="s">
        <v>566</v>
      </c>
      <c r="B312" s="190" t="s">
        <v>567</v>
      </c>
      <c r="C312" s="223" t="s">
        <v>77</v>
      </c>
      <c r="D312" s="223" t="s">
        <v>870</v>
      </c>
      <c r="E312" s="190" t="s">
        <v>23</v>
      </c>
      <c r="F312" s="190"/>
      <c r="G312" s="190"/>
      <c r="H312" s="219">
        <f>IFERROR(
  MINIFS(ATTENDANCE_LOG!$F:$F,
         ATTENDANCE_LOG!$A:$A, C312,
         ATTENDANCE_LOG!$B:$B, E312),
"")</f>
        <v>46107.58333</v>
      </c>
      <c r="I312" s="190" t="str">
        <f>IFERROR(VLOOKUP(F312, LEVEL_HELPER!$A:$B, 2, 0), "")</f>
        <v/>
      </c>
      <c r="J312" s="190" t="str">
        <f>IFERROR(VLOOKUP(G312, LEVEL_HELPER!$A:$B, 2, 0), "")</f>
        <v/>
      </c>
      <c r="K312" s="190" t="str">
        <f t="shared" ref="K312:L312" si="629">IF(OR(I312="", I312=0), "",
  IF(I312&lt;=2,   1,
  IF(I312&lt;=4,   2,
  IF(I312&lt;=5.5, 3, 4))))</f>
        <v/>
      </c>
      <c r="L312" s="190" t="str">
        <f t="shared" si="629"/>
        <v/>
      </c>
      <c r="M312" s="190" t="str">
        <f t="shared" si="4"/>
        <v>No Data</v>
      </c>
      <c r="N312" s="220" t="s">
        <v>947</v>
      </c>
      <c r="O312" s="220" t="s">
        <v>923</v>
      </c>
      <c r="P312" s="190">
        <f t="shared" si="5"/>
        <v>1</v>
      </c>
      <c r="Q312" s="210">
        <f t="shared" si="6"/>
        <v>1.5</v>
      </c>
      <c r="R312" s="210">
        <f t="shared" ref="R312:S312" si="630">IF(OR(P312="", P312=0), "",
  IF(P312&lt;=2,   1,
  IF(P312&lt;=4,   2,
  IF(P312&lt;=5.5, 3, 4))))</f>
        <v>1</v>
      </c>
      <c r="S312" s="210">
        <f t="shared" si="630"/>
        <v>1</v>
      </c>
      <c r="T312" s="210" t="str">
        <f t="shared" si="8"/>
        <v>Progress within level</v>
      </c>
      <c r="U312" s="210">
        <f t="shared" si="556"/>
        <v>0</v>
      </c>
      <c r="V312" s="210"/>
    </row>
    <row r="313">
      <c r="A313" s="220" t="s">
        <v>261</v>
      </c>
      <c r="B313" s="217" t="s">
        <v>262</v>
      </c>
      <c r="C313" s="218" t="s">
        <v>78</v>
      </c>
      <c r="D313" s="218" t="s">
        <v>871</v>
      </c>
      <c r="E313" s="217" t="s">
        <v>21</v>
      </c>
      <c r="F313" s="13" t="s">
        <v>932</v>
      </c>
      <c r="G313" s="190"/>
      <c r="H313" s="219">
        <f>IFERROR(
  MINIFS(ATTENDANCE_LOG!$F:$F,
         ATTENDANCE_LOG!$A:$A, C313,
         ATTENDANCE_LOG!$B:$B, E313),
"")</f>
        <v>45638.45833</v>
      </c>
      <c r="I313" s="190">
        <f>IFERROR(VLOOKUP(F313, LEVEL_HELPER!$A:$B, 2, 0), "")</f>
        <v>4.5</v>
      </c>
      <c r="J313" s="190" t="str">
        <f>IFERROR(VLOOKUP(G313, LEVEL_HELPER!$A:$B, 2, 0), "")</f>
        <v/>
      </c>
      <c r="K313" s="190">
        <f t="shared" ref="K313:L313" si="631">IF(OR(I313="", I313=0), "",
  IF(I313&lt;=2,   1,
  IF(I313&lt;=4,   2,
  IF(I313&lt;=5.5, 3, 4))))</f>
        <v>3</v>
      </c>
      <c r="L313" s="190" t="str">
        <f t="shared" si="631"/>
        <v/>
      </c>
      <c r="M313" s="190" t="str">
        <f t="shared" si="4"/>
        <v>No Data</v>
      </c>
      <c r="N313" s="220" t="s">
        <v>955</v>
      </c>
      <c r="O313" s="220" t="s">
        <v>970</v>
      </c>
      <c r="P313" s="190">
        <f t="shared" si="5"/>
        <v>4.5</v>
      </c>
      <c r="Q313" s="210">
        <f t="shared" si="6"/>
        <v>0</v>
      </c>
      <c r="R313" s="210">
        <f t="shared" ref="R313:S313" si="632">IF(OR(P313="", P313=0), "",
  IF(P313&lt;=2,   1,
  IF(P313&lt;=4,   2,
  IF(P313&lt;=5.5, 3, 4))))</f>
        <v>3</v>
      </c>
      <c r="S313" s="210" t="str">
        <f t="shared" si="632"/>
        <v/>
      </c>
      <c r="T313" s="210" t="str">
        <f t="shared" si="8"/>
        <v>No Data</v>
      </c>
      <c r="U313" s="210">
        <f>IF(COUNTIF($A$2:A315, A313)=1, 1, 0)</f>
        <v>1</v>
      </c>
      <c r="V313" s="210"/>
    </row>
    <row r="314">
      <c r="A314" s="220" t="s">
        <v>182</v>
      </c>
      <c r="B314" s="190" t="s">
        <v>183</v>
      </c>
      <c r="C314" s="223" t="s">
        <v>78</v>
      </c>
      <c r="D314" s="223" t="s">
        <v>871</v>
      </c>
      <c r="E314" s="190" t="s">
        <v>21</v>
      </c>
      <c r="F314" s="13" t="s">
        <v>927</v>
      </c>
      <c r="G314" s="13" t="s">
        <v>927</v>
      </c>
      <c r="H314" s="219">
        <f>IFERROR(
  MINIFS(ATTENDANCE_LOG!$F:$F,
         ATTENDANCE_LOG!$A:$A, C314,
         ATTENDANCE_LOG!$B:$B, E314),
"")</f>
        <v>45638.45833</v>
      </c>
      <c r="I314" s="190">
        <f>IFERROR(VLOOKUP(F314, LEVEL_HELPER!$A:$B, 2, 0), "")</f>
        <v>1</v>
      </c>
      <c r="J314" s="190">
        <f>IFERROR(VLOOKUP(G314, LEVEL_HELPER!$A:$B, 2, 0), "")</f>
        <v>1</v>
      </c>
      <c r="K314" s="190">
        <f t="shared" ref="K314:L314" si="633">IF(OR(I314="", I314=0), "",
  IF(I314&lt;=2,   1,
  IF(I314&lt;=4,   2,
  IF(I314&lt;=5.5, 3, 4))))</f>
        <v>1</v>
      </c>
      <c r="L314" s="190">
        <f t="shared" si="633"/>
        <v>1</v>
      </c>
      <c r="M314" s="190" t="str">
        <f t="shared" si="4"/>
        <v>No Progress</v>
      </c>
      <c r="N314" s="220" t="s">
        <v>919</v>
      </c>
      <c r="O314" s="229" t="s">
        <v>922</v>
      </c>
      <c r="P314" s="190">
        <f t="shared" si="5"/>
        <v>1</v>
      </c>
      <c r="Q314" s="210">
        <f t="shared" si="6"/>
        <v>1</v>
      </c>
      <c r="R314" s="210">
        <f t="shared" ref="R314:S314" si="634">IF(OR(P314="", P314=0), "",
  IF(P314&lt;=2,   1,
  IF(P314&lt;=4,   2,
  IF(P314&lt;=5.5, 3, 4))))</f>
        <v>1</v>
      </c>
      <c r="S314" s="210">
        <f t="shared" si="634"/>
        <v>1</v>
      </c>
      <c r="T314" s="210" t="str">
        <f t="shared" si="8"/>
        <v>No Progress</v>
      </c>
      <c r="U314" s="210">
        <f t="shared" ref="U314:U319" si="637">IF(COUNTIF($A$2:A314, A314)=1, 1, 0)</f>
        <v>1</v>
      </c>
      <c r="V314" s="210"/>
    </row>
    <row r="315">
      <c r="A315" s="220" t="s">
        <v>259</v>
      </c>
      <c r="B315" s="190" t="s">
        <v>260</v>
      </c>
      <c r="C315" s="223" t="s">
        <v>78</v>
      </c>
      <c r="D315" s="223" t="s">
        <v>871</v>
      </c>
      <c r="E315" s="190" t="s">
        <v>21</v>
      </c>
      <c r="F315" s="13" t="s">
        <v>927</v>
      </c>
      <c r="G315" s="13" t="s">
        <v>927</v>
      </c>
      <c r="H315" s="219">
        <f>IFERROR(
  MINIFS(ATTENDANCE_LOG!$F:$F,
         ATTENDANCE_LOG!$A:$A, C315,
         ATTENDANCE_LOG!$B:$B, E315),
"")</f>
        <v>45638.45833</v>
      </c>
      <c r="I315" s="190">
        <f>IFERROR(VLOOKUP(F315, LEVEL_HELPER!$A:$B, 2, 0), "")</f>
        <v>1</v>
      </c>
      <c r="J315" s="190">
        <f>IFERROR(VLOOKUP(G315, LEVEL_HELPER!$A:$B, 2, 0), "")</f>
        <v>1</v>
      </c>
      <c r="K315" s="190">
        <f t="shared" ref="K315:L315" si="635">IF(OR(I315="", I315=0), "",
  IF(I315&lt;=2,   1,
  IF(I315&lt;=4,   2,
  IF(I315&lt;=5.5, 3, 4))))</f>
        <v>1</v>
      </c>
      <c r="L315" s="190">
        <f t="shared" si="635"/>
        <v>1</v>
      </c>
      <c r="M315" s="190" t="str">
        <f t="shared" si="4"/>
        <v>No Progress</v>
      </c>
      <c r="N315" s="220" t="s">
        <v>945</v>
      </c>
      <c r="O315" s="229" t="s">
        <v>922</v>
      </c>
      <c r="P315" s="190">
        <f t="shared" si="5"/>
        <v>1</v>
      </c>
      <c r="Q315" s="210">
        <f t="shared" si="6"/>
        <v>1</v>
      </c>
      <c r="R315" s="210">
        <f t="shared" ref="R315:S315" si="636">IF(OR(P315="", P315=0), "",
  IF(P315&lt;=2,   1,
  IF(P315&lt;=4,   2,
  IF(P315&lt;=5.5, 3, 4))))</f>
        <v>1</v>
      </c>
      <c r="S315" s="210">
        <f t="shared" si="636"/>
        <v>1</v>
      </c>
      <c r="T315" s="210" t="str">
        <f t="shared" si="8"/>
        <v>No Progress</v>
      </c>
      <c r="U315" s="210">
        <f t="shared" si="637"/>
        <v>1</v>
      </c>
      <c r="V315" s="210"/>
    </row>
    <row r="316">
      <c r="A316" s="220" t="s">
        <v>423</v>
      </c>
      <c r="B316" s="190" t="s">
        <v>424</v>
      </c>
      <c r="C316" s="223" t="s">
        <v>78</v>
      </c>
      <c r="D316" s="223" t="s">
        <v>871</v>
      </c>
      <c r="E316" s="190" t="s">
        <v>21</v>
      </c>
      <c r="F316" s="13" t="s">
        <v>927</v>
      </c>
      <c r="G316" s="13" t="s">
        <v>918</v>
      </c>
      <c r="H316" s="219">
        <f>IFERROR(
  MINIFS(ATTENDANCE_LOG!$F:$F,
         ATTENDANCE_LOG!$A:$A, C316,
         ATTENDANCE_LOG!$B:$B, E316),
"")</f>
        <v>45638.45833</v>
      </c>
      <c r="I316" s="190">
        <f>IFERROR(VLOOKUP(F316, LEVEL_HELPER!$A:$B, 2, 0), "")</f>
        <v>1</v>
      </c>
      <c r="J316" s="190">
        <f>IFERROR(VLOOKUP(G316, LEVEL_HELPER!$A:$B, 2, 0), "")</f>
        <v>3</v>
      </c>
      <c r="K316" s="190">
        <f t="shared" ref="K316:L316" si="638">IF(OR(I316="", I316=0), "",
  IF(I316&lt;=2,   1,
  IF(I316&lt;=4,   2,
  IF(I316&lt;=5.5, 3, 4))))</f>
        <v>1</v>
      </c>
      <c r="L316" s="190">
        <f t="shared" si="638"/>
        <v>2</v>
      </c>
      <c r="M316" s="190" t="str">
        <f t="shared" si="4"/>
        <v>Lv1 → Lv2</v>
      </c>
      <c r="N316" s="220" t="s">
        <v>943</v>
      </c>
      <c r="O316" s="229" t="s">
        <v>922</v>
      </c>
      <c r="P316" s="190">
        <f t="shared" si="5"/>
        <v>1</v>
      </c>
      <c r="Q316" s="210">
        <f t="shared" si="6"/>
        <v>3</v>
      </c>
      <c r="R316" s="210">
        <f t="shared" ref="R316:S316" si="639">IF(OR(P316="", P316=0), "",
  IF(P316&lt;=2,   1,
  IF(P316&lt;=4,   2,
  IF(P316&lt;=5.5, 3, 4))))</f>
        <v>1</v>
      </c>
      <c r="S316" s="210">
        <f t="shared" si="639"/>
        <v>2</v>
      </c>
      <c r="T316" s="210" t="str">
        <f t="shared" si="8"/>
        <v>Lv1 → Lv2</v>
      </c>
      <c r="U316" s="210">
        <f t="shared" si="637"/>
        <v>1</v>
      </c>
      <c r="V316" s="210"/>
    </row>
    <row r="317">
      <c r="A317" s="220" t="s">
        <v>711</v>
      </c>
      <c r="B317" s="190" t="s">
        <v>712</v>
      </c>
      <c r="C317" s="223" t="s">
        <v>78</v>
      </c>
      <c r="D317" s="223" t="s">
        <v>871</v>
      </c>
      <c r="E317" s="190" t="s">
        <v>21</v>
      </c>
      <c r="F317" s="13" t="s">
        <v>917</v>
      </c>
      <c r="G317" s="13" t="s">
        <v>932</v>
      </c>
      <c r="H317" s="219">
        <f>IFERROR(
  MINIFS(ATTENDANCE_LOG!$F:$F,
         ATTENDANCE_LOG!$A:$A, C317,
         ATTENDANCE_LOG!$B:$B, E317),
"")</f>
        <v>45638.45833</v>
      </c>
      <c r="I317" s="190">
        <f>IFERROR(VLOOKUP(F317, LEVEL_HELPER!$A:$B, 2, 0), "")</f>
        <v>2.5</v>
      </c>
      <c r="J317" s="190">
        <f>IFERROR(VLOOKUP(G317, LEVEL_HELPER!$A:$B, 2, 0), "")</f>
        <v>4.5</v>
      </c>
      <c r="K317" s="190">
        <f t="shared" ref="K317:L317" si="640">IF(OR(I317="", I317=0), "",
  IF(I317&lt;=2,   1,
  IF(I317&lt;=4,   2,
  IF(I317&lt;=5.5, 3, 4))))</f>
        <v>2</v>
      </c>
      <c r="L317" s="190">
        <f t="shared" si="640"/>
        <v>3</v>
      </c>
      <c r="M317" s="190" t="str">
        <f t="shared" si="4"/>
        <v>Lv2 → Lv3</v>
      </c>
      <c r="N317" s="220" t="s">
        <v>956</v>
      </c>
      <c r="O317" s="229" t="s">
        <v>922</v>
      </c>
      <c r="P317" s="190">
        <f t="shared" si="5"/>
        <v>2.5</v>
      </c>
      <c r="Q317" s="210">
        <f t="shared" si="6"/>
        <v>4.5</v>
      </c>
      <c r="R317" s="210">
        <f t="shared" ref="R317:S317" si="641">IF(OR(P317="", P317=0), "",
  IF(P317&lt;=2,   1,
  IF(P317&lt;=4,   2,
  IF(P317&lt;=5.5, 3, 4))))</f>
        <v>2</v>
      </c>
      <c r="S317" s="210">
        <f t="shared" si="641"/>
        <v>3</v>
      </c>
      <c r="T317" s="210" t="str">
        <f t="shared" si="8"/>
        <v>Lv2 → Lv3</v>
      </c>
      <c r="U317" s="210">
        <f t="shared" si="637"/>
        <v>1</v>
      </c>
      <c r="V317" s="210"/>
    </row>
    <row r="318">
      <c r="A318" s="220" t="s">
        <v>713</v>
      </c>
      <c r="B318" s="190" t="s">
        <v>714</v>
      </c>
      <c r="C318" s="223" t="s">
        <v>78</v>
      </c>
      <c r="D318" s="223" t="s">
        <v>871</v>
      </c>
      <c r="E318" s="190" t="s">
        <v>21</v>
      </c>
      <c r="F318" s="13" t="s">
        <v>927</v>
      </c>
      <c r="G318" s="190"/>
      <c r="H318" s="219">
        <f>IFERROR(
  MINIFS(ATTENDANCE_LOG!$F:$F,
         ATTENDANCE_LOG!$A:$A, C318,
         ATTENDANCE_LOG!$B:$B, E318),
"")</f>
        <v>45638.45833</v>
      </c>
      <c r="I318" s="190">
        <f>IFERROR(VLOOKUP(F318, LEVEL_HELPER!$A:$B, 2, 0), "")</f>
        <v>1</v>
      </c>
      <c r="J318" s="190" t="str">
        <f>IFERROR(VLOOKUP(G318, LEVEL_HELPER!$A:$B, 2, 0), "")</f>
        <v/>
      </c>
      <c r="K318" s="190">
        <f t="shared" ref="K318:L318" si="642">IF(OR(I318="", I318=0), "",
  IF(I318&lt;=2,   1,
  IF(I318&lt;=4,   2,
  IF(I318&lt;=5.5, 3, 4))))</f>
        <v>1</v>
      </c>
      <c r="L318" s="190" t="str">
        <f t="shared" si="642"/>
        <v/>
      </c>
      <c r="M318" s="190" t="str">
        <f t="shared" si="4"/>
        <v>No Data</v>
      </c>
      <c r="N318" s="220" t="s">
        <v>943</v>
      </c>
      <c r="O318" s="229" t="s">
        <v>922</v>
      </c>
      <c r="P318" s="190">
        <f t="shared" si="5"/>
        <v>1</v>
      </c>
      <c r="Q318" s="210">
        <f t="shared" si="6"/>
        <v>0</v>
      </c>
      <c r="R318" s="210">
        <f t="shared" ref="R318:S318" si="643">IF(OR(P318="", P318=0), "",
  IF(P318&lt;=2,   1,
  IF(P318&lt;=4,   2,
  IF(P318&lt;=5.5, 3, 4))))</f>
        <v>1</v>
      </c>
      <c r="S318" s="210" t="str">
        <f t="shared" si="643"/>
        <v/>
      </c>
      <c r="T318" s="210" t="str">
        <f t="shared" si="8"/>
        <v>No Data</v>
      </c>
      <c r="U318" s="210">
        <f t="shared" si="637"/>
        <v>1</v>
      </c>
      <c r="V318" s="210"/>
    </row>
    <row r="319">
      <c r="A319" s="220" t="s">
        <v>182</v>
      </c>
      <c r="B319" s="190" t="s">
        <v>183</v>
      </c>
      <c r="C319" s="223" t="s">
        <v>78</v>
      </c>
      <c r="D319" s="223" t="s">
        <v>871</v>
      </c>
      <c r="E319" s="190" t="s">
        <v>22</v>
      </c>
      <c r="F319" s="13" t="s">
        <v>927</v>
      </c>
      <c r="G319" s="13" t="s">
        <v>927</v>
      </c>
      <c r="H319" s="219">
        <f>IFERROR(
  MINIFS(ATTENDANCE_LOG!$F:$F,
         ATTENDANCE_LOG!$A:$A, C319,
         ATTENDANCE_LOG!$B:$B, E319),
"")</f>
        <v>0</v>
      </c>
      <c r="I319" s="190">
        <f>IFERROR(VLOOKUP(F319, LEVEL_HELPER!$A:$B, 2, 0), "")</f>
        <v>1</v>
      </c>
      <c r="J319" s="190">
        <f>IFERROR(VLOOKUP(G319, LEVEL_HELPER!$A:$B, 2, 0), "")</f>
        <v>1</v>
      </c>
      <c r="K319" s="190">
        <f t="shared" ref="K319:L319" si="644">IF(OR(I319="", I319=0), "",
  IF(I319&lt;=2,   1,
  IF(I319&lt;=4,   2,
  IF(I319&lt;=5.5, 3, 4))))</f>
        <v>1</v>
      </c>
      <c r="L319" s="190">
        <f t="shared" si="644"/>
        <v>1</v>
      </c>
      <c r="M319" s="190" t="str">
        <f t="shared" si="4"/>
        <v>No Progress</v>
      </c>
      <c r="N319" s="220" t="s">
        <v>919</v>
      </c>
      <c r="O319" s="229" t="s">
        <v>922</v>
      </c>
      <c r="P319" s="190">
        <f t="shared" si="5"/>
        <v>1</v>
      </c>
      <c r="Q319" s="210">
        <f t="shared" si="6"/>
        <v>1</v>
      </c>
      <c r="R319" s="210">
        <f t="shared" ref="R319:S319" si="645">IF(OR(P319="", P319=0), "",
  IF(P319&lt;=2,   1,
  IF(P319&lt;=4,   2,
  IF(P319&lt;=5.5, 3, 4))))</f>
        <v>1</v>
      </c>
      <c r="S319" s="210">
        <f t="shared" si="645"/>
        <v>1</v>
      </c>
      <c r="T319" s="210" t="str">
        <f t="shared" si="8"/>
        <v>No Progress</v>
      </c>
      <c r="U319" s="210">
        <f t="shared" si="637"/>
        <v>0</v>
      </c>
      <c r="V319" s="210"/>
    </row>
    <row r="320">
      <c r="A320" s="220" t="s">
        <v>549</v>
      </c>
      <c r="B320" s="217" t="s">
        <v>550</v>
      </c>
      <c r="C320" s="218" t="s">
        <v>79</v>
      </c>
      <c r="D320" s="218" t="s">
        <v>872</v>
      </c>
      <c r="E320" s="217" t="s">
        <v>21</v>
      </c>
      <c r="F320" s="13" t="s">
        <v>917</v>
      </c>
      <c r="G320" s="13" t="s">
        <v>918</v>
      </c>
      <c r="H320" s="219">
        <f>IFERROR(
  MINIFS(ATTENDANCE_LOG!$F:$F,
         ATTENDANCE_LOG!$A:$A, C320,
         ATTENDANCE_LOG!$B:$B, E320),
"")</f>
        <v>45645.45833</v>
      </c>
      <c r="I320" s="190">
        <f>IFERROR(VLOOKUP(F320, LEVEL_HELPER!$A:$B, 2, 0), "")</f>
        <v>2.5</v>
      </c>
      <c r="J320" s="190">
        <f>IFERROR(VLOOKUP(G320, LEVEL_HELPER!$A:$B, 2, 0), "")</f>
        <v>3</v>
      </c>
      <c r="K320" s="190">
        <f t="shared" ref="K320:L320" si="646">IF(OR(I320="", I320=0), "",
  IF(I320&lt;=2,   1,
  IF(I320&lt;=4,   2,
  IF(I320&lt;=5.5, 3, 4))))</f>
        <v>2</v>
      </c>
      <c r="L320" s="190">
        <f t="shared" si="646"/>
        <v>2</v>
      </c>
      <c r="M320" s="190" t="str">
        <f t="shared" si="4"/>
        <v>Progress within level</v>
      </c>
      <c r="N320" s="220" t="s">
        <v>943</v>
      </c>
      <c r="O320" s="229" t="s">
        <v>922</v>
      </c>
      <c r="P320" s="190">
        <f t="shared" si="5"/>
        <v>2.5</v>
      </c>
      <c r="Q320" s="210">
        <f t="shared" si="6"/>
        <v>3</v>
      </c>
      <c r="R320" s="210">
        <f t="shared" ref="R320:S320" si="647">IF(OR(P320="", P320=0), "",
  IF(P320&lt;=2,   1,
  IF(P320&lt;=4,   2,
  IF(P320&lt;=5.5, 3, 4))))</f>
        <v>2</v>
      </c>
      <c r="S320" s="210">
        <f t="shared" si="647"/>
        <v>2</v>
      </c>
      <c r="T320" s="210" t="str">
        <f t="shared" si="8"/>
        <v>Progress within level</v>
      </c>
      <c r="U320" s="210">
        <f>IF(COUNTIF($A$2:A325, A320)=1, 1, 0)</f>
        <v>1</v>
      </c>
      <c r="V320" s="210"/>
    </row>
    <row r="321">
      <c r="A321" s="220" t="s">
        <v>200</v>
      </c>
      <c r="B321" s="190" t="s">
        <v>201</v>
      </c>
      <c r="C321" s="223" t="s">
        <v>79</v>
      </c>
      <c r="D321" s="223" t="s">
        <v>872</v>
      </c>
      <c r="E321" s="190" t="s">
        <v>21</v>
      </c>
      <c r="F321" s="13" t="s">
        <v>917</v>
      </c>
      <c r="G321" s="13" t="s">
        <v>932</v>
      </c>
      <c r="H321" s="219">
        <f>IFERROR(
  MINIFS(ATTENDANCE_LOG!$F:$F,
         ATTENDANCE_LOG!$A:$A, C321,
         ATTENDANCE_LOG!$B:$B, E321),
"")</f>
        <v>45645.45833</v>
      </c>
      <c r="I321" s="190">
        <f>IFERROR(VLOOKUP(F321, LEVEL_HELPER!$A:$B, 2, 0), "")</f>
        <v>2.5</v>
      </c>
      <c r="J321" s="190">
        <f>IFERROR(VLOOKUP(G321, LEVEL_HELPER!$A:$B, 2, 0), "")</f>
        <v>4.5</v>
      </c>
      <c r="K321" s="190">
        <f t="shared" ref="K321:L321" si="648">IF(OR(I321="", I321=0), "",
  IF(I321&lt;=2,   1,
  IF(I321&lt;=4,   2,
  IF(I321&lt;=5.5, 3, 4))))</f>
        <v>2</v>
      </c>
      <c r="L321" s="190">
        <f t="shared" si="648"/>
        <v>3</v>
      </c>
      <c r="M321" s="190" t="str">
        <f t="shared" si="4"/>
        <v>Lv2 → Lv3</v>
      </c>
      <c r="N321" s="220" t="s">
        <v>943</v>
      </c>
      <c r="O321" s="229" t="s">
        <v>922</v>
      </c>
      <c r="P321" s="190">
        <f t="shared" si="5"/>
        <v>2.5</v>
      </c>
      <c r="Q321" s="210">
        <f t="shared" si="6"/>
        <v>4.5</v>
      </c>
      <c r="R321" s="210">
        <f t="shared" ref="R321:S321" si="649">IF(OR(P321="", P321=0), "",
  IF(P321&lt;=2,   1,
  IF(P321&lt;=4,   2,
  IF(P321&lt;=5.5, 3, 4))))</f>
        <v>2</v>
      </c>
      <c r="S321" s="210">
        <f t="shared" si="649"/>
        <v>3</v>
      </c>
      <c r="T321" s="210" t="str">
        <f t="shared" si="8"/>
        <v>Lv2 → Lv3</v>
      </c>
      <c r="U321" s="210">
        <f t="shared" ref="U321:U325" si="652">IF(COUNTIF($A$2:A321, A321)=1, 1, 0)</f>
        <v>1</v>
      </c>
      <c r="V321" s="210"/>
    </row>
    <row r="322">
      <c r="A322" s="220" t="s">
        <v>214</v>
      </c>
      <c r="B322" s="190" t="s">
        <v>215</v>
      </c>
      <c r="C322" s="223" t="s">
        <v>79</v>
      </c>
      <c r="D322" s="223" t="s">
        <v>872</v>
      </c>
      <c r="E322" s="190" t="s">
        <v>21</v>
      </c>
      <c r="F322" s="13" t="s">
        <v>927</v>
      </c>
      <c r="G322" s="13" t="s">
        <v>929</v>
      </c>
      <c r="H322" s="219">
        <f>IFERROR(
  MINIFS(ATTENDANCE_LOG!$F:$F,
         ATTENDANCE_LOG!$A:$A, C322,
         ATTENDANCE_LOG!$B:$B, E322),
"")</f>
        <v>45645.45833</v>
      </c>
      <c r="I322" s="190">
        <f>IFERROR(VLOOKUP(F322, LEVEL_HELPER!$A:$B, 2, 0), "")</f>
        <v>1</v>
      </c>
      <c r="J322" s="190">
        <f>IFERROR(VLOOKUP(G322, LEVEL_HELPER!$A:$B, 2, 0), "")</f>
        <v>1.5</v>
      </c>
      <c r="K322" s="190">
        <f t="shared" ref="K322:L322" si="650">IF(OR(I322="", I322=0), "",
  IF(I322&lt;=2,   1,
  IF(I322&lt;=4,   2,
  IF(I322&lt;=5.5, 3, 4))))</f>
        <v>1</v>
      </c>
      <c r="L322" s="190">
        <f t="shared" si="650"/>
        <v>1</v>
      </c>
      <c r="M322" s="190" t="str">
        <f t="shared" si="4"/>
        <v>Progress within level</v>
      </c>
      <c r="N322" s="220" t="s">
        <v>943</v>
      </c>
      <c r="O322" s="229" t="s">
        <v>922</v>
      </c>
      <c r="P322" s="190">
        <f t="shared" si="5"/>
        <v>1</v>
      </c>
      <c r="Q322" s="210">
        <f t="shared" si="6"/>
        <v>1.5</v>
      </c>
      <c r="R322" s="210">
        <f t="shared" ref="R322:S322" si="651">IF(OR(P322="", P322=0), "",
  IF(P322&lt;=2,   1,
  IF(P322&lt;=4,   2,
  IF(P322&lt;=5.5, 3, 4))))</f>
        <v>1</v>
      </c>
      <c r="S322" s="210">
        <f t="shared" si="651"/>
        <v>1</v>
      </c>
      <c r="T322" s="210" t="str">
        <f t="shared" si="8"/>
        <v>Progress within level</v>
      </c>
      <c r="U322" s="210">
        <f t="shared" si="652"/>
        <v>1</v>
      </c>
      <c r="V322" s="210"/>
    </row>
    <row r="323">
      <c r="A323" s="220" t="s">
        <v>436</v>
      </c>
      <c r="B323" s="190" t="s">
        <v>437</v>
      </c>
      <c r="C323" s="223" t="s">
        <v>79</v>
      </c>
      <c r="D323" s="223" t="s">
        <v>872</v>
      </c>
      <c r="E323" s="190" t="s">
        <v>21</v>
      </c>
      <c r="F323" s="13" t="s">
        <v>927</v>
      </c>
      <c r="G323" s="13" t="s">
        <v>935</v>
      </c>
      <c r="H323" s="219">
        <f>IFERROR(
  MINIFS(ATTENDANCE_LOG!$F:$F,
         ATTENDANCE_LOG!$A:$A, C323,
         ATTENDANCE_LOG!$B:$B, E323),
"")</f>
        <v>45645.45833</v>
      </c>
      <c r="I323" s="190">
        <f>IFERROR(VLOOKUP(F323, LEVEL_HELPER!$A:$B, 2, 0), "")</f>
        <v>1</v>
      </c>
      <c r="J323" s="190">
        <f>IFERROR(VLOOKUP(G323, LEVEL_HELPER!$A:$B, 2, 0), "")</f>
        <v>3.5</v>
      </c>
      <c r="K323" s="190">
        <f t="shared" ref="K323:L323" si="653">IF(OR(I323="", I323=0), "",
  IF(I323&lt;=2,   1,
  IF(I323&lt;=4,   2,
  IF(I323&lt;=5.5, 3, 4))))</f>
        <v>1</v>
      </c>
      <c r="L323" s="190">
        <f t="shared" si="653"/>
        <v>2</v>
      </c>
      <c r="M323" s="190" t="str">
        <f t="shared" si="4"/>
        <v>Lv1 → Lv2</v>
      </c>
      <c r="N323" s="220" t="s">
        <v>943</v>
      </c>
      <c r="O323" s="229" t="s">
        <v>922</v>
      </c>
      <c r="P323" s="190">
        <f t="shared" si="5"/>
        <v>1</v>
      </c>
      <c r="Q323" s="210">
        <f t="shared" si="6"/>
        <v>3.5</v>
      </c>
      <c r="R323" s="210">
        <f t="shared" ref="R323:S323" si="654">IF(OR(P323="", P323=0), "",
  IF(P323&lt;=2,   1,
  IF(P323&lt;=4,   2,
  IF(P323&lt;=5.5, 3, 4))))</f>
        <v>1</v>
      </c>
      <c r="S323" s="210">
        <f t="shared" si="654"/>
        <v>2</v>
      </c>
      <c r="T323" s="210" t="str">
        <f t="shared" si="8"/>
        <v>Lv1 → Lv2</v>
      </c>
      <c r="U323" s="210">
        <f t="shared" si="652"/>
        <v>1</v>
      </c>
      <c r="V323" s="210"/>
    </row>
    <row r="324">
      <c r="A324" s="220" t="s">
        <v>476</v>
      </c>
      <c r="B324" s="190" t="s">
        <v>477</v>
      </c>
      <c r="C324" s="223" t="s">
        <v>79</v>
      </c>
      <c r="D324" s="223" t="s">
        <v>872</v>
      </c>
      <c r="E324" s="190" t="s">
        <v>21</v>
      </c>
      <c r="F324" s="13" t="s">
        <v>927</v>
      </c>
      <c r="G324" s="13" t="s">
        <v>927</v>
      </c>
      <c r="H324" s="219">
        <f>IFERROR(
  MINIFS(ATTENDANCE_LOG!$F:$F,
         ATTENDANCE_LOG!$A:$A, C324,
         ATTENDANCE_LOG!$B:$B, E324),
"")</f>
        <v>45645.45833</v>
      </c>
      <c r="I324" s="190">
        <f>IFERROR(VLOOKUP(F324, LEVEL_HELPER!$A:$B, 2, 0), "")</f>
        <v>1</v>
      </c>
      <c r="J324" s="190">
        <f>IFERROR(VLOOKUP(G324, LEVEL_HELPER!$A:$B, 2, 0), "")</f>
        <v>1</v>
      </c>
      <c r="K324" s="190">
        <f t="shared" ref="K324:L324" si="655">IF(OR(I324="", I324=0), "",
  IF(I324&lt;=2,   1,
  IF(I324&lt;=4,   2,
  IF(I324&lt;=5.5, 3, 4))))</f>
        <v>1</v>
      </c>
      <c r="L324" s="190">
        <f t="shared" si="655"/>
        <v>1</v>
      </c>
      <c r="M324" s="190" t="str">
        <f t="shared" si="4"/>
        <v>No Progress</v>
      </c>
      <c r="N324" s="220" t="s">
        <v>943</v>
      </c>
      <c r="O324" s="229" t="s">
        <v>922</v>
      </c>
      <c r="P324" s="190">
        <f t="shared" si="5"/>
        <v>1</v>
      </c>
      <c r="Q324" s="210">
        <f t="shared" si="6"/>
        <v>1</v>
      </c>
      <c r="R324" s="210">
        <f t="shared" ref="R324:S324" si="656">IF(OR(P324="", P324=0), "",
  IF(P324&lt;=2,   1,
  IF(P324&lt;=4,   2,
  IF(P324&lt;=5.5, 3, 4))))</f>
        <v>1</v>
      </c>
      <c r="S324" s="210">
        <f t="shared" si="656"/>
        <v>1</v>
      </c>
      <c r="T324" s="210" t="str">
        <f t="shared" si="8"/>
        <v>No Progress</v>
      </c>
      <c r="U324" s="210">
        <f t="shared" si="652"/>
        <v>1</v>
      </c>
      <c r="V324" s="210"/>
    </row>
    <row r="325">
      <c r="A325" s="220" t="s">
        <v>488</v>
      </c>
      <c r="B325" s="190" t="s">
        <v>489</v>
      </c>
      <c r="C325" s="223" t="s">
        <v>79</v>
      </c>
      <c r="D325" s="223" t="s">
        <v>872</v>
      </c>
      <c r="E325" s="190" t="s">
        <v>21</v>
      </c>
      <c r="F325" s="13" t="s">
        <v>917</v>
      </c>
      <c r="G325" s="13" t="s">
        <v>929</v>
      </c>
      <c r="H325" s="219">
        <f>IFERROR(
  MINIFS(ATTENDANCE_LOG!$F:$F,
         ATTENDANCE_LOG!$A:$A, C325,
         ATTENDANCE_LOG!$B:$B, E325),
"")</f>
        <v>45645.45833</v>
      </c>
      <c r="I325" s="190">
        <f>IFERROR(VLOOKUP(F325, LEVEL_HELPER!$A:$B, 2, 0), "")</f>
        <v>2.5</v>
      </c>
      <c r="J325" s="190">
        <f>IFERROR(VLOOKUP(G325, LEVEL_HELPER!$A:$B, 2, 0), "")</f>
        <v>1.5</v>
      </c>
      <c r="K325" s="190">
        <f t="shared" ref="K325:L325" si="657">IF(OR(I325="", I325=0), "",
  IF(I325&lt;=2,   1,
  IF(I325&lt;=4,   2,
  IF(I325&lt;=5.5, 3, 4))))</f>
        <v>2</v>
      </c>
      <c r="L325" s="190">
        <f t="shared" si="657"/>
        <v>1</v>
      </c>
      <c r="M325" s="190" t="str">
        <f t="shared" si="4"/>
        <v>Regressed</v>
      </c>
      <c r="N325" s="229" t="s">
        <v>919</v>
      </c>
      <c r="O325" s="229" t="s">
        <v>922</v>
      </c>
      <c r="P325" s="190">
        <f t="shared" si="5"/>
        <v>2.5</v>
      </c>
      <c r="Q325" s="210">
        <f t="shared" si="6"/>
        <v>1.5</v>
      </c>
      <c r="R325" s="210">
        <f t="shared" ref="R325:S325" si="658">IF(OR(P325="", P325=0), "",
  IF(P325&lt;=2,   1,
  IF(P325&lt;=4,   2,
  IF(P325&lt;=5.5, 3, 4))))</f>
        <v>2</v>
      </c>
      <c r="S325" s="210">
        <f t="shared" si="658"/>
        <v>1</v>
      </c>
      <c r="T325" s="210" t="str">
        <f t="shared" si="8"/>
        <v>Regressed</v>
      </c>
      <c r="U325" s="210">
        <f t="shared" si="652"/>
        <v>1</v>
      </c>
      <c r="V325" s="210"/>
    </row>
    <row r="326">
      <c r="A326" s="220" t="s">
        <v>661</v>
      </c>
      <c r="B326" s="217" t="s">
        <v>662</v>
      </c>
      <c r="C326" s="218" t="s">
        <v>80</v>
      </c>
      <c r="D326" s="218" t="s">
        <v>873</v>
      </c>
      <c r="E326" s="217" t="s">
        <v>21</v>
      </c>
      <c r="F326" s="13" t="s">
        <v>917</v>
      </c>
      <c r="G326" s="190"/>
      <c r="H326" s="219">
        <f>IFERROR(
  MINIFS(ATTENDANCE_LOG!$F:$F,
         ATTENDANCE_LOG!$A:$A, C326,
         ATTENDANCE_LOG!$B:$B, E326),
"")</f>
        <v>45646.41667</v>
      </c>
      <c r="I326" s="190">
        <f>IFERROR(VLOOKUP(F326, LEVEL_HELPER!$A:$B, 2, 0), "")</f>
        <v>2.5</v>
      </c>
      <c r="J326" s="190" t="str">
        <f>IFERROR(VLOOKUP(G326, LEVEL_HELPER!$A:$B, 2, 0), "")</f>
        <v/>
      </c>
      <c r="K326" s="190">
        <f t="shared" ref="K326:L326" si="659">IF(OR(I326="", I326=0), "",
  IF(I326&lt;=2,   1,
  IF(I326&lt;=4,   2,
  IF(I326&lt;=5.5, 3, 4))))</f>
        <v>2</v>
      </c>
      <c r="L326" s="190" t="str">
        <f t="shared" si="659"/>
        <v/>
      </c>
      <c r="M326" s="190" t="str">
        <f t="shared" si="4"/>
        <v>No Data</v>
      </c>
      <c r="N326" s="220" t="s">
        <v>942</v>
      </c>
      <c r="O326" s="229" t="s">
        <v>922</v>
      </c>
      <c r="P326" s="190">
        <f t="shared" si="5"/>
        <v>2.5</v>
      </c>
      <c r="Q326" s="210">
        <f t="shared" si="6"/>
        <v>0</v>
      </c>
      <c r="R326" s="210">
        <f t="shared" ref="R326:S326" si="660">IF(OR(P326="", P326=0), "",
  IF(P326&lt;=2,   1,
  IF(P326&lt;=4,   2,
  IF(P326&lt;=5.5, 3, 4))))</f>
        <v>2</v>
      </c>
      <c r="S326" s="210" t="str">
        <f t="shared" si="660"/>
        <v/>
      </c>
      <c r="T326" s="210" t="str">
        <f t="shared" si="8"/>
        <v>No Data</v>
      </c>
      <c r="U326" s="210">
        <f>IF(COUNTIF($A$2:A330, A326)=1, 1, 0)</f>
        <v>1</v>
      </c>
      <c r="V326" s="210"/>
    </row>
    <row r="327">
      <c r="A327" s="220" t="s">
        <v>157</v>
      </c>
      <c r="B327" s="190" t="s">
        <v>158</v>
      </c>
      <c r="C327" s="223" t="s">
        <v>80</v>
      </c>
      <c r="D327" s="223" t="s">
        <v>873</v>
      </c>
      <c r="E327" s="190" t="s">
        <v>21</v>
      </c>
      <c r="F327" s="13" t="s">
        <v>927</v>
      </c>
      <c r="G327" s="190"/>
      <c r="H327" s="219">
        <f>IFERROR(
  MINIFS(ATTENDANCE_LOG!$F:$F,
         ATTENDANCE_LOG!$A:$A, C327,
         ATTENDANCE_LOG!$B:$B, E327),
"")</f>
        <v>45646.41667</v>
      </c>
      <c r="I327" s="190">
        <f>IFERROR(VLOOKUP(F327, LEVEL_HELPER!$A:$B, 2, 0), "")</f>
        <v>1</v>
      </c>
      <c r="J327" s="190" t="str">
        <f>IFERROR(VLOOKUP(G327, LEVEL_HELPER!$A:$B, 2, 0), "")</f>
        <v/>
      </c>
      <c r="K327" s="190">
        <f t="shared" ref="K327:L327" si="661">IF(OR(I327="", I327=0), "",
  IF(I327&lt;=2,   1,
  IF(I327&lt;=4,   2,
  IF(I327&lt;=5.5, 3, 4))))</f>
        <v>1</v>
      </c>
      <c r="L327" s="190" t="str">
        <f t="shared" si="661"/>
        <v/>
      </c>
      <c r="M327" s="190" t="str">
        <f t="shared" si="4"/>
        <v>No Data</v>
      </c>
      <c r="N327" s="220" t="s">
        <v>919</v>
      </c>
      <c r="O327" s="229" t="s">
        <v>922</v>
      </c>
      <c r="P327" s="190">
        <f t="shared" si="5"/>
        <v>1</v>
      </c>
      <c r="Q327" s="210">
        <f t="shared" si="6"/>
        <v>0</v>
      </c>
      <c r="R327" s="210">
        <f t="shared" ref="R327:S327" si="662">IF(OR(P327="", P327=0), "",
  IF(P327&lt;=2,   1,
  IF(P327&lt;=4,   2,
  IF(P327&lt;=5.5, 3, 4))))</f>
        <v>1</v>
      </c>
      <c r="S327" s="210" t="str">
        <f t="shared" si="662"/>
        <v/>
      </c>
      <c r="T327" s="210" t="str">
        <f t="shared" si="8"/>
        <v>No Data</v>
      </c>
      <c r="U327" s="210">
        <f t="shared" ref="U327:U336" si="665">IF(COUNTIF($A$2:A327, A327)=1, 1, 0)</f>
        <v>1</v>
      </c>
      <c r="V327" s="210"/>
    </row>
    <row r="328">
      <c r="A328" s="220" t="s">
        <v>194</v>
      </c>
      <c r="B328" s="190" t="s">
        <v>195</v>
      </c>
      <c r="C328" s="223" t="s">
        <v>80</v>
      </c>
      <c r="D328" s="223" t="s">
        <v>873</v>
      </c>
      <c r="E328" s="190" t="s">
        <v>21</v>
      </c>
      <c r="F328" s="13" t="s">
        <v>927</v>
      </c>
      <c r="G328" s="190"/>
      <c r="H328" s="219">
        <f>IFERROR(
  MINIFS(ATTENDANCE_LOG!$F:$F,
         ATTENDANCE_LOG!$A:$A, C328,
         ATTENDANCE_LOG!$B:$B, E328),
"")</f>
        <v>45646.41667</v>
      </c>
      <c r="I328" s="190">
        <f>IFERROR(VLOOKUP(F328, LEVEL_HELPER!$A:$B, 2, 0), "")</f>
        <v>1</v>
      </c>
      <c r="J328" s="190" t="str">
        <f>IFERROR(VLOOKUP(G328, LEVEL_HELPER!$A:$B, 2, 0), "")</f>
        <v/>
      </c>
      <c r="K328" s="190">
        <f t="shared" ref="K328:L328" si="663">IF(OR(I328="", I328=0), "",
  IF(I328&lt;=2,   1,
  IF(I328&lt;=4,   2,
  IF(I328&lt;=5.5, 3, 4))))</f>
        <v>1</v>
      </c>
      <c r="L328" s="190" t="str">
        <f t="shared" si="663"/>
        <v/>
      </c>
      <c r="M328" s="190" t="str">
        <f t="shared" si="4"/>
        <v>No Data</v>
      </c>
      <c r="N328" s="220" t="s">
        <v>943</v>
      </c>
      <c r="O328" s="229" t="s">
        <v>922</v>
      </c>
      <c r="P328" s="190">
        <f t="shared" si="5"/>
        <v>1</v>
      </c>
      <c r="Q328" s="210">
        <f t="shared" si="6"/>
        <v>0</v>
      </c>
      <c r="R328" s="210">
        <f t="shared" ref="R328:S328" si="664">IF(OR(P328="", P328=0), "",
  IF(P328&lt;=2,   1,
  IF(P328&lt;=4,   2,
  IF(P328&lt;=5.5, 3, 4))))</f>
        <v>1</v>
      </c>
      <c r="S328" s="210" t="str">
        <f t="shared" si="664"/>
        <v/>
      </c>
      <c r="T328" s="210" t="str">
        <f t="shared" si="8"/>
        <v>No Data</v>
      </c>
      <c r="U328" s="210">
        <f t="shared" si="665"/>
        <v>1</v>
      </c>
      <c r="V328" s="210"/>
    </row>
    <row r="329">
      <c r="A329" s="220" t="s">
        <v>457</v>
      </c>
      <c r="B329" s="190" t="s">
        <v>458</v>
      </c>
      <c r="C329" s="223" t="s">
        <v>80</v>
      </c>
      <c r="D329" s="223" t="s">
        <v>873</v>
      </c>
      <c r="E329" s="190" t="s">
        <v>21</v>
      </c>
      <c r="F329" s="13" t="s">
        <v>917</v>
      </c>
      <c r="G329" s="190"/>
      <c r="H329" s="219">
        <f>IFERROR(
  MINIFS(ATTENDANCE_LOG!$F:$F,
         ATTENDANCE_LOG!$A:$A, C329,
         ATTENDANCE_LOG!$B:$B, E329),
"")</f>
        <v>45646.41667</v>
      </c>
      <c r="I329" s="190">
        <f>IFERROR(VLOOKUP(F329, LEVEL_HELPER!$A:$B, 2, 0), "")</f>
        <v>2.5</v>
      </c>
      <c r="J329" s="190" t="str">
        <f>IFERROR(VLOOKUP(G329, LEVEL_HELPER!$A:$B, 2, 0), "")</f>
        <v/>
      </c>
      <c r="K329" s="190">
        <f t="shared" ref="K329:L329" si="666">IF(OR(I329="", I329=0), "",
  IF(I329&lt;=2,   1,
  IF(I329&lt;=4,   2,
  IF(I329&lt;=5.5, 3, 4))))</f>
        <v>2</v>
      </c>
      <c r="L329" s="190" t="str">
        <f t="shared" si="666"/>
        <v/>
      </c>
      <c r="M329" s="190" t="str">
        <f t="shared" si="4"/>
        <v>No Data</v>
      </c>
      <c r="N329" s="220" t="s">
        <v>919</v>
      </c>
      <c r="O329" s="229" t="s">
        <v>922</v>
      </c>
      <c r="P329" s="190">
        <f t="shared" si="5"/>
        <v>2.5</v>
      </c>
      <c r="Q329" s="210">
        <f t="shared" si="6"/>
        <v>0</v>
      </c>
      <c r="R329" s="210">
        <f t="shared" ref="R329:S329" si="667">IF(OR(P329="", P329=0), "",
  IF(P329&lt;=2,   1,
  IF(P329&lt;=4,   2,
  IF(P329&lt;=5.5, 3, 4))))</f>
        <v>2</v>
      </c>
      <c r="S329" s="210" t="str">
        <f t="shared" si="667"/>
        <v/>
      </c>
      <c r="T329" s="210" t="str">
        <f t="shared" si="8"/>
        <v>No Data</v>
      </c>
      <c r="U329" s="210">
        <f t="shared" si="665"/>
        <v>1</v>
      </c>
      <c r="V329" s="210"/>
    </row>
    <row r="330">
      <c r="A330" s="220" t="s">
        <v>541</v>
      </c>
      <c r="B330" s="190" t="s">
        <v>542</v>
      </c>
      <c r="C330" s="223" t="s">
        <v>80</v>
      </c>
      <c r="D330" s="223" t="s">
        <v>873</v>
      </c>
      <c r="E330" s="190" t="s">
        <v>21</v>
      </c>
      <c r="F330" s="13" t="s">
        <v>927</v>
      </c>
      <c r="G330" s="190"/>
      <c r="H330" s="219">
        <f>IFERROR(
  MINIFS(ATTENDANCE_LOG!$F:$F,
         ATTENDANCE_LOG!$A:$A, C330,
         ATTENDANCE_LOG!$B:$B, E330),
"")</f>
        <v>45646.41667</v>
      </c>
      <c r="I330" s="190">
        <f>IFERROR(VLOOKUP(F330, LEVEL_HELPER!$A:$B, 2, 0), "")</f>
        <v>1</v>
      </c>
      <c r="J330" s="190" t="str">
        <f>IFERROR(VLOOKUP(G330, LEVEL_HELPER!$A:$B, 2, 0), "")</f>
        <v/>
      </c>
      <c r="K330" s="190">
        <f t="shared" ref="K330:L330" si="668">IF(OR(I330="", I330=0), "",
  IF(I330&lt;=2,   1,
  IF(I330&lt;=4,   2,
  IF(I330&lt;=5.5, 3, 4))))</f>
        <v>1</v>
      </c>
      <c r="L330" s="190" t="str">
        <f t="shared" si="668"/>
        <v/>
      </c>
      <c r="M330" s="190" t="str">
        <f t="shared" si="4"/>
        <v>No Data</v>
      </c>
      <c r="N330" s="220" t="s">
        <v>942</v>
      </c>
      <c r="O330" s="229" t="s">
        <v>922</v>
      </c>
      <c r="P330" s="190">
        <f t="shared" si="5"/>
        <v>1</v>
      </c>
      <c r="Q330" s="210">
        <f t="shared" si="6"/>
        <v>0</v>
      </c>
      <c r="R330" s="210">
        <f t="shared" ref="R330:S330" si="669">IF(OR(P330="", P330=0), "",
  IF(P330&lt;=2,   1,
  IF(P330&lt;=4,   2,
  IF(P330&lt;=5.5, 3, 4))))</f>
        <v>1</v>
      </c>
      <c r="S330" s="210" t="str">
        <f t="shared" si="669"/>
        <v/>
      </c>
      <c r="T330" s="210" t="str">
        <f t="shared" si="8"/>
        <v>No Data</v>
      </c>
      <c r="U330" s="210">
        <f t="shared" si="665"/>
        <v>1</v>
      </c>
      <c r="V330" s="210"/>
    </row>
    <row r="331">
      <c r="A331" s="220" t="s">
        <v>703</v>
      </c>
      <c r="B331" s="190" t="s">
        <v>704</v>
      </c>
      <c r="C331" s="223" t="s">
        <v>80</v>
      </c>
      <c r="D331" s="223" t="s">
        <v>873</v>
      </c>
      <c r="E331" s="190" t="s">
        <v>21</v>
      </c>
      <c r="F331" s="13" t="s">
        <v>927</v>
      </c>
      <c r="G331" s="190"/>
      <c r="H331" s="219">
        <f>IFERROR(
  MINIFS(ATTENDANCE_LOG!$F:$F,
         ATTENDANCE_LOG!$A:$A, C331,
         ATTENDANCE_LOG!$B:$B, E331),
"")</f>
        <v>45646.41667</v>
      </c>
      <c r="I331" s="190">
        <f>IFERROR(VLOOKUP(F331, LEVEL_HELPER!$A:$B, 2, 0), "")</f>
        <v>1</v>
      </c>
      <c r="J331" s="190" t="str">
        <f>IFERROR(VLOOKUP(G331, LEVEL_HELPER!$A:$B, 2, 0), "")</f>
        <v/>
      </c>
      <c r="K331" s="190">
        <f t="shared" ref="K331:L331" si="670">IF(OR(I331="", I331=0), "",
  IF(I331&lt;=2,   1,
  IF(I331&lt;=4,   2,
  IF(I331&lt;=5.5, 3, 4))))</f>
        <v>1</v>
      </c>
      <c r="L331" s="190" t="str">
        <f t="shared" si="670"/>
        <v/>
      </c>
      <c r="M331" s="190" t="str">
        <f t="shared" si="4"/>
        <v>No Data</v>
      </c>
      <c r="N331" s="220" t="s">
        <v>943</v>
      </c>
      <c r="O331" s="229" t="s">
        <v>922</v>
      </c>
      <c r="P331" s="190">
        <f t="shared" si="5"/>
        <v>1</v>
      </c>
      <c r="Q331" s="210">
        <f t="shared" si="6"/>
        <v>0</v>
      </c>
      <c r="R331" s="210">
        <f t="shared" ref="R331:S331" si="671">IF(OR(P331="", P331=0), "",
  IF(P331&lt;=2,   1,
  IF(P331&lt;=4,   2,
  IF(P331&lt;=5.5, 3, 4))))</f>
        <v>1</v>
      </c>
      <c r="S331" s="210" t="str">
        <f t="shared" si="671"/>
        <v/>
      </c>
      <c r="T331" s="210" t="str">
        <f t="shared" si="8"/>
        <v>No Data</v>
      </c>
      <c r="U331" s="210">
        <f t="shared" si="665"/>
        <v>1</v>
      </c>
      <c r="V331" s="210"/>
    </row>
    <row r="332">
      <c r="A332" s="220" t="s">
        <v>707</v>
      </c>
      <c r="B332" s="190" t="s">
        <v>708</v>
      </c>
      <c r="C332" s="223" t="s">
        <v>80</v>
      </c>
      <c r="D332" s="223" t="s">
        <v>873</v>
      </c>
      <c r="E332" s="190" t="s">
        <v>21</v>
      </c>
      <c r="F332" s="13" t="s">
        <v>927</v>
      </c>
      <c r="G332" s="190"/>
      <c r="H332" s="219">
        <f>IFERROR(
  MINIFS(ATTENDANCE_LOG!$F:$F,
         ATTENDANCE_LOG!$A:$A, C332,
         ATTENDANCE_LOG!$B:$B, E332),
"")</f>
        <v>45646.41667</v>
      </c>
      <c r="I332" s="190">
        <f>IFERROR(VLOOKUP(F332, LEVEL_HELPER!$A:$B, 2, 0), "")</f>
        <v>1</v>
      </c>
      <c r="J332" s="190" t="str">
        <f>IFERROR(VLOOKUP(G332, LEVEL_HELPER!$A:$B, 2, 0), "")</f>
        <v/>
      </c>
      <c r="K332" s="190">
        <f t="shared" ref="K332:L332" si="672">IF(OR(I332="", I332=0), "",
  IF(I332&lt;=2,   1,
  IF(I332&lt;=4,   2,
  IF(I332&lt;=5.5, 3, 4))))</f>
        <v>1</v>
      </c>
      <c r="L332" s="190" t="str">
        <f t="shared" si="672"/>
        <v/>
      </c>
      <c r="M332" s="190" t="str">
        <f t="shared" si="4"/>
        <v>No Data</v>
      </c>
      <c r="N332" s="220" t="s">
        <v>942</v>
      </c>
      <c r="O332" s="229" t="s">
        <v>922</v>
      </c>
      <c r="P332" s="190">
        <f t="shared" si="5"/>
        <v>1</v>
      </c>
      <c r="Q332" s="210">
        <f t="shared" si="6"/>
        <v>0</v>
      </c>
      <c r="R332" s="210">
        <f t="shared" ref="R332:S332" si="673">IF(OR(P332="", P332=0), "",
  IF(P332&lt;=2,   1,
  IF(P332&lt;=4,   2,
  IF(P332&lt;=5.5, 3, 4))))</f>
        <v>1</v>
      </c>
      <c r="S332" s="210" t="str">
        <f t="shared" si="673"/>
        <v/>
      </c>
      <c r="T332" s="210" t="str">
        <f t="shared" si="8"/>
        <v>No Data</v>
      </c>
      <c r="U332" s="210">
        <f t="shared" si="665"/>
        <v>1</v>
      </c>
      <c r="V332" s="210"/>
    </row>
    <row r="333">
      <c r="A333" s="220" t="s">
        <v>512</v>
      </c>
      <c r="B333" s="217" t="s">
        <v>513</v>
      </c>
      <c r="C333" s="218" t="s">
        <v>81</v>
      </c>
      <c r="D333" s="218" t="s">
        <v>874</v>
      </c>
      <c r="E333" s="217" t="s">
        <v>21</v>
      </c>
      <c r="F333" s="13" t="s">
        <v>927</v>
      </c>
      <c r="G333" s="13" t="s">
        <v>917</v>
      </c>
      <c r="H333" s="219">
        <f>IFERROR(
  MINIFS(ATTENDANCE_LOG!$F:$F,
         ATTENDANCE_LOG!$A:$A, C333,
         ATTENDANCE_LOG!$B:$B, E333),
"")</f>
        <v>45765.41667</v>
      </c>
      <c r="I333" s="190">
        <f>IFERROR(VLOOKUP(F333, LEVEL_HELPER!$A:$B, 2, 0), "")</f>
        <v>1</v>
      </c>
      <c r="J333" s="190">
        <f>IFERROR(VLOOKUP(G333, LEVEL_HELPER!$A:$B, 2, 0), "")</f>
        <v>2.5</v>
      </c>
      <c r="K333" s="190">
        <f t="shared" ref="K333:L333" si="674">IF(OR(I333="", I333=0), "",
  IF(I333&lt;=2,   1,
  IF(I333&lt;=4,   2,
  IF(I333&lt;=5.5, 3, 4))))</f>
        <v>1</v>
      </c>
      <c r="L333" s="190">
        <f t="shared" si="674"/>
        <v>2</v>
      </c>
      <c r="M333" s="190" t="str">
        <f t="shared" si="4"/>
        <v>Lv1 → Lv2</v>
      </c>
      <c r="N333" s="220" t="s">
        <v>943</v>
      </c>
      <c r="O333" s="220" t="s">
        <v>924</v>
      </c>
      <c r="P333" s="190">
        <f t="shared" si="5"/>
        <v>1</v>
      </c>
      <c r="Q333" s="210">
        <f t="shared" si="6"/>
        <v>2.5</v>
      </c>
      <c r="R333" s="210">
        <f t="shared" ref="R333:S333" si="675">IF(OR(P333="", P333=0), "",
  IF(P333&lt;=2,   1,
  IF(P333&lt;=4,   2,
  IF(P333&lt;=5.5, 3, 4))))</f>
        <v>1</v>
      </c>
      <c r="S333" s="210">
        <f t="shared" si="675"/>
        <v>2</v>
      </c>
      <c r="T333" s="210" t="str">
        <f t="shared" si="8"/>
        <v>Lv1 → Lv2</v>
      </c>
      <c r="U333" s="210">
        <f t="shared" si="665"/>
        <v>1</v>
      </c>
      <c r="V333" s="210"/>
    </row>
    <row r="334">
      <c r="A334" s="220" t="s">
        <v>524</v>
      </c>
      <c r="B334" s="190" t="s">
        <v>525</v>
      </c>
      <c r="C334" s="223" t="s">
        <v>81</v>
      </c>
      <c r="D334" s="223" t="s">
        <v>874</v>
      </c>
      <c r="E334" s="190" t="s">
        <v>21</v>
      </c>
      <c r="F334" s="13" t="s">
        <v>25</v>
      </c>
      <c r="G334" s="13" t="s">
        <v>929</v>
      </c>
      <c r="H334" s="219">
        <f>IFERROR(
  MINIFS(ATTENDANCE_LOG!$F:$F,
         ATTENDANCE_LOG!$A:$A, C334,
         ATTENDANCE_LOG!$B:$B, E334),
"")</f>
        <v>45765.41667</v>
      </c>
      <c r="I334" s="190">
        <f>IFERROR(VLOOKUP(F334, LEVEL_HELPER!$A:$B, 2, 0), "")</f>
        <v>0.5</v>
      </c>
      <c r="J334" s="190">
        <f>IFERROR(VLOOKUP(G334, LEVEL_HELPER!$A:$B, 2, 0), "")</f>
        <v>1.5</v>
      </c>
      <c r="K334" s="190">
        <f t="shared" ref="K334:L334" si="676">IF(OR(I334="", I334=0), "",
  IF(I334&lt;=2,   1,
  IF(I334&lt;=4,   2,
  IF(I334&lt;=5.5, 3, 4))))</f>
        <v>1</v>
      </c>
      <c r="L334" s="190">
        <f t="shared" si="676"/>
        <v>1</v>
      </c>
      <c r="M334" s="190" t="str">
        <f t="shared" si="4"/>
        <v>Progress within level</v>
      </c>
      <c r="N334" s="220" t="s">
        <v>943</v>
      </c>
      <c r="O334" s="220" t="s">
        <v>924</v>
      </c>
      <c r="P334" s="190">
        <f t="shared" si="5"/>
        <v>0.5</v>
      </c>
      <c r="Q334" s="210">
        <f t="shared" si="6"/>
        <v>3.5</v>
      </c>
      <c r="R334" s="210">
        <f t="shared" ref="R334:S334" si="677">IF(OR(P334="", P334=0), "",
  IF(P334&lt;=2,   1,
  IF(P334&lt;=4,   2,
  IF(P334&lt;=5.5, 3, 4))))</f>
        <v>1</v>
      </c>
      <c r="S334" s="210">
        <f t="shared" si="677"/>
        <v>2</v>
      </c>
      <c r="T334" s="210" t="str">
        <f t="shared" si="8"/>
        <v>Lv1 → Lv2</v>
      </c>
      <c r="U334" s="210">
        <f t="shared" si="665"/>
        <v>1</v>
      </c>
      <c r="V334" s="210"/>
    </row>
    <row r="335">
      <c r="A335" s="220" t="s">
        <v>530</v>
      </c>
      <c r="B335" s="190" t="s">
        <v>531</v>
      </c>
      <c r="C335" s="223" t="s">
        <v>81</v>
      </c>
      <c r="D335" s="223" t="s">
        <v>874</v>
      </c>
      <c r="E335" s="190" t="s">
        <v>21</v>
      </c>
      <c r="F335" s="13" t="s">
        <v>927</v>
      </c>
      <c r="G335" s="13" t="s">
        <v>918</v>
      </c>
      <c r="H335" s="219">
        <f>IFERROR(
  MINIFS(ATTENDANCE_LOG!$F:$F,
         ATTENDANCE_LOG!$A:$A, C335,
         ATTENDANCE_LOG!$B:$B, E335),
"")</f>
        <v>45765.41667</v>
      </c>
      <c r="I335" s="190">
        <f>IFERROR(VLOOKUP(F335, LEVEL_HELPER!$A:$B, 2, 0), "")</f>
        <v>1</v>
      </c>
      <c r="J335" s="190">
        <f>IFERROR(VLOOKUP(G335, LEVEL_HELPER!$A:$B, 2, 0), "")</f>
        <v>3</v>
      </c>
      <c r="K335" s="190">
        <f t="shared" ref="K335:L335" si="678">IF(OR(I335="", I335=0), "",
  IF(I335&lt;=2,   1,
  IF(I335&lt;=4,   2,
  IF(I335&lt;=5.5, 3, 4))))</f>
        <v>1</v>
      </c>
      <c r="L335" s="190">
        <f t="shared" si="678"/>
        <v>2</v>
      </c>
      <c r="M335" s="190" t="str">
        <f t="shared" si="4"/>
        <v>Lv1 → Lv2</v>
      </c>
      <c r="N335" s="220" t="s">
        <v>943</v>
      </c>
      <c r="O335" s="220" t="s">
        <v>924</v>
      </c>
      <c r="P335" s="190">
        <f t="shared" si="5"/>
        <v>1</v>
      </c>
      <c r="Q335" s="210">
        <f t="shared" si="6"/>
        <v>5</v>
      </c>
      <c r="R335" s="210">
        <f t="shared" ref="R335:S335" si="679">IF(OR(P335="", P335=0), "",
  IF(P335&lt;=2,   1,
  IF(P335&lt;=4,   2,
  IF(P335&lt;=5.5, 3, 4))))</f>
        <v>1</v>
      </c>
      <c r="S335" s="210">
        <f t="shared" si="679"/>
        <v>3</v>
      </c>
      <c r="T335" s="210" t="str">
        <f t="shared" si="8"/>
        <v>Lv1 → Lv3 (multi)</v>
      </c>
      <c r="U335" s="210">
        <f t="shared" si="665"/>
        <v>1</v>
      </c>
      <c r="V335" s="210"/>
    </row>
    <row r="336">
      <c r="A336" s="220" t="s">
        <v>621</v>
      </c>
      <c r="B336" s="190" t="s">
        <v>622</v>
      </c>
      <c r="C336" s="223" t="s">
        <v>81</v>
      </c>
      <c r="D336" s="223" t="s">
        <v>874</v>
      </c>
      <c r="E336" s="190" t="s">
        <v>21</v>
      </c>
      <c r="F336" s="13" t="s">
        <v>927</v>
      </c>
      <c r="G336" s="13" t="s">
        <v>935</v>
      </c>
      <c r="H336" s="219">
        <f>IFERROR(
  MINIFS(ATTENDANCE_LOG!$F:$F,
         ATTENDANCE_LOG!$A:$A, C336,
         ATTENDANCE_LOG!$B:$B, E336),
"")</f>
        <v>45765.41667</v>
      </c>
      <c r="I336" s="190">
        <f>IFERROR(VLOOKUP(F336, LEVEL_HELPER!$A:$B, 2, 0), "")</f>
        <v>1</v>
      </c>
      <c r="J336" s="190">
        <f>IFERROR(VLOOKUP(G336, LEVEL_HELPER!$A:$B, 2, 0), "")</f>
        <v>3.5</v>
      </c>
      <c r="K336" s="190">
        <f t="shared" ref="K336:L336" si="680">IF(OR(I336="", I336=0), "",
  IF(I336&lt;=2,   1,
  IF(I336&lt;=4,   2,
  IF(I336&lt;=5.5, 3, 4))))</f>
        <v>1</v>
      </c>
      <c r="L336" s="190">
        <f t="shared" si="680"/>
        <v>2</v>
      </c>
      <c r="M336" s="190" t="str">
        <f t="shared" si="4"/>
        <v>Lv1 → Lv2</v>
      </c>
      <c r="N336" s="220" t="s">
        <v>943</v>
      </c>
      <c r="O336" s="220" t="s">
        <v>924</v>
      </c>
      <c r="P336" s="190">
        <f t="shared" si="5"/>
        <v>1</v>
      </c>
      <c r="Q336" s="210">
        <f t="shared" si="6"/>
        <v>5</v>
      </c>
      <c r="R336" s="210">
        <f t="shared" ref="R336:S336" si="681">IF(OR(P336="", P336=0), "",
  IF(P336&lt;=2,   1,
  IF(P336&lt;=4,   2,
  IF(P336&lt;=5.5, 3, 4))))</f>
        <v>1</v>
      </c>
      <c r="S336" s="210">
        <f t="shared" si="681"/>
        <v>3</v>
      </c>
      <c r="T336" s="210" t="str">
        <f t="shared" si="8"/>
        <v>Lv1 → Lv3 (multi)</v>
      </c>
      <c r="U336" s="210">
        <f t="shared" si="665"/>
        <v>1</v>
      </c>
      <c r="V336" s="210"/>
    </row>
    <row r="337">
      <c r="A337" s="220" t="s">
        <v>526</v>
      </c>
      <c r="B337" s="217" t="s">
        <v>527</v>
      </c>
      <c r="C337" s="218" t="s">
        <v>82</v>
      </c>
      <c r="D337" s="218" t="s">
        <v>875</v>
      </c>
      <c r="E337" s="217" t="s">
        <v>21</v>
      </c>
      <c r="F337" s="13" t="s">
        <v>927</v>
      </c>
      <c r="G337" s="13" t="s">
        <v>927</v>
      </c>
      <c r="H337" s="219">
        <f>IFERROR(
  MINIFS(ATTENDANCE_LOG!$F:$F,
         ATTENDANCE_LOG!$A:$A, C337,
         ATTENDANCE_LOG!$B:$B, E337),
"")</f>
        <v>45765.58333</v>
      </c>
      <c r="I337" s="190">
        <f>IFERROR(VLOOKUP(F337, LEVEL_HELPER!$A:$B, 2, 0), "")</f>
        <v>1</v>
      </c>
      <c r="J337" s="190">
        <f>IFERROR(VLOOKUP(G337, LEVEL_HELPER!$A:$B, 2, 0), "")</f>
        <v>1</v>
      </c>
      <c r="K337" s="190">
        <f t="shared" ref="K337:L337" si="682">IF(OR(I337="", I337=0), "",
  IF(I337&lt;=2,   1,
  IF(I337&lt;=4,   2,
  IF(I337&lt;=5.5, 3, 4))))</f>
        <v>1</v>
      </c>
      <c r="L337" s="190">
        <f t="shared" si="682"/>
        <v>1</v>
      </c>
      <c r="M337" s="190" t="str">
        <f t="shared" si="4"/>
        <v>No Progress</v>
      </c>
      <c r="N337" s="220" t="s">
        <v>943</v>
      </c>
      <c r="O337" s="220" t="s">
        <v>924</v>
      </c>
      <c r="P337" s="190">
        <f t="shared" si="5"/>
        <v>1</v>
      </c>
      <c r="Q337" s="210">
        <f t="shared" si="6"/>
        <v>3</v>
      </c>
      <c r="R337" s="210">
        <f t="shared" ref="R337:S337" si="683">IF(OR(P337="", P337=0), "",
  IF(P337&lt;=2,   1,
  IF(P337&lt;=4,   2,
  IF(P337&lt;=5.5, 3, 4))))</f>
        <v>1</v>
      </c>
      <c r="S337" s="210">
        <f t="shared" si="683"/>
        <v>2</v>
      </c>
      <c r="T337" s="210" t="str">
        <f t="shared" si="8"/>
        <v>Lv1 → Lv2</v>
      </c>
      <c r="U337" s="210">
        <f>IF(COUNTIF($A$2:A341, A337)=1, 1, 0)</f>
        <v>1</v>
      </c>
      <c r="V337" s="210"/>
    </row>
    <row r="338">
      <c r="A338" s="220" t="s">
        <v>271</v>
      </c>
      <c r="B338" s="190" t="s">
        <v>272</v>
      </c>
      <c r="C338" s="223" t="s">
        <v>82</v>
      </c>
      <c r="D338" s="223" t="s">
        <v>875</v>
      </c>
      <c r="E338" s="190" t="s">
        <v>21</v>
      </c>
      <c r="F338" s="13" t="s">
        <v>927</v>
      </c>
      <c r="G338" s="13" t="s">
        <v>927</v>
      </c>
      <c r="H338" s="219">
        <f>IFERROR(
  MINIFS(ATTENDANCE_LOG!$F:$F,
         ATTENDANCE_LOG!$A:$A, C338,
         ATTENDANCE_LOG!$B:$B, E338),
"")</f>
        <v>45765.58333</v>
      </c>
      <c r="I338" s="190">
        <f>IFERROR(VLOOKUP(F338, LEVEL_HELPER!$A:$B, 2, 0), "")</f>
        <v>1</v>
      </c>
      <c r="J338" s="190">
        <f>IFERROR(VLOOKUP(G338, LEVEL_HELPER!$A:$B, 2, 0), "")</f>
        <v>1</v>
      </c>
      <c r="K338" s="190">
        <f t="shared" ref="K338:L338" si="684">IF(OR(I338="", I338=0), "",
  IF(I338&lt;=2,   1,
  IF(I338&lt;=4,   2,
  IF(I338&lt;=5.5, 3, 4))))</f>
        <v>1</v>
      </c>
      <c r="L338" s="190">
        <f t="shared" si="684"/>
        <v>1</v>
      </c>
      <c r="M338" s="190" t="str">
        <f t="shared" si="4"/>
        <v>No Progress</v>
      </c>
      <c r="N338" s="220" t="s">
        <v>943</v>
      </c>
      <c r="O338" s="220" t="s">
        <v>926</v>
      </c>
      <c r="P338" s="190">
        <f t="shared" si="5"/>
        <v>1</v>
      </c>
      <c r="Q338" s="210">
        <f t="shared" si="6"/>
        <v>1</v>
      </c>
      <c r="R338" s="210">
        <f t="shared" ref="R338:S338" si="685">IF(OR(P338="", P338=0), "",
  IF(P338&lt;=2,   1,
  IF(P338&lt;=4,   2,
  IF(P338&lt;=5.5, 3, 4))))</f>
        <v>1</v>
      </c>
      <c r="S338" s="210">
        <f t="shared" si="685"/>
        <v>1</v>
      </c>
      <c r="T338" s="210" t="str">
        <f t="shared" si="8"/>
        <v>No Progress</v>
      </c>
      <c r="U338" s="210">
        <f t="shared" ref="U338:U341" si="688">IF(COUNTIF($A$2:A338, A338)=1, 1, 0)</f>
        <v>1</v>
      </c>
      <c r="V338" s="210"/>
    </row>
    <row r="339">
      <c r="A339" s="220" t="s">
        <v>279</v>
      </c>
      <c r="B339" s="190" t="s">
        <v>280</v>
      </c>
      <c r="C339" s="223" t="s">
        <v>82</v>
      </c>
      <c r="D339" s="223" t="s">
        <v>875</v>
      </c>
      <c r="E339" s="190" t="s">
        <v>21</v>
      </c>
      <c r="F339" s="13" t="s">
        <v>927</v>
      </c>
      <c r="G339" s="13" t="s">
        <v>918</v>
      </c>
      <c r="H339" s="219">
        <f>IFERROR(
  MINIFS(ATTENDANCE_LOG!$F:$F,
         ATTENDANCE_LOG!$A:$A, C339,
         ATTENDANCE_LOG!$B:$B, E339),
"")</f>
        <v>45765.58333</v>
      </c>
      <c r="I339" s="190">
        <f>IFERROR(VLOOKUP(F339, LEVEL_HELPER!$A:$B, 2, 0), "")</f>
        <v>1</v>
      </c>
      <c r="J339" s="190">
        <f>IFERROR(VLOOKUP(G339, LEVEL_HELPER!$A:$B, 2, 0), "")</f>
        <v>3</v>
      </c>
      <c r="K339" s="190">
        <f t="shared" ref="K339:L339" si="686">IF(OR(I339="", I339=0), "",
  IF(I339&lt;=2,   1,
  IF(I339&lt;=4,   2,
  IF(I339&lt;=5.5, 3, 4))))</f>
        <v>1</v>
      </c>
      <c r="L339" s="190">
        <f t="shared" si="686"/>
        <v>2</v>
      </c>
      <c r="M339" s="190" t="str">
        <f t="shared" si="4"/>
        <v>Lv1 → Lv2</v>
      </c>
      <c r="N339" s="220" t="s">
        <v>943</v>
      </c>
      <c r="O339" s="220" t="s">
        <v>924</v>
      </c>
      <c r="P339" s="190">
        <f t="shared" si="5"/>
        <v>1</v>
      </c>
      <c r="Q339" s="210">
        <f t="shared" si="6"/>
        <v>3</v>
      </c>
      <c r="R339" s="210">
        <f t="shared" ref="R339:S339" si="687">IF(OR(P339="", P339=0), "",
  IF(P339&lt;=2,   1,
  IF(P339&lt;=4,   2,
  IF(P339&lt;=5.5, 3, 4))))</f>
        <v>1</v>
      </c>
      <c r="S339" s="210">
        <f t="shared" si="687"/>
        <v>2</v>
      </c>
      <c r="T339" s="210" t="str">
        <f t="shared" si="8"/>
        <v>Lv1 → Lv2</v>
      </c>
      <c r="U339" s="210">
        <f t="shared" si="688"/>
        <v>1</v>
      </c>
      <c r="V339" s="210"/>
    </row>
    <row r="340">
      <c r="A340" s="220" t="s">
        <v>300</v>
      </c>
      <c r="B340" s="190" t="s">
        <v>301</v>
      </c>
      <c r="C340" s="223" t="s">
        <v>82</v>
      </c>
      <c r="D340" s="223" t="s">
        <v>875</v>
      </c>
      <c r="E340" s="190" t="s">
        <v>21</v>
      </c>
      <c r="F340" s="13" t="s">
        <v>927</v>
      </c>
      <c r="G340" s="13" t="s">
        <v>918</v>
      </c>
      <c r="H340" s="219">
        <f>IFERROR(
  MINIFS(ATTENDANCE_LOG!$F:$F,
         ATTENDANCE_LOG!$A:$A, C340,
         ATTENDANCE_LOG!$B:$B, E340),
"")</f>
        <v>45765.58333</v>
      </c>
      <c r="I340" s="190">
        <f>IFERROR(VLOOKUP(F340, LEVEL_HELPER!$A:$B, 2, 0), "")</f>
        <v>1</v>
      </c>
      <c r="J340" s="190">
        <f>IFERROR(VLOOKUP(G340, LEVEL_HELPER!$A:$B, 2, 0), "")</f>
        <v>3</v>
      </c>
      <c r="K340" s="190">
        <f t="shared" ref="K340:L340" si="689">IF(OR(I340="", I340=0), "",
  IF(I340&lt;=2,   1,
  IF(I340&lt;=4,   2,
  IF(I340&lt;=5.5, 3, 4))))</f>
        <v>1</v>
      </c>
      <c r="L340" s="190">
        <f t="shared" si="689"/>
        <v>2</v>
      </c>
      <c r="M340" s="190" t="str">
        <f t="shared" si="4"/>
        <v>Lv1 → Lv2</v>
      </c>
      <c r="N340" s="220" t="s">
        <v>943</v>
      </c>
      <c r="O340" s="220" t="s">
        <v>924</v>
      </c>
      <c r="P340" s="190">
        <f t="shared" si="5"/>
        <v>1</v>
      </c>
      <c r="Q340" s="210">
        <f t="shared" si="6"/>
        <v>5</v>
      </c>
      <c r="R340" s="210">
        <f t="shared" ref="R340:S340" si="690">IF(OR(P340="", P340=0), "",
  IF(P340&lt;=2,   1,
  IF(P340&lt;=4,   2,
  IF(P340&lt;=5.5, 3, 4))))</f>
        <v>1</v>
      </c>
      <c r="S340" s="210">
        <f t="shared" si="690"/>
        <v>3</v>
      </c>
      <c r="T340" s="210" t="str">
        <f t="shared" si="8"/>
        <v>Lv1 → Lv3 (multi)</v>
      </c>
      <c r="U340" s="210">
        <f t="shared" si="688"/>
        <v>1</v>
      </c>
      <c r="V340" s="210"/>
    </row>
    <row r="341">
      <c r="A341" s="220" t="s">
        <v>350</v>
      </c>
      <c r="B341" s="190" t="s">
        <v>351</v>
      </c>
      <c r="C341" s="223" t="s">
        <v>82</v>
      </c>
      <c r="D341" s="223" t="s">
        <v>875</v>
      </c>
      <c r="E341" s="190" t="s">
        <v>21</v>
      </c>
      <c r="F341" s="13" t="s">
        <v>927</v>
      </c>
      <c r="G341" s="13" t="s">
        <v>927</v>
      </c>
      <c r="H341" s="219">
        <f>IFERROR(
  MINIFS(ATTENDANCE_LOG!$F:$F,
         ATTENDANCE_LOG!$A:$A, C341,
         ATTENDANCE_LOG!$B:$B, E341),
"")</f>
        <v>45765.58333</v>
      </c>
      <c r="I341" s="190">
        <f>IFERROR(VLOOKUP(F341, LEVEL_HELPER!$A:$B, 2, 0), "")</f>
        <v>1</v>
      </c>
      <c r="J341" s="190">
        <f>IFERROR(VLOOKUP(G341, LEVEL_HELPER!$A:$B, 2, 0), "")</f>
        <v>1</v>
      </c>
      <c r="K341" s="190">
        <f t="shared" ref="K341:L341" si="691">IF(OR(I341="", I341=0), "",
  IF(I341&lt;=2,   1,
  IF(I341&lt;=4,   2,
  IF(I341&lt;=5.5, 3, 4))))</f>
        <v>1</v>
      </c>
      <c r="L341" s="190">
        <f t="shared" si="691"/>
        <v>1</v>
      </c>
      <c r="M341" s="190" t="str">
        <f t="shared" si="4"/>
        <v>No Progress</v>
      </c>
      <c r="N341" s="220" t="s">
        <v>943</v>
      </c>
      <c r="O341" s="220" t="s">
        <v>924</v>
      </c>
      <c r="P341" s="190">
        <f t="shared" si="5"/>
        <v>1</v>
      </c>
      <c r="Q341" s="210">
        <f t="shared" si="6"/>
        <v>1</v>
      </c>
      <c r="R341" s="210">
        <f t="shared" ref="R341:S341" si="692">IF(OR(P341="", P341=0), "",
  IF(P341&lt;=2,   1,
  IF(P341&lt;=4,   2,
  IF(P341&lt;=5.5, 3, 4))))</f>
        <v>1</v>
      </c>
      <c r="S341" s="210">
        <f t="shared" si="692"/>
        <v>1</v>
      </c>
      <c r="T341" s="210" t="str">
        <f t="shared" si="8"/>
        <v>No Progress</v>
      </c>
      <c r="U341" s="210">
        <f t="shared" si="688"/>
        <v>1</v>
      </c>
      <c r="V341" s="210"/>
    </row>
    <row r="342">
      <c r="A342" s="220" t="s">
        <v>526</v>
      </c>
      <c r="B342" s="217" t="s">
        <v>527</v>
      </c>
      <c r="C342" s="218" t="s">
        <v>82</v>
      </c>
      <c r="D342" s="218" t="s">
        <v>875</v>
      </c>
      <c r="E342" s="217" t="s">
        <v>22</v>
      </c>
      <c r="F342" s="13" t="s">
        <v>927</v>
      </c>
      <c r="G342" s="13" t="s">
        <v>918</v>
      </c>
      <c r="H342" s="219">
        <f>IFERROR(
  MINIFS(ATTENDANCE_LOG!$F:$F,
         ATTENDANCE_LOG!$A:$A, C342,
         ATTENDANCE_LOG!$B:$B, E342),
"")</f>
        <v>45881.54167</v>
      </c>
      <c r="I342" s="190">
        <f>IFERROR(VLOOKUP(F342, LEVEL_HELPER!$A:$B, 2, 0), "")</f>
        <v>1</v>
      </c>
      <c r="J342" s="190">
        <f>IFERROR(VLOOKUP(G342, LEVEL_HELPER!$A:$B, 2, 0), "")</f>
        <v>3</v>
      </c>
      <c r="K342" s="190">
        <f t="shared" ref="K342:L342" si="693">IF(OR(I342="", I342=0), "",
  IF(I342&lt;=2,   1,
  IF(I342&lt;=4,   2,
  IF(I342&lt;=5.5, 3, 4))))</f>
        <v>1</v>
      </c>
      <c r="L342" s="190">
        <f t="shared" si="693"/>
        <v>2</v>
      </c>
      <c r="M342" s="190" t="str">
        <f t="shared" si="4"/>
        <v>Lv1 → Lv2</v>
      </c>
      <c r="N342" s="220" t="s">
        <v>943</v>
      </c>
      <c r="O342" s="220" t="s">
        <v>924</v>
      </c>
      <c r="P342" s="190">
        <f t="shared" si="5"/>
        <v>1</v>
      </c>
      <c r="Q342" s="210">
        <f t="shared" si="6"/>
        <v>3</v>
      </c>
      <c r="R342" s="210">
        <f t="shared" ref="R342:S342" si="694">IF(OR(P342="", P342=0), "",
  IF(P342&lt;=2,   1,
  IF(P342&lt;=4,   2,
  IF(P342&lt;=5.5, 3, 4))))</f>
        <v>1</v>
      </c>
      <c r="S342" s="210">
        <f t="shared" si="694"/>
        <v>2</v>
      </c>
      <c r="T342" s="210" t="str">
        <f t="shared" si="8"/>
        <v>Lv1 → Lv2</v>
      </c>
      <c r="U342" s="210">
        <f>IF(COUNTIF($A$2:A347, A342)=1, 1, 0)</f>
        <v>0</v>
      </c>
      <c r="V342" s="210"/>
    </row>
    <row r="343">
      <c r="A343" s="220" t="s">
        <v>271</v>
      </c>
      <c r="B343" s="190" t="s">
        <v>272</v>
      </c>
      <c r="C343" s="223" t="s">
        <v>82</v>
      </c>
      <c r="D343" s="223" t="s">
        <v>875</v>
      </c>
      <c r="E343" s="190" t="s">
        <v>22</v>
      </c>
      <c r="F343" s="13" t="s">
        <v>927</v>
      </c>
      <c r="G343" s="190"/>
      <c r="H343" s="219">
        <f>IFERROR(
  MINIFS(ATTENDANCE_LOG!$F:$F,
         ATTENDANCE_LOG!$A:$A, C343,
         ATTENDANCE_LOG!$B:$B, E343),
"")</f>
        <v>45881.54167</v>
      </c>
      <c r="I343" s="190">
        <f>IFERROR(VLOOKUP(F343, LEVEL_HELPER!$A:$B, 2, 0), "")</f>
        <v>1</v>
      </c>
      <c r="J343" s="190" t="str">
        <f>IFERROR(VLOOKUP(G343, LEVEL_HELPER!$A:$B, 2, 0), "")</f>
        <v/>
      </c>
      <c r="K343" s="190">
        <f t="shared" ref="K343:L343" si="695">IF(OR(I343="", I343=0), "",
  IF(I343&lt;=2,   1,
  IF(I343&lt;=4,   2,
  IF(I343&lt;=5.5, 3, 4))))</f>
        <v>1</v>
      </c>
      <c r="L343" s="190" t="str">
        <f t="shared" si="695"/>
        <v/>
      </c>
      <c r="M343" s="190" t="str">
        <f t="shared" si="4"/>
        <v>No Data</v>
      </c>
      <c r="N343" s="220" t="s">
        <v>943</v>
      </c>
      <c r="O343" s="220" t="s">
        <v>926</v>
      </c>
      <c r="P343" s="190">
        <f t="shared" si="5"/>
        <v>1</v>
      </c>
      <c r="Q343" s="210">
        <f t="shared" si="6"/>
        <v>1</v>
      </c>
      <c r="R343" s="210">
        <f t="shared" ref="R343:S343" si="696">IF(OR(P343="", P343=0), "",
  IF(P343&lt;=2,   1,
  IF(P343&lt;=4,   2,
  IF(P343&lt;=5.5, 3, 4))))</f>
        <v>1</v>
      </c>
      <c r="S343" s="210">
        <f t="shared" si="696"/>
        <v>1</v>
      </c>
      <c r="T343" s="210" t="str">
        <f t="shared" si="8"/>
        <v>No Progress</v>
      </c>
      <c r="U343" s="210">
        <f t="shared" ref="U343:U365" si="699">IF(COUNTIF($A$2:A343, A343)=1, 1, 0)</f>
        <v>0</v>
      </c>
      <c r="V343" s="210"/>
    </row>
    <row r="344">
      <c r="A344" s="220" t="s">
        <v>279</v>
      </c>
      <c r="B344" s="190" t="s">
        <v>280</v>
      </c>
      <c r="C344" s="223" t="s">
        <v>82</v>
      </c>
      <c r="D344" s="223" t="s">
        <v>875</v>
      </c>
      <c r="E344" s="190" t="s">
        <v>22</v>
      </c>
      <c r="F344" s="13" t="s">
        <v>918</v>
      </c>
      <c r="G344" s="190"/>
      <c r="H344" s="219">
        <f>IFERROR(
  MINIFS(ATTENDANCE_LOG!$F:$F,
         ATTENDANCE_LOG!$A:$A, C344,
         ATTENDANCE_LOG!$B:$B, E344),
"")</f>
        <v>45881.54167</v>
      </c>
      <c r="I344" s="190">
        <f>IFERROR(VLOOKUP(F344, LEVEL_HELPER!$A:$B, 2, 0), "")</f>
        <v>3</v>
      </c>
      <c r="J344" s="190" t="str">
        <f>IFERROR(VLOOKUP(G344, LEVEL_HELPER!$A:$B, 2, 0), "")</f>
        <v/>
      </c>
      <c r="K344" s="190">
        <f t="shared" ref="K344:L344" si="697">IF(OR(I344="", I344=0), "",
  IF(I344&lt;=2,   1,
  IF(I344&lt;=4,   2,
  IF(I344&lt;=5.5, 3, 4))))</f>
        <v>2</v>
      </c>
      <c r="L344" s="190" t="str">
        <f t="shared" si="697"/>
        <v/>
      </c>
      <c r="M344" s="190" t="str">
        <f t="shared" si="4"/>
        <v>No Data</v>
      </c>
      <c r="N344" s="220" t="s">
        <v>943</v>
      </c>
      <c r="O344" s="220" t="s">
        <v>924</v>
      </c>
      <c r="P344" s="190">
        <f t="shared" si="5"/>
        <v>1</v>
      </c>
      <c r="Q344" s="210">
        <f t="shared" si="6"/>
        <v>3</v>
      </c>
      <c r="R344" s="210">
        <f t="shared" ref="R344:S344" si="698">IF(OR(P344="", P344=0), "",
  IF(P344&lt;=2,   1,
  IF(P344&lt;=4,   2,
  IF(P344&lt;=5.5, 3, 4))))</f>
        <v>1</v>
      </c>
      <c r="S344" s="210">
        <f t="shared" si="698"/>
        <v>2</v>
      </c>
      <c r="T344" s="210" t="str">
        <f t="shared" si="8"/>
        <v>Lv1 → Lv2</v>
      </c>
      <c r="U344" s="210">
        <f t="shared" si="699"/>
        <v>0</v>
      </c>
      <c r="V344" s="210"/>
    </row>
    <row r="345">
      <c r="A345" s="220" t="s">
        <v>300</v>
      </c>
      <c r="B345" s="190" t="s">
        <v>301</v>
      </c>
      <c r="C345" s="223" t="s">
        <v>82</v>
      </c>
      <c r="D345" s="223" t="s">
        <v>875</v>
      </c>
      <c r="E345" s="190" t="s">
        <v>22</v>
      </c>
      <c r="F345" s="13" t="s">
        <v>918</v>
      </c>
      <c r="G345" s="13" t="s">
        <v>941</v>
      </c>
      <c r="H345" s="219">
        <f>IFERROR(
  MINIFS(ATTENDANCE_LOG!$F:$F,
         ATTENDANCE_LOG!$A:$A, C345,
         ATTENDANCE_LOG!$B:$B, E345),
"")</f>
        <v>45881.54167</v>
      </c>
      <c r="I345" s="190">
        <f>IFERROR(VLOOKUP(F345, LEVEL_HELPER!$A:$B, 2, 0), "")</f>
        <v>3</v>
      </c>
      <c r="J345" s="190">
        <f>IFERROR(VLOOKUP(G345, LEVEL_HELPER!$A:$B, 2, 0), "")</f>
        <v>5</v>
      </c>
      <c r="K345" s="190">
        <f t="shared" ref="K345:L345" si="700">IF(OR(I345="", I345=0), "",
  IF(I345&lt;=2,   1,
  IF(I345&lt;=4,   2,
  IF(I345&lt;=5.5, 3, 4))))</f>
        <v>2</v>
      </c>
      <c r="L345" s="190">
        <f t="shared" si="700"/>
        <v>3</v>
      </c>
      <c r="M345" s="190" t="str">
        <f t="shared" si="4"/>
        <v>Lv2 → Lv3</v>
      </c>
      <c r="N345" s="220" t="s">
        <v>943</v>
      </c>
      <c r="O345" s="220" t="s">
        <v>924</v>
      </c>
      <c r="P345" s="190">
        <f t="shared" si="5"/>
        <v>1</v>
      </c>
      <c r="Q345" s="210">
        <f t="shared" si="6"/>
        <v>5</v>
      </c>
      <c r="R345" s="210">
        <f t="shared" ref="R345:S345" si="701">IF(OR(P345="", P345=0), "",
  IF(P345&lt;=2,   1,
  IF(P345&lt;=4,   2,
  IF(P345&lt;=5.5, 3, 4))))</f>
        <v>1</v>
      </c>
      <c r="S345" s="210">
        <f t="shared" si="701"/>
        <v>3</v>
      </c>
      <c r="T345" s="210" t="str">
        <f t="shared" si="8"/>
        <v>Lv1 → Lv3 (multi)</v>
      </c>
      <c r="U345" s="210">
        <f t="shared" si="699"/>
        <v>0</v>
      </c>
      <c r="V345" s="210"/>
    </row>
    <row r="346">
      <c r="A346" s="220" t="s">
        <v>309</v>
      </c>
      <c r="B346" s="190" t="s">
        <v>310</v>
      </c>
      <c r="C346" s="223" t="s">
        <v>82</v>
      </c>
      <c r="D346" s="223" t="s">
        <v>875</v>
      </c>
      <c r="E346" s="190" t="s">
        <v>22</v>
      </c>
      <c r="F346" s="13" t="s">
        <v>929</v>
      </c>
      <c r="G346" s="13" t="s">
        <v>941</v>
      </c>
      <c r="H346" s="219">
        <f>IFERROR(
  MINIFS(ATTENDANCE_LOG!$F:$F,
         ATTENDANCE_LOG!$A:$A, C346,
         ATTENDANCE_LOG!$B:$B, E346),
"")</f>
        <v>45881.54167</v>
      </c>
      <c r="I346" s="190">
        <f>IFERROR(VLOOKUP(F346, LEVEL_HELPER!$A:$B, 2, 0), "")</f>
        <v>1.5</v>
      </c>
      <c r="J346" s="190">
        <f>IFERROR(VLOOKUP(G346, LEVEL_HELPER!$A:$B, 2, 0), "")</f>
        <v>5</v>
      </c>
      <c r="K346" s="190">
        <f t="shared" ref="K346:L346" si="702">IF(OR(I346="", I346=0), "",
  IF(I346&lt;=2,   1,
  IF(I346&lt;=4,   2,
  IF(I346&lt;=5.5, 3, 4))))</f>
        <v>1</v>
      </c>
      <c r="L346" s="190">
        <f t="shared" si="702"/>
        <v>3</v>
      </c>
      <c r="M346" s="190" t="str">
        <f t="shared" si="4"/>
        <v>Lv1 → Lv3 (+2)</v>
      </c>
      <c r="N346" s="220" t="s">
        <v>943</v>
      </c>
      <c r="O346" s="220" t="s">
        <v>924</v>
      </c>
      <c r="P346" s="190">
        <f t="shared" si="5"/>
        <v>1</v>
      </c>
      <c r="Q346" s="210">
        <f t="shared" si="6"/>
        <v>5</v>
      </c>
      <c r="R346" s="210">
        <f t="shared" ref="R346:S346" si="703">IF(OR(P346="", P346=0), "",
  IF(P346&lt;=2,   1,
  IF(P346&lt;=4,   2,
  IF(P346&lt;=5.5, 3, 4))))</f>
        <v>1</v>
      </c>
      <c r="S346" s="210">
        <f t="shared" si="703"/>
        <v>3</v>
      </c>
      <c r="T346" s="210" t="str">
        <f t="shared" si="8"/>
        <v>Lv1 → Lv3 (multi)</v>
      </c>
      <c r="U346" s="210">
        <f t="shared" si="699"/>
        <v>0</v>
      </c>
      <c r="V346" s="210"/>
    </row>
    <row r="347">
      <c r="A347" s="220" t="s">
        <v>332</v>
      </c>
      <c r="B347" s="190" t="s">
        <v>333</v>
      </c>
      <c r="C347" s="223" t="s">
        <v>82</v>
      </c>
      <c r="D347" s="223" t="s">
        <v>875</v>
      </c>
      <c r="E347" s="190" t="s">
        <v>22</v>
      </c>
      <c r="F347" s="13" t="s">
        <v>918</v>
      </c>
      <c r="G347" s="13" t="s">
        <v>941</v>
      </c>
      <c r="H347" s="219">
        <f>IFERROR(
  MINIFS(ATTENDANCE_LOG!$F:$F,
         ATTENDANCE_LOG!$A:$A, C347,
         ATTENDANCE_LOG!$B:$B, E347),
"")</f>
        <v>45881.54167</v>
      </c>
      <c r="I347" s="190">
        <f>IFERROR(VLOOKUP(F347, LEVEL_HELPER!$A:$B, 2, 0), "")</f>
        <v>3</v>
      </c>
      <c r="J347" s="190">
        <f>IFERROR(VLOOKUP(G347, LEVEL_HELPER!$A:$B, 2, 0), "")</f>
        <v>5</v>
      </c>
      <c r="K347" s="190">
        <f t="shared" ref="K347:L347" si="704">IF(OR(I347="", I347=0), "",
  IF(I347&lt;=2,   1,
  IF(I347&lt;=4,   2,
  IF(I347&lt;=5.5, 3, 4))))</f>
        <v>2</v>
      </c>
      <c r="L347" s="190">
        <f t="shared" si="704"/>
        <v>3</v>
      </c>
      <c r="M347" s="190" t="str">
        <f t="shared" si="4"/>
        <v>Lv2 → Lv3</v>
      </c>
      <c r="N347" s="220" t="s">
        <v>943</v>
      </c>
      <c r="O347" s="220" t="s">
        <v>924</v>
      </c>
      <c r="P347" s="190">
        <f t="shared" si="5"/>
        <v>1</v>
      </c>
      <c r="Q347" s="210">
        <f t="shared" si="6"/>
        <v>5</v>
      </c>
      <c r="R347" s="210">
        <f t="shared" ref="R347:S347" si="705">IF(OR(P347="", P347=0), "",
  IF(P347&lt;=2,   1,
  IF(P347&lt;=4,   2,
  IF(P347&lt;=5.5, 3, 4))))</f>
        <v>1</v>
      </c>
      <c r="S347" s="210">
        <f t="shared" si="705"/>
        <v>3</v>
      </c>
      <c r="T347" s="210" t="str">
        <f t="shared" si="8"/>
        <v>Lv1 → Lv3 (multi)</v>
      </c>
      <c r="U347" s="210">
        <f t="shared" si="699"/>
        <v>0</v>
      </c>
      <c r="V347" s="210"/>
    </row>
    <row r="348">
      <c r="A348" s="220" t="s">
        <v>562</v>
      </c>
      <c r="B348" s="190" t="s">
        <v>563</v>
      </c>
      <c r="C348" s="223" t="s">
        <v>82</v>
      </c>
      <c r="D348" s="223" t="s">
        <v>875</v>
      </c>
      <c r="E348" s="190" t="s">
        <v>22</v>
      </c>
      <c r="F348" s="13" t="s">
        <v>918</v>
      </c>
      <c r="G348" s="13" t="s">
        <v>935</v>
      </c>
      <c r="H348" s="219">
        <f>IFERROR(
  MINIFS(ATTENDANCE_LOG!$F:$F,
         ATTENDANCE_LOG!$A:$A, C348,
         ATTENDANCE_LOG!$B:$B, E348),
"")</f>
        <v>45881.54167</v>
      </c>
      <c r="I348" s="190">
        <f>IFERROR(VLOOKUP(F348, LEVEL_HELPER!$A:$B, 2, 0), "")</f>
        <v>3</v>
      </c>
      <c r="J348" s="190">
        <f>IFERROR(VLOOKUP(G348, LEVEL_HELPER!$A:$B, 2, 0), "")</f>
        <v>3.5</v>
      </c>
      <c r="K348" s="190">
        <f t="shared" ref="K348:L348" si="706">IF(OR(I348="", I348=0), "",
  IF(I348&lt;=2,   1,
  IF(I348&lt;=4,   2,
  IF(I348&lt;=5.5, 3, 4))))</f>
        <v>2</v>
      </c>
      <c r="L348" s="190">
        <f t="shared" si="706"/>
        <v>2</v>
      </c>
      <c r="M348" s="190" t="str">
        <f t="shared" si="4"/>
        <v>Progress within level</v>
      </c>
      <c r="N348" s="220" t="s">
        <v>943</v>
      </c>
      <c r="O348" s="220" t="s">
        <v>924</v>
      </c>
      <c r="P348" s="190">
        <f t="shared" si="5"/>
        <v>1</v>
      </c>
      <c r="Q348" s="210">
        <f t="shared" si="6"/>
        <v>3.5</v>
      </c>
      <c r="R348" s="210">
        <f t="shared" ref="R348:S348" si="707">IF(OR(P348="", P348=0), "",
  IF(P348&lt;=2,   1,
  IF(P348&lt;=4,   2,
  IF(P348&lt;=5.5, 3, 4))))</f>
        <v>1</v>
      </c>
      <c r="S348" s="210">
        <f t="shared" si="707"/>
        <v>2</v>
      </c>
      <c r="T348" s="210" t="str">
        <f t="shared" si="8"/>
        <v>Lv1 → Lv2</v>
      </c>
      <c r="U348" s="210">
        <f t="shared" si="699"/>
        <v>0</v>
      </c>
      <c r="V348" s="210"/>
    </row>
    <row r="349">
      <c r="A349" s="220" t="s">
        <v>693</v>
      </c>
      <c r="B349" s="190" t="s">
        <v>694</v>
      </c>
      <c r="C349" s="223" t="s">
        <v>82</v>
      </c>
      <c r="D349" s="223" t="s">
        <v>875</v>
      </c>
      <c r="E349" s="190" t="s">
        <v>22</v>
      </c>
      <c r="F349" s="13" t="s">
        <v>918</v>
      </c>
      <c r="G349" s="13" t="s">
        <v>935</v>
      </c>
      <c r="H349" s="219">
        <f>IFERROR(
  MINIFS(ATTENDANCE_LOG!$F:$F,
         ATTENDANCE_LOG!$A:$A, C349,
         ATTENDANCE_LOG!$B:$B, E349),
"")</f>
        <v>45881.54167</v>
      </c>
      <c r="I349" s="190">
        <f>IFERROR(VLOOKUP(F349, LEVEL_HELPER!$A:$B, 2, 0), "")</f>
        <v>3</v>
      </c>
      <c r="J349" s="190">
        <f>IFERROR(VLOOKUP(G349, LEVEL_HELPER!$A:$B, 2, 0), "")</f>
        <v>3.5</v>
      </c>
      <c r="K349" s="190">
        <f t="shared" ref="K349:L349" si="708">IF(OR(I349="", I349=0), "",
  IF(I349&lt;=2,   1,
  IF(I349&lt;=4,   2,
  IF(I349&lt;=5.5, 3, 4))))</f>
        <v>2</v>
      </c>
      <c r="L349" s="190">
        <f t="shared" si="708"/>
        <v>2</v>
      </c>
      <c r="M349" s="190" t="str">
        <f t="shared" si="4"/>
        <v>Progress within level</v>
      </c>
      <c r="N349" s="220" t="s">
        <v>943</v>
      </c>
      <c r="O349" s="220" t="s">
        <v>924</v>
      </c>
      <c r="P349" s="190">
        <f t="shared" si="5"/>
        <v>1</v>
      </c>
      <c r="Q349" s="210">
        <f t="shared" si="6"/>
        <v>3.5</v>
      </c>
      <c r="R349" s="210">
        <f t="shared" ref="R349:S349" si="709">IF(OR(P349="", P349=0), "",
  IF(P349&lt;=2,   1,
  IF(P349&lt;=4,   2,
  IF(P349&lt;=5.5, 3, 4))))</f>
        <v>1</v>
      </c>
      <c r="S349" s="210">
        <f t="shared" si="709"/>
        <v>2</v>
      </c>
      <c r="T349" s="210" t="str">
        <f t="shared" si="8"/>
        <v>Lv1 → Lv2</v>
      </c>
      <c r="U349" s="210">
        <f t="shared" si="699"/>
        <v>0</v>
      </c>
      <c r="V349" s="210"/>
    </row>
    <row r="350">
      <c r="A350" s="220" t="s">
        <v>208</v>
      </c>
      <c r="B350" s="217" t="s">
        <v>209</v>
      </c>
      <c r="C350" s="218" t="s">
        <v>83</v>
      </c>
      <c r="D350" s="218" t="s">
        <v>876</v>
      </c>
      <c r="E350" s="217" t="s">
        <v>21</v>
      </c>
      <c r="F350" s="13" t="s">
        <v>927</v>
      </c>
      <c r="G350" s="13" t="s">
        <v>935</v>
      </c>
      <c r="H350" s="219">
        <f>IFERROR(
  MINIFS(ATTENDANCE_LOG!$F:$F,
         ATTENDANCE_LOG!$A:$A, C350,
         ATTENDANCE_LOG!$B:$B, E350),
"")</f>
        <v>45764.41667</v>
      </c>
      <c r="I350" s="190">
        <f>IFERROR(VLOOKUP(F350, LEVEL_HELPER!$A:$B, 2, 0), "")</f>
        <v>1</v>
      </c>
      <c r="J350" s="190">
        <f>IFERROR(VLOOKUP(G350, LEVEL_HELPER!$A:$B, 2, 0), "")</f>
        <v>3.5</v>
      </c>
      <c r="K350" s="190">
        <f t="shared" ref="K350:L350" si="710">IF(OR(I350="", I350=0), "",
  IF(I350&lt;=2,   1,
  IF(I350&lt;=4,   2,
  IF(I350&lt;=5.5, 3, 4))))</f>
        <v>1</v>
      </c>
      <c r="L350" s="190">
        <f t="shared" si="710"/>
        <v>2</v>
      </c>
      <c r="M350" s="190" t="str">
        <f t="shared" si="4"/>
        <v>Lv1 → Lv2</v>
      </c>
      <c r="N350" s="220" t="s">
        <v>943</v>
      </c>
      <c r="O350" s="220" t="s">
        <v>924</v>
      </c>
      <c r="P350" s="190">
        <f t="shared" si="5"/>
        <v>1</v>
      </c>
      <c r="Q350" s="210">
        <f t="shared" si="6"/>
        <v>5</v>
      </c>
      <c r="R350" s="210">
        <f t="shared" ref="R350:S350" si="711">IF(OR(P350="", P350=0), "",
  IF(P350&lt;=2,   1,
  IF(P350&lt;=4,   2,
  IF(P350&lt;=5.5, 3, 4))))</f>
        <v>1</v>
      </c>
      <c r="S350" s="210">
        <f t="shared" si="711"/>
        <v>3</v>
      </c>
      <c r="T350" s="210" t="str">
        <f t="shared" si="8"/>
        <v>Lv1 → Lv3 (multi)</v>
      </c>
      <c r="U350" s="210">
        <f t="shared" si="699"/>
        <v>1</v>
      </c>
      <c r="V350" s="210"/>
    </row>
    <row r="351">
      <c r="A351" s="220" t="s">
        <v>243</v>
      </c>
      <c r="B351" s="190" t="s">
        <v>244</v>
      </c>
      <c r="C351" s="223" t="s">
        <v>83</v>
      </c>
      <c r="D351" s="223" t="s">
        <v>876</v>
      </c>
      <c r="E351" s="190" t="s">
        <v>21</v>
      </c>
      <c r="F351" s="13" t="s">
        <v>927</v>
      </c>
      <c r="G351" s="13" t="s">
        <v>918</v>
      </c>
      <c r="H351" s="219">
        <f>IFERROR(
  MINIFS(ATTENDANCE_LOG!$F:$F,
         ATTENDANCE_LOG!$A:$A, C351,
         ATTENDANCE_LOG!$B:$B, E351),
"")</f>
        <v>45764.41667</v>
      </c>
      <c r="I351" s="190">
        <f>IFERROR(VLOOKUP(F351, LEVEL_HELPER!$A:$B, 2, 0), "")</f>
        <v>1</v>
      </c>
      <c r="J351" s="190">
        <f>IFERROR(VLOOKUP(G351, LEVEL_HELPER!$A:$B, 2, 0), "")</f>
        <v>3</v>
      </c>
      <c r="K351" s="190">
        <f t="shared" ref="K351:L351" si="712">IF(OR(I351="", I351=0), "",
  IF(I351&lt;=2,   1,
  IF(I351&lt;=4,   2,
  IF(I351&lt;=5.5, 3, 4))))</f>
        <v>1</v>
      </c>
      <c r="L351" s="190">
        <f t="shared" si="712"/>
        <v>2</v>
      </c>
      <c r="M351" s="190" t="str">
        <f t="shared" si="4"/>
        <v>Lv1 → Lv2</v>
      </c>
      <c r="N351" s="220" t="s">
        <v>943</v>
      </c>
      <c r="O351" s="220" t="s">
        <v>924</v>
      </c>
      <c r="P351" s="190">
        <f t="shared" si="5"/>
        <v>1</v>
      </c>
      <c r="Q351" s="210">
        <f t="shared" si="6"/>
        <v>3</v>
      </c>
      <c r="R351" s="210">
        <f t="shared" ref="R351:S351" si="713">IF(OR(P351="", P351=0), "",
  IF(P351&lt;=2,   1,
  IF(P351&lt;=4,   2,
  IF(P351&lt;=5.5, 3, 4))))</f>
        <v>1</v>
      </c>
      <c r="S351" s="210">
        <f t="shared" si="713"/>
        <v>2</v>
      </c>
      <c r="T351" s="210" t="str">
        <f t="shared" si="8"/>
        <v>Lv1 → Lv2</v>
      </c>
      <c r="U351" s="210">
        <f t="shared" si="699"/>
        <v>1</v>
      </c>
      <c r="V351" s="210"/>
    </row>
    <row r="352">
      <c r="A352" s="220" t="s">
        <v>305</v>
      </c>
      <c r="B352" s="190" t="s">
        <v>306</v>
      </c>
      <c r="C352" s="223" t="s">
        <v>83</v>
      </c>
      <c r="D352" s="223" t="s">
        <v>876</v>
      </c>
      <c r="E352" s="190" t="s">
        <v>21</v>
      </c>
      <c r="F352" s="13" t="s">
        <v>927</v>
      </c>
      <c r="G352" s="13" t="s">
        <v>929</v>
      </c>
      <c r="H352" s="219">
        <f>IFERROR(
  MINIFS(ATTENDANCE_LOG!$F:$F,
         ATTENDANCE_LOG!$A:$A, C352,
         ATTENDANCE_LOG!$B:$B, E352),
"")</f>
        <v>45764.41667</v>
      </c>
      <c r="I352" s="190">
        <f>IFERROR(VLOOKUP(F352, LEVEL_HELPER!$A:$B, 2, 0), "")</f>
        <v>1</v>
      </c>
      <c r="J352" s="190">
        <f>IFERROR(VLOOKUP(G352, LEVEL_HELPER!$A:$B, 2, 0), "")</f>
        <v>1.5</v>
      </c>
      <c r="K352" s="190">
        <f t="shared" ref="K352:L352" si="714">IF(OR(I352="", I352=0), "",
  IF(I352&lt;=2,   1,
  IF(I352&lt;=4,   2,
  IF(I352&lt;=5.5, 3, 4))))</f>
        <v>1</v>
      </c>
      <c r="L352" s="190">
        <f t="shared" si="714"/>
        <v>1</v>
      </c>
      <c r="M352" s="190" t="str">
        <f t="shared" si="4"/>
        <v>Progress within level</v>
      </c>
      <c r="N352" s="220" t="s">
        <v>943</v>
      </c>
      <c r="O352" s="220" t="s">
        <v>924</v>
      </c>
      <c r="P352" s="190">
        <f t="shared" si="5"/>
        <v>1</v>
      </c>
      <c r="Q352" s="210">
        <f t="shared" si="6"/>
        <v>3</v>
      </c>
      <c r="R352" s="210">
        <f t="shared" ref="R352:S352" si="715">IF(OR(P352="", P352=0), "",
  IF(P352&lt;=2,   1,
  IF(P352&lt;=4,   2,
  IF(P352&lt;=5.5, 3, 4))))</f>
        <v>1</v>
      </c>
      <c r="S352" s="210">
        <f t="shared" si="715"/>
        <v>2</v>
      </c>
      <c r="T352" s="210" t="str">
        <f t="shared" si="8"/>
        <v>Lv1 → Lv2</v>
      </c>
      <c r="U352" s="210">
        <f t="shared" si="699"/>
        <v>1</v>
      </c>
      <c r="V352" s="210"/>
    </row>
    <row r="353">
      <c r="A353" s="220" t="s">
        <v>442</v>
      </c>
      <c r="B353" s="190" t="s">
        <v>443</v>
      </c>
      <c r="C353" s="223" t="s">
        <v>83</v>
      </c>
      <c r="D353" s="223" t="s">
        <v>876</v>
      </c>
      <c r="E353" s="190" t="s">
        <v>21</v>
      </c>
      <c r="F353" s="13" t="s">
        <v>927</v>
      </c>
      <c r="G353" s="13" t="s">
        <v>918</v>
      </c>
      <c r="H353" s="219">
        <f>IFERROR(
  MINIFS(ATTENDANCE_LOG!$F:$F,
         ATTENDANCE_LOG!$A:$A, C353,
         ATTENDANCE_LOG!$B:$B, E353),
"")</f>
        <v>45764.41667</v>
      </c>
      <c r="I353" s="190">
        <f>IFERROR(VLOOKUP(F353, LEVEL_HELPER!$A:$B, 2, 0), "")</f>
        <v>1</v>
      </c>
      <c r="J353" s="190">
        <f>IFERROR(VLOOKUP(G353, LEVEL_HELPER!$A:$B, 2, 0), "")</f>
        <v>3</v>
      </c>
      <c r="K353" s="190">
        <f t="shared" ref="K353:L353" si="716">IF(OR(I353="", I353=0), "",
  IF(I353&lt;=2,   1,
  IF(I353&lt;=4,   2,
  IF(I353&lt;=5.5, 3, 4))))</f>
        <v>1</v>
      </c>
      <c r="L353" s="190">
        <f t="shared" si="716"/>
        <v>2</v>
      </c>
      <c r="M353" s="190" t="str">
        <f t="shared" si="4"/>
        <v>Lv1 → Lv2</v>
      </c>
      <c r="N353" s="220" t="s">
        <v>943</v>
      </c>
      <c r="O353" s="220" t="s">
        <v>924</v>
      </c>
      <c r="P353" s="190">
        <f t="shared" si="5"/>
        <v>1</v>
      </c>
      <c r="Q353" s="210">
        <f t="shared" si="6"/>
        <v>3.5</v>
      </c>
      <c r="R353" s="210">
        <f t="shared" ref="R353:S353" si="717">IF(OR(P353="", P353=0), "",
  IF(P353&lt;=2,   1,
  IF(P353&lt;=4,   2,
  IF(P353&lt;=5.5, 3, 4))))</f>
        <v>1</v>
      </c>
      <c r="S353" s="210">
        <f t="shared" si="717"/>
        <v>2</v>
      </c>
      <c r="T353" s="210" t="str">
        <f t="shared" si="8"/>
        <v>Lv1 → Lv2</v>
      </c>
      <c r="U353" s="210">
        <f t="shared" si="699"/>
        <v>1</v>
      </c>
      <c r="V353" s="210"/>
    </row>
    <row r="354">
      <c r="A354" s="220" t="s">
        <v>633</v>
      </c>
      <c r="B354" s="190" t="s">
        <v>634</v>
      </c>
      <c r="C354" s="223" t="s">
        <v>83</v>
      </c>
      <c r="D354" s="223" t="s">
        <v>876</v>
      </c>
      <c r="E354" s="190" t="s">
        <v>21</v>
      </c>
      <c r="F354" s="13" t="s">
        <v>927</v>
      </c>
      <c r="G354" s="13" t="s">
        <v>918</v>
      </c>
      <c r="H354" s="219">
        <f>IFERROR(
  MINIFS(ATTENDANCE_LOG!$F:$F,
         ATTENDANCE_LOG!$A:$A, C354,
         ATTENDANCE_LOG!$B:$B, E354),
"")</f>
        <v>45764.41667</v>
      </c>
      <c r="I354" s="190">
        <f>IFERROR(VLOOKUP(F354, LEVEL_HELPER!$A:$B, 2, 0), "")</f>
        <v>1</v>
      </c>
      <c r="J354" s="190">
        <f>IFERROR(VLOOKUP(G354, LEVEL_HELPER!$A:$B, 2, 0), "")</f>
        <v>3</v>
      </c>
      <c r="K354" s="190">
        <f t="shared" ref="K354:L354" si="718">IF(OR(I354="", I354=0), "",
  IF(I354&lt;=2,   1,
  IF(I354&lt;=4,   2,
  IF(I354&lt;=5.5, 3, 4))))</f>
        <v>1</v>
      </c>
      <c r="L354" s="190">
        <f t="shared" si="718"/>
        <v>2</v>
      </c>
      <c r="M354" s="190" t="str">
        <f t="shared" si="4"/>
        <v>Lv1 → Lv2</v>
      </c>
      <c r="N354" s="220" t="s">
        <v>943</v>
      </c>
      <c r="O354" s="220" t="s">
        <v>924</v>
      </c>
      <c r="P354" s="190">
        <f t="shared" si="5"/>
        <v>1</v>
      </c>
      <c r="Q354" s="210">
        <f t="shared" si="6"/>
        <v>3</v>
      </c>
      <c r="R354" s="210">
        <f t="shared" ref="R354:S354" si="719">IF(OR(P354="", P354=0), "",
  IF(P354&lt;=2,   1,
  IF(P354&lt;=4,   2,
  IF(P354&lt;=5.5, 3, 4))))</f>
        <v>1</v>
      </c>
      <c r="S354" s="210">
        <f t="shared" si="719"/>
        <v>2</v>
      </c>
      <c r="T354" s="210" t="str">
        <f t="shared" si="8"/>
        <v>Lv1 → Lv2</v>
      </c>
      <c r="U354" s="210">
        <f t="shared" si="699"/>
        <v>1</v>
      </c>
      <c r="V354" s="210"/>
    </row>
    <row r="355">
      <c r="A355" s="220" t="s">
        <v>641</v>
      </c>
      <c r="B355" s="190" t="s">
        <v>642</v>
      </c>
      <c r="C355" s="223" t="s">
        <v>83</v>
      </c>
      <c r="D355" s="223" t="s">
        <v>876</v>
      </c>
      <c r="E355" s="190" t="s">
        <v>21</v>
      </c>
      <c r="F355" s="13" t="s">
        <v>927</v>
      </c>
      <c r="G355" s="13" t="s">
        <v>935</v>
      </c>
      <c r="H355" s="219">
        <f>IFERROR(
  MINIFS(ATTENDANCE_LOG!$F:$F,
         ATTENDANCE_LOG!$A:$A, C355,
         ATTENDANCE_LOG!$B:$B, E355),
"")</f>
        <v>45764.41667</v>
      </c>
      <c r="I355" s="190">
        <f>IFERROR(VLOOKUP(F355, LEVEL_HELPER!$A:$B, 2, 0), "")</f>
        <v>1</v>
      </c>
      <c r="J355" s="190">
        <f>IFERROR(VLOOKUP(G355, LEVEL_HELPER!$A:$B, 2, 0), "")</f>
        <v>3.5</v>
      </c>
      <c r="K355" s="190">
        <f t="shared" ref="K355:L355" si="720">IF(OR(I355="", I355=0), "",
  IF(I355&lt;=2,   1,
  IF(I355&lt;=4,   2,
  IF(I355&lt;=5.5, 3, 4))))</f>
        <v>1</v>
      </c>
      <c r="L355" s="190">
        <f t="shared" si="720"/>
        <v>2</v>
      </c>
      <c r="M355" s="190" t="str">
        <f t="shared" si="4"/>
        <v>Lv1 → Lv2</v>
      </c>
      <c r="N355" s="220" t="s">
        <v>943</v>
      </c>
      <c r="O355" s="220" t="s">
        <v>924</v>
      </c>
      <c r="P355" s="190">
        <f t="shared" si="5"/>
        <v>1</v>
      </c>
      <c r="Q355" s="210">
        <f t="shared" si="6"/>
        <v>5</v>
      </c>
      <c r="R355" s="210">
        <f t="shared" ref="R355:S355" si="721">IF(OR(P355="", P355=0), "",
  IF(P355&lt;=2,   1,
  IF(P355&lt;=4,   2,
  IF(P355&lt;=5.5, 3, 4))))</f>
        <v>1</v>
      </c>
      <c r="S355" s="210">
        <f t="shared" si="721"/>
        <v>3</v>
      </c>
      <c r="T355" s="210" t="str">
        <f t="shared" si="8"/>
        <v>Lv1 → Lv3 (multi)</v>
      </c>
      <c r="U355" s="210">
        <f t="shared" si="699"/>
        <v>1</v>
      </c>
      <c r="V355" s="210"/>
    </row>
    <row r="356">
      <c r="A356" s="220" t="s">
        <v>671</v>
      </c>
      <c r="B356" s="190" t="s">
        <v>672</v>
      </c>
      <c r="C356" s="223" t="s">
        <v>83</v>
      </c>
      <c r="D356" s="223" t="s">
        <v>876</v>
      </c>
      <c r="E356" s="190" t="s">
        <v>21</v>
      </c>
      <c r="F356" s="13" t="s">
        <v>927</v>
      </c>
      <c r="G356" s="13" t="s">
        <v>935</v>
      </c>
      <c r="H356" s="219">
        <f>IFERROR(
  MINIFS(ATTENDANCE_LOG!$F:$F,
         ATTENDANCE_LOG!$A:$A, C356,
         ATTENDANCE_LOG!$B:$B, E356),
"")</f>
        <v>45764.41667</v>
      </c>
      <c r="I356" s="190">
        <f>IFERROR(VLOOKUP(F356, LEVEL_HELPER!$A:$B, 2, 0), "")</f>
        <v>1</v>
      </c>
      <c r="J356" s="190">
        <f>IFERROR(VLOOKUP(G356, LEVEL_HELPER!$A:$B, 2, 0), "")</f>
        <v>3.5</v>
      </c>
      <c r="K356" s="190">
        <f t="shared" ref="K356:L356" si="722">IF(OR(I356="", I356=0), "",
  IF(I356&lt;=2,   1,
  IF(I356&lt;=4,   2,
  IF(I356&lt;=5.5, 3, 4))))</f>
        <v>1</v>
      </c>
      <c r="L356" s="190">
        <f t="shared" si="722"/>
        <v>2</v>
      </c>
      <c r="M356" s="190" t="str">
        <f t="shared" si="4"/>
        <v>Lv1 → Lv2</v>
      </c>
      <c r="N356" s="220" t="s">
        <v>943</v>
      </c>
      <c r="O356" s="220" t="s">
        <v>924</v>
      </c>
      <c r="P356" s="190">
        <f t="shared" si="5"/>
        <v>1</v>
      </c>
      <c r="Q356" s="210">
        <f t="shared" si="6"/>
        <v>3.5</v>
      </c>
      <c r="R356" s="210">
        <f t="shared" ref="R356:S356" si="723">IF(OR(P356="", P356=0), "",
  IF(P356&lt;=2,   1,
  IF(P356&lt;=4,   2,
  IF(P356&lt;=5.5, 3, 4))))</f>
        <v>1</v>
      </c>
      <c r="S356" s="210">
        <f t="shared" si="723"/>
        <v>2</v>
      </c>
      <c r="T356" s="210" t="str">
        <f t="shared" si="8"/>
        <v>Lv1 → Lv2</v>
      </c>
      <c r="U356" s="210">
        <f t="shared" si="699"/>
        <v>1</v>
      </c>
      <c r="V356" s="210"/>
    </row>
    <row r="357">
      <c r="A357" s="220" t="s">
        <v>208</v>
      </c>
      <c r="B357" s="217" t="s">
        <v>209</v>
      </c>
      <c r="C357" s="218" t="s">
        <v>83</v>
      </c>
      <c r="D357" s="218" t="s">
        <v>876</v>
      </c>
      <c r="E357" s="217" t="s">
        <v>22</v>
      </c>
      <c r="F357" s="13" t="s">
        <v>935</v>
      </c>
      <c r="G357" s="13" t="s">
        <v>941</v>
      </c>
      <c r="H357" s="219">
        <f>IFERROR(
  MINIFS(ATTENDANCE_LOG!$F:$F,
         ATTENDANCE_LOG!$A:$A, C357,
         ATTENDANCE_LOG!$B:$B, E357),
"")</f>
        <v>45882.41667</v>
      </c>
      <c r="I357" s="190">
        <f>IFERROR(VLOOKUP(F357, LEVEL_HELPER!$A:$B, 2, 0), "")</f>
        <v>3.5</v>
      </c>
      <c r="J357" s="190">
        <f>IFERROR(VLOOKUP(G357, LEVEL_HELPER!$A:$B, 2, 0), "")</f>
        <v>5</v>
      </c>
      <c r="K357" s="190">
        <f t="shared" ref="K357:L357" si="724">IF(OR(I357="", I357=0), "",
  IF(I357&lt;=2,   1,
  IF(I357&lt;=4,   2,
  IF(I357&lt;=5.5, 3, 4))))</f>
        <v>2</v>
      </c>
      <c r="L357" s="190">
        <f t="shared" si="724"/>
        <v>3</v>
      </c>
      <c r="M357" s="190" t="str">
        <f t="shared" si="4"/>
        <v>Lv2 → Lv3</v>
      </c>
      <c r="N357" s="220" t="s">
        <v>943</v>
      </c>
      <c r="O357" s="220" t="s">
        <v>924</v>
      </c>
      <c r="P357" s="190">
        <f t="shared" si="5"/>
        <v>1</v>
      </c>
      <c r="Q357" s="210">
        <f t="shared" si="6"/>
        <v>5</v>
      </c>
      <c r="R357" s="210">
        <f t="shared" ref="R357:S357" si="725">IF(OR(P357="", P357=0), "",
  IF(P357&lt;=2,   1,
  IF(P357&lt;=4,   2,
  IF(P357&lt;=5.5, 3, 4))))</f>
        <v>1</v>
      </c>
      <c r="S357" s="210">
        <f t="shared" si="725"/>
        <v>3</v>
      </c>
      <c r="T357" s="210" t="str">
        <f t="shared" si="8"/>
        <v>Lv1 → Lv3 (multi)</v>
      </c>
      <c r="U357" s="210">
        <f t="shared" si="699"/>
        <v>0</v>
      </c>
      <c r="V357" s="210"/>
    </row>
    <row r="358">
      <c r="A358" s="220" t="s">
        <v>241</v>
      </c>
      <c r="B358" s="190" t="s">
        <v>242</v>
      </c>
      <c r="C358" s="223" t="s">
        <v>83</v>
      </c>
      <c r="D358" s="223" t="s">
        <v>876</v>
      </c>
      <c r="E358" s="190" t="s">
        <v>22</v>
      </c>
      <c r="F358" s="13" t="s">
        <v>929</v>
      </c>
      <c r="G358" s="13" t="s">
        <v>918</v>
      </c>
      <c r="H358" s="219">
        <f>IFERROR(
  MINIFS(ATTENDANCE_LOG!$F:$F,
         ATTENDANCE_LOG!$A:$A, C358,
         ATTENDANCE_LOG!$B:$B, E358),
"")</f>
        <v>45882.41667</v>
      </c>
      <c r="I358" s="190">
        <f>IFERROR(VLOOKUP(F358, LEVEL_HELPER!$A:$B, 2, 0), "")</f>
        <v>1.5</v>
      </c>
      <c r="J358" s="190">
        <f>IFERROR(VLOOKUP(G358, LEVEL_HELPER!$A:$B, 2, 0), "")</f>
        <v>3</v>
      </c>
      <c r="K358" s="190">
        <f t="shared" ref="K358:L358" si="726">IF(OR(I358="", I358=0), "",
  IF(I358&lt;=2,   1,
  IF(I358&lt;=4,   2,
  IF(I358&lt;=5.5, 3, 4))))</f>
        <v>1</v>
      </c>
      <c r="L358" s="190">
        <f t="shared" si="726"/>
        <v>2</v>
      </c>
      <c r="M358" s="190" t="str">
        <f t="shared" si="4"/>
        <v>Lv1 → Lv2</v>
      </c>
      <c r="N358" s="220" t="s">
        <v>919</v>
      </c>
      <c r="O358" s="220" t="s">
        <v>924</v>
      </c>
      <c r="P358" s="190">
        <f t="shared" si="5"/>
        <v>1</v>
      </c>
      <c r="Q358" s="210">
        <f t="shared" si="6"/>
        <v>3</v>
      </c>
      <c r="R358" s="210">
        <f t="shared" ref="R358:S358" si="727">IF(OR(P358="", P358=0), "",
  IF(P358&lt;=2,   1,
  IF(P358&lt;=4,   2,
  IF(P358&lt;=5.5, 3, 4))))</f>
        <v>1</v>
      </c>
      <c r="S358" s="210">
        <f t="shared" si="727"/>
        <v>2</v>
      </c>
      <c r="T358" s="210" t="str">
        <f t="shared" si="8"/>
        <v>Lv1 → Lv2</v>
      </c>
      <c r="U358" s="210">
        <f t="shared" si="699"/>
        <v>1</v>
      </c>
      <c r="V358" s="210"/>
    </row>
    <row r="359">
      <c r="A359" s="220" t="s">
        <v>243</v>
      </c>
      <c r="B359" s="190" t="s">
        <v>244</v>
      </c>
      <c r="C359" s="223" t="s">
        <v>83</v>
      </c>
      <c r="D359" s="223" t="s">
        <v>876</v>
      </c>
      <c r="E359" s="190" t="s">
        <v>22</v>
      </c>
      <c r="F359" s="13" t="s">
        <v>927</v>
      </c>
      <c r="G359" s="13" t="s">
        <v>918</v>
      </c>
      <c r="H359" s="219">
        <f>IFERROR(
  MINIFS(ATTENDANCE_LOG!$F:$F,
         ATTENDANCE_LOG!$A:$A, C359,
         ATTENDANCE_LOG!$B:$B, E359),
"")</f>
        <v>45882.41667</v>
      </c>
      <c r="I359" s="190">
        <f>IFERROR(VLOOKUP(F359, LEVEL_HELPER!$A:$B, 2, 0), "")</f>
        <v>1</v>
      </c>
      <c r="J359" s="190">
        <f>IFERROR(VLOOKUP(G359, LEVEL_HELPER!$A:$B, 2, 0), "")</f>
        <v>3</v>
      </c>
      <c r="K359" s="190">
        <f t="shared" ref="K359:L359" si="728">IF(OR(I359="", I359=0), "",
  IF(I359&lt;=2,   1,
  IF(I359&lt;=4,   2,
  IF(I359&lt;=5.5, 3, 4))))</f>
        <v>1</v>
      </c>
      <c r="L359" s="190">
        <f t="shared" si="728"/>
        <v>2</v>
      </c>
      <c r="M359" s="190" t="str">
        <f t="shared" si="4"/>
        <v>Lv1 → Lv2</v>
      </c>
      <c r="N359" s="220" t="s">
        <v>943</v>
      </c>
      <c r="O359" s="220" t="s">
        <v>924</v>
      </c>
      <c r="P359" s="190">
        <f t="shared" si="5"/>
        <v>1</v>
      </c>
      <c r="Q359" s="210">
        <f t="shared" si="6"/>
        <v>3</v>
      </c>
      <c r="R359" s="210">
        <f t="shared" ref="R359:S359" si="729">IF(OR(P359="", P359=0), "",
  IF(P359&lt;=2,   1,
  IF(P359&lt;=4,   2,
  IF(P359&lt;=5.5, 3, 4))))</f>
        <v>1</v>
      </c>
      <c r="S359" s="210">
        <f t="shared" si="729"/>
        <v>2</v>
      </c>
      <c r="T359" s="210" t="str">
        <f t="shared" si="8"/>
        <v>Lv1 → Lv2</v>
      </c>
      <c r="U359" s="210">
        <f t="shared" si="699"/>
        <v>0</v>
      </c>
      <c r="V359" s="210"/>
    </row>
    <row r="360">
      <c r="A360" s="220" t="s">
        <v>305</v>
      </c>
      <c r="B360" s="190" t="s">
        <v>306</v>
      </c>
      <c r="C360" s="223" t="s">
        <v>83</v>
      </c>
      <c r="D360" s="223" t="s">
        <v>876</v>
      </c>
      <c r="E360" s="190" t="s">
        <v>22</v>
      </c>
      <c r="F360" s="13" t="s">
        <v>929</v>
      </c>
      <c r="G360" s="13" t="s">
        <v>918</v>
      </c>
      <c r="H360" s="219">
        <f>IFERROR(
  MINIFS(ATTENDANCE_LOG!$F:$F,
         ATTENDANCE_LOG!$A:$A, C360,
         ATTENDANCE_LOG!$B:$B, E360),
"")</f>
        <v>45882.41667</v>
      </c>
      <c r="I360" s="190">
        <f>IFERROR(VLOOKUP(F360, LEVEL_HELPER!$A:$B, 2, 0), "")</f>
        <v>1.5</v>
      </c>
      <c r="J360" s="190">
        <f>IFERROR(VLOOKUP(G360, LEVEL_HELPER!$A:$B, 2, 0), "")</f>
        <v>3</v>
      </c>
      <c r="K360" s="190">
        <f t="shared" ref="K360:L360" si="730">IF(OR(I360="", I360=0), "",
  IF(I360&lt;=2,   1,
  IF(I360&lt;=4,   2,
  IF(I360&lt;=5.5, 3, 4))))</f>
        <v>1</v>
      </c>
      <c r="L360" s="190">
        <f t="shared" si="730"/>
        <v>2</v>
      </c>
      <c r="M360" s="190" t="str">
        <f t="shared" si="4"/>
        <v>Lv1 → Lv2</v>
      </c>
      <c r="N360" s="220" t="s">
        <v>943</v>
      </c>
      <c r="O360" s="220" t="s">
        <v>924</v>
      </c>
      <c r="P360" s="190">
        <f t="shared" si="5"/>
        <v>1</v>
      </c>
      <c r="Q360" s="210">
        <f t="shared" si="6"/>
        <v>3</v>
      </c>
      <c r="R360" s="210">
        <f t="shared" ref="R360:S360" si="731">IF(OR(P360="", P360=0), "",
  IF(P360&lt;=2,   1,
  IF(P360&lt;=4,   2,
  IF(P360&lt;=5.5, 3, 4))))</f>
        <v>1</v>
      </c>
      <c r="S360" s="210">
        <f t="shared" si="731"/>
        <v>2</v>
      </c>
      <c r="T360" s="210" t="str">
        <f t="shared" si="8"/>
        <v>Lv1 → Lv2</v>
      </c>
      <c r="U360" s="210">
        <f t="shared" si="699"/>
        <v>0</v>
      </c>
      <c r="V360" s="210"/>
    </row>
    <row r="361">
      <c r="A361" s="220" t="s">
        <v>442</v>
      </c>
      <c r="B361" s="190" t="s">
        <v>443</v>
      </c>
      <c r="C361" s="223" t="s">
        <v>83</v>
      </c>
      <c r="D361" s="223" t="s">
        <v>876</v>
      </c>
      <c r="E361" s="190" t="s">
        <v>22</v>
      </c>
      <c r="F361" s="13" t="s">
        <v>918</v>
      </c>
      <c r="G361" s="13" t="s">
        <v>935</v>
      </c>
      <c r="H361" s="219">
        <f>IFERROR(
  MINIFS(ATTENDANCE_LOG!$F:$F,
         ATTENDANCE_LOG!$A:$A, C361,
         ATTENDANCE_LOG!$B:$B, E361),
"")</f>
        <v>45882.41667</v>
      </c>
      <c r="I361" s="190">
        <f>IFERROR(VLOOKUP(F361, LEVEL_HELPER!$A:$B, 2, 0), "")</f>
        <v>3</v>
      </c>
      <c r="J361" s="190">
        <f>IFERROR(VLOOKUP(G361, LEVEL_HELPER!$A:$B, 2, 0), "")</f>
        <v>3.5</v>
      </c>
      <c r="K361" s="190">
        <f t="shared" ref="K361:L361" si="732">IF(OR(I361="", I361=0), "",
  IF(I361&lt;=2,   1,
  IF(I361&lt;=4,   2,
  IF(I361&lt;=5.5, 3, 4))))</f>
        <v>2</v>
      </c>
      <c r="L361" s="190">
        <f t="shared" si="732"/>
        <v>2</v>
      </c>
      <c r="M361" s="190" t="str">
        <f t="shared" si="4"/>
        <v>Progress within level</v>
      </c>
      <c r="N361" s="220" t="s">
        <v>943</v>
      </c>
      <c r="O361" s="220" t="s">
        <v>924</v>
      </c>
      <c r="P361" s="190">
        <f t="shared" si="5"/>
        <v>1</v>
      </c>
      <c r="Q361" s="210">
        <f t="shared" si="6"/>
        <v>3.5</v>
      </c>
      <c r="R361" s="210">
        <f t="shared" ref="R361:S361" si="733">IF(OR(P361="", P361=0), "",
  IF(P361&lt;=2,   1,
  IF(P361&lt;=4,   2,
  IF(P361&lt;=5.5, 3, 4))))</f>
        <v>1</v>
      </c>
      <c r="S361" s="210">
        <f t="shared" si="733"/>
        <v>2</v>
      </c>
      <c r="T361" s="210" t="str">
        <f t="shared" si="8"/>
        <v>Lv1 → Lv2</v>
      </c>
      <c r="U361" s="210">
        <f t="shared" si="699"/>
        <v>0</v>
      </c>
      <c r="V361" s="210"/>
    </row>
    <row r="362">
      <c r="A362" s="220" t="s">
        <v>463</v>
      </c>
      <c r="B362" s="190" t="s">
        <v>464</v>
      </c>
      <c r="C362" s="223" t="s">
        <v>83</v>
      </c>
      <c r="D362" s="223" t="s">
        <v>876</v>
      </c>
      <c r="E362" s="190" t="s">
        <v>22</v>
      </c>
      <c r="F362" s="13" t="s">
        <v>929</v>
      </c>
      <c r="G362" s="190"/>
      <c r="H362" s="219">
        <f>IFERROR(
  MINIFS(ATTENDANCE_LOG!$F:$F,
         ATTENDANCE_LOG!$A:$A, C362,
         ATTENDANCE_LOG!$B:$B, E362),
"")</f>
        <v>45882.41667</v>
      </c>
      <c r="I362" s="190">
        <f>IFERROR(VLOOKUP(F362, LEVEL_HELPER!$A:$B, 2, 0), "")</f>
        <v>1.5</v>
      </c>
      <c r="J362" s="190" t="str">
        <f>IFERROR(VLOOKUP(G362, LEVEL_HELPER!$A:$B, 2, 0), "")</f>
        <v/>
      </c>
      <c r="K362" s="190">
        <f t="shared" ref="K362:L362" si="734">IF(OR(I362="", I362=0), "",
  IF(I362&lt;=2,   1,
  IF(I362&lt;=4,   2,
  IF(I362&lt;=5.5, 3, 4))))</f>
        <v>1</v>
      </c>
      <c r="L362" s="190" t="str">
        <f t="shared" si="734"/>
        <v/>
      </c>
      <c r="M362" s="190" t="str">
        <f t="shared" si="4"/>
        <v>No Data</v>
      </c>
      <c r="N362" s="220" t="s">
        <v>919</v>
      </c>
      <c r="O362" s="220" t="s">
        <v>924</v>
      </c>
      <c r="P362" s="190">
        <f t="shared" si="5"/>
        <v>1</v>
      </c>
      <c r="Q362" s="210">
        <f t="shared" si="6"/>
        <v>1.5</v>
      </c>
      <c r="R362" s="210">
        <f t="shared" ref="R362:S362" si="735">IF(OR(P362="", P362=0), "",
  IF(P362&lt;=2,   1,
  IF(P362&lt;=4,   2,
  IF(P362&lt;=5.5, 3, 4))))</f>
        <v>1</v>
      </c>
      <c r="S362" s="210">
        <f t="shared" si="735"/>
        <v>1</v>
      </c>
      <c r="T362" s="210" t="str">
        <f t="shared" si="8"/>
        <v>Progress within level</v>
      </c>
      <c r="U362" s="210">
        <f t="shared" si="699"/>
        <v>1</v>
      </c>
      <c r="V362" s="210"/>
    </row>
    <row r="363">
      <c r="A363" s="220" t="s">
        <v>633</v>
      </c>
      <c r="B363" s="190" t="s">
        <v>634</v>
      </c>
      <c r="C363" s="223" t="s">
        <v>83</v>
      </c>
      <c r="D363" s="223" t="s">
        <v>876</v>
      </c>
      <c r="E363" s="190" t="s">
        <v>22</v>
      </c>
      <c r="F363" s="13" t="s">
        <v>918</v>
      </c>
      <c r="G363" s="13" t="s">
        <v>929</v>
      </c>
      <c r="H363" s="219">
        <f>IFERROR(
  MINIFS(ATTENDANCE_LOG!$F:$F,
         ATTENDANCE_LOG!$A:$A, C363,
         ATTENDANCE_LOG!$B:$B, E363),
"")</f>
        <v>45882.41667</v>
      </c>
      <c r="I363" s="190">
        <f>IFERROR(VLOOKUP(F363, LEVEL_HELPER!$A:$B, 2, 0), "")</f>
        <v>3</v>
      </c>
      <c r="J363" s="190">
        <f>IFERROR(VLOOKUP(G363, LEVEL_HELPER!$A:$B, 2, 0), "")</f>
        <v>1.5</v>
      </c>
      <c r="K363" s="190">
        <f t="shared" ref="K363:L363" si="736">IF(OR(I363="", I363=0), "",
  IF(I363&lt;=2,   1,
  IF(I363&lt;=4,   2,
  IF(I363&lt;=5.5, 3, 4))))</f>
        <v>2</v>
      </c>
      <c r="L363" s="190">
        <f t="shared" si="736"/>
        <v>1</v>
      </c>
      <c r="M363" s="190" t="str">
        <f t="shared" si="4"/>
        <v>Regressed</v>
      </c>
      <c r="N363" s="220" t="s">
        <v>943</v>
      </c>
      <c r="O363" s="220" t="s">
        <v>924</v>
      </c>
      <c r="P363" s="190">
        <f t="shared" si="5"/>
        <v>1</v>
      </c>
      <c r="Q363" s="210">
        <f t="shared" si="6"/>
        <v>3</v>
      </c>
      <c r="R363" s="210">
        <f t="shared" ref="R363:S363" si="737">IF(OR(P363="", P363=0), "",
  IF(P363&lt;=2,   1,
  IF(P363&lt;=4,   2,
  IF(P363&lt;=5.5, 3, 4))))</f>
        <v>1</v>
      </c>
      <c r="S363" s="210">
        <f t="shared" si="737"/>
        <v>2</v>
      </c>
      <c r="T363" s="210" t="str">
        <f t="shared" si="8"/>
        <v>Lv1 → Lv2</v>
      </c>
      <c r="U363" s="210">
        <f t="shared" si="699"/>
        <v>0</v>
      </c>
      <c r="V363" s="210"/>
    </row>
    <row r="364">
      <c r="A364" s="220" t="s">
        <v>641</v>
      </c>
      <c r="B364" s="190" t="s">
        <v>642</v>
      </c>
      <c r="C364" s="223" t="s">
        <v>83</v>
      </c>
      <c r="D364" s="223" t="s">
        <v>876</v>
      </c>
      <c r="E364" s="190" t="s">
        <v>22</v>
      </c>
      <c r="F364" s="13" t="s">
        <v>935</v>
      </c>
      <c r="G364" s="13" t="s">
        <v>941</v>
      </c>
      <c r="H364" s="219">
        <f>IFERROR(
  MINIFS(ATTENDANCE_LOG!$F:$F,
         ATTENDANCE_LOG!$A:$A, C364,
         ATTENDANCE_LOG!$B:$B, E364),
"")</f>
        <v>45882.41667</v>
      </c>
      <c r="I364" s="190">
        <f>IFERROR(VLOOKUP(F364, LEVEL_HELPER!$A:$B, 2, 0), "")</f>
        <v>3.5</v>
      </c>
      <c r="J364" s="190">
        <f>IFERROR(VLOOKUP(G364, LEVEL_HELPER!$A:$B, 2, 0), "")</f>
        <v>5</v>
      </c>
      <c r="K364" s="190">
        <f t="shared" ref="K364:L364" si="738">IF(OR(I364="", I364=0), "",
  IF(I364&lt;=2,   1,
  IF(I364&lt;=4,   2,
  IF(I364&lt;=5.5, 3, 4))))</f>
        <v>2</v>
      </c>
      <c r="L364" s="190">
        <f t="shared" si="738"/>
        <v>3</v>
      </c>
      <c r="M364" s="190" t="str">
        <f t="shared" si="4"/>
        <v>Lv2 → Lv3</v>
      </c>
      <c r="N364" s="220" t="s">
        <v>943</v>
      </c>
      <c r="O364" s="220" t="s">
        <v>924</v>
      </c>
      <c r="P364" s="190">
        <f t="shared" si="5"/>
        <v>1</v>
      </c>
      <c r="Q364" s="210">
        <f t="shared" si="6"/>
        <v>5</v>
      </c>
      <c r="R364" s="210">
        <f t="shared" ref="R364:S364" si="739">IF(OR(P364="", P364=0), "",
  IF(P364&lt;=2,   1,
  IF(P364&lt;=4,   2,
  IF(P364&lt;=5.5, 3, 4))))</f>
        <v>1</v>
      </c>
      <c r="S364" s="210">
        <f t="shared" si="739"/>
        <v>3</v>
      </c>
      <c r="T364" s="210" t="str">
        <f t="shared" si="8"/>
        <v>Lv1 → Lv3 (multi)</v>
      </c>
      <c r="U364" s="210">
        <f t="shared" si="699"/>
        <v>0</v>
      </c>
      <c r="V364" s="210"/>
    </row>
    <row r="365">
      <c r="A365" s="220" t="s">
        <v>671</v>
      </c>
      <c r="B365" s="190" t="s">
        <v>672</v>
      </c>
      <c r="C365" s="223" t="s">
        <v>83</v>
      </c>
      <c r="D365" s="223" t="s">
        <v>876</v>
      </c>
      <c r="E365" s="190" t="s">
        <v>22</v>
      </c>
      <c r="F365" s="13" t="s">
        <v>935</v>
      </c>
      <c r="G365" s="13" t="s">
        <v>935</v>
      </c>
      <c r="H365" s="219">
        <f>IFERROR(
  MINIFS(ATTENDANCE_LOG!$F:$F,
         ATTENDANCE_LOG!$A:$A, C365,
         ATTENDANCE_LOG!$B:$B, E365),
"")</f>
        <v>45882.41667</v>
      </c>
      <c r="I365" s="190">
        <f>IFERROR(VLOOKUP(F365, LEVEL_HELPER!$A:$B, 2, 0), "")</f>
        <v>3.5</v>
      </c>
      <c r="J365" s="190">
        <f>IFERROR(VLOOKUP(G365, LEVEL_HELPER!$A:$B, 2, 0), "")</f>
        <v>3.5</v>
      </c>
      <c r="K365" s="190">
        <f t="shared" ref="K365:L365" si="740">IF(OR(I365="", I365=0), "",
  IF(I365&lt;=2,   1,
  IF(I365&lt;=4,   2,
  IF(I365&lt;=5.5, 3, 4))))</f>
        <v>2</v>
      </c>
      <c r="L365" s="190">
        <f t="shared" si="740"/>
        <v>2</v>
      </c>
      <c r="M365" s="190" t="str">
        <f t="shared" si="4"/>
        <v>No Progress</v>
      </c>
      <c r="N365" s="220" t="s">
        <v>943</v>
      </c>
      <c r="O365" s="220" t="s">
        <v>924</v>
      </c>
      <c r="P365" s="190">
        <f t="shared" si="5"/>
        <v>1</v>
      </c>
      <c r="Q365" s="210">
        <f t="shared" si="6"/>
        <v>3.5</v>
      </c>
      <c r="R365" s="210">
        <f t="shared" ref="R365:S365" si="741">IF(OR(P365="", P365=0), "",
  IF(P365&lt;=2,   1,
  IF(P365&lt;=4,   2,
  IF(P365&lt;=5.5, 3, 4))))</f>
        <v>1</v>
      </c>
      <c r="S365" s="210">
        <f t="shared" si="741"/>
        <v>2</v>
      </c>
      <c r="T365" s="210" t="str">
        <f t="shared" si="8"/>
        <v>Lv1 → Lv2</v>
      </c>
      <c r="U365" s="210">
        <f t="shared" si="699"/>
        <v>0</v>
      </c>
      <c r="V365" s="210"/>
    </row>
    <row r="366">
      <c r="A366" s="247" t="s">
        <v>649</v>
      </c>
      <c r="B366" s="217" t="s">
        <v>650</v>
      </c>
      <c r="C366" s="218" t="s">
        <v>84</v>
      </c>
      <c r="D366" s="218" t="s">
        <v>877</v>
      </c>
      <c r="E366" s="217" t="s">
        <v>24</v>
      </c>
      <c r="F366" s="190"/>
      <c r="G366" s="190"/>
      <c r="H366" s="219">
        <f>IFERROR(
  MINIFS(ATTENDANCE_LOG!$F:$F,
         ATTENDANCE_LOG!$A:$A, C366,
         ATTENDANCE_LOG!$B:$B, E366),
"")</f>
        <v>46091.54167</v>
      </c>
      <c r="I366" s="190" t="str">
        <f>IFERROR(VLOOKUP(F366, LEVEL_HELPER!$A:$B, 2, 0), "")</f>
        <v/>
      </c>
      <c r="J366" s="190" t="str">
        <f>IFERROR(VLOOKUP(G366, LEVEL_HELPER!$A:$B, 2, 0), "")</f>
        <v/>
      </c>
      <c r="K366" s="190" t="str">
        <f t="shared" ref="K366:L366" si="742">IF(OR(I366="", I366=0), "",
  IF(I366&lt;=2,   1,
  IF(I366&lt;=4,   2,
  IF(I366&lt;=5.5, 3, 4))))</f>
        <v/>
      </c>
      <c r="L366" s="190" t="str">
        <f t="shared" si="742"/>
        <v/>
      </c>
      <c r="M366" s="190" t="str">
        <f t="shared" si="4"/>
        <v>No Data</v>
      </c>
      <c r="N366" s="220" t="s">
        <v>931</v>
      </c>
      <c r="O366" s="220" t="s">
        <v>924</v>
      </c>
      <c r="P366" s="190">
        <f t="shared" si="5"/>
        <v>1</v>
      </c>
      <c r="Q366" s="210">
        <f t="shared" si="6"/>
        <v>5</v>
      </c>
      <c r="R366" s="210">
        <f t="shared" ref="R366:S366" si="743">IF(OR(P366="", P366=0), "",
  IF(P366&lt;=2,   1,
  IF(P366&lt;=4,   2,
  IF(P366&lt;=5.5, 3, 4))))</f>
        <v>1</v>
      </c>
      <c r="S366" s="210">
        <f t="shared" si="743"/>
        <v>3</v>
      </c>
      <c r="T366" s="210" t="str">
        <f t="shared" si="8"/>
        <v>Lv1 → Lv3 (multi)</v>
      </c>
      <c r="U366" s="210">
        <f>IF(COUNTIF($A$2:A372, A366)=1, 1, 0)</f>
        <v>1</v>
      </c>
      <c r="V366" s="210"/>
    </row>
    <row r="367">
      <c r="A367" s="220" t="s">
        <v>253</v>
      </c>
      <c r="B367" s="190" t="s">
        <v>254</v>
      </c>
      <c r="C367" s="223" t="s">
        <v>84</v>
      </c>
      <c r="D367" s="223" t="s">
        <v>877</v>
      </c>
      <c r="E367" s="190" t="s">
        <v>24</v>
      </c>
      <c r="F367" s="190"/>
      <c r="G367" s="190"/>
      <c r="H367" s="219">
        <f>IFERROR(
  MINIFS(ATTENDANCE_LOG!$F:$F,
         ATTENDANCE_LOG!$A:$A, C367,
         ATTENDANCE_LOG!$B:$B, E367),
"")</f>
        <v>46091.54167</v>
      </c>
      <c r="I367" s="190" t="str">
        <f>IFERROR(VLOOKUP(F367, LEVEL_HELPER!$A:$B, 2, 0), "")</f>
        <v/>
      </c>
      <c r="J367" s="190" t="str">
        <f>IFERROR(VLOOKUP(G367, LEVEL_HELPER!$A:$B, 2, 0), "")</f>
        <v/>
      </c>
      <c r="K367" s="190" t="str">
        <f t="shared" ref="K367:L367" si="744">IF(OR(I367="", I367=0), "",
  IF(I367&lt;=2,   1,
  IF(I367&lt;=4,   2,
  IF(I367&lt;=5.5, 3, 4))))</f>
        <v/>
      </c>
      <c r="L367" s="190" t="str">
        <f t="shared" si="744"/>
        <v/>
      </c>
      <c r="M367" s="190" t="str">
        <f t="shared" si="4"/>
        <v>No Data</v>
      </c>
      <c r="N367" s="220" t="s">
        <v>931</v>
      </c>
      <c r="O367" s="220" t="s">
        <v>924</v>
      </c>
      <c r="P367" s="190">
        <f t="shared" si="5"/>
        <v>2.5</v>
      </c>
      <c r="Q367" s="210">
        <f t="shared" si="6"/>
        <v>5.5</v>
      </c>
      <c r="R367" s="210">
        <f t="shared" ref="R367:S367" si="745">IF(OR(P367="", P367=0), "",
  IF(P367&lt;=2,   1,
  IF(P367&lt;=4,   2,
  IF(P367&lt;=5.5, 3, 4))))</f>
        <v>2</v>
      </c>
      <c r="S367" s="210">
        <f t="shared" si="745"/>
        <v>3</v>
      </c>
      <c r="T367" s="210" t="str">
        <f t="shared" si="8"/>
        <v>Lv2 → Lv3</v>
      </c>
      <c r="U367" s="210">
        <f t="shared" ref="U367:U372" si="748">IF(COUNTIF($A$2:A367, A367)=1, 1, 0)</f>
        <v>1</v>
      </c>
      <c r="V367" s="210"/>
    </row>
    <row r="368">
      <c r="A368" s="220" t="s">
        <v>447</v>
      </c>
      <c r="B368" s="190" t="s">
        <v>448</v>
      </c>
      <c r="C368" s="223" t="s">
        <v>84</v>
      </c>
      <c r="D368" s="223" t="s">
        <v>877</v>
      </c>
      <c r="E368" s="190" t="s">
        <v>24</v>
      </c>
      <c r="F368" s="190"/>
      <c r="G368" s="190"/>
      <c r="H368" s="219">
        <f>IFERROR(
  MINIFS(ATTENDANCE_LOG!$F:$F,
         ATTENDANCE_LOG!$A:$A, C368,
         ATTENDANCE_LOG!$B:$B, E368),
"")</f>
        <v>46091.54167</v>
      </c>
      <c r="I368" s="190" t="str">
        <f>IFERROR(VLOOKUP(F368, LEVEL_HELPER!$A:$B, 2, 0), "")</f>
        <v/>
      </c>
      <c r="J368" s="190" t="str">
        <f>IFERROR(VLOOKUP(G368, LEVEL_HELPER!$A:$B, 2, 0), "")</f>
        <v/>
      </c>
      <c r="K368" s="190" t="str">
        <f t="shared" ref="K368:L368" si="746">IF(OR(I368="", I368=0), "",
  IF(I368&lt;=2,   1,
  IF(I368&lt;=4,   2,
  IF(I368&lt;=5.5, 3, 4))))</f>
        <v/>
      </c>
      <c r="L368" s="190" t="str">
        <f t="shared" si="746"/>
        <v/>
      </c>
      <c r="M368" s="190" t="str">
        <f t="shared" si="4"/>
        <v>No Data</v>
      </c>
      <c r="N368" s="220" t="s">
        <v>931</v>
      </c>
      <c r="O368" s="220" t="s">
        <v>924</v>
      </c>
      <c r="P368" s="190">
        <f t="shared" si="5"/>
        <v>1</v>
      </c>
      <c r="Q368" s="210">
        <f t="shared" si="6"/>
        <v>5</v>
      </c>
      <c r="R368" s="210">
        <f t="shared" ref="R368:S368" si="747">IF(OR(P368="", P368=0), "",
  IF(P368&lt;=2,   1,
  IF(P368&lt;=4,   2,
  IF(P368&lt;=5.5, 3, 4))))</f>
        <v>1</v>
      </c>
      <c r="S368" s="210">
        <f t="shared" si="747"/>
        <v>3</v>
      </c>
      <c r="T368" s="210" t="str">
        <f t="shared" si="8"/>
        <v>Lv1 → Lv3 (multi)</v>
      </c>
      <c r="U368" s="210">
        <f t="shared" si="748"/>
        <v>1</v>
      </c>
      <c r="V368" s="210"/>
    </row>
    <row r="369">
      <c r="A369" s="220" t="s">
        <v>486</v>
      </c>
      <c r="B369" s="190" t="s">
        <v>487</v>
      </c>
      <c r="C369" s="223" t="s">
        <v>84</v>
      </c>
      <c r="D369" s="223" t="s">
        <v>877</v>
      </c>
      <c r="E369" s="190" t="s">
        <v>24</v>
      </c>
      <c r="F369" s="190"/>
      <c r="G369" s="190"/>
      <c r="H369" s="219">
        <f>IFERROR(
  MINIFS(ATTENDANCE_LOG!$F:$F,
         ATTENDANCE_LOG!$A:$A, C369,
         ATTENDANCE_LOG!$B:$B, E369),
"")</f>
        <v>46091.54167</v>
      </c>
      <c r="I369" s="190" t="str">
        <f>IFERROR(VLOOKUP(F369, LEVEL_HELPER!$A:$B, 2, 0), "")</f>
        <v/>
      </c>
      <c r="J369" s="190" t="str">
        <f>IFERROR(VLOOKUP(G369, LEVEL_HELPER!$A:$B, 2, 0), "")</f>
        <v/>
      </c>
      <c r="K369" s="190" t="str">
        <f t="shared" ref="K369:L369" si="749">IF(OR(I369="", I369=0), "",
  IF(I369&lt;=2,   1,
  IF(I369&lt;=4,   2,
  IF(I369&lt;=5.5, 3, 4))))</f>
        <v/>
      </c>
      <c r="L369" s="190" t="str">
        <f t="shared" si="749"/>
        <v/>
      </c>
      <c r="M369" s="190" t="str">
        <f t="shared" si="4"/>
        <v>No Data</v>
      </c>
      <c r="N369" s="220" t="s">
        <v>931</v>
      </c>
      <c r="O369" s="220" t="s">
        <v>924</v>
      </c>
      <c r="P369" s="190">
        <f t="shared" si="5"/>
        <v>1</v>
      </c>
      <c r="Q369" s="210">
        <f t="shared" si="6"/>
        <v>5</v>
      </c>
      <c r="R369" s="210">
        <f t="shared" ref="R369:S369" si="750">IF(OR(P369="", P369=0), "",
  IF(P369&lt;=2,   1,
  IF(P369&lt;=4,   2,
  IF(P369&lt;=5.5, 3, 4))))</f>
        <v>1</v>
      </c>
      <c r="S369" s="210">
        <f t="shared" si="750"/>
        <v>3</v>
      </c>
      <c r="T369" s="210" t="str">
        <f t="shared" si="8"/>
        <v>Lv1 → Lv3 (multi)</v>
      </c>
      <c r="U369" s="210">
        <f t="shared" si="748"/>
        <v>1</v>
      </c>
      <c r="V369" s="210"/>
    </row>
    <row r="370">
      <c r="A370" s="220" t="s">
        <v>508</v>
      </c>
      <c r="B370" s="190" t="s">
        <v>509</v>
      </c>
      <c r="C370" s="223" t="s">
        <v>84</v>
      </c>
      <c r="D370" s="223" t="s">
        <v>877</v>
      </c>
      <c r="E370" s="190" t="s">
        <v>24</v>
      </c>
      <c r="F370" s="190"/>
      <c r="G370" s="190"/>
      <c r="H370" s="219">
        <f>IFERROR(
  MINIFS(ATTENDANCE_LOG!$F:$F,
         ATTENDANCE_LOG!$A:$A, C370,
         ATTENDANCE_LOG!$B:$B, E370),
"")</f>
        <v>46091.54167</v>
      </c>
      <c r="I370" s="190" t="str">
        <f>IFERROR(VLOOKUP(F370, LEVEL_HELPER!$A:$B, 2, 0), "")</f>
        <v/>
      </c>
      <c r="J370" s="190" t="str">
        <f>IFERROR(VLOOKUP(G370, LEVEL_HELPER!$A:$B, 2, 0), "")</f>
        <v/>
      </c>
      <c r="K370" s="190" t="str">
        <f t="shared" ref="K370:L370" si="751">IF(OR(I370="", I370=0), "",
  IF(I370&lt;=2,   1,
  IF(I370&lt;=4,   2,
  IF(I370&lt;=5.5, 3, 4))))</f>
        <v/>
      </c>
      <c r="L370" s="190" t="str">
        <f t="shared" si="751"/>
        <v/>
      </c>
      <c r="M370" s="190" t="str">
        <f t="shared" si="4"/>
        <v>No Data</v>
      </c>
      <c r="N370" s="220" t="s">
        <v>931</v>
      </c>
      <c r="O370" s="220" t="s">
        <v>924</v>
      </c>
      <c r="P370" s="190">
        <f t="shared" si="5"/>
        <v>1</v>
      </c>
      <c r="Q370" s="210">
        <f t="shared" si="6"/>
        <v>5.5</v>
      </c>
      <c r="R370" s="210">
        <f t="shared" ref="R370:S370" si="752">IF(OR(P370="", P370=0), "",
  IF(P370&lt;=2,   1,
  IF(P370&lt;=4,   2,
  IF(P370&lt;=5.5, 3, 4))))</f>
        <v>1</v>
      </c>
      <c r="S370" s="210">
        <f t="shared" si="752"/>
        <v>3</v>
      </c>
      <c r="T370" s="210" t="str">
        <f t="shared" si="8"/>
        <v>Lv1 → Lv3 (multi)</v>
      </c>
      <c r="U370" s="210">
        <f t="shared" si="748"/>
        <v>1</v>
      </c>
      <c r="V370" s="210"/>
    </row>
    <row r="371">
      <c r="A371" s="220" t="s">
        <v>597</v>
      </c>
      <c r="B371" s="190" t="s">
        <v>598</v>
      </c>
      <c r="C371" s="223" t="s">
        <v>84</v>
      </c>
      <c r="D371" s="223" t="s">
        <v>877</v>
      </c>
      <c r="E371" s="190" t="s">
        <v>24</v>
      </c>
      <c r="F371" s="190"/>
      <c r="G371" s="190"/>
      <c r="H371" s="219">
        <f>IFERROR(
  MINIFS(ATTENDANCE_LOG!$F:$F,
         ATTENDANCE_LOG!$A:$A, C371,
         ATTENDANCE_LOG!$B:$B, E371),
"")</f>
        <v>46091.54167</v>
      </c>
      <c r="I371" s="190" t="str">
        <f>IFERROR(VLOOKUP(F371, LEVEL_HELPER!$A:$B, 2, 0), "")</f>
        <v/>
      </c>
      <c r="J371" s="190" t="str">
        <f>IFERROR(VLOOKUP(G371, LEVEL_HELPER!$A:$B, 2, 0), "")</f>
        <v/>
      </c>
      <c r="K371" s="190" t="str">
        <f t="shared" ref="K371:L371" si="753">IF(OR(I371="", I371=0), "",
  IF(I371&lt;=2,   1,
  IF(I371&lt;=4,   2,
  IF(I371&lt;=5.5, 3, 4))))</f>
        <v/>
      </c>
      <c r="L371" s="190" t="str">
        <f t="shared" si="753"/>
        <v/>
      </c>
      <c r="M371" s="190" t="str">
        <f t="shared" si="4"/>
        <v>No Data</v>
      </c>
      <c r="N371" s="220" t="s">
        <v>931</v>
      </c>
      <c r="O371" s="220" t="s">
        <v>924</v>
      </c>
      <c r="P371" s="190">
        <f t="shared" si="5"/>
        <v>1</v>
      </c>
      <c r="Q371" s="210">
        <f t="shared" si="6"/>
        <v>5</v>
      </c>
      <c r="R371" s="210">
        <f t="shared" ref="R371:S371" si="754">IF(OR(P371="", P371=0), "",
  IF(P371&lt;=2,   1,
  IF(P371&lt;=4,   2,
  IF(P371&lt;=5.5, 3, 4))))</f>
        <v>1</v>
      </c>
      <c r="S371" s="210">
        <f t="shared" si="754"/>
        <v>3</v>
      </c>
      <c r="T371" s="210" t="str">
        <f t="shared" si="8"/>
        <v>Lv1 → Lv3 (multi)</v>
      </c>
      <c r="U371" s="210">
        <f t="shared" si="748"/>
        <v>1</v>
      </c>
      <c r="V371" s="210"/>
    </row>
    <row r="372">
      <c r="A372" s="220" t="s">
        <v>623</v>
      </c>
      <c r="B372" s="190" t="s">
        <v>624</v>
      </c>
      <c r="C372" s="223" t="s">
        <v>84</v>
      </c>
      <c r="D372" s="223" t="s">
        <v>877</v>
      </c>
      <c r="E372" s="190" t="s">
        <v>24</v>
      </c>
      <c r="F372" s="190"/>
      <c r="G372" s="190"/>
      <c r="H372" s="219">
        <f>IFERROR(
  MINIFS(ATTENDANCE_LOG!$F:$F,
         ATTENDANCE_LOG!$A:$A, C372,
         ATTENDANCE_LOG!$B:$B, E372),
"")</f>
        <v>46091.54167</v>
      </c>
      <c r="I372" s="190" t="str">
        <f>IFERROR(VLOOKUP(F372, LEVEL_HELPER!$A:$B, 2, 0), "")</f>
        <v/>
      </c>
      <c r="J372" s="190" t="str">
        <f>IFERROR(VLOOKUP(G372, LEVEL_HELPER!$A:$B, 2, 0), "")</f>
        <v/>
      </c>
      <c r="K372" s="190" t="str">
        <f t="shared" ref="K372:L372" si="755">IF(OR(I372="", I372=0), "",
  IF(I372&lt;=2,   1,
  IF(I372&lt;=4,   2,
  IF(I372&lt;=5.5, 3, 4))))</f>
        <v/>
      </c>
      <c r="L372" s="190" t="str">
        <f t="shared" si="755"/>
        <v/>
      </c>
      <c r="M372" s="190" t="str">
        <f t="shared" si="4"/>
        <v>No Data</v>
      </c>
      <c r="N372" s="220" t="s">
        <v>931</v>
      </c>
      <c r="O372" s="220" t="s">
        <v>924</v>
      </c>
      <c r="P372" s="190">
        <f t="shared" si="5"/>
        <v>1</v>
      </c>
      <c r="Q372" s="210">
        <f t="shared" si="6"/>
        <v>3</v>
      </c>
      <c r="R372" s="210">
        <f t="shared" ref="R372:S372" si="756">IF(OR(P372="", P372=0), "",
  IF(P372&lt;=2,   1,
  IF(P372&lt;=4,   2,
  IF(P372&lt;=5.5, 3, 4))))</f>
        <v>1</v>
      </c>
      <c r="S372" s="210">
        <f t="shared" si="756"/>
        <v>2</v>
      </c>
      <c r="T372" s="210" t="str">
        <f t="shared" si="8"/>
        <v>Lv1 → Lv2</v>
      </c>
      <c r="U372" s="210">
        <f t="shared" si="748"/>
        <v>1</v>
      </c>
      <c r="V372" s="210"/>
    </row>
    <row r="373">
      <c r="A373" s="247" t="s">
        <v>649</v>
      </c>
      <c r="B373" s="217" t="s">
        <v>650</v>
      </c>
      <c r="C373" s="218" t="s">
        <v>84</v>
      </c>
      <c r="D373" s="218" t="s">
        <v>877</v>
      </c>
      <c r="E373" s="217" t="s">
        <v>21</v>
      </c>
      <c r="F373" s="13" t="s">
        <v>927</v>
      </c>
      <c r="G373" s="13" t="s">
        <v>918</v>
      </c>
      <c r="H373" s="219">
        <f>IFERROR(
  MINIFS(ATTENDANCE_LOG!$F:$F,
         ATTENDANCE_LOG!$A:$A, C373,
         ATTENDANCE_LOG!$B:$B, E373),
"")</f>
        <v>45764.58333</v>
      </c>
      <c r="I373" s="190">
        <f>IFERROR(VLOOKUP(F373, LEVEL_HELPER!$A:$B, 2, 0), "")</f>
        <v>1</v>
      </c>
      <c r="J373" s="190">
        <f>IFERROR(VLOOKUP(G373, LEVEL_HELPER!$A:$B, 2, 0), "")</f>
        <v>3</v>
      </c>
      <c r="K373" s="190">
        <f t="shared" ref="K373:L373" si="757">IF(OR(I373="", I373=0), "",
  IF(I373&lt;=2,   1,
  IF(I373&lt;=4,   2,
  IF(I373&lt;=5.5, 3, 4))))</f>
        <v>1</v>
      </c>
      <c r="L373" s="190">
        <f t="shared" si="757"/>
        <v>2</v>
      </c>
      <c r="M373" s="190" t="str">
        <f t="shared" si="4"/>
        <v>Lv1 → Lv2</v>
      </c>
      <c r="N373" s="220" t="s">
        <v>931</v>
      </c>
      <c r="O373" s="220" t="s">
        <v>924</v>
      </c>
      <c r="P373" s="190">
        <f t="shared" si="5"/>
        <v>1</v>
      </c>
      <c r="Q373" s="210">
        <f t="shared" si="6"/>
        <v>5</v>
      </c>
      <c r="R373" s="210">
        <f t="shared" ref="R373:S373" si="758">IF(OR(P373="", P373=0), "",
  IF(P373&lt;=2,   1,
  IF(P373&lt;=4,   2,
  IF(P373&lt;=5.5, 3, 4))))</f>
        <v>1</v>
      </c>
      <c r="S373" s="210">
        <f t="shared" si="758"/>
        <v>3</v>
      </c>
      <c r="T373" s="210" t="str">
        <f t="shared" si="8"/>
        <v>Lv1 → Lv3 (multi)</v>
      </c>
      <c r="U373" s="210">
        <f>IF(COUNTIF($A$2:A382, A373)=1, 1, 0)</f>
        <v>0</v>
      </c>
      <c r="V373" s="210"/>
    </row>
    <row r="374">
      <c r="A374" s="220" t="s">
        <v>241</v>
      </c>
      <c r="B374" s="190" t="s">
        <v>242</v>
      </c>
      <c r="C374" s="223" t="s">
        <v>84</v>
      </c>
      <c r="D374" s="223" t="s">
        <v>877</v>
      </c>
      <c r="E374" s="190" t="s">
        <v>21</v>
      </c>
      <c r="F374" s="13" t="s">
        <v>927</v>
      </c>
      <c r="G374" s="13" t="s">
        <v>929</v>
      </c>
      <c r="H374" s="219">
        <f>IFERROR(
  MINIFS(ATTENDANCE_LOG!$F:$F,
         ATTENDANCE_LOG!$A:$A, C374,
         ATTENDANCE_LOG!$B:$B, E374),
"")</f>
        <v>45764.58333</v>
      </c>
      <c r="I374" s="190">
        <f>IFERROR(VLOOKUP(F374, LEVEL_HELPER!$A:$B, 2, 0), "")</f>
        <v>1</v>
      </c>
      <c r="J374" s="190">
        <f>IFERROR(VLOOKUP(G374, LEVEL_HELPER!$A:$B, 2, 0), "")</f>
        <v>1.5</v>
      </c>
      <c r="K374" s="190">
        <f t="shared" ref="K374:L374" si="759">IF(OR(I374="", I374=0), "",
  IF(I374&lt;=2,   1,
  IF(I374&lt;=4,   2,
  IF(I374&lt;=5.5, 3, 4))))</f>
        <v>1</v>
      </c>
      <c r="L374" s="190">
        <f t="shared" si="759"/>
        <v>1</v>
      </c>
      <c r="M374" s="190" t="str">
        <f t="shared" si="4"/>
        <v>Progress within level</v>
      </c>
      <c r="N374" s="220" t="s">
        <v>919</v>
      </c>
      <c r="O374" s="220" t="s">
        <v>924</v>
      </c>
      <c r="P374" s="190">
        <f t="shared" si="5"/>
        <v>1</v>
      </c>
      <c r="Q374" s="210">
        <f t="shared" si="6"/>
        <v>3</v>
      </c>
      <c r="R374" s="210">
        <f t="shared" ref="R374:S374" si="760">IF(OR(P374="", P374=0), "",
  IF(P374&lt;=2,   1,
  IF(P374&lt;=4,   2,
  IF(P374&lt;=5.5, 3, 4))))</f>
        <v>1</v>
      </c>
      <c r="S374" s="210">
        <f t="shared" si="760"/>
        <v>2</v>
      </c>
      <c r="T374" s="210" t="str">
        <f t="shared" si="8"/>
        <v>Lv1 → Lv2</v>
      </c>
      <c r="U374" s="210">
        <f t="shared" ref="U374:U382" si="763">IF(COUNTIF($A$2:A374, A374)=1, 1, 0)</f>
        <v>0</v>
      </c>
      <c r="V374" s="210"/>
    </row>
    <row r="375">
      <c r="A375" s="220" t="s">
        <v>253</v>
      </c>
      <c r="B375" s="190" t="s">
        <v>254</v>
      </c>
      <c r="C375" s="223" t="s">
        <v>84</v>
      </c>
      <c r="D375" s="223" t="s">
        <v>877</v>
      </c>
      <c r="E375" s="190" t="s">
        <v>21</v>
      </c>
      <c r="F375" s="13" t="s">
        <v>917</v>
      </c>
      <c r="G375" s="13" t="s">
        <v>935</v>
      </c>
      <c r="H375" s="219">
        <f>IFERROR(
  MINIFS(ATTENDANCE_LOG!$F:$F,
         ATTENDANCE_LOG!$A:$A, C375,
         ATTENDANCE_LOG!$B:$B, E375),
"")</f>
        <v>45764.58333</v>
      </c>
      <c r="I375" s="190">
        <f>IFERROR(VLOOKUP(F375, LEVEL_HELPER!$A:$B, 2, 0), "")</f>
        <v>2.5</v>
      </c>
      <c r="J375" s="190">
        <f>IFERROR(VLOOKUP(G375, LEVEL_HELPER!$A:$B, 2, 0), "")</f>
        <v>3.5</v>
      </c>
      <c r="K375" s="190">
        <f t="shared" ref="K375:L375" si="761">IF(OR(I375="", I375=0), "",
  IF(I375&lt;=2,   1,
  IF(I375&lt;=4,   2,
  IF(I375&lt;=5.5, 3, 4))))</f>
        <v>2</v>
      </c>
      <c r="L375" s="190">
        <f t="shared" si="761"/>
        <v>2</v>
      </c>
      <c r="M375" s="190" t="str">
        <f t="shared" si="4"/>
        <v>Progress within level</v>
      </c>
      <c r="N375" s="220" t="s">
        <v>931</v>
      </c>
      <c r="O375" s="220" t="s">
        <v>924</v>
      </c>
      <c r="P375" s="190">
        <f t="shared" si="5"/>
        <v>2.5</v>
      </c>
      <c r="Q375" s="210">
        <f t="shared" si="6"/>
        <v>5.5</v>
      </c>
      <c r="R375" s="210">
        <f t="shared" ref="R375:S375" si="762">IF(OR(P375="", P375=0), "",
  IF(P375&lt;=2,   1,
  IF(P375&lt;=4,   2,
  IF(P375&lt;=5.5, 3, 4))))</f>
        <v>2</v>
      </c>
      <c r="S375" s="210">
        <f t="shared" si="762"/>
        <v>3</v>
      </c>
      <c r="T375" s="210" t="str">
        <f t="shared" si="8"/>
        <v>Lv2 → Lv3</v>
      </c>
      <c r="U375" s="210">
        <f t="shared" si="763"/>
        <v>0</v>
      </c>
      <c r="V375" s="210"/>
    </row>
    <row r="376">
      <c r="A376" s="220" t="s">
        <v>447</v>
      </c>
      <c r="B376" s="190" t="s">
        <v>448</v>
      </c>
      <c r="C376" s="223" t="s">
        <v>84</v>
      </c>
      <c r="D376" s="223" t="s">
        <v>877</v>
      </c>
      <c r="E376" s="190" t="s">
        <v>21</v>
      </c>
      <c r="F376" s="13" t="s">
        <v>927</v>
      </c>
      <c r="G376" s="13" t="s">
        <v>929</v>
      </c>
      <c r="H376" s="219">
        <f>IFERROR(
  MINIFS(ATTENDANCE_LOG!$F:$F,
         ATTENDANCE_LOG!$A:$A, C376,
         ATTENDANCE_LOG!$B:$B, E376),
"")</f>
        <v>45764.58333</v>
      </c>
      <c r="I376" s="190">
        <f>IFERROR(VLOOKUP(F376, LEVEL_HELPER!$A:$B, 2, 0), "")</f>
        <v>1</v>
      </c>
      <c r="J376" s="190">
        <f>IFERROR(VLOOKUP(G376, LEVEL_HELPER!$A:$B, 2, 0), "")</f>
        <v>1.5</v>
      </c>
      <c r="K376" s="190">
        <f t="shared" ref="K376:L376" si="764">IF(OR(I376="", I376=0), "",
  IF(I376&lt;=2,   1,
  IF(I376&lt;=4,   2,
  IF(I376&lt;=5.5, 3, 4))))</f>
        <v>1</v>
      </c>
      <c r="L376" s="190">
        <f t="shared" si="764"/>
        <v>1</v>
      </c>
      <c r="M376" s="190" t="str">
        <f t="shared" si="4"/>
        <v>Progress within level</v>
      </c>
      <c r="N376" s="220" t="s">
        <v>931</v>
      </c>
      <c r="O376" s="220" t="s">
        <v>924</v>
      </c>
      <c r="P376" s="190">
        <f t="shared" si="5"/>
        <v>1</v>
      </c>
      <c r="Q376" s="210">
        <f t="shared" si="6"/>
        <v>5</v>
      </c>
      <c r="R376" s="210">
        <f t="shared" ref="R376:S376" si="765">IF(OR(P376="", P376=0), "",
  IF(P376&lt;=2,   1,
  IF(P376&lt;=4,   2,
  IF(P376&lt;=5.5, 3, 4))))</f>
        <v>1</v>
      </c>
      <c r="S376" s="210">
        <f t="shared" si="765"/>
        <v>3</v>
      </c>
      <c r="T376" s="210" t="str">
        <f t="shared" si="8"/>
        <v>Lv1 → Lv3 (multi)</v>
      </c>
      <c r="U376" s="210">
        <f t="shared" si="763"/>
        <v>0</v>
      </c>
      <c r="V376" s="210"/>
    </row>
    <row r="377">
      <c r="A377" s="220" t="s">
        <v>463</v>
      </c>
      <c r="B377" s="190" t="s">
        <v>464</v>
      </c>
      <c r="C377" s="223" t="s">
        <v>84</v>
      </c>
      <c r="D377" s="223" t="s">
        <v>877</v>
      </c>
      <c r="E377" s="190" t="s">
        <v>21</v>
      </c>
      <c r="F377" s="13" t="s">
        <v>927</v>
      </c>
      <c r="G377" s="13" t="s">
        <v>929</v>
      </c>
      <c r="H377" s="219">
        <f>IFERROR(
  MINIFS(ATTENDANCE_LOG!$F:$F,
         ATTENDANCE_LOG!$A:$A, C377,
         ATTENDANCE_LOG!$B:$B, E377),
"")</f>
        <v>45764.58333</v>
      </c>
      <c r="I377" s="190">
        <f>IFERROR(VLOOKUP(F377, LEVEL_HELPER!$A:$B, 2, 0), "")</f>
        <v>1</v>
      </c>
      <c r="J377" s="190">
        <f>IFERROR(VLOOKUP(G377, LEVEL_HELPER!$A:$B, 2, 0), "")</f>
        <v>1.5</v>
      </c>
      <c r="K377" s="190">
        <f t="shared" ref="K377:L377" si="766">IF(OR(I377="", I377=0), "",
  IF(I377&lt;=2,   1,
  IF(I377&lt;=4,   2,
  IF(I377&lt;=5.5, 3, 4))))</f>
        <v>1</v>
      </c>
      <c r="L377" s="190">
        <f t="shared" si="766"/>
        <v>1</v>
      </c>
      <c r="M377" s="190" t="str">
        <f t="shared" si="4"/>
        <v>Progress within level</v>
      </c>
      <c r="N377" s="220" t="s">
        <v>919</v>
      </c>
      <c r="O377" s="220" t="s">
        <v>924</v>
      </c>
      <c r="P377" s="190">
        <f t="shared" si="5"/>
        <v>1</v>
      </c>
      <c r="Q377" s="210">
        <f t="shared" si="6"/>
        <v>1.5</v>
      </c>
      <c r="R377" s="210">
        <f t="shared" ref="R377:S377" si="767">IF(OR(P377="", P377=0), "",
  IF(P377&lt;=2,   1,
  IF(P377&lt;=4,   2,
  IF(P377&lt;=5.5, 3, 4))))</f>
        <v>1</v>
      </c>
      <c r="S377" s="210">
        <f t="shared" si="767"/>
        <v>1</v>
      </c>
      <c r="T377" s="210" t="str">
        <f t="shared" si="8"/>
        <v>Progress within level</v>
      </c>
      <c r="U377" s="210">
        <f t="shared" si="763"/>
        <v>0</v>
      </c>
      <c r="V377" s="210"/>
    </row>
    <row r="378">
      <c r="A378" s="220" t="s">
        <v>472</v>
      </c>
      <c r="B378" s="190" t="s">
        <v>473</v>
      </c>
      <c r="C378" s="223" t="s">
        <v>84</v>
      </c>
      <c r="D378" s="223" t="s">
        <v>877</v>
      </c>
      <c r="E378" s="190" t="s">
        <v>21</v>
      </c>
      <c r="F378" s="13" t="s">
        <v>927</v>
      </c>
      <c r="G378" s="190"/>
      <c r="H378" s="219">
        <f>IFERROR(
  MINIFS(ATTENDANCE_LOG!$F:$F,
         ATTENDANCE_LOG!$A:$A, C378,
         ATTENDANCE_LOG!$B:$B, E378),
"")</f>
        <v>45764.58333</v>
      </c>
      <c r="I378" s="190">
        <f>IFERROR(VLOOKUP(F378, LEVEL_HELPER!$A:$B, 2, 0), "")</f>
        <v>1</v>
      </c>
      <c r="J378" s="190" t="str">
        <f>IFERROR(VLOOKUP(G378, LEVEL_HELPER!$A:$B, 2, 0), "")</f>
        <v/>
      </c>
      <c r="K378" s="190">
        <f t="shared" ref="K378:L378" si="768">IF(OR(I378="", I378=0), "",
  IF(I378&lt;=2,   1,
  IF(I378&lt;=4,   2,
  IF(I378&lt;=5.5, 3, 4))))</f>
        <v>1</v>
      </c>
      <c r="L378" s="190" t="str">
        <f t="shared" si="768"/>
        <v/>
      </c>
      <c r="M378" s="190" t="str">
        <f t="shared" si="4"/>
        <v>No Data</v>
      </c>
      <c r="N378" s="220" t="s">
        <v>919</v>
      </c>
      <c r="O378" s="220" t="s">
        <v>923</v>
      </c>
      <c r="P378" s="190">
        <f t="shared" si="5"/>
        <v>1</v>
      </c>
      <c r="Q378" s="210">
        <f t="shared" si="6"/>
        <v>0</v>
      </c>
      <c r="R378" s="210">
        <f t="shared" ref="R378:S378" si="769">IF(OR(P378="", P378=0), "",
  IF(P378&lt;=2,   1,
  IF(P378&lt;=4,   2,
  IF(P378&lt;=5.5, 3, 4))))</f>
        <v>1</v>
      </c>
      <c r="S378" s="210" t="str">
        <f t="shared" si="769"/>
        <v/>
      </c>
      <c r="T378" s="210" t="str">
        <f t="shared" si="8"/>
        <v>No Data</v>
      </c>
      <c r="U378" s="210">
        <f t="shared" si="763"/>
        <v>1</v>
      </c>
      <c r="V378" s="210"/>
    </row>
    <row r="379">
      <c r="A379" s="220" t="s">
        <v>486</v>
      </c>
      <c r="B379" s="190" t="s">
        <v>487</v>
      </c>
      <c r="C379" s="223" t="s">
        <v>84</v>
      </c>
      <c r="D379" s="223" t="s">
        <v>877</v>
      </c>
      <c r="E379" s="190" t="s">
        <v>21</v>
      </c>
      <c r="F379" s="13" t="s">
        <v>927</v>
      </c>
      <c r="G379" s="13" t="s">
        <v>918</v>
      </c>
      <c r="H379" s="219">
        <f>IFERROR(
  MINIFS(ATTENDANCE_LOG!$F:$F,
         ATTENDANCE_LOG!$A:$A, C379,
         ATTENDANCE_LOG!$B:$B, E379),
"")</f>
        <v>45764.58333</v>
      </c>
      <c r="I379" s="190">
        <f>IFERROR(VLOOKUP(F379, LEVEL_HELPER!$A:$B, 2, 0), "")</f>
        <v>1</v>
      </c>
      <c r="J379" s="190">
        <f>IFERROR(VLOOKUP(G379, LEVEL_HELPER!$A:$B, 2, 0), "")</f>
        <v>3</v>
      </c>
      <c r="K379" s="190">
        <f t="shared" ref="K379:L379" si="770">IF(OR(I379="", I379=0), "",
  IF(I379&lt;=2,   1,
  IF(I379&lt;=4,   2,
  IF(I379&lt;=5.5, 3, 4))))</f>
        <v>1</v>
      </c>
      <c r="L379" s="190">
        <f t="shared" si="770"/>
        <v>2</v>
      </c>
      <c r="M379" s="190" t="str">
        <f t="shared" si="4"/>
        <v>Lv1 → Lv2</v>
      </c>
      <c r="N379" s="220" t="s">
        <v>931</v>
      </c>
      <c r="O379" s="220" t="s">
        <v>924</v>
      </c>
      <c r="P379" s="190">
        <f t="shared" si="5"/>
        <v>1</v>
      </c>
      <c r="Q379" s="210">
        <f t="shared" si="6"/>
        <v>5</v>
      </c>
      <c r="R379" s="210">
        <f t="shared" ref="R379:S379" si="771">IF(OR(P379="", P379=0), "",
  IF(P379&lt;=2,   1,
  IF(P379&lt;=4,   2,
  IF(P379&lt;=5.5, 3, 4))))</f>
        <v>1</v>
      </c>
      <c r="S379" s="210">
        <f t="shared" si="771"/>
        <v>3</v>
      </c>
      <c r="T379" s="210" t="str">
        <f t="shared" si="8"/>
        <v>Lv1 → Lv3 (multi)</v>
      </c>
      <c r="U379" s="210">
        <f t="shared" si="763"/>
        <v>0</v>
      </c>
      <c r="V379" s="210"/>
    </row>
    <row r="380">
      <c r="A380" s="220" t="s">
        <v>508</v>
      </c>
      <c r="B380" s="190" t="s">
        <v>509</v>
      </c>
      <c r="C380" s="223" t="s">
        <v>84</v>
      </c>
      <c r="D380" s="223" t="s">
        <v>877</v>
      </c>
      <c r="E380" s="190" t="s">
        <v>21</v>
      </c>
      <c r="F380" s="13" t="s">
        <v>927</v>
      </c>
      <c r="G380" s="13" t="s">
        <v>918</v>
      </c>
      <c r="H380" s="219">
        <f>IFERROR(
  MINIFS(ATTENDANCE_LOG!$F:$F,
         ATTENDANCE_LOG!$A:$A, C380,
         ATTENDANCE_LOG!$B:$B, E380),
"")</f>
        <v>45764.58333</v>
      </c>
      <c r="I380" s="190">
        <f>IFERROR(VLOOKUP(F380, LEVEL_HELPER!$A:$B, 2, 0), "")</f>
        <v>1</v>
      </c>
      <c r="J380" s="190">
        <f>IFERROR(VLOOKUP(G380, LEVEL_HELPER!$A:$B, 2, 0), "")</f>
        <v>3</v>
      </c>
      <c r="K380" s="190">
        <f t="shared" ref="K380:L380" si="772">IF(OR(I380="", I380=0), "",
  IF(I380&lt;=2,   1,
  IF(I380&lt;=4,   2,
  IF(I380&lt;=5.5, 3, 4))))</f>
        <v>1</v>
      </c>
      <c r="L380" s="190">
        <f t="shared" si="772"/>
        <v>2</v>
      </c>
      <c r="M380" s="190" t="str">
        <f t="shared" si="4"/>
        <v>Lv1 → Lv2</v>
      </c>
      <c r="N380" s="220" t="s">
        <v>931</v>
      </c>
      <c r="O380" s="220" t="s">
        <v>924</v>
      </c>
      <c r="P380" s="190">
        <f t="shared" si="5"/>
        <v>1</v>
      </c>
      <c r="Q380" s="210">
        <f t="shared" si="6"/>
        <v>5.5</v>
      </c>
      <c r="R380" s="210">
        <f t="shared" ref="R380:S380" si="773">IF(OR(P380="", P380=0), "",
  IF(P380&lt;=2,   1,
  IF(P380&lt;=4,   2,
  IF(P380&lt;=5.5, 3, 4))))</f>
        <v>1</v>
      </c>
      <c r="S380" s="210">
        <f t="shared" si="773"/>
        <v>3</v>
      </c>
      <c r="T380" s="210" t="str">
        <f t="shared" si="8"/>
        <v>Lv1 → Lv3 (multi)</v>
      </c>
      <c r="U380" s="210">
        <f t="shared" si="763"/>
        <v>0</v>
      </c>
      <c r="V380" s="210"/>
    </row>
    <row r="381">
      <c r="A381" s="220" t="s">
        <v>597</v>
      </c>
      <c r="B381" s="190" t="s">
        <v>598</v>
      </c>
      <c r="C381" s="223" t="s">
        <v>84</v>
      </c>
      <c r="D381" s="223" t="s">
        <v>877</v>
      </c>
      <c r="E381" s="190" t="s">
        <v>21</v>
      </c>
      <c r="F381" s="13" t="s">
        <v>927</v>
      </c>
      <c r="G381" s="13" t="s">
        <v>918</v>
      </c>
      <c r="H381" s="219">
        <f>IFERROR(
  MINIFS(ATTENDANCE_LOG!$F:$F,
         ATTENDANCE_LOG!$A:$A, C381,
         ATTENDANCE_LOG!$B:$B, E381),
"")</f>
        <v>45764.58333</v>
      </c>
      <c r="I381" s="190">
        <f>IFERROR(VLOOKUP(F381, LEVEL_HELPER!$A:$B, 2, 0), "")</f>
        <v>1</v>
      </c>
      <c r="J381" s="190">
        <f>IFERROR(VLOOKUP(G381, LEVEL_HELPER!$A:$B, 2, 0), "")</f>
        <v>3</v>
      </c>
      <c r="K381" s="190">
        <f t="shared" ref="K381:L381" si="774">IF(OR(I381="", I381=0), "",
  IF(I381&lt;=2,   1,
  IF(I381&lt;=4,   2,
  IF(I381&lt;=5.5, 3, 4))))</f>
        <v>1</v>
      </c>
      <c r="L381" s="190">
        <f t="shared" si="774"/>
        <v>2</v>
      </c>
      <c r="M381" s="190" t="str">
        <f t="shared" si="4"/>
        <v>Lv1 → Lv2</v>
      </c>
      <c r="N381" s="220" t="s">
        <v>931</v>
      </c>
      <c r="O381" s="220" t="s">
        <v>924</v>
      </c>
      <c r="P381" s="190">
        <f t="shared" si="5"/>
        <v>1</v>
      </c>
      <c r="Q381" s="210">
        <f t="shared" si="6"/>
        <v>5</v>
      </c>
      <c r="R381" s="210">
        <f t="shared" ref="R381:S381" si="775">IF(OR(P381="", P381=0), "",
  IF(P381&lt;=2,   1,
  IF(P381&lt;=4,   2,
  IF(P381&lt;=5.5, 3, 4))))</f>
        <v>1</v>
      </c>
      <c r="S381" s="210">
        <f t="shared" si="775"/>
        <v>3</v>
      </c>
      <c r="T381" s="210" t="str">
        <f t="shared" si="8"/>
        <v>Lv1 → Lv3 (multi)</v>
      </c>
      <c r="U381" s="210">
        <f t="shared" si="763"/>
        <v>0</v>
      </c>
      <c r="V381" s="210"/>
    </row>
    <row r="382">
      <c r="A382" s="220" t="s">
        <v>623</v>
      </c>
      <c r="B382" s="190" t="s">
        <v>624</v>
      </c>
      <c r="C382" s="223" t="s">
        <v>84</v>
      </c>
      <c r="D382" s="223" t="s">
        <v>877</v>
      </c>
      <c r="E382" s="190" t="s">
        <v>21</v>
      </c>
      <c r="F382" s="13" t="s">
        <v>927</v>
      </c>
      <c r="G382" s="13" t="s">
        <v>918</v>
      </c>
      <c r="H382" s="219">
        <f>IFERROR(
  MINIFS(ATTENDANCE_LOG!$F:$F,
         ATTENDANCE_LOG!$A:$A, C382,
         ATTENDANCE_LOG!$B:$B, E382),
"")</f>
        <v>45764.58333</v>
      </c>
      <c r="I382" s="190">
        <f>IFERROR(VLOOKUP(F382, LEVEL_HELPER!$A:$B, 2, 0), "")</f>
        <v>1</v>
      </c>
      <c r="J382" s="190">
        <f>IFERROR(VLOOKUP(G382, LEVEL_HELPER!$A:$B, 2, 0), "")</f>
        <v>3</v>
      </c>
      <c r="K382" s="190">
        <f t="shared" ref="K382:L382" si="776">IF(OR(I382="", I382=0), "",
  IF(I382&lt;=2,   1,
  IF(I382&lt;=4,   2,
  IF(I382&lt;=5.5, 3, 4))))</f>
        <v>1</v>
      </c>
      <c r="L382" s="190">
        <f t="shared" si="776"/>
        <v>2</v>
      </c>
      <c r="M382" s="190" t="str">
        <f t="shared" si="4"/>
        <v>Lv1 → Lv2</v>
      </c>
      <c r="N382" s="220" t="s">
        <v>931</v>
      </c>
      <c r="O382" s="220" t="s">
        <v>924</v>
      </c>
      <c r="P382" s="190">
        <f t="shared" si="5"/>
        <v>1</v>
      </c>
      <c r="Q382" s="210">
        <f t="shared" si="6"/>
        <v>3</v>
      </c>
      <c r="R382" s="210">
        <f t="shared" ref="R382:S382" si="777">IF(OR(P382="", P382=0), "",
  IF(P382&lt;=2,   1,
  IF(P382&lt;=4,   2,
  IF(P382&lt;=5.5, 3, 4))))</f>
        <v>1</v>
      </c>
      <c r="S382" s="210">
        <f t="shared" si="777"/>
        <v>2</v>
      </c>
      <c r="T382" s="210" t="str">
        <f t="shared" si="8"/>
        <v>Lv1 → Lv2</v>
      </c>
      <c r="U382" s="210">
        <f t="shared" si="763"/>
        <v>0</v>
      </c>
      <c r="V382" s="210"/>
    </row>
    <row r="383">
      <c r="A383" s="247" t="s">
        <v>649</v>
      </c>
      <c r="B383" s="217" t="s">
        <v>650</v>
      </c>
      <c r="C383" s="218" t="s">
        <v>84</v>
      </c>
      <c r="D383" s="218" t="s">
        <v>877</v>
      </c>
      <c r="E383" s="217" t="s">
        <v>22</v>
      </c>
      <c r="F383" s="13" t="s">
        <v>918</v>
      </c>
      <c r="G383" s="13" t="s">
        <v>941</v>
      </c>
      <c r="H383" s="219">
        <f>IFERROR(
  MINIFS(ATTENDANCE_LOG!$F:$F,
         ATTENDANCE_LOG!$A:$A, C383,
         ATTENDANCE_LOG!$B:$B, E383),
"")</f>
        <v>45882.58333</v>
      </c>
      <c r="I383" s="190">
        <f>IFERROR(VLOOKUP(F383, LEVEL_HELPER!$A:$B, 2, 0), "")</f>
        <v>3</v>
      </c>
      <c r="J383" s="190">
        <f>IFERROR(VLOOKUP(G383, LEVEL_HELPER!$A:$B, 2, 0), "")</f>
        <v>5</v>
      </c>
      <c r="K383" s="190">
        <f t="shared" ref="K383:L383" si="778">IF(OR(I383="", I383=0), "",
  IF(I383&lt;=2,   1,
  IF(I383&lt;=4,   2,
  IF(I383&lt;=5.5, 3, 4))))</f>
        <v>2</v>
      </c>
      <c r="L383" s="190">
        <f t="shared" si="778"/>
        <v>3</v>
      </c>
      <c r="M383" s="190" t="str">
        <f t="shared" si="4"/>
        <v>Lv2 → Lv3</v>
      </c>
      <c r="N383" s="220" t="s">
        <v>931</v>
      </c>
      <c r="O383" s="220" t="s">
        <v>924</v>
      </c>
      <c r="P383" s="190">
        <f t="shared" si="5"/>
        <v>1</v>
      </c>
      <c r="Q383" s="210">
        <f t="shared" si="6"/>
        <v>5</v>
      </c>
      <c r="R383" s="210">
        <f t="shared" ref="R383:S383" si="779">IF(OR(P383="", P383=0), "",
  IF(P383&lt;=2,   1,
  IF(P383&lt;=4,   2,
  IF(P383&lt;=5.5, 3, 4))))</f>
        <v>1</v>
      </c>
      <c r="S383" s="210">
        <f t="shared" si="779"/>
        <v>3</v>
      </c>
      <c r="T383" s="210" t="str">
        <f t="shared" si="8"/>
        <v>Lv1 → Lv3 (multi)</v>
      </c>
      <c r="U383" s="210">
        <f>IF(COUNTIF($A$2:A389, A383)=1, 1, 0)</f>
        <v>0</v>
      </c>
      <c r="V383" s="210"/>
    </row>
    <row r="384">
      <c r="A384" s="220" t="s">
        <v>253</v>
      </c>
      <c r="B384" s="190" t="s">
        <v>254</v>
      </c>
      <c r="C384" s="223" t="s">
        <v>84</v>
      </c>
      <c r="D384" s="223" t="s">
        <v>877</v>
      </c>
      <c r="E384" s="190" t="s">
        <v>22</v>
      </c>
      <c r="F384" s="13" t="s">
        <v>935</v>
      </c>
      <c r="G384" s="13" t="s">
        <v>938</v>
      </c>
      <c r="H384" s="219">
        <f>IFERROR(
  MINIFS(ATTENDANCE_LOG!$F:$F,
         ATTENDANCE_LOG!$A:$A, C384,
         ATTENDANCE_LOG!$B:$B, E384),
"")</f>
        <v>45882.58333</v>
      </c>
      <c r="I384" s="190">
        <f>IFERROR(VLOOKUP(F384, LEVEL_HELPER!$A:$B, 2, 0), "")</f>
        <v>3.5</v>
      </c>
      <c r="J384" s="190">
        <f>IFERROR(VLOOKUP(G384, LEVEL_HELPER!$A:$B, 2, 0), "")</f>
        <v>5.5</v>
      </c>
      <c r="K384" s="190">
        <f t="shared" ref="K384:L384" si="780">IF(OR(I384="", I384=0), "",
  IF(I384&lt;=2,   1,
  IF(I384&lt;=4,   2,
  IF(I384&lt;=5.5, 3, 4))))</f>
        <v>2</v>
      </c>
      <c r="L384" s="190">
        <f t="shared" si="780"/>
        <v>3</v>
      </c>
      <c r="M384" s="190" t="str">
        <f t="shared" si="4"/>
        <v>Lv2 → Lv3</v>
      </c>
      <c r="N384" s="220" t="s">
        <v>931</v>
      </c>
      <c r="O384" s="220" t="s">
        <v>924</v>
      </c>
      <c r="P384" s="190">
        <f t="shared" si="5"/>
        <v>2.5</v>
      </c>
      <c r="Q384" s="210">
        <f t="shared" si="6"/>
        <v>5.5</v>
      </c>
      <c r="R384" s="210">
        <f t="shared" ref="R384:S384" si="781">IF(OR(P384="", P384=0), "",
  IF(P384&lt;=2,   1,
  IF(P384&lt;=4,   2,
  IF(P384&lt;=5.5, 3, 4))))</f>
        <v>2</v>
      </c>
      <c r="S384" s="210">
        <f t="shared" si="781"/>
        <v>3</v>
      </c>
      <c r="T384" s="210" t="str">
        <f t="shared" si="8"/>
        <v>Lv2 → Lv3</v>
      </c>
      <c r="U384" s="210">
        <f t="shared" ref="U384:U389" si="784">IF(COUNTIF($A$2:A384, A384)=1, 1, 0)</f>
        <v>0</v>
      </c>
      <c r="V384" s="210"/>
    </row>
    <row r="385">
      <c r="A385" s="220" t="s">
        <v>447</v>
      </c>
      <c r="B385" s="190" t="s">
        <v>448</v>
      </c>
      <c r="C385" s="223" t="s">
        <v>84</v>
      </c>
      <c r="D385" s="223" t="s">
        <v>877</v>
      </c>
      <c r="E385" s="190" t="s">
        <v>22</v>
      </c>
      <c r="F385" s="13" t="s">
        <v>929</v>
      </c>
      <c r="G385" s="13" t="s">
        <v>941</v>
      </c>
      <c r="H385" s="219">
        <f>IFERROR(
  MINIFS(ATTENDANCE_LOG!$F:$F,
         ATTENDANCE_LOG!$A:$A, C385,
         ATTENDANCE_LOG!$B:$B, E385),
"")</f>
        <v>45882.58333</v>
      </c>
      <c r="I385" s="190">
        <f>IFERROR(VLOOKUP(F385, LEVEL_HELPER!$A:$B, 2, 0), "")</f>
        <v>1.5</v>
      </c>
      <c r="J385" s="190">
        <f>IFERROR(VLOOKUP(G385, LEVEL_HELPER!$A:$B, 2, 0), "")</f>
        <v>5</v>
      </c>
      <c r="K385" s="190">
        <f t="shared" ref="K385:L385" si="782">IF(OR(I385="", I385=0), "",
  IF(I385&lt;=2,   1,
  IF(I385&lt;=4,   2,
  IF(I385&lt;=5.5, 3, 4))))</f>
        <v>1</v>
      </c>
      <c r="L385" s="190">
        <f t="shared" si="782"/>
        <v>3</v>
      </c>
      <c r="M385" s="190" t="str">
        <f t="shared" si="4"/>
        <v>Lv1 → Lv3 (+2)</v>
      </c>
      <c r="N385" s="220" t="s">
        <v>931</v>
      </c>
      <c r="O385" s="220" t="s">
        <v>924</v>
      </c>
      <c r="P385" s="190">
        <f t="shared" si="5"/>
        <v>1</v>
      </c>
      <c r="Q385" s="210">
        <f t="shared" si="6"/>
        <v>5</v>
      </c>
      <c r="R385" s="210">
        <f t="shared" ref="R385:S385" si="783">IF(OR(P385="", P385=0), "",
  IF(P385&lt;=2,   1,
  IF(P385&lt;=4,   2,
  IF(P385&lt;=5.5, 3, 4))))</f>
        <v>1</v>
      </c>
      <c r="S385" s="210">
        <f t="shared" si="783"/>
        <v>3</v>
      </c>
      <c r="T385" s="210" t="str">
        <f t="shared" si="8"/>
        <v>Lv1 → Lv3 (multi)</v>
      </c>
      <c r="U385" s="210">
        <f t="shared" si="784"/>
        <v>0</v>
      </c>
      <c r="V385" s="210"/>
    </row>
    <row r="386">
      <c r="A386" s="220" t="s">
        <v>486</v>
      </c>
      <c r="B386" s="190" t="s">
        <v>487</v>
      </c>
      <c r="C386" s="223" t="s">
        <v>84</v>
      </c>
      <c r="D386" s="223" t="s">
        <v>877</v>
      </c>
      <c r="E386" s="190" t="s">
        <v>22</v>
      </c>
      <c r="F386" s="13" t="s">
        <v>918</v>
      </c>
      <c r="G386" s="13" t="s">
        <v>941</v>
      </c>
      <c r="H386" s="219">
        <f>IFERROR(
  MINIFS(ATTENDANCE_LOG!$F:$F,
         ATTENDANCE_LOG!$A:$A, C386,
         ATTENDANCE_LOG!$B:$B, E386),
"")</f>
        <v>45882.58333</v>
      </c>
      <c r="I386" s="190">
        <f>IFERROR(VLOOKUP(F386, LEVEL_HELPER!$A:$B, 2, 0), "")</f>
        <v>3</v>
      </c>
      <c r="J386" s="190">
        <f>IFERROR(VLOOKUP(G386, LEVEL_HELPER!$A:$B, 2, 0), "")</f>
        <v>5</v>
      </c>
      <c r="K386" s="190">
        <f t="shared" ref="K386:L386" si="785">IF(OR(I386="", I386=0), "",
  IF(I386&lt;=2,   1,
  IF(I386&lt;=4,   2,
  IF(I386&lt;=5.5, 3, 4))))</f>
        <v>2</v>
      </c>
      <c r="L386" s="190">
        <f t="shared" si="785"/>
        <v>3</v>
      </c>
      <c r="M386" s="190" t="str">
        <f t="shared" si="4"/>
        <v>Lv2 → Lv3</v>
      </c>
      <c r="N386" s="220" t="s">
        <v>931</v>
      </c>
      <c r="O386" s="220" t="s">
        <v>924</v>
      </c>
      <c r="P386" s="190">
        <f t="shared" si="5"/>
        <v>1</v>
      </c>
      <c r="Q386" s="210">
        <f t="shared" si="6"/>
        <v>5</v>
      </c>
      <c r="R386" s="210">
        <f t="shared" ref="R386:S386" si="786">IF(OR(P386="", P386=0), "",
  IF(P386&lt;=2,   1,
  IF(P386&lt;=4,   2,
  IF(P386&lt;=5.5, 3, 4))))</f>
        <v>1</v>
      </c>
      <c r="S386" s="210">
        <f t="shared" si="786"/>
        <v>3</v>
      </c>
      <c r="T386" s="210" t="str">
        <f t="shared" si="8"/>
        <v>Lv1 → Lv3 (multi)</v>
      </c>
      <c r="U386" s="210">
        <f t="shared" si="784"/>
        <v>0</v>
      </c>
      <c r="V386" s="210"/>
    </row>
    <row r="387">
      <c r="A387" s="220" t="s">
        <v>508</v>
      </c>
      <c r="B387" s="190" t="s">
        <v>509</v>
      </c>
      <c r="C387" s="223" t="s">
        <v>84</v>
      </c>
      <c r="D387" s="223" t="s">
        <v>877</v>
      </c>
      <c r="E387" s="190" t="s">
        <v>22</v>
      </c>
      <c r="F387" s="13" t="s">
        <v>918</v>
      </c>
      <c r="G387" s="13" t="s">
        <v>938</v>
      </c>
      <c r="H387" s="219">
        <f>IFERROR(
  MINIFS(ATTENDANCE_LOG!$F:$F,
         ATTENDANCE_LOG!$A:$A, C387,
         ATTENDANCE_LOG!$B:$B, E387),
"")</f>
        <v>45882.58333</v>
      </c>
      <c r="I387" s="190">
        <f>IFERROR(VLOOKUP(F387, LEVEL_HELPER!$A:$B, 2, 0), "")</f>
        <v>3</v>
      </c>
      <c r="J387" s="190">
        <f>IFERROR(VLOOKUP(G387, LEVEL_HELPER!$A:$B, 2, 0), "")</f>
        <v>5.5</v>
      </c>
      <c r="K387" s="190">
        <f t="shared" ref="K387:L387" si="787">IF(OR(I387="", I387=0), "",
  IF(I387&lt;=2,   1,
  IF(I387&lt;=4,   2,
  IF(I387&lt;=5.5, 3, 4))))</f>
        <v>2</v>
      </c>
      <c r="L387" s="190">
        <f t="shared" si="787"/>
        <v>3</v>
      </c>
      <c r="M387" s="190" t="str">
        <f t="shared" si="4"/>
        <v>Lv2 → Lv3</v>
      </c>
      <c r="N387" s="220" t="s">
        <v>931</v>
      </c>
      <c r="O387" s="220" t="s">
        <v>924</v>
      </c>
      <c r="P387" s="190">
        <f t="shared" si="5"/>
        <v>1</v>
      </c>
      <c r="Q387" s="210">
        <f t="shared" si="6"/>
        <v>5.5</v>
      </c>
      <c r="R387" s="210">
        <f t="shared" ref="R387:S387" si="788">IF(OR(P387="", P387=0), "",
  IF(P387&lt;=2,   1,
  IF(P387&lt;=4,   2,
  IF(P387&lt;=5.5, 3, 4))))</f>
        <v>1</v>
      </c>
      <c r="S387" s="210">
        <f t="shared" si="788"/>
        <v>3</v>
      </c>
      <c r="T387" s="210" t="str">
        <f t="shared" si="8"/>
        <v>Lv1 → Lv3 (multi)</v>
      </c>
      <c r="U387" s="210">
        <f t="shared" si="784"/>
        <v>0</v>
      </c>
      <c r="V387" s="210"/>
    </row>
    <row r="388">
      <c r="A388" s="220" t="s">
        <v>597</v>
      </c>
      <c r="B388" s="190" t="s">
        <v>598</v>
      </c>
      <c r="C388" s="223" t="s">
        <v>84</v>
      </c>
      <c r="D388" s="223" t="s">
        <v>877</v>
      </c>
      <c r="E388" s="190" t="s">
        <v>22</v>
      </c>
      <c r="F388" s="13" t="s">
        <v>918</v>
      </c>
      <c r="G388" s="13" t="s">
        <v>941</v>
      </c>
      <c r="H388" s="219">
        <f>IFERROR(
  MINIFS(ATTENDANCE_LOG!$F:$F,
         ATTENDANCE_LOG!$A:$A, C388,
         ATTENDANCE_LOG!$B:$B, E388),
"")</f>
        <v>45882.58333</v>
      </c>
      <c r="I388" s="190">
        <f>IFERROR(VLOOKUP(F388, LEVEL_HELPER!$A:$B, 2, 0), "")</f>
        <v>3</v>
      </c>
      <c r="J388" s="190">
        <f>IFERROR(VLOOKUP(G388, LEVEL_HELPER!$A:$B, 2, 0), "")</f>
        <v>5</v>
      </c>
      <c r="K388" s="190">
        <f t="shared" ref="K388:L388" si="789">IF(OR(I388="", I388=0), "",
  IF(I388&lt;=2,   1,
  IF(I388&lt;=4,   2,
  IF(I388&lt;=5.5, 3, 4))))</f>
        <v>2</v>
      </c>
      <c r="L388" s="190">
        <f t="shared" si="789"/>
        <v>3</v>
      </c>
      <c r="M388" s="190" t="str">
        <f t="shared" si="4"/>
        <v>Lv2 → Lv3</v>
      </c>
      <c r="N388" s="220" t="s">
        <v>931</v>
      </c>
      <c r="O388" s="220" t="s">
        <v>924</v>
      </c>
      <c r="P388" s="190">
        <f t="shared" si="5"/>
        <v>1</v>
      </c>
      <c r="Q388" s="210">
        <f t="shared" si="6"/>
        <v>5</v>
      </c>
      <c r="R388" s="210">
        <f t="shared" ref="R388:S388" si="790">IF(OR(P388="", P388=0), "",
  IF(P388&lt;=2,   1,
  IF(P388&lt;=4,   2,
  IF(P388&lt;=5.5, 3, 4))))</f>
        <v>1</v>
      </c>
      <c r="S388" s="210">
        <f t="shared" si="790"/>
        <v>3</v>
      </c>
      <c r="T388" s="210" t="str">
        <f t="shared" si="8"/>
        <v>Lv1 → Lv3 (multi)</v>
      </c>
      <c r="U388" s="210">
        <f t="shared" si="784"/>
        <v>0</v>
      </c>
      <c r="V388" s="210"/>
    </row>
    <row r="389">
      <c r="A389" s="220" t="s">
        <v>623</v>
      </c>
      <c r="B389" s="190" t="s">
        <v>624</v>
      </c>
      <c r="C389" s="223" t="s">
        <v>84</v>
      </c>
      <c r="D389" s="223" t="s">
        <v>877</v>
      </c>
      <c r="E389" s="190" t="s">
        <v>22</v>
      </c>
      <c r="F389" s="13" t="s">
        <v>932</v>
      </c>
      <c r="G389" s="190"/>
      <c r="H389" s="219">
        <f>IFERROR(
  MINIFS(ATTENDANCE_LOG!$F:$F,
         ATTENDANCE_LOG!$A:$A, C389,
         ATTENDANCE_LOG!$B:$B, E389),
"")</f>
        <v>45882.58333</v>
      </c>
      <c r="I389" s="190">
        <f>IFERROR(VLOOKUP(F389, LEVEL_HELPER!$A:$B, 2, 0), "")</f>
        <v>4.5</v>
      </c>
      <c r="J389" s="190" t="str">
        <f>IFERROR(VLOOKUP(G389, LEVEL_HELPER!$A:$B, 2, 0), "")</f>
        <v/>
      </c>
      <c r="K389" s="190">
        <f t="shared" ref="K389:L389" si="791">IF(OR(I389="", I389=0), "",
  IF(I389&lt;=2,   1,
  IF(I389&lt;=4,   2,
  IF(I389&lt;=5.5, 3, 4))))</f>
        <v>3</v>
      </c>
      <c r="L389" s="190" t="str">
        <f t="shared" si="791"/>
        <v/>
      </c>
      <c r="M389" s="190" t="str">
        <f t="shared" si="4"/>
        <v>No Data</v>
      </c>
      <c r="N389" s="220" t="s">
        <v>931</v>
      </c>
      <c r="O389" s="220" t="s">
        <v>924</v>
      </c>
      <c r="P389" s="190">
        <f t="shared" si="5"/>
        <v>1</v>
      </c>
      <c r="Q389" s="210">
        <f t="shared" si="6"/>
        <v>3</v>
      </c>
      <c r="R389" s="210">
        <f t="shared" ref="R389:S389" si="792">IF(OR(P389="", P389=0), "",
  IF(P389&lt;=2,   1,
  IF(P389&lt;=4,   2,
  IF(P389&lt;=5.5, 3, 4))))</f>
        <v>1</v>
      </c>
      <c r="S389" s="210">
        <f t="shared" si="792"/>
        <v>2</v>
      </c>
      <c r="T389" s="210" t="str">
        <f t="shared" si="8"/>
        <v>Lv1 → Lv2</v>
      </c>
      <c r="U389" s="210">
        <f t="shared" si="784"/>
        <v>0</v>
      </c>
      <c r="V389" s="210"/>
    </row>
    <row r="390">
      <c r="A390" s="247" t="s">
        <v>397</v>
      </c>
      <c r="B390" s="217" t="s">
        <v>398</v>
      </c>
      <c r="C390" s="218" t="s">
        <v>85</v>
      </c>
      <c r="D390" s="218" t="s">
        <v>878</v>
      </c>
      <c r="E390" s="217" t="s">
        <v>24</v>
      </c>
      <c r="F390" s="244"/>
      <c r="G390" s="244"/>
      <c r="H390" s="219">
        <f>IFERROR(
  MINIFS(ATTENDANCE_LOG!$F:$F,
         ATTENDANCE_LOG!$A:$A, C390,
         ATTENDANCE_LOG!$B:$B, E390),
"")</f>
        <v>46086.45833</v>
      </c>
      <c r="I390" s="244" t="str">
        <f>IFERROR(VLOOKUP(F390, LEVEL_HELPER!$A:$B, 2, 0), "")</f>
        <v/>
      </c>
      <c r="J390" s="244" t="str">
        <f>IFERROR(VLOOKUP(G390, LEVEL_HELPER!$A:$B, 2, 0), "")</f>
        <v/>
      </c>
      <c r="K390" s="244" t="str">
        <f t="shared" ref="K390:L390" si="793">IF(OR(I390="", I390=0), "",
  IF(I390&lt;=2,   1,
  IF(I390&lt;=4,   2,
  IF(I390&lt;=5.5, 3, 4))))</f>
        <v/>
      </c>
      <c r="L390" s="190" t="str">
        <f t="shared" si="793"/>
        <v/>
      </c>
      <c r="M390" s="190" t="str">
        <f t="shared" si="4"/>
        <v>No Data</v>
      </c>
      <c r="N390" s="245" t="s">
        <v>957</v>
      </c>
      <c r="O390" s="245" t="s">
        <v>924</v>
      </c>
      <c r="P390" s="244">
        <f t="shared" si="5"/>
        <v>1</v>
      </c>
      <c r="Q390" s="246">
        <f t="shared" si="6"/>
        <v>5</v>
      </c>
      <c r="R390" s="246">
        <f t="shared" ref="R390:S390" si="794">IF(OR(P390="", P390=0), "",
  IF(P390&lt;=2,   1,
  IF(P390&lt;=4,   2,
  IF(P390&lt;=5.5, 3, 4))))</f>
        <v>1</v>
      </c>
      <c r="S390" s="246">
        <f t="shared" si="794"/>
        <v>3</v>
      </c>
      <c r="T390" s="246" t="str">
        <f t="shared" si="8"/>
        <v>Lv1 → Lv3 (multi)</v>
      </c>
      <c r="U390" s="246">
        <f>IF(COUNTIF($A$2:A394, A390)=1, 1, 0)</f>
        <v>1</v>
      </c>
      <c r="V390" s="246"/>
    </row>
    <row r="391">
      <c r="A391" s="220" t="s">
        <v>136</v>
      </c>
      <c r="B391" s="190" t="s">
        <v>137</v>
      </c>
      <c r="C391" s="223" t="s">
        <v>85</v>
      </c>
      <c r="D391" s="223" t="s">
        <v>878</v>
      </c>
      <c r="E391" s="190" t="s">
        <v>24</v>
      </c>
      <c r="F391" s="190"/>
      <c r="G391" s="190"/>
      <c r="H391" s="219">
        <f>IFERROR(
  MINIFS(ATTENDANCE_LOG!$F:$F,
         ATTENDANCE_LOG!$A:$A, C391,
         ATTENDANCE_LOG!$B:$B, E391),
"")</f>
        <v>46086.45833</v>
      </c>
      <c r="I391" s="190" t="str">
        <f>IFERROR(VLOOKUP(F391, LEVEL_HELPER!$A:$B, 2, 0), "")</f>
        <v/>
      </c>
      <c r="J391" s="190" t="str">
        <f>IFERROR(VLOOKUP(G391, LEVEL_HELPER!$A:$B, 2, 0), "")</f>
        <v/>
      </c>
      <c r="K391" s="190" t="str">
        <f t="shared" ref="K391:L391" si="795">IF(OR(I391="", I391=0), "",
  IF(I391&lt;=2,   1,
  IF(I391&lt;=4,   2,
  IF(I391&lt;=5.5, 3, 4))))</f>
        <v/>
      </c>
      <c r="L391" s="190" t="str">
        <f t="shared" si="795"/>
        <v/>
      </c>
      <c r="M391" s="190" t="str">
        <f t="shared" si="4"/>
        <v>No Data</v>
      </c>
      <c r="N391" s="220" t="s">
        <v>943</v>
      </c>
      <c r="O391" s="220" t="s">
        <v>924</v>
      </c>
      <c r="P391" s="190">
        <f t="shared" si="5"/>
        <v>3.5</v>
      </c>
      <c r="Q391" s="210">
        <f t="shared" si="6"/>
        <v>5</v>
      </c>
      <c r="R391" s="210">
        <f t="shared" ref="R391:S391" si="796">IF(OR(P391="", P391=0), "",
  IF(P391&lt;=2,   1,
  IF(P391&lt;=4,   2,
  IF(P391&lt;=5.5, 3, 4))))</f>
        <v>2</v>
      </c>
      <c r="S391" s="210">
        <f t="shared" si="796"/>
        <v>3</v>
      </c>
      <c r="T391" s="210" t="str">
        <f t="shared" si="8"/>
        <v>Lv2 → Lv3</v>
      </c>
      <c r="U391" s="210">
        <f t="shared" ref="U391:U396" si="799">IF(COUNTIF($A$2:A391, A391)=1, 1, 0)</f>
        <v>1</v>
      </c>
      <c r="V391" s="210"/>
    </row>
    <row r="392">
      <c r="A392" s="220" t="s">
        <v>208</v>
      </c>
      <c r="B392" s="190" t="s">
        <v>209</v>
      </c>
      <c r="C392" s="223" t="s">
        <v>85</v>
      </c>
      <c r="D392" s="223" t="s">
        <v>878</v>
      </c>
      <c r="E392" s="190" t="s">
        <v>24</v>
      </c>
      <c r="F392" s="190"/>
      <c r="G392" s="190"/>
      <c r="H392" s="219">
        <f>IFERROR(
  MINIFS(ATTENDANCE_LOG!$F:$F,
         ATTENDANCE_LOG!$A:$A, C392,
         ATTENDANCE_LOG!$B:$B, E392),
"")</f>
        <v>46086.45833</v>
      </c>
      <c r="I392" s="190" t="str">
        <f>IFERROR(VLOOKUP(F392, LEVEL_HELPER!$A:$B, 2, 0), "")</f>
        <v/>
      </c>
      <c r="J392" s="190" t="str">
        <f>IFERROR(VLOOKUP(G392, LEVEL_HELPER!$A:$B, 2, 0), "")</f>
        <v/>
      </c>
      <c r="K392" s="190" t="str">
        <f t="shared" ref="K392:L392" si="797">IF(OR(I392="", I392=0), "",
  IF(I392&lt;=2,   1,
  IF(I392&lt;=4,   2,
  IF(I392&lt;=5.5, 3, 4))))</f>
        <v/>
      </c>
      <c r="L392" s="190" t="str">
        <f t="shared" si="797"/>
        <v/>
      </c>
      <c r="M392" s="190" t="str">
        <f t="shared" si="4"/>
        <v>No Data</v>
      </c>
      <c r="N392" s="220" t="s">
        <v>943</v>
      </c>
      <c r="O392" s="220" t="s">
        <v>924</v>
      </c>
      <c r="P392" s="190">
        <f t="shared" si="5"/>
        <v>1</v>
      </c>
      <c r="Q392" s="210">
        <f t="shared" si="6"/>
        <v>5</v>
      </c>
      <c r="R392" s="210">
        <f t="shared" ref="R392:S392" si="798">IF(OR(P392="", P392=0), "",
  IF(P392&lt;=2,   1,
  IF(P392&lt;=4,   2,
  IF(P392&lt;=5.5, 3, 4))))</f>
        <v>1</v>
      </c>
      <c r="S392" s="210">
        <f t="shared" si="798"/>
        <v>3</v>
      </c>
      <c r="T392" s="210" t="str">
        <f t="shared" si="8"/>
        <v>Lv1 → Lv3 (multi)</v>
      </c>
      <c r="U392" s="210">
        <f t="shared" si="799"/>
        <v>0</v>
      </c>
      <c r="V392" s="210"/>
    </row>
    <row r="393">
      <c r="A393" s="220" t="s">
        <v>300</v>
      </c>
      <c r="B393" s="190" t="s">
        <v>301</v>
      </c>
      <c r="C393" s="223" t="s">
        <v>85</v>
      </c>
      <c r="D393" s="223" t="s">
        <v>878</v>
      </c>
      <c r="E393" s="190" t="s">
        <v>24</v>
      </c>
      <c r="F393" s="190"/>
      <c r="G393" s="190"/>
      <c r="H393" s="219">
        <f>IFERROR(
  MINIFS(ATTENDANCE_LOG!$F:$F,
         ATTENDANCE_LOG!$A:$A, C393,
         ATTENDANCE_LOG!$B:$B, E393),
"")</f>
        <v>46086.45833</v>
      </c>
      <c r="I393" s="190" t="str">
        <f>IFERROR(VLOOKUP(F393, LEVEL_HELPER!$A:$B, 2, 0), "")</f>
        <v/>
      </c>
      <c r="J393" s="190" t="str">
        <f>IFERROR(VLOOKUP(G393, LEVEL_HELPER!$A:$B, 2, 0), "")</f>
        <v/>
      </c>
      <c r="K393" s="190" t="str">
        <f t="shared" ref="K393:L393" si="800">IF(OR(I393="", I393=0), "",
  IF(I393&lt;=2,   1,
  IF(I393&lt;=4,   2,
  IF(I393&lt;=5.5, 3, 4))))</f>
        <v/>
      </c>
      <c r="L393" s="190" t="str">
        <f t="shared" si="800"/>
        <v/>
      </c>
      <c r="M393" s="190" t="str">
        <f t="shared" si="4"/>
        <v>No Data</v>
      </c>
      <c r="N393" s="220" t="s">
        <v>943</v>
      </c>
      <c r="O393" s="220" t="s">
        <v>924</v>
      </c>
      <c r="P393" s="190">
        <f t="shared" si="5"/>
        <v>1</v>
      </c>
      <c r="Q393" s="210">
        <f t="shared" si="6"/>
        <v>5</v>
      </c>
      <c r="R393" s="210">
        <f t="shared" ref="R393:S393" si="801">IF(OR(P393="", P393=0), "",
  IF(P393&lt;=2,   1,
  IF(P393&lt;=4,   2,
  IF(P393&lt;=5.5, 3, 4))))</f>
        <v>1</v>
      </c>
      <c r="S393" s="210">
        <f t="shared" si="801"/>
        <v>3</v>
      </c>
      <c r="T393" s="210" t="str">
        <f t="shared" si="8"/>
        <v>Lv1 → Lv3 (multi)</v>
      </c>
      <c r="U393" s="210">
        <f t="shared" si="799"/>
        <v>0</v>
      </c>
      <c r="V393" s="210"/>
    </row>
    <row r="394">
      <c r="A394" s="220" t="s">
        <v>309</v>
      </c>
      <c r="B394" s="190" t="s">
        <v>310</v>
      </c>
      <c r="C394" s="223" t="s">
        <v>85</v>
      </c>
      <c r="D394" s="223" t="s">
        <v>878</v>
      </c>
      <c r="E394" s="190" t="s">
        <v>24</v>
      </c>
      <c r="F394" s="190"/>
      <c r="G394" s="190"/>
      <c r="H394" s="219">
        <f>IFERROR(
  MINIFS(ATTENDANCE_LOG!$F:$F,
         ATTENDANCE_LOG!$A:$A, C394,
         ATTENDANCE_LOG!$B:$B, E394),
"")</f>
        <v>46086.45833</v>
      </c>
      <c r="I394" s="190" t="str">
        <f>IFERROR(VLOOKUP(F394, LEVEL_HELPER!$A:$B, 2, 0), "")</f>
        <v/>
      </c>
      <c r="J394" s="190" t="str">
        <f>IFERROR(VLOOKUP(G394, LEVEL_HELPER!$A:$B, 2, 0), "")</f>
        <v/>
      </c>
      <c r="K394" s="190" t="str">
        <f t="shared" ref="K394:L394" si="802">IF(OR(I394="", I394=0), "",
  IF(I394&lt;=2,   1,
  IF(I394&lt;=4,   2,
  IF(I394&lt;=5.5, 3, 4))))</f>
        <v/>
      </c>
      <c r="L394" s="190" t="str">
        <f t="shared" si="802"/>
        <v/>
      </c>
      <c r="M394" s="190" t="str">
        <f t="shared" si="4"/>
        <v>No Data</v>
      </c>
      <c r="N394" s="220" t="s">
        <v>943</v>
      </c>
      <c r="O394" s="220" t="s">
        <v>924</v>
      </c>
      <c r="P394" s="190">
        <f t="shared" si="5"/>
        <v>1</v>
      </c>
      <c r="Q394" s="210">
        <f t="shared" si="6"/>
        <v>5</v>
      </c>
      <c r="R394" s="210">
        <f t="shared" ref="R394:S394" si="803">IF(OR(P394="", P394=0), "",
  IF(P394&lt;=2,   1,
  IF(P394&lt;=4,   2,
  IF(P394&lt;=5.5, 3, 4))))</f>
        <v>1</v>
      </c>
      <c r="S394" s="210">
        <f t="shared" si="803"/>
        <v>3</v>
      </c>
      <c r="T394" s="210" t="str">
        <f t="shared" si="8"/>
        <v>Lv1 → Lv3 (multi)</v>
      </c>
      <c r="U394" s="210">
        <f t="shared" si="799"/>
        <v>0</v>
      </c>
      <c r="V394" s="210"/>
    </row>
    <row r="395">
      <c r="A395" s="220" t="s">
        <v>530</v>
      </c>
      <c r="B395" s="190" t="s">
        <v>531</v>
      </c>
      <c r="C395" s="223" t="s">
        <v>85</v>
      </c>
      <c r="D395" s="223" t="s">
        <v>878</v>
      </c>
      <c r="E395" s="190" t="s">
        <v>24</v>
      </c>
      <c r="F395" s="190"/>
      <c r="G395" s="190"/>
      <c r="H395" s="219">
        <f>IFERROR(
  MINIFS(ATTENDANCE_LOG!$F:$F,
         ATTENDANCE_LOG!$A:$A, C395,
         ATTENDANCE_LOG!$B:$B, E395),
"")</f>
        <v>46086.45833</v>
      </c>
      <c r="I395" s="190" t="str">
        <f>IFERROR(VLOOKUP(F395, LEVEL_HELPER!$A:$B, 2, 0), "")</f>
        <v/>
      </c>
      <c r="J395" s="190" t="str">
        <f>IFERROR(VLOOKUP(G395, LEVEL_HELPER!$A:$B, 2, 0), "")</f>
        <v/>
      </c>
      <c r="K395" s="190" t="str">
        <f t="shared" ref="K395:L395" si="804">IF(OR(I395="", I395=0), "",
  IF(I395&lt;=2,   1,
  IF(I395&lt;=4,   2,
  IF(I395&lt;=5.5, 3, 4))))</f>
        <v/>
      </c>
      <c r="L395" s="190" t="str">
        <f t="shared" si="804"/>
        <v/>
      </c>
      <c r="M395" s="190" t="str">
        <f t="shared" si="4"/>
        <v>No Data</v>
      </c>
      <c r="N395" s="220" t="s">
        <v>943</v>
      </c>
      <c r="O395" s="220" t="s">
        <v>924</v>
      </c>
      <c r="P395" s="190">
        <f t="shared" si="5"/>
        <v>1</v>
      </c>
      <c r="Q395" s="210">
        <f t="shared" si="6"/>
        <v>5</v>
      </c>
      <c r="R395" s="210">
        <f t="shared" ref="R395:S395" si="805">IF(OR(P395="", P395=0), "",
  IF(P395&lt;=2,   1,
  IF(P395&lt;=4,   2,
  IF(P395&lt;=5.5, 3, 4))))</f>
        <v>1</v>
      </c>
      <c r="S395" s="210">
        <f t="shared" si="805"/>
        <v>3</v>
      </c>
      <c r="T395" s="210" t="str">
        <f t="shared" si="8"/>
        <v>Lv1 → Lv3 (multi)</v>
      </c>
      <c r="U395" s="210">
        <f t="shared" si="799"/>
        <v>0</v>
      </c>
      <c r="V395" s="210"/>
    </row>
    <row r="396">
      <c r="A396" s="220" t="s">
        <v>621</v>
      </c>
      <c r="B396" s="190" t="s">
        <v>622</v>
      </c>
      <c r="C396" s="223" t="s">
        <v>85</v>
      </c>
      <c r="D396" s="223" t="s">
        <v>878</v>
      </c>
      <c r="E396" s="190" t="s">
        <v>24</v>
      </c>
      <c r="F396" s="190"/>
      <c r="G396" s="190"/>
      <c r="H396" s="219">
        <f>IFERROR(
  MINIFS(ATTENDANCE_LOG!$F:$F,
         ATTENDANCE_LOG!$A:$A, C396,
         ATTENDANCE_LOG!$B:$B, E396),
"")</f>
        <v>46086.45833</v>
      </c>
      <c r="I396" s="190" t="str">
        <f>IFERROR(VLOOKUP(F396, LEVEL_HELPER!$A:$B, 2, 0), "")</f>
        <v/>
      </c>
      <c r="J396" s="190" t="str">
        <f>IFERROR(VLOOKUP(G396, LEVEL_HELPER!$A:$B, 2, 0), "")</f>
        <v/>
      </c>
      <c r="K396" s="190" t="str">
        <f t="shared" ref="K396:L396" si="806">IF(OR(I396="", I396=0), "",
  IF(I396&lt;=2,   1,
  IF(I396&lt;=4,   2,
  IF(I396&lt;=5.5, 3, 4))))</f>
        <v/>
      </c>
      <c r="L396" s="190" t="str">
        <f t="shared" si="806"/>
        <v/>
      </c>
      <c r="M396" s="190" t="str">
        <f t="shared" si="4"/>
        <v>No Data</v>
      </c>
      <c r="N396" s="220" t="s">
        <v>943</v>
      </c>
      <c r="O396" s="220" t="s">
        <v>924</v>
      </c>
      <c r="P396" s="190">
        <f t="shared" si="5"/>
        <v>1</v>
      </c>
      <c r="Q396" s="210">
        <f t="shared" si="6"/>
        <v>5</v>
      </c>
      <c r="R396" s="210">
        <f t="shared" ref="R396:S396" si="807">IF(OR(P396="", P396=0), "",
  IF(P396&lt;=2,   1,
  IF(P396&lt;=4,   2,
  IF(P396&lt;=5.5, 3, 4))))</f>
        <v>1</v>
      </c>
      <c r="S396" s="210">
        <f t="shared" si="807"/>
        <v>3</v>
      </c>
      <c r="T396" s="210" t="str">
        <f t="shared" si="8"/>
        <v>Lv1 → Lv3 (multi)</v>
      </c>
      <c r="U396" s="210">
        <f t="shared" si="799"/>
        <v>0</v>
      </c>
      <c r="V396" s="210"/>
    </row>
    <row r="397">
      <c r="A397" s="247" t="s">
        <v>397</v>
      </c>
      <c r="B397" s="217" t="s">
        <v>398</v>
      </c>
      <c r="C397" s="218" t="s">
        <v>85</v>
      </c>
      <c r="D397" s="218" t="s">
        <v>878</v>
      </c>
      <c r="E397" s="217" t="s">
        <v>21</v>
      </c>
      <c r="F397" s="13" t="s">
        <v>927</v>
      </c>
      <c r="G397" s="13" t="s">
        <v>935</v>
      </c>
      <c r="H397" s="219">
        <f>IFERROR(
  MINIFS(ATTENDANCE_LOG!$F:$F,
         ATTENDANCE_LOG!$A:$A, C397,
         ATTENDANCE_LOG!$B:$B, E397),
"")</f>
        <v>45764.45833</v>
      </c>
      <c r="I397" s="190">
        <f>IFERROR(VLOOKUP(F397, LEVEL_HELPER!$A:$B, 2, 0), "")</f>
        <v>1</v>
      </c>
      <c r="J397" s="190">
        <f>IFERROR(VLOOKUP(G397, LEVEL_HELPER!$A:$B, 2, 0), "")</f>
        <v>3.5</v>
      </c>
      <c r="K397" s="190">
        <f t="shared" ref="K397:L397" si="808">IF(OR(I397="", I397=0), "",
  IF(I397&lt;=2,   1,
  IF(I397&lt;=4,   2,
  IF(I397&lt;=5.5, 3, 4))))</f>
        <v>1</v>
      </c>
      <c r="L397" s="190">
        <f t="shared" si="808"/>
        <v>2</v>
      </c>
      <c r="M397" s="190" t="str">
        <f t="shared" si="4"/>
        <v>Lv1 → Lv2</v>
      </c>
      <c r="N397" s="220" t="s">
        <v>957</v>
      </c>
      <c r="O397" s="220" t="s">
        <v>924</v>
      </c>
      <c r="P397" s="190">
        <f t="shared" si="5"/>
        <v>1</v>
      </c>
      <c r="Q397" s="210">
        <f t="shared" si="6"/>
        <v>5</v>
      </c>
      <c r="R397" s="210">
        <f t="shared" ref="R397:S397" si="809">IF(OR(P397="", P397=0), "",
  IF(P397&lt;=2,   1,
  IF(P397&lt;=4,   2,
  IF(P397&lt;=5.5, 3, 4))))</f>
        <v>1</v>
      </c>
      <c r="S397" s="210">
        <f t="shared" si="809"/>
        <v>3</v>
      </c>
      <c r="T397" s="210" t="str">
        <f t="shared" si="8"/>
        <v>Lv1 → Lv3 (multi)</v>
      </c>
      <c r="U397" s="210">
        <f>IF(COUNTIF($A$2:A400, A397)=1, 1, 0)</f>
        <v>0</v>
      </c>
      <c r="V397" s="210"/>
    </row>
    <row r="398">
      <c r="A398" s="220" t="s">
        <v>136</v>
      </c>
      <c r="B398" s="190" t="s">
        <v>137</v>
      </c>
      <c r="C398" s="223" t="s">
        <v>85</v>
      </c>
      <c r="D398" s="223" t="s">
        <v>878</v>
      </c>
      <c r="E398" s="190" t="s">
        <v>21</v>
      </c>
      <c r="F398" s="13" t="s">
        <v>958</v>
      </c>
      <c r="G398" s="13" t="s">
        <v>935</v>
      </c>
      <c r="H398" s="219">
        <f>IFERROR(
  MINIFS(ATTENDANCE_LOG!$F:$F,
         ATTENDANCE_LOG!$A:$A, C398,
         ATTENDANCE_LOG!$B:$B, E398),
"")</f>
        <v>45764.45833</v>
      </c>
      <c r="I398" s="190">
        <f>IFERROR(VLOOKUP(F398, LEVEL_HELPER!$A:$B, 2, 0), "")</f>
        <v>0</v>
      </c>
      <c r="J398" s="190">
        <f>IFERROR(VLOOKUP(G398, LEVEL_HELPER!$A:$B, 2, 0), "")</f>
        <v>3.5</v>
      </c>
      <c r="K398" s="190" t="str">
        <f t="shared" ref="K398:L398" si="810">IF(OR(I398="", I398=0), "",
  IF(I398&lt;=2,   1,
  IF(I398&lt;=4,   2,
  IF(I398&lt;=5.5, 3, 4))))</f>
        <v/>
      </c>
      <c r="L398" s="190">
        <f t="shared" si="810"/>
        <v>2</v>
      </c>
      <c r="M398" s="190" t="str">
        <f t="shared" si="4"/>
        <v>No Data</v>
      </c>
      <c r="N398" s="220" t="s">
        <v>943</v>
      </c>
      <c r="O398" s="220" t="s">
        <v>924</v>
      </c>
      <c r="P398" s="190">
        <f t="shared" si="5"/>
        <v>3.5</v>
      </c>
      <c r="Q398" s="210">
        <f t="shared" si="6"/>
        <v>5</v>
      </c>
      <c r="R398" s="210">
        <f t="shared" ref="R398:S398" si="811">IF(OR(P398="", P398=0), "",
  IF(P398&lt;=2,   1,
  IF(P398&lt;=4,   2,
  IF(P398&lt;=5.5, 3, 4))))</f>
        <v>2</v>
      </c>
      <c r="S398" s="210">
        <f t="shared" si="811"/>
        <v>3</v>
      </c>
      <c r="T398" s="210" t="str">
        <f t="shared" si="8"/>
        <v>Lv2 → Lv3</v>
      </c>
      <c r="U398" s="210">
        <f t="shared" ref="U398:U402" si="814">IF(COUNTIF($A$2:A398, A398)=1, 1, 0)</f>
        <v>0</v>
      </c>
      <c r="V398" s="210"/>
    </row>
    <row r="399">
      <c r="A399" s="220" t="s">
        <v>165</v>
      </c>
      <c r="B399" s="190" t="s">
        <v>166</v>
      </c>
      <c r="C399" s="223" t="s">
        <v>85</v>
      </c>
      <c r="D399" s="223" t="s">
        <v>878</v>
      </c>
      <c r="E399" s="190" t="s">
        <v>21</v>
      </c>
      <c r="F399" s="13" t="s">
        <v>927</v>
      </c>
      <c r="G399" s="13" t="s">
        <v>918</v>
      </c>
      <c r="H399" s="219">
        <f>IFERROR(
  MINIFS(ATTENDANCE_LOG!$F:$F,
         ATTENDANCE_LOG!$A:$A, C399,
         ATTENDANCE_LOG!$B:$B, E399),
"")</f>
        <v>45764.45833</v>
      </c>
      <c r="I399" s="190">
        <f>IFERROR(VLOOKUP(F399, LEVEL_HELPER!$A:$B, 2, 0), "")</f>
        <v>1</v>
      </c>
      <c r="J399" s="190">
        <f>IFERROR(VLOOKUP(G399, LEVEL_HELPER!$A:$B, 2, 0), "")</f>
        <v>3</v>
      </c>
      <c r="K399" s="190">
        <f t="shared" ref="K399:L399" si="812">IF(OR(I399="", I399=0), "",
  IF(I399&lt;=2,   1,
  IF(I399&lt;=4,   2,
  IF(I399&lt;=5.5, 3, 4))))</f>
        <v>1</v>
      </c>
      <c r="L399" s="190">
        <f t="shared" si="812"/>
        <v>2</v>
      </c>
      <c r="M399" s="190" t="str">
        <f t="shared" si="4"/>
        <v>Lv1 → Lv2</v>
      </c>
      <c r="N399" s="220" t="s">
        <v>943</v>
      </c>
      <c r="O399" s="220" t="s">
        <v>924</v>
      </c>
      <c r="P399" s="190">
        <f t="shared" si="5"/>
        <v>1</v>
      </c>
      <c r="Q399" s="210">
        <f t="shared" si="6"/>
        <v>3</v>
      </c>
      <c r="R399" s="210">
        <f t="shared" ref="R399:S399" si="813">IF(OR(P399="", P399=0), "",
  IF(P399&lt;=2,   1,
  IF(P399&lt;=4,   2,
  IF(P399&lt;=5.5, 3, 4))))</f>
        <v>1</v>
      </c>
      <c r="S399" s="210">
        <f t="shared" si="813"/>
        <v>2</v>
      </c>
      <c r="T399" s="210" t="str">
        <f t="shared" si="8"/>
        <v>Lv1 → Lv2</v>
      </c>
      <c r="U399" s="210">
        <f t="shared" si="814"/>
        <v>1</v>
      </c>
      <c r="V399" s="210"/>
    </row>
    <row r="400">
      <c r="A400" s="220" t="s">
        <v>275</v>
      </c>
      <c r="B400" s="190" t="s">
        <v>276</v>
      </c>
      <c r="C400" s="223" t="s">
        <v>85</v>
      </c>
      <c r="D400" s="223" t="s">
        <v>878</v>
      </c>
      <c r="E400" s="190" t="s">
        <v>21</v>
      </c>
      <c r="F400" s="13" t="s">
        <v>927</v>
      </c>
      <c r="G400" s="13" t="s">
        <v>918</v>
      </c>
      <c r="H400" s="219">
        <f>IFERROR(
  MINIFS(ATTENDANCE_LOG!$F:$F,
         ATTENDANCE_LOG!$A:$A, C400,
         ATTENDANCE_LOG!$B:$B, E400),
"")</f>
        <v>45764.45833</v>
      </c>
      <c r="I400" s="190">
        <f>IFERROR(VLOOKUP(F400, LEVEL_HELPER!$A:$B, 2, 0), "")</f>
        <v>1</v>
      </c>
      <c r="J400" s="190">
        <f>IFERROR(VLOOKUP(G400, LEVEL_HELPER!$A:$B, 2, 0), "")</f>
        <v>3</v>
      </c>
      <c r="K400" s="190">
        <f t="shared" ref="K400:L400" si="815">IF(OR(I400="", I400=0), "",
  IF(I400&lt;=2,   1,
  IF(I400&lt;=4,   2,
  IF(I400&lt;=5.5, 3, 4))))</f>
        <v>1</v>
      </c>
      <c r="L400" s="190">
        <f t="shared" si="815"/>
        <v>2</v>
      </c>
      <c r="M400" s="190" t="str">
        <f t="shared" si="4"/>
        <v>Lv1 → Lv2</v>
      </c>
      <c r="N400" s="220" t="s">
        <v>943</v>
      </c>
      <c r="O400" s="220" t="s">
        <v>924</v>
      </c>
      <c r="P400" s="190">
        <f t="shared" si="5"/>
        <v>1</v>
      </c>
      <c r="Q400" s="210">
        <f t="shared" si="6"/>
        <v>3</v>
      </c>
      <c r="R400" s="210">
        <f t="shared" ref="R400:S400" si="816">IF(OR(P400="", P400=0), "",
  IF(P400&lt;=2,   1,
  IF(P400&lt;=4,   2,
  IF(P400&lt;=5.5, 3, 4))))</f>
        <v>1</v>
      </c>
      <c r="S400" s="210">
        <f t="shared" si="816"/>
        <v>2</v>
      </c>
      <c r="T400" s="210" t="str">
        <f t="shared" si="8"/>
        <v>Lv1 → Lv2</v>
      </c>
      <c r="U400" s="210">
        <f t="shared" si="814"/>
        <v>1</v>
      </c>
      <c r="V400" s="210"/>
    </row>
    <row r="401">
      <c r="A401" s="220" t="s">
        <v>681</v>
      </c>
      <c r="B401" s="190" t="s">
        <v>682</v>
      </c>
      <c r="C401" s="223" t="s">
        <v>85</v>
      </c>
      <c r="D401" s="223" t="s">
        <v>878</v>
      </c>
      <c r="E401" s="190" t="s">
        <v>21</v>
      </c>
      <c r="F401" s="13" t="s">
        <v>927</v>
      </c>
      <c r="G401" s="13" t="s">
        <v>927</v>
      </c>
      <c r="H401" s="219">
        <f>IFERROR(
  MINIFS(ATTENDANCE_LOG!$F:$F,
         ATTENDANCE_LOG!$A:$A, C401,
         ATTENDANCE_LOG!$B:$B, E401),
"")</f>
        <v>45764.45833</v>
      </c>
      <c r="I401" s="190">
        <f>IFERROR(VLOOKUP(F401, LEVEL_HELPER!$A:$B, 2, 0), "")</f>
        <v>1</v>
      </c>
      <c r="J401" s="190">
        <f>IFERROR(VLOOKUP(G401, LEVEL_HELPER!$A:$B, 2, 0), "")</f>
        <v>1</v>
      </c>
      <c r="K401" s="190">
        <f t="shared" ref="K401:L401" si="817">IF(OR(I401="", I401=0), "",
  IF(I401&lt;=2,   1,
  IF(I401&lt;=4,   2,
  IF(I401&lt;=5.5, 3, 4))))</f>
        <v>1</v>
      </c>
      <c r="L401" s="190">
        <f t="shared" si="817"/>
        <v>1</v>
      </c>
      <c r="M401" s="190" t="str">
        <f t="shared" si="4"/>
        <v>No Progress</v>
      </c>
      <c r="N401" s="220" t="s">
        <v>943</v>
      </c>
      <c r="O401" s="220" t="s">
        <v>924</v>
      </c>
      <c r="P401" s="190">
        <f t="shared" si="5"/>
        <v>1</v>
      </c>
      <c r="Q401" s="210">
        <f t="shared" si="6"/>
        <v>3</v>
      </c>
      <c r="R401" s="210">
        <f t="shared" ref="R401:S401" si="818">IF(OR(P401="", P401=0), "",
  IF(P401&lt;=2,   1,
  IF(P401&lt;=4,   2,
  IF(P401&lt;=5.5, 3, 4))))</f>
        <v>1</v>
      </c>
      <c r="S401" s="210">
        <f t="shared" si="818"/>
        <v>2</v>
      </c>
      <c r="T401" s="210" t="str">
        <f t="shared" si="8"/>
        <v>Lv1 → Lv2</v>
      </c>
      <c r="U401" s="210">
        <f t="shared" si="814"/>
        <v>1</v>
      </c>
      <c r="V401" s="210"/>
    </row>
    <row r="402">
      <c r="A402" s="220" t="s">
        <v>719</v>
      </c>
      <c r="B402" s="190" t="s">
        <v>720</v>
      </c>
      <c r="C402" s="223" t="s">
        <v>85</v>
      </c>
      <c r="D402" s="223" t="s">
        <v>878</v>
      </c>
      <c r="E402" s="190" t="s">
        <v>21</v>
      </c>
      <c r="F402" s="13" t="s">
        <v>958</v>
      </c>
      <c r="G402" s="13" t="s">
        <v>935</v>
      </c>
      <c r="H402" s="219">
        <f>IFERROR(
  MINIFS(ATTENDANCE_LOG!$F:$F,
         ATTENDANCE_LOG!$A:$A, C402,
         ATTENDANCE_LOG!$B:$B, E402),
"")</f>
        <v>45764.45833</v>
      </c>
      <c r="I402" s="190">
        <f>IFERROR(VLOOKUP(F402, LEVEL_HELPER!$A:$B, 2, 0), "")</f>
        <v>0</v>
      </c>
      <c r="J402" s="190">
        <f>IFERROR(VLOOKUP(G402, LEVEL_HELPER!$A:$B, 2, 0), "")</f>
        <v>3.5</v>
      </c>
      <c r="K402" s="190" t="str">
        <f t="shared" ref="K402:L402" si="819">IF(OR(I402="", I402=0), "",
  IF(I402&lt;=2,   1,
  IF(I402&lt;=4,   2,
  IF(I402&lt;=5.5, 3, 4))))</f>
        <v/>
      </c>
      <c r="L402" s="190">
        <f t="shared" si="819"/>
        <v>2</v>
      </c>
      <c r="M402" s="190" t="str">
        <f t="shared" si="4"/>
        <v>No Data</v>
      </c>
      <c r="N402" s="220" t="s">
        <v>957</v>
      </c>
      <c r="O402" s="220" t="s">
        <v>924</v>
      </c>
      <c r="P402" s="190">
        <f t="shared" si="5"/>
        <v>3.5</v>
      </c>
      <c r="Q402" s="210">
        <f t="shared" si="6"/>
        <v>5</v>
      </c>
      <c r="R402" s="210">
        <f t="shared" ref="R402:S402" si="820">IF(OR(P402="", P402=0), "",
  IF(P402&lt;=2,   1,
  IF(P402&lt;=4,   2,
  IF(P402&lt;=5.5, 3, 4))))</f>
        <v>2</v>
      </c>
      <c r="S402" s="210">
        <f t="shared" si="820"/>
        <v>3</v>
      </c>
      <c r="T402" s="210" t="str">
        <f t="shared" si="8"/>
        <v>Lv2 → Lv3</v>
      </c>
      <c r="U402" s="210">
        <f t="shared" si="814"/>
        <v>1</v>
      </c>
      <c r="V402" s="210"/>
    </row>
    <row r="403">
      <c r="A403" s="247" t="s">
        <v>397</v>
      </c>
      <c r="B403" s="217" t="s">
        <v>398</v>
      </c>
      <c r="C403" s="218" t="s">
        <v>85</v>
      </c>
      <c r="D403" s="218" t="s">
        <v>878</v>
      </c>
      <c r="E403" s="217" t="s">
        <v>22</v>
      </c>
      <c r="F403" s="13" t="s">
        <v>935</v>
      </c>
      <c r="G403" s="13" t="s">
        <v>941</v>
      </c>
      <c r="H403" s="219">
        <f>IFERROR(
  MINIFS(ATTENDANCE_LOG!$F:$F,
         ATTENDANCE_LOG!$A:$A, C403,
         ATTENDANCE_LOG!$B:$B, E403),
"")</f>
        <v>45910.54167</v>
      </c>
      <c r="I403" s="190">
        <f>IFERROR(VLOOKUP(F403, LEVEL_HELPER!$A:$B, 2, 0), "")</f>
        <v>3.5</v>
      </c>
      <c r="J403" s="190">
        <f>IFERROR(VLOOKUP(G403, LEVEL_HELPER!$A:$B, 2, 0), "")</f>
        <v>5</v>
      </c>
      <c r="K403" s="190">
        <f t="shared" ref="K403:L403" si="821">IF(OR(I403="", I403=0), "",
  IF(I403&lt;=2,   1,
  IF(I403&lt;=4,   2,
  IF(I403&lt;=5.5, 3, 4))))</f>
        <v>2</v>
      </c>
      <c r="L403" s="190">
        <f t="shared" si="821"/>
        <v>3</v>
      </c>
      <c r="M403" s="190" t="str">
        <f t="shared" si="4"/>
        <v>Lv2 → Lv3</v>
      </c>
      <c r="N403" s="220" t="s">
        <v>957</v>
      </c>
      <c r="O403" s="220" t="s">
        <v>924</v>
      </c>
      <c r="P403" s="190">
        <f t="shared" si="5"/>
        <v>1</v>
      </c>
      <c r="Q403" s="210">
        <f t="shared" si="6"/>
        <v>5</v>
      </c>
      <c r="R403" s="210">
        <f t="shared" ref="R403:S403" si="822">IF(OR(P403="", P403=0), "",
  IF(P403&lt;=2,   1,
  IF(P403&lt;=4,   2,
  IF(P403&lt;=5.5, 3, 4))))</f>
        <v>1</v>
      </c>
      <c r="S403" s="210">
        <f t="shared" si="822"/>
        <v>3</v>
      </c>
      <c r="T403" s="210" t="str">
        <f t="shared" si="8"/>
        <v>Lv1 → Lv3 (multi)</v>
      </c>
      <c r="U403" s="210">
        <f>IF(COUNTIF($A$2:A406, A403)=1, 1, 0)</f>
        <v>0</v>
      </c>
      <c r="V403" s="210"/>
    </row>
    <row r="404">
      <c r="A404" s="220" t="s">
        <v>136</v>
      </c>
      <c r="B404" s="190" t="s">
        <v>137</v>
      </c>
      <c r="C404" s="223" t="s">
        <v>85</v>
      </c>
      <c r="D404" s="223" t="s">
        <v>878</v>
      </c>
      <c r="E404" s="190" t="s">
        <v>22</v>
      </c>
      <c r="F404" s="13" t="s">
        <v>935</v>
      </c>
      <c r="G404" s="13" t="s">
        <v>941</v>
      </c>
      <c r="H404" s="219">
        <f>IFERROR(
  MINIFS(ATTENDANCE_LOG!$F:$F,
         ATTENDANCE_LOG!$A:$A, C404,
         ATTENDANCE_LOG!$B:$B, E404),
"")</f>
        <v>45910.54167</v>
      </c>
      <c r="I404" s="190">
        <f>IFERROR(VLOOKUP(F404, LEVEL_HELPER!$A:$B, 2, 0), "")</f>
        <v>3.5</v>
      </c>
      <c r="J404" s="190">
        <f>IFERROR(VLOOKUP(G404, LEVEL_HELPER!$A:$B, 2, 0), "")</f>
        <v>5</v>
      </c>
      <c r="K404" s="190">
        <f t="shared" ref="K404:L404" si="823">IF(OR(I404="", I404=0), "",
  IF(I404&lt;=2,   1,
  IF(I404&lt;=4,   2,
  IF(I404&lt;=5.5, 3, 4))))</f>
        <v>2</v>
      </c>
      <c r="L404" s="190">
        <f t="shared" si="823"/>
        <v>3</v>
      </c>
      <c r="M404" s="190" t="str">
        <f t="shared" si="4"/>
        <v>Lv2 → Lv3</v>
      </c>
      <c r="N404" s="220" t="s">
        <v>943</v>
      </c>
      <c r="O404" s="220" t="s">
        <v>924</v>
      </c>
      <c r="P404" s="190">
        <f t="shared" si="5"/>
        <v>3.5</v>
      </c>
      <c r="Q404" s="210">
        <f t="shared" si="6"/>
        <v>5</v>
      </c>
      <c r="R404" s="210">
        <f t="shared" ref="R404:S404" si="824">IF(OR(P404="", P404=0), "",
  IF(P404&lt;=2,   1,
  IF(P404&lt;=4,   2,
  IF(P404&lt;=5.5, 3, 4))))</f>
        <v>2</v>
      </c>
      <c r="S404" s="210">
        <f t="shared" si="824"/>
        <v>3</v>
      </c>
      <c r="T404" s="210" t="str">
        <f t="shared" si="8"/>
        <v>Lv2 → Lv3</v>
      </c>
      <c r="U404" s="210">
        <f t="shared" ref="U404:U411" si="827">IF(COUNTIF($A$2:A404, A404)=1, 1, 0)</f>
        <v>0</v>
      </c>
      <c r="V404" s="210"/>
    </row>
    <row r="405">
      <c r="A405" s="220" t="s">
        <v>165</v>
      </c>
      <c r="B405" s="190" t="s">
        <v>166</v>
      </c>
      <c r="C405" s="223" t="s">
        <v>85</v>
      </c>
      <c r="D405" s="223" t="s">
        <v>878</v>
      </c>
      <c r="E405" s="190" t="s">
        <v>22</v>
      </c>
      <c r="F405" s="13" t="s">
        <v>918</v>
      </c>
      <c r="G405" s="190"/>
      <c r="H405" s="219">
        <f>IFERROR(
  MINIFS(ATTENDANCE_LOG!$F:$F,
         ATTENDANCE_LOG!$A:$A, C405,
         ATTENDANCE_LOG!$B:$B, E405),
"")</f>
        <v>45910.54167</v>
      </c>
      <c r="I405" s="190">
        <f>IFERROR(VLOOKUP(F405, LEVEL_HELPER!$A:$B, 2, 0), "")</f>
        <v>3</v>
      </c>
      <c r="J405" s="190" t="str">
        <f>IFERROR(VLOOKUP(G405, LEVEL_HELPER!$A:$B, 2, 0), "")</f>
        <v/>
      </c>
      <c r="K405" s="190">
        <f t="shared" ref="K405:L405" si="825">IF(OR(I405="", I405=0), "",
  IF(I405&lt;=2,   1,
  IF(I405&lt;=4,   2,
  IF(I405&lt;=5.5, 3, 4))))</f>
        <v>2</v>
      </c>
      <c r="L405" s="190" t="str">
        <f t="shared" si="825"/>
        <v/>
      </c>
      <c r="M405" s="190" t="str">
        <f t="shared" si="4"/>
        <v>No Data</v>
      </c>
      <c r="N405" s="220" t="s">
        <v>943</v>
      </c>
      <c r="O405" s="220" t="s">
        <v>924</v>
      </c>
      <c r="P405" s="190">
        <f t="shared" si="5"/>
        <v>1</v>
      </c>
      <c r="Q405" s="210">
        <f t="shared" si="6"/>
        <v>3</v>
      </c>
      <c r="R405" s="210">
        <f t="shared" ref="R405:S405" si="826">IF(OR(P405="", P405=0), "",
  IF(P405&lt;=2,   1,
  IF(P405&lt;=4,   2,
  IF(P405&lt;=5.5, 3, 4))))</f>
        <v>1</v>
      </c>
      <c r="S405" s="210">
        <f t="shared" si="826"/>
        <v>2</v>
      </c>
      <c r="T405" s="210" t="str">
        <f t="shared" si="8"/>
        <v>Lv1 → Lv2</v>
      </c>
      <c r="U405" s="210">
        <f t="shared" si="827"/>
        <v>0</v>
      </c>
      <c r="V405" s="210"/>
    </row>
    <row r="406">
      <c r="A406" s="220" t="s">
        <v>275</v>
      </c>
      <c r="B406" s="190" t="s">
        <v>276</v>
      </c>
      <c r="C406" s="223" t="s">
        <v>85</v>
      </c>
      <c r="D406" s="223" t="s">
        <v>878</v>
      </c>
      <c r="E406" s="190" t="s">
        <v>22</v>
      </c>
      <c r="F406" s="13" t="s">
        <v>918</v>
      </c>
      <c r="G406" s="190"/>
      <c r="H406" s="219">
        <f>IFERROR(
  MINIFS(ATTENDANCE_LOG!$F:$F,
         ATTENDANCE_LOG!$A:$A, C406,
         ATTENDANCE_LOG!$B:$B, E406),
"")</f>
        <v>45910.54167</v>
      </c>
      <c r="I406" s="190">
        <f>IFERROR(VLOOKUP(F406, LEVEL_HELPER!$A:$B, 2, 0), "")</f>
        <v>3</v>
      </c>
      <c r="J406" s="190" t="str">
        <f>IFERROR(VLOOKUP(G406, LEVEL_HELPER!$A:$B, 2, 0), "")</f>
        <v/>
      </c>
      <c r="K406" s="190">
        <f t="shared" ref="K406:L406" si="828">IF(OR(I406="", I406=0), "",
  IF(I406&lt;=2,   1,
  IF(I406&lt;=4,   2,
  IF(I406&lt;=5.5, 3, 4))))</f>
        <v>2</v>
      </c>
      <c r="L406" s="190" t="str">
        <f t="shared" si="828"/>
        <v/>
      </c>
      <c r="M406" s="190" t="str">
        <f t="shared" si="4"/>
        <v>No Data</v>
      </c>
      <c r="N406" s="220" t="s">
        <v>943</v>
      </c>
      <c r="O406" s="220" t="s">
        <v>924</v>
      </c>
      <c r="P406" s="190">
        <f t="shared" si="5"/>
        <v>1</v>
      </c>
      <c r="Q406" s="210">
        <f t="shared" si="6"/>
        <v>3</v>
      </c>
      <c r="R406" s="210">
        <f t="shared" ref="R406:S406" si="829">IF(OR(P406="", P406=0), "",
  IF(P406&lt;=2,   1,
  IF(P406&lt;=4,   2,
  IF(P406&lt;=5.5, 3, 4))))</f>
        <v>1</v>
      </c>
      <c r="S406" s="210">
        <f t="shared" si="829"/>
        <v>2</v>
      </c>
      <c r="T406" s="210" t="str">
        <f t="shared" si="8"/>
        <v>Lv1 → Lv2</v>
      </c>
      <c r="U406" s="210">
        <f t="shared" si="827"/>
        <v>0</v>
      </c>
      <c r="V406" s="210"/>
    </row>
    <row r="407">
      <c r="A407" s="220" t="s">
        <v>512</v>
      </c>
      <c r="B407" s="190" t="s">
        <v>513</v>
      </c>
      <c r="C407" s="223" t="s">
        <v>85</v>
      </c>
      <c r="D407" s="223" t="s">
        <v>878</v>
      </c>
      <c r="E407" s="190" t="s">
        <v>22</v>
      </c>
      <c r="F407" s="13" t="s">
        <v>918</v>
      </c>
      <c r="G407" s="190"/>
      <c r="H407" s="219">
        <f>IFERROR(
  MINIFS(ATTENDANCE_LOG!$F:$F,
         ATTENDANCE_LOG!$A:$A, C407,
         ATTENDANCE_LOG!$B:$B, E407),
"")</f>
        <v>45910.54167</v>
      </c>
      <c r="I407" s="190">
        <f>IFERROR(VLOOKUP(F407, LEVEL_HELPER!$A:$B, 2, 0), "")</f>
        <v>3</v>
      </c>
      <c r="J407" s="190" t="str">
        <f>IFERROR(VLOOKUP(G407, LEVEL_HELPER!$A:$B, 2, 0), "")</f>
        <v/>
      </c>
      <c r="K407" s="190">
        <f t="shared" ref="K407:L407" si="830">IF(OR(I407="", I407=0), "",
  IF(I407&lt;=2,   1,
  IF(I407&lt;=4,   2,
  IF(I407&lt;=5.5, 3, 4))))</f>
        <v>2</v>
      </c>
      <c r="L407" s="190" t="str">
        <f t="shared" si="830"/>
        <v/>
      </c>
      <c r="M407" s="190" t="str">
        <f t="shared" si="4"/>
        <v>No Data</v>
      </c>
      <c r="N407" s="220" t="s">
        <v>943</v>
      </c>
      <c r="O407" s="220" t="s">
        <v>924</v>
      </c>
      <c r="P407" s="190">
        <f t="shared" si="5"/>
        <v>1</v>
      </c>
      <c r="Q407" s="210">
        <f t="shared" si="6"/>
        <v>2.5</v>
      </c>
      <c r="R407" s="210">
        <f t="shared" ref="R407:S407" si="831">IF(OR(P407="", P407=0), "",
  IF(P407&lt;=2,   1,
  IF(P407&lt;=4,   2,
  IF(P407&lt;=5.5, 3, 4))))</f>
        <v>1</v>
      </c>
      <c r="S407" s="210">
        <f t="shared" si="831"/>
        <v>2</v>
      </c>
      <c r="T407" s="210" t="str">
        <f t="shared" si="8"/>
        <v>Lv1 → Lv2</v>
      </c>
      <c r="U407" s="210">
        <f t="shared" si="827"/>
        <v>0</v>
      </c>
      <c r="V407" s="210"/>
    </row>
    <row r="408">
      <c r="A408" s="220" t="s">
        <v>524</v>
      </c>
      <c r="B408" s="190" t="s">
        <v>525</v>
      </c>
      <c r="C408" s="223" t="s">
        <v>85</v>
      </c>
      <c r="D408" s="223" t="s">
        <v>878</v>
      </c>
      <c r="E408" s="190" t="s">
        <v>22</v>
      </c>
      <c r="F408" s="13" t="s">
        <v>929</v>
      </c>
      <c r="G408" s="13" t="s">
        <v>935</v>
      </c>
      <c r="H408" s="219">
        <f>IFERROR(
  MINIFS(ATTENDANCE_LOG!$F:$F,
         ATTENDANCE_LOG!$A:$A, C408,
         ATTENDANCE_LOG!$B:$B, E408),
"")</f>
        <v>45910.54167</v>
      </c>
      <c r="I408" s="190">
        <f>IFERROR(VLOOKUP(F408, LEVEL_HELPER!$A:$B, 2, 0), "")</f>
        <v>1.5</v>
      </c>
      <c r="J408" s="190">
        <f>IFERROR(VLOOKUP(G408, LEVEL_HELPER!$A:$B, 2, 0), "")</f>
        <v>3.5</v>
      </c>
      <c r="K408" s="190">
        <f t="shared" ref="K408:L408" si="832">IF(OR(I408="", I408=0), "",
  IF(I408&lt;=2,   1,
  IF(I408&lt;=4,   2,
  IF(I408&lt;=5.5, 3, 4))))</f>
        <v>1</v>
      </c>
      <c r="L408" s="190">
        <f t="shared" si="832"/>
        <v>2</v>
      </c>
      <c r="M408" s="190" t="str">
        <f t="shared" si="4"/>
        <v>Lv1 → Lv2</v>
      </c>
      <c r="N408" s="220" t="s">
        <v>943</v>
      </c>
      <c r="O408" s="220" t="s">
        <v>924</v>
      </c>
      <c r="P408" s="190">
        <f t="shared" si="5"/>
        <v>0.5</v>
      </c>
      <c r="Q408" s="210">
        <f t="shared" si="6"/>
        <v>3.5</v>
      </c>
      <c r="R408" s="210">
        <f t="shared" ref="R408:S408" si="833">IF(OR(P408="", P408=0), "",
  IF(P408&lt;=2,   1,
  IF(P408&lt;=4,   2,
  IF(P408&lt;=5.5, 3, 4))))</f>
        <v>1</v>
      </c>
      <c r="S408" s="210">
        <f t="shared" si="833"/>
        <v>2</v>
      </c>
      <c r="T408" s="210" t="str">
        <f t="shared" si="8"/>
        <v>Lv1 → Lv2</v>
      </c>
      <c r="U408" s="210">
        <f t="shared" si="827"/>
        <v>0</v>
      </c>
      <c r="V408" s="210"/>
    </row>
    <row r="409">
      <c r="A409" s="220" t="s">
        <v>530</v>
      </c>
      <c r="B409" s="190" t="s">
        <v>531</v>
      </c>
      <c r="C409" s="223" t="s">
        <v>85</v>
      </c>
      <c r="D409" s="223" t="s">
        <v>878</v>
      </c>
      <c r="E409" s="190" t="s">
        <v>22</v>
      </c>
      <c r="F409" s="13" t="s">
        <v>918</v>
      </c>
      <c r="G409" s="13" t="s">
        <v>941</v>
      </c>
      <c r="H409" s="219">
        <f>IFERROR(
  MINIFS(ATTENDANCE_LOG!$F:$F,
         ATTENDANCE_LOG!$A:$A, C409,
         ATTENDANCE_LOG!$B:$B, E409),
"")</f>
        <v>45910.54167</v>
      </c>
      <c r="I409" s="190">
        <f>IFERROR(VLOOKUP(F409, LEVEL_HELPER!$A:$B, 2, 0), "")</f>
        <v>3</v>
      </c>
      <c r="J409" s="190">
        <f>IFERROR(VLOOKUP(G409, LEVEL_HELPER!$A:$B, 2, 0), "")</f>
        <v>5</v>
      </c>
      <c r="K409" s="190">
        <f t="shared" ref="K409:L409" si="834">IF(OR(I409="", I409=0), "",
  IF(I409&lt;=2,   1,
  IF(I409&lt;=4,   2,
  IF(I409&lt;=5.5, 3, 4))))</f>
        <v>2</v>
      </c>
      <c r="L409" s="190">
        <f t="shared" si="834"/>
        <v>3</v>
      </c>
      <c r="M409" s="190" t="str">
        <f t="shared" si="4"/>
        <v>Lv2 → Lv3</v>
      </c>
      <c r="N409" s="220" t="s">
        <v>943</v>
      </c>
      <c r="O409" s="220" t="s">
        <v>924</v>
      </c>
      <c r="P409" s="190">
        <f t="shared" si="5"/>
        <v>1</v>
      </c>
      <c r="Q409" s="210">
        <f t="shared" si="6"/>
        <v>5</v>
      </c>
      <c r="R409" s="210">
        <f t="shared" ref="R409:S409" si="835">IF(OR(P409="", P409=0), "",
  IF(P409&lt;=2,   1,
  IF(P409&lt;=4,   2,
  IF(P409&lt;=5.5, 3, 4))))</f>
        <v>1</v>
      </c>
      <c r="S409" s="210">
        <f t="shared" si="835"/>
        <v>3</v>
      </c>
      <c r="T409" s="210" t="str">
        <f t="shared" si="8"/>
        <v>Lv1 → Lv3 (multi)</v>
      </c>
      <c r="U409" s="210">
        <f t="shared" si="827"/>
        <v>0</v>
      </c>
      <c r="V409" s="210"/>
    </row>
    <row r="410">
      <c r="A410" s="220" t="s">
        <v>621</v>
      </c>
      <c r="B410" s="190" t="s">
        <v>622</v>
      </c>
      <c r="C410" s="223" t="s">
        <v>85</v>
      </c>
      <c r="D410" s="223" t="s">
        <v>878</v>
      </c>
      <c r="E410" s="190" t="s">
        <v>22</v>
      </c>
      <c r="F410" s="13" t="s">
        <v>935</v>
      </c>
      <c r="G410" s="13" t="s">
        <v>941</v>
      </c>
      <c r="H410" s="219">
        <f>IFERROR(
  MINIFS(ATTENDANCE_LOG!$F:$F,
         ATTENDANCE_LOG!$A:$A, C410,
         ATTENDANCE_LOG!$B:$B, E410),
"")</f>
        <v>45910.54167</v>
      </c>
      <c r="I410" s="190">
        <f>IFERROR(VLOOKUP(F410, LEVEL_HELPER!$A:$B, 2, 0), "")</f>
        <v>3.5</v>
      </c>
      <c r="J410" s="190">
        <f>IFERROR(VLOOKUP(G410, LEVEL_HELPER!$A:$B, 2, 0), "")</f>
        <v>5</v>
      </c>
      <c r="K410" s="190">
        <f t="shared" ref="K410:L410" si="836">IF(OR(I410="", I410=0), "",
  IF(I410&lt;=2,   1,
  IF(I410&lt;=4,   2,
  IF(I410&lt;=5.5, 3, 4))))</f>
        <v>2</v>
      </c>
      <c r="L410" s="190">
        <f t="shared" si="836"/>
        <v>3</v>
      </c>
      <c r="M410" s="190" t="str">
        <f t="shared" si="4"/>
        <v>Lv2 → Lv3</v>
      </c>
      <c r="N410" s="220" t="s">
        <v>943</v>
      </c>
      <c r="O410" s="220" t="s">
        <v>924</v>
      </c>
      <c r="P410" s="190">
        <f t="shared" si="5"/>
        <v>1</v>
      </c>
      <c r="Q410" s="210">
        <f t="shared" si="6"/>
        <v>5</v>
      </c>
      <c r="R410" s="210">
        <f t="shared" ref="R410:S410" si="837">IF(OR(P410="", P410=0), "",
  IF(P410&lt;=2,   1,
  IF(P410&lt;=4,   2,
  IF(P410&lt;=5.5, 3, 4))))</f>
        <v>1</v>
      </c>
      <c r="S410" s="210">
        <f t="shared" si="837"/>
        <v>3</v>
      </c>
      <c r="T410" s="210" t="str">
        <f t="shared" si="8"/>
        <v>Lv1 → Lv3 (multi)</v>
      </c>
      <c r="U410" s="210">
        <f t="shared" si="827"/>
        <v>0</v>
      </c>
      <c r="V410" s="210"/>
    </row>
    <row r="411">
      <c r="A411" s="220" t="s">
        <v>719</v>
      </c>
      <c r="B411" s="190" t="s">
        <v>720</v>
      </c>
      <c r="C411" s="223" t="s">
        <v>85</v>
      </c>
      <c r="D411" s="223" t="s">
        <v>878</v>
      </c>
      <c r="E411" s="190" t="s">
        <v>22</v>
      </c>
      <c r="F411" s="13" t="s">
        <v>935</v>
      </c>
      <c r="G411" s="13" t="s">
        <v>941</v>
      </c>
      <c r="H411" s="219">
        <f>IFERROR(
  MINIFS(ATTENDANCE_LOG!$F:$F,
         ATTENDANCE_LOG!$A:$A, C411,
         ATTENDANCE_LOG!$B:$B, E411),
"")</f>
        <v>45910.54167</v>
      </c>
      <c r="I411" s="190">
        <f>IFERROR(VLOOKUP(F411, LEVEL_HELPER!$A:$B, 2, 0), "")</f>
        <v>3.5</v>
      </c>
      <c r="J411" s="190">
        <f>IFERROR(VLOOKUP(G411, LEVEL_HELPER!$A:$B, 2, 0), "")</f>
        <v>5</v>
      </c>
      <c r="K411" s="190">
        <f t="shared" ref="K411:L411" si="838">IF(OR(I411="", I411=0), "",
  IF(I411&lt;=2,   1,
  IF(I411&lt;=4,   2,
  IF(I411&lt;=5.5, 3, 4))))</f>
        <v>2</v>
      </c>
      <c r="L411" s="190">
        <f t="shared" si="838"/>
        <v>3</v>
      </c>
      <c r="M411" s="190" t="str">
        <f t="shared" si="4"/>
        <v>Lv2 → Lv3</v>
      </c>
      <c r="N411" s="220" t="s">
        <v>957</v>
      </c>
      <c r="O411" s="220" t="s">
        <v>924</v>
      </c>
      <c r="P411" s="190">
        <f t="shared" si="5"/>
        <v>3.5</v>
      </c>
      <c r="Q411" s="210">
        <f t="shared" si="6"/>
        <v>5</v>
      </c>
      <c r="R411" s="210">
        <f t="shared" ref="R411:S411" si="839">IF(OR(P411="", P411=0), "",
  IF(P411&lt;=2,   1,
  IF(P411&lt;=4,   2,
  IF(P411&lt;=5.5, 3, 4))))</f>
        <v>2</v>
      </c>
      <c r="S411" s="210">
        <f t="shared" si="839"/>
        <v>3</v>
      </c>
      <c r="T411" s="210" t="str">
        <f t="shared" si="8"/>
        <v>Lv2 → Lv3</v>
      </c>
      <c r="U411" s="210">
        <f t="shared" si="827"/>
        <v>0</v>
      </c>
      <c r="V411" s="210"/>
    </row>
    <row r="412">
      <c r="A412" s="247" t="s">
        <v>407</v>
      </c>
      <c r="B412" s="217" t="s">
        <v>408</v>
      </c>
      <c r="C412" s="218" t="s">
        <v>86</v>
      </c>
      <c r="D412" s="218" t="s">
        <v>879</v>
      </c>
      <c r="E412" s="217" t="s">
        <v>25</v>
      </c>
      <c r="F412" s="242" t="s">
        <v>25</v>
      </c>
      <c r="G412" s="242" t="s">
        <v>927</v>
      </c>
      <c r="H412" s="219">
        <f>IFERROR(
  MINIFS(ATTENDANCE_LOG!$F:$F,
         ATTENDANCE_LOG!$A:$A, C412,
         ATTENDANCE_LOG!$B:$B, E412),
"")</f>
        <v>45805.375</v>
      </c>
      <c r="I412" s="217">
        <f>IFERROR(VLOOKUP(F412, LEVEL_HELPER!$A:$B, 2, 0), "")</f>
        <v>0.5</v>
      </c>
      <c r="J412" s="217">
        <f>IFERROR(VLOOKUP(G412, LEVEL_HELPER!$A:$B, 2, 0), "")</f>
        <v>1</v>
      </c>
      <c r="K412" s="217">
        <f t="shared" ref="K412:L412" si="840">IF(OR(I412="", I412=0), "",
  IF(I412&lt;=2,   1,
  IF(I412&lt;=4,   2,
  IF(I412&lt;=5.5, 3, 4))))</f>
        <v>1</v>
      </c>
      <c r="L412" s="190">
        <f t="shared" si="840"/>
        <v>1</v>
      </c>
      <c r="M412" s="190" t="str">
        <f t="shared" si="4"/>
        <v>Progress within level</v>
      </c>
      <c r="N412" s="247" t="s">
        <v>943</v>
      </c>
      <c r="O412" s="247" t="s">
        <v>924</v>
      </c>
      <c r="P412" s="217">
        <f t="shared" si="5"/>
        <v>0.5</v>
      </c>
      <c r="Q412" s="248">
        <f t="shared" si="6"/>
        <v>3</v>
      </c>
      <c r="R412" s="248">
        <f t="shared" ref="R412:S412" si="841">IF(OR(P412="", P412=0), "",
  IF(P412&lt;=2,   1,
  IF(P412&lt;=4,   2,
  IF(P412&lt;=5.5, 3, 4))))</f>
        <v>1</v>
      </c>
      <c r="S412" s="248">
        <f t="shared" si="841"/>
        <v>2</v>
      </c>
      <c r="T412" s="248" t="str">
        <f t="shared" si="8"/>
        <v>Lv1 → Lv2</v>
      </c>
      <c r="U412" s="248">
        <f>IF(COUNTIF($A$2:A415, A412)=1, 1, 0)</f>
        <v>1</v>
      </c>
      <c r="V412" s="248"/>
    </row>
    <row r="413">
      <c r="A413" s="220" t="s">
        <v>153</v>
      </c>
      <c r="B413" s="190" t="s">
        <v>154</v>
      </c>
      <c r="C413" s="223" t="s">
        <v>86</v>
      </c>
      <c r="D413" s="223" t="s">
        <v>879</v>
      </c>
      <c r="E413" s="190" t="s">
        <v>25</v>
      </c>
      <c r="F413" s="13" t="s">
        <v>25</v>
      </c>
      <c r="G413" s="13" t="s">
        <v>25</v>
      </c>
      <c r="H413" s="219">
        <f>IFERROR(
  MINIFS(ATTENDANCE_LOG!$F:$F,
         ATTENDANCE_LOG!$A:$A, C413,
         ATTENDANCE_LOG!$B:$B, E413),
"")</f>
        <v>45805.375</v>
      </c>
      <c r="I413" s="190">
        <f>IFERROR(VLOOKUP(F413, LEVEL_HELPER!$A:$B, 2, 0), "")</f>
        <v>0.5</v>
      </c>
      <c r="J413" s="190">
        <f>IFERROR(VLOOKUP(G413, LEVEL_HELPER!$A:$B, 2, 0), "")</f>
        <v>0.5</v>
      </c>
      <c r="K413" s="190">
        <f t="shared" ref="K413:L413" si="842">IF(OR(I413="", I413=0), "",
  IF(I413&lt;=2,   1,
  IF(I413&lt;=4,   2,
  IF(I413&lt;=5.5, 3, 4))))</f>
        <v>1</v>
      </c>
      <c r="L413" s="190">
        <f t="shared" si="842"/>
        <v>1</v>
      </c>
      <c r="M413" s="190" t="str">
        <f t="shared" si="4"/>
        <v>No Progress</v>
      </c>
      <c r="N413" s="220" t="s">
        <v>943</v>
      </c>
      <c r="O413" s="220" t="s">
        <v>924</v>
      </c>
      <c r="P413" s="190">
        <f t="shared" si="5"/>
        <v>0.5</v>
      </c>
      <c r="Q413" s="210">
        <f t="shared" si="6"/>
        <v>0.5</v>
      </c>
      <c r="R413" s="210">
        <f t="shared" ref="R413:S413" si="843">IF(OR(P413="", P413=0), "",
  IF(P413&lt;=2,   1,
  IF(P413&lt;=4,   2,
  IF(P413&lt;=5.5, 3, 4))))</f>
        <v>1</v>
      </c>
      <c r="S413" s="210">
        <f t="shared" si="843"/>
        <v>1</v>
      </c>
      <c r="T413" s="210" t="str">
        <f t="shared" si="8"/>
        <v>No Progress</v>
      </c>
      <c r="U413" s="210">
        <f t="shared" ref="U413:U419" si="846">IF(COUNTIF($A$2:A413, A413)=1, 1, 0)</f>
        <v>1</v>
      </c>
      <c r="V413" s="210"/>
    </row>
    <row r="414">
      <c r="A414" s="220" t="s">
        <v>277</v>
      </c>
      <c r="B414" s="190" t="s">
        <v>278</v>
      </c>
      <c r="C414" s="223" t="s">
        <v>86</v>
      </c>
      <c r="D414" s="223" t="s">
        <v>879</v>
      </c>
      <c r="E414" s="190" t="s">
        <v>25</v>
      </c>
      <c r="F414" s="13" t="s">
        <v>25</v>
      </c>
      <c r="G414" s="13" t="s">
        <v>25</v>
      </c>
      <c r="H414" s="219">
        <f>IFERROR(
  MINIFS(ATTENDANCE_LOG!$F:$F,
         ATTENDANCE_LOG!$A:$A, C414,
         ATTENDANCE_LOG!$B:$B, E414),
"")</f>
        <v>45805.375</v>
      </c>
      <c r="I414" s="190">
        <f>IFERROR(VLOOKUP(F414, LEVEL_HELPER!$A:$B, 2, 0), "")</f>
        <v>0.5</v>
      </c>
      <c r="J414" s="190">
        <f>IFERROR(VLOOKUP(G414, LEVEL_HELPER!$A:$B, 2, 0), "")</f>
        <v>0.5</v>
      </c>
      <c r="K414" s="190">
        <f t="shared" ref="K414:L414" si="844">IF(OR(I414="", I414=0), "",
  IF(I414&lt;=2,   1,
  IF(I414&lt;=4,   2,
  IF(I414&lt;=5.5, 3, 4))))</f>
        <v>1</v>
      </c>
      <c r="L414" s="190">
        <f t="shared" si="844"/>
        <v>1</v>
      </c>
      <c r="M414" s="190" t="str">
        <f t="shared" si="4"/>
        <v>No Progress</v>
      </c>
      <c r="N414" s="220" t="s">
        <v>943</v>
      </c>
      <c r="O414" s="220" t="s">
        <v>924</v>
      </c>
      <c r="P414" s="190">
        <f t="shared" si="5"/>
        <v>0.5</v>
      </c>
      <c r="Q414" s="210">
        <f t="shared" si="6"/>
        <v>1.5</v>
      </c>
      <c r="R414" s="210">
        <f t="shared" ref="R414:S414" si="845">IF(OR(P414="", P414=0), "",
  IF(P414&lt;=2,   1,
  IF(P414&lt;=4,   2,
  IF(P414&lt;=5.5, 3, 4))))</f>
        <v>1</v>
      </c>
      <c r="S414" s="210">
        <f t="shared" si="845"/>
        <v>1</v>
      </c>
      <c r="T414" s="210" t="str">
        <f t="shared" si="8"/>
        <v>Progress within level</v>
      </c>
      <c r="U414" s="210">
        <f t="shared" si="846"/>
        <v>1</v>
      </c>
      <c r="V414" s="210"/>
    </row>
    <row r="415">
      <c r="A415" s="220" t="s">
        <v>355</v>
      </c>
      <c r="B415" s="190" t="s">
        <v>356</v>
      </c>
      <c r="C415" s="223" t="s">
        <v>86</v>
      </c>
      <c r="D415" s="223" t="s">
        <v>879</v>
      </c>
      <c r="E415" s="190" t="s">
        <v>25</v>
      </c>
      <c r="F415" s="13" t="s">
        <v>25</v>
      </c>
      <c r="G415" s="13" t="s">
        <v>25</v>
      </c>
      <c r="H415" s="219">
        <f>IFERROR(
  MINIFS(ATTENDANCE_LOG!$F:$F,
         ATTENDANCE_LOG!$A:$A, C415,
         ATTENDANCE_LOG!$B:$B, E415),
"")</f>
        <v>45805.375</v>
      </c>
      <c r="I415" s="190">
        <f>IFERROR(VLOOKUP(F415, LEVEL_HELPER!$A:$B, 2, 0), "")</f>
        <v>0.5</v>
      </c>
      <c r="J415" s="190">
        <f>IFERROR(VLOOKUP(G415, LEVEL_HELPER!$A:$B, 2, 0), "")</f>
        <v>0.5</v>
      </c>
      <c r="K415" s="190">
        <f t="shared" ref="K415:L415" si="847">IF(OR(I415="", I415=0), "",
  IF(I415&lt;=2,   1,
  IF(I415&lt;=4,   2,
  IF(I415&lt;=5.5, 3, 4))))</f>
        <v>1</v>
      </c>
      <c r="L415" s="190">
        <f t="shared" si="847"/>
        <v>1</v>
      </c>
      <c r="M415" s="190" t="str">
        <f t="shared" si="4"/>
        <v>No Progress</v>
      </c>
      <c r="N415" s="220" t="s">
        <v>943</v>
      </c>
      <c r="O415" s="220" t="s">
        <v>924</v>
      </c>
      <c r="P415" s="190">
        <f t="shared" si="5"/>
        <v>0.5</v>
      </c>
      <c r="Q415" s="210">
        <f t="shared" si="6"/>
        <v>0.5</v>
      </c>
      <c r="R415" s="210">
        <f t="shared" ref="R415:S415" si="848">IF(OR(P415="", P415=0), "",
  IF(P415&lt;=2,   1,
  IF(P415&lt;=4,   2,
  IF(P415&lt;=5.5, 3, 4))))</f>
        <v>1</v>
      </c>
      <c r="S415" s="210">
        <f t="shared" si="848"/>
        <v>1</v>
      </c>
      <c r="T415" s="210" t="str">
        <f t="shared" si="8"/>
        <v>No Progress</v>
      </c>
      <c r="U415" s="210">
        <f t="shared" si="846"/>
        <v>1</v>
      </c>
      <c r="V415" s="210"/>
    </row>
    <row r="416">
      <c r="A416" s="220" t="s">
        <v>429</v>
      </c>
      <c r="B416" s="190" t="s">
        <v>430</v>
      </c>
      <c r="C416" s="223" t="s">
        <v>86</v>
      </c>
      <c r="D416" s="223" t="s">
        <v>879</v>
      </c>
      <c r="E416" s="190" t="s">
        <v>25</v>
      </c>
      <c r="F416" s="13" t="s">
        <v>25</v>
      </c>
      <c r="G416" s="13" t="s">
        <v>25</v>
      </c>
      <c r="H416" s="219">
        <f>IFERROR(
  MINIFS(ATTENDANCE_LOG!$F:$F,
         ATTENDANCE_LOG!$A:$A, C416,
         ATTENDANCE_LOG!$B:$B, E416),
"")</f>
        <v>45805.375</v>
      </c>
      <c r="I416" s="190">
        <f>IFERROR(VLOOKUP(F416, LEVEL_HELPER!$A:$B, 2, 0), "")</f>
        <v>0.5</v>
      </c>
      <c r="J416" s="190">
        <f>IFERROR(VLOOKUP(G416, LEVEL_HELPER!$A:$B, 2, 0), "")</f>
        <v>0.5</v>
      </c>
      <c r="K416" s="190">
        <f t="shared" ref="K416:L416" si="849">IF(OR(I416="", I416=0), "",
  IF(I416&lt;=2,   1,
  IF(I416&lt;=4,   2,
  IF(I416&lt;=5.5, 3, 4))))</f>
        <v>1</v>
      </c>
      <c r="L416" s="190">
        <f t="shared" si="849"/>
        <v>1</v>
      </c>
      <c r="M416" s="190" t="str">
        <f t="shared" si="4"/>
        <v>No Progress</v>
      </c>
      <c r="N416" s="220" t="s">
        <v>944</v>
      </c>
      <c r="O416" s="220" t="s">
        <v>924</v>
      </c>
      <c r="P416" s="190">
        <f t="shared" si="5"/>
        <v>0.5</v>
      </c>
      <c r="Q416" s="210">
        <f t="shared" si="6"/>
        <v>3</v>
      </c>
      <c r="R416" s="210">
        <f t="shared" ref="R416:S416" si="850">IF(OR(P416="", P416=0), "",
  IF(P416&lt;=2,   1,
  IF(P416&lt;=4,   2,
  IF(P416&lt;=5.5, 3, 4))))</f>
        <v>1</v>
      </c>
      <c r="S416" s="210">
        <f t="shared" si="850"/>
        <v>2</v>
      </c>
      <c r="T416" s="210" t="str">
        <f t="shared" si="8"/>
        <v>Lv1 → Lv2</v>
      </c>
      <c r="U416" s="210">
        <f t="shared" si="846"/>
        <v>1</v>
      </c>
      <c r="V416" s="210"/>
    </row>
    <row r="417">
      <c r="A417" s="220" t="s">
        <v>538</v>
      </c>
      <c r="B417" s="190" t="s">
        <v>539</v>
      </c>
      <c r="C417" s="223" t="s">
        <v>86</v>
      </c>
      <c r="D417" s="223" t="s">
        <v>879</v>
      </c>
      <c r="E417" s="190" t="s">
        <v>25</v>
      </c>
      <c r="F417" s="13" t="s">
        <v>25</v>
      </c>
      <c r="G417" s="13" t="s">
        <v>25</v>
      </c>
      <c r="H417" s="219">
        <f>IFERROR(
  MINIFS(ATTENDANCE_LOG!$F:$F,
         ATTENDANCE_LOG!$A:$A, C417,
         ATTENDANCE_LOG!$B:$B, E417),
"")</f>
        <v>45805.375</v>
      </c>
      <c r="I417" s="190">
        <f>IFERROR(VLOOKUP(F417, LEVEL_HELPER!$A:$B, 2, 0), "")</f>
        <v>0.5</v>
      </c>
      <c r="J417" s="190">
        <f>IFERROR(VLOOKUP(G417, LEVEL_HELPER!$A:$B, 2, 0), "")</f>
        <v>0.5</v>
      </c>
      <c r="K417" s="190">
        <f t="shared" ref="K417:L417" si="851">IF(OR(I417="", I417=0), "",
  IF(I417&lt;=2,   1,
  IF(I417&lt;=4,   2,
  IF(I417&lt;=5.5, 3, 4))))</f>
        <v>1</v>
      </c>
      <c r="L417" s="190">
        <f t="shared" si="851"/>
        <v>1</v>
      </c>
      <c r="M417" s="190" t="str">
        <f t="shared" si="4"/>
        <v>No Progress</v>
      </c>
      <c r="N417" s="220" t="s">
        <v>943</v>
      </c>
      <c r="O417" s="220" t="s">
        <v>924</v>
      </c>
      <c r="P417" s="190">
        <f t="shared" si="5"/>
        <v>0.5</v>
      </c>
      <c r="Q417" s="210">
        <f t="shared" si="6"/>
        <v>3</v>
      </c>
      <c r="R417" s="210">
        <f t="shared" ref="R417:S417" si="852">IF(OR(P417="", P417=0), "",
  IF(P417&lt;=2,   1,
  IF(P417&lt;=4,   2,
  IF(P417&lt;=5.5, 3, 4))))</f>
        <v>1</v>
      </c>
      <c r="S417" s="210">
        <f t="shared" si="852"/>
        <v>2</v>
      </c>
      <c r="T417" s="210" t="str">
        <f t="shared" si="8"/>
        <v>Lv1 → Lv2</v>
      </c>
      <c r="U417" s="210">
        <f t="shared" si="846"/>
        <v>1</v>
      </c>
      <c r="V417" s="210"/>
    </row>
    <row r="418">
      <c r="A418" s="220" t="s">
        <v>629</v>
      </c>
      <c r="B418" s="190" t="s">
        <v>630</v>
      </c>
      <c r="C418" s="223" t="s">
        <v>86</v>
      </c>
      <c r="D418" s="223" t="s">
        <v>879</v>
      </c>
      <c r="E418" s="190" t="s">
        <v>25</v>
      </c>
      <c r="F418" s="13" t="s">
        <v>25</v>
      </c>
      <c r="G418" s="13" t="s">
        <v>25</v>
      </c>
      <c r="H418" s="219">
        <f>IFERROR(
  MINIFS(ATTENDANCE_LOG!$F:$F,
         ATTENDANCE_LOG!$A:$A, C418,
         ATTENDANCE_LOG!$B:$B, E418),
"")</f>
        <v>45805.375</v>
      </c>
      <c r="I418" s="190">
        <f>IFERROR(VLOOKUP(F418, LEVEL_HELPER!$A:$B, 2, 0), "")</f>
        <v>0.5</v>
      </c>
      <c r="J418" s="190">
        <f>IFERROR(VLOOKUP(G418, LEVEL_HELPER!$A:$B, 2, 0), "")</f>
        <v>0.5</v>
      </c>
      <c r="K418" s="190">
        <f t="shared" ref="K418:L418" si="853">IF(OR(I418="", I418=0), "",
  IF(I418&lt;=2,   1,
  IF(I418&lt;=4,   2,
  IF(I418&lt;=5.5, 3, 4))))</f>
        <v>1</v>
      </c>
      <c r="L418" s="190">
        <f t="shared" si="853"/>
        <v>1</v>
      </c>
      <c r="M418" s="190" t="str">
        <f t="shared" si="4"/>
        <v>No Progress</v>
      </c>
      <c r="N418" s="220" t="s">
        <v>943</v>
      </c>
      <c r="O418" s="220" t="s">
        <v>924</v>
      </c>
      <c r="P418" s="190">
        <f t="shared" si="5"/>
        <v>0.5</v>
      </c>
      <c r="Q418" s="210">
        <f t="shared" si="6"/>
        <v>0.5</v>
      </c>
      <c r="R418" s="210">
        <f t="shared" ref="R418:S418" si="854">IF(OR(P418="", P418=0), "",
  IF(P418&lt;=2,   1,
  IF(P418&lt;=4,   2,
  IF(P418&lt;=5.5, 3, 4))))</f>
        <v>1</v>
      </c>
      <c r="S418" s="210">
        <f t="shared" si="854"/>
        <v>1</v>
      </c>
      <c r="T418" s="210" t="str">
        <f t="shared" si="8"/>
        <v>No Progress</v>
      </c>
      <c r="U418" s="210">
        <f t="shared" si="846"/>
        <v>1</v>
      </c>
      <c r="V418" s="210"/>
    </row>
    <row r="419">
      <c r="A419" s="220" t="s">
        <v>679</v>
      </c>
      <c r="B419" s="190" t="s">
        <v>680</v>
      </c>
      <c r="C419" s="223" t="s">
        <v>86</v>
      </c>
      <c r="D419" s="223" t="s">
        <v>879</v>
      </c>
      <c r="E419" s="190" t="s">
        <v>25</v>
      </c>
      <c r="F419" s="13" t="s">
        <v>25</v>
      </c>
      <c r="G419" s="13" t="s">
        <v>25</v>
      </c>
      <c r="H419" s="219">
        <f>IFERROR(
  MINIFS(ATTENDANCE_LOG!$F:$F,
         ATTENDANCE_LOG!$A:$A, C419,
         ATTENDANCE_LOG!$B:$B, E419),
"")</f>
        <v>45805.375</v>
      </c>
      <c r="I419" s="190">
        <f>IFERROR(VLOOKUP(F419, LEVEL_HELPER!$A:$B, 2, 0), "")</f>
        <v>0.5</v>
      </c>
      <c r="J419" s="190">
        <f>IFERROR(VLOOKUP(G419, LEVEL_HELPER!$A:$B, 2, 0), "")</f>
        <v>0.5</v>
      </c>
      <c r="K419" s="190">
        <f t="shared" ref="K419:L419" si="855">IF(OR(I419="", I419=0), "",
  IF(I419&lt;=2,   1,
  IF(I419&lt;=4,   2,
  IF(I419&lt;=5.5, 3, 4))))</f>
        <v>1</v>
      </c>
      <c r="L419" s="190">
        <f t="shared" si="855"/>
        <v>1</v>
      </c>
      <c r="M419" s="190" t="str">
        <f t="shared" si="4"/>
        <v>No Progress</v>
      </c>
      <c r="N419" s="220" t="s">
        <v>943</v>
      </c>
      <c r="O419" s="220" t="s">
        <v>924</v>
      </c>
      <c r="P419" s="190">
        <f t="shared" si="5"/>
        <v>0.5</v>
      </c>
      <c r="Q419" s="210">
        <f t="shared" si="6"/>
        <v>3.5</v>
      </c>
      <c r="R419" s="210">
        <f t="shared" ref="R419:S419" si="856">IF(OR(P419="", P419=0), "",
  IF(P419&lt;=2,   1,
  IF(P419&lt;=4,   2,
  IF(P419&lt;=5.5, 3, 4))))</f>
        <v>1</v>
      </c>
      <c r="S419" s="210">
        <f t="shared" si="856"/>
        <v>2</v>
      </c>
      <c r="T419" s="210" t="str">
        <f t="shared" si="8"/>
        <v>Lv1 → Lv2</v>
      </c>
      <c r="U419" s="210">
        <f t="shared" si="846"/>
        <v>1</v>
      </c>
      <c r="V419" s="210"/>
    </row>
    <row r="420">
      <c r="A420" s="220" t="s">
        <v>691</v>
      </c>
      <c r="B420" s="190" t="s">
        <v>692</v>
      </c>
      <c r="C420" s="223" t="s">
        <v>86</v>
      </c>
      <c r="D420" s="223" t="s">
        <v>879</v>
      </c>
      <c r="E420" s="190" t="s">
        <v>25</v>
      </c>
      <c r="F420" s="13" t="s">
        <v>25</v>
      </c>
      <c r="G420" s="13" t="s">
        <v>25</v>
      </c>
      <c r="H420" s="219">
        <f>IFERROR(
  MINIFS(ATTENDANCE_LOG!$F:$F,
         ATTENDANCE_LOG!$A:$A, C420,
         ATTENDANCE_LOG!$B:$B, E420),
"")</f>
        <v>45805.375</v>
      </c>
      <c r="I420" s="190">
        <f>IFERROR(VLOOKUP(F420, LEVEL_HELPER!$A:$B, 2, 0), "")</f>
        <v>0.5</v>
      </c>
      <c r="J420" s="190">
        <f>IFERROR(VLOOKUP(G420, LEVEL_HELPER!$A:$B, 2, 0), "")</f>
        <v>0.5</v>
      </c>
      <c r="K420" s="190">
        <f t="shared" ref="K420:L420" si="857">IF(OR(I420="", I420=0), "",
  IF(I420&lt;=2,   1,
  IF(I420&lt;=4,   2,
  IF(I420&lt;=5.5, 3, 4))))</f>
        <v>1</v>
      </c>
      <c r="L420" s="190">
        <f t="shared" si="857"/>
        <v>1</v>
      </c>
      <c r="M420" s="190" t="str">
        <f t="shared" si="4"/>
        <v>No Progress</v>
      </c>
      <c r="N420" s="220" t="s">
        <v>943</v>
      </c>
      <c r="O420" s="220" t="s">
        <v>924</v>
      </c>
      <c r="P420" s="190">
        <f t="shared" si="5"/>
        <v>0.5</v>
      </c>
      <c r="Q420" s="210">
        <f t="shared" si="6"/>
        <v>3.5</v>
      </c>
      <c r="R420" s="210">
        <f t="shared" ref="R420:S420" si="858">IF(OR(P420="", P420=0), "",
  IF(P420&lt;=2,   1,
  IF(P420&lt;=4,   2,
  IF(P420&lt;=5.5, 3, 4))))</f>
        <v>1</v>
      </c>
      <c r="S420" s="210">
        <f t="shared" si="858"/>
        <v>2</v>
      </c>
      <c r="T420" s="210" t="str">
        <f t="shared" si="8"/>
        <v>Lv1 → Lv2</v>
      </c>
      <c r="U420" s="210">
        <f>IF(COUNTIF($A$2:A432, A420)=1, 1, 0)</f>
        <v>0</v>
      </c>
      <c r="V420" s="210"/>
    </row>
    <row r="421">
      <c r="A421" s="247" t="s">
        <v>407</v>
      </c>
      <c r="B421" s="217" t="s">
        <v>408</v>
      </c>
      <c r="C421" s="218" t="s">
        <v>86</v>
      </c>
      <c r="D421" s="218" t="s">
        <v>879</v>
      </c>
      <c r="E421" s="217" t="s">
        <v>21</v>
      </c>
      <c r="F421" s="13" t="s">
        <v>927</v>
      </c>
      <c r="G421" s="13" t="s">
        <v>918</v>
      </c>
      <c r="H421" s="219">
        <f>IFERROR(
  MINIFS(ATTENDANCE_LOG!$F:$F,
         ATTENDANCE_LOG!$A:$A, C421,
         ATTENDANCE_LOG!$B:$B, E421),
"")</f>
        <v>45930.41667</v>
      </c>
      <c r="I421" s="190">
        <f>IFERROR(VLOOKUP(F421, LEVEL_HELPER!$A:$B, 2, 0), "")</f>
        <v>1</v>
      </c>
      <c r="J421" s="190">
        <f>IFERROR(VLOOKUP(G421, LEVEL_HELPER!$A:$B, 2, 0), "")</f>
        <v>3</v>
      </c>
      <c r="K421" s="190">
        <f t="shared" ref="K421:L421" si="859">IF(OR(I421="", I421=0), "",
  IF(I421&lt;=2,   1,
  IF(I421&lt;=4,   2,
  IF(I421&lt;=5.5, 3, 4))))</f>
        <v>1</v>
      </c>
      <c r="L421" s="190">
        <f t="shared" si="859"/>
        <v>2</v>
      </c>
      <c r="M421" s="190" t="str">
        <f t="shared" si="4"/>
        <v>Lv1 → Lv2</v>
      </c>
      <c r="N421" s="220" t="s">
        <v>943</v>
      </c>
      <c r="O421" s="220" t="s">
        <v>924</v>
      </c>
      <c r="P421" s="190">
        <f t="shared" si="5"/>
        <v>0.5</v>
      </c>
      <c r="Q421" s="210">
        <f t="shared" si="6"/>
        <v>3</v>
      </c>
      <c r="R421" s="210">
        <f t="shared" ref="R421:S421" si="860">IF(OR(P421="", P421=0), "",
  IF(P421&lt;=2,   1,
  IF(P421&lt;=4,   2,
  IF(P421&lt;=5.5, 3, 4))))</f>
        <v>1</v>
      </c>
      <c r="S421" s="210">
        <f t="shared" si="860"/>
        <v>2</v>
      </c>
      <c r="T421" s="210" t="str">
        <f t="shared" si="8"/>
        <v>Lv1 → Lv2</v>
      </c>
      <c r="U421" s="210">
        <f>IF(COUNTIF($A$2:A423, A421)=1, 1, 0)</f>
        <v>0</v>
      </c>
      <c r="V421" s="210"/>
    </row>
    <row r="422">
      <c r="A422" s="220" t="s">
        <v>277</v>
      </c>
      <c r="B422" s="190" t="s">
        <v>278</v>
      </c>
      <c r="C422" s="223" t="s">
        <v>86</v>
      </c>
      <c r="D422" s="223" t="s">
        <v>879</v>
      </c>
      <c r="E422" s="190" t="s">
        <v>21</v>
      </c>
      <c r="F422" s="13" t="s">
        <v>927</v>
      </c>
      <c r="G422" s="13" t="s">
        <v>929</v>
      </c>
      <c r="H422" s="219">
        <f>IFERROR(
  MINIFS(ATTENDANCE_LOG!$F:$F,
         ATTENDANCE_LOG!$A:$A, C422,
         ATTENDANCE_LOG!$B:$B, E422),
"")</f>
        <v>45930.41667</v>
      </c>
      <c r="I422" s="190">
        <f>IFERROR(VLOOKUP(F422, LEVEL_HELPER!$A:$B, 2, 0), "")</f>
        <v>1</v>
      </c>
      <c r="J422" s="190">
        <f>IFERROR(VLOOKUP(G422, LEVEL_HELPER!$A:$B, 2, 0), "")</f>
        <v>1.5</v>
      </c>
      <c r="K422" s="190">
        <f t="shared" ref="K422:L422" si="861">IF(OR(I422="", I422=0), "",
  IF(I422&lt;=2,   1,
  IF(I422&lt;=4,   2,
  IF(I422&lt;=5.5, 3, 4))))</f>
        <v>1</v>
      </c>
      <c r="L422" s="190">
        <f t="shared" si="861"/>
        <v>1</v>
      </c>
      <c r="M422" s="190" t="str">
        <f t="shared" si="4"/>
        <v>Progress within level</v>
      </c>
      <c r="N422" s="220" t="s">
        <v>943</v>
      </c>
      <c r="O422" s="220" t="s">
        <v>924</v>
      </c>
      <c r="P422" s="190">
        <f t="shared" si="5"/>
        <v>0.5</v>
      </c>
      <c r="Q422" s="210">
        <f t="shared" si="6"/>
        <v>1.5</v>
      </c>
      <c r="R422" s="210">
        <f t="shared" ref="R422:S422" si="862">IF(OR(P422="", P422=0), "",
  IF(P422&lt;=2,   1,
  IF(P422&lt;=4,   2,
  IF(P422&lt;=5.5, 3, 4))))</f>
        <v>1</v>
      </c>
      <c r="S422" s="210">
        <f t="shared" si="862"/>
        <v>1</v>
      </c>
      <c r="T422" s="210" t="str">
        <f t="shared" si="8"/>
        <v>Progress within level</v>
      </c>
      <c r="U422" s="210">
        <f t="shared" ref="U422:U440" si="865">IF(COUNTIF($A$2:A422, A422)=1, 1, 0)</f>
        <v>0</v>
      </c>
      <c r="V422" s="210"/>
    </row>
    <row r="423">
      <c r="A423" s="220" t="s">
        <v>355</v>
      </c>
      <c r="B423" s="190" t="s">
        <v>356</v>
      </c>
      <c r="C423" s="223" t="s">
        <v>86</v>
      </c>
      <c r="D423" s="223" t="s">
        <v>879</v>
      </c>
      <c r="E423" s="190" t="s">
        <v>21</v>
      </c>
      <c r="F423" s="190"/>
      <c r="G423" s="190"/>
      <c r="H423" s="219">
        <f>IFERROR(
  MINIFS(ATTENDANCE_LOG!$F:$F,
         ATTENDANCE_LOG!$A:$A, C423,
         ATTENDANCE_LOG!$B:$B, E423),
"")</f>
        <v>45930.41667</v>
      </c>
      <c r="I423" s="190" t="str">
        <f>IFERROR(VLOOKUP(F423, LEVEL_HELPER!$A:$B, 2, 0), "")</f>
        <v/>
      </c>
      <c r="J423" s="190" t="str">
        <f>IFERROR(VLOOKUP(G423, LEVEL_HELPER!$A:$B, 2, 0), "")</f>
        <v/>
      </c>
      <c r="K423" s="190" t="str">
        <f t="shared" ref="K423:L423" si="863">IF(OR(I423="", I423=0), "",
  IF(I423&lt;=2,   1,
  IF(I423&lt;=4,   2,
  IF(I423&lt;=5.5, 3, 4))))</f>
        <v/>
      </c>
      <c r="L423" s="190" t="str">
        <f t="shared" si="863"/>
        <v/>
      </c>
      <c r="M423" s="190" t="str">
        <f t="shared" si="4"/>
        <v>No Data</v>
      </c>
      <c r="N423" s="220" t="s">
        <v>943</v>
      </c>
      <c r="O423" s="220" t="s">
        <v>924</v>
      </c>
      <c r="P423" s="190">
        <f t="shared" si="5"/>
        <v>0.5</v>
      </c>
      <c r="Q423" s="210">
        <f t="shared" si="6"/>
        <v>0.5</v>
      </c>
      <c r="R423" s="210">
        <f t="shared" ref="R423:S423" si="864">IF(OR(P423="", P423=0), "",
  IF(P423&lt;=2,   1,
  IF(P423&lt;=4,   2,
  IF(P423&lt;=5.5, 3, 4))))</f>
        <v>1</v>
      </c>
      <c r="S423" s="210">
        <f t="shared" si="864"/>
        <v>1</v>
      </c>
      <c r="T423" s="210" t="str">
        <f t="shared" si="8"/>
        <v>No Progress</v>
      </c>
      <c r="U423" s="210">
        <f t="shared" si="865"/>
        <v>0</v>
      </c>
      <c r="V423" s="210"/>
    </row>
    <row r="424">
      <c r="A424" s="220" t="s">
        <v>429</v>
      </c>
      <c r="B424" s="190" t="s">
        <v>430</v>
      </c>
      <c r="C424" s="223" t="s">
        <v>86</v>
      </c>
      <c r="D424" s="223" t="s">
        <v>879</v>
      </c>
      <c r="E424" s="190" t="s">
        <v>21</v>
      </c>
      <c r="F424" s="13" t="s">
        <v>927</v>
      </c>
      <c r="G424" s="13" t="s">
        <v>918</v>
      </c>
      <c r="H424" s="219">
        <f>IFERROR(
  MINIFS(ATTENDANCE_LOG!$F:$F,
         ATTENDANCE_LOG!$A:$A, C424,
         ATTENDANCE_LOG!$B:$B, E424),
"")</f>
        <v>45930.41667</v>
      </c>
      <c r="I424" s="190">
        <f>IFERROR(VLOOKUP(F424, LEVEL_HELPER!$A:$B, 2, 0), "")</f>
        <v>1</v>
      </c>
      <c r="J424" s="190">
        <f>IFERROR(VLOOKUP(G424, LEVEL_HELPER!$A:$B, 2, 0), "")</f>
        <v>3</v>
      </c>
      <c r="K424" s="190">
        <f t="shared" ref="K424:L424" si="866">IF(OR(I424="", I424=0), "",
  IF(I424&lt;=2,   1,
  IF(I424&lt;=4,   2,
  IF(I424&lt;=5.5, 3, 4))))</f>
        <v>1</v>
      </c>
      <c r="L424" s="190">
        <f t="shared" si="866"/>
        <v>2</v>
      </c>
      <c r="M424" s="190" t="str">
        <f t="shared" si="4"/>
        <v>Lv1 → Lv2</v>
      </c>
      <c r="N424" s="220" t="s">
        <v>944</v>
      </c>
      <c r="O424" s="220" t="s">
        <v>924</v>
      </c>
      <c r="P424" s="190">
        <f t="shared" si="5"/>
        <v>0.5</v>
      </c>
      <c r="Q424" s="210">
        <f t="shared" si="6"/>
        <v>3</v>
      </c>
      <c r="R424" s="210">
        <f t="shared" ref="R424:S424" si="867">IF(OR(P424="", P424=0), "",
  IF(P424&lt;=2,   1,
  IF(P424&lt;=4,   2,
  IF(P424&lt;=5.5, 3, 4))))</f>
        <v>1</v>
      </c>
      <c r="S424" s="210">
        <f t="shared" si="867"/>
        <v>2</v>
      </c>
      <c r="T424" s="210" t="str">
        <f t="shared" si="8"/>
        <v>Lv1 → Lv2</v>
      </c>
      <c r="U424" s="210">
        <f t="shared" si="865"/>
        <v>0</v>
      </c>
      <c r="V424" s="210"/>
    </row>
    <row r="425">
      <c r="A425" s="220" t="s">
        <v>538</v>
      </c>
      <c r="B425" s="190" t="s">
        <v>539</v>
      </c>
      <c r="C425" s="223" t="s">
        <v>86</v>
      </c>
      <c r="D425" s="223" t="s">
        <v>879</v>
      </c>
      <c r="E425" s="190" t="s">
        <v>21</v>
      </c>
      <c r="F425" s="13" t="s">
        <v>927</v>
      </c>
      <c r="G425" s="13" t="s">
        <v>918</v>
      </c>
      <c r="H425" s="219">
        <f>IFERROR(
  MINIFS(ATTENDANCE_LOG!$F:$F,
         ATTENDANCE_LOG!$A:$A, C425,
         ATTENDANCE_LOG!$B:$B, E425),
"")</f>
        <v>45930.41667</v>
      </c>
      <c r="I425" s="190">
        <f>IFERROR(VLOOKUP(F425, LEVEL_HELPER!$A:$B, 2, 0), "")</f>
        <v>1</v>
      </c>
      <c r="J425" s="190">
        <f>IFERROR(VLOOKUP(G425, LEVEL_HELPER!$A:$B, 2, 0), "")</f>
        <v>3</v>
      </c>
      <c r="K425" s="190">
        <f t="shared" ref="K425:L425" si="868">IF(OR(I425="", I425=0), "",
  IF(I425&lt;=2,   1,
  IF(I425&lt;=4,   2,
  IF(I425&lt;=5.5, 3, 4))))</f>
        <v>1</v>
      </c>
      <c r="L425" s="190">
        <f t="shared" si="868"/>
        <v>2</v>
      </c>
      <c r="M425" s="190" t="str">
        <f t="shared" si="4"/>
        <v>Lv1 → Lv2</v>
      </c>
      <c r="N425" s="220" t="s">
        <v>943</v>
      </c>
      <c r="O425" s="220" t="s">
        <v>924</v>
      </c>
      <c r="P425" s="190">
        <f t="shared" si="5"/>
        <v>0.5</v>
      </c>
      <c r="Q425" s="210">
        <f t="shared" si="6"/>
        <v>3</v>
      </c>
      <c r="R425" s="210">
        <f t="shared" ref="R425:S425" si="869">IF(OR(P425="", P425=0), "",
  IF(P425&lt;=2,   1,
  IF(P425&lt;=4,   2,
  IF(P425&lt;=5.5, 3, 4))))</f>
        <v>1</v>
      </c>
      <c r="S425" s="210">
        <f t="shared" si="869"/>
        <v>2</v>
      </c>
      <c r="T425" s="210" t="str">
        <f t="shared" si="8"/>
        <v>Lv1 → Lv2</v>
      </c>
      <c r="U425" s="210">
        <f t="shared" si="865"/>
        <v>0</v>
      </c>
      <c r="V425" s="210"/>
    </row>
    <row r="426">
      <c r="A426" s="220" t="s">
        <v>629</v>
      </c>
      <c r="B426" s="190" t="s">
        <v>630</v>
      </c>
      <c r="C426" s="223" t="s">
        <v>86</v>
      </c>
      <c r="D426" s="223" t="s">
        <v>879</v>
      </c>
      <c r="E426" s="190" t="s">
        <v>21</v>
      </c>
      <c r="F426" s="190"/>
      <c r="G426" s="190"/>
      <c r="H426" s="219">
        <f>IFERROR(
  MINIFS(ATTENDANCE_LOG!$F:$F,
         ATTENDANCE_LOG!$A:$A, C426,
         ATTENDANCE_LOG!$B:$B, E426),
"")</f>
        <v>45930.41667</v>
      </c>
      <c r="I426" s="190" t="str">
        <f>IFERROR(VLOOKUP(F426, LEVEL_HELPER!$A:$B, 2, 0), "")</f>
        <v/>
      </c>
      <c r="J426" s="190" t="str">
        <f>IFERROR(VLOOKUP(G426, LEVEL_HELPER!$A:$B, 2, 0), "")</f>
        <v/>
      </c>
      <c r="K426" s="190" t="str">
        <f t="shared" ref="K426:L426" si="870">IF(OR(I426="", I426=0), "",
  IF(I426&lt;=2,   1,
  IF(I426&lt;=4,   2,
  IF(I426&lt;=5.5, 3, 4))))</f>
        <v/>
      </c>
      <c r="L426" s="190" t="str">
        <f t="shared" si="870"/>
        <v/>
      </c>
      <c r="M426" s="190" t="str">
        <f t="shared" si="4"/>
        <v>No Data</v>
      </c>
      <c r="N426" s="220" t="s">
        <v>943</v>
      </c>
      <c r="O426" s="220" t="s">
        <v>924</v>
      </c>
      <c r="P426" s="190">
        <f t="shared" si="5"/>
        <v>0.5</v>
      </c>
      <c r="Q426" s="210">
        <f t="shared" si="6"/>
        <v>0.5</v>
      </c>
      <c r="R426" s="210">
        <f t="shared" ref="R426:S426" si="871">IF(OR(P426="", P426=0), "",
  IF(P426&lt;=2,   1,
  IF(P426&lt;=4,   2,
  IF(P426&lt;=5.5, 3, 4))))</f>
        <v>1</v>
      </c>
      <c r="S426" s="210">
        <f t="shared" si="871"/>
        <v>1</v>
      </c>
      <c r="T426" s="210" t="str">
        <f t="shared" si="8"/>
        <v>No Progress</v>
      </c>
      <c r="U426" s="210">
        <f t="shared" si="865"/>
        <v>0</v>
      </c>
      <c r="V426" s="210"/>
    </row>
    <row r="427">
      <c r="A427" s="220" t="s">
        <v>679</v>
      </c>
      <c r="B427" s="190" t="s">
        <v>680</v>
      </c>
      <c r="C427" s="223" t="s">
        <v>86</v>
      </c>
      <c r="D427" s="223" t="s">
        <v>879</v>
      </c>
      <c r="E427" s="190" t="s">
        <v>21</v>
      </c>
      <c r="F427" s="13" t="s">
        <v>927</v>
      </c>
      <c r="G427" s="13" t="s">
        <v>935</v>
      </c>
      <c r="H427" s="219">
        <f>IFERROR(
  MINIFS(ATTENDANCE_LOG!$F:$F,
         ATTENDANCE_LOG!$A:$A, C427,
         ATTENDANCE_LOG!$B:$B, E427),
"")</f>
        <v>45930.41667</v>
      </c>
      <c r="I427" s="190">
        <f>IFERROR(VLOOKUP(F427, LEVEL_HELPER!$A:$B, 2, 0), "")</f>
        <v>1</v>
      </c>
      <c r="J427" s="190">
        <f>IFERROR(VLOOKUP(G427, LEVEL_HELPER!$A:$B, 2, 0), "")</f>
        <v>3.5</v>
      </c>
      <c r="K427" s="190">
        <f t="shared" ref="K427:L427" si="872">IF(OR(I427="", I427=0), "",
  IF(I427&lt;=2,   1,
  IF(I427&lt;=4,   2,
  IF(I427&lt;=5.5, 3, 4))))</f>
        <v>1</v>
      </c>
      <c r="L427" s="190">
        <f t="shared" si="872"/>
        <v>2</v>
      </c>
      <c r="M427" s="190" t="str">
        <f t="shared" si="4"/>
        <v>Lv1 → Lv2</v>
      </c>
      <c r="N427" s="220" t="s">
        <v>943</v>
      </c>
      <c r="O427" s="220" t="s">
        <v>924</v>
      </c>
      <c r="P427" s="190">
        <f t="shared" si="5"/>
        <v>0.5</v>
      </c>
      <c r="Q427" s="210">
        <f t="shared" si="6"/>
        <v>3.5</v>
      </c>
      <c r="R427" s="210">
        <f t="shared" ref="R427:S427" si="873">IF(OR(P427="", P427=0), "",
  IF(P427&lt;=2,   1,
  IF(P427&lt;=4,   2,
  IF(P427&lt;=5.5, 3, 4))))</f>
        <v>1</v>
      </c>
      <c r="S427" s="210">
        <f t="shared" si="873"/>
        <v>2</v>
      </c>
      <c r="T427" s="210" t="str">
        <f t="shared" si="8"/>
        <v>Lv1 → Lv2</v>
      </c>
      <c r="U427" s="210">
        <f t="shared" si="865"/>
        <v>0</v>
      </c>
      <c r="V427" s="210"/>
    </row>
    <row r="428">
      <c r="A428" s="220" t="s">
        <v>691</v>
      </c>
      <c r="B428" s="190" t="s">
        <v>692</v>
      </c>
      <c r="C428" s="223" t="s">
        <v>86</v>
      </c>
      <c r="D428" s="223" t="s">
        <v>879</v>
      </c>
      <c r="E428" s="190" t="s">
        <v>21</v>
      </c>
      <c r="F428" s="13" t="s">
        <v>927</v>
      </c>
      <c r="G428" s="13" t="s">
        <v>935</v>
      </c>
      <c r="H428" s="219">
        <f>IFERROR(
  MINIFS(ATTENDANCE_LOG!$F:$F,
         ATTENDANCE_LOG!$A:$A, C428,
         ATTENDANCE_LOG!$B:$B, E428),
"")</f>
        <v>45930.41667</v>
      </c>
      <c r="I428" s="190">
        <f>IFERROR(VLOOKUP(F428, LEVEL_HELPER!$A:$B, 2, 0), "")</f>
        <v>1</v>
      </c>
      <c r="J428" s="190">
        <f>IFERROR(VLOOKUP(G428, LEVEL_HELPER!$A:$B, 2, 0), "")</f>
        <v>3.5</v>
      </c>
      <c r="K428" s="190">
        <f t="shared" ref="K428:L428" si="874">IF(OR(I428="", I428=0), "",
  IF(I428&lt;=2,   1,
  IF(I428&lt;=4,   2,
  IF(I428&lt;=5.5, 3, 4))))</f>
        <v>1</v>
      </c>
      <c r="L428" s="190">
        <f t="shared" si="874"/>
        <v>2</v>
      </c>
      <c r="M428" s="190" t="str">
        <f t="shared" si="4"/>
        <v>Lv1 → Lv2</v>
      </c>
      <c r="N428" s="220" t="s">
        <v>943</v>
      </c>
      <c r="O428" s="220" t="s">
        <v>924</v>
      </c>
      <c r="P428" s="190">
        <f t="shared" si="5"/>
        <v>0.5</v>
      </c>
      <c r="Q428" s="210">
        <f t="shared" si="6"/>
        <v>3.5</v>
      </c>
      <c r="R428" s="210">
        <f t="shared" ref="R428:S428" si="875">IF(OR(P428="", P428=0), "",
  IF(P428&lt;=2,   1,
  IF(P428&lt;=4,   2,
  IF(P428&lt;=5.5, 3, 4))))</f>
        <v>1</v>
      </c>
      <c r="S428" s="210">
        <f t="shared" si="875"/>
        <v>2</v>
      </c>
      <c r="T428" s="210" t="str">
        <f t="shared" si="8"/>
        <v>Lv1 → Lv2</v>
      </c>
      <c r="U428" s="210">
        <f t="shared" si="865"/>
        <v>0</v>
      </c>
      <c r="V428" s="210"/>
    </row>
    <row r="429">
      <c r="A429" s="247" t="s">
        <v>407</v>
      </c>
      <c r="B429" s="217" t="s">
        <v>408</v>
      </c>
      <c r="C429" s="218" t="s">
        <v>86</v>
      </c>
      <c r="D429" s="218" t="s">
        <v>879</v>
      </c>
      <c r="E429" s="217" t="s">
        <v>22</v>
      </c>
      <c r="F429" s="190"/>
      <c r="G429" s="190"/>
      <c r="H429" s="219">
        <f>IFERROR(
  MINIFS(ATTENDANCE_LOG!$F:$F,
         ATTENDANCE_LOG!$A:$A, C429,
         ATTENDANCE_LOG!$B:$B, E429),
"")</f>
        <v>46098.625</v>
      </c>
      <c r="I429" s="190" t="str">
        <f>IFERROR(VLOOKUP(F429, LEVEL_HELPER!$A:$B, 2, 0), "")</f>
        <v/>
      </c>
      <c r="J429" s="190" t="str">
        <f>IFERROR(VLOOKUP(G429, LEVEL_HELPER!$A:$B, 2, 0), "")</f>
        <v/>
      </c>
      <c r="K429" s="190" t="str">
        <f t="shared" ref="K429:L429" si="876">IF(OR(I429="", I429=0), "",
  IF(I429&lt;=2,   1,
  IF(I429&lt;=4,   2,
  IF(I429&lt;=5.5, 3, 4))))</f>
        <v/>
      </c>
      <c r="L429" s="190" t="str">
        <f t="shared" si="876"/>
        <v/>
      </c>
      <c r="M429" s="190" t="str">
        <f t="shared" si="4"/>
        <v>No Data</v>
      </c>
      <c r="N429" s="220" t="s">
        <v>943</v>
      </c>
      <c r="O429" s="220" t="s">
        <v>924</v>
      </c>
      <c r="P429" s="190">
        <f t="shared" si="5"/>
        <v>0.5</v>
      </c>
      <c r="Q429" s="210">
        <f t="shared" si="6"/>
        <v>3</v>
      </c>
      <c r="R429" s="210">
        <f t="shared" ref="R429:S429" si="877">IF(OR(P429="", P429=0), "",
  IF(P429&lt;=2,   1,
  IF(P429&lt;=4,   2,
  IF(P429&lt;=5.5, 3, 4))))</f>
        <v>1</v>
      </c>
      <c r="S429" s="210">
        <f t="shared" si="877"/>
        <v>2</v>
      </c>
      <c r="T429" s="210" t="str">
        <f t="shared" si="8"/>
        <v>Lv1 → Lv2</v>
      </c>
      <c r="U429" s="210">
        <f t="shared" si="865"/>
        <v>0</v>
      </c>
      <c r="V429" s="210"/>
    </row>
    <row r="430">
      <c r="A430" s="220" t="s">
        <v>429</v>
      </c>
      <c r="B430" s="190" t="s">
        <v>430</v>
      </c>
      <c r="C430" s="223" t="s">
        <v>86</v>
      </c>
      <c r="D430" s="223" t="s">
        <v>879</v>
      </c>
      <c r="E430" s="190" t="s">
        <v>22</v>
      </c>
      <c r="F430" s="190"/>
      <c r="G430" s="190"/>
      <c r="H430" s="219">
        <f>IFERROR(
  MINIFS(ATTENDANCE_LOG!$F:$F,
         ATTENDANCE_LOG!$A:$A, C430,
         ATTENDANCE_LOG!$B:$B, E430),
"")</f>
        <v>46098.625</v>
      </c>
      <c r="I430" s="190" t="str">
        <f>IFERROR(VLOOKUP(F430, LEVEL_HELPER!$A:$B, 2, 0), "")</f>
        <v/>
      </c>
      <c r="J430" s="190" t="str">
        <f>IFERROR(VLOOKUP(G430, LEVEL_HELPER!$A:$B, 2, 0), "")</f>
        <v/>
      </c>
      <c r="K430" s="190" t="str">
        <f t="shared" ref="K430:L430" si="878">IF(OR(I430="", I430=0), "",
  IF(I430&lt;=2,   1,
  IF(I430&lt;=4,   2,
  IF(I430&lt;=5.5, 3, 4))))</f>
        <v/>
      </c>
      <c r="L430" s="190" t="str">
        <f t="shared" si="878"/>
        <v/>
      </c>
      <c r="M430" s="190" t="str">
        <f t="shared" si="4"/>
        <v>No Data</v>
      </c>
      <c r="N430" s="220" t="s">
        <v>944</v>
      </c>
      <c r="O430" s="220" t="s">
        <v>924</v>
      </c>
      <c r="P430" s="190">
        <f t="shared" si="5"/>
        <v>0.5</v>
      </c>
      <c r="Q430" s="210">
        <f t="shared" si="6"/>
        <v>3</v>
      </c>
      <c r="R430" s="210">
        <f t="shared" ref="R430:S430" si="879">IF(OR(P430="", P430=0), "",
  IF(P430&lt;=2,   1,
  IF(P430&lt;=4,   2,
  IF(P430&lt;=5.5, 3, 4))))</f>
        <v>1</v>
      </c>
      <c r="S430" s="210">
        <f t="shared" si="879"/>
        <v>2</v>
      </c>
      <c r="T430" s="210" t="str">
        <f t="shared" si="8"/>
        <v>Lv1 → Lv2</v>
      </c>
      <c r="U430" s="210">
        <f t="shared" si="865"/>
        <v>0</v>
      </c>
      <c r="V430" s="210"/>
    </row>
    <row r="431">
      <c r="A431" s="220" t="s">
        <v>538</v>
      </c>
      <c r="B431" s="190" t="s">
        <v>539</v>
      </c>
      <c r="C431" s="223" t="s">
        <v>86</v>
      </c>
      <c r="D431" s="223" t="s">
        <v>879</v>
      </c>
      <c r="E431" s="190" t="s">
        <v>22</v>
      </c>
      <c r="F431" s="190"/>
      <c r="G431" s="190"/>
      <c r="H431" s="219">
        <f>IFERROR(
  MINIFS(ATTENDANCE_LOG!$F:$F,
         ATTENDANCE_LOG!$A:$A, C431,
         ATTENDANCE_LOG!$B:$B, E431),
"")</f>
        <v>46098.625</v>
      </c>
      <c r="I431" s="190" t="str">
        <f>IFERROR(VLOOKUP(F431, LEVEL_HELPER!$A:$B, 2, 0), "")</f>
        <v/>
      </c>
      <c r="J431" s="190" t="str">
        <f>IFERROR(VLOOKUP(G431, LEVEL_HELPER!$A:$B, 2, 0), "")</f>
        <v/>
      </c>
      <c r="K431" s="190" t="str">
        <f t="shared" ref="K431:L431" si="880">IF(OR(I431="", I431=0), "",
  IF(I431&lt;=2,   1,
  IF(I431&lt;=4,   2,
  IF(I431&lt;=5.5, 3, 4))))</f>
        <v/>
      </c>
      <c r="L431" s="190" t="str">
        <f t="shared" si="880"/>
        <v/>
      </c>
      <c r="M431" s="190" t="str">
        <f t="shared" si="4"/>
        <v>No Data</v>
      </c>
      <c r="N431" s="220" t="s">
        <v>943</v>
      </c>
      <c r="O431" s="220" t="s">
        <v>924</v>
      </c>
      <c r="P431" s="190">
        <f t="shared" si="5"/>
        <v>0.5</v>
      </c>
      <c r="Q431" s="210">
        <f t="shared" si="6"/>
        <v>3</v>
      </c>
      <c r="R431" s="210">
        <f t="shared" ref="R431:S431" si="881">IF(OR(P431="", P431=0), "",
  IF(P431&lt;=2,   1,
  IF(P431&lt;=4,   2,
  IF(P431&lt;=5.5, 3, 4))))</f>
        <v>1</v>
      </c>
      <c r="S431" s="210">
        <f t="shared" si="881"/>
        <v>2</v>
      </c>
      <c r="T431" s="210" t="str">
        <f t="shared" si="8"/>
        <v>Lv1 → Lv2</v>
      </c>
      <c r="U431" s="210">
        <f t="shared" si="865"/>
        <v>0</v>
      </c>
      <c r="V431" s="210"/>
    </row>
    <row r="432">
      <c r="A432" s="220" t="s">
        <v>691</v>
      </c>
      <c r="B432" s="190" t="s">
        <v>692</v>
      </c>
      <c r="C432" s="223" t="s">
        <v>86</v>
      </c>
      <c r="D432" s="223" t="s">
        <v>879</v>
      </c>
      <c r="E432" s="190" t="s">
        <v>22</v>
      </c>
      <c r="F432" s="190"/>
      <c r="G432" s="190"/>
      <c r="H432" s="219">
        <f>IFERROR(
  MINIFS(ATTENDANCE_LOG!$F:$F,
         ATTENDANCE_LOG!$A:$A, C432,
         ATTENDANCE_LOG!$B:$B, E432),
"")</f>
        <v>46098.625</v>
      </c>
      <c r="I432" s="190" t="str">
        <f>IFERROR(VLOOKUP(F432, LEVEL_HELPER!$A:$B, 2, 0), "")</f>
        <v/>
      </c>
      <c r="J432" s="190" t="str">
        <f>IFERROR(VLOOKUP(G432, LEVEL_HELPER!$A:$B, 2, 0), "")</f>
        <v/>
      </c>
      <c r="K432" s="190" t="str">
        <f t="shared" ref="K432:L432" si="882">IF(OR(I432="", I432=0), "",
  IF(I432&lt;=2,   1,
  IF(I432&lt;=4,   2,
  IF(I432&lt;=5.5, 3, 4))))</f>
        <v/>
      </c>
      <c r="L432" s="190" t="str">
        <f t="shared" si="882"/>
        <v/>
      </c>
      <c r="M432" s="190" t="str">
        <f t="shared" si="4"/>
        <v>No Data</v>
      </c>
      <c r="N432" s="220" t="s">
        <v>943</v>
      </c>
      <c r="O432" s="220" t="s">
        <v>924</v>
      </c>
      <c r="P432" s="190">
        <f t="shared" si="5"/>
        <v>0.5</v>
      </c>
      <c r="Q432" s="210">
        <f t="shared" si="6"/>
        <v>3.5</v>
      </c>
      <c r="R432" s="210">
        <f t="shared" ref="R432:S432" si="883">IF(OR(P432="", P432=0), "",
  IF(P432&lt;=2,   1,
  IF(P432&lt;=4,   2,
  IF(P432&lt;=5.5, 3, 4))))</f>
        <v>1</v>
      </c>
      <c r="S432" s="210">
        <f t="shared" si="883"/>
        <v>2</v>
      </c>
      <c r="T432" s="210" t="str">
        <f t="shared" si="8"/>
        <v>Lv1 → Lv2</v>
      </c>
      <c r="U432" s="210">
        <f t="shared" si="865"/>
        <v>0</v>
      </c>
      <c r="V432" s="210"/>
    </row>
    <row r="433">
      <c r="A433" s="247" t="s">
        <v>383</v>
      </c>
      <c r="B433" s="217" t="s">
        <v>384</v>
      </c>
      <c r="C433" s="218" t="s">
        <v>87</v>
      </c>
      <c r="D433" s="218" t="s">
        <v>880</v>
      </c>
      <c r="E433" s="217" t="s">
        <v>21</v>
      </c>
      <c r="F433" s="242" t="s">
        <v>932</v>
      </c>
      <c r="G433" s="242" t="s">
        <v>938</v>
      </c>
      <c r="H433" s="219">
        <f>IFERROR(
  MINIFS(ATTENDANCE_LOG!$F:$F,
         ATTENDANCE_LOG!$A:$A, C433,
         ATTENDANCE_LOG!$B:$B, E433),
"")</f>
        <v>45813.45833</v>
      </c>
      <c r="I433" s="217">
        <f>IFERROR(VLOOKUP(F433, LEVEL_HELPER!$A:$B, 2, 0), "")</f>
        <v>4.5</v>
      </c>
      <c r="J433" s="217">
        <f>IFERROR(VLOOKUP(G433, LEVEL_HELPER!$A:$B, 2, 0), "")</f>
        <v>5.5</v>
      </c>
      <c r="K433" s="217">
        <f t="shared" ref="K433:L433" si="884">IF(OR(I433="", I433=0), "",
  IF(I433&lt;=2,   1,
  IF(I433&lt;=4,   2,
  IF(I433&lt;=5.5, 3, 4))))</f>
        <v>3</v>
      </c>
      <c r="L433" s="190">
        <f t="shared" si="884"/>
        <v>3</v>
      </c>
      <c r="M433" s="190" t="str">
        <f t="shared" si="4"/>
        <v>Progress within level</v>
      </c>
      <c r="N433" s="247" t="s">
        <v>942</v>
      </c>
      <c r="O433" s="247" t="s">
        <v>926</v>
      </c>
      <c r="P433" s="217">
        <f t="shared" si="5"/>
        <v>4.5</v>
      </c>
      <c r="Q433" s="248">
        <f t="shared" si="6"/>
        <v>5.5</v>
      </c>
      <c r="R433" s="248">
        <f t="shared" ref="R433:S433" si="885">IF(OR(P433="", P433=0), "",
  IF(P433&lt;=2,   1,
  IF(P433&lt;=4,   2,
  IF(P433&lt;=5.5, 3, 4))))</f>
        <v>3</v>
      </c>
      <c r="S433" s="248">
        <f t="shared" si="885"/>
        <v>3</v>
      </c>
      <c r="T433" s="248" t="str">
        <f t="shared" si="8"/>
        <v>Progress within level</v>
      </c>
      <c r="U433" s="248">
        <f t="shared" si="865"/>
        <v>0</v>
      </c>
      <c r="V433" s="248"/>
    </row>
    <row r="434">
      <c r="A434" s="220" t="s">
        <v>389</v>
      </c>
      <c r="B434" s="190" t="s">
        <v>390</v>
      </c>
      <c r="C434" s="223" t="s">
        <v>87</v>
      </c>
      <c r="D434" s="223" t="s">
        <v>880</v>
      </c>
      <c r="E434" s="190" t="s">
        <v>21</v>
      </c>
      <c r="F434" s="13" t="s">
        <v>927</v>
      </c>
      <c r="G434" s="13" t="s">
        <v>918</v>
      </c>
      <c r="H434" s="219">
        <f>IFERROR(
  MINIFS(ATTENDANCE_LOG!$F:$F,
         ATTENDANCE_LOG!$A:$A, C434,
         ATTENDANCE_LOG!$B:$B, E434),
"")</f>
        <v>45813.45833</v>
      </c>
      <c r="I434" s="190">
        <f>IFERROR(VLOOKUP(F434, LEVEL_HELPER!$A:$B, 2, 0), "")</f>
        <v>1</v>
      </c>
      <c r="J434" s="190">
        <f>IFERROR(VLOOKUP(G434, LEVEL_HELPER!$A:$B, 2, 0), "")</f>
        <v>3</v>
      </c>
      <c r="K434" s="190">
        <f t="shared" ref="K434:L434" si="886">IF(OR(I434="", I434=0), "",
  IF(I434&lt;=2,   1,
  IF(I434&lt;=4,   2,
  IF(I434&lt;=5.5, 3, 4))))</f>
        <v>1</v>
      </c>
      <c r="L434" s="190">
        <f t="shared" si="886"/>
        <v>2</v>
      </c>
      <c r="M434" s="190" t="str">
        <f t="shared" si="4"/>
        <v>Lv1 → Lv2</v>
      </c>
      <c r="N434" s="220" t="s">
        <v>947</v>
      </c>
      <c r="O434" s="220" t="s">
        <v>926</v>
      </c>
      <c r="P434" s="190">
        <f t="shared" si="5"/>
        <v>1</v>
      </c>
      <c r="Q434" s="210">
        <f t="shared" si="6"/>
        <v>3</v>
      </c>
      <c r="R434" s="210">
        <f t="shared" ref="R434:S434" si="887">IF(OR(P434="", P434=0), "",
  IF(P434&lt;=2,   1,
  IF(P434&lt;=4,   2,
  IF(P434&lt;=5.5, 3, 4))))</f>
        <v>1</v>
      </c>
      <c r="S434" s="210">
        <f t="shared" si="887"/>
        <v>2</v>
      </c>
      <c r="T434" s="210" t="str">
        <f t="shared" si="8"/>
        <v>Lv1 → Lv2</v>
      </c>
      <c r="U434" s="210">
        <f t="shared" si="865"/>
        <v>1</v>
      </c>
      <c r="V434" s="210"/>
    </row>
    <row r="435">
      <c r="A435" s="220" t="s">
        <v>637</v>
      </c>
      <c r="B435" s="190" t="s">
        <v>638</v>
      </c>
      <c r="C435" s="223" t="s">
        <v>87</v>
      </c>
      <c r="D435" s="223" t="s">
        <v>880</v>
      </c>
      <c r="E435" s="190" t="s">
        <v>21</v>
      </c>
      <c r="F435" s="13" t="s">
        <v>927</v>
      </c>
      <c r="G435" s="13" t="s">
        <v>918</v>
      </c>
      <c r="H435" s="219">
        <f>IFERROR(
  MINIFS(ATTENDANCE_LOG!$F:$F,
         ATTENDANCE_LOG!$A:$A, C435,
         ATTENDANCE_LOG!$B:$B, E435),
"")</f>
        <v>45813.45833</v>
      </c>
      <c r="I435" s="190">
        <f>IFERROR(VLOOKUP(F435, LEVEL_HELPER!$A:$B, 2, 0), "")</f>
        <v>1</v>
      </c>
      <c r="J435" s="190">
        <f>IFERROR(VLOOKUP(G435, LEVEL_HELPER!$A:$B, 2, 0), "")</f>
        <v>3</v>
      </c>
      <c r="K435" s="190">
        <f t="shared" ref="K435:L435" si="888">IF(OR(I435="", I435=0), "",
  IF(I435&lt;=2,   1,
  IF(I435&lt;=4,   2,
  IF(I435&lt;=5.5, 3, 4))))</f>
        <v>1</v>
      </c>
      <c r="L435" s="190">
        <f t="shared" si="888"/>
        <v>2</v>
      </c>
      <c r="M435" s="190" t="str">
        <f t="shared" si="4"/>
        <v>Lv1 → Lv2</v>
      </c>
      <c r="N435" s="220" t="s">
        <v>943</v>
      </c>
      <c r="O435" s="220" t="s">
        <v>926</v>
      </c>
      <c r="P435" s="190">
        <f t="shared" si="5"/>
        <v>1</v>
      </c>
      <c r="Q435" s="210">
        <f t="shared" si="6"/>
        <v>3</v>
      </c>
      <c r="R435" s="210">
        <f t="shared" ref="R435:S435" si="889">IF(OR(P435="", P435=0), "",
  IF(P435&lt;=2,   1,
  IF(P435&lt;=4,   2,
  IF(P435&lt;=5.5, 3, 4))))</f>
        <v>1</v>
      </c>
      <c r="S435" s="210">
        <f t="shared" si="889"/>
        <v>2</v>
      </c>
      <c r="T435" s="210" t="str">
        <f t="shared" si="8"/>
        <v>Lv1 → Lv2</v>
      </c>
      <c r="U435" s="210">
        <f t="shared" si="865"/>
        <v>1</v>
      </c>
      <c r="V435" s="210"/>
    </row>
    <row r="436">
      <c r="A436" s="220" t="s">
        <v>663</v>
      </c>
      <c r="B436" s="190" t="s">
        <v>664</v>
      </c>
      <c r="C436" s="223" t="s">
        <v>87</v>
      </c>
      <c r="D436" s="223" t="s">
        <v>880</v>
      </c>
      <c r="E436" s="190" t="s">
        <v>21</v>
      </c>
      <c r="F436" s="13" t="s">
        <v>927</v>
      </c>
      <c r="G436" s="13" t="s">
        <v>927</v>
      </c>
      <c r="H436" s="219">
        <f>IFERROR(
  MINIFS(ATTENDANCE_LOG!$F:$F,
         ATTENDANCE_LOG!$A:$A, C436,
         ATTENDANCE_LOG!$B:$B, E436),
"")</f>
        <v>45813.45833</v>
      </c>
      <c r="I436" s="190">
        <f>IFERROR(VLOOKUP(F436, LEVEL_HELPER!$A:$B, 2, 0), "")</f>
        <v>1</v>
      </c>
      <c r="J436" s="190">
        <f>IFERROR(VLOOKUP(G436, LEVEL_HELPER!$A:$B, 2, 0), "")</f>
        <v>1</v>
      </c>
      <c r="K436" s="190">
        <f t="shared" ref="K436:L436" si="890">IF(OR(I436="", I436=0), "",
  IF(I436&lt;=2,   1,
  IF(I436&lt;=4,   2,
  IF(I436&lt;=5.5, 3, 4))))</f>
        <v>1</v>
      </c>
      <c r="L436" s="190">
        <f t="shared" si="890"/>
        <v>1</v>
      </c>
      <c r="M436" s="190" t="str">
        <f t="shared" si="4"/>
        <v>No Progress</v>
      </c>
      <c r="N436" s="220" t="s">
        <v>943</v>
      </c>
      <c r="O436" s="220" t="s">
        <v>926</v>
      </c>
      <c r="P436" s="190">
        <f t="shared" si="5"/>
        <v>1</v>
      </c>
      <c r="Q436" s="210">
        <f t="shared" si="6"/>
        <v>1</v>
      </c>
      <c r="R436" s="210">
        <f t="shared" ref="R436:S436" si="891">IF(OR(P436="", P436=0), "",
  IF(P436&lt;=2,   1,
  IF(P436&lt;=4,   2,
  IF(P436&lt;=5.5, 3, 4))))</f>
        <v>1</v>
      </c>
      <c r="S436" s="210">
        <f t="shared" si="891"/>
        <v>1</v>
      </c>
      <c r="T436" s="210" t="str">
        <f t="shared" si="8"/>
        <v>No Progress</v>
      </c>
      <c r="U436" s="210">
        <f t="shared" si="865"/>
        <v>1</v>
      </c>
      <c r="V436" s="210"/>
    </row>
    <row r="437">
      <c r="A437" s="247" t="s">
        <v>383</v>
      </c>
      <c r="B437" s="217" t="s">
        <v>384</v>
      </c>
      <c r="C437" s="218" t="s">
        <v>87</v>
      </c>
      <c r="D437" s="218" t="s">
        <v>880</v>
      </c>
      <c r="E437" s="217" t="s">
        <v>22</v>
      </c>
      <c r="F437" s="242" t="s">
        <v>938</v>
      </c>
      <c r="G437" s="217"/>
      <c r="H437" s="219">
        <f>IFERROR(
  MINIFS(ATTENDANCE_LOG!$F:$F,
         ATTENDANCE_LOG!$A:$A, C437,
         ATTENDANCE_LOG!$B:$B, E437),
"")</f>
        <v>46038.41667</v>
      </c>
      <c r="I437" s="217">
        <f>IFERROR(VLOOKUP(F437, LEVEL_HELPER!$A:$B, 2, 0), "")</f>
        <v>5.5</v>
      </c>
      <c r="J437" s="217" t="str">
        <f>IFERROR(VLOOKUP(G437, LEVEL_HELPER!$A:$B, 2, 0), "")</f>
        <v/>
      </c>
      <c r="K437" s="217">
        <f t="shared" ref="K437:L437" si="892">IF(OR(I437="", I437=0), "",
  IF(I437&lt;=2,   1,
  IF(I437&lt;=4,   2,
  IF(I437&lt;=5.5, 3, 4))))</f>
        <v>3</v>
      </c>
      <c r="L437" s="190" t="str">
        <f t="shared" si="892"/>
        <v/>
      </c>
      <c r="M437" s="190" t="str">
        <f t="shared" si="4"/>
        <v>No Data</v>
      </c>
      <c r="N437" s="247" t="s">
        <v>942</v>
      </c>
      <c r="O437" s="247" t="s">
        <v>926</v>
      </c>
      <c r="P437" s="217">
        <f t="shared" si="5"/>
        <v>4.5</v>
      </c>
      <c r="Q437" s="248">
        <f t="shared" si="6"/>
        <v>5.5</v>
      </c>
      <c r="R437" s="248">
        <f t="shared" ref="R437:S437" si="893">IF(OR(P437="", P437=0), "",
  IF(P437&lt;=2,   1,
  IF(P437&lt;=4,   2,
  IF(P437&lt;=5.5, 3, 4))))</f>
        <v>3</v>
      </c>
      <c r="S437" s="248">
        <f t="shared" si="893"/>
        <v>3</v>
      </c>
      <c r="T437" s="248" t="str">
        <f t="shared" si="8"/>
        <v>Progress within level</v>
      </c>
      <c r="U437" s="248">
        <f t="shared" si="865"/>
        <v>0</v>
      </c>
      <c r="V437" s="248"/>
    </row>
    <row r="438">
      <c r="A438" s="220" t="s">
        <v>389</v>
      </c>
      <c r="B438" s="190" t="s">
        <v>390</v>
      </c>
      <c r="C438" s="223" t="s">
        <v>87</v>
      </c>
      <c r="D438" s="223" t="s">
        <v>880</v>
      </c>
      <c r="E438" s="190" t="s">
        <v>22</v>
      </c>
      <c r="F438" s="13" t="s">
        <v>918</v>
      </c>
      <c r="G438" s="190"/>
      <c r="H438" s="219">
        <f>IFERROR(
  MINIFS(ATTENDANCE_LOG!$F:$F,
         ATTENDANCE_LOG!$A:$A, C438,
         ATTENDANCE_LOG!$B:$B, E438),
"")</f>
        <v>46038.41667</v>
      </c>
      <c r="I438" s="190">
        <f>IFERROR(VLOOKUP(F438, LEVEL_HELPER!$A:$B, 2, 0), "")</f>
        <v>3</v>
      </c>
      <c r="J438" s="190" t="str">
        <f>IFERROR(VLOOKUP(G438, LEVEL_HELPER!$A:$B, 2, 0), "")</f>
        <v/>
      </c>
      <c r="K438" s="190">
        <f t="shared" ref="K438:L438" si="894">IF(OR(I438="", I438=0), "",
  IF(I438&lt;=2,   1,
  IF(I438&lt;=4,   2,
  IF(I438&lt;=5.5, 3, 4))))</f>
        <v>2</v>
      </c>
      <c r="L438" s="190" t="str">
        <f t="shared" si="894"/>
        <v/>
      </c>
      <c r="M438" s="190" t="str">
        <f t="shared" si="4"/>
        <v>No Data</v>
      </c>
      <c r="N438" s="220" t="s">
        <v>947</v>
      </c>
      <c r="O438" s="220" t="s">
        <v>926</v>
      </c>
      <c r="P438" s="190">
        <f t="shared" si="5"/>
        <v>1</v>
      </c>
      <c r="Q438" s="210">
        <f t="shared" si="6"/>
        <v>3</v>
      </c>
      <c r="R438" s="210">
        <f t="shared" ref="R438:S438" si="895">IF(OR(P438="", P438=0), "",
  IF(P438&lt;=2,   1,
  IF(P438&lt;=4,   2,
  IF(P438&lt;=5.5, 3, 4))))</f>
        <v>1</v>
      </c>
      <c r="S438" s="210">
        <f t="shared" si="895"/>
        <v>2</v>
      </c>
      <c r="T438" s="210" t="str">
        <f t="shared" si="8"/>
        <v>Lv1 → Lv2</v>
      </c>
      <c r="U438" s="210">
        <f t="shared" si="865"/>
        <v>0</v>
      </c>
      <c r="V438" s="210"/>
    </row>
    <row r="439">
      <c r="A439" s="220" t="s">
        <v>637</v>
      </c>
      <c r="B439" s="190" t="s">
        <v>638</v>
      </c>
      <c r="C439" s="223" t="s">
        <v>87</v>
      </c>
      <c r="D439" s="223" t="s">
        <v>880</v>
      </c>
      <c r="E439" s="190" t="s">
        <v>22</v>
      </c>
      <c r="F439" s="13" t="s">
        <v>918</v>
      </c>
      <c r="G439" s="190"/>
      <c r="H439" s="219">
        <f>IFERROR(
  MINIFS(ATTENDANCE_LOG!$F:$F,
         ATTENDANCE_LOG!$A:$A, C439,
         ATTENDANCE_LOG!$B:$B, E439),
"")</f>
        <v>46038.41667</v>
      </c>
      <c r="I439" s="190">
        <f>IFERROR(VLOOKUP(F439, LEVEL_HELPER!$A:$B, 2, 0), "")</f>
        <v>3</v>
      </c>
      <c r="J439" s="190" t="str">
        <f>IFERROR(VLOOKUP(G439, LEVEL_HELPER!$A:$B, 2, 0), "")</f>
        <v/>
      </c>
      <c r="K439" s="190">
        <f t="shared" ref="K439:L439" si="896">IF(OR(I439="", I439=0), "",
  IF(I439&lt;=2,   1,
  IF(I439&lt;=4,   2,
  IF(I439&lt;=5.5, 3, 4))))</f>
        <v>2</v>
      </c>
      <c r="L439" s="190" t="str">
        <f t="shared" si="896"/>
        <v/>
      </c>
      <c r="M439" s="190" t="str">
        <f t="shared" si="4"/>
        <v>No Data</v>
      </c>
      <c r="N439" s="220" t="s">
        <v>943</v>
      </c>
      <c r="O439" s="220" t="s">
        <v>926</v>
      </c>
      <c r="P439" s="190">
        <f t="shared" si="5"/>
        <v>1</v>
      </c>
      <c r="Q439" s="210">
        <f t="shared" si="6"/>
        <v>3</v>
      </c>
      <c r="R439" s="210">
        <f t="shared" ref="R439:S439" si="897">IF(OR(P439="", P439=0), "",
  IF(P439&lt;=2,   1,
  IF(P439&lt;=4,   2,
  IF(P439&lt;=5.5, 3, 4))))</f>
        <v>1</v>
      </c>
      <c r="S439" s="210">
        <f t="shared" si="897"/>
        <v>2</v>
      </c>
      <c r="T439" s="210" t="str">
        <f t="shared" si="8"/>
        <v>Lv1 → Lv2</v>
      </c>
      <c r="U439" s="210">
        <f t="shared" si="865"/>
        <v>0</v>
      </c>
      <c r="V439" s="210"/>
    </row>
    <row r="440">
      <c r="A440" s="220" t="s">
        <v>663</v>
      </c>
      <c r="B440" s="190" t="s">
        <v>664</v>
      </c>
      <c r="C440" s="223" t="s">
        <v>87</v>
      </c>
      <c r="D440" s="223" t="s">
        <v>880</v>
      </c>
      <c r="E440" s="190" t="s">
        <v>22</v>
      </c>
      <c r="F440" s="13" t="s">
        <v>927</v>
      </c>
      <c r="G440" s="190"/>
      <c r="H440" s="219">
        <f>IFERROR(
  MINIFS(ATTENDANCE_LOG!$F:$F,
         ATTENDANCE_LOG!$A:$A, C440,
         ATTENDANCE_LOG!$B:$B, E440),
"")</f>
        <v>46038.41667</v>
      </c>
      <c r="I440" s="190">
        <f>IFERROR(VLOOKUP(F440, LEVEL_HELPER!$A:$B, 2, 0), "")</f>
        <v>1</v>
      </c>
      <c r="J440" s="190" t="str">
        <f>IFERROR(VLOOKUP(G440, LEVEL_HELPER!$A:$B, 2, 0), "")</f>
        <v/>
      </c>
      <c r="K440" s="190">
        <f t="shared" ref="K440:L440" si="898">IF(OR(I440="", I440=0), "",
  IF(I440&lt;=2,   1,
  IF(I440&lt;=4,   2,
  IF(I440&lt;=5.5, 3, 4))))</f>
        <v>1</v>
      </c>
      <c r="L440" s="190" t="str">
        <f t="shared" si="898"/>
        <v/>
      </c>
      <c r="M440" s="190" t="str">
        <f t="shared" si="4"/>
        <v>No Data</v>
      </c>
      <c r="N440" s="220" t="s">
        <v>943</v>
      </c>
      <c r="O440" s="220" t="s">
        <v>926</v>
      </c>
      <c r="P440" s="190">
        <f t="shared" si="5"/>
        <v>1</v>
      </c>
      <c r="Q440" s="210">
        <f t="shared" si="6"/>
        <v>1</v>
      </c>
      <c r="R440" s="210">
        <f t="shared" ref="R440:S440" si="899">IF(OR(P440="", P440=0), "",
  IF(P440&lt;=2,   1,
  IF(P440&lt;=4,   2,
  IF(P440&lt;=5.5, 3, 4))))</f>
        <v>1</v>
      </c>
      <c r="S440" s="210">
        <f t="shared" si="899"/>
        <v>1</v>
      </c>
      <c r="T440" s="210" t="str">
        <f t="shared" si="8"/>
        <v>No Progress</v>
      </c>
      <c r="U440" s="210">
        <f t="shared" si="865"/>
        <v>0</v>
      </c>
      <c r="V440" s="210"/>
    </row>
    <row r="441">
      <c r="A441" s="247" t="s">
        <v>440</v>
      </c>
      <c r="B441" s="217" t="s">
        <v>441</v>
      </c>
      <c r="C441" s="218" t="s">
        <v>88</v>
      </c>
      <c r="D441" s="218" t="s">
        <v>881</v>
      </c>
      <c r="E441" s="217" t="s">
        <v>21</v>
      </c>
      <c r="F441" s="242" t="s">
        <v>927</v>
      </c>
      <c r="G441" s="242" t="s">
        <v>929</v>
      </c>
      <c r="H441" s="219">
        <f>IFERROR(
  MINIFS(ATTENDANCE_LOG!$F:$F,
         ATTENDANCE_LOG!$A:$A, C441,
         ATTENDANCE_LOG!$B:$B, E441),
"")</f>
        <v>45882.54167</v>
      </c>
      <c r="I441" s="217">
        <f>IFERROR(VLOOKUP(F441, LEVEL_HELPER!$A:$B, 2, 0), "")</f>
        <v>1</v>
      </c>
      <c r="J441" s="217">
        <f>IFERROR(VLOOKUP(G441, LEVEL_HELPER!$A:$B, 2, 0), "")</f>
        <v>1.5</v>
      </c>
      <c r="K441" s="217">
        <f t="shared" ref="K441:L441" si="900">IF(OR(I441="", I441=0), "",
  IF(I441&lt;=2,   1,
  IF(I441&lt;=4,   2,
  IF(I441&lt;=5.5, 3, 4))))</f>
        <v>1</v>
      </c>
      <c r="L441" s="190">
        <f t="shared" si="900"/>
        <v>1</v>
      </c>
      <c r="M441" s="190" t="str">
        <f t="shared" si="4"/>
        <v>Progress within level</v>
      </c>
      <c r="N441" s="247" t="s">
        <v>943</v>
      </c>
      <c r="O441" s="247" t="s">
        <v>923</v>
      </c>
      <c r="P441" s="217">
        <f t="shared" si="5"/>
        <v>1</v>
      </c>
      <c r="Q441" s="248">
        <f t="shared" si="6"/>
        <v>1.5</v>
      </c>
      <c r="R441" s="248">
        <f t="shared" ref="R441:S441" si="901">IF(OR(P441="", P441=0), "",
  IF(P441&lt;=2,   1,
  IF(P441&lt;=4,   2,
  IF(P441&lt;=5.5, 3, 4))))</f>
        <v>1</v>
      </c>
      <c r="S441" s="248">
        <f t="shared" si="901"/>
        <v>1</v>
      </c>
      <c r="T441" s="248" t="str">
        <f t="shared" si="8"/>
        <v>Progress within level</v>
      </c>
      <c r="U441" s="248">
        <f>IF(COUNTIF($A$2:A443, A441)=1, 1, 0)</f>
        <v>0</v>
      </c>
      <c r="V441" s="248"/>
    </row>
    <row r="442">
      <c r="A442" s="220" t="s">
        <v>325</v>
      </c>
      <c r="B442" s="190" t="s">
        <v>326</v>
      </c>
      <c r="C442" s="223" t="s">
        <v>88</v>
      </c>
      <c r="D442" s="223" t="s">
        <v>881</v>
      </c>
      <c r="E442" s="190" t="s">
        <v>21</v>
      </c>
      <c r="F442" s="13" t="s">
        <v>927</v>
      </c>
      <c r="G442" s="13" t="s">
        <v>935</v>
      </c>
      <c r="H442" s="219">
        <f>IFERROR(
  MINIFS(ATTENDANCE_LOG!$F:$F,
         ATTENDANCE_LOG!$A:$A, C442,
         ATTENDANCE_LOG!$B:$B, E442),
"")</f>
        <v>45882.54167</v>
      </c>
      <c r="I442" s="190">
        <f>IFERROR(VLOOKUP(F442, LEVEL_HELPER!$A:$B, 2, 0), "")</f>
        <v>1</v>
      </c>
      <c r="J442" s="190">
        <f>IFERROR(VLOOKUP(G442, LEVEL_HELPER!$A:$B, 2, 0), "")</f>
        <v>3.5</v>
      </c>
      <c r="K442" s="190">
        <f t="shared" ref="K442:L442" si="902">IF(OR(I442="", I442=0), "",
  IF(I442&lt;=2,   1,
  IF(I442&lt;=4,   2,
  IF(I442&lt;=5.5, 3, 4))))</f>
        <v>1</v>
      </c>
      <c r="L442" s="190">
        <f t="shared" si="902"/>
        <v>2</v>
      </c>
      <c r="M442" s="190" t="str">
        <f t="shared" si="4"/>
        <v>Lv1 → Lv2</v>
      </c>
      <c r="N442" s="220" t="s">
        <v>945</v>
      </c>
      <c r="O442" s="229" t="s">
        <v>922</v>
      </c>
      <c r="P442" s="190">
        <f t="shared" si="5"/>
        <v>1</v>
      </c>
      <c r="Q442" s="210">
        <f t="shared" si="6"/>
        <v>3.5</v>
      </c>
      <c r="R442" s="210">
        <f t="shared" ref="R442:S442" si="903">IF(OR(P442="", P442=0), "",
  IF(P442&lt;=2,   1,
  IF(P442&lt;=4,   2,
  IF(P442&lt;=5.5, 3, 4))))</f>
        <v>1</v>
      </c>
      <c r="S442" s="210">
        <f t="shared" si="903"/>
        <v>2</v>
      </c>
      <c r="T442" s="210" t="str">
        <f t="shared" si="8"/>
        <v>Lv1 → Lv2</v>
      </c>
      <c r="U442" s="210">
        <f t="shared" ref="U442:U448" si="906">IF(COUNTIF($A$2:A442, A442)=1, 1, 0)</f>
        <v>0</v>
      </c>
      <c r="V442" s="210"/>
    </row>
    <row r="443">
      <c r="A443" s="220" t="s">
        <v>419</v>
      </c>
      <c r="B443" s="190" t="s">
        <v>420</v>
      </c>
      <c r="C443" s="223" t="s">
        <v>88</v>
      </c>
      <c r="D443" s="223" t="s">
        <v>881</v>
      </c>
      <c r="E443" s="190" t="s">
        <v>21</v>
      </c>
      <c r="F443" s="13" t="s">
        <v>927</v>
      </c>
      <c r="G443" s="190"/>
      <c r="H443" s="219">
        <f>IFERROR(
  MINIFS(ATTENDANCE_LOG!$F:$F,
         ATTENDANCE_LOG!$A:$A, C443,
         ATTENDANCE_LOG!$B:$B, E443),
"")</f>
        <v>45882.54167</v>
      </c>
      <c r="I443" s="190">
        <f>IFERROR(VLOOKUP(F443, LEVEL_HELPER!$A:$B, 2, 0), "")</f>
        <v>1</v>
      </c>
      <c r="J443" s="190" t="str">
        <f>IFERROR(VLOOKUP(G443, LEVEL_HELPER!$A:$B, 2, 0), "")</f>
        <v/>
      </c>
      <c r="K443" s="190">
        <f t="shared" ref="K443:L443" si="904">IF(OR(I443="", I443=0), "",
  IF(I443&lt;=2,   1,
  IF(I443&lt;=4,   2,
  IF(I443&lt;=5.5, 3, 4))))</f>
        <v>1</v>
      </c>
      <c r="L443" s="190" t="str">
        <f t="shared" si="904"/>
        <v/>
      </c>
      <c r="M443" s="190" t="str">
        <f t="shared" si="4"/>
        <v>No Data</v>
      </c>
      <c r="N443" s="220" t="s">
        <v>943</v>
      </c>
      <c r="O443" s="220" t="s">
        <v>923</v>
      </c>
      <c r="P443" s="190">
        <f t="shared" si="5"/>
        <v>1</v>
      </c>
      <c r="Q443" s="210">
        <f t="shared" si="6"/>
        <v>3</v>
      </c>
      <c r="R443" s="210">
        <f t="shared" ref="R443:S443" si="905">IF(OR(P443="", P443=0), "",
  IF(P443&lt;=2,   1,
  IF(P443&lt;=4,   2,
  IF(P443&lt;=5.5, 3, 4))))</f>
        <v>1</v>
      </c>
      <c r="S443" s="210">
        <f t="shared" si="905"/>
        <v>2</v>
      </c>
      <c r="T443" s="210" t="str">
        <f t="shared" si="8"/>
        <v>Lv1 → Lv2</v>
      </c>
      <c r="U443" s="210">
        <f t="shared" si="906"/>
        <v>0</v>
      </c>
      <c r="V443" s="210"/>
    </row>
    <row r="444">
      <c r="A444" s="220" t="s">
        <v>461</v>
      </c>
      <c r="B444" s="190" t="s">
        <v>462</v>
      </c>
      <c r="C444" s="223" t="s">
        <v>88</v>
      </c>
      <c r="D444" s="223" t="s">
        <v>881</v>
      </c>
      <c r="E444" s="190" t="s">
        <v>21</v>
      </c>
      <c r="F444" s="13" t="s">
        <v>927</v>
      </c>
      <c r="G444" s="13" t="s">
        <v>935</v>
      </c>
      <c r="H444" s="219">
        <f>IFERROR(
  MINIFS(ATTENDANCE_LOG!$F:$F,
         ATTENDANCE_LOG!$A:$A, C444,
         ATTENDANCE_LOG!$B:$B, E444),
"")</f>
        <v>45882.54167</v>
      </c>
      <c r="I444" s="190">
        <f>IFERROR(VLOOKUP(F444, LEVEL_HELPER!$A:$B, 2, 0), "")</f>
        <v>1</v>
      </c>
      <c r="J444" s="190">
        <f>IFERROR(VLOOKUP(G444, LEVEL_HELPER!$A:$B, 2, 0), "")</f>
        <v>3.5</v>
      </c>
      <c r="K444" s="190">
        <f t="shared" ref="K444:L444" si="907">IF(OR(I444="", I444=0), "",
  IF(I444&lt;=2,   1,
  IF(I444&lt;=4,   2,
  IF(I444&lt;=5.5, 3, 4))))</f>
        <v>1</v>
      </c>
      <c r="L444" s="190">
        <f t="shared" si="907"/>
        <v>2</v>
      </c>
      <c r="M444" s="190" t="str">
        <f t="shared" si="4"/>
        <v>Lv1 → Lv2</v>
      </c>
      <c r="N444" s="220" t="s">
        <v>919</v>
      </c>
      <c r="O444" s="220" t="s">
        <v>923</v>
      </c>
      <c r="P444" s="190">
        <f t="shared" si="5"/>
        <v>1</v>
      </c>
      <c r="Q444" s="210">
        <f t="shared" si="6"/>
        <v>3.5</v>
      </c>
      <c r="R444" s="210">
        <f t="shared" ref="R444:S444" si="908">IF(OR(P444="", P444=0), "",
  IF(P444&lt;=2,   1,
  IF(P444&lt;=4,   2,
  IF(P444&lt;=5.5, 3, 4))))</f>
        <v>1</v>
      </c>
      <c r="S444" s="210">
        <f t="shared" si="908"/>
        <v>2</v>
      </c>
      <c r="T444" s="210" t="str">
        <f t="shared" si="8"/>
        <v>Lv1 → Lv2</v>
      </c>
      <c r="U444" s="210">
        <f t="shared" si="906"/>
        <v>0</v>
      </c>
      <c r="V444" s="210"/>
    </row>
    <row r="445">
      <c r="A445" s="220" t="s">
        <v>669</v>
      </c>
      <c r="B445" s="190" t="s">
        <v>670</v>
      </c>
      <c r="C445" s="223" t="s">
        <v>88</v>
      </c>
      <c r="D445" s="223" t="s">
        <v>881</v>
      </c>
      <c r="E445" s="190" t="s">
        <v>21</v>
      </c>
      <c r="F445" s="13" t="s">
        <v>917</v>
      </c>
      <c r="G445" s="190"/>
      <c r="H445" s="219">
        <f>IFERROR(
  MINIFS(ATTENDANCE_LOG!$F:$F,
         ATTENDANCE_LOG!$A:$A, C445,
         ATTENDANCE_LOG!$B:$B, E445),
"")</f>
        <v>45882.54167</v>
      </c>
      <c r="I445" s="190">
        <f>IFERROR(VLOOKUP(F445, LEVEL_HELPER!$A:$B, 2, 0), "")</f>
        <v>2.5</v>
      </c>
      <c r="J445" s="190" t="str">
        <f>IFERROR(VLOOKUP(G445, LEVEL_HELPER!$A:$B, 2, 0), "")</f>
        <v/>
      </c>
      <c r="K445" s="190">
        <f t="shared" ref="K445:L445" si="909">IF(OR(I445="", I445=0), "",
  IF(I445&lt;=2,   1,
  IF(I445&lt;=4,   2,
  IF(I445&lt;=5.5, 3, 4))))</f>
        <v>2</v>
      </c>
      <c r="L445" s="190" t="str">
        <f t="shared" si="909"/>
        <v/>
      </c>
      <c r="M445" s="190" t="str">
        <f t="shared" si="4"/>
        <v>No Data</v>
      </c>
      <c r="N445" s="220" t="s">
        <v>955</v>
      </c>
      <c r="O445" s="220" t="s">
        <v>925</v>
      </c>
      <c r="P445" s="190">
        <f t="shared" si="5"/>
        <v>2.5</v>
      </c>
      <c r="Q445" s="210">
        <f t="shared" si="6"/>
        <v>0</v>
      </c>
      <c r="R445" s="210">
        <f t="shared" ref="R445:S445" si="910">IF(OR(P445="", P445=0), "",
  IF(P445&lt;=2,   1,
  IF(P445&lt;=4,   2,
  IF(P445&lt;=5.5, 3, 4))))</f>
        <v>2</v>
      </c>
      <c r="S445" s="210" t="str">
        <f t="shared" si="910"/>
        <v/>
      </c>
      <c r="T445" s="210" t="str">
        <f t="shared" si="8"/>
        <v>No Data</v>
      </c>
      <c r="U445" s="210">
        <f t="shared" si="906"/>
        <v>1</v>
      </c>
      <c r="V445" s="210"/>
    </row>
    <row r="446">
      <c r="A446" s="220" t="s">
        <v>681</v>
      </c>
      <c r="B446" s="190" t="s">
        <v>682</v>
      </c>
      <c r="C446" s="223" t="s">
        <v>88</v>
      </c>
      <c r="D446" s="223" t="s">
        <v>881</v>
      </c>
      <c r="E446" s="190" t="s">
        <v>21</v>
      </c>
      <c r="F446" s="13" t="s">
        <v>927</v>
      </c>
      <c r="G446" s="13" t="s">
        <v>918</v>
      </c>
      <c r="H446" s="219">
        <f>IFERROR(
  MINIFS(ATTENDANCE_LOG!$F:$F,
         ATTENDANCE_LOG!$A:$A, C446,
         ATTENDANCE_LOG!$B:$B, E446),
"")</f>
        <v>45882.54167</v>
      </c>
      <c r="I446" s="190">
        <f>IFERROR(VLOOKUP(F446, LEVEL_HELPER!$A:$B, 2, 0), "")</f>
        <v>1</v>
      </c>
      <c r="J446" s="190">
        <f>IFERROR(VLOOKUP(G446, LEVEL_HELPER!$A:$B, 2, 0), "")</f>
        <v>3</v>
      </c>
      <c r="K446" s="190">
        <f t="shared" ref="K446:L446" si="911">IF(OR(I446="", I446=0), "",
  IF(I446&lt;=2,   1,
  IF(I446&lt;=4,   2,
  IF(I446&lt;=5.5, 3, 4))))</f>
        <v>1</v>
      </c>
      <c r="L446" s="190">
        <f t="shared" si="911"/>
        <v>2</v>
      </c>
      <c r="M446" s="190" t="str">
        <f t="shared" si="4"/>
        <v>Lv1 → Lv2</v>
      </c>
      <c r="N446" s="220" t="s">
        <v>943</v>
      </c>
      <c r="O446" s="220" t="s">
        <v>924</v>
      </c>
      <c r="P446" s="190">
        <f t="shared" si="5"/>
        <v>1</v>
      </c>
      <c r="Q446" s="210">
        <f t="shared" si="6"/>
        <v>3</v>
      </c>
      <c r="R446" s="210">
        <f t="shared" ref="R446:S446" si="912">IF(OR(P446="", P446=0), "",
  IF(P446&lt;=2,   1,
  IF(P446&lt;=4,   2,
  IF(P446&lt;=5.5, 3, 4))))</f>
        <v>1</v>
      </c>
      <c r="S446" s="210">
        <f t="shared" si="912"/>
        <v>2</v>
      </c>
      <c r="T446" s="210" t="str">
        <f t="shared" si="8"/>
        <v>Lv1 → Lv2</v>
      </c>
      <c r="U446" s="210">
        <f t="shared" si="906"/>
        <v>0</v>
      </c>
      <c r="V446" s="210"/>
    </row>
    <row r="447">
      <c r="A447" s="220" t="s">
        <v>685</v>
      </c>
      <c r="B447" s="190" t="s">
        <v>686</v>
      </c>
      <c r="C447" s="223" t="s">
        <v>88</v>
      </c>
      <c r="D447" s="223" t="s">
        <v>881</v>
      </c>
      <c r="E447" s="190" t="s">
        <v>21</v>
      </c>
      <c r="F447" s="13" t="s">
        <v>927</v>
      </c>
      <c r="G447" s="13" t="s">
        <v>929</v>
      </c>
      <c r="H447" s="219">
        <f>IFERROR(
  MINIFS(ATTENDANCE_LOG!$F:$F,
         ATTENDANCE_LOG!$A:$A, C447,
         ATTENDANCE_LOG!$B:$B, E447),
"")</f>
        <v>45882.54167</v>
      </c>
      <c r="I447" s="190">
        <f>IFERROR(VLOOKUP(F447, LEVEL_HELPER!$A:$B, 2, 0), "")</f>
        <v>1</v>
      </c>
      <c r="J447" s="190">
        <f>IFERROR(VLOOKUP(G447, LEVEL_HELPER!$A:$B, 2, 0), "")</f>
        <v>1.5</v>
      </c>
      <c r="K447" s="190">
        <f t="shared" ref="K447:L447" si="913">IF(OR(I447="", I447=0), "",
  IF(I447&lt;=2,   1,
  IF(I447&lt;=4,   2,
  IF(I447&lt;=5.5, 3, 4))))</f>
        <v>1</v>
      </c>
      <c r="L447" s="190">
        <f t="shared" si="913"/>
        <v>1</v>
      </c>
      <c r="M447" s="190" t="str">
        <f t="shared" si="4"/>
        <v>Progress within level</v>
      </c>
      <c r="N447" s="220" t="s">
        <v>943</v>
      </c>
      <c r="O447" s="220" t="s">
        <v>923</v>
      </c>
      <c r="P447" s="190">
        <f t="shared" si="5"/>
        <v>1</v>
      </c>
      <c r="Q447" s="210">
        <f t="shared" si="6"/>
        <v>1.5</v>
      </c>
      <c r="R447" s="210">
        <f t="shared" ref="R447:S447" si="914">IF(OR(P447="", P447=0), "",
  IF(P447&lt;=2,   1,
  IF(P447&lt;=4,   2,
  IF(P447&lt;=5.5, 3, 4))))</f>
        <v>1</v>
      </c>
      <c r="S447" s="210">
        <f t="shared" si="914"/>
        <v>1</v>
      </c>
      <c r="T447" s="210" t="str">
        <f t="shared" si="8"/>
        <v>Progress within level</v>
      </c>
      <c r="U447" s="210">
        <f t="shared" si="906"/>
        <v>0</v>
      </c>
      <c r="V447" s="210"/>
    </row>
    <row r="448">
      <c r="A448" s="220" t="s">
        <v>709</v>
      </c>
      <c r="B448" s="190" t="s">
        <v>710</v>
      </c>
      <c r="C448" s="223" t="s">
        <v>88</v>
      </c>
      <c r="D448" s="223" t="s">
        <v>881</v>
      </c>
      <c r="E448" s="190" t="s">
        <v>21</v>
      </c>
      <c r="F448" s="13" t="s">
        <v>918</v>
      </c>
      <c r="G448" s="13" t="s">
        <v>935</v>
      </c>
      <c r="H448" s="219">
        <f>IFERROR(
  MINIFS(ATTENDANCE_LOG!$F:$F,
         ATTENDANCE_LOG!$A:$A, C448,
         ATTENDANCE_LOG!$B:$B, E448),
"")</f>
        <v>45882.54167</v>
      </c>
      <c r="I448" s="190">
        <f>IFERROR(VLOOKUP(F448, LEVEL_HELPER!$A:$B, 2, 0), "")</f>
        <v>3</v>
      </c>
      <c r="J448" s="190">
        <f>IFERROR(VLOOKUP(G448, LEVEL_HELPER!$A:$B, 2, 0), "")</f>
        <v>3.5</v>
      </c>
      <c r="K448" s="190">
        <f t="shared" ref="K448:L448" si="915">IF(OR(I448="", I448=0), "",
  IF(I448&lt;=2,   1,
  IF(I448&lt;=4,   2,
  IF(I448&lt;=5.5, 3, 4))))</f>
        <v>2</v>
      </c>
      <c r="L448" s="190">
        <f t="shared" si="915"/>
        <v>2</v>
      </c>
      <c r="M448" s="190" t="str">
        <f t="shared" si="4"/>
        <v>Progress within level</v>
      </c>
      <c r="N448" s="220" t="s">
        <v>943</v>
      </c>
      <c r="O448" s="220" t="s">
        <v>923</v>
      </c>
      <c r="P448" s="190">
        <f t="shared" si="5"/>
        <v>1</v>
      </c>
      <c r="Q448" s="210">
        <f t="shared" si="6"/>
        <v>3.5</v>
      </c>
      <c r="R448" s="210">
        <f t="shared" ref="R448:S448" si="916">IF(OR(P448="", P448=0), "",
  IF(P448&lt;=2,   1,
  IF(P448&lt;=4,   2,
  IF(P448&lt;=5.5, 3, 4))))</f>
        <v>1</v>
      </c>
      <c r="S448" s="210">
        <f t="shared" si="916"/>
        <v>2</v>
      </c>
      <c r="T448" s="210" t="str">
        <f t="shared" si="8"/>
        <v>Lv1 → Lv2</v>
      </c>
      <c r="U448" s="210">
        <f t="shared" si="906"/>
        <v>0</v>
      </c>
      <c r="V448" s="210"/>
    </row>
    <row r="449">
      <c r="A449" s="247" t="s">
        <v>574</v>
      </c>
      <c r="B449" s="217" t="s">
        <v>575</v>
      </c>
      <c r="C449" s="218" t="s">
        <v>89</v>
      </c>
      <c r="D449" s="218" t="s">
        <v>882</v>
      </c>
      <c r="E449" s="217" t="s">
        <v>26</v>
      </c>
      <c r="F449" s="242" t="s">
        <v>25</v>
      </c>
      <c r="G449" s="217"/>
      <c r="H449" s="219">
        <f>IFERROR(
  MINIFS(ATTENDANCE_LOG!$F:$F,
         ATTENDANCE_LOG!$A:$A, C449,
         ATTENDANCE_LOG!$B:$B, E449),
"")</f>
        <v>46126.58333</v>
      </c>
      <c r="I449" s="217">
        <f>IFERROR(VLOOKUP(F449, LEVEL_HELPER!$A:$B, 2, 0), "")</f>
        <v>0.5</v>
      </c>
      <c r="J449" s="217" t="str">
        <f>IFERROR(VLOOKUP(G449, LEVEL_HELPER!$A:$B, 2, 0), "")</f>
        <v/>
      </c>
      <c r="K449" s="217">
        <f t="shared" ref="K449:L449" si="917">IF(OR(I449="", I449=0), "",
  IF(I449&lt;=2,   1,
  IF(I449&lt;=4,   2,
  IF(I449&lt;=5.5, 3, 4))))</f>
        <v>1</v>
      </c>
      <c r="L449" s="190" t="str">
        <f t="shared" si="917"/>
        <v/>
      </c>
      <c r="M449" s="190" t="str">
        <f t="shared" si="4"/>
        <v>No Data</v>
      </c>
      <c r="N449" s="247" t="s">
        <v>931</v>
      </c>
      <c r="O449" s="247" t="s">
        <v>926</v>
      </c>
      <c r="P449" s="217">
        <f t="shared" si="5"/>
        <v>0.5</v>
      </c>
      <c r="Q449" s="248">
        <f t="shared" si="6"/>
        <v>0.5</v>
      </c>
      <c r="R449" s="248">
        <f t="shared" ref="R449:S449" si="918">IF(OR(P449="", P449=0), "",
  IF(P449&lt;=2,   1,
  IF(P449&lt;=4,   2,
  IF(P449&lt;=5.5, 3, 4))))</f>
        <v>1</v>
      </c>
      <c r="S449" s="248">
        <f t="shared" si="918"/>
        <v>1</v>
      </c>
      <c r="T449" s="248" t="str">
        <f t="shared" si="8"/>
        <v>No Progress</v>
      </c>
      <c r="U449" s="248">
        <f>IF(COUNTIF($A$2:A451, A449)=1, 1, 0)</f>
        <v>1</v>
      </c>
      <c r="V449" s="248"/>
    </row>
    <row r="450">
      <c r="A450" s="220" t="s">
        <v>545</v>
      </c>
      <c r="B450" s="190" t="s">
        <v>546</v>
      </c>
      <c r="C450" s="223" t="s">
        <v>89</v>
      </c>
      <c r="D450" s="223" t="s">
        <v>882</v>
      </c>
      <c r="E450" s="190" t="s">
        <v>26</v>
      </c>
      <c r="F450" s="13" t="s">
        <v>25</v>
      </c>
      <c r="G450" s="190"/>
      <c r="H450" s="219">
        <f>IFERROR(
  MINIFS(ATTENDANCE_LOG!$F:$F,
         ATTENDANCE_LOG!$A:$A, C450,
         ATTENDANCE_LOG!$B:$B, E450),
"")</f>
        <v>46126.58333</v>
      </c>
      <c r="I450" s="190">
        <f>IFERROR(VLOOKUP(F450, LEVEL_HELPER!$A:$B, 2, 0), "")</f>
        <v>0.5</v>
      </c>
      <c r="J450" s="190" t="str">
        <f>IFERROR(VLOOKUP(G450, LEVEL_HELPER!$A:$B, 2, 0), "")</f>
        <v/>
      </c>
      <c r="K450" s="190">
        <f t="shared" ref="K450:L450" si="919">IF(OR(I450="", I450=0), "",
  IF(I450&lt;=2,   1,
  IF(I450&lt;=4,   2,
  IF(I450&lt;=5.5, 3, 4))))</f>
        <v>1</v>
      </c>
      <c r="L450" s="190" t="str">
        <f t="shared" si="919"/>
        <v/>
      </c>
      <c r="M450" s="190" t="str">
        <f t="shared" si="4"/>
        <v>No Data</v>
      </c>
      <c r="N450" s="220" t="s">
        <v>931</v>
      </c>
      <c r="O450" s="220" t="s">
        <v>920</v>
      </c>
      <c r="P450" s="190">
        <f t="shared" si="5"/>
        <v>0.5</v>
      </c>
      <c r="Q450" s="210">
        <f t="shared" si="6"/>
        <v>0.5</v>
      </c>
      <c r="R450" s="210">
        <f t="shared" ref="R450:S450" si="920">IF(OR(P450="", P450=0), "",
  IF(P450&lt;=2,   1,
  IF(P450&lt;=4,   2,
  IF(P450&lt;=5.5, 3, 4))))</f>
        <v>1</v>
      </c>
      <c r="S450" s="210">
        <f t="shared" si="920"/>
        <v>1</v>
      </c>
      <c r="T450" s="210" t="str">
        <f t="shared" si="8"/>
        <v>No Progress</v>
      </c>
      <c r="U450" s="210">
        <f t="shared" ref="U450:U451" si="923">IF(COUNTIF($A$2:A450, A450)=1, 1, 0)</f>
        <v>1</v>
      </c>
      <c r="V450" s="210"/>
    </row>
    <row r="451">
      <c r="A451" s="220" t="s">
        <v>558</v>
      </c>
      <c r="B451" s="190" t="s">
        <v>559</v>
      </c>
      <c r="C451" s="223" t="s">
        <v>89</v>
      </c>
      <c r="D451" s="223" t="s">
        <v>882</v>
      </c>
      <c r="E451" s="190" t="s">
        <v>26</v>
      </c>
      <c r="F451" s="13" t="s">
        <v>25</v>
      </c>
      <c r="G451" s="190"/>
      <c r="H451" s="219">
        <f>IFERROR(
  MINIFS(ATTENDANCE_LOG!$F:$F,
         ATTENDANCE_LOG!$A:$A, C451,
         ATTENDANCE_LOG!$B:$B, E451),
"")</f>
        <v>46126.58333</v>
      </c>
      <c r="I451" s="190">
        <f>IFERROR(VLOOKUP(F451, LEVEL_HELPER!$A:$B, 2, 0), "")</f>
        <v>0.5</v>
      </c>
      <c r="J451" s="190" t="str">
        <f>IFERROR(VLOOKUP(G451, LEVEL_HELPER!$A:$B, 2, 0), "")</f>
        <v/>
      </c>
      <c r="K451" s="190">
        <f t="shared" ref="K451:L451" si="921">IF(OR(I451="", I451=0), "",
  IF(I451&lt;=2,   1,
  IF(I451&lt;=4,   2,
  IF(I451&lt;=5.5, 3, 4))))</f>
        <v>1</v>
      </c>
      <c r="L451" s="190" t="str">
        <f t="shared" si="921"/>
        <v/>
      </c>
      <c r="M451" s="190" t="str">
        <f t="shared" si="4"/>
        <v>No Data</v>
      </c>
      <c r="N451" s="220" t="s">
        <v>931</v>
      </c>
      <c r="O451" s="220" t="s">
        <v>920</v>
      </c>
      <c r="P451" s="190">
        <f t="shared" si="5"/>
        <v>0.5</v>
      </c>
      <c r="Q451" s="210">
        <f t="shared" si="6"/>
        <v>0.5</v>
      </c>
      <c r="R451" s="210">
        <f t="shared" ref="R451:S451" si="922">IF(OR(P451="", P451=0), "",
  IF(P451&lt;=2,   1,
  IF(P451&lt;=4,   2,
  IF(P451&lt;=5.5, 3, 4))))</f>
        <v>1</v>
      </c>
      <c r="S451" s="210">
        <f t="shared" si="922"/>
        <v>1</v>
      </c>
      <c r="T451" s="210" t="str">
        <f t="shared" si="8"/>
        <v>No Progress</v>
      </c>
      <c r="U451" s="210">
        <f t="shared" si="923"/>
        <v>1</v>
      </c>
      <c r="V451" s="210"/>
    </row>
    <row r="452">
      <c r="A452" s="247" t="s">
        <v>574</v>
      </c>
      <c r="B452" s="217" t="s">
        <v>575</v>
      </c>
      <c r="C452" s="218" t="s">
        <v>89</v>
      </c>
      <c r="D452" s="218" t="s">
        <v>882</v>
      </c>
      <c r="E452" s="217" t="s">
        <v>25</v>
      </c>
      <c r="F452" s="242" t="s">
        <v>25</v>
      </c>
      <c r="G452" s="242" t="s">
        <v>25</v>
      </c>
      <c r="H452" s="219">
        <f>IFERROR(
  MINIFS(ATTENDANCE_LOG!$F:$F,
         ATTENDANCE_LOG!$A:$A, C452,
         ATTENDANCE_LOG!$B:$B, E452),
"")</f>
        <v>45916.45833</v>
      </c>
      <c r="I452" s="217">
        <f>IFERROR(VLOOKUP(F452, LEVEL_HELPER!$A:$B, 2, 0), "")</f>
        <v>0.5</v>
      </c>
      <c r="J452" s="217">
        <f>IFERROR(VLOOKUP(G452, LEVEL_HELPER!$A:$B, 2, 0), "")</f>
        <v>0.5</v>
      </c>
      <c r="K452" s="217">
        <f t="shared" ref="K452:L452" si="924">IF(OR(I452="", I452=0), "",
  IF(I452&lt;=2,   1,
  IF(I452&lt;=4,   2,
  IF(I452&lt;=5.5, 3, 4))))</f>
        <v>1</v>
      </c>
      <c r="L452" s="190">
        <f t="shared" si="924"/>
        <v>1</v>
      </c>
      <c r="M452" s="190" t="str">
        <f t="shared" si="4"/>
        <v>No Progress</v>
      </c>
      <c r="N452" s="247" t="s">
        <v>931</v>
      </c>
      <c r="O452" s="247" t="s">
        <v>926</v>
      </c>
      <c r="P452" s="217">
        <f t="shared" si="5"/>
        <v>0.5</v>
      </c>
      <c r="Q452" s="248">
        <f t="shared" si="6"/>
        <v>0.5</v>
      </c>
      <c r="R452" s="248">
        <f t="shared" ref="R452:S452" si="925">IF(OR(P452="", P452=0), "",
  IF(P452&lt;=2,   1,
  IF(P452&lt;=4,   2,
  IF(P452&lt;=5.5, 3, 4))))</f>
        <v>1</v>
      </c>
      <c r="S452" s="248">
        <f t="shared" si="925"/>
        <v>1</v>
      </c>
      <c r="T452" s="248" t="str">
        <f t="shared" si="8"/>
        <v>No Progress</v>
      </c>
      <c r="U452" s="248">
        <f>IF(COUNTIF($A$2:A459, A452)=1, 1, 0)</f>
        <v>0</v>
      </c>
      <c r="V452" s="248"/>
    </row>
    <row r="453">
      <c r="A453" s="220" t="s">
        <v>161</v>
      </c>
      <c r="B453" s="190" t="s">
        <v>162</v>
      </c>
      <c r="C453" s="223" t="s">
        <v>89</v>
      </c>
      <c r="D453" s="223" t="s">
        <v>882</v>
      </c>
      <c r="E453" s="190" t="s">
        <v>25</v>
      </c>
      <c r="F453" s="13" t="s">
        <v>25</v>
      </c>
      <c r="G453" s="13" t="s">
        <v>25</v>
      </c>
      <c r="H453" s="219">
        <f>IFERROR(
  MINIFS(ATTENDANCE_LOG!$F:$F,
         ATTENDANCE_LOG!$A:$A, C453,
         ATTENDANCE_LOG!$B:$B, E453),
"")</f>
        <v>45916.45833</v>
      </c>
      <c r="I453" s="190">
        <f>IFERROR(VLOOKUP(F453, LEVEL_HELPER!$A:$B, 2, 0), "")</f>
        <v>0.5</v>
      </c>
      <c r="J453" s="190">
        <f>IFERROR(VLOOKUP(G453, LEVEL_HELPER!$A:$B, 2, 0), "")</f>
        <v>0.5</v>
      </c>
      <c r="K453" s="190">
        <f t="shared" ref="K453:L453" si="926">IF(OR(I453="", I453=0), "",
  IF(I453&lt;=2,   1,
  IF(I453&lt;=4,   2,
  IF(I453&lt;=5.5, 3, 4))))</f>
        <v>1</v>
      </c>
      <c r="L453" s="190">
        <f t="shared" si="926"/>
        <v>1</v>
      </c>
      <c r="M453" s="190" t="str">
        <f t="shared" si="4"/>
        <v>No Progress</v>
      </c>
      <c r="N453" s="220" t="s">
        <v>943</v>
      </c>
      <c r="O453" s="220" t="s">
        <v>924</v>
      </c>
      <c r="P453" s="190">
        <f t="shared" si="5"/>
        <v>0.5</v>
      </c>
      <c r="Q453" s="210">
        <f t="shared" si="6"/>
        <v>0.5</v>
      </c>
      <c r="R453" s="210">
        <f t="shared" ref="R453:S453" si="927">IF(OR(P453="", P453=0), "",
  IF(P453&lt;=2,   1,
  IF(P453&lt;=4,   2,
  IF(P453&lt;=5.5, 3, 4))))</f>
        <v>1</v>
      </c>
      <c r="S453" s="210">
        <f t="shared" si="927"/>
        <v>1</v>
      </c>
      <c r="T453" s="210" t="str">
        <f t="shared" si="8"/>
        <v>No Progress</v>
      </c>
      <c r="U453" s="210">
        <f t="shared" ref="U453:U459" si="930">IF(COUNTIF($A$2:A453, A453)=1, 1, 0)</f>
        <v>1</v>
      </c>
      <c r="V453" s="210"/>
    </row>
    <row r="454">
      <c r="A454" s="220" t="s">
        <v>290</v>
      </c>
      <c r="B454" s="190" t="s">
        <v>291</v>
      </c>
      <c r="C454" s="223" t="s">
        <v>89</v>
      </c>
      <c r="D454" s="223" t="s">
        <v>882</v>
      </c>
      <c r="E454" s="190" t="s">
        <v>25</v>
      </c>
      <c r="F454" s="13" t="s">
        <v>25</v>
      </c>
      <c r="G454" s="13" t="s">
        <v>25</v>
      </c>
      <c r="H454" s="219">
        <f>IFERROR(
  MINIFS(ATTENDANCE_LOG!$F:$F,
         ATTENDANCE_LOG!$A:$A, C454,
         ATTENDANCE_LOG!$B:$B, E454),
"")</f>
        <v>45916.45833</v>
      </c>
      <c r="I454" s="190">
        <f>IFERROR(VLOOKUP(F454, LEVEL_HELPER!$A:$B, 2, 0), "")</f>
        <v>0.5</v>
      </c>
      <c r="J454" s="190">
        <f>IFERROR(VLOOKUP(G454, LEVEL_HELPER!$A:$B, 2, 0), "")</f>
        <v>0.5</v>
      </c>
      <c r="K454" s="190">
        <f t="shared" ref="K454:L454" si="928">IF(OR(I454="", I454=0), "",
  IF(I454&lt;=2,   1,
  IF(I454&lt;=4,   2,
  IF(I454&lt;=5.5, 3, 4))))</f>
        <v>1</v>
      </c>
      <c r="L454" s="190">
        <f t="shared" si="928"/>
        <v>1</v>
      </c>
      <c r="M454" s="190" t="str">
        <f t="shared" si="4"/>
        <v>No Progress</v>
      </c>
      <c r="N454" s="220" t="s">
        <v>931</v>
      </c>
      <c r="O454" s="220" t="s">
        <v>920</v>
      </c>
      <c r="P454" s="190">
        <f t="shared" si="5"/>
        <v>0.5</v>
      </c>
      <c r="Q454" s="210">
        <f t="shared" si="6"/>
        <v>0.5</v>
      </c>
      <c r="R454" s="210">
        <f t="shared" ref="R454:S454" si="929">IF(OR(P454="", P454=0), "",
  IF(P454&lt;=2,   1,
  IF(P454&lt;=4,   2,
  IF(P454&lt;=5.5, 3, 4))))</f>
        <v>1</v>
      </c>
      <c r="S454" s="210">
        <f t="shared" si="929"/>
        <v>1</v>
      </c>
      <c r="T454" s="210" t="str">
        <f t="shared" si="8"/>
        <v>No Progress</v>
      </c>
      <c r="U454" s="210">
        <f t="shared" si="930"/>
        <v>1</v>
      </c>
      <c r="V454" s="210"/>
    </row>
    <row r="455">
      <c r="A455" s="220" t="s">
        <v>391</v>
      </c>
      <c r="B455" s="190" t="s">
        <v>392</v>
      </c>
      <c r="C455" s="223" t="s">
        <v>89</v>
      </c>
      <c r="D455" s="223" t="s">
        <v>882</v>
      </c>
      <c r="E455" s="190" t="s">
        <v>25</v>
      </c>
      <c r="F455" s="13" t="s">
        <v>25</v>
      </c>
      <c r="G455" s="13" t="s">
        <v>25</v>
      </c>
      <c r="H455" s="219">
        <f>IFERROR(
  MINIFS(ATTENDANCE_LOG!$F:$F,
         ATTENDANCE_LOG!$A:$A, C455,
         ATTENDANCE_LOG!$B:$B, E455),
"")</f>
        <v>45916.45833</v>
      </c>
      <c r="I455" s="190">
        <f>IFERROR(VLOOKUP(F455, LEVEL_HELPER!$A:$B, 2, 0), "")</f>
        <v>0.5</v>
      </c>
      <c r="J455" s="190">
        <f>IFERROR(VLOOKUP(G455, LEVEL_HELPER!$A:$B, 2, 0), "")</f>
        <v>0.5</v>
      </c>
      <c r="K455" s="190">
        <f t="shared" ref="K455:L455" si="931">IF(OR(I455="", I455=0), "",
  IF(I455&lt;=2,   1,
  IF(I455&lt;=4,   2,
  IF(I455&lt;=5.5, 3, 4))))</f>
        <v>1</v>
      </c>
      <c r="L455" s="190">
        <f t="shared" si="931"/>
        <v>1</v>
      </c>
      <c r="M455" s="190" t="str">
        <f t="shared" si="4"/>
        <v>No Progress</v>
      </c>
      <c r="N455" s="220" t="s">
        <v>931</v>
      </c>
      <c r="O455" s="229" t="s">
        <v>922</v>
      </c>
      <c r="P455" s="190">
        <f t="shared" si="5"/>
        <v>0.5</v>
      </c>
      <c r="Q455" s="210">
        <f t="shared" si="6"/>
        <v>0.5</v>
      </c>
      <c r="R455" s="210">
        <f t="shared" ref="R455:S455" si="932">IF(OR(P455="", P455=0), "",
  IF(P455&lt;=2,   1,
  IF(P455&lt;=4,   2,
  IF(P455&lt;=5.5, 3, 4))))</f>
        <v>1</v>
      </c>
      <c r="S455" s="210">
        <f t="shared" si="932"/>
        <v>1</v>
      </c>
      <c r="T455" s="210" t="str">
        <f t="shared" si="8"/>
        <v>No Progress</v>
      </c>
      <c r="U455" s="210">
        <f t="shared" si="930"/>
        <v>1</v>
      </c>
      <c r="V455" s="210"/>
    </row>
    <row r="456">
      <c r="A456" s="220" t="s">
        <v>468</v>
      </c>
      <c r="B456" s="190" t="s">
        <v>469</v>
      </c>
      <c r="C456" s="223" t="s">
        <v>89</v>
      </c>
      <c r="D456" s="223" t="s">
        <v>882</v>
      </c>
      <c r="E456" s="190" t="s">
        <v>25</v>
      </c>
      <c r="F456" s="13" t="s">
        <v>25</v>
      </c>
      <c r="G456" s="13" t="s">
        <v>25</v>
      </c>
      <c r="H456" s="219">
        <f>IFERROR(
  MINIFS(ATTENDANCE_LOG!$F:$F,
         ATTENDANCE_LOG!$A:$A, C456,
         ATTENDANCE_LOG!$B:$B, E456),
"")</f>
        <v>45916.45833</v>
      </c>
      <c r="I456" s="190">
        <f>IFERROR(VLOOKUP(F456, LEVEL_HELPER!$A:$B, 2, 0), "")</f>
        <v>0.5</v>
      </c>
      <c r="J456" s="190">
        <f>IFERROR(VLOOKUP(G456, LEVEL_HELPER!$A:$B, 2, 0), "")</f>
        <v>0.5</v>
      </c>
      <c r="K456" s="190">
        <f t="shared" ref="K456:L456" si="933">IF(OR(I456="", I456=0), "",
  IF(I456&lt;=2,   1,
  IF(I456&lt;=4,   2,
  IF(I456&lt;=5.5, 3, 4))))</f>
        <v>1</v>
      </c>
      <c r="L456" s="190">
        <f t="shared" si="933"/>
        <v>1</v>
      </c>
      <c r="M456" s="190" t="str">
        <f t="shared" si="4"/>
        <v>No Progress</v>
      </c>
      <c r="N456" s="220" t="s">
        <v>931</v>
      </c>
      <c r="O456" s="220" t="s">
        <v>920</v>
      </c>
      <c r="P456" s="190">
        <f t="shared" si="5"/>
        <v>0.5</v>
      </c>
      <c r="Q456" s="210">
        <f t="shared" si="6"/>
        <v>0.5</v>
      </c>
      <c r="R456" s="210">
        <f t="shared" ref="R456:S456" si="934">IF(OR(P456="", P456=0), "",
  IF(P456&lt;=2,   1,
  IF(P456&lt;=4,   2,
  IF(P456&lt;=5.5, 3, 4))))</f>
        <v>1</v>
      </c>
      <c r="S456" s="210">
        <f t="shared" si="934"/>
        <v>1</v>
      </c>
      <c r="T456" s="210" t="str">
        <f t="shared" si="8"/>
        <v>No Progress</v>
      </c>
      <c r="U456" s="210">
        <f t="shared" si="930"/>
        <v>1</v>
      </c>
      <c r="V456" s="210"/>
    </row>
    <row r="457">
      <c r="A457" s="220" t="s">
        <v>516</v>
      </c>
      <c r="B457" s="190" t="s">
        <v>517</v>
      </c>
      <c r="C457" s="223" t="s">
        <v>89</v>
      </c>
      <c r="D457" s="223" t="s">
        <v>882</v>
      </c>
      <c r="E457" s="190" t="s">
        <v>25</v>
      </c>
      <c r="F457" s="13" t="s">
        <v>25</v>
      </c>
      <c r="G457" s="13" t="s">
        <v>25</v>
      </c>
      <c r="H457" s="219">
        <f>IFERROR(
  MINIFS(ATTENDANCE_LOG!$F:$F,
         ATTENDANCE_LOG!$A:$A, C457,
         ATTENDANCE_LOG!$B:$B, E457),
"")</f>
        <v>45916.45833</v>
      </c>
      <c r="I457" s="190">
        <f>IFERROR(VLOOKUP(F457, LEVEL_HELPER!$A:$B, 2, 0), "")</f>
        <v>0.5</v>
      </c>
      <c r="J457" s="190">
        <f>IFERROR(VLOOKUP(G457, LEVEL_HELPER!$A:$B, 2, 0), "")</f>
        <v>0.5</v>
      </c>
      <c r="K457" s="190">
        <f t="shared" ref="K457:L457" si="935">IF(OR(I457="", I457=0), "",
  IF(I457&lt;=2,   1,
  IF(I457&lt;=4,   2,
  IF(I457&lt;=5.5, 3, 4))))</f>
        <v>1</v>
      </c>
      <c r="L457" s="190">
        <f t="shared" si="935"/>
        <v>1</v>
      </c>
      <c r="M457" s="190" t="str">
        <f t="shared" si="4"/>
        <v>No Progress</v>
      </c>
      <c r="N457" s="220" t="s">
        <v>931</v>
      </c>
      <c r="O457" s="220" t="s">
        <v>920</v>
      </c>
      <c r="P457" s="190">
        <f t="shared" si="5"/>
        <v>0.5</v>
      </c>
      <c r="Q457" s="210">
        <f t="shared" si="6"/>
        <v>0.5</v>
      </c>
      <c r="R457" s="210">
        <f t="shared" ref="R457:S457" si="936">IF(OR(P457="", P457=0), "",
  IF(P457&lt;=2,   1,
  IF(P457&lt;=4,   2,
  IF(P457&lt;=5.5, 3, 4))))</f>
        <v>1</v>
      </c>
      <c r="S457" s="210">
        <f t="shared" si="936"/>
        <v>1</v>
      </c>
      <c r="T457" s="210" t="str">
        <f t="shared" si="8"/>
        <v>No Progress</v>
      </c>
      <c r="U457" s="210">
        <f t="shared" si="930"/>
        <v>1</v>
      </c>
      <c r="V457" s="210"/>
    </row>
    <row r="458">
      <c r="A458" s="220" t="s">
        <v>545</v>
      </c>
      <c r="B458" s="190" t="s">
        <v>546</v>
      </c>
      <c r="C458" s="223" t="s">
        <v>89</v>
      </c>
      <c r="D458" s="223" t="s">
        <v>882</v>
      </c>
      <c r="E458" s="190" t="s">
        <v>25</v>
      </c>
      <c r="F458" s="13" t="s">
        <v>25</v>
      </c>
      <c r="G458" s="13" t="s">
        <v>25</v>
      </c>
      <c r="H458" s="219">
        <f>IFERROR(
  MINIFS(ATTENDANCE_LOG!$F:$F,
         ATTENDANCE_LOG!$A:$A, C458,
         ATTENDANCE_LOG!$B:$B, E458),
"")</f>
        <v>45916.45833</v>
      </c>
      <c r="I458" s="190">
        <f>IFERROR(VLOOKUP(F458, LEVEL_HELPER!$A:$B, 2, 0), "")</f>
        <v>0.5</v>
      </c>
      <c r="J458" s="190">
        <f>IFERROR(VLOOKUP(G458, LEVEL_HELPER!$A:$B, 2, 0), "")</f>
        <v>0.5</v>
      </c>
      <c r="K458" s="190">
        <f t="shared" ref="K458:L458" si="937">IF(OR(I458="", I458=0), "",
  IF(I458&lt;=2,   1,
  IF(I458&lt;=4,   2,
  IF(I458&lt;=5.5, 3, 4))))</f>
        <v>1</v>
      </c>
      <c r="L458" s="190">
        <f t="shared" si="937"/>
        <v>1</v>
      </c>
      <c r="M458" s="190" t="str">
        <f t="shared" si="4"/>
        <v>No Progress</v>
      </c>
      <c r="N458" s="220" t="s">
        <v>931</v>
      </c>
      <c r="O458" s="220" t="s">
        <v>920</v>
      </c>
      <c r="P458" s="190">
        <f t="shared" si="5"/>
        <v>0.5</v>
      </c>
      <c r="Q458" s="210">
        <f t="shared" si="6"/>
        <v>0.5</v>
      </c>
      <c r="R458" s="210">
        <f t="shared" ref="R458:S458" si="938">IF(OR(P458="", P458=0), "",
  IF(P458&lt;=2,   1,
  IF(P458&lt;=4,   2,
  IF(P458&lt;=5.5, 3, 4))))</f>
        <v>1</v>
      </c>
      <c r="S458" s="210">
        <f t="shared" si="938"/>
        <v>1</v>
      </c>
      <c r="T458" s="210" t="str">
        <f t="shared" si="8"/>
        <v>No Progress</v>
      </c>
      <c r="U458" s="210">
        <f t="shared" si="930"/>
        <v>0</v>
      </c>
      <c r="V458" s="210"/>
    </row>
    <row r="459">
      <c r="A459" s="220" t="s">
        <v>558</v>
      </c>
      <c r="B459" s="190" t="s">
        <v>559</v>
      </c>
      <c r="C459" s="223" t="s">
        <v>89</v>
      </c>
      <c r="D459" s="223" t="s">
        <v>882</v>
      </c>
      <c r="E459" s="190" t="s">
        <v>25</v>
      </c>
      <c r="F459" s="13" t="s">
        <v>25</v>
      </c>
      <c r="G459" s="13" t="s">
        <v>25</v>
      </c>
      <c r="H459" s="219">
        <f>IFERROR(
  MINIFS(ATTENDANCE_LOG!$F:$F,
         ATTENDANCE_LOG!$A:$A, C459,
         ATTENDANCE_LOG!$B:$B, E459),
"")</f>
        <v>45916.45833</v>
      </c>
      <c r="I459" s="190">
        <f>IFERROR(VLOOKUP(F459, LEVEL_HELPER!$A:$B, 2, 0), "")</f>
        <v>0.5</v>
      </c>
      <c r="J459" s="190">
        <f>IFERROR(VLOOKUP(G459, LEVEL_HELPER!$A:$B, 2, 0), "")</f>
        <v>0.5</v>
      </c>
      <c r="K459" s="190">
        <f t="shared" ref="K459:L459" si="939">IF(OR(I459="", I459=0), "",
  IF(I459&lt;=2,   1,
  IF(I459&lt;=4,   2,
  IF(I459&lt;=5.5, 3, 4))))</f>
        <v>1</v>
      </c>
      <c r="L459" s="190">
        <f t="shared" si="939"/>
        <v>1</v>
      </c>
      <c r="M459" s="190" t="str">
        <f t="shared" si="4"/>
        <v>No Progress</v>
      </c>
      <c r="N459" s="220" t="s">
        <v>931</v>
      </c>
      <c r="O459" s="220" t="s">
        <v>920</v>
      </c>
      <c r="P459" s="190">
        <f t="shared" si="5"/>
        <v>0.5</v>
      </c>
      <c r="Q459" s="210">
        <f t="shared" si="6"/>
        <v>0.5</v>
      </c>
      <c r="R459" s="210">
        <f t="shared" ref="R459:S459" si="940">IF(OR(P459="", P459=0), "",
  IF(P459&lt;=2,   1,
  IF(P459&lt;=4,   2,
  IF(P459&lt;=5.5, 3, 4))))</f>
        <v>1</v>
      </c>
      <c r="S459" s="210">
        <f t="shared" si="940"/>
        <v>1</v>
      </c>
      <c r="T459" s="210" t="str">
        <f t="shared" si="8"/>
        <v>No Progress</v>
      </c>
      <c r="U459" s="210">
        <f t="shared" si="930"/>
        <v>0</v>
      </c>
      <c r="V459" s="210"/>
    </row>
    <row r="460">
      <c r="A460" s="247" t="s">
        <v>363</v>
      </c>
      <c r="B460" s="217" t="s">
        <v>364</v>
      </c>
      <c r="C460" s="218" t="s">
        <v>90</v>
      </c>
      <c r="D460" s="218" t="s">
        <v>883</v>
      </c>
      <c r="E460" s="217" t="s">
        <v>21</v>
      </c>
      <c r="F460" s="242" t="s">
        <v>927</v>
      </c>
      <c r="G460" s="217"/>
      <c r="H460" s="219">
        <f>IFERROR(
  MINIFS(ATTENDANCE_LOG!$F:$F,
         ATTENDANCE_LOG!$A:$A, C460,
         ATTENDANCE_LOG!$B:$B, E460),
"")</f>
        <v>45917.58333</v>
      </c>
      <c r="I460" s="217">
        <f>IFERROR(VLOOKUP(F460, LEVEL_HELPER!$A:$B, 2, 0), "")</f>
        <v>1</v>
      </c>
      <c r="J460" s="217" t="str">
        <f>IFERROR(VLOOKUP(G460, LEVEL_HELPER!$A:$B, 2, 0), "")</f>
        <v/>
      </c>
      <c r="K460" s="217">
        <f t="shared" ref="K460:L460" si="941">IF(OR(I460="", I460=0), "",
  IF(I460&lt;=2,   1,
  IF(I460&lt;=4,   2,
  IF(I460&lt;=5.5, 3, 4))))</f>
        <v>1</v>
      </c>
      <c r="L460" s="190" t="str">
        <f t="shared" si="941"/>
        <v/>
      </c>
      <c r="M460" s="190" t="str">
        <f t="shared" si="4"/>
        <v>No Data</v>
      </c>
      <c r="N460" s="247" t="s">
        <v>931</v>
      </c>
      <c r="O460" s="247" t="s">
        <v>920</v>
      </c>
      <c r="P460" s="217">
        <f t="shared" si="5"/>
        <v>1</v>
      </c>
      <c r="Q460" s="248">
        <f t="shared" si="6"/>
        <v>0</v>
      </c>
      <c r="R460" s="248">
        <f t="shared" ref="R460:S460" si="942">IF(OR(P460="", P460=0), "",
  IF(P460&lt;=2,   1,
  IF(P460&lt;=4,   2,
  IF(P460&lt;=5.5, 3, 4))))</f>
        <v>1</v>
      </c>
      <c r="S460" s="248" t="str">
        <f t="shared" si="942"/>
        <v/>
      </c>
      <c r="T460" s="248" t="str">
        <f t="shared" si="8"/>
        <v>No Data</v>
      </c>
      <c r="U460" s="248">
        <f>IF(COUNTIF($A$2:A462, A460)=1, 1, 0)</f>
        <v>1</v>
      </c>
      <c r="V460" s="248"/>
    </row>
    <row r="461">
      <c r="A461" s="220" t="s">
        <v>251</v>
      </c>
      <c r="B461" s="190" t="s">
        <v>252</v>
      </c>
      <c r="C461" s="223" t="s">
        <v>90</v>
      </c>
      <c r="D461" s="223" t="s">
        <v>883</v>
      </c>
      <c r="E461" s="190" t="s">
        <v>21</v>
      </c>
      <c r="F461" s="13" t="s">
        <v>927</v>
      </c>
      <c r="G461" s="190"/>
      <c r="H461" s="219">
        <f>IFERROR(
  MINIFS(ATTENDANCE_LOG!$F:$F,
         ATTENDANCE_LOG!$A:$A, C461,
         ATTENDANCE_LOG!$B:$B, E461),
"")</f>
        <v>45917.58333</v>
      </c>
      <c r="I461" s="190">
        <f>IFERROR(VLOOKUP(F461, LEVEL_HELPER!$A:$B, 2, 0), "")</f>
        <v>1</v>
      </c>
      <c r="J461" s="190" t="str">
        <f>IFERROR(VLOOKUP(G461, LEVEL_HELPER!$A:$B, 2, 0), "")</f>
        <v/>
      </c>
      <c r="K461" s="190">
        <f t="shared" ref="K461:L461" si="943">IF(OR(I461="", I461=0), "",
  IF(I461&lt;=2,   1,
  IF(I461&lt;=4,   2,
  IF(I461&lt;=5.5, 3, 4))))</f>
        <v>1</v>
      </c>
      <c r="L461" s="190" t="str">
        <f t="shared" si="943"/>
        <v/>
      </c>
      <c r="M461" s="190" t="str">
        <f t="shared" si="4"/>
        <v>No Data</v>
      </c>
      <c r="N461" s="220" t="s">
        <v>931</v>
      </c>
      <c r="O461" s="220" t="s">
        <v>920</v>
      </c>
      <c r="P461" s="190">
        <f t="shared" si="5"/>
        <v>1</v>
      </c>
      <c r="Q461" s="210">
        <f t="shared" si="6"/>
        <v>0</v>
      </c>
      <c r="R461" s="210">
        <f t="shared" ref="R461:S461" si="944">IF(OR(P461="", P461=0), "",
  IF(P461&lt;=2,   1,
  IF(P461&lt;=4,   2,
  IF(P461&lt;=5.5, 3, 4))))</f>
        <v>1</v>
      </c>
      <c r="S461" s="210" t="str">
        <f t="shared" si="944"/>
        <v/>
      </c>
      <c r="T461" s="210" t="str">
        <f t="shared" si="8"/>
        <v>No Data</v>
      </c>
      <c r="U461" s="210">
        <f t="shared" ref="U461:U468" si="947">IF(COUNTIF($A$2:A461, A461)=1, 1, 0)</f>
        <v>1</v>
      </c>
      <c r="V461" s="210"/>
    </row>
    <row r="462">
      <c r="A462" s="220" t="s">
        <v>338</v>
      </c>
      <c r="B462" s="190" t="s">
        <v>339</v>
      </c>
      <c r="C462" s="223" t="s">
        <v>90</v>
      </c>
      <c r="D462" s="223" t="s">
        <v>883</v>
      </c>
      <c r="E462" s="190" t="s">
        <v>21</v>
      </c>
      <c r="F462" s="13" t="s">
        <v>927</v>
      </c>
      <c r="G462" s="190"/>
      <c r="H462" s="219">
        <f>IFERROR(
  MINIFS(ATTENDANCE_LOG!$F:$F,
         ATTENDANCE_LOG!$A:$A, C462,
         ATTENDANCE_LOG!$B:$B, E462),
"")</f>
        <v>45917.58333</v>
      </c>
      <c r="I462" s="190">
        <f>IFERROR(VLOOKUP(F462, LEVEL_HELPER!$A:$B, 2, 0), "")</f>
        <v>1</v>
      </c>
      <c r="J462" s="190" t="str">
        <f>IFERROR(VLOOKUP(G462, LEVEL_HELPER!$A:$B, 2, 0), "")</f>
        <v/>
      </c>
      <c r="K462" s="190">
        <f t="shared" ref="K462:L462" si="945">IF(OR(I462="", I462=0), "",
  IF(I462&lt;=2,   1,
  IF(I462&lt;=4,   2,
  IF(I462&lt;=5.5, 3, 4))))</f>
        <v>1</v>
      </c>
      <c r="L462" s="190" t="str">
        <f t="shared" si="945"/>
        <v/>
      </c>
      <c r="M462" s="190" t="str">
        <f t="shared" si="4"/>
        <v>No Data</v>
      </c>
      <c r="N462" s="220" t="s">
        <v>931</v>
      </c>
      <c r="O462" s="220" t="s">
        <v>926</v>
      </c>
      <c r="P462" s="190">
        <f t="shared" si="5"/>
        <v>1</v>
      </c>
      <c r="Q462" s="210">
        <f t="shared" si="6"/>
        <v>0</v>
      </c>
      <c r="R462" s="210">
        <f t="shared" ref="R462:S462" si="946">IF(OR(P462="", P462=0), "",
  IF(P462&lt;=2,   1,
  IF(P462&lt;=4,   2,
  IF(P462&lt;=5.5, 3, 4))))</f>
        <v>1</v>
      </c>
      <c r="S462" s="210" t="str">
        <f t="shared" si="946"/>
        <v/>
      </c>
      <c r="T462" s="210" t="str">
        <f t="shared" si="8"/>
        <v>No Data</v>
      </c>
      <c r="U462" s="210">
        <f t="shared" si="947"/>
        <v>1</v>
      </c>
      <c r="V462" s="210"/>
    </row>
    <row r="463">
      <c r="A463" s="220" t="s">
        <v>379</v>
      </c>
      <c r="B463" s="190" t="s">
        <v>380</v>
      </c>
      <c r="C463" s="223" t="s">
        <v>90</v>
      </c>
      <c r="D463" s="223" t="s">
        <v>883</v>
      </c>
      <c r="E463" s="190" t="s">
        <v>21</v>
      </c>
      <c r="F463" s="13" t="s">
        <v>927</v>
      </c>
      <c r="G463" s="190"/>
      <c r="H463" s="219">
        <f>IFERROR(
  MINIFS(ATTENDANCE_LOG!$F:$F,
         ATTENDANCE_LOG!$A:$A, C463,
         ATTENDANCE_LOG!$B:$B, E463),
"")</f>
        <v>45917.58333</v>
      </c>
      <c r="I463" s="190">
        <f>IFERROR(VLOOKUP(F463, LEVEL_HELPER!$A:$B, 2, 0), "")</f>
        <v>1</v>
      </c>
      <c r="J463" s="190" t="str">
        <f>IFERROR(VLOOKUP(G463, LEVEL_HELPER!$A:$B, 2, 0), "")</f>
        <v/>
      </c>
      <c r="K463" s="190">
        <f t="shared" ref="K463:L463" si="948">IF(OR(I463="", I463=0), "",
  IF(I463&lt;=2,   1,
  IF(I463&lt;=4,   2,
  IF(I463&lt;=5.5, 3, 4))))</f>
        <v>1</v>
      </c>
      <c r="L463" s="190" t="str">
        <f t="shared" si="948"/>
        <v/>
      </c>
      <c r="M463" s="190" t="str">
        <f t="shared" si="4"/>
        <v>No Data</v>
      </c>
      <c r="N463" s="220" t="s">
        <v>931</v>
      </c>
      <c r="O463" s="220" t="s">
        <v>926</v>
      </c>
      <c r="P463" s="190">
        <f t="shared" si="5"/>
        <v>1</v>
      </c>
      <c r="Q463" s="210">
        <f t="shared" si="6"/>
        <v>0</v>
      </c>
      <c r="R463" s="210">
        <f t="shared" ref="R463:S463" si="949">IF(OR(P463="", P463=0), "",
  IF(P463&lt;=2,   1,
  IF(P463&lt;=4,   2,
  IF(P463&lt;=5.5, 3, 4))))</f>
        <v>1</v>
      </c>
      <c r="S463" s="210" t="str">
        <f t="shared" si="949"/>
        <v/>
      </c>
      <c r="T463" s="210" t="str">
        <f t="shared" si="8"/>
        <v>No Data</v>
      </c>
      <c r="U463" s="210">
        <f t="shared" si="947"/>
        <v>1</v>
      </c>
      <c r="V463" s="210"/>
    </row>
    <row r="464">
      <c r="A464" s="220" t="s">
        <v>449</v>
      </c>
      <c r="B464" s="190" t="s">
        <v>450</v>
      </c>
      <c r="C464" s="223" t="s">
        <v>90</v>
      </c>
      <c r="D464" s="223" t="s">
        <v>883</v>
      </c>
      <c r="E464" s="190" t="s">
        <v>21</v>
      </c>
      <c r="F464" s="13" t="s">
        <v>927</v>
      </c>
      <c r="G464" s="190"/>
      <c r="H464" s="219">
        <f>IFERROR(
  MINIFS(ATTENDANCE_LOG!$F:$F,
         ATTENDANCE_LOG!$A:$A, C464,
         ATTENDANCE_LOG!$B:$B, E464),
"")</f>
        <v>45917.58333</v>
      </c>
      <c r="I464" s="190">
        <f>IFERROR(VLOOKUP(F464, LEVEL_HELPER!$A:$B, 2, 0), "")</f>
        <v>1</v>
      </c>
      <c r="J464" s="190" t="str">
        <f>IFERROR(VLOOKUP(G464, LEVEL_HELPER!$A:$B, 2, 0), "")</f>
        <v/>
      </c>
      <c r="K464" s="190">
        <f t="shared" ref="K464:L464" si="950">IF(OR(I464="", I464=0), "",
  IF(I464&lt;=2,   1,
  IF(I464&lt;=4,   2,
  IF(I464&lt;=5.5, 3, 4))))</f>
        <v>1</v>
      </c>
      <c r="L464" s="190" t="str">
        <f t="shared" si="950"/>
        <v/>
      </c>
      <c r="M464" s="190" t="str">
        <f t="shared" si="4"/>
        <v>No Data</v>
      </c>
      <c r="N464" s="220" t="s">
        <v>931</v>
      </c>
      <c r="O464" s="220" t="s">
        <v>920</v>
      </c>
      <c r="P464" s="190">
        <f t="shared" si="5"/>
        <v>1</v>
      </c>
      <c r="Q464" s="210">
        <f t="shared" si="6"/>
        <v>0</v>
      </c>
      <c r="R464" s="210">
        <f t="shared" ref="R464:S464" si="951">IF(OR(P464="", P464=0), "",
  IF(P464&lt;=2,   1,
  IF(P464&lt;=4,   2,
  IF(P464&lt;=5.5, 3, 4))))</f>
        <v>1</v>
      </c>
      <c r="S464" s="210" t="str">
        <f t="shared" si="951"/>
        <v/>
      </c>
      <c r="T464" s="210" t="str">
        <f t="shared" si="8"/>
        <v>No Data</v>
      </c>
      <c r="U464" s="210">
        <f t="shared" si="947"/>
        <v>1</v>
      </c>
      <c r="V464" s="210"/>
    </row>
    <row r="465">
      <c r="A465" s="220" t="s">
        <v>455</v>
      </c>
      <c r="B465" s="190" t="s">
        <v>456</v>
      </c>
      <c r="C465" s="223" t="s">
        <v>90</v>
      </c>
      <c r="D465" s="223" t="s">
        <v>883</v>
      </c>
      <c r="E465" s="190" t="s">
        <v>21</v>
      </c>
      <c r="F465" s="13" t="s">
        <v>927</v>
      </c>
      <c r="G465" s="190"/>
      <c r="H465" s="219">
        <f>IFERROR(
  MINIFS(ATTENDANCE_LOG!$F:$F,
         ATTENDANCE_LOG!$A:$A, C465,
         ATTENDANCE_LOG!$B:$B, E465),
"")</f>
        <v>45917.58333</v>
      </c>
      <c r="I465" s="190">
        <f>IFERROR(VLOOKUP(F465, LEVEL_HELPER!$A:$B, 2, 0), "")</f>
        <v>1</v>
      </c>
      <c r="J465" s="190" t="str">
        <f>IFERROR(VLOOKUP(G465, LEVEL_HELPER!$A:$B, 2, 0), "")</f>
        <v/>
      </c>
      <c r="K465" s="190">
        <f t="shared" ref="K465:L465" si="952">IF(OR(I465="", I465=0), "",
  IF(I465&lt;=2,   1,
  IF(I465&lt;=4,   2,
  IF(I465&lt;=5.5, 3, 4))))</f>
        <v>1</v>
      </c>
      <c r="L465" s="190" t="str">
        <f t="shared" si="952"/>
        <v/>
      </c>
      <c r="M465" s="190" t="str">
        <f t="shared" si="4"/>
        <v>No Data</v>
      </c>
      <c r="N465" s="220" t="s">
        <v>931</v>
      </c>
      <c r="O465" s="220" t="s">
        <v>920</v>
      </c>
      <c r="P465" s="190">
        <f t="shared" si="5"/>
        <v>1</v>
      </c>
      <c r="Q465" s="210">
        <f t="shared" si="6"/>
        <v>0</v>
      </c>
      <c r="R465" s="210">
        <f t="shared" ref="R465:S465" si="953">IF(OR(P465="", P465=0), "",
  IF(P465&lt;=2,   1,
  IF(P465&lt;=4,   2,
  IF(P465&lt;=5.5, 3, 4))))</f>
        <v>1</v>
      </c>
      <c r="S465" s="210" t="str">
        <f t="shared" si="953"/>
        <v/>
      </c>
      <c r="T465" s="210" t="str">
        <f t="shared" si="8"/>
        <v>No Data</v>
      </c>
      <c r="U465" s="210">
        <f t="shared" si="947"/>
        <v>1</v>
      </c>
      <c r="V465" s="210"/>
    </row>
    <row r="466">
      <c r="A466" s="220" t="s">
        <v>490</v>
      </c>
      <c r="B466" s="190" t="s">
        <v>491</v>
      </c>
      <c r="C466" s="223" t="s">
        <v>90</v>
      </c>
      <c r="D466" s="223" t="s">
        <v>883</v>
      </c>
      <c r="E466" s="190" t="s">
        <v>21</v>
      </c>
      <c r="F466" s="13" t="s">
        <v>927</v>
      </c>
      <c r="G466" s="190"/>
      <c r="H466" s="219">
        <f>IFERROR(
  MINIFS(ATTENDANCE_LOG!$F:$F,
         ATTENDANCE_LOG!$A:$A, C466,
         ATTENDANCE_LOG!$B:$B, E466),
"")</f>
        <v>45917.58333</v>
      </c>
      <c r="I466" s="190">
        <f>IFERROR(VLOOKUP(F466, LEVEL_HELPER!$A:$B, 2, 0), "")</f>
        <v>1</v>
      </c>
      <c r="J466" s="190" t="str">
        <f>IFERROR(VLOOKUP(G466, LEVEL_HELPER!$A:$B, 2, 0), "")</f>
        <v/>
      </c>
      <c r="K466" s="190">
        <f t="shared" ref="K466:L466" si="954">IF(OR(I466="", I466=0), "",
  IF(I466&lt;=2,   1,
  IF(I466&lt;=4,   2,
  IF(I466&lt;=5.5, 3, 4))))</f>
        <v>1</v>
      </c>
      <c r="L466" s="190" t="str">
        <f t="shared" si="954"/>
        <v/>
      </c>
      <c r="M466" s="190" t="str">
        <f t="shared" si="4"/>
        <v>No Data</v>
      </c>
      <c r="N466" s="220" t="s">
        <v>931</v>
      </c>
      <c r="O466" s="220" t="s">
        <v>926</v>
      </c>
      <c r="P466" s="190">
        <f t="shared" si="5"/>
        <v>1</v>
      </c>
      <c r="Q466" s="210">
        <f t="shared" si="6"/>
        <v>0</v>
      </c>
      <c r="R466" s="210">
        <f t="shared" ref="R466:S466" si="955">IF(OR(P466="", P466=0), "",
  IF(P466&lt;=2,   1,
  IF(P466&lt;=4,   2,
  IF(P466&lt;=5.5, 3, 4))))</f>
        <v>1</v>
      </c>
      <c r="S466" s="210" t="str">
        <f t="shared" si="955"/>
        <v/>
      </c>
      <c r="T466" s="210" t="str">
        <f t="shared" si="8"/>
        <v>No Data</v>
      </c>
      <c r="U466" s="210">
        <f t="shared" si="947"/>
        <v>1</v>
      </c>
      <c r="V466" s="210"/>
    </row>
    <row r="467">
      <c r="A467" s="220" t="s">
        <v>500</v>
      </c>
      <c r="B467" s="190" t="s">
        <v>501</v>
      </c>
      <c r="C467" s="223" t="s">
        <v>90</v>
      </c>
      <c r="D467" s="223" t="s">
        <v>883</v>
      </c>
      <c r="E467" s="190" t="s">
        <v>21</v>
      </c>
      <c r="F467" s="13" t="s">
        <v>927</v>
      </c>
      <c r="G467" s="190"/>
      <c r="H467" s="219">
        <f>IFERROR(
  MINIFS(ATTENDANCE_LOG!$F:$F,
         ATTENDANCE_LOG!$A:$A, C467,
         ATTENDANCE_LOG!$B:$B, E467),
"")</f>
        <v>45917.58333</v>
      </c>
      <c r="I467" s="190">
        <f>IFERROR(VLOOKUP(F467, LEVEL_HELPER!$A:$B, 2, 0), "")</f>
        <v>1</v>
      </c>
      <c r="J467" s="190" t="str">
        <f>IFERROR(VLOOKUP(G467, LEVEL_HELPER!$A:$B, 2, 0), "")</f>
        <v/>
      </c>
      <c r="K467" s="190">
        <f t="shared" ref="K467:L467" si="956">IF(OR(I467="", I467=0), "",
  IF(I467&lt;=2,   1,
  IF(I467&lt;=4,   2,
  IF(I467&lt;=5.5, 3, 4))))</f>
        <v>1</v>
      </c>
      <c r="L467" s="190" t="str">
        <f t="shared" si="956"/>
        <v/>
      </c>
      <c r="M467" s="190" t="str">
        <f t="shared" si="4"/>
        <v>No Data</v>
      </c>
      <c r="N467" s="220" t="s">
        <v>947</v>
      </c>
      <c r="O467" s="220" t="s">
        <v>920</v>
      </c>
      <c r="P467" s="190">
        <f t="shared" si="5"/>
        <v>1</v>
      </c>
      <c r="Q467" s="210">
        <f t="shared" si="6"/>
        <v>0</v>
      </c>
      <c r="R467" s="210">
        <f t="shared" ref="R467:S467" si="957">IF(OR(P467="", P467=0), "",
  IF(P467&lt;=2,   1,
  IF(P467&lt;=4,   2,
  IF(P467&lt;=5.5, 3, 4))))</f>
        <v>1</v>
      </c>
      <c r="S467" s="210" t="str">
        <f t="shared" si="957"/>
        <v/>
      </c>
      <c r="T467" s="210" t="str">
        <f t="shared" si="8"/>
        <v>No Data</v>
      </c>
      <c r="U467" s="210">
        <f t="shared" si="947"/>
        <v>1</v>
      </c>
      <c r="V467" s="210"/>
    </row>
    <row r="468">
      <c r="A468" s="220" t="s">
        <v>551</v>
      </c>
      <c r="B468" s="190" t="s">
        <v>552</v>
      </c>
      <c r="C468" s="223" t="s">
        <v>90</v>
      </c>
      <c r="D468" s="223" t="s">
        <v>883</v>
      </c>
      <c r="E468" s="190" t="s">
        <v>21</v>
      </c>
      <c r="F468" s="13" t="s">
        <v>927</v>
      </c>
      <c r="G468" s="190"/>
      <c r="H468" s="219">
        <f>IFERROR(
  MINIFS(ATTENDANCE_LOG!$F:$F,
         ATTENDANCE_LOG!$A:$A, C468,
         ATTENDANCE_LOG!$B:$B, E468),
"")</f>
        <v>45917.58333</v>
      </c>
      <c r="I468" s="190">
        <f>IFERROR(VLOOKUP(F468, LEVEL_HELPER!$A:$B, 2, 0), "")</f>
        <v>1</v>
      </c>
      <c r="J468" s="190" t="str">
        <f>IFERROR(VLOOKUP(G468, LEVEL_HELPER!$A:$B, 2, 0), "")</f>
        <v/>
      </c>
      <c r="K468" s="190">
        <f t="shared" ref="K468:L468" si="958">IF(OR(I468="", I468=0), "",
  IF(I468&lt;=2,   1,
  IF(I468&lt;=4,   2,
  IF(I468&lt;=5.5, 3, 4))))</f>
        <v>1</v>
      </c>
      <c r="L468" s="190" t="str">
        <f t="shared" si="958"/>
        <v/>
      </c>
      <c r="M468" s="190" t="str">
        <f t="shared" si="4"/>
        <v>No Data</v>
      </c>
      <c r="N468" s="220" t="s">
        <v>931</v>
      </c>
      <c r="O468" s="220" t="s">
        <v>926</v>
      </c>
      <c r="P468" s="190">
        <f t="shared" si="5"/>
        <v>1</v>
      </c>
      <c r="Q468" s="210">
        <f t="shared" si="6"/>
        <v>0</v>
      </c>
      <c r="R468" s="210">
        <f t="shared" ref="R468:S468" si="959">IF(OR(P468="", P468=0), "",
  IF(P468&lt;=2,   1,
  IF(P468&lt;=4,   2,
  IF(P468&lt;=5.5, 3, 4))))</f>
        <v>1</v>
      </c>
      <c r="S468" s="210" t="str">
        <f t="shared" si="959"/>
        <v/>
      </c>
      <c r="T468" s="210" t="str">
        <f t="shared" si="8"/>
        <v>No Data</v>
      </c>
      <c r="U468" s="210">
        <f t="shared" si="947"/>
        <v>1</v>
      </c>
      <c r="V468" s="210"/>
    </row>
    <row r="469">
      <c r="A469" s="247" t="s">
        <v>609</v>
      </c>
      <c r="B469" s="217" t="s">
        <v>610</v>
      </c>
      <c r="C469" s="218" t="s">
        <v>91</v>
      </c>
      <c r="D469" s="218" t="s">
        <v>884</v>
      </c>
      <c r="E469" s="217" t="s">
        <v>21</v>
      </c>
      <c r="F469" s="242" t="s">
        <v>927</v>
      </c>
      <c r="G469" s="242" t="s">
        <v>935</v>
      </c>
      <c r="H469" s="219">
        <f>IFERROR(
  MINIFS(ATTENDANCE_LOG!$F:$F,
         ATTENDANCE_LOG!$A:$A, C469,
         ATTENDANCE_LOG!$B:$B, E469),
"")</f>
        <v>45909.54167</v>
      </c>
      <c r="I469" s="217">
        <f>IFERROR(VLOOKUP(F469, LEVEL_HELPER!$A:$B, 2, 0), "")</f>
        <v>1</v>
      </c>
      <c r="J469" s="217">
        <f>IFERROR(VLOOKUP(G469, LEVEL_HELPER!$A:$B, 2, 0), "")</f>
        <v>3.5</v>
      </c>
      <c r="K469" s="217">
        <f t="shared" ref="K469:L469" si="960">IF(OR(I469="", I469=0), "",
  IF(I469&lt;=2,   1,
  IF(I469&lt;=4,   2,
  IF(I469&lt;=5.5, 3, 4))))</f>
        <v>1</v>
      </c>
      <c r="L469" s="190">
        <f t="shared" si="960"/>
        <v>2</v>
      </c>
      <c r="M469" s="190" t="str">
        <f t="shared" si="4"/>
        <v>Lv1 → Lv2</v>
      </c>
      <c r="N469" s="247" t="s">
        <v>931</v>
      </c>
      <c r="O469" s="247" t="s">
        <v>920</v>
      </c>
      <c r="P469" s="217">
        <f t="shared" si="5"/>
        <v>1</v>
      </c>
      <c r="Q469" s="248">
        <f t="shared" si="6"/>
        <v>3.5</v>
      </c>
      <c r="R469" s="248">
        <f t="shared" ref="R469:S469" si="961">IF(OR(P469="", P469=0), "",
  IF(P469&lt;=2,   1,
  IF(P469&lt;=4,   2,
  IF(P469&lt;=5.5, 3, 4))))</f>
        <v>1</v>
      </c>
      <c r="S469" s="248">
        <f t="shared" si="961"/>
        <v>2</v>
      </c>
      <c r="T469" s="248" t="str">
        <f t="shared" si="8"/>
        <v>Lv1 → Lv2</v>
      </c>
      <c r="U469" s="248">
        <f>IF(COUNTIF($A$2:A474, A469)=1, 1, 0)</f>
        <v>1</v>
      </c>
      <c r="V469" s="248"/>
    </row>
    <row r="470">
      <c r="A470" s="220" t="s">
        <v>206</v>
      </c>
      <c r="B470" s="190" t="s">
        <v>207</v>
      </c>
      <c r="C470" s="223" t="s">
        <v>91</v>
      </c>
      <c r="D470" s="223" t="s">
        <v>884</v>
      </c>
      <c r="E470" s="190" t="s">
        <v>21</v>
      </c>
      <c r="F470" s="13" t="s">
        <v>927</v>
      </c>
      <c r="G470" s="13" t="s">
        <v>918</v>
      </c>
      <c r="H470" s="219">
        <f>IFERROR(
  MINIFS(ATTENDANCE_LOG!$F:$F,
         ATTENDANCE_LOG!$A:$A, C470,
         ATTENDANCE_LOG!$B:$B, E470),
"")</f>
        <v>45909.54167</v>
      </c>
      <c r="I470" s="190">
        <f>IFERROR(VLOOKUP(F470, LEVEL_HELPER!$A:$B, 2, 0), "")</f>
        <v>1</v>
      </c>
      <c r="J470" s="190">
        <f>IFERROR(VLOOKUP(G470, LEVEL_HELPER!$A:$B, 2, 0), "")</f>
        <v>3</v>
      </c>
      <c r="K470" s="190">
        <f t="shared" ref="K470:L470" si="962">IF(OR(I470="", I470=0), "",
  IF(I470&lt;=2,   1,
  IF(I470&lt;=4,   2,
  IF(I470&lt;=5.5, 3, 4))))</f>
        <v>1</v>
      </c>
      <c r="L470" s="190">
        <f t="shared" si="962"/>
        <v>2</v>
      </c>
      <c r="M470" s="190" t="str">
        <f t="shared" si="4"/>
        <v>Lv1 → Lv2</v>
      </c>
      <c r="N470" s="220" t="s">
        <v>931</v>
      </c>
      <c r="O470" s="220" t="s">
        <v>920</v>
      </c>
      <c r="P470" s="190">
        <f t="shared" si="5"/>
        <v>1</v>
      </c>
      <c r="Q470" s="210">
        <f t="shared" si="6"/>
        <v>3</v>
      </c>
      <c r="R470" s="210">
        <f t="shared" ref="R470:S470" si="963">IF(OR(P470="", P470=0), "",
  IF(P470&lt;=2,   1,
  IF(P470&lt;=4,   2,
  IF(P470&lt;=5.5, 3, 4))))</f>
        <v>1</v>
      </c>
      <c r="S470" s="210">
        <f t="shared" si="963"/>
        <v>2</v>
      </c>
      <c r="T470" s="210" t="str">
        <f t="shared" si="8"/>
        <v>Lv1 → Lv2</v>
      </c>
      <c r="U470" s="210">
        <f t="shared" ref="U470:U474" si="966">IF(COUNTIF($A$2:A470, A470)=1, 1, 0)</f>
        <v>1</v>
      </c>
      <c r="V470" s="210"/>
    </row>
    <row r="471">
      <c r="A471" s="220" t="s">
        <v>372</v>
      </c>
      <c r="B471" s="190" t="s">
        <v>373</v>
      </c>
      <c r="C471" s="223" t="s">
        <v>91</v>
      </c>
      <c r="D471" s="223" t="s">
        <v>884</v>
      </c>
      <c r="E471" s="190" t="s">
        <v>21</v>
      </c>
      <c r="F471" s="13" t="s">
        <v>927</v>
      </c>
      <c r="G471" s="13" t="s">
        <v>918</v>
      </c>
      <c r="H471" s="219">
        <f>IFERROR(
  MINIFS(ATTENDANCE_LOG!$F:$F,
         ATTENDANCE_LOG!$A:$A, C471,
         ATTENDANCE_LOG!$B:$B, E471),
"")</f>
        <v>45909.54167</v>
      </c>
      <c r="I471" s="190">
        <f>IFERROR(VLOOKUP(F471, LEVEL_HELPER!$A:$B, 2, 0), "")</f>
        <v>1</v>
      </c>
      <c r="J471" s="190">
        <f>IFERROR(VLOOKUP(G471, LEVEL_HELPER!$A:$B, 2, 0), "")</f>
        <v>3</v>
      </c>
      <c r="K471" s="190">
        <f t="shared" ref="K471:L471" si="964">IF(OR(I471="", I471=0), "",
  IF(I471&lt;=2,   1,
  IF(I471&lt;=4,   2,
  IF(I471&lt;=5.5, 3, 4))))</f>
        <v>1</v>
      </c>
      <c r="L471" s="190">
        <f t="shared" si="964"/>
        <v>2</v>
      </c>
      <c r="M471" s="190" t="str">
        <f t="shared" si="4"/>
        <v>Lv1 → Lv2</v>
      </c>
      <c r="N471" s="220" t="s">
        <v>931</v>
      </c>
      <c r="O471" s="220" t="s">
        <v>920</v>
      </c>
      <c r="P471" s="190">
        <f t="shared" si="5"/>
        <v>1</v>
      </c>
      <c r="Q471" s="210">
        <f t="shared" si="6"/>
        <v>3</v>
      </c>
      <c r="R471" s="210">
        <f t="shared" ref="R471:S471" si="965">IF(OR(P471="", P471=0), "",
  IF(P471&lt;=2,   1,
  IF(P471&lt;=4,   2,
  IF(P471&lt;=5.5, 3, 4))))</f>
        <v>1</v>
      </c>
      <c r="S471" s="210">
        <f t="shared" si="965"/>
        <v>2</v>
      </c>
      <c r="T471" s="210" t="str">
        <f t="shared" si="8"/>
        <v>Lv1 → Lv2</v>
      </c>
      <c r="U471" s="210">
        <f t="shared" si="966"/>
        <v>1</v>
      </c>
      <c r="V471" s="210"/>
    </row>
    <row r="472">
      <c r="A472" s="220" t="s">
        <v>419</v>
      </c>
      <c r="B472" s="190" t="s">
        <v>420</v>
      </c>
      <c r="C472" s="223" t="s">
        <v>91</v>
      </c>
      <c r="D472" s="223" t="s">
        <v>884</v>
      </c>
      <c r="E472" s="190" t="s">
        <v>21</v>
      </c>
      <c r="F472" s="13" t="s">
        <v>927</v>
      </c>
      <c r="G472" s="13" t="s">
        <v>918</v>
      </c>
      <c r="H472" s="219">
        <f>IFERROR(
  MINIFS(ATTENDANCE_LOG!$F:$F,
         ATTENDANCE_LOG!$A:$A, C472,
         ATTENDANCE_LOG!$B:$B, E472),
"")</f>
        <v>45909.54167</v>
      </c>
      <c r="I472" s="190">
        <f>IFERROR(VLOOKUP(F472, LEVEL_HELPER!$A:$B, 2, 0), "")</f>
        <v>1</v>
      </c>
      <c r="J472" s="190">
        <f>IFERROR(VLOOKUP(G472, LEVEL_HELPER!$A:$B, 2, 0), "")</f>
        <v>3</v>
      </c>
      <c r="K472" s="190">
        <f t="shared" ref="K472:L472" si="967">IF(OR(I472="", I472=0), "",
  IF(I472&lt;=2,   1,
  IF(I472&lt;=4,   2,
  IF(I472&lt;=5.5, 3, 4))))</f>
        <v>1</v>
      </c>
      <c r="L472" s="190">
        <f t="shared" si="967"/>
        <v>2</v>
      </c>
      <c r="M472" s="190" t="str">
        <f t="shared" si="4"/>
        <v>Lv1 → Lv2</v>
      </c>
      <c r="N472" s="220" t="s">
        <v>943</v>
      </c>
      <c r="O472" s="220" t="s">
        <v>923</v>
      </c>
      <c r="P472" s="190">
        <f t="shared" si="5"/>
        <v>1</v>
      </c>
      <c r="Q472" s="210">
        <f t="shared" si="6"/>
        <v>3</v>
      </c>
      <c r="R472" s="210">
        <f t="shared" ref="R472:S472" si="968">IF(OR(P472="", P472=0), "",
  IF(P472&lt;=2,   1,
  IF(P472&lt;=4,   2,
  IF(P472&lt;=5.5, 3, 4))))</f>
        <v>1</v>
      </c>
      <c r="S472" s="210">
        <f t="shared" si="968"/>
        <v>2</v>
      </c>
      <c r="T472" s="210" t="str">
        <f t="shared" si="8"/>
        <v>Lv1 → Lv2</v>
      </c>
      <c r="U472" s="210">
        <f t="shared" si="966"/>
        <v>0</v>
      </c>
      <c r="V472" s="210"/>
    </row>
    <row r="473">
      <c r="A473" s="220" t="s">
        <v>459</v>
      </c>
      <c r="B473" s="190" t="s">
        <v>460</v>
      </c>
      <c r="C473" s="223" t="s">
        <v>91</v>
      </c>
      <c r="D473" s="223" t="s">
        <v>884</v>
      </c>
      <c r="E473" s="190" t="s">
        <v>21</v>
      </c>
      <c r="F473" s="13" t="s">
        <v>927</v>
      </c>
      <c r="G473" s="13" t="s">
        <v>935</v>
      </c>
      <c r="H473" s="219">
        <f>IFERROR(
  MINIFS(ATTENDANCE_LOG!$F:$F,
         ATTENDANCE_LOG!$A:$A, C473,
         ATTENDANCE_LOG!$B:$B, E473),
"")</f>
        <v>45909.54167</v>
      </c>
      <c r="I473" s="190">
        <f>IFERROR(VLOOKUP(F473, LEVEL_HELPER!$A:$B, 2, 0), "")</f>
        <v>1</v>
      </c>
      <c r="J473" s="190">
        <f>IFERROR(VLOOKUP(G473, LEVEL_HELPER!$A:$B, 2, 0), "")</f>
        <v>3.5</v>
      </c>
      <c r="K473" s="190">
        <f t="shared" ref="K473:L473" si="969">IF(OR(I473="", I473=0), "",
  IF(I473&lt;=2,   1,
  IF(I473&lt;=4,   2,
  IF(I473&lt;=5.5, 3, 4))))</f>
        <v>1</v>
      </c>
      <c r="L473" s="190">
        <f t="shared" si="969"/>
        <v>2</v>
      </c>
      <c r="M473" s="190" t="str">
        <f t="shared" si="4"/>
        <v>Lv1 → Lv2</v>
      </c>
      <c r="N473" s="220" t="s">
        <v>931</v>
      </c>
      <c r="O473" s="220" t="s">
        <v>920</v>
      </c>
      <c r="P473" s="190">
        <f t="shared" si="5"/>
        <v>1</v>
      </c>
      <c r="Q473" s="210">
        <f t="shared" si="6"/>
        <v>3.5</v>
      </c>
      <c r="R473" s="210">
        <f t="shared" ref="R473:S473" si="970">IF(OR(P473="", P473=0), "",
  IF(P473&lt;=2,   1,
  IF(P473&lt;=4,   2,
  IF(P473&lt;=5.5, 3, 4))))</f>
        <v>1</v>
      </c>
      <c r="S473" s="210">
        <f t="shared" si="970"/>
        <v>2</v>
      </c>
      <c r="T473" s="210" t="str">
        <f t="shared" si="8"/>
        <v>Lv1 → Lv2</v>
      </c>
      <c r="U473" s="210">
        <f t="shared" si="966"/>
        <v>1</v>
      </c>
      <c r="V473" s="210"/>
    </row>
    <row r="474">
      <c r="A474" s="220" t="s">
        <v>536</v>
      </c>
      <c r="B474" s="190" t="s">
        <v>537</v>
      </c>
      <c r="C474" s="223" t="s">
        <v>91</v>
      </c>
      <c r="D474" s="223" t="s">
        <v>884</v>
      </c>
      <c r="E474" s="190" t="s">
        <v>21</v>
      </c>
      <c r="F474" s="13" t="s">
        <v>927</v>
      </c>
      <c r="G474" s="13" t="s">
        <v>935</v>
      </c>
      <c r="H474" s="219">
        <f>IFERROR(
  MINIFS(ATTENDANCE_LOG!$F:$F,
         ATTENDANCE_LOG!$A:$A, C474,
         ATTENDANCE_LOG!$B:$B, E474),
"")</f>
        <v>45909.54167</v>
      </c>
      <c r="I474" s="190">
        <f>IFERROR(VLOOKUP(F474, LEVEL_HELPER!$A:$B, 2, 0), "")</f>
        <v>1</v>
      </c>
      <c r="J474" s="190">
        <f>IFERROR(VLOOKUP(G474, LEVEL_HELPER!$A:$B, 2, 0), "")</f>
        <v>3.5</v>
      </c>
      <c r="K474" s="190">
        <f t="shared" ref="K474:L474" si="971">IF(OR(I474="", I474=0), "",
  IF(I474&lt;=2,   1,
  IF(I474&lt;=4,   2,
  IF(I474&lt;=5.5, 3, 4))))</f>
        <v>1</v>
      </c>
      <c r="L474" s="190">
        <f t="shared" si="971"/>
        <v>2</v>
      </c>
      <c r="M474" s="190" t="str">
        <f t="shared" si="4"/>
        <v>Lv1 → Lv2</v>
      </c>
      <c r="N474" s="220" t="s">
        <v>931</v>
      </c>
      <c r="O474" s="220" t="s">
        <v>920</v>
      </c>
      <c r="P474" s="190">
        <f t="shared" si="5"/>
        <v>1</v>
      </c>
      <c r="Q474" s="210">
        <f t="shared" si="6"/>
        <v>3.5</v>
      </c>
      <c r="R474" s="210">
        <f t="shared" ref="R474:S474" si="972">IF(OR(P474="", P474=0), "",
  IF(P474&lt;=2,   1,
  IF(P474&lt;=4,   2,
  IF(P474&lt;=5.5, 3, 4))))</f>
        <v>1</v>
      </c>
      <c r="S474" s="210">
        <f t="shared" si="972"/>
        <v>2</v>
      </c>
      <c r="T474" s="210" t="str">
        <f t="shared" si="8"/>
        <v>Lv1 → Lv2</v>
      </c>
      <c r="U474" s="210">
        <f t="shared" si="966"/>
        <v>1</v>
      </c>
      <c r="V474" s="210"/>
    </row>
    <row r="475">
      <c r="A475" s="247" t="s">
        <v>609</v>
      </c>
      <c r="B475" s="217" t="s">
        <v>610</v>
      </c>
      <c r="C475" s="218" t="s">
        <v>91</v>
      </c>
      <c r="D475" s="218" t="s">
        <v>884</v>
      </c>
      <c r="E475" s="217" t="s">
        <v>22</v>
      </c>
      <c r="F475" s="242" t="s">
        <v>935</v>
      </c>
      <c r="G475" s="217"/>
      <c r="H475" s="219">
        <f>IFERROR(
  MINIFS(ATTENDANCE_LOG!$F:$F,
         ATTENDANCE_LOG!$A:$A, C475,
         ATTENDANCE_LOG!$B:$B, E475),
"")</f>
        <v>46093.54167</v>
      </c>
      <c r="I475" s="217">
        <f>IFERROR(VLOOKUP(F475, LEVEL_HELPER!$A:$B, 2, 0), "")</f>
        <v>3.5</v>
      </c>
      <c r="J475" s="217" t="str">
        <f>IFERROR(VLOOKUP(G475, LEVEL_HELPER!$A:$B, 2, 0), "")</f>
        <v/>
      </c>
      <c r="K475" s="217">
        <f t="shared" ref="K475:L475" si="973">IF(OR(I475="", I475=0), "",
  IF(I475&lt;=2,   1,
  IF(I475&lt;=4,   2,
  IF(I475&lt;=5.5, 3, 4))))</f>
        <v>2</v>
      </c>
      <c r="L475" s="190" t="str">
        <f t="shared" si="973"/>
        <v/>
      </c>
      <c r="M475" s="190" t="str">
        <f t="shared" si="4"/>
        <v>No Data</v>
      </c>
      <c r="N475" s="247" t="s">
        <v>931</v>
      </c>
      <c r="O475" s="247" t="s">
        <v>920</v>
      </c>
      <c r="P475" s="217">
        <f t="shared" si="5"/>
        <v>1</v>
      </c>
      <c r="Q475" s="248">
        <f t="shared" si="6"/>
        <v>3.5</v>
      </c>
      <c r="R475" s="248">
        <f t="shared" ref="R475:S475" si="974">IF(OR(P475="", P475=0), "",
  IF(P475&lt;=2,   1,
  IF(P475&lt;=4,   2,
  IF(P475&lt;=5.5, 3, 4))))</f>
        <v>1</v>
      </c>
      <c r="S475" s="248">
        <f t="shared" si="974"/>
        <v>2</v>
      </c>
      <c r="T475" s="248" t="str">
        <f t="shared" si="8"/>
        <v>Lv1 → Lv2</v>
      </c>
      <c r="U475" s="248">
        <f>IF(COUNTIF($A$2:A480, A475)=1, 1, 0)</f>
        <v>0</v>
      </c>
      <c r="V475" s="248"/>
    </row>
    <row r="476">
      <c r="A476" s="220" t="s">
        <v>206</v>
      </c>
      <c r="B476" s="190" t="s">
        <v>207</v>
      </c>
      <c r="C476" s="223" t="s">
        <v>91</v>
      </c>
      <c r="D476" s="223" t="s">
        <v>884</v>
      </c>
      <c r="E476" s="190" t="s">
        <v>22</v>
      </c>
      <c r="F476" s="13" t="s">
        <v>918</v>
      </c>
      <c r="G476" s="190"/>
      <c r="H476" s="219">
        <f>IFERROR(
  MINIFS(ATTENDANCE_LOG!$F:$F,
         ATTENDANCE_LOG!$A:$A, C476,
         ATTENDANCE_LOG!$B:$B, E476),
"")</f>
        <v>46093.54167</v>
      </c>
      <c r="I476" s="190">
        <f>IFERROR(VLOOKUP(F476, LEVEL_HELPER!$A:$B, 2, 0), "")</f>
        <v>3</v>
      </c>
      <c r="J476" s="190" t="str">
        <f>IFERROR(VLOOKUP(G476, LEVEL_HELPER!$A:$B, 2, 0), "")</f>
        <v/>
      </c>
      <c r="K476" s="190">
        <f t="shared" ref="K476:L476" si="975">IF(OR(I476="", I476=0), "",
  IF(I476&lt;=2,   1,
  IF(I476&lt;=4,   2,
  IF(I476&lt;=5.5, 3, 4))))</f>
        <v>2</v>
      </c>
      <c r="L476" s="190" t="str">
        <f t="shared" si="975"/>
        <v/>
      </c>
      <c r="M476" s="190" t="str">
        <f t="shared" si="4"/>
        <v>No Data</v>
      </c>
      <c r="N476" s="220" t="s">
        <v>931</v>
      </c>
      <c r="O476" s="220" t="s">
        <v>920</v>
      </c>
      <c r="P476" s="190">
        <f t="shared" si="5"/>
        <v>1</v>
      </c>
      <c r="Q476" s="210">
        <f t="shared" si="6"/>
        <v>3</v>
      </c>
      <c r="R476" s="210">
        <f t="shared" ref="R476:S476" si="976">IF(OR(P476="", P476=0), "",
  IF(P476&lt;=2,   1,
  IF(P476&lt;=4,   2,
  IF(P476&lt;=5.5, 3, 4))))</f>
        <v>1</v>
      </c>
      <c r="S476" s="210">
        <f t="shared" si="976"/>
        <v>2</v>
      </c>
      <c r="T476" s="210" t="str">
        <f t="shared" si="8"/>
        <v>Lv1 → Lv2</v>
      </c>
      <c r="U476" s="210">
        <f t="shared" ref="U476:U480" si="979">IF(COUNTIF($A$2:A476, A476)=1, 1, 0)</f>
        <v>0</v>
      </c>
      <c r="V476" s="210"/>
    </row>
    <row r="477">
      <c r="A477" s="220" t="s">
        <v>372</v>
      </c>
      <c r="B477" s="190" t="s">
        <v>373</v>
      </c>
      <c r="C477" s="223" t="s">
        <v>91</v>
      </c>
      <c r="D477" s="223" t="s">
        <v>884</v>
      </c>
      <c r="E477" s="190" t="s">
        <v>22</v>
      </c>
      <c r="F477" s="13" t="s">
        <v>918</v>
      </c>
      <c r="G477" s="190"/>
      <c r="H477" s="219">
        <f>IFERROR(
  MINIFS(ATTENDANCE_LOG!$F:$F,
         ATTENDANCE_LOG!$A:$A, C477,
         ATTENDANCE_LOG!$B:$B, E477),
"")</f>
        <v>46093.54167</v>
      </c>
      <c r="I477" s="190">
        <f>IFERROR(VLOOKUP(F477, LEVEL_HELPER!$A:$B, 2, 0), "")</f>
        <v>3</v>
      </c>
      <c r="J477" s="190" t="str">
        <f>IFERROR(VLOOKUP(G477, LEVEL_HELPER!$A:$B, 2, 0), "")</f>
        <v/>
      </c>
      <c r="K477" s="190">
        <f t="shared" ref="K477:L477" si="977">IF(OR(I477="", I477=0), "",
  IF(I477&lt;=2,   1,
  IF(I477&lt;=4,   2,
  IF(I477&lt;=5.5, 3, 4))))</f>
        <v>2</v>
      </c>
      <c r="L477" s="190" t="str">
        <f t="shared" si="977"/>
        <v/>
      </c>
      <c r="M477" s="190" t="str">
        <f t="shared" si="4"/>
        <v>No Data</v>
      </c>
      <c r="N477" s="220" t="s">
        <v>931</v>
      </c>
      <c r="O477" s="220" t="s">
        <v>920</v>
      </c>
      <c r="P477" s="190">
        <f t="shared" si="5"/>
        <v>1</v>
      </c>
      <c r="Q477" s="210">
        <f t="shared" si="6"/>
        <v>3</v>
      </c>
      <c r="R477" s="210">
        <f t="shared" ref="R477:S477" si="978">IF(OR(P477="", P477=0), "",
  IF(P477&lt;=2,   1,
  IF(P477&lt;=4,   2,
  IF(P477&lt;=5.5, 3, 4))))</f>
        <v>1</v>
      </c>
      <c r="S477" s="210">
        <f t="shared" si="978"/>
        <v>2</v>
      </c>
      <c r="T477" s="210" t="str">
        <f t="shared" si="8"/>
        <v>Lv1 → Lv2</v>
      </c>
      <c r="U477" s="210">
        <f t="shared" si="979"/>
        <v>0</v>
      </c>
      <c r="V477" s="210"/>
    </row>
    <row r="478">
      <c r="A478" s="220" t="s">
        <v>419</v>
      </c>
      <c r="B478" s="190" t="s">
        <v>420</v>
      </c>
      <c r="C478" s="223" t="s">
        <v>91</v>
      </c>
      <c r="D478" s="223" t="s">
        <v>884</v>
      </c>
      <c r="E478" s="190" t="s">
        <v>22</v>
      </c>
      <c r="F478" s="13" t="s">
        <v>918</v>
      </c>
      <c r="G478" s="190"/>
      <c r="H478" s="219">
        <f>IFERROR(
  MINIFS(ATTENDANCE_LOG!$F:$F,
         ATTENDANCE_LOG!$A:$A, C478,
         ATTENDANCE_LOG!$B:$B, E478),
"")</f>
        <v>46093.54167</v>
      </c>
      <c r="I478" s="190">
        <f>IFERROR(VLOOKUP(F478, LEVEL_HELPER!$A:$B, 2, 0), "")</f>
        <v>3</v>
      </c>
      <c r="J478" s="190" t="str">
        <f>IFERROR(VLOOKUP(G478, LEVEL_HELPER!$A:$B, 2, 0), "")</f>
        <v/>
      </c>
      <c r="K478" s="190">
        <f t="shared" ref="K478:L478" si="980">IF(OR(I478="", I478=0), "",
  IF(I478&lt;=2,   1,
  IF(I478&lt;=4,   2,
  IF(I478&lt;=5.5, 3, 4))))</f>
        <v>2</v>
      </c>
      <c r="L478" s="190" t="str">
        <f t="shared" si="980"/>
        <v/>
      </c>
      <c r="M478" s="190" t="str">
        <f t="shared" si="4"/>
        <v>No Data</v>
      </c>
      <c r="N478" s="220" t="s">
        <v>943</v>
      </c>
      <c r="O478" s="220" t="s">
        <v>923</v>
      </c>
      <c r="P478" s="190">
        <f t="shared" si="5"/>
        <v>1</v>
      </c>
      <c r="Q478" s="210">
        <f t="shared" si="6"/>
        <v>3</v>
      </c>
      <c r="R478" s="210">
        <f t="shared" ref="R478:S478" si="981">IF(OR(P478="", P478=0), "",
  IF(P478&lt;=2,   1,
  IF(P478&lt;=4,   2,
  IF(P478&lt;=5.5, 3, 4))))</f>
        <v>1</v>
      </c>
      <c r="S478" s="210">
        <f t="shared" si="981"/>
        <v>2</v>
      </c>
      <c r="T478" s="210" t="str">
        <f t="shared" si="8"/>
        <v>Lv1 → Lv2</v>
      </c>
      <c r="U478" s="210">
        <f t="shared" si="979"/>
        <v>0</v>
      </c>
      <c r="V478" s="210"/>
    </row>
    <row r="479">
      <c r="A479" s="220" t="s">
        <v>459</v>
      </c>
      <c r="B479" s="190" t="s">
        <v>460</v>
      </c>
      <c r="C479" s="223" t="s">
        <v>91</v>
      </c>
      <c r="D479" s="223" t="s">
        <v>884</v>
      </c>
      <c r="E479" s="190" t="s">
        <v>22</v>
      </c>
      <c r="F479" s="13" t="s">
        <v>935</v>
      </c>
      <c r="G479" s="190"/>
      <c r="H479" s="219">
        <f>IFERROR(
  MINIFS(ATTENDANCE_LOG!$F:$F,
         ATTENDANCE_LOG!$A:$A, C479,
         ATTENDANCE_LOG!$B:$B, E479),
"")</f>
        <v>46093.54167</v>
      </c>
      <c r="I479" s="190">
        <f>IFERROR(VLOOKUP(F479, LEVEL_HELPER!$A:$B, 2, 0), "")</f>
        <v>3.5</v>
      </c>
      <c r="J479" s="190" t="str">
        <f>IFERROR(VLOOKUP(G479, LEVEL_HELPER!$A:$B, 2, 0), "")</f>
        <v/>
      </c>
      <c r="K479" s="190">
        <f t="shared" ref="K479:L479" si="982">IF(OR(I479="", I479=0), "",
  IF(I479&lt;=2,   1,
  IF(I479&lt;=4,   2,
  IF(I479&lt;=5.5, 3, 4))))</f>
        <v>2</v>
      </c>
      <c r="L479" s="190" t="str">
        <f t="shared" si="982"/>
        <v/>
      </c>
      <c r="M479" s="190" t="str">
        <f t="shared" si="4"/>
        <v>No Data</v>
      </c>
      <c r="N479" s="220" t="s">
        <v>931</v>
      </c>
      <c r="O479" s="220" t="s">
        <v>920</v>
      </c>
      <c r="P479" s="190">
        <f t="shared" si="5"/>
        <v>1</v>
      </c>
      <c r="Q479" s="210">
        <f t="shared" si="6"/>
        <v>3.5</v>
      </c>
      <c r="R479" s="210">
        <f t="shared" ref="R479:S479" si="983">IF(OR(P479="", P479=0), "",
  IF(P479&lt;=2,   1,
  IF(P479&lt;=4,   2,
  IF(P479&lt;=5.5, 3, 4))))</f>
        <v>1</v>
      </c>
      <c r="S479" s="210">
        <f t="shared" si="983"/>
        <v>2</v>
      </c>
      <c r="T479" s="210" t="str">
        <f t="shared" si="8"/>
        <v>Lv1 → Lv2</v>
      </c>
      <c r="U479" s="210">
        <f t="shared" si="979"/>
        <v>0</v>
      </c>
      <c r="V479" s="210"/>
    </row>
    <row r="480">
      <c r="A480" s="220" t="s">
        <v>536</v>
      </c>
      <c r="B480" s="190" t="s">
        <v>537</v>
      </c>
      <c r="C480" s="223" t="s">
        <v>91</v>
      </c>
      <c r="D480" s="223" t="s">
        <v>884</v>
      </c>
      <c r="E480" s="190" t="s">
        <v>22</v>
      </c>
      <c r="F480" s="13" t="s">
        <v>935</v>
      </c>
      <c r="G480" s="190"/>
      <c r="H480" s="219">
        <f>IFERROR(
  MINIFS(ATTENDANCE_LOG!$F:$F,
         ATTENDANCE_LOG!$A:$A, C480,
         ATTENDANCE_LOG!$B:$B, E480),
"")</f>
        <v>46093.54167</v>
      </c>
      <c r="I480" s="190">
        <f>IFERROR(VLOOKUP(F480, LEVEL_HELPER!$A:$B, 2, 0), "")</f>
        <v>3.5</v>
      </c>
      <c r="J480" s="190" t="str">
        <f>IFERROR(VLOOKUP(G480, LEVEL_HELPER!$A:$B, 2, 0), "")</f>
        <v/>
      </c>
      <c r="K480" s="190">
        <f t="shared" ref="K480:L480" si="984">IF(OR(I480="", I480=0), "",
  IF(I480&lt;=2,   1,
  IF(I480&lt;=4,   2,
  IF(I480&lt;=5.5, 3, 4))))</f>
        <v>2</v>
      </c>
      <c r="L480" s="190" t="str">
        <f t="shared" si="984"/>
        <v/>
      </c>
      <c r="M480" s="190" t="str">
        <f t="shared" si="4"/>
        <v>No Data</v>
      </c>
      <c r="N480" s="220" t="s">
        <v>931</v>
      </c>
      <c r="O480" s="220" t="s">
        <v>920</v>
      </c>
      <c r="P480" s="190">
        <f t="shared" si="5"/>
        <v>1</v>
      </c>
      <c r="Q480" s="210">
        <f t="shared" si="6"/>
        <v>3.5</v>
      </c>
      <c r="R480" s="210">
        <f t="shared" ref="R480:S480" si="985">IF(OR(P480="", P480=0), "",
  IF(P480&lt;=2,   1,
  IF(P480&lt;=4,   2,
  IF(P480&lt;=5.5, 3, 4))))</f>
        <v>1</v>
      </c>
      <c r="S480" s="210">
        <f t="shared" si="985"/>
        <v>2</v>
      </c>
      <c r="T480" s="210" t="str">
        <f t="shared" si="8"/>
        <v>Lv1 → Lv2</v>
      </c>
      <c r="U480" s="210">
        <f t="shared" si="979"/>
        <v>0</v>
      </c>
      <c r="V480" s="210"/>
    </row>
    <row r="481">
      <c r="A481" s="247" t="s">
        <v>405</v>
      </c>
      <c r="B481" s="217" t="s">
        <v>406</v>
      </c>
      <c r="C481" s="218" t="s">
        <v>92</v>
      </c>
      <c r="D481" s="218" t="s">
        <v>885</v>
      </c>
      <c r="E481" s="217" t="s">
        <v>25</v>
      </c>
      <c r="F481" s="242" t="s">
        <v>25</v>
      </c>
      <c r="G481" s="242" t="s">
        <v>25</v>
      </c>
      <c r="H481" s="219">
        <f>IFERROR(
  MINIFS(ATTENDANCE_LOG!$F:$F,
         ATTENDANCE_LOG!$A:$A, C481,
         ATTENDANCE_LOG!$B:$B, E481),
"")</f>
        <v>45917.58333</v>
      </c>
      <c r="I481" s="217">
        <f>IFERROR(VLOOKUP(F481, LEVEL_HELPER!$A:$B, 2, 0), "")</f>
        <v>0.5</v>
      </c>
      <c r="J481" s="217">
        <f>IFERROR(VLOOKUP(G481, LEVEL_HELPER!$A:$B, 2, 0), "")</f>
        <v>0.5</v>
      </c>
      <c r="K481" s="217">
        <f t="shared" ref="K481:L481" si="986">IF(OR(I481="", I481=0), "",
  IF(I481&lt;=2,   1,
  IF(I481&lt;=4,   2,
  IF(I481&lt;=5.5, 3, 4))))</f>
        <v>1</v>
      </c>
      <c r="L481" s="190">
        <f t="shared" si="986"/>
        <v>1</v>
      </c>
      <c r="M481" s="190" t="str">
        <f t="shared" si="4"/>
        <v>No Progress</v>
      </c>
      <c r="N481" s="247" t="s">
        <v>931</v>
      </c>
      <c r="O481" s="247" t="s">
        <v>926</v>
      </c>
      <c r="P481" s="217">
        <f t="shared" si="5"/>
        <v>0.5</v>
      </c>
      <c r="Q481" s="248">
        <f t="shared" si="6"/>
        <v>0.5</v>
      </c>
      <c r="R481" s="248">
        <f t="shared" ref="R481:S481" si="987">IF(OR(P481="", P481=0), "",
  IF(P481&lt;=2,   1,
  IF(P481&lt;=4,   2,
  IF(P481&lt;=5.5, 3, 4))))</f>
        <v>1</v>
      </c>
      <c r="S481" s="248">
        <f t="shared" si="987"/>
        <v>1</v>
      </c>
      <c r="T481" s="248" t="str">
        <f t="shared" si="8"/>
        <v>No Progress</v>
      </c>
      <c r="U481" s="248">
        <f>IF(COUNTIF($A$2:A487, A481)=1, 1, 0)</f>
        <v>1</v>
      </c>
      <c r="V481" s="248"/>
    </row>
    <row r="482">
      <c r="A482" s="220" t="s">
        <v>153</v>
      </c>
      <c r="B482" s="190" t="s">
        <v>154</v>
      </c>
      <c r="C482" s="223" t="s">
        <v>92</v>
      </c>
      <c r="D482" s="223" t="s">
        <v>885</v>
      </c>
      <c r="E482" s="190" t="s">
        <v>25</v>
      </c>
      <c r="F482" s="13" t="s">
        <v>25</v>
      </c>
      <c r="G482" s="13" t="s">
        <v>25</v>
      </c>
      <c r="H482" s="219">
        <f>IFERROR(
  MINIFS(ATTENDANCE_LOG!$F:$F,
         ATTENDANCE_LOG!$A:$A, C482,
         ATTENDANCE_LOG!$B:$B, E482),
"")</f>
        <v>45917.58333</v>
      </c>
      <c r="I482" s="190">
        <f>IFERROR(VLOOKUP(F482, LEVEL_HELPER!$A:$B, 2, 0), "")</f>
        <v>0.5</v>
      </c>
      <c r="J482" s="190">
        <f>IFERROR(VLOOKUP(G482, LEVEL_HELPER!$A:$B, 2, 0), "")</f>
        <v>0.5</v>
      </c>
      <c r="K482" s="190">
        <f t="shared" ref="K482:L482" si="988">IF(OR(I482="", I482=0), "",
  IF(I482&lt;=2,   1,
  IF(I482&lt;=4,   2,
  IF(I482&lt;=5.5, 3, 4))))</f>
        <v>1</v>
      </c>
      <c r="L482" s="190">
        <f t="shared" si="988"/>
        <v>1</v>
      </c>
      <c r="M482" s="190" t="str">
        <f t="shared" si="4"/>
        <v>No Progress</v>
      </c>
      <c r="N482" s="220" t="s">
        <v>943</v>
      </c>
      <c r="O482" s="220" t="s">
        <v>924</v>
      </c>
      <c r="P482" s="190">
        <f t="shared" si="5"/>
        <v>0.5</v>
      </c>
      <c r="Q482" s="210">
        <f t="shared" si="6"/>
        <v>0.5</v>
      </c>
      <c r="R482" s="210">
        <f t="shared" ref="R482:S482" si="989">IF(OR(P482="", P482=0), "",
  IF(P482&lt;=2,   1,
  IF(P482&lt;=4,   2,
  IF(P482&lt;=5.5, 3, 4))))</f>
        <v>1</v>
      </c>
      <c r="S482" s="210">
        <f t="shared" si="989"/>
        <v>1</v>
      </c>
      <c r="T482" s="210" t="str">
        <f t="shared" si="8"/>
        <v>No Progress</v>
      </c>
      <c r="U482" s="210">
        <f t="shared" ref="U482:U489" si="992">IF(COUNTIF($A$2:A482, A482)=1, 1, 0)</f>
        <v>0</v>
      </c>
      <c r="V482" s="210"/>
    </row>
    <row r="483">
      <c r="A483" s="237" t="s">
        <v>269</v>
      </c>
      <c r="B483" s="233" t="s">
        <v>270</v>
      </c>
      <c r="C483" s="234" t="s">
        <v>92</v>
      </c>
      <c r="D483" s="234" t="s">
        <v>885</v>
      </c>
      <c r="E483" s="233" t="s">
        <v>25</v>
      </c>
      <c r="F483" s="235" t="s">
        <v>25</v>
      </c>
      <c r="G483" s="235" t="s">
        <v>927</v>
      </c>
      <c r="H483" s="219">
        <f>IFERROR(
  MINIFS(ATTENDANCE_LOG!$F:$F,
         ATTENDANCE_LOG!$A:$A, C483,
         ATTENDANCE_LOG!$B:$B, E483),
"")</f>
        <v>45917.58333</v>
      </c>
      <c r="I483" s="233">
        <f>IFERROR(VLOOKUP(F483, LEVEL_HELPER!$A:$B, 2, 0), "")</f>
        <v>0.5</v>
      </c>
      <c r="J483" s="233">
        <f>IFERROR(VLOOKUP(G483, LEVEL_HELPER!$A:$B, 2, 0), "")</f>
        <v>1</v>
      </c>
      <c r="K483" s="233">
        <f t="shared" ref="K483:L483" si="990">IF(OR(I483="", I483=0), "",
  IF(I483&lt;=2,   1,
  IF(I483&lt;=4,   2,
  IF(I483&lt;=5.5, 3, 4))))</f>
        <v>1</v>
      </c>
      <c r="L483" s="190">
        <f t="shared" si="990"/>
        <v>1</v>
      </c>
      <c r="M483" s="190" t="str">
        <f t="shared" si="4"/>
        <v>Progress within level</v>
      </c>
      <c r="N483" s="237" t="s">
        <v>943</v>
      </c>
      <c r="O483" s="237" t="s">
        <v>924</v>
      </c>
      <c r="P483" s="233">
        <f t="shared" si="5"/>
        <v>0.5</v>
      </c>
      <c r="Q483" s="238">
        <f t="shared" si="6"/>
        <v>1</v>
      </c>
      <c r="R483" s="238">
        <f t="shared" ref="R483:S483" si="991">IF(OR(P483="", P483=0), "",
  IF(P483&lt;=2,   1,
  IF(P483&lt;=4,   2,
  IF(P483&lt;=5.5, 3, 4))))</f>
        <v>1</v>
      </c>
      <c r="S483" s="238">
        <f t="shared" si="991"/>
        <v>1</v>
      </c>
      <c r="T483" s="238" t="str">
        <f t="shared" si="8"/>
        <v>Progress within level</v>
      </c>
      <c r="U483" s="238">
        <f t="shared" si="992"/>
        <v>1</v>
      </c>
      <c r="V483" s="238"/>
    </row>
    <row r="484">
      <c r="A484" s="237" t="s">
        <v>273</v>
      </c>
      <c r="B484" s="233" t="s">
        <v>274</v>
      </c>
      <c r="C484" s="234" t="s">
        <v>92</v>
      </c>
      <c r="D484" s="234" t="s">
        <v>885</v>
      </c>
      <c r="E484" s="233" t="s">
        <v>25</v>
      </c>
      <c r="F484" s="235" t="s">
        <v>25</v>
      </c>
      <c r="G484" s="235" t="s">
        <v>927</v>
      </c>
      <c r="H484" s="219">
        <f>IFERROR(
  MINIFS(ATTENDANCE_LOG!$F:$F,
         ATTENDANCE_LOG!$A:$A, C484,
         ATTENDANCE_LOG!$B:$B, E484),
"")</f>
        <v>45917.58333</v>
      </c>
      <c r="I484" s="233">
        <f>IFERROR(VLOOKUP(F484, LEVEL_HELPER!$A:$B, 2, 0), "")</f>
        <v>0.5</v>
      </c>
      <c r="J484" s="233">
        <f>IFERROR(VLOOKUP(G484, LEVEL_HELPER!$A:$B, 2, 0), "")</f>
        <v>1</v>
      </c>
      <c r="K484" s="233">
        <f t="shared" ref="K484:L484" si="993">IF(OR(I484="", I484=0), "",
  IF(I484&lt;=2,   1,
  IF(I484&lt;=4,   2,
  IF(I484&lt;=5.5, 3, 4))))</f>
        <v>1</v>
      </c>
      <c r="L484" s="190">
        <f t="shared" si="993"/>
        <v>1</v>
      </c>
      <c r="M484" s="190" t="str">
        <f t="shared" si="4"/>
        <v>Progress within level</v>
      </c>
      <c r="N484" s="237" t="s">
        <v>931</v>
      </c>
      <c r="O484" s="237" t="s">
        <v>923</v>
      </c>
      <c r="P484" s="233">
        <f t="shared" si="5"/>
        <v>0.5</v>
      </c>
      <c r="Q484" s="238">
        <f t="shared" si="6"/>
        <v>1</v>
      </c>
      <c r="R484" s="238">
        <f t="shared" ref="R484:S484" si="994">IF(OR(P484="", P484=0), "",
  IF(P484&lt;=2,   1,
  IF(P484&lt;=4,   2,
  IF(P484&lt;=5.5, 3, 4))))</f>
        <v>1</v>
      </c>
      <c r="S484" s="238">
        <f t="shared" si="994"/>
        <v>1</v>
      </c>
      <c r="T484" s="238" t="str">
        <f t="shared" si="8"/>
        <v>Progress within level</v>
      </c>
      <c r="U484" s="238">
        <f t="shared" si="992"/>
        <v>0</v>
      </c>
      <c r="V484" s="238"/>
    </row>
    <row r="485">
      <c r="A485" s="237" t="s">
        <v>302</v>
      </c>
      <c r="B485" s="233" t="s">
        <v>303</v>
      </c>
      <c r="C485" s="234" t="s">
        <v>92</v>
      </c>
      <c r="D485" s="234" t="s">
        <v>885</v>
      </c>
      <c r="E485" s="233" t="s">
        <v>25</v>
      </c>
      <c r="F485" s="235" t="s">
        <v>25</v>
      </c>
      <c r="G485" s="235" t="s">
        <v>25</v>
      </c>
      <c r="H485" s="219">
        <f>IFERROR(
  MINIFS(ATTENDANCE_LOG!$F:$F,
         ATTENDANCE_LOG!$A:$A, C485,
         ATTENDANCE_LOG!$B:$B, E485),
"")</f>
        <v>45917.58333</v>
      </c>
      <c r="I485" s="233">
        <f>IFERROR(VLOOKUP(F485, LEVEL_HELPER!$A:$B, 2, 0), "")</f>
        <v>0.5</v>
      </c>
      <c r="J485" s="233">
        <f>IFERROR(VLOOKUP(G485, LEVEL_HELPER!$A:$B, 2, 0), "")</f>
        <v>0.5</v>
      </c>
      <c r="K485" s="233">
        <f t="shared" ref="K485:L485" si="995">IF(OR(I485="", I485=0), "",
  IF(I485&lt;=2,   1,
  IF(I485&lt;=4,   2,
  IF(I485&lt;=5.5, 3, 4))))</f>
        <v>1</v>
      </c>
      <c r="L485" s="190">
        <f t="shared" si="995"/>
        <v>1</v>
      </c>
      <c r="M485" s="190" t="str">
        <f t="shared" si="4"/>
        <v>No Progress</v>
      </c>
      <c r="N485" s="237" t="s">
        <v>947</v>
      </c>
      <c r="O485" s="237" t="s">
        <v>923</v>
      </c>
      <c r="P485" s="233">
        <f t="shared" si="5"/>
        <v>0.5</v>
      </c>
      <c r="Q485" s="238">
        <f t="shared" si="6"/>
        <v>0.5</v>
      </c>
      <c r="R485" s="238">
        <f t="shared" ref="R485:S485" si="996">IF(OR(P485="", P485=0), "",
  IF(P485&lt;=2,   1,
  IF(P485&lt;=4,   2,
  IF(P485&lt;=5.5, 3, 4))))</f>
        <v>1</v>
      </c>
      <c r="S485" s="238">
        <f t="shared" si="996"/>
        <v>1</v>
      </c>
      <c r="T485" s="238" t="str">
        <f t="shared" si="8"/>
        <v>No Progress</v>
      </c>
      <c r="U485" s="238">
        <f t="shared" si="992"/>
        <v>0</v>
      </c>
      <c r="V485" s="238"/>
    </row>
    <row r="486">
      <c r="A486" s="237" t="s">
        <v>361</v>
      </c>
      <c r="B486" s="233" t="s">
        <v>362</v>
      </c>
      <c r="C486" s="234" t="s">
        <v>92</v>
      </c>
      <c r="D486" s="234" t="s">
        <v>885</v>
      </c>
      <c r="E486" s="233" t="s">
        <v>25</v>
      </c>
      <c r="F486" s="235" t="s">
        <v>25</v>
      </c>
      <c r="G486" s="235" t="s">
        <v>25</v>
      </c>
      <c r="H486" s="219">
        <f>IFERROR(
  MINIFS(ATTENDANCE_LOG!$F:$F,
         ATTENDANCE_LOG!$A:$A, C486,
         ATTENDANCE_LOG!$B:$B, E486),
"")</f>
        <v>45917.58333</v>
      </c>
      <c r="I486" s="233">
        <f>IFERROR(VLOOKUP(F486, LEVEL_HELPER!$A:$B, 2, 0), "")</f>
        <v>0.5</v>
      </c>
      <c r="J486" s="233">
        <f>IFERROR(VLOOKUP(G486, LEVEL_HELPER!$A:$B, 2, 0), "")</f>
        <v>0.5</v>
      </c>
      <c r="K486" s="233">
        <f t="shared" ref="K486:L486" si="997">IF(OR(I486="", I486=0), "",
  IF(I486&lt;=2,   1,
  IF(I486&lt;=4,   2,
  IF(I486&lt;=5.5, 3, 4))))</f>
        <v>1</v>
      </c>
      <c r="L486" s="190">
        <f t="shared" si="997"/>
        <v>1</v>
      </c>
      <c r="M486" s="190" t="str">
        <f t="shared" si="4"/>
        <v>No Progress</v>
      </c>
      <c r="N486" s="237" t="s">
        <v>931</v>
      </c>
      <c r="O486" s="237" t="s">
        <v>920</v>
      </c>
      <c r="P486" s="233">
        <f t="shared" si="5"/>
        <v>0.5</v>
      </c>
      <c r="Q486" s="238">
        <f t="shared" si="6"/>
        <v>0.5</v>
      </c>
      <c r="R486" s="238">
        <f t="shared" ref="R486:S486" si="998">IF(OR(P486="", P486=0), "",
  IF(P486&lt;=2,   1,
  IF(P486&lt;=4,   2,
  IF(P486&lt;=5.5, 3, 4))))</f>
        <v>1</v>
      </c>
      <c r="S486" s="238">
        <f t="shared" si="998"/>
        <v>1</v>
      </c>
      <c r="T486" s="238" t="str">
        <f t="shared" si="8"/>
        <v>No Progress</v>
      </c>
      <c r="U486" s="238">
        <f t="shared" si="992"/>
        <v>1</v>
      </c>
      <c r="V486" s="238"/>
    </row>
    <row r="487">
      <c r="A487" s="237" t="s">
        <v>385</v>
      </c>
      <c r="B487" s="233" t="s">
        <v>386</v>
      </c>
      <c r="C487" s="234" t="s">
        <v>92</v>
      </c>
      <c r="D487" s="234" t="s">
        <v>885</v>
      </c>
      <c r="E487" s="233" t="s">
        <v>25</v>
      </c>
      <c r="F487" s="235" t="s">
        <v>25</v>
      </c>
      <c r="G487" s="235" t="s">
        <v>25</v>
      </c>
      <c r="H487" s="219">
        <f>IFERROR(
  MINIFS(ATTENDANCE_LOG!$F:$F,
         ATTENDANCE_LOG!$A:$A, C487,
         ATTENDANCE_LOG!$B:$B, E487),
"")</f>
        <v>45917.58333</v>
      </c>
      <c r="I487" s="233">
        <f>IFERROR(VLOOKUP(F487, LEVEL_HELPER!$A:$B, 2, 0), "")</f>
        <v>0.5</v>
      </c>
      <c r="J487" s="233">
        <f>IFERROR(VLOOKUP(G487, LEVEL_HELPER!$A:$B, 2, 0), "")</f>
        <v>0.5</v>
      </c>
      <c r="K487" s="233">
        <f t="shared" ref="K487:L487" si="999">IF(OR(I487="", I487=0), "",
  IF(I487&lt;=2,   1,
  IF(I487&lt;=4,   2,
  IF(I487&lt;=5.5, 3, 4))))</f>
        <v>1</v>
      </c>
      <c r="L487" s="190">
        <f t="shared" si="999"/>
        <v>1</v>
      </c>
      <c r="M487" s="190" t="str">
        <f t="shared" si="4"/>
        <v>No Progress</v>
      </c>
      <c r="N487" s="237" t="s">
        <v>931</v>
      </c>
      <c r="O487" s="237" t="s">
        <v>923</v>
      </c>
      <c r="P487" s="233">
        <f t="shared" si="5"/>
        <v>0.5</v>
      </c>
      <c r="Q487" s="238">
        <f t="shared" si="6"/>
        <v>0.5</v>
      </c>
      <c r="R487" s="238">
        <f t="shared" ref="R487:S487" si="1000">IF(OR(P487="", P487=0), "",
  IF(P487&lt;=2,   1,
  IF(P487&lt;=4,   2,
  IF(P487&lt;=5.5, 3, 4))))</f>
        <v>1</v>
      </c>
      <c r="S487" s="238">
        <f t="shared" si="1000"/>
        <v>1</v>
      </c>
      <c r="T487" s="238" t="str">
        <f t="shared" si="8"/>
        <v>No Progress</v>
      </c>
      <c r="U487" s="238">
        <f t="shared" si="992"/>
        <v>1</v>
      </c>
      <c r="V487" s="238"/>
    </row>
    <row r="488">
      <c r="A488" s="237" t="s">
        <v>470</v>
      </c>
      <c r="B488" s="233" t="s">
        <v>471</v>
      </c>
      <c r="C488" s="234" t="s">
        <v>92</v>
      </c>
      <c r="D488" s="234" t="s">
        <v>885</v>
      </c>
      <c r="E488" s="233" t="s">
        <v>25</v>
      </c>
      <c r="F488" s="235" t="s">
        <v>25</v>
      </c>
      <c r="G488" s="235" t="s">
        <v>927</v>
      </c>
      <c r="H488" s="219">
        <f>IFERROR(
  MINIFS(ATTENDANCE_LOG!$F:$F,
         ATTENDANCE_LOG!$A:$A, C488,
         ATTENDANCE_LOG!$B:$B, E488),
"")</f>
        <v>45917.58333</v>
      </c>
      <c r="I488" s="233">
        <f>IFERROR(VLOOKUP(F488, LEVEL_HELPER!$A:$B, 2, 0), "")</f>
        <v>0.5</v>
      </c>
      <c r="J488" s="233">
        <f>IFERROR(VLOOKUP(G488, LEVEL_HELPER!$A:$B, 2, 0), "")</f>
        <v>1</v>
      </c>
      <c r="K488" s="233">
        <f t="shared" ref="K488:L488" si="1001">IF(OR(I488="", I488=0), "",
  IF(I488&lt;=2,   1,
  IF(I488&lt;=4,   2,
  IF(I488&lt;=5.5, 3, 4))))</f>
        <v>1</v>
      </c>
      <c r="L488" s="190">
        <f t="shared" si="1001"/>
        <v>1</v>
      </c>
      <c r="M488" s="190" t="str">
        <f t="shared" si="4"/>
        <v>Progress within level</v>
      </c>
      <c r="N488" s="237" t="s">
        <v>931</v>
      </c>
      <c r="O488" s="237" t="s">
        <v>926</v>
      </c>
      <c r="P488" s="233">
        <f t="shared" si="5"/>
        <v>0.5</v>
      </c>
      <c r="Q488" s="238">
        <f t="shared" si="6"/>
        <v>1</v>
      </c>
      <c r="R488" s="238">
        <f t="shared" ref="R488:S488" si="1002">IF(OR(P488="", P488=0), "",
  IF(P488&lt;=2,   1,
  IF(P488&lt;=4,   2,
  IF(P488&lt;=5.5, 3, 4))))</f>
        <v>1</v>
      </c>
      <c r="S488" s="238">
        <f t="shared" si="1002"/>
        <v>1</v>
      </c>
      <c r="T488" s="238" t="str">
        <f t="shared" si="8"/>
        <v>Progress within level</v>
      </c>
      <c r="U488" s="238">
        <f t="shared" si="992"/>
        <v>1</v>
      </c>
      <c r="V488" s="238"/>
    </row>
    <row r="489">
      <c r="A489" s="237" t="s">
        <v>532</v>
      </c>
      <c r="B489" s="233" t="s">
        <v>533</v>
      </c>
      <c r="C489" s="234" t="s">
        <v>92</v>
      </c>
      <c r="D489" s="234" t="s">
        <v>885</v>
      </c>
      <c r="E489" s="233" t="s">
        <v>25</v>
      </c>
      <c r="F489" s="235" t="s">
        <v>25</v>
      </c>
      <c r="G489" s="235" t="s">
        <v>25</v>
      </c>
      <c r="H489" s="219">
        <f>IFERROR(
  MINIFS(ATTENDANCE_LOG!$F:$F,
         ATTENDANCE_LOG!$A:$A, C489,
         ATTENDANCE_LOG!$B:$B, E489),
"")</f>
        <v>45917.58333</v>
      </c>
      <c r="I489" s="233">
        <f>IFERROR(VLOOKUP(F489, LEVEL_HELPER!$A:$B, 2, 0), "")</f>
        <v>0.5</v>
      </c>
      <c r="J489" s="233">
        <f>IFERROR(VLOOKUP(G489, LEVEL_HELPER!$A:$B, 2, 0), "")</f>
        <v>0.5</v>
      </c>
      <c r="K489" s="233">
        <f t="shared" ref="K489:L489" si="1003">IF(OR(I489="", I489=0), "",
  IF(I489&lt;=2,   1,
  IF(I489&lt;=4,   2,
  IF(I489&lt;=5.5, 3, 4))))</f>
        <v>1</v>
      </c>
      <c r="L489" s="190">
        <f t="shared" si="1003"/>
        <v>1</v>
      </c>
      <c r="M489" s="190" t="str">
        <f t="shared" si="4"/>
        <v>No Progress</v>
      </c>
      <c r="N489" s="237" t="s">
        <v>931</v>
      </c>
      <c r="O489" s="237" t="s">
        <v>926</v>
      </c>
      <c r="P489" s="233">
        <f t="shared" si="5"/>
        <v>0.5</v>
      </c>
      <c r="Q489" s="238">
        <f t="shared" si="6"/>
        <v>0.5</v>
      </c>
      <c r="R489" s="238">
        <f t="shared" ref="R489:S489" si="1004">IF(OR(P489="", P489=0), "",
  IF(P489&lt;=2,   1,
  IF(P489&lt;=4,   2,
  IF(P489&lt;=5.5, 3, 4))))</f>
        <v>1</v>
      </c>
      <c r="S489" s="238">
        <f t="shared" si="1004"/>
        <v>1</v>
      </c>
      <c r="T489" s="238" t="str">
        <f t="shared" si="8"/>
        <v>No Progress</v>
      </c>
      <c r="U489" s="238">
        <f t="shared" si="992"/>
        <v>1</v>
      </c>
      <c r="V489" s="238"/>
    </row>
    <row r="490">
      <c r="A490" s="253" t="s">
        <v>502</v>
      </c>
      <c r="B490" s="250" t="s">
        <v>503</v>
      </c>
      <c r="C490" s="251" t="s">
        <v>93</v>
      </c>
      <c r="D490" s="251" t="s">
        <v>886</v>
      </c>
      <c r="E490" s="250" t="s">
        <v>21</v>
      </c>
      <c r="F490" s="252" t="s">
        <v>918</v>
      </c>
      <c r="G490" s="250"/>
      <c r="H490" s="219">
        <f>IFERROR(
  MINIFS(ATTENDANCE_LOG!$F:$F,
         ATTENDANCE_LOG!$A:$A, C490,
         ATTENDANCE_LOG!$B:$B, E490),
"")</f>
        <v>45929.58333</v>
      </c>
      <c r="I490" s="250">
        <f>IFERROR(VLOOKUP(F490, LEVEL_HELPER!$A:$B, 2, 0), "")</f>
        <v>3</v>
      </c>
      <c r="J490" s="233" t="str">
        <f>IFERROR(VLOOKUP(G490, LEVEL_HELPER!$A:$B, 2, 0), "")</f>
        <v/>
      </c>
      <c r="K490" s="250">
        <f t="shared" ref="K490:L490" si="1005">IF(OR(I490="", I490=0), "",
  IF(I490&lt;=2,   1,
  IF(I490&lt;=4,   2,
  IF(I490&lt;=5.5, 3, 4))))</f>
        <v>2</v>
      </c>
      <c r="L490" s="190" t="str">
        <f t="shared" si="1005"/>
        <v/>
      </c>
      <c r="M490" s="190" t="str">
        <f t="shared" si="4"/>
        <v>No Data</v>
      </c>
      <c r="N490" s="253" t="s">
        <v>931</v>
      </c>
      <c r="O490" s="253" t="s">
        <v>923</v>
      </c>
      <c r="P490" s="250">
        <f t="shared" si="5"/>
        <v>3</v>
      </c>
      <c r="Q490" s="254">
        <f t="shared" si="6"/>
        <v>0</v>
      </c>
      <c r="R490" s="254">
        <f t="shared" ref="R490:S490" si="1006">IF(OR(P490="", P490=0), "",
  IF(P490&lt;=2,   1,
  IF(P490&lt;=4,   2,
  IF(P490&lt;=5.5, 3, 4))))</f>
        <v>2</v>
      </c>
      <c r="S490" s="254" t="str">
        <f t="shared" si="1006"/>
        <v/>
      </c>
      <c r="T490" s="254" t="str">
        <f t="shared" si="8"/>
        <v>No Data</v>
      </c>
      <c r="U490" s="254">
        <f>IF(COUNTIF($A$2:A492, A490)=1, 1, 0)</f>
        <v>1</v>
      </c>
      <c r="V490" s="254"/>
    </row>
    <row r="491">
      <c r="A491" s="237" t="s">
        <v>385</v>
      </c>
      <c r="B491" s="233" t="s">
        <v>386</v>
      </c>
      <c r="C491" s="234" t="s">
        <v>93</v>
      </c>
      <c r="D491" s="234" t="s">
        <v>886</v>
      </c>
      <c r="E491" s="233" t="s">
        <v>21</v>
      </c>
      <c r="F491" s="235" t="s">
        <v>927</v>
      </c>
      <c r="G491" s="233"/>
      <c r="H491" s="219">
        <f>IFERROR(
  MINIFS(ATTENDANCE_LOG!$F:$F,
         ATTENDANCE_LOG!$A:$A, C491,
         ATTENDANCE_LOG!$B:$B, E491),
"")</f>
        <v>45929.58333</v>
      </c>
      <c r="I491" s="233">
        <f>IFERROR(VLOOKUP(F491, LEVEL_HELPER!$A:$B, 2, 0), "")</f>
        <v>1</v>
      </c>
      <c r="J491" s="233" t="str">
        <f>IFERROR(VLOOKUP(G491, LEVEL_HELPER!$A:$B, 2, 0), "")</f>
        <v/>
      </c>
      <c r="K491" s="233">
        <f t="shared" ref="K491:L491" si="1007">IF(OR(I491="", I491=0), "",
  IF(I491&lt;=2,   1,
  IF(I491&lt;=4,   2,
  IF(I491&lt;=5.5, 3, 4))))</f>
        <v>1</v>
      </c>
      <c r="L491" s="190" t="str">
        <f t="shared" si="1007"/>
        <v/>
      </c>
      <c r="M491" s="190" t="str">
        <f t="shared" si="4"/>
        <v>No Data</v>
      </c>
      <c r="N491" s="237" t="s">
        <v>931</v>
      </c>
      <c r="O491" s="237" t="s">
        <v>923</v>
      </c>
      <c r="P491" s="233">
        <f t="shared" si="5"/>
        <v>0.5</v>
      </c>
      <c r="Q491" s="238">
        <f t="shared" si="6"/>
        <v>0.5</v>
      </c>
      <c r="R491" s="238">
        <f t="shared" ref="R491:S491" si="1008">IF(OR(P491="", P491=0), "",
  IF(P491&lt;=2,   1,
  IF(P491&lt;=4,   2,
  IF(P491&lt;=5.5, 3, 4))))</f>
        <v>1</v>
      </c>
      <c r="S491" s="238">
        <f t="shared" si="1008"/>
        <v>1</v>
      </c>
      <c r="T491" s="238" t="str">
        <f t="shared" si="8"/>
        <v>No Progress</v>
      </c>
      <c r="U491" s="238">
        <f t="shared" ref="U491:U494" si="1011">IF(COUNTIF($A$2:A491, A491)=1, 1, 0)</f>
        <v>0</v>
      </c>
      <c r="V491" s="238"/>
    </row>
    <row r="492">
      <c r="A492" s="237" t="s">
        <v>427</v>
      </c>
      <c r="B492" s="233" t="s">
        <v>428</v>
      </c>
      <c r="C492" s="234" t="s">
        <v>93</v>
      </c>
      <c r="D492" s="234" t="s">
        <v>886</v>
      </c>
      <c r="E492" s="233" t="s">
        <v>21</v>
      </c>
      <c r="F492" s="235" t="s">
        <v>927</v>
      </c>
      <c r="G492" s="233"/>
      <c r="H492" s="219">
        <f>IFERROR(
  MINIFS(ATTENDANCE_LOG!$F:$F,
         ATTENDANCE_LOG!$A:$A, C492,
         ATTENDANCE_LOG!$B:$B, E492),
"")</f>
        <v>45929.58333</v>
      </c>
      <c r="I492" s="233">
        <f>IFERROR(VLOOKUP(F492, LEVEL_HELPER!$A:$B, 2, 0), "")</f>
        <v>1</v>
      </c>
      <c r="J492" s="233" t="str">
        <f>IFERROR(VLOOKUP(G492, LEVEL_HELPER!$A:$B, 2, 0), "")</f>
        <v/>
      </c>
      <c r="K492" s="233">
        <f t="shared" ref="K492:L492" si="1009">IF(OR(I492="", I492=0), "",
  IF(I492&lt;=2,   1,
  IF(I492&lt;=4,   2,
  IF(I492&lt;=5.5, 3, 4))))</f>
        <v>1</v>
      </c>
      <c r="L492" s="190" t="str">
        <f t="shared" si="1009"/>
        <v/>
      </c>
      <c r="M492" s="190" t="str">
        <f t="shared" si="4"/>
        <v>No Data</v>
      </c>
      <c r="N492" s="237" t="s">
        <v>931</v>
      </c>
      <c r="O492" s="237" t="s">
        <v>923</v>
      </c>
      <c r="P492" s="233">
        <f t="shared" si="5"/>
        <v>1</v>
      </c>
      <c r="Q492" s="238">
        <f t="shared" si="6"/>
        <v>0</v>
      </c>
      <c r="R492" s="238">
        <f t="shared" ref="R492:S492" si="1010">IF(OR(P492="", P492=0), "",
  IF(P492&lt;=2,   1,
  IF(P492&lt;=4,   2,
  IF(P492&lt;=5.5, 3, 4))))</f>
        <v>1</v>
      </c>
      <c r="S492" s="238" t="str">
        <f t="shared" si="1010"/>
        <v/>
      </c>
      <c r="T492" s="238" t="str">
        <f t="shared" si="8"/>
        <v>No Data</v>
      </c>
      <c r="U492" s="238">
        <f t="shared" si="1011"/>
        <v>1</v>
      </c>
      <c r="V492" s="238"/>
    </row>
    <row r="493">
      <c r="A493" s="237" t="s">
        <v>655</v>
      </c>
      <c r="B493" s="233" t="s">
        <v>656</v>
      </c>
      <c r="C493" s="234" t="s">
        <v>93</v>
      </c>
      <c r="D493" s="234" t="s">
        <v>886</v>
      </c>
      <c r="E493" s="233" t="s">
        <v>21</v>
      </c>
      <c r="F493" s="235" t="s">
        <v>927</v>
      </c>
      <c r="G493" s="233"/>
      <c r="H493" s="219">
        <f>IFERROR(
  MINIFS(ATTENDANCE_LOG!$F:$F,
         ATTENDANCE_LOG!$A:$A, C493,
         ATTENDANCE_LOG!$B:$B, E493),
"")</f>
        <v>45929.58333</v>
      </c>
      <c r="I493" s="233">
        <f>IFERROR(VLOOKUP(F493, LEVEL_HELPER!$A:$B, 2, 0), "")</f>
        <v>1</v>
      </c>
      <c r="J493" s="233" t="str">
        <f>IFERROR(VLOOKUP(G493, LEVEL_HELPER!$A:$B, 2, 0), "")</f>
        <v/>
      </c>
      <c r="K493" s="233">
        <f t="shared" ref="K493:L493" si="1012">IF(OR(I493="", I493=0), "",
  IF(I493&lt;=2,   1,
  IF(I493&lt;=4,   2,
  IF(I493&lt;=5.5, 3, 4))))</f>
        <v>1</v>
      </c>
      <c r="L493" s="190" t="str">
        <f t="shared" si="1012"/>
        <v/>
      </c>
      <c r="M493" s="190" t="str">
        <f t="shared" si="4"/>
        <v>No Data</v>
      </c>
      <c r="N493" s="237" t="s">
        <v>931</v>
      </c>
      <c r="O493" s="237" t="s">
        <v>923</v>
      </c>
      <c r="P493" s="233">
        <f t="shared" si="5"/>
        <v>1</v>
      </c>
      <c r="Q493" s="238">
        <f t="shared" si="6"/>
        <v>0</v>
      </c>
      <c r="R493" s="238">
        <f t="shared" ref="R493:S493" si="1013">IF(OR(P493="", P493=0), "",
  IF(P493&lt;=2,   1,
  IF(P493&lt;=4,   2,
  IF(P493&lt;=5.5, 3, 4))))</f>
        <v>1</v>
      </c>
      <c r="S493" s="238" t="str">
        <f t="shared" si="1013"/>
        <v/>
      </c>
      <c r="T493" s="238" t="str">
        <f t="shared" si="8"/>
        <v>No Data</v>
      </c>
      <c r="U493" s="238">
        <f t="shared" si="1011"/>
        <v>1</v>
      </c>
      <c r="V493" s="238"/>
    </row>
    <row r="494">
      <c r="A494" s="237" t="s">
        <v>705</v>
      </c>
      <c r="B494" s="233" t="s">
        <v>706</v>
      </c>
      <c r="C494" s="234" t="s">
        <v>93</v>
      </c>
      <c r="D494" s="234" t="s">
        <v>886</v>
      </c>
      <c r="E494" s="233" t="s">
        <v>21</v>
      </c>
      <c r="F494" s="235" t="s">
        <v>927</v>
      </c>
      <c r="G494" s="233"/>
      <c r="H494" s="219">
        <f>IFERROR(
  MINIFS(ATTENDANCE_LOG!$F:$F,
         ATTENDANCE_LOG!$A:$A, C494,
         ATTENDANCE_LOG!$B:$B, E494),
"")</f>
        <v>45929.58333</v>
      </c>
      <c r="I494" s="233">
        <f>IFERROR(VLOOKUP(F494, LEVEL_HELPER!$A:$B, 2, 0), "")</f>
        <v>1</v>
      </c>
      <c r="J494" s="233" t="str">
        <f>IFERROR(VLOOKUP(G494, LEVEL_HELPER!$A:$B, 2, 0), "")</f>
        <v/>
      </c>
      <c r="K494" s="233">
        <f t="shared" ref="K494:L494" si="1014">IF(OR(I494="", I494=0), "",
  IF(I494&lt;=2,   1,
  IF(I494&lt;=4,   2,
  IF(I494&lt;=5.5, 3, 4))))</f>
        <v>1</v>
      </c>
      <c r="L494" s="190" t="str">
        <f t="shared" si="1014"/>
        <v/>
      </c>
      <c r="M494" s="190" t="str">
        <f t="shared" si="4"/>
        <v>No Data</v>
      </c>
      <c r="N494" s="237" t="s">
        <v>957</v>
      </c>
      <c r="O494" s="237" t="s">
        <v>923</v>
      </c>
      <c r="P494" s="233">
        <f t="shared" si="5"/>
        <v>1</v>
      </c>
      <c r="Q494" s="238">
        <f t="shared" si="6"/>
        <v>0</v>
      </c>
      <c r="R494" s="238">
        <f t="shared" ref="R494:S494" si="1015">IF(OR(P494="", P494=0), "",
  IF(P494&lt;=2,   1,
  IF(P494&lt;=4,   2,
  IF(P494&lt;=5.5, 3, 4))))</f>
        <v>1</v>
      </c>
      <c r="S494" s="238" t="str">
        <f t="shared" si="1015"/>
        <v/>
      </c>
      <c r="T494" s="238" t="str">
        <f t="shared" si="8"/>
        <v>No Data</v>
      </c>
      <c r="U494" s="238">
        <f t="shared" si="1011"/>
        <v>1</v>
      </c>
      <c r="V494" s="238"/>
    </row>
    <row r="495">
      <c r="A495" s="253" t="s">
        <v>581</v>
      </c>
      <c r="B495" s="250" t="s">
        <v>582</v>
      </c>
      <c r="C495" s="251" t="s">
        <v>94</v>
      </c>
      <c r="D495" s="251" t="s">
        <v>887</v>
      </c>
      <c r="E495" s="250" t="s">
        <v>21</v>
      </c>
      <c r="F495" s="252" t="s">
        <v>927</v>
      </c>
      <c r="G495" s="250"/>
      <c r="H495" s="219">
        <f>IFERROR(
  MINIFS(ATTENDANCE_LOG!$F:$F,
         ATTENDANCE_LOG!$A:$A, C495,
         ATTENDANCE_LOG!$B:$B, E495),
"")</f>
        <v>46083.625</v>
      </c>
      <c r="I495" s="250">
        <f>IFERROR(VLOOKUP(F495, LEVEL_HELPER!$A:$B, 2, 0), "")</f>
        <v>1</v>
      </c>
      <c r="J495" s="233" t="str">
        <f>IFERROR(VLOOKUP(G495, LEVEL_HELPER!$A:$B, 2, 0), "")</f>
        <v/>
      </c>
      <c r="K495" s="250">
        <f t="shared" ref="K495:L495" si="1016">IF(OR(I495="", I495=0), "",
  IF(I495&lt;=2,   1,
  IF(I495&lt;=4,   2,
  IF(I495&lt;=5.5, 3, 4))))</f>
        <v>1</v>
      </c>
      <c r="L495" s="190" t="str">
        <f t="shared" si="1016"/>
        <v/>
      </c>
      <c r="M495" s="190" t="str">
        <f t="shared" si="4"/>
        <v>No Data</v>
      </c>
      <c r="N495" s="253" t="s">
        <v>943</v>
      </c>
      <c r="O495" s="253" t="s">
        <v>925</v>
      </c>
      <c r="P495" s="250">
        <f t="shared" si="5"/>
        <v>1</v>
      </c>
      <c r="Q495" s="254">
        <f t="shared" si="6"/>
        <v>0</v>
      </c>
      <c r="R495" s="254">
        <f t="shared" ref="R495:S495" si="1017">IF(OR(P495="", P495=0), "",
  IF(P495&lt;=2,   1,
  IF(P495&lt;=4,   2,
  IF(P495&lt;=5.5, 3, 4))))</f>
        <v>1</v>
      </c>
      <c r="S495" s="254" t="str">
        <f t="shared" si="1017"/>
        <v/>
      </c>
      <c r="T495" s="254" t="str">
        <f t="shared" si="8"/>
        <v>No Data</v>
      </c>
      <c r="U495" s="254">
        <f>IF(COUNTIF($A$2:A500, A495)=1, 1, 0)</f>
        <v>1</v>
      </c>
      <c r="V495" s="254"/>
    </row>
    <row r="496">
      <c r="A496" s="237" t="s">
        <v>149</v>
      </c>
      <c r="B496" s="233" t="s">
        <v>150</v>
      </c>
      <c r="C496" s="234" t="s">
        <v>94</v>
      </c>
      <c r="D496" s="234" t="s">
        <v>887</v>
      </c>
      <c r="E496" s="233" t="s">
        <v>21</v>
      </c>
      <c r="F496" s="235" t="s">
        <v>927</v>
      </c>
      <c r="G496" s="235"/>
      <c r="H496" s="219">
        <f>IFERROR(
  MINIFS(ATTENDANCE_LOG!$F:$F,
         ATTENDANCE_LOG!$A:$A, C496,
         ATTENDANCE_LOG!$B:$B, E496),
"")</f>
        <v>46083.625</v>
      </c>
      <c r="I496" s="233">
        <f>IFERROR(VLOOKUP(F496, LEVEL_HELPER!$A:$B, 2, 0), "")</f>
        <v>1</v>
      </c>
      <c r="J496" s="233" t="str">
        <f>IFERROR(VLOOKUP(G496, LEVEL_HELPER!$A:$B, 2, 0), "")</f>
        <v/>
      </c>
      <c r="K496" s="233">
        <f t="shared" ref="K496:L496" si="1018">IF(OR(I496="", I496=0), "",
  IF(I496&lt;=2,   1,
  IF(I496&lt;=4,   2,
  IF(I496&lt;=5.5, 3, 4))))</f>
        <v>1</v>
      </c>
      <c r="L496" s="190" t="str">
        <f t="shared" si="1018"/>
        <v/>
      </c>
      <c r="M496" s="190" t="str">
        <f t="shared" si="4"/>
        <v>No Data</v>
      </c>
      <c r="N496" s="237" t="s">
        <v>919</v>
      </c>
      <c r="O496" s="237" t="s">
        <v>925</v>
      </c>
      <c r="P496" s="233">
        <f t="shared" si="5"/>
        <v>1</v>
      </c>
      <c r="Q496" s="238">
        <f t="shared" si="6"/>
        <v>2.5</v>
      </c>
      <c r="R496" s="238">
        <f t="shared" ref="R496:S496" si="1019">IF(OR(P496="", P496=0), "",
  IF(P496&lt;=2,   1,
  IF(P496&lt;=4,   2,
  IF(P496&lt;=5.5, 3, 4))))</f>
        <v>1</v>
      </c>
      <c r="S496" s="238">
        <f t="shared" si="1019"/>
        <v>2</v>
      </c>
      <c r="T496" s="238" t="str">
        <f t="shared" si="8"/>
        <v>Lv1 → Lv2</v>
      </c>
      <c r="U496" s="238">
        <f t="shared" ref="U496:U530" si="1022">IF(COUNTIF($A$2:A496, A496)=1, 1, 0)</f>
        <v>0</v>
      </c>
      <c r="V496" s="238"/>
    </row>
    <row r="497">
      <c r="A497" s="237" t="s">
        <v>344</v>
      </c>
      <c r="B497" s="233" t="s">
        <v>345</v>
      </c>
      <c r="C497" s="234" t="s">
        <v>94</v>
      </c>
      <c r="D497" s="234" t="s">
        <v>887</v>
      </c>
      <c r="E497" s="233" t="s">
        <v>21</v>
      </c>
      <c r="F497" s="235" t="s">
        <v>927</v>
      </c>
      <c r="G497" s="233"/>
      <c r="H497" s="219">
        <f>IFERROR(
  MINIFS(ATTENDANCE_LOG!$F:$F,
         ATTENDANCE_LOG!$A:$A, C497,
         ATTENDANCE_LOG!$B:$B, E497),
"")</f>
        <v>46083.625</v>
      </c>
      <c r="I497" s="233">
        <f>IFERROR(VLOOKUP(F497, LEVEL_HELPER!$A:$B, 2, 0), "")</f>
        <v>1</v>
      </c>
      <c r="J497" s="233" t="str">
        <f>IFERROR(VLOOKUP(G497, LEVEL_HELPER!$A:$B, 2, 0), "")</f>
        <v/>
      </c>
      <c r="K497" s="233">
        <f t="shared" ref="K497:L497" si="1020">IF(OR(I497="", I497=0), "",
  IF(I497&lt;=2,   1,
  IF(I497&lt;=4,   2,
  IF(I497&lt;=5.5, 3, 4))))</f>
        <v>1</v>
      </c>
      <c r="L497" s="190" t="str">
        <f t="shared" si="1020"/>
        <v/>
      </c>
      <c r="M497" s="190" t="str">
        <f t="shared" si="4"/>
        <v>No Data</v>
      </c>
      <c r="N497" s="237" t="s">
        <v>943</v>
      </c>
      <c r="O497" s="237" t="s">
        <v>925</v>
      </c>
      <c r="P497" s="233">
        <f t="shared" si="5"/>
        <v>1</v>
      </c>
      <c r="Q497" s="238">
        <f t="shared" si="6"/>
        <v>0</v>
      </c>
      <c r="R497" s="238">
        <f t="shared" ref="R497:S497" si="1021">IF(OR(P497="", P497=0), "",
  IF(P497&lt;=2,   1,
  IF(P497&lt;=4,   2,
  IF(P497&lt;=5.5, 3, 4))))</f>
        <v>1</v>
      </c>
      <c r="S497" s="238" t="str">
        <f t="shared" si="1021"/>
        <v/>
      </c>
      <c r="T497" s="238" t="str">
        <f t="shared" si="8"/>
        <v>No Data</v>
      </c>
      <c r="U497" s="238">
        <f t="shared" si="1022"/>
        <v>1</v>
      </c>
      <c r="V497" s="238"/>
    </row>
    <row r="498">
      <c r="A498" s="237" t="s">
        <v>368</v>
      </c>
      <c r="B498" s="233" t="s">
        <v>369</v>
      </c>
      <c r="C498" s="234" t="s">
        <v>94</v>
      </c>
      <c r="D498" s="234" t="s">
        <v>887</v>
      </c>
      <c r="E498" s="233" t="s">
        <v>21</v>
      </c>
      <c r="F498" s="235" t="s">
        <v>918</v>
      </c>
      <c r="G498" s="233"/>
      <c r="H498" s="219">
        <f>IFERROR(
  MINIFS(ATTENDANCE_LOG!$F:$F,
         ATTENDANCE_LOG!$A:$A, C498,
         ATTENDANCE_LOG!$B:$B, E498),
"")</f>
        <v>46083.625</v>
      </c>
      <c r="I498" s="233">
        <f>IFERROR(VLOOKUP(F498, LEVEL_HELPER!$A:$B, 2, 0), "")</f>
        <v>3</v>
      </c>
      <c r="J498" s="233" t="str">
        <f>IFERROR(VLOOKUP(G498, LEVEL_HELPER!$A:$B, 2, 0), "")</f>
        <v/>
      </c>
      <c r="K498" s="233">
        <f t="shared" ref="K498:L498" si="1023">IF(OR(I498="", I498=0), "",
  IF(I498&lt;=2,   1,
  IF(I498&lt;=4,   2,
  IF(I498&lt;=5.5, 3, 4))))</f>
        <v>2</v>
      </c>
      <c r="L498" s="190" t="str">
        <f t="shared" si="1023"/>
        <v/>
      </c>
      <c r="M498" s="190" t="str">
        <f t="shared" si="4"/>
        <v>No Data</v>
      </c>
      <c r="N498" s="237" t="s">
        <v>943</v>
      </c>
      <c r="O498" s="237" t="s">
        <v>925</v>
      </c>
      <c r="P498" s="233">
        <f t="shared" si="5"/>
        <v>3</v>
      </c>
      <c r="Q498" s="238">
        <f t="shared" si="6"/>
        <v>0</v>
      </c>
      <c r="R498" s="238">
        <f t="shared" ref="R498:S498" si="1024">IF(OR(P498="", P498=0), "",
  IF(P498&lt;=2,   1,
  IF(P498&lt;=4,   2,
  IF(P498&lt;=5.5, 3, 4))))</f>
        <v>2</v>
      </c>
      <c r="S498" s="238" t="str">
        <f t="shared" si="1024"/>
        <v/>
      </c>
      <c r="T498" s="238" t="str">
        <f t="shared" si="8"/>
        <v>No Data</v>
      </c>
      <c r="U498" s="238">
        <f t="shared" si="1022"/>
        <v>1</v>
      </c>
      <c r="V498" s="238"/>
    </row>
    <row r="499">
      <c r="A499" s="237" t="s">
        <v>543</v>
      </c>
      <c r="B499" s="233" t="s">
        <v>544</v>
      </c>
      <c r="C499" s="234" t="s">
        <v>94</v>
      </c>
      <c r="D499" s="234" t="s">
        <v>887</v>
      </c>
      <c r="E499" s="233" t="s">
        <v>21</v>
      </c>
      <c r="F499" s="235" t="s">
        <v>918</v>
      </c>
      <c r="G499" s="233"/>
      <c r="H499" s="219">
        <f>IFERROR(
  MINIFS(ATTENDANCE_LOG!$F:$F,
         ATTENDANCE_LOG!$A:$A, C499,
         ATTENDANCE_LOG!$B:$B, E499),
"")</f>
        <v>46083.625</v>
      </c>
      <c r="I499" s="233">
        <f>IFERROR(VLOOKUP(F499, LEVEL_HELPER!$A:$B, 2, 0), "")</f>
        <v>3</v>
      </c>
      <c r="J499" s="233" t="str">
        <f>IFERROR(VLOOKUP(G499, LEVEL_HELPER!$A:$B, 2, 0), "")</f>
        <v/>
      </c>
      <c r="K499" s="233">
        <f t="shared" ref="K499:L499" si="1025">IF(OR(I499="", I499=0), "",
  IF(I499&lt;=2,   1,
  IF(I499&lt;=4,   2,
  IF(I499&lt;=5.5, 3, 4))))</f>
        <v>2</v>
      </c>
      <c r="L499" s="190" t="str">
        <f t="shared" si="1025"/>
        <v/>
      </c>
      <c r="M499" s="190" t="str">
        <f t="shared" si="4"/>
        <v>No Data</v>
      </c>
      <c r="N499" s="237" t="s">
        <v>943</v>
      </c>
      <c r="O499" s="237" t="s">
        <v>971</v>
      </c>
      <c r="P499" s="233">
        <f t="shared" si="5"/>
        <v>3</v>
      </c>
      <c r="Q499" s="238">
        <f t="shared" si="6"/>
        <v>0</v>
      </c>
      <c r="R499" s="238">
        <f t="shared" ref="R499:S499" si="1026">IF(OR(P499="", P499=0), "",
  IF(P499&lt;=2,   1,
  IF(P499&lt;=4,   2,
  IF(P499&lt;=5.5, 3, 4))))</f>
        <v>2</v>
      </c>
      <c r="S499" s="238" t="str">
        <f t="shared" si="1026"/>
        <v/>
      </c>
      <c r="T499" s="238" t="str">
        <f t="shared" si="8"/>
        <v>No Data</v>
      </c>
      <c r="U499" s="238">
        <f t="shared" si="1022"/>
        <v>1</v>
      </c>
      <c r="V499" s="238"/>
    </row>
    <row r="500">
      <c r="A500" s="237" t="s">
        <v>579</v>
      </c>
      <c r="B500" s="233" t="s">
        <v>580</v>
      </c>
      <c r="C500" s="234" t="s">
        <v>94</v>
      </c>
      <c r="D500" s="234" t="s">
        <v>887</v>
      </c>
      <c r="E500" s="233" t="s">
        <v>21</v>
      </c>
      <c r="F500" s="235" t="s">
        <v>927</v>
      </c>
      <c r="G500" s="233"/>
      <c r="H500" s="219">
        <f>IFERROR(
  MINIFS(ATTENDANCE_LOG!$F:$F,
         ATTENDANCE_LOG!$A:$A, C500,
         ATTENDANCE_LOG!$B:$B, E500),
"")</f>
        <v>46083.625</v>
      </c>
      <c r="I500" s="233">
        <f>IFERROR(VLOOKUP(F500, LEVEL_HELPER!$A:$B, 2, 0), "")</f>
        <v>1</v>
      </c>
      <c r="J500" s="233" t="str">
        <f>IFERROR(VLOOKUP(G500, LEVEL_HELPER!$A:$B, 2, 0), "")</f>
        <v/>
      </c>
      <c r="K500" s="233">
        <f t="shared" ref="K500:L500" si="1027">IF(OR(I500="", I500=0), "",
  IF(I500&lt;=2,   1,
  IF(I500&lt;=4,   2,
  IF(I500&lt;=5.5, 3, 4))))</f>
        <v>1</v>
      </c>
      <c r="L500" s="190" t="str">
        <f t="shared" si="1027"/>
        <v/>
      </c>
      <c r="M500" s="190" t="str">
        <f t="shared" si="4"/>
        <v>No Data</v>
      </c>
      <c r="N500" s="237" t="s">
        <v>943</v>
      </c>
      <c r="O500" s="237" t="s">
        <v>925</v>
      </c>
      <c r="P500" s="233">
        <f t="shared" si="5"/>
        <v>1</v>
      </c>
      <c r="Q500" s="238">
        <f t="shared" si="6"/>
        <v>0</v>
      </c>
      <c r="R500" s="238">
        <f t="shared" ref="R500:S500" si="1028">IF(OR(P500="", P500=0), "",
  IF(P500&lt;=2,   1,
  IF(P500&lt;=4,   2,
  IF(P500&lt;=5.5, 3, 4))))</f>
        <v>1</v>
      </c>
      <c r="S500" s="238" t="str">
        <f t="shared" si="1028"/>
        <v/>
      </c>
      <c r="T500" s="238" t="str">
        <f t="shared" si="8"/>
        <v>No Data</v>
      </c>
      <c r="U500" s="238">
        <f t="shared" si="1022"/>
        <v>1</v>
      </c>
      <c r="V500" s="238"/>
    </row>
    <row r="501">
      <c r="A501" s="237" t="s">
        <v>613</v>
      </c>
      <c r="B501" s="233" t="s">
        <v>614</v>
      </c>
      <c r="C501" s="234" t="s">
        <v>94</v>
      </c>
      <c r="D501" s="234" t="s">
        <v>887</v>
      </c>
      <c r="E501" s="233" t="s">
        <v>21</v>
      </c>
      <c r="F501" s="235" t="s">
        <v>927</v>
      </c>
      <c r="G501" s="233"/>
      <c r="H501" s="219">
        <f>IFERROR(
  MINIFS(ATTENDANCE_LOG!$F:$F,
         ATTENDANCE_LOG!$A:$A, C501,
         ATTENDANCE_LOG!$B:$B, E501),
"")</f>
        <v>46083.625</v>
      </c>
      <c r="I501" s="233">
        <f>IFERROR(VLOOKUP(F501, LEVEL_HELPER!$A:$B, 2, 0), "")</f>
        <v>1</v>
      </c>
      <c r="J501" s="233" t="str">
        <f>IFERROR(VLOOKUP(G501, LEVEL_HELPER!$A:$B, 2, 0), "")</f>
        <v/>
      </c>
      <c r="K501" s="233">
        <f t="shared" ref="K501:L501" si="1029">IF(OR(I501="", I501=0), "",
  IF(I501&lt;=2,   1,
  IF(I501&lt;=4,   2,
  IF(I501&lt;=5.5, 3, 4))))</f>
        <v>1</v>
      </c>
      <c r="L501" s="190" t="str">
        <f t="shared" si="1029"/>
        <v/>
      </c>
      <c r="M501" s="190" t="str">
        <f t="shared" si="4"/>
        <v>No Data</v>
      </c>
      <c r="N501" s="237" t="s">
        <v>943</v>
      </c>
      <c r="O501" s="237" t="s">
        <v>925</v>
      </c>
      <c r="P501" s="233">
        <f t="shared" si="5"/>
        <v>1</v>
      </c>
      <c r="Q501" s="238">
        <f t="shared" si="6"/>
        <v>0</v>
      </c>
      <c r="R501" s="238">
        <f t="shared" ref="R501:S501" si="1030">IF(OR(P501="", P501=0), "",
  IF(P501&lt;=2,   1,
  IF(P501&lt;=4,   2,
  IF(P501&lt;=5.5, 3, 4))))</f>
        <v>1</v>
      </c>
      <c r="S501" s="238" t="str">
        <f t="shared" si="1030"/>
        <v/>
      </c>
      <c r="T501" s="238" t="str">
        <f t="shared" si="8"/>
        <v>No Data</v>
      </c>
      <c r="U501" s="238">
        <f t="shared" si="1022"/>
        <v>1</v>
      </c>
      <c r="V501" s="238"/>
    </row>
    <row r="502">
      <c r="A502" s="257">
        <v>193470.0</v>
      </c>
      <c r="B502" s="252" t="s">
        <v>724</v>
      </c>
      <c r="C502" s="251" t="s">
        <v>783</v>
      </c>
      <c r="D502" s="251" t="s">
        <v>891</v>
      </c>
      <c r="E502" s="250" t="s">
        <v>21</v>
      </c>
      <c r="F502" s="252" t="s">
        <v>927</v>
      </c>
      <c r="G502" s="250"/>
      <c r="H502" s="219">
        <f>IFERROR(
  MINIFS(ATTENDANCE_LOG!$F:$F,
         ATTENDANCE_LOG!$A:$A, C502,
         ATTENDANCE_LOG!$B:$B, E502),
"")</f>
        <v>46085.58333</v>
      </c>
      <c r="I502" s="233">
        <f>IFERROR(VLOOKUP(F502, LEVEL_HELPER!$A:$B, 2, 0), "")</f>
        <v>1</v>
      </c>
      <c r="J502" s="233" t="str">
        <f>IFERROR(VLOOKUP(G502, LEVEL_HELPER!$A:$B, 2, 0), "")</f>
        <v/>
      </c>
      <c r="K502" s="233">
        <f t="shared" ref="K502:L502" si="1031">IF(OR(I502="", I502=0), "",
  IF(I502&lt;=2,   1,
  IF(I502&lt;=4,   2,
  IF(I502&lt;=5.5, 3, 4))))</f>
        <v>1</v>
      </c>
      <c r="L502" s="190" t="str">
        <f t="shared" si="1031"/>
        <v/>
      </c>
      <c r="M502" s="190" t="str">
        <f t="shared" si="4"/>
        <v>No Data</v>
      </c>
      <c r="N502" s="257" t="s">
        <v>943</v>
      </c>
      <c r="O502" s="257" t="s">
        <v>925</v>
      </c>
      <c r="P502" s="233">
        <f t="shared" si="5"/>
        <v>1</v>
      </c>
      <c r="Q502" s="238">
        <f t="shared" si="6"/>
        <v>0</v>
      </c>
      <c r="R502" s="238">
        <f t="shared" ref="R502:S502" si="1032">IF(OR(P502="", P502=0), "",
  IF(P502&lt;=2,   1,
  IF(P502&lt;=4,   2,
  IF(P502&lt;=5.5, 3, 4))))</f>
        <v>1</v>
      </c>
      <c r="S502" s="238" t="str">
        <f t="shared" si="1032"/>
        <v/>
      </c>
      <c r="T502" s="238" t="str">
        <f t="shared" si="8"/>
        <v>No Data</v>
      </c>
      <c r="U502" s="238">
        <f t="shared" si="1022"/>
        <v>1</v>
      </c>
      <c r="V502" s="238"/>
    </row>
    <row r="503">
      <c r="A503" s="259">
        <v>153138.0</v>
      </c>
      <c r="B503" s="233" t="s">
        <v>726</v>
      </c>
      <c r="C503" s="234" t="s">
        <v>783</v>
      </c>
      <c r="D503" s="234" t="s">
        <v>891</v>
      </c>
      <c r="E503" s="233" t="s">
        <v>21</v>
      </c>
      <c r="F503" s="235" t="s">
        <v>927</v>
      </c>
      <c r="G503" s="233"/>
      <c r="H503" s="219">
        <f>IFERROR(
  MINIFS(ATTENDANCE_LOG!$F:$F,
         ATTENDANCE_LOG!$A:$A, C503,
         ATTENDANCE_LOG!$B:$B, E503),
"")</f>
        <v>46085.58333</v>
      </c>
      <c r="I503" s="233">
        <f>IFERROR(VLOOKUP(F503, LEVEL_HELPER!$A:$B, 2, 0), "")</f>
        <v>1</v>
      </c>
      <c r="J503" s="233" t="str">
        <f>IFERROR(VLOOKUP(G503, LEVEL_HELPER!$A:$B, 2, 0), "")</f>
        <v/>
      </c>
      <c r="K503" s="233">
        <f t="shared" ref="K503:L503" si="1033">IF(OR(I503="", I503=0), "",
  IF(I503&lt;=2,   1,
  IF(I503&lt;=4,   2,
  IF(I503&lt;=5.5, 3, 4))))</f>
        <v>1</v>
      </c>
      <c r="L503" s="190" t="str">
        <f t="shared" si="1033"/>
        <v/>
      </c>
      <c r="M503" s="190" t="str">
        <f t="shared" si="4"/>
        <v>No Data</v>
      </c>
      <c r="N503" s="259" t="s">
        <v>943</v>
      </c>
      <c r="O503" s="259" t="s">
        <v>925</v>
      </c>
      <c r="P503" s="233">
        <f t="shared" si="5"/>
        <v>1</v>
      </c>
      <c r="Q503" s="238">
        <f t="shared" si="6"/>
        <v>0</v>
      </c>
      <c r="R503" s="238">
        <f t="shared" ref="R503:S503" si="1034">IF(OR(P503="", P503=0), "",
  IF(P503&lt;=2,   1,
  IF(P503&lt;=4,   2,
  IF(P503&lt;=5.5, 3, 4))))</f>
        <v>1</v>
      </c>
      <c r="S503" s="238" t="str">
        <f t="shared" si="1034"/>
        <v/>
      </c>
      <c r="T503" s="238" t="str">
        <f t="shared" si="8"/>
        <v>No Data</v>
      </c>
      <c r="U503" s="238">
        <f t="shared" si="1022"/>
        <v>1</v>
      </c>
      <c r="V503" s="238"/>
    </row>
    <row r="504">
      <c r="A504" s="259">
        <v>193522.0</v>
      </c>
      <c r="B504" s="233" t="s">
        <v>728</v>
      </c>
      <c r="C504" s="234" t="s">
        <v>783</v>
      </c>
      <c r="D504" s="234" t="s">
        <v>891</v>
      </c>
      <c r="E504" s="233" t="s">
        <v>21</v>
      </c>
      <c r="F504" s="235" t="s">
        <v>927</v>
      </c>
      <c r="G504" s="233"/>
      <c r="H504" s="219">
        <f>IFERROR(
  MINIFS(ATTENDANCE_LOG!$F:$F,
         ATTENDANCE_LOG!$A:$A, C504,
         ATTENDANCE_LOG!$B:$B, E504),
"")</f>
        <v>46085.58333</v>
      </c>
      <c r="I504" s="233">
        <f>IFERROR(VLOOKUP(F504, LEVEL_HELPER!$A:$B, 2, 0), "")</f>
        <v>1</v>
      </c>
      <c r="J504" s="233" t="str">
        <f>IFERROR(VLOOKUP(G504, LEVEL_HELPER!$A:$B, 2, 0), "")</f>
        <v/>
      </c>
      <c r="K504" s="233">
        <f t="shared" ref="K504:L504" si="1035">IF(OR(I504="", I504=0), "",
  IF(I504&lt;=2,   1,
  IF(I504&lt;=4,   2,
  IF(I504&lt;=5.5, 3, 4))))</f>
        <v>1</v>
      </c>
      <c r="L504" s="190" t="str">
        <f t="shared" si="1035"/>
        <v/>
      </c>
      <c r="M504" s="190" t="str">
        <f t="shared" si="4"/>
        <v>No Data</v>
      </c>
      <c r="N504" s="259" t="s">
        <v>943</v>
      </c>
      <c r="O504" s="259" t="s">
        <v>925</v>
      </c>
      <c r="P504" s="233">
        <f t="shared" si="5"/>
        <v>1</v>
      </c>
      <c r="Q504" s="238">
        <f t="shared" si="6"/>
        <v>0</v>
      </c>
      <c r="R504" s="238">
        <f t="shared" ref="R504:S504" si="1036">IF(OR(P504="", P504=0), "",
  IF(P504&lt;=2,   1,
  IF(P504&lt;=4,   2,
  IF(P504&lt;=5.5, 3, 4))))</f>
        <v>1</v>
      </c>
      <c r="S504" s="238" t="str">
        <f t="shared" si="1036"/>
        <v/>
      </c>
      <c r="T504" s="238" t="str">
        <f t="shared" si="8"/>
        <v>No Data</v>
      </c>
      <c r="U504" s="238">
        <f t="shared" si="1022"/>
        <v>1</v>
      </c>
      <c r="V504" s="238"/>
    </row>
    <row r="505">
      <c r="A505" s="259">
        <v>237070.0</v>
      </c>
      <c r="B505" s="233" t="s">
        <v>730</v>
      </c>
      <c r="C505" s="234" t="s">
        <v>783</v>
      </c>
      <c r="D505" s="234" t="s">
        <v>891</v>
      </c>
      <c r="E505" s="233" t="s">
        <v>21</v>
      </c>
      <c r="F505" s="235" t="s">
        <v>927</v>
      </c>
      <c r="G505" s="233"/>
      <c r="H505" s="219">
        <f>IFERROR(
  MINIFS(ATTENDANCE_LOG!$F:$F,
         ATTENDANCE_LOG!$A:$A, C505,
         ATTENDANCE_LOG!$B:$B, E505),
"")</f>
        <v>46085.58333</v>
      </c>
      <c r="I505" s="233">
        <f>IFERROR(VLOOKUP(F505, LEVEL_HELPER!$A:$B, 2, 0), "")</f>
        <v>1</v>
      </c>
      <c r="J505" s="233" t="str">
        <f>IFERROR(VLOOKUP(G505, LEVEL_HELPER!$A:$B, 2, 0), "")</f>
        <v/>
      </c>
      <c r="K505" s="233">
        <f t="shared" ref="K505:L505" si="1037">IF(OR(I505="", I505=0), "",
  IF(I505&lt;=2,   1,
  IF(I505&lt;=4,   2,
  IF(I505&lt;=5.5, 3, 4))))</f>
        <v>1</v>
      </c>
      <c r="L505" s="190" t="str">
        <f t="shared" si="1037"/>
        <v/>
      </c>
      <c r="M505" s="190" t="str">
        <f t="shared" si="4"/>
        <v>No Data</v>
      </c>
      <c r="N505" s="259" t="s">
        <v>943</v>
      </c>
      <c r="O505" s="259" t="s">
        <v>925</v>
      </c>
      <c r="P505" s="233">
        <f t="shared" si="5"/>
        <v>1</v>
      </c>
      <c r="Q505" s="238">
        <f t="shared" si="6"/>
        <v>0</v>
      </c>
      <c r="R505" s="238">
        <f t="shared" ref="R505:S505" si="1038">IF(OR(P505="", P505=0), "",
  IF(P505&lt;=2,   1,
  IF(P505&lt;=4,   2,
  IF(P505&lt;=5.5, 3, 4))))</f>
        <v>1</v>
      </c>
      <c r="S505" s="238" t="str">
        <f t="shared" si="1038"/>
        <v/>
      </c>
      <c r="T505" s="238" t="str">
        <f t="shared" si="8"/>
        <v>No Data</v>
      </c>
      <c r="U505" s="238">
        <f t="shared" si="1022"/>
        <v>1</v>
      </c>
      <c r="V505" s="238"/>
    </row>
    <row r="506">
      <c r="A506" s="259">
        <v>203757.0</v>
      </c>
      <c r="B506" s="233" t="s">
        <v>732</v>
      </c>
      <c r="C506" s="234" t="s">
        <v>783</v>
      </c>
      <c r="D506" s="234" t="s">
        <v>891</v>
      </c>
      <c r="E506" s="233" t="s">
        <v>21</v>
      </c>
      <c r="F506" s="235" t="s">
        <v>927</v>
      </c>
      <c r="G506" s="233"/>
      <c r="H506" s="219">
        <f>IFERROR(
  MINIFS(ATTENDANCE_LOG!$F:$F,
         ATTENDANCE_LOG!$A:$A, C506,
         ATTENDANCE_LOG!$B:$B, E506),
"")</f>
        <v>46085.58333</v>
      </c>
      <c r="I506" s="233">
        <f>IFERROR(VLOOKUP(F506, LEVEL_HELPER!$A:$B, 2, 0), "")</f>
        <v>1</v>
      </c>
      <c r="J506" s="233" t="str">
        <f>IFERROR(VLOOKUP(G506, LEVEL_HELPER!$A:$B, 2, 0), "")</f>
        <v/>
      </c>
      <c r="K506" s="233">
        <f t="shared" ref="K506:L506" si="1039">IF(OR(I506="", I506=0), "",
  IF(I506&lt;=2,   1,
  IF(I506&lt;=4,   2,
  IF(I506&lt;=5.5, 3, 4))))</f>
        <v>1</v>
      </c>
      <c r="L506" s="190" t="str">
        <f t="shared" si="1039"/>
        <v/>
      </c>
      <c r="M506" s="190" t="str">
        <f t="shared" si="4"/>
        <v>No Data</v>
      </c>
      <c r="N506" s="259" t="s">
        <v>943</v>
      </c>
      <c r="O506" s="259" t="s">
        <v>925</v>
      </c>
      <c r="P506" s="233">
        <f t="shared" si="5"/>
        <v>1</v>
      </c>
      <c r="Q506" s="238">
        <f t="shared" si="6"/>
        <v>0</v>
      </c>
      <c r="R506" s="238">
        <f t="shared" ref="R506:S506" si="1040">IF(OR(P506="", P506=0), "",
  IF(P506&lt;=2,   1,
  IF(P506&lt;=4,   2,
  IF(P506&lt;=5.5, 3, 4))))</f>
        <v>1</v>
      </c>
      <c r="S506" s="238" t="str">
        <f t="shared" si="1040"/>
        <v/>
      </c>
      <c r="T506" s="238" t="str">
        <f t="shared" si="8"/>
        <v>No Data</v>
      </c>
      <c r="U506" s="238">
        <f t="shared" si="1022"/>
        <v>1</v>
      </c>
      <c r="V506" s="238"/>
    </row>
    <row r="507">
      <c r="A507" s="259">
        <v>213911.0</v>
      </c>
      <c r="B507" s="233" t="s">
        <v>734</v>
      </c>
      <c r="C507" s="234" t="s">
        <v>783</v>
      </c>
      <c r="D507" s="234" t="s">
        <v>891</v>
      </c>
      <c r="E507" s="233" t="s">
        <v>21</v>
      </c>
      <c r="F507" s="235" t="s">
        <v>927</v>
      </c>
      <c r="G507" s="233"/>
      <c r="H507" s="219">
        <f>IFERROR(
  MINIFS(ATTENDANCE_LOG!$F:$F,
         ATTENDANCE_LOG!$A:$A, C507,
         ATTENDANCE_LOG!$B:$B, E507),
"")</f>
        <v>46085.58333</v>
      </c>
      <c r="I507" s="233">
        <f>IFERROR(VLOOKUP(F507, LEVEL_HELPER!$A:$B, 2, 0), "")</f>
        <v>1</v>
      </c>
      <c r="J507" s="233" t="str">
        <f>IFERROR(VLOOKUP(G507, LEVEL_HELPER!$A:$B, 2, 0), "")</f>
        <v/>
      </c>
      <c r="K507" s="233">
        <f t="shared" ref="K507:L507" si="1041">IF(OR(I507="", I507=0), "",
  IF(I507&lt;=2,   1,
  IF(I507&lt;=4,   2,
  IF(I507&lt;=5.5, 3, 4))))</f>
        <v>1</v>
      </c>
      <c r="L507" s="190" t="str">
        <f t="shared" si="1041"/>
        <v/>
      </c>
      <c r="M507" s="190" t="str">
        <f t="shared" si="4"/>
        <v>No Data</v>
      </c>
      <c r="N507" s="259" t="s">
        <v>943</v>
      </c>
      <c r="O507" s="259" t="s">
        <v>925</v>
      </c>
      <c r="P507" s="233">
        <f t="shared" si="5"/>
        <v>1</v>
      </c>
      <c r="Q507" s="238">
        <f t="shared" si="6"/>
        <v>0</v>
      </c>
      <c r="R507" s="238">
        <f t="shared" ref="R507:S507" si="1042">IF(OR(P507="", P507=0), "",
  IF(P507&lt;=2,   1,
  IF(P507&lt;=4,   2,
  IF(P507&lt;=5.5, 3, 4))))</f>
        <v>1</v>
      </c>
      <c r="S507" s="238" t="str">
        <f t="shared" si="1042"/>
        <v/>
      </c>
      <c r="T507" s="238" t="str">
        <f t="shared" si="8"/>
        <v>No Data</v>
      </c>
      <c r="U507" s="238">
        <f t="shared" si="1022"/>
        <v>1</v>
      </c>
      <c r="V507" s="238"/>
    </row>
    <row r="508">
      <c r="A508" s="257">
        <v>203791.0</v>
      </c>
      <c r="B508" s="252" t="s">
        <v>736</v>
      </c>
      <c r="C508" s="260" t="s">
        <v>794</v>
      </c>
      <c r="D508" s="260" t="s">
        <v>892</v>
      </c>
      <c r="E508" s="250" t="s">
        <v>21</v>
      </c>
      <c r="F508" s="252" t="s">
        <v>927</v>
      </c>
      <c r="G508" s="250"/>
      <c r="H508" s="219">
        <f>IFERROR(
  MINIFS(ATTENDANCE_LOG!$F:$F,
         ATTENDANCE_LOG!$A:$A, C508,
         ATTENDANCE_LOG!$B:$B, E508),
"")</f>
        <v>46085.625</v>
      </c>
      <c r="I508" s="233">
        <f>IFERROR(VLOOKUP(F508, LEVEL_HELPER!$A:$B, 2, 0), "")</f>
        <v>1</v>
      </c>
      <c r="J508" s="233" t="str">
        <f>IFERROR(VLOOKUP(G508, LEVEL_HELPER!$A:$B, 2, 0), "")</f>
        <v/>
      </c>
      <c r="K508" s="233">
        <f t="shared" ref="K508:L508" si="1043">IF(OR(I508="", I508=0), "",
  IF(I508&lt;=2,   1,
  IF(I508&lt;=4,   2,
  IF(I508&lt;=5.5, 3, 4))))</f>
        <v>1</v>
      </c>
      <c r="L508" s="190" t="str">
        <f t="shared" si="1043"/>
        <v/>
      </c>
      <c r="M508" s="190" t="str">
        <f t="shared" si="4"/>
        <v>No Data</v>
      </c>
      <c r="N508" s="257" t="s">
        <v>943</v>
      </c>
      <c r="O508" s="257" t="s">
        <v>925</v>
      </c>
      <c r="P508" s="233">
        <f t="shared" si="5"/>
        <v>1</v>
      </c>
      <c r="Q508" s="238">
        <f t="shared" si="6"/>
        <v>0</v>
      </c>
      <c r="R508" s="238">
        <f t="shared" ref="R508:S508" si="1044">IF(OR(P508="", P508=0), "",
  IF(P508&lt;=2,   1,
  IF(P508&lt;=4,   2,
  IF(P508&lt;=5.5, 3, 4))))</f>
        <v>1</v>
      </c>
      <c r="S508" s="238" t="str">
        <f t="shared" si="1044"/>
        <v/>
      </c>
      <c r="T508" s="238" t="str">
        <f t="shared" si="8"/>
        <v>No Data</v>
      </c>
      <c r="U508" s="238">
        <f t="shared" si="1022"/>
        <v>1</v>
      </c>
      <c r="V508" s="238"/>
    </row>
    <row r="509">
      <c r="A509" s="259">
        <v>237031.0</v>
      </c>
      <c r="B509" s="233" t="s">
        <v>738</v>
      </c>
      <c r="C509" s="261" t="s">
        <v>794</v>
      </c>
      <c r="D509" s="261" t="s">
        <v>892</v>
      </c>
      <c r="E509" s="233" t="s">
        <v>21</v>
      </c>
      <c r="F509" s="235" t="s">
        <v>927</v>
      </c>
      <c r="G509" s="233"/>
      <c r="H509" s="219">
        <f>IFERROR(
  MINIFS(ATTENDANCE_LOG!$F:$F,
         ATTENDANCE_LOG!$A:$A, C509,
         ATTENDANCE_LOG!$B:$B, E509),
"")</f>
        <v>46085.625</v>
      </c>
      <c r="I509" s="233">
        <f>IFERROR(VLOOKUP(F509, LEVEL_HELPER!$A:$B, 2, 0), "")</f>
        <v>1</v>
      </c>
      <c r="J509" s="233" t="str">
        <f>IFERROR(VLOOKUP(G509, LEVEL_HELPER!$A:$B, 2, 0), "")</f>
        <v/>
      </c>
      <c r="K509" s="233">
        <f t="shared" ref="K509:L509" si="1045">IF(OR(I509="", I509=0), "",
  IF(I509&lt;=2,   1,
  IF(I509&lt;=4,   2,
  IF(I509&lt;=5.5, 3, 4))))</f>
        <v>1</v>
      </c>
      <c r="L509" s="190" t="str">
        <f t="shared" si="1045"/>
        <v/>
      </c>
      <c r="M509" s="190" t="str">
        <f t="shared" si="4"/>
        <v>No Data</v>
      </c>
      <c r="N509" s="259" t="s">
        <v>943</v>
      </c>
      <c r="O509" s="259" t="s">
        <v>925</v>
      </c>
      <c r="P509" s="233">
        <f t="shared" si="5"/>
        <v>1</v>
      </c>
      <c r="Q509" s="238">
        <f t="shared" si="6"/>
        <v>0</v>
      </c>
      <c r="R509" s="238">
        <f t="shared" ref="R509:S509" si="1046">IF(OR(P509="", P509=0), "",
  IF(P509&lt;=2,   1,
  IF(P509&lt;=4,   2,
  IF(P509&lt;=5.5, 3, 4))))</f>
        <v>1</v>
      </c>
      <c r="S509" s="238" t="str">
        <f t="shared" si="1046"/>
        <v/>
      </c>
      <c r="T509" s="238" t="str">
        <f t="shared" si="8"/>
        <v>No Data</v>
      </c>
      <c r="U509" s="238">
        <f t="shared" si="1022"/>
        <v>1</v>
      </c>
      <c r="V509" s="238"/>
    </row>
    <row r="510">
      <c r="A510" s="259">
        <v>203713.0</v>
      </c>
      <c r="B510" s="233" t="s">
        <v>740</v>
      </c>
      <c r="C510" s="261" t="s">
        <v>794</v>
      </c>
      <c r="D510" s="261" t="s">
        <v>892</v>
      </c>
      <c r="E510" s="233" t="s">
        <v>21</v>
      </c>
      <c r="F510" s="235" t="s">
        <v>927</v>
      </c>
      <c r="G510" s="233"/>
      <c r="H510" s="219">
        <f>IFERROR(
  MINIFS(ATTENDANCE_LOG!$F:$F,
         ATTENDANCE_LOG!$A:$A, C510,
         ATTENDANCE_LOG!$B:$B, E510),
"")</f>
        <v>46085.625</v>
      </c>
      <c r="I510" s="233">
        <f>IFERROR(VLOOKUP(F510, LEVEL_HELPER!$A:$B, 2, 0), "")</f>
        <v>1</v>
      </c>
      <c r="J510" s="233" t="str">
        <f>IFERROR(VLOOKUP(G510, LEVEL_HELPER!$A:$B, 2, 0), "")</f>
        <v/>
      </c>
      <c r="K510" s="233">
        <f t="shared" ref="K510:L510" si="1047">IF(OR(I510="", I510=0), "",
  IF(I510&lt;=2,   1,
  IF(I510&lt;=4,   2,
  IF(I510&lt;=5.5, 3, 4))))</f>
        <v>1</v>
      </c>
      <c r="L510" s="190" t="str">
        <f t="shared" si="1047"/>
        <v/>
      </c>
      <c r="M510" s="190" t="str">
        <f t="shared" si="4"/>
        <v>No Data</v>
      </c>
      <c r="N510" s="259" t="s">
        <v>943</v>
      </c>
      <c r="O510" s="259" t="s">
        <v>925</v>
      </c>
      <c r="P510" s="233">
        <f t="shared" si="5"/>
        <v>1</v>
      </c>
      <c r="Q510" s="238">
        <f t="shared" si="6"/>
        <v>0</v>
      </c>
      <c r="R510" s="238">
        <f t="shared" ref="R510:S510" si="1048">IF(OR(P510="", P510=0), "",
  IF(P510&lt;=2,   1,
  IF(P510&lt;=4,   2,
  IF(P510&lt;=5.5, 3, 4))))</f>
        <v>1</v>
      </c>
      <c r="S510" s="238" t="str">
        <f t="shared" si="1048"/>
        <v/>
      </c>
      <c r="T510" s="238" t="str">
        <f t="shared" si="8"/>
        <v>No Data</v>
      </c>
      <c r="U510" s="238">
        <f t="shared" si="1022"/>
        <v>1</v>
      </c>
      <c r="V510" s="238"/>
    </row>
    <row r="511">
      <c r="A511" s="259">
        <v>213874.0</v>
      </c>
      <c r="B511" s="233" t="s">
        <v>742</v>
      </c>
      <c r="C511" s="261" t="s">
        <v>794</v>
      </c>
      <c r="D511" s="261" t="s">
        <v>892</v>
      </c>
      <c r="E511" s="233" t="s">
        <v>21</v>
      </c>
      <c r="F511" s="235" t="s">
        <v>927</v>
      </c>
      <c r="G511" s="233"/>
      <c r="H511" s="219">
        <f>IFERROR(
  MINIFS(ATTENDANCE_LOG!$F:$F,
         ATTENDANCE_LOG!$A:$A, C511,
         ATTENDANCE_LOG!$B:$B, E511),
"")</f>
        <v>46085.625</v>
      </c>
      <c r="I511" s="233">
        <f>IFERROR(VLOOKUP(F511, LEVEL_HELPER!$A:$B, 2, 0), "")</f>
        <v>1</v>
      </c>
      <c r="J511" s="233" t="str">
        <f>IFERROR(VLOOKUP(G511, LEVEL_HELPER!$A:$B, 2, 0), "")</f>
        <v/>
      </c>
      <c r="K511" s="233">
        <f t="shared" ref="K511:L511" si="1049">IF(OR(I511="", I511=0), "",
  IF(I511&lt;=2,   1,
  IF(I511&lt;=4,   2,
  IF(I511&lt;=5.5, 3, 4))))</f>
        <v>1</v>
      </c>
      <c r="L511" s="190" t="str">
        <f t="shared" si="1049"/>
        <v/>
      </c>
      <c r="M511" s="190" t="str">
        <f t="shared" si="4"/>
        <v>No Data</v>
      </c>
      <c r="N511" s="259" t="s">
        <v>943</v>
      </c>
      <c r="O511" s="259" t="s">
        <v>925</v>
      </c>
      <c r="P511" s="233">
        <f t="shared" si="5"/>
        <v>1</v>
      </c>
      <c r="Q511" s="238">
        <f t="shared" si="6"/>
        <v>0</v>
      </c>
      <c r="R511" s="238">
        <f t="shared" ref="R511:S511" si="1050">IF(OR(P511="", P511=0), "",
  IF(P511&lt;=2,   1,
  IF(P511&lt;=4,   2,
  IF(P511&lt;=5.5, 3, 4))))</f>
        <v>1</v>
      </c>
      <c r="S511" s="238" t="str">
        <f t="shared" si="1050"/>
        <v/>
      </c>
      <c r="T511" s="238" t="str">
        <f t="shared" si="8"/>
        <v>No Data</v>
      </c>
      <c r="U511" s="238">
        <f t="shared" si="1022"/>
        <v>1</v>
      </c>
      <c r="V511" s="238"/>
    </row>
    <row r="512">
      <c r="A512" s="259">
        <v>203725.0</v>
      </c>
      <c r="B512" s="233" t="s">
        <v>744</v>
      </c>
      <c r="C512" s="261" t="s">
        <v>794</v>
      </c>
      <c r="D512" s="261" t="s">
        <v>892</v>
      </c>
      <c r="E512" s="233" t="s">
        <v>21</v>
      </c>
      <c r="F512" s="235" t="s">
        <v>927</v>
      </c>
      <c r="G512" s="233"/>
      <c r="H512" s="219">
        <f>IFERROR(
  MINIFS(ATTENDANCE_LOG!$F:$F,
         ATTENDANCE_LOG!$A:$A, C512,
         ATTENDANCE_LOG!$B:$B, E512),
"")</f>
        <v>46085.625</v>
      </c>
      <c r="I512" s="233">
        <f>IFERROR(VLOOKUP(F512, LEVEL_HELPER!$A:$B, 2, 0), "")</f>
        <v>1</v>
      </c>
      <c r="J512" s="233" t="str">
        <f>IFERROR(VLOOKUP(G512, LEVEL_HELPER!$A:$B, 2, 0), "")</f>
        <v/>
      </c>
      <c r="K512" s="233">
        <f t="shared" ref="K512:L512" si="1051">IF(OR(I512="", I512=0), "",
  IF(I512&lt;=2,   1,
  IF(I512&lt;=4,   2,
  IF(I512&lt;=5.5, 3, 4))))</f>
        <v>1</v>
      </c>
      <c r="L512" s="190" t="str">
        <f t="shared" si="1051"/>
        <v/>
      </c>
      <c r="M512" s="190" t="str">
        <f t="shared" si="4"/>
        <v>No Data</v>
      </c>
      <c r="N512" s="259" t="s">
        <v>943</v>
      </c>
      <c r="O512" s="259" t="s">
        <v>925</v>
      </c>
      <c r="P512" s="233">
        <f t="shared" si="5"/>
        <v>1</v>
      </c>
      <c r="Q512" s="238">
        <f t="shared" si="6"/>
        <v>0</v>
      </c>
      <c r="R512" s="238">
        <f t="shared" ref="R512:S512" si="1052">IF(OR(P512="", P512=0), "",
  IF(P512&lt;=2,   1,
  IF(P512&lt;=4,   2,
  IF(P512&lt;=5.5, 3, 4))))</f>
        <v>1</v>
      </c>
      <c r="S512" s="238" t="str">
        <f t="shared" si="1052"/>
        <v/>
      </c>
      <c r="T512" s="238" t="str">
        <f t="shared" si="8"/>
        <v>No Data</v>
      </c>
      <c r="U512" s="238">
        <f t="shared" si="1022"/>
        <v>1</v>
      </c>
      <c r="V512" s="238"/>
    </row>
    <row r="513">
      <c r="A513" s="259">
        <v>193607.0</v>
      </c>
      <c r="B513" s="233" t="s">
        <v>819</v>
      </c>
      <c r="C513" s="261" t="s">
        <v>794</v>
      </c>
      <c r="D513" s="261" t="s">
        <v>892</v>
      </c>
      <c r="E513" s="233" t="s">
        <v>21</v>
      </c>
      <c r="F513" s="235" t="s">
        <v>927</v>
      </c>
      <c r="G513" s="235"/>
      <c r="H513" s="219">
        <f>IFERROR(
  MINIFS(ATTENDANCE_LOG!$F:$F,
         ATTENDANCE_LOG!$A:$A, C513,
         ATTENDANCE_LOG!$B:$B, E513),
"")</f>
        <v>46085.625</v>
      </c>
      <c r="I513" s="233">
        <f>IFERROR(VLOOKUP(F513, LEVEL_HELPER!$A:$B, 2, 0), "")</f>
        <v>1</v>
      </c>
      <c r="J513" s="233" t="str">
        <f>IFERROR(VLOOKUP(G513, LEVEL_HELPER!$A:$B, 2, 0), "")</f>
        <v/>
      </c>
      <c r="K513" s="233">
        <f t="shared" ref="K513:L513" si="1053">IF(OR(I513="", I513=0), "",
  IF(I513&lt;=2,   1,
  IF(I513&lt;=4,   2,
  IF(I513&lt;=5.5, 3, 4))))</f>
        <v>1</v>
      </c>
      <c r="L513" s="190" t="str">
        <f t="shared" si="1053"/>
        <v/>
      </c>
      <c r="M513" s="190" t="str">
        <f t="shared" si="4"/>
        <v>No Data</v>
      </c>
      <c r="N513" s="259" t="s">
        <v>943</v>
      </c>
      <c r="O513" s="259" t="s">
        <v>925</v>
      </c>
      <c r="P513" s="233">
        <f t="shared" si="5"/>
        <v>1</v>
      </c>
      <c r="Q513" s="238">
        <f t="shared" si="6"/>
        <v>0</v>
      </c>
      <c r="R513" s="238">
        <f t="shared" ref="R513:S513" si="1054">IF(OR(P513="", P513=0), "",
  IF(P513&lt;=2,   1,
  IF(P513&lt;=4,   2,
  IF(P513&lt;=5.5, 3, 4))))</f>
        <v>1</v>
      </c>
      <c r="S513" s="238" t="str">
        <f t="shared" si="1054"/>
        <v/>
      </c>
      <c r="T513" s="238" t="str">
        <f t="shared" si="8"/>
        <v>No Data</v>
      </c>
      <c r="U513" s="238">
        <f t="shared" si="1022"/>
        <v>0</v>
      </c>
      <c r="V513" s="238"/>
    </row>
    <row r="514">
      <c r="A514" s="257">
        <v>227005.0</v>
      </c>
      <c r="B514" s="252" t="s">
        <v>746</v>
      </c>
      <c r="C514" s="260" t="s">
        <v>800</v>
      </c>
      <c r="D514" s="260" t="s">
        <v>890</v>
      </c>
      <c r="E514" s="250" t="s">
        <v>21</v>
      </c>
      <c r="F514" s="252" t="s">
        <v>935</v>
      </c>
      <c r="G514" s="250"/>
      <c r="H514" s="219">
        <f>IFERROR(
  MINIFS(ATTENDANCE_LOG!$F:$F,
         ATTENDANCE_LOG!$A:$A, C514,
         ATTENDANCE_LOG!$B:$B, E514),
"")</f>
        <v>46113.58333</v>
      </c>
      <c r="I514" s="233">
        <f>IFERROR(VLOOKUP(F514, LEVEL_HELPER!$A:$B, 2, 0), "")</f>
        <v>3.5</v>
      </c>
      <c r="J514" s="233" t="str">
        <f>IFERROR(VLOOKUP(G514, LEVEL_HELPER!$A:$B, 2, 0), "")</f>
        <v/>
      </c>
      <c r="K514" s="233">
        <f t="shared" ref="K514:L514" si="1055">IF(OR(I514="", I514=0), "",
  IF(I514&lt;=2,   1,
  IF(I514&lt;=4,   2,
  IF(I514&lt;=5.5, 3, 4))))</f>
        <v>2</v>
      </c>
      <c r="L514" s="190" t="str">
        <f t="shared" si="1055"/>
        <v/>
      </c>
      <c r="M514" s="190" t="str">
        <f t="shared" si="4"/>
        <v>No Data</v>
      </c>
      <c r="N514" s="257" t="s">
        <v>959</v>
      </c>
      <c r="O514" s="257" t="s">
        <v>922</v>
      </c>
      <c r="P514" s="233">
        <f t="shared" si="5"/>
        <v>3.5</v>
      </c>
      <c r="Q514" s="238">
        <f t="shared" si="6"/>
        <v>0</v>
      </c>
      <c r="R514" s="238">
        <f t="shared" ref="R514:S514" si="1056">IF(OR(P514="", P514=0), "",
  IF(P514&lt;=2,   1,
  IF(P514&lt;=4,   2,
  IF(P514&lt;=5.5, 3, 4))))</f>
        <v>2</v>
      </c>
      <c r="S514" s="238" t="str">
        <f t="shared" si="1056"/>
        <v/>
      </c>
      <c r="T514" s="238" t="str">
        <f t="shared" si="8"/>
        <v>No Data</v>
      </c>
      <c r="U514" s="238">
        <f t="shared" si="1022"/>
        <v>1</v>
      </c>
      <c r="V514" s="238"/>
    </row>
    <row r="515">
      <c r="A515" s="259">
        <v>213813.0</v>
      </c>
      <c r="B515" s="233" t="s">
        <v>748</v>
      </c>
      <c r="C515" s="261" t="s">
        <v>800</v>
      </c>
      <c r="D515" s="261" t="s">
        <v>890</v>
      </c>
      <c r="E515" s="233" t="s">
        <v>21</v>
      </c>
      <c r="F515" s="235" t="s">
        <v>927</v>
      </c>
      <c r="G515" s="233"/>
      <c r="H515" s="219">
        <f>IFERROR(
  MINIFS(ATTENDANCE_LOG!$F:$F,
         ATTENDANCE_LOG!$A:$A, C515,
         ATTENDANCE_LOG!$B:$B, E515),
"")</f>
        <v>46113.58333</v>
      </c>
      <c r="I515" s="233">
        <f>IFERROR(VLOOKUP(F515, LEVEL_HELPER!$A:$B, 2, 0), "")</f>
        <v>1</v>
      </c>
      <c r="J515" s="233" t="str">
        <f>IFERROR(VLOOKUP(G515, LEVEL_HELPER!$A:$B, 2, 0), "")</f>
        <v/>
      </c>
      <c r="K515" s="233">
        <f t="shared" ref="K515:L515" si="1057">IF(OR(I515="", I515=0), "",
  IF(I515&lt;=2,   1,
  IF(I515&lt;=4,   2,
  IF(I515&lt;=5.5, 3, 4))))</f>
        <v>1</v>
      </c>
      <c r="L515" s="190" t="str">
        <f t="shared" si="1057"/>
        <v/>
      </c>
      <c r="M515" s="190" t="str">
        <f t="shared" si="4"/>
        <v>No Data</v>
      </c>
      <c r="N515" s="259" t="s">
        <v>943</v>
      </c>
      <c r="O515" s="259" t="s">
        <v>923</v>
      </c>
      <c r="P515" s="233">
        <f t="shared" si="5"/>
        <v>1</v>
      </c>
      <c r="Q515" s="238">
        <f t="shared" si="6"/>
        <v>0</v>
      </c>
      <c r="R515" s="238">
        <f t="shared" ref="R515:S515" si="1058">IF(OR(P515="", P515=0), "",
  IF(P515&lt;=2,   1,
  IF(P515&lt;=4,   2,
  IF(P515&lt;=5.5, 3, 4))))</f>
        <v>1</v>
      </c>
      <c r="S515" s="238" t="str">
        <f t="shared" si="1058"/>
        <v/>
      </c>
      <c r="T515" s="238" t="str">
        <f t="shared" si="8"/>
        <v>No Data</v>
      </c>
      <c r="U515" s="238">
        <f t="shared" si="1022"/>
        <v>1</v>
      </c>
      <c r="V515" s="238"/>
    </row>
    <row r="516">
      <c r="A516" s="259">
        <v>203786.0</v>
      </c>
      <c r="B516" s="233" t="s">
        <v>750</v>
      </c>
      <c r="C516" s="261" t="s">
        <v>800</v>
      </c>
      <c r="D516" s="261" t="s">
        <v>890</v>
      </c>
      <c r="E516" s="233" t="s">
        <v>21</v>
      </c>
      <c r="F516" s="235" t="s">
        <v>935</v>
      </c>
      <c r="G516" s="233"/>
      <c r="H516" s="219">
        <f>IFERROR(
  MINIFS(ATTENDANCE_LOG!$F:$F,
         ATTENDANCE_LOG!$A:$A, C516,
         ATTENDANCE_LOG!$B:$B, E516),
"")</f>
        <v>46113.58333</v>
      </c>
      <c r="I516" s="233">
        <f>IFERROR(VLOOKUP(F516, LEVEL_HELPER!$A:$B, 2, 0), "")</f>
        <v>3.5</v>
      </c>
      <c r="J516" s="233" t="str">
        <f>IFERROR(VLOOKUP(G516, LEVEL_HELPER!$A:$B, 2, 0), "")</f>
        <v/>
      </c>
      <c r="K516" s="233">
        <f t="shared" ref="K516:L516" si="1059">IF(OR(I516="", I516=0), "",
  IF(I516&lt;=2,   1,
  IF(I516&lt;=4,   2,
  IF(I516&lt;=5.5, 3, 4))))</f>
        <v>2</v>
      </c>
      <c r="L516" s="190" t="str">
        <f t="shared" si="1059"/>
        <v/>
      </c>
      <c r="M516" s="190" t="str">
        <f t="shared" si="4"/>
        <v>No Data</v>
      </c>
      <c r="N516" s="259" t="s">
        <v>947</v>
      </c>
      <c r="O516" s="259" t="s">
        <v>923</v>
      </c>
      <c r="P516" s="233">
        <f t="shared" si="5"/>
        <v>3.5</v>
      </c>
      <c r="Q516" s="238">
        <f t="shared" si="6"/>
        <v>0</v>
      </c>
      <c r="R516" s="238">
        <f t="shared" ref="R516:S516" si="1060">IF(OR(P516="", P516=0), "",
  IF(P516&lt;=2,   1,
  IF(P516&lt;=4,   2,
  IF(P516&lt;=5.5, 3, 4))))</f>
        <v>2</v>
      </c>
      <c r="S516" s="238" t="str">
        <f t="shared" si="1060"/>
        <v/>
      </c>
      <c r="T516" s="238" t="str">
        <f t="shared" si="8"/>
        <v>No Data</v>
      </c>
      <c r="U516" s="238">
        <f t="shared" si="1022"/>
        <v>1</v>
      </c>
      <c r="V516" s="238"/>
    </row>
    <row r="517">
      <c r="A517" s="259">
        <v>257121.0</v>
      </c>
      <c r="B517" s="233" t="s">
        <v>752</v>
      </c>
      <c r="C517" s="261" t="s">
        <v>800</v>
      </c>
      <c r="D517" s="261" t="s">
        <v>890</v>
      </c>
      <c r="E517" s="233" t="s">
        <v>21</v>
      </c>
      <c r="F517" s="235" t="s">
        <v>929</v>
      </c>
      <c r="G517" s="233"/>
      <c r="H517" s="219">
        <f>IFERROR(
  MINIFS(ATTENDANCE_LOG!$F:$F,
         ATTENDANCE_LOG!$A:$A, C517,
         ATTENDANCE_LOG!$B:$B, E517),
"")</f>
        <v>46113.58333</v>
      </c>
      <c r="I517" s="233">
        <f>IFERROR(VLOOKUP(F517, LEVEL_HELPER!$A:$B, 2, 0), "")</f>
        <v>1.5</v>
      </c>
      <c r="J517" s="233" t="str">
        <f>IFERROR(VLOOKUP(G517, LEVEL_HELPER!$A:$B, 2, 0), "")</f>
        <v/>
      </c>
      <c r="K517" s="233">
        <f t="shared" ref="K517:L517" si="1061">IF(OR(I517="", I517=0), "",
  IF(I517&lt;=2,   1,
  IF(I517&lt;=4,   2,
  IF(I517&lt;=5.5, 3, 4))))</f>
        <v>1</v>
      </c>
      <c r="L517" s="190" t="str">
        <f t="shared" si="1061"/>
        <v/>
      </c>
      <c r="M517" s="190" t="str">
        <f t="shared" si="4"/>
        <v>No Data</v>
      </c>
      <c r="N517" s="259" t="s">
        <v>931</v>
      </c>
      <c r="O517" s="259" t="s">
        <v>920</v>
      </c>
      <c r="P517" s="233">
        <f t="shared" si="5"/>
        <v>1.5</v>
      </c>
      <c r="Q517" s="238">
        <f t="shared" si="6"/>
        <v>0</v>
      </c>
      <c r="R517" s="238">
        <f t="shared" ref="R517:S517" si="1062">IF(OR(P517="", P517=0), "",
  IF(P517&lt;=2,   1,
  IF(P517&lt;=4,   2,
  IF(P517&lt;=5.5, 3, 4))))</f>
        <v>1</v>
      </c>
      <c r="S517" s="238" t="str">
        <f t="shared" si="1062"/>
        <v/>
      </c>
      <c r="T517" s="238" t="str">
        <f t="shared" si="8"/>
        <v>No Data</v>
      </c>
      <c r="U517" s="238">
        <f t="shared" si="1022"/>
        <v>1</v>
      </c>
      <c r="V517" s="238"/>
    </row>
    <row r="518">
      <c r="A518" s="259">
        <v>257135.0</v>
      </c>
      <c r="B518" s="233" t="s">
        <v>754</v>
      </c>
      <c r="C518" s="261" t="s">
        <v>800</v>
      </c>
      <c r="D518" s="261" t="s">
        <v>890</v>
      </c>
      <c r="E518" s="233" t="s">
        <v>21</v>
      </c>
      <c r="F518" s="235" t="s">
        <v>927</v>
      </c>
      <c r="G518" s="233"/>
      <c r="H518" s="219">
        <f>IFERROR(
  MINIFS(ATTENDANCE_LOG!$F:$F,
         ATTENDANCE_LOG!$A:$A, C518,
         ATTENDANCE_LOG!$B:$B, E518),
"")</f>
        <v>46113.58333</v>
      </c>
      <c r="I518" s="233">
        <f>IFERROR(VLOOKUP(F518, LEVEL_HELPER!$A:$B, 2, 0), "")</f>
        <v>1</v>
      </c>
      <c r="J518" s="233" t="str">
        <f>IFERROR(VLOOKUP(G518, LEVEL_HELPER!$A:$B, 2, 0), "")</f>
        <v/>
      </c>
      <c r="K518" s="233">
        <f t="shared" ref="K518:L518" si="1063">IF(OR(I518="", I518=0), "",
  IF(I518&lt;=2,   1,
  IF(I518&lt;=4,   2,
  IF(I518&lt;=5.5, 3, 4))))</f>
        <v>1</v>
      </c>
      <c r="L518" s="190" t="str">
        <f t="shared" si="1063"/>
        <v/>
      </c>
      <c r="M518" s="190" t="str">
        <f t="shared" si="4"/>
        <v>No Data</v>
      </c>
      <c r="N518" s="259" t="s">
        <v>951</v>
      </c>
      <c r="O518" s="259" t="s">
        <v>923</v>
      </c>
      <c r="P518" s="233">
        <f t="shared" si="5"/>
        <v>1</v>
      </c>
      <c r="Q518" s="238">
        <f t="shared" si="6"/>
        <v>0</v>
      </c>
      <c r="R518" s="238">
        <f t="shared" ref="R518:S518" si="1064">IF(OR(P518="", P518=0), "",
  IF(P518&lt;=2,   1,
  IF(P518&lt;=4,   2,
  IF(P518&lt;=5.5, 3, 4))))</f>
        <v>1</v>
      </c>
      <c r="S518" s="238" t="str">
        <f t="shared" si="1064"/>
        <v/>
      </c>
      <c r="T518" s="238" t="str">
        <f t="shared" si="8"/>
        <v>No Data</v>
      </c>
      <c r="U518" s="238">
        <f t="shared" si="1022"/>
        <v>1</v>
      </c>
      <c r="V518" s="238"/>
    </row>
    <row r="519">
      <c r="A519" s="259">
        <v>257059.0</v>
      </c>
      <c r="B519" s="233" t="s">
        <v>756</v>
      </c>
      <c r="C519" s="261" t="s">
        <v>800</v>
      </c>
      <c r="D519" s="261" t="s">
        <v>890</v>
      </c>
      <c r="E519" s="233" t="s">
        <v>21</v>
      </c>
      <c r="F519" s="235" t="s">
        <v>927</v>
      </c>
      <c r="G519" s="233"/>
      <c r="H519" s="219">
        <f>IFERROR(
  MINIFS(ATTENDANCE_LOG!$F:$F,
         ATTENDANCE_LOG!$A:$A, C519,
         ATTENDANCE_LOG!$B:$B, E519),
"")</f>
        <v>46113.58333</v>
      </c>
      <c r="I519" s="233">
        <f>IFERROR(VLOOKUP(F519, LEVEL_HELPER!$A:$B, 2, 0), "")</f>
        <v>1</v>
      </c>
      <c r="J519" s="233" t="str">
        <f>IFERROR(VLOOKUP(G519, LEVEL_HELPER!$A:$B, 2, 0), "")</f>
        <v/>
      </c>
      <c r="K519" s="233">
        <f t="shared" ref="K519:L519" si="1065">IF(OR(I519="", I519=0), "",
  IF(I519&lt;=2,   1,
  IF(I519&lt;=4,   2,
  IF(I519&lt;=5.5, 3, 4))))</f>
        <v>1</v>
      </c>
      <c r="L519" s="190" t="str">
        <f t="shared" si="1065"/>
        <v/>
      </c>
      <c r="M519" s="190" t="str">
        <f t="shared" si="4"/>
        <v>No Data</v>
      </c>
      <c r="N519" s="259" t="s">
        <v>951</v>
      </c>
      <c r="O519" s="259" t="s">
        <v>923</v>
      </c>
      <c r="P519" s="233">
        <f t="shared" si="5"/>
        <v>1</v>
      </c>
      <c r="Q519" s="238">
        <f t="shared" si="6"/>
        <v>0</v>
      </c>
      <c r="R519" s="238">
        <f t="shared" ref="R519:S519" si="1066">IF(OR(P519="", P519=0), "",
  IF(P519&lt;=2,   1,
  IF(P519&lt;=4,   2,
  IF(P519&lt;=5.5, 3, 4))))</f>
        <v>1</v>
      </c>
      <c r="S519" s="238" t="str">
        <f t="shared" si="1066"/>
        <v/>
      </c>
      <c r="T519" s="238" t="str">
        <f t="shared" si="8"/>
        <v>No Data</v>
      </c>
      <c r="U519" s="238">
        <f t="shared" si="1022"/>
        <v>1</v>
      </c>
      <c r="V519" s="238"/>
    </row>
    <row r="520">
      <c r="A520" s="259">
        <v>237103.0</v>
      </c>
      <c r="B520" s="233" t="s">
        <v>816</v>
      </c>
      <c r="C520" s="261" t="s">
        <v>800</v>
      </c>
      <c r="D520" s="261" t="s">
        <v>890</v>
      </c>
      <c r="E520" s="233" t="s">
        <v>21</v>
      </c>
      <c r="F520" s="235" t="s">
        <v>927</v>
      </c>
      <c r="G520" s="233"/>
      <c r="H520" s="219">
        <f>IFERROR(
  MINIFS(ATTENDANCE_LOG!$F:$F,
         ATTENDANCE_LOG!$A:$A, C520,
         ATTENDANCE_LOG!$B:$B, E520),
"")</f>
        <v>46113.58333</v>
      </c>
      <c r="I520" s="233">
        <f>IFERROR(VLOOKUP(F520, LEVEL_HELPER!$A:$B, 2, 0), "")</f>
        <v>1</v>
      </c>
      <c r="J520" s="233" t="str">
        <f>IFERROR(VLOOKUP(G520, LEVEL_HELPER!$A:$B, 2, 0), "")</f>
        <v/>
      </c>
      <c r="K520" s="233">
        <f t="shared" ref="K520:L520" si="1067">IF(OR(I520="", I520=0), "",
  IF(I520&lt;=2,   1,
  IF(I520&lt;=4,   2,
  IF(I520&lt;=5.5, 3, 4))))</f>
        <v>1</v>
      </c>
      <c r="L520" s="190" t="str">
        <f t="shared" si="1067"/>
        <v/>
      </c>
      <c r="M520" s="190" t="str">
        <f t="shared" si="4"/>
        <v>No Data</v>
      </c>
      <c r="N520" s="259" t="s">
        <v>945</v>
      </c>
      <c r="O520" s="259" t="s">
        <v>922</v>
      </c>
      <c r="P520" s="233">
        <f t="shared" si="5"/>
        <v>0.5</v>
      </c>
      <c r="Q520" s="238">
        <f t="shared" si="6"/>
        <v>0</v>
      </c>
      <c r="R520" s="238">
        <f t="shared" ref="R520:S520" si="1068">IF(OR(P520="", P520=0), "",
  IF(P520&lt;=2,   1,
  IF(P520&lt;=4,   2,
  IF(P520&lt;=5.5, 3, 4))))</f>
        <v>1</v>
      </c>
      <c r="S520" s="238" t="str">
        <f t="shared" si="1068"/>
        <v/>
      </c>
      <c r="T520" s="238" t="str">
        <f t="shared" si="8"/>
        <v>No Data</v>
      </c>
      <c r="U520" s="238">
        <f t="shared" si="1022"/>
        <v>1</v>
      </c>
      <c r="V520" s="238"/>
    </row>
    <row r="521">
      <c r="A521" s="253" t="s">
        <v>151</v>
      </c>
      <c r="B521" s="250" t="s">
        <v>152</v>
      </c>
      <c r="C521" s="251" t="s">
        <v>95</v>
      </c>
      <c r="D521" s="251" t="s">
        <v>888</v>
      </c>
      <c r="E521" s="250" t="s">
        <v>25</v>
      </c>
      <c r="F521" s="252" t="s">
        <v>25</v>
      </c>
      <c r="G521" s="250"/>
      <c r="H521" s="219">
        <f>IFERROR(
  MINIFS(ATTENDANCE_LOG!$F:$F,
         ATTENDANCE_LOG!$A:$A, C521,
         ATTENDANCE_LOG!$B:$B, E521),
"")</f>
        <v>46086.58333</v>
      </c>
      <c r="I521" s="250">
        <f>IFERROR(VLOOKUP(F521, LEVEL_HELPER!$A:$B, 2, 0), "")</f>
        <v>0.5</v>
      </c>
      <c r="J521" s="233" t="str">
        <f>IFERROR(VLOOKUP(G521, LEVEL_HELPER!$A:$B, 2, 0), "")</f>
        <v/>
      </c>
      <c r="K521" s="250">
        <f t="shared" ref="K521:L521" si="1069">IF(OR(I521="", I521=0), "",
  IF(I521&lt;=2,   1,
  IF(I521&lt;=4,   2,
  IF(I521&lt;=5.5, 3, 4))))</f>
        <v>1</v>
      </c>
      <c r="L521" s="190" t="str">
        <f t="shared" si="1069"/>
        <v/>
      </c>
      <c r="M521" s="190" t="str">
        <f t="shared" si="4"/>
        <v>No Data</v>
      </c>
      <c r="N521" s="253" t="s">
        <v>943</v>
      </c>
      <c r="O521" s="253" t="s">
        <v>924</v>
      </c>
      <c r="P521" s="250">
        <f t="shared" si="5"/>
        <v>0.5</v>
      </c>
      <c r="Q521" s="254">
        <f t="shared" si="6"/>
        <v>0</v>
      </c>
      <c r="R521" s="254">
        <f t="shared" ref="R521:S521" si="1070">IF(OR(P521="", P521=0), "",
  IF(P521&lt;=2,   1,
  IF(P521&lt;=4,   2,
  IF(P521&lt;=5.5, 3, 4))))</f>
        <v>1</v>
      </c>
      <c r="S521" s="254" t="str">
        <f t="shared" si="1070"/>
        <v/>
      </c>
      <c r="T521" s="254" t="str">
        <f t="shared" si="8"/>
        <v>No Data</v>
      </c>
      <c r="U521" s="254">
        <f t="shared" si="1022"/>
        <v>1</v>
      </c>
      <c r="V521" s="254"/>
    </row>
    <row r="522">
      <c r="A522" s="237" t="s">
        <v>163</v>
      </c>
      <c r="B522" s="233" t="s">
        <v>164</v>
      </c>
      <c r="C522" s="234" t="s">
        <v>95</v>
      </c>
      <c r="D522" s="234" t="s">
        <v>888</v>
      </c>
      <c r="E522" s="233" t="s">
        <v>25</v>
      </c>
      <c r="F522" s="235" t="s">
        <v>25</v>
      </c>
      <c r="G522" s="233"/>
      <c r="H522" s="219">
        <f>IFERROR(
  MINIFS(ATTENDANCE_LOG!$F:$F,
         ATTENDANCE_LOG!$A:$A, C522,
         ATTENDANCE_LOG!$B:$B, E522),
"")</f>
        <v>46086.58333</v>
      </c>
      <c r="I522" s="233">
        <f>IFERROR(VLOOKUP(F522, LEVEL_HELPER!$A:$B, 2, 0), "")</f>
        <v>0.5</v>
      </c>
      <c r="J522" s="233" t="str">
        <f>IFERROR(VLOOKUP(G522, LEVEL_HELPER!$A:$B, 2, 0), "")</f>
        <v/>
      </c>
      <c r="K522" s="233">
        <f t="shared" ref="K522:L522" si="1071">IF(OR(I522="", I522=0), "",
  IF(I522&lt;=2,   1,
  IF(I522&lt;=4,   2,
  IF(I522&lt;=5.5, 3, 4))))</f>
        <v>1</v>
      </c>
      <c r="L522" s="190" t="str">
        <f t="shared" si="1071"/>
        <v/>
      </c>
      <c r="M522" s="190" t="str">
        <f t="shared" si="4"/>
        <v>No Data</v>
      </c>
      <c r="N522" s="237" t="s">
        <v>951</v>
      </c>
      <c r="O522" s="237" t="s">
        <v>923</v>
      </c>
      <c r="P522" s="233">
        <f t="shared" si="5"/>
        <v>0.5</v>
      </c>
      <c r="Q522" s="238">
        <f t="shared" si="6"/>
        <v>0</v>
      </c>
      <c r="R522" s="238">
        <f t="shared" ref="R522:S522" si="1072">IF(OR(P522="", P522=0), "",
  IF(P522&lt;=2,   1,
  IF(P522&lt;=4,   2,
  IF(P522&lt;=5.5, 3, 4))))</f>
        <v>1</v>
      </c>
      <c r="S522" s="238" t="str">
        <f t="shared" si="1072"/>
        <v/>
      </c>
      <c r="T522" s="238" t="str">
        <f t="shared" si="8"/>
        <v>No Data</v>
      </c>
      <c r="U522" s="238">
        <f t="shared" si="1022"/>
        <v>1</v>
      </c>
      <c r="V522" s="238"/>
    </row>
    <row r="523">
      <c r="A523" s="237" t="s">
        <v>180</v>
      </c>
      <c r="B523" s="233" t="s">
        <v>181</v>
      </c>
      <c r="C523" s="234" t="s">
        <v>95</v>
      </c>
      <c r="D523" s="234" t="s">
        <v>888</v>
      </c>
      <c r="E523" s="233" t="s">
        <v>25</v>
      </c>
      <c r="F523" s="235" t="s">
        <v>25</v>
      </c>
      <c r="G523" s="233"/>
      <c r="H523" s="219">
        <f>IFERROR(
  MINIFS(ATTENDANCE_LOG!$F:$F,
         ATTENDANCE_LOG!$A:$A, C523,
         ATTENDANCE_LOG!$B:$B, E523),
"")</f>
        <v>46086.58333</v>
      </c>
      <c r="I523" s="233">
        <f>IFERROR(VLOOKUP(F523, LEVEL_HELPER!$A:$B, 2, 0), "")</f>
        <v>0.5</v>
      </c>
      <c r="J523" s="233" t="str">
        <f>IFERROR(VLOOKUP(G523, LEVEL_HELPER!$A:$B, 2, 0), "")</f>
        <v/>
      </c>
      <c r="K523" s="233">
        <f t="shared" ref="K523:L523" si="1073">IF(OR(I523="", I523=0), "",
  IF(I523&lt;=2,   1,
  IF(I523&lt;=4,   2,
  IF(I523&lt;=5.5, 3, 4))))</f>
        <v>1</v>
      </c>
      <c r="L523" s="190" t="str">
        <f t="shared" si="1073"/>
        <v/>
      </c>
      <c r="M523" s="190" t="str">
        <f t="shared" si="4"/>
        <v>No Data</v>
      </c>
      <c r="N523" s="237" t="s">
        <v>943</v>
      </c>
      <c r="O523" s="259" t="s">
        <v>922</v>
      </c>
      <c r="P523" s="233">
        <f t="shared" si="5"/>
        <v>0.5</v>
      </c>
      <c r="Q523" s="238">
        <f t="shared" si="6"/>
        <v>0</v>
      </c>
      <c r="R523" s="238">
        <f t="shared" ref="R523:S523" si="1074">IF(OR(P523="", P523=0), "",
  IF(P523&lt;=2,   1,
  IF(P523&lt;=4,   2,
  IF(P523&lt;=5.5, 3, 4))))</f>
        <v>1</v>
      </c>
      <c r="S523" s="238" t="str">
        <f t="shared" si="1074"/>
        <v/>
      </c>
      <c r="T523" s="238" t="str">
        <f t="shared" si="8"/>
        <v>No Data</v>
      </c>
      <c r="U523" s="238">
        <f t="shared" si="1022"/>
        <v>1</v>
      </c>
      <c r="V523" s="238"/>
    </row>
    <row r="524">
      <c r="A524" s="237" t="s">
        <v>284</v>
      </c>
      <c r="B524" s="233" t="s">
        <v>285</v>
      </c>
      <c r="C524" s="234" t="s">
        <v>95</v>
      </c>
      <c r="D524" s="234" t="s">
        <v>888</v>
      </c>
      <c r="E524" s="233" t="s">
        <v>25</v>
      </c>
      <c r="F524" s="235" t="s">
        <v>25</v>
      </c>
      <c r="G524" s="233"/>
      <c r="H524" s="219">
        <f>IFERROR(
  MINIFS(ATTENDANCE_LOG!$F:$F,
         ATTENDANCE_LOG!$A:$A, C524,
         ATTENDANCE_LOG!$B:$B, E524),
"")</f>
        <v>46086.58333</v>
      </c>
      <c r="I524" s="233">
        <f>IFERROR(VLOOKUP(F524, LEVEL_HELPER!$A:$B, 2, 0), "")</f>
        <v>0.5</v>
      </c>
      <c r="J524" s="233" t="str">
        <f>IFERROR(VLOOKUP(G524, LEVEL_HELPER!$A:$B, 2, 0), "")</f>
        <v/>
      </c>
      <c r="K524" s="233">
        <f t="shared" ref="K524:L524" si="1075">IF(OR(I524="", I524=0), "",
  IF(I524&lt;=2,   1,
  IF(I524&lt;=4,   2,
  IF(I524&lt;=5.5, 3, 4))))</f>
        <v>1</v>
      </c>
      <c r="L524" s="190" t="str">
        <f t="shared" si="1075"/>
        <v/>
      </c>
      <c r="M524" s="190" t="str">
        <f t="shared" si="4"/>
        <v>No Data</v>
      </c>
      <c r="N524" s="237" t="s">
        <v>943</v>
      </c>
      <c r="O524" s="259" t="s">
        <v>922</v>
      </c>
      <c r="P524" s="233">
        <f t="shared" si="5"/>
        <v>0.5</v>
      </c>
      <c r="Q524" s="238">
        <f t="shared" si="6"/>
        <v>0</v>
      </c>
      <c r="R524" s="238">
        <f t="shared" ref="R524:S524" si="1076">IF(OR(P524="", P524=0), "",
  IF(P524&lt;=2,   1,
  IF(P524&lt;=4,   2,
  IF(P524&lt;=5.5, 3, 4))))</f>
        <v>1</v>
      </c>
      <c r="S524" s="238" t="str">
        <f t="shared" si="1076"/>
        <v/>
      </c>
      <c r="T524" s="238" t="str">
        <f t="shared" si="8"/>
        <v>No Data</v>
      </c>
      <c r="U524" s="238">
        <f t="shared" si="1022"/>
        <v>1</v>
      </c>
      <c r="V524" s="238"/>
    </row>
    <row r="525">
      <c r="A525" s="237" t="s">
        <v>359</v>
      </c>
      <c r="B525" s="233" t="s">
        <v>360</v>
      </c>
      <c r="C525" s="234" t="s">
        <v>95</v>
      </c>
      <c r="D525" s="234" t="s">
        <v>888</v>
      </c>
      <c r="E525" s="233" t="s">
        <v>25</v>
      </c>
      <c r="F525" s="235" t="s">
        <v>25</v>
      </c>
      <c r="G525" s="233"/>
      <c r="H525" s="219">
        <f>IFERROR(
  MINIFS(ATTENDANCE_LOG!$F:$F,
         ATTENDANCE_LOG!$A:$A, C525,
         ATTENDANCE_LOG!$B:$B, E525),
"")</f>
        <v>46086.58333</v>
      </c>
      <c r="I525" s="233">
        <f>IFERROR(VLOOKUP(F525, LEVEL_HELPER!$A:$B, 2, 0), "")</f>
        <v>0.5</v>
      </c>
      <c r="J525" s="233" t="str">
        <f>IFERROR(VLOOKUP(G525, LEVEL_HELPER!$A:$B, 2, 0), "")</f>
        <v/>
      </c>
      <c r="K525" s="233">
        <f t="shared" ref="K525:L525" si="1077">IF(OR(I525="", I525=0), "",
  IF(I525&lt;=2,   1,
  IF(I525&lt;=4,   2,
  IF(I525&lt;=5.5, 3, 4))))</f>
        <v>1</v>
      </c>
      <c r="L525" s="190" t="str">
        <f t="shared" si="1077"/>
        <v/>
      </c>
      <c r="M525" s="190" t="str">
        <f t="shared" si="4"/>
        <v>No Data</v>
      </c>
      <c r="N525" s="237" t="s">
        <v>943</v>
      </c>
      <c r="O525" s="259" t="s">
        <v>922</v>
      </c>
      <c r="P525" s="233">
        <f t="shared" si="5"/>
        <v>0.5</v>
      </c>
      <c r="Q525" s="238">
        <f t="shared" si="6"/>
        <v>0</v>
      </c>
      <c r="R525" s="238">
        <f t="shared" ref="R525:S525" si="1078">IF(OR(P525="", P525=0), "",
  IF(P525&lt;=2,   1,
  IF(P525&lt;=4,   2,
  IF(P525&lt;=5.5, 3, 4))))</f>
        <v>1</v>
      </c>
      <c r="S525" s="238" t="str">
        <f t="shared" si="1078"/>
        <v/>
      </c>
      <c r="T525" s="238" t="str">
        <f t="shared" si="8"/>
        <v>No Data</v>
      </c>
      <c r="U525" s="238">
        <f t="shared" si="1022"/>
        <v>1</v>
      </c>
      <c r="V525" s="238"/>
    </row>
    <row r="526">
      <c r="A526" s="237" t="s">
        <v>365</v>
      </c>
      <c r="B526" s="233" t="s">
        <v>366</v>
      </c>
      <c r="C526" s="234" t="s">
        <v>95</v>
      </c>
      <c r="D526" s="234" t="s">
        <v>888</v>
      </c>
      <c r="E526" s="233" t="s">
        <v>25</v>
      </c>
      <c r="F526" s="235" t="s">
        <v>25</v>
      </c>
      <c r="G526" s="233"/>
      <c r="H526" s="219">
        <f>IFERROR(
  MINIFS(ATTENDANCE_LOG!$F:$F,
         ATTENDANCE_LOG!$A:$A, C526,
         ATTENDANCE_LOG!$B:$B, E526),
"")</f>
        <v>46086.58333</v>
      </c>
      <c r="I526" s="233">
        <f>IFERROR(VLOOKUP(F526, LEVEL_HELPER!$A:$B, 2, 0), "")</f>
        <v>0.5</v>
      </c>
      <c r="J526" s="233" t="str">
        <f>IFERROR(VLOOKUP(G526, LEVEL_HELPER!$A:$B, 2, 0), "")</f>
        <v/>
      </c>
      <c r="K526" s="233">
        <f t="shared" ref="K526:L526" si="1079">IF(OR(I526="", I526=0), "",
  IF(I526&lt;=2,   1,
  IF(I526&lt;=4,   2,
  IF(I526&lt;=5.5, 3, 4))))</f>
        <v>1</v>
      </c>
      <c r="L526" s="190" t="str">
        <f t="shared" si="1079"/>
        <v/>
      </c>
      <c r="M526" s="190" t="str">
        <f t="shared" si="4"/>
        <v>No Data</v>
      </c>
      <c r="N526" s="237" t="s">
        <v>943</v>
      </c>
      <c r="O526" s="259" t="s">
        <v>922</v>
      </c>
      <c r="P526" s="233">
        <f t="shared" si="5"/>
        <v>0.5</v>
      </c>
      <c r="Q526" s="238">
        <f t="shared" si="6"/>
        <v>0</v>
      </c>
      <c r="R526" s="238">
        <f t="shared" ref="R526:S526" si="1080">IF(OR(P526="", P526=0), "",
  IF(P526&lt;=2,   1,
  IF(P526&lt;=4,   2,
  IF(P526&lt;=5.5, 3, 4))))</f>
        <v>1</v>
      </c>
      <c r="S526" s="238" t="str">
        <f t="shared" si="1080"/>
        <v/>
      </c>
      <c r="T526" s="238" t="str">
        <f t="shared" si="8"/>
        <v>No Data</v>
      </c>
      <c r="U526" s="238">
        <f t="shared" si="1022"/>
        <v>1</v>
      </c>
      <c r="V526" s="238"/>
    </row>
    <row r="527">
      <c r="A527" s="237" t="s">
        <v>393</v>
      </c>
      <c r="B527" s="233" t="s">
        <v>394</v>
      </c>
      <c r="C527" s="234" t="s">
        <v>95</v>
      </c>
      <c r="D527" s="234" t="s">
        <v>888</v>
      </c>
      <c r="E527" s="233" t="s">
        <v>25</v>
      </c>
      <c r="F527" s="235" t="s">
        <v>25</v>
      </c>
      <c r="G527" s="233"/>
      <c r="H527" s="219">
        <f>IFERROR(
  MINIFS(ATTENDANCE_LOG!$F:$F,
         ATTENDANCE_LOG!$A:$A, C527,
         ATTENDANCE_LOG!$B:$B, E527),
"")</f>
        <v>46086.58333</v>
      </c>
      <c r="I527" s="233">
        <f>IFERROR(VLOOKUP(F527, LEVEL_HELPER!$A:$B, 2, 0), "")</f>
        <v>0.5</v>
      </c>
      <c r="J527" s="233" t="str">
        <f>IFERROR(VLOOKUP(G527, LEVEL_HELPER!$A:$B, 2, 0), "")</f>
        <v/>
      </c>
      <c r="K527" s="233">
        <f t="shared" ref="K527:L527" si="1081">IF(OR(I527="", I527=0), "",
  IF(I527&lt;=2,   1,
  IF(I527&lt;=4,   2,
  IF(I527&lt;=5.5, 3, 4))))</f>
        <v>1</v>
      </c>
      <c r="L527" s="190" t="str">
        <f t="shared" si="1081"/>
        <v/>
      </c>
      <c r="M527" s="190" t="str">
        <f t="shared" si="4"/>
        <v>No Data</v>
      </c>
      <c r="N527" s="237" t="s">
        <v>943</v>
      </c>
      <c r="O527" s="259" t="s">
        <v>922</v>
      </c>
      <c r="P527" s="233">
        <f t="shared" si="5"/>
        <v>0.5</v>
      </c>
      <c r="Q527" s="238">
        <f t="shared" si="6"/>
        <v>0</v>
      </c>
      <c r="R527" s="238">
        <f t="shared" ref="R527:S527" si="1082">IF(OR(P527="", P527=0), "",
  IF(P527&lt;=2,   1,
  IF(P527&lt;=4,   2,
  IF(P527&lt;=5.5, 3, 4))))</f>
        <v>1</v>
      </c>
      <c r="S527" s="238" t="str">
        <f t="shared" si="1082"/>
        <v/>
      </c>
      <c r="T527" s="238" t="str">
        <f t="shared" si="8"/>
        <v>No Data</v>
      </c>
      <c r="U527" s="238">
        <f t="shared" si="1022"/>
        <v>1</v>
      </c>
      <c r="V527" s="238"/>
    </row>
    <row r="528">
      <c r="A528" s="237" t="s">
        <v>409</v>
      </c>
      <c r="B528" s="233" t="s">
        <v>410</v>
      </c>
      <c r="C528" s="234" t="s">
        <v>95</v>
      </c>
      <c r="D528" s="234" t="s">
        <v>888</v>
      </c>
      <c r="E528" s="233" t="s">
        <v>25</v>
      </c>
      <c r="F528" s="235" t="s">
        <v>25</v>
      </c>
      <c r="G528" s="233"/>
      <c r="H528" s="219">
        <f>IFERROR(
  MINIFS(ATTENDANCE_LOG!$F:$F,
         ATTENDANCE_LOG!$A:$A, C528,
         ATTENDANCE_LOG!$B:$B, E528),
"")</f>
        <v>46086.58333</v>
      </c>
      <c r="I528" s="233">
        <f>IFERROR(VLOOKUP(F528, LEVEL_HELPER!$A:$B, 2, 0), "")</f>
        <v>0.5</v>
      </c>
      <c r="J528" s="233" t="str">
        <f>IFERROR(VLOOKUP(G528, LEVEL_HELPER!$A:$B, 2, 0), "")</f>
        <v/>
      </c>
      <c r="K528" s="233">
        <f t="shared" ref="K528:L528" si="1083">IF(OR(I528="", I528=0), "",
  IF(I528&lt;=2,   1,
  IF(I528&lt;=4,   2,
  IF(I528&lt;=5.5, 3, 4))))</f>
        <v>1</v>
      </c>
      <c r="L528" s="190" t="str">
        <f t="shared" si="1083"/>
        <v/>
      </c>
      <c r="M528" s="190" t="str">
        <f t="shared" si="4"/>
        <v>No Data</v>
      </c>
      <c r="N528" s="237" t="s">
        <v>919</v>
      </c>
      <c r="O528" s="259" t="s">
        <v>922</v>
      </c>
      <c r="P528" s="233">
        <f t="shared" si="5"/>
        <v>0.5</v>
      </c>
      <c r="Q528" s="238">
        <f t="shared" si="6"/>
        <v>0</v>
      </c>
      <c r="R528" s="238">
        <f t="shared" ref="R528:S528" si="1084">IF(OR(P528="", P528=0), "",
  IF(P528&lt;=2,   1,
  IF(P528&lt;=4,   2,
  IF(P528&lt;=5.5, 3, 4))))</f>
        <v>1</v>
      </c>
      <c r="S528" s="238" t="str">
        <f t="shared" si="1084"/>
        <v/>
      </c>
      <c r="T528" s="238" t="str">
        <f t="shared" si="8"/>
        <v>No Data</v>
      </c>
      <c r="U528" s="238">
        <f t="shared" si="1022"/>
        <v>1</v>
      </c>
      <c r="V528" s="238"/>
    </row>
    <row r="529">
      <c r="A529" s="237" t="s">
        <v>478</v>
      </c>
      <c r="B529" s="233" t="s">
        <v>479</v>
      </c>
      <c r="C529" s="234" t="s">
        <v>95</v>
      </c>
      <c r="D529" s="234" t="s">
        <v>888</v>
      </c>
      <c r="E529" s="233" t="s">
        <v>25</v>
      </c>
      <c r="F529" s="235" t="s">
        <v>25</v>
      </c>
      <c r="G529" s="235"/>
      <c r="H529" s="219">
        <f>IFERROR(
  MINIFS(ATTENDANCE_LOG!$F:$F,
         ATTENDANCE_LOG!$A:$A, C529,
         ATTENDANCE_LOG!$B:$B, E529),
"")</f>
        <v>46086.58333</v>
      </c>
      <c r="I529" s="233">
        <f>IFERROR(VLOOKUP(F529, LEVEL_HELPER!$A:$B, 2, 0), "")</f>
        <v>0.5</v>
      </c>
      <c r="J529" s="233" t="str">
        <f>IFERROR(VLOOKUP(G529, LEVEL_HELPER!$A:$B, 2, 0), "")</f>
        <v/>
      </c>
      <c r="K529" s="233">
        <f t="shared" ref="K529:L529" si="1085">IF(OR(I529="", I529=0), "",
  IF(I529&lt;=2,   1,
  IF(I529&lt;=4,   2,
  IF(I529&lt;=5.5, 3, 4))))</f>
        <v>1</v>
      </c>
      <c r="L529" s="190" t="str">
        <f t="shared" si="1085"/>
        <v/>
      </c>
      <c r="M529" s="190" t="str">
        <f t="shared" si="4"/>
        <v>No Data</v>
      </c>
      <c r="N529" s="237" t="s">
        <v>945</v>
      </c>
      <c r="O529" s="259" t="s">
        <v>922</v>
      </c>
      <c r="P529" s="233">
        <f t="shared" si="5"/>
        <v>0.5</v>
      </c>
      <c r="Q529" s="238">
        <f t="shared" si="6"/>
        <v>0</v>
      </c>
      <c r="R529" s="238">
        <f t="shared" ref="R529:S529" si="1086">IF(OR(P529="", P529=0), "",
  IF(P529&lt;=2,   1,
  IF(P529&lt;=4,   2,
  IF(P529&lt;=5.5, 3, 4))))</f>
        <v>1</v>
      </c>
      <c r="S529" s="238" t="str">
        <f t="shared" si="1086"/>
        <v/>
      </c>
      <c r="T529" s="238" t="str">
        <f t="shared" si="8"/>
        <v>No Data</v>
      </c>
      <c r="U529" s="238">
        <f t="shared" si="1022"/>
        <v>0</v>
      </c>
      <c r="V529" s="238"/>
    </row>
    <row r="530">
      <c r="A530" s="237" t="s">
        <v>585</v>
      </c>
      <c r="B530" s="233" t="s">
        <v>586</v>
      </c>
      <c r="C530" s="234" t="s">
        <v>95</v>
      </c>
      <c r="D530" s="234" t="s">
        <v>888</v>
      </c>
      <c r="E530" s="233" t="s">
        <v>25</v>
      </c>
      <c r="F530" s="235" t="s">
        <v>25</v>
      </c>
      <c r="G530" s="233"/>
      <c r="H530" s="219">
        <f>IFERROR(
  MINIFS(ATTENDANCE_LOG!$F:$F,
         ATTENDANCE_LOG!$A:$A, C530,
         ATTENDANCE_LOG!$B:$B, E530),
"")</f>
        <v>46086.58333</v>
      </c>
      <c r="I530" s="233">
        <f>IFERROR(VLOOKUP(F530, LEVEL_HELPER!$A:$B, 2, 0), "")</f>
        <v>0.5</v>
      </c>
      <c r="J530" s="233" t="str">
        <f>IFERROR(VLOOKUP(G530, LEVEL_HELPER!$A:$B, 2, 0), "")</f>
        <v/>
      </c>
      <c r="K530" s="233">
        <f t="shared" ref="K530:L530" si="1087">IF(OR(I530="", I530=0), "",
  IF(I530&lt;=2,   1,
  IF(I530&lt;=4,   2,
  IF(I530&lt;=5.5, 3, 4))))</f>
        <v>1</v>
      </c>
      <c r="L530" s="190" t="str">
        <f t="shared" si="1087"/>
        <v/>
      </c>
      <c r="M530" s="190" t="str">
        <f t="shared" si="4"/>
        <v>No Data</v>
      </c>
      <c r="N530" s="237" t="s">
        <v>943</v>
      </c>
      <c r="O530" s="259" t="s">
        <v>922</v>
      </c>
      <c r="P530" s="233">
        <f t="shared" si="5"/>
        <v>0.5</v>
      </c>
      <c r="Q530" s="238">
        <f t="shared" si="6"/>
        <v>0</v>
      </c>
      <c r="R530" s="238">
        <f t="shared" ref="R530:S530" si="1088">IF(OR(P530="", P530=0), "",
  IF(P530&lt;=2,   1,
  IF(P530&lt;=4,   2,
  IF(P530&lt;=5.5, 3, 4))))</f>
        <v>1</v>
      </c>
      <c r="S530" s="238" t="str">
        <f t="shared" si="1088"/>
        <v/>
      </c>
      <c r="T530" s="238" t="str">
        <f t="shared" si="8"/>
        <v>No Data</v>
      </c>
      <c r="U530" s="238">
        <f t="shared" si="1022"/>
        <v>1</v>
      </c>
      <c r="V530" s="238"/>
    </row>
    <row r="531">
      <c r="A531" s="253" t="s">
        <v>370</v>
      </c>
      <c r="B531" s="250" t="s">
        <v>371</v>
      </c>
      <c r="C531" s="251" t="s">
        <v>96</v>
      </c>
      <c r="D531" s="251" t="s">
        <v>889</v>
      </c>
      <c r="E531" s="250" t="s">
        <v>21</v>
      </c>
      <c r="F531" s="252" t="s">
        <v>25</v>
      </c>
      <c r="G531" s="250"/>
      <c r="H531" s="219">
        <f>IFERROR(
  MINIFS(ATTENDANCE_LOG!$F:$F,
         ATTENDANCE_LOG!$A:$A, C531,
         ATTENDANCE_LOG!$B:$B, E531),
"")</f>
        <v>46120.45833</v>
      </c>
      <c r="I531" s="250">
        <f>IFERROR(VLOOKUP(F531, LEVEL_HELPER!$A:$B, 2, 0), "")</f>
        <v>0.5</v>
      </c>
      <c r="J531" s="233" t="str">
        <f>IFERROR(VLOOKUP(G531, LEVEL_HELPER!$A:$B, 2, 0), "")</f>
        <v/>
      </c>
      <c r="K531" s="250">
        <f t="shared" ref="K531:L531" si="1089">IF(OR(I531="", I531=0), "",
  IF(I531&lt;=2,   1,
  IF(I531&lt;=4,   2,
  IF(I531&lt;=5.5, 3, 4))))</f>
        <v>1</v>
      </c>
      <c r="L531" s="190" t="str">
        <f t="shared" si="1089"/>
        <v/>
      </c>
      <c r="M531" s="190" t="str">
        <f t="shared" si="4"/>
        <v>No Data</v>
      </c>
      <c r="N531" s="253" t="s">
        <v>919</v>
      </c>
      <c r="O531" s="253" t="s">
        <v>925</v>
      </c>
      <c r="P531" s="250">
        <f t="shared" si="5"/>
        <v>0.5</v>
      </c>
      <c r="Q531" s="254">
        <f t="shared" si="6"/>
        <v>1</v>
      </c>
      <c r="R531" s="254">
        <f t="shared" ref="R531:S531" si="1090">IF(OR(P531="", P531=0), "",
  IF(P531&lt;=2,   1,
  IF(P531&lt;=4,   2,
  IF(P531&lt;=5.5, 3, 4))))</f>
        <v>1</v>
      </c>
      <c r="S531" s="254">
        <f t="shared" si="1090"/>
        <v>1</v>
      </c>
      <c r="T531" s="254" t="str">
        <f t="shared" si="8"/>
        <v>Progress within level</v>
      </c>
      <c r="U531" s="254">
        <f>IF(COUNTIF($A$2:A534, A531)=1, 1, 0)</f>
        <v>0</v>
      </c>
      <c r="V531" s="254"/>
    </row>
    <row r="532">
      <c r="A532" s="237" t="s">
        <v>138</v>
      </c>
      <c r="B532" s="233" t="s">
        <v>139</v>
      </c>
      <c r="C532" s="234" t="s">
        <v>96</v>
      </c>
      <c r="D532" s="234" t="s">
        <v>889</v>
      </c>
      <c r="E532" s="233" t="s">
        <v>21</v>
      </c>
      <c r="F532" s="235" t="s">
        <v>929</v>
      </c>
      <c r="G532" s="233"/>
      <c r="H532" s="219">
        <f>IFERROR(
  MINIFS(ATTENDANCE_LOG!$F:$F,
         ATTENDANCE_LOG!$A:$A, C532,
         ATTENDANCE_LOG!$B:$B, E532),
"")</f>
        <v>46120.45833</v>
      </c>
      <c r="I532" s="233">
        <f>IFERROR(VLOOKUP(F532, LEVEL_HELPER!$A:$B, 2, 0), "")</f>
        <v>1.5</v>
      </c>
      <c r="J532" s="233" t="str">
        <f>IFERROR(VLOOKUP(G532, LEVEL_HELPER!$A:$B, 2, 0), "")</f>
        <v/>
      </c>
      <c r="K532" s="233">
        <f t="shared" ref="K532:L532" si="1091">IF(OR(I532="", I532=0), "",
  IF(I532&lt;=2,   1,
  IF(I532&lt;=4,   2,
  IF(I532&lt;=5.5, 3, 4))))</f>
        <v>1</v>
      </c>
      <c r="L532" s="190" t="str">
        <f t="shared" si="1091"/>
        <v/>
      </c>
      <c r="M532" s="190" t="str">
        <f t="shared" si="4"/>
        <v>No Data</v>
      </c>
      <c r="N532" s="237" t="s">
        <v>919</v>
      </c>
      <c r="O532" s="237" t="s">
        <v>925</v>
      </c>
      <c r="P532" s="233">
        <f t="shared" si="5"/>
        <v>1.5</v>
      </c>
      <c r="Q532" s="238">
        <f t="shared" si="6"/>
        <v>0</v>
      </c>
      <c r="R532" s="238">
        <f t="shared" ref="R532:S532" si="1092">IF(OR(P532="", P532=0), "",
  IF(P532&lt;=2,   1,
  IF(P532&lt;=4,   2,
  IF(P532&lt;=5.5, 3, 4))))</f>
        <v>1</v>
      </c>
      <c r="S532" s="238" t="str">
        <f t="shared" si="1092"/>
        <v/>
      </c>
      <c r="T532" s="238" t="str">
        <f t="shared" si="8"/>
        <v>No Data</v>
      </c>
      <c r="U532" s="238">
        <f t="shared" ref="U532:U537" si="1095">IF(COUNTIF($A$2:A532, A532)=1, 1, 0)</f>
        <v>1</v>
      </c>
      <c r="V532" s="238"/>
    </row>
    <row r="533">
      <c r="A533" s="237" t="s">
        <v>267</v>
      </c>
      <c r="B533" s="233" t="s">
        <v>268</v>
      </c>
      <c r="C533" s="234" t="s">
        <v>96</v>
      </c>
      <c r="D533" s="234" t="s">
        <v>889</v>
      </c>
      <c r="E533" s="233" t="s">
        <v>21</v>
      </c>
      <c r="F533" s="235" t="s">
        <v>25</v>
      </c>
      <c r="G533" s="233"/>
      <c r="H533" s="219">
        <f>IFERROR(
  MINIFS(ATTENDANCE_LOG!$F:$F,
         ATTENDANCE_LOG!$A:$A, C533,
         ATTENDANCE_LOG!$B:$B, E533),
"")</f>
        <v>46120.45833</v>
      </c>
      <c r="I533" s="233">
        <f>IFERROR(VLOOKUP(F533, LEVEL_HELPER!$A:$B, 2, 0), "")</f>
        <v>0.5</v>
      </c>
      <c r="J533" s="233" t="str">
        <f>IFERROR(VLOOKUP(G533, LEVEL_HELPER!$A:$B, 2, 0), "")</f>
        <v/>
      </c>
      <c r="K533" s="233">
        <f t="shared" ref="K533:L533" si="1093">IF(OR(I533="", I533=0), "",
  IF(I533&lt;=2,   1,
  IF(I533&lt;=4,   2,
  IF(I533&lt;=5.5, 3, 4))))</f>
        <v>1</v>
      </c>
      <c r="L533" s="190" t="str">
        <f t="shared" si="1093"/>
        <v/>
      </c>
      <c r="M533" s="190" t="str">
        <f t="shared" si="4"/>
        <v>No Data</v>
      </c>
      <c r="N533" s="237" t="s">
        <v>919</v>
      </c>
      <c r="O533" s="237" t="s">
        <v>925</v>
      </c>
      <c r="P533" s="233">
        <f t="shared" si="5"/>
        <v>0.5</v>
      </c>
      <c r="Q533" s="238">
        <f t="shared" si="6"/>
        <v>2.5</v>
      </c>
      <c r="R533" s="238">
        <f t="shared" ref="R533:S533" si="1094">IF(OR(P533="", P533=0), "",
  IF(P533&lt;=2,   1,
  IF(P533&lt;=4,   2,
  IF(P533&lt;=5.5, 3, 4))))</f>
        <v>1</v>
      </c>
      <c r="S533" s="238">
        <f t="shared" si="1094"/>
        <v>2</v>
      </c>
      <c r="T533" s="238" t="str">
        <f t="shared" si="8"/>
        <v>Lv1 → Lv2</v>
      </c>
      <c r="U533" s="238">
        <f t="shared" si="1095"/>
        <v>0</v>
      </c>
      <c r="V533" s="238"/>
    </row>
    <row r="534">
      <c r="A534" s="237" t="s">
        <v>286</v>
      </c>
      <c r="B534" s="233" t="s">
        <v>287</v>
      </c>
      <c r="C534" s="234" t="s">
        <v>96</v>
      </c>
      <c r="D534" s="234" t="s">
        <v>889</v>
      </c>
      <c r="E534" s="233" t="s">
        <v>21</v>
      </c>
      <c r="F534" s="235" t="s">
        <v>25</v>
      </c>
      <c r="G534" s="233"/>
      <c r="H534" s="219">
        <f>IFERROR(
  MINIFS(ATTENDANCE_LOG!$F:$F,
         ATTENDANCE_LOG!$A:$A, C534,
         ATTENDANCE_LOG!$B:$B, E534),
"")</f>
        <v>46120.45833</v>
      </c>
      <c r="I534" s="233">
        <f>IFERROR(VLOOKUP(F534, LEVEL_HELPER!$A:$B, 2, 0), "")</f>
        <v>0.5</v>
      </c>
      <c r="J534" s="233" t="str">
        <f>IFERROR(VLOOKUP(G534, LEVEL_HELPER!$A:$B, 2, 0), "")</f>
        <v/>
      </c>
      <c r="K534" s="233">
        <f t="shared" ref="K534:L534" si="1096">IF(OR(I534="", I534=0), "",
  IF(I534&lt;=2,   1,
  IF(I534&lt;=4,   2,
  IF(I534&lt;=5.5, 3, 4))))</f>
        <v>1</v>
      </c>
      <c r="L534" s="190" t="str">
        <f t="shared" si="1096"/>
        <v/>
      </c>
      <c r="M534" s="190" t="str">
        <f t="shared" si="4"/>
        <v>No Data</v>
      </c>
      <c r="N534" s="237" t="s">
        <v>919</v>
      </c>
      <c r="O534" s="237" t="s">
        <v>925</v>
      </c>
      <c r="P534" s="233">
        <f t="shared" si="5"/>
        <v>0.5</v>
      </c>
      <c r="Q534" s="238">
        <f t="shared" si="6"/>
        <v>0</v>
      </c>
      <c r="R534" s="238">
        <f t="shared" ref="R534:S534" si="1097">IF(OR(P534="", P534=0), "",
  IF(P534&lt;=2,   1,
  IF(P534&lt;=4,   2,
  IF(P534&lt;=5.5, 3, 4))))</f>
        <v>1</v>
      </c>
      <c r="S534" s="238" t="str">
        <f t="shared" si="1097"/>
        <v/>
      </c>
      <c r="T534" s="238" t="str">
        <f t="shared" si="8"/>
        <v>No Data</v>
      </c>
      <c r="U534" s="238">
        <f t="shared" si="1095"/>
        <v>1</v>
      </c>
      <c r="V534" s="238"/>
    </row>
    <row r="535">
      <c r="A535" s="237" t="s">
        <v>413</v>
      </c>
      <c r="B535" s="233" t="s">
        <v>414</v>
      </c>
      <c r="C535" s="234" t="s">
        <v>96</v>
      </c>
      <c r="D535" s="234" t="s">
        <v>889</v>
      </c>
      <c r="E535" s="233" t="s">
        <v>21</v>
      </c>
      <c r="F535" s="235" t="s">
        <v>25</v>
      </c>
      <c r="G535" s="233"/>
      <c r="H535" s="219">
        <f>IFERROR(
  MINIFS(ATTENDANCE_LOG!$F:$F,
         ATTENDANCE_LOG!$A:$A, C535,
         ATTENDANCE_LOG!$B:$B, E535),
"")</f>
        <v>46120.45833</v>
      </c>
      <c r="I535" s="233">
        <f>IFERROR(VLOOKUP(F535, LEVEL_HELPER!$A:$B, 2, 0), "")</f>
        <v>0.5</v>
      </c>
      <c r="J535" s="233" t="str">
        <f>IFERROR(VLOOKUP(G535, LEVEL_HELPER!$A:$B, 2, 0), "")</f>
        <v/>
      </c>
      <c r="K535" s="233">
        <f t="shared" ref="K535:L535" si="1098">IF(OR(I535="", I535=0), "",
  IF(I535&lt;=2,   1,
  IF(I535&lt;=4,   2,
  IF(I535&lt;=5.5, 3, 4))))</f>
        <v>1</v>
      </c>
      <c r="L535" s="190" t="str">
        <f t="shared" si="1098"/>
        <v/>
      </c>
      <c r="M535" s="190" t="str">
        <f t="shared" si="4"/>
        <v>No Data</v>
      </c>
      <c r="N535" s="237" t="s">
        <v>919</v>
      </c>
      <c r="O535" s="237" t="s">
        <v>925</v>
      </c>
      <c r="P535" s="233">
        <f t="shared" si="5"/>
        <v>0.5</v>
      </c>
      <c r="Q535" s="238">
        <f t="shared" si="6"/>
        <v>2.5</v>
      </c>
      <c r="R535" s="238">
        <f t="shared" ref="R535:S535" si="1099">IF(OR(P535="", P535=0), "",
  IF(P535&lt;=2,   1,
  IF(P535&lt;=4,   2,
  IF(P535&lt;=5.5, 3, 4))))</f>
        <v>1</v>
      </c>
      <c r="S535" s="238">
        <f t="shared" si="1099"/>
        <v>2</v>
      </c>
      <c r="T535" s="238" t="str">
        <f t="shared" si="8"/>
        <v>Lv1 → Lv2</v>
      </c>
      <c r="U535" s="238">
        <f t="shared" si="1095"/>
        <v>0</v>
      </c>
      <c r="V535" s="238"/>
    </row>
    <row r="536">
      <c r="A536" s="237" t="s">
        <v>653</v>
      </c>
      <c r="B536" s="233" t="s">
        <v>654</v>
      </c>
      <c r="C536" s="234" t="s">
        <v>96</v>
      </c>
      <c r="D536" s="234" t="s">
        <v>889</v>
      </c>
      <c r="E536" s="233" t="s">
        <v>21</v>
      </c>
      <c r="F536" s="235" t="s">
        <v>25</v>
      </c>
      <c r="G536" s="233"/>
      <c r="H536" s="219">
        <f>IFERROR(
  MINIFS(ATTENDANCE_LOG!$F:$F,
         ATTENDANCE_LOG!$A:$A, C536,
         ATTENDANCE_LOG!$B:$B, E536),
"")</f>
        <v>46120.45833</v>
      </c>
      <c r="I536" s="233">
        <f>IFERROR(VLOOKUP(F536, LEVEL_HELPER!$A:$B, 2, 0), "")</f>
        <v>0.5</v>
      </c>
      <c r="J536" s="233" t="str">
        <f>IFERROR(VLOOKUP(G536, LEVEL_HELPER!$A:$B, 2, 0), "")</f>
        <v/>
      </c>
      <c r="K536" s="233">
        <f t="shared" ref="K536:L536" si="1100">IF(OR(I536="", I536=0), "",
  IF(I536&lt;=2,   1,
  IF(I536&lt;=4,   2,
  IF(I536&lt;=5.5, 3, 4))))</f>
        <v>1</v>
      </c>
      <c r="L536" s="190" t="str">
        <f t="shared" si="1100"/>
        <v/>
      </c>
      <c r="M536" s="190" t="str">
        <f t="shared" si="4"/>
        <v>No Data</v>
      </c>
      <c r="N536" s="237" t="s">
        <v>919</v>
      </c>
      <c r="O536" s="237" t="s">
        <v>925</v>
      </c>
      <c r="P536" s="233">
        <f t="shared" si="5"/>
        <v>0.5</v>
      </c>
      <c r="Q536" s="238">
        <f t="shared" si="6"/>
        <v>0</v>
      </c>
      <c r="R536" s="238">
        <f t="shared" ref="R536:S536" si="1101">IF(OR(P536="", P536=0), "",
  IF(P536&lt;=2,   1,
  IF(P536&lt;=4,   2,
  IF(P536&lt;=5.5, 3, 4))))</f>
        <v>1</v>
      </c>
      <c r="S536" s="238" t="str">
        <f t="shared" si="1101"/>
        <v/>
      </c>
      <c r="T536" s="238" t="str">
        <f t="shared" si="8"/>
        <v>No Data</v>
      </c>
      <c r="U536" s="238">
        <f t="shared" si="1095"/>
        <v>1</v>
      </c>
      <c r="V536" s="238"/>
    </row>
    <row r="537">
      <c r="A537" s="237" t="s">
        <v>673</v>
      </c>
      <c r="B537" s="233" t="s">
        <v>674</v>
      </c>
      <c r="C537" s="234" t="s">
        <v>96</v>
      </c>
      <c r="D537" s="234" t="s">
        <v>889</v>
      </c>
      <c r="E537" s="233" t="s">
        <v>21</v>
      </c>
      <c r="F537" s="235" t="s">
        <v>25</v>
      </c>
      <c r="G537" s="233"/>
      <c r="H537" s="219">
        <f>IFERROR(
  MINIFS(ATTENDANCE_LOG!$F:$F,
         ATTENDANCE_LOG!$A:$A, C537,
         ATTENDANCE_LOG!$B:$B, E537),
"")</f>
        <v>46120.45833</v>
      </c>
      <c r="I537" s="233">
        <f>IFERROR(VLOOKUP(F537, LEVEL_HELPER!$A:$B, 2, 0), "")</f>
        <v>0.5</v>
      </c>
      <c r="J537" s="233" t="str">
        <f>IFERROR(VLOOKUP(G537, LEVEL_HELPER!$A:$B, 2, 0), "")</f>
        <v/>
      </c>
      <c r="K537" s="233">
        <f t="shared" ref="K537:L537" si="1102">IF(OR(I537="", I537=0), "",
  IF(I537&lt;=2,   1,
  IF(I537&lt;=4,   2,
  IF(I537&lt;=5.5, 3, 4))))</f>
        <v>1</v>
      </c>
      <c r="L537" s="190" t="str">
        <f t="shared" si="1102"/>
        <v/>
      </c>
      <c r="M537" s="190" t="str">
        <f t="shared" si="4"/>
        <v>No Data</v>
      </c>
      <c r="N537" s="237" t="s">
        <v>943</v>
      </c>
      <c r="O537" s="237" t="s">
        <v>925</v>
      </c>
      <c r="P537" s="233">
        <f t="shared" si="5"/>
        <v>0.5</v>
      </c>
      <c r="Q537" s="238">
        <f t="shared" si="6"/>
        <v>0</v>
      </c>
      <c r="R537" s="238">
        <f t="shared" ref="R537:S537" si="1103">IF(OR(P537="", P537=0), "",
  IF(P537&lt;=2,   1,
  IF(P537&lt;=4,   2,
  IF(P537&lt;=5.5, 3, 4))))</f>
        <v>1</v>
      </c>
      <c r="S537" s="238" t="str">
        <f t="shared" si="1103"/>
        <v/>
      </c>
      <c r="T537" s="238" t="str">
        <f t="shared" si="8"/>
        <v>No Data</v>
      </c>
      <c r="U537" s="238">
        <f t="shared" si="1095"/>
        <v>1</v>
      </c>
      <c r="V537" s="238"/>
    </row>
    <row r="538">
      <c r="A538" s="253" t="s">
        <v>470</v>
      </c>
      <c r="B538" s="250" t="s">
        <v>471</v>
      </c>
      <c r="C538" s="251" t="s">
        <v>97</v>
      </c>
      <c r="D538" s="251" t="s">
        <v>890</v>
      </c>
      <c r="E538" s="250" t="s">
        <v>21</v>
      </c>
      <c r="F538" s="252" t="s">
        <v>927</v>
      </c>
      <c r="G538" s="252"/>
      <c r="H538" s="219">
        <f>IFERROR(
  MINIFS(ATTENDANCE_LOG!$F:$F,
         ATTENDANCE_LOG!$A:$A, C538,
         ATTENDANCE_LOG!$B:$B, E538),
"")</f>
        <v>46126.625</v>
      </c>
      <c r="I538" s="250">
        <f>IFERROR(VLOOKUP(F538, LEVEL_HELPER!$A:$B, 2, 0), "")</f>
        <v>1</v>
      </c>
      <c r="J538" s="233" t="str">
        <f>IFERROR(VLOOKUP(G538, LEVEL_HELPER!$A:$B, 2, 0), "")</f>
        <v/>
      </c>
      <c r="K538" s="250">
        <f t="shared" ref="K538:L538" si="1104">IF(OR(I538="", I538=0), "",
  IF(I538&lt;=2,   1,
  IF(I538&lt;=4,   2,
  IF(I538&lt;=5.5, 3, 4))))</f>
        <v>1</v>
      </c>
      <c r="L538" s="190" t="str">
        <f t="shared" si="1104"/>
        <v/>
      </c>
      <c r="M538" s="190" t="str">
        <f t="shared" si="4"/>
        <v>No Data</v>
      </c>
      <c r="N538" s="253" t="s">
        <v>931</v>
      </c>
      <c r="O538" s="253" t="s">
        <v>926</v>
      </c>
      <c r="P538" s="250">
        <f t="shared" si="5"/>
        <v>0.5</v>
      </c>
      <c r="Q538" s="254">
        <f t="shared" si="6"/>
        <v>1</v>
      </c>
      <c r="R538" s="254">
        <f t="shared" ref="R538:S538" si="1105">IF(OR(P538="", P538=0), "",
  IF(P538&lt;=2,   1,
  IF(P538&lt;=4,   2,
  IF(P538&lt;=5.5, 3, 4))))</f>
        <v>1</v>
      </c>
      <c r="S538" s="254">
        <f t="shared" si="1105"/>
        <v>1</v>
      </c>
      <c r="T538" s="254" t="str">
        <f t="shared" si="8"/>
        <v>Progress within level</v>
      </c>
      <c r="U538" s="254">
        <f>IF(COUNTIF($A$2:A542, A538)=1, 1, 0)</f>
        <v>0</v>
      </c>
      <c r="V538" s="254"/>
    </row>
    <row r="539">
      <c r="A539" s="237" t="s">
        <v>161</v>
      </c>
      <c r="B539" s="233" t="s">
        <v>162</v>
      </c>
      <c r="C539" s="234" t="s">
        <v>97</v>
      </c>
      <c r="D539" s="234" t="s">
        <v>890</v>
      </c>
      <c r="E539" s="233" t="s">
        <v>21</v>
      </c>
      <c r="F539" s="235" t="s">
        <v>25</v>
      </c>
      <c r="G539" s="233"/>
      <c r="H539" s="219">
        <f>IFERROR(
  MINIFS(ATTENDANCE_LOG!$F:$F,
         ATTENDANCE_LOG!$A:$A, C539,
         ATTENDANCE_LOG!$B:$B, E539),
"")</f>
        <v>46126.625</v>
      </c>
      <c r="I539" s="233">
        <f>IFERROR(VLOOKUP(F539, LEVEL_HELPER!$A:$B, 2, 0), "")</f>
        <v>0.5</v>
      </c>
      <c r="J539" s="233" t="str">
        <f>IFERROR(VLOOKUP(G539, LEVEL_HELPER!$A:$B, 2, 0), "")</f>
        <v/>
      </c>
      <c r="K539" s="233">
        <f t="shared" ref="K539:L539" si="1106">IF(OR(I539="", I539=0), "",
  IF(I539&lt;=2,   1,
  IF(I539&lt;=4,   2,
  IF(I539&lt;=5.5, 3, 4))))</f>
        <v>1</v>
      </c>
      <c r="L539" s="190" t="str">
        <f t="shared" si="1106"/>
        <v/>
      </c>
      <c r="M539" s="190" t="str">
        <f t="shared" si="4"/>
        <v>No Data</v>
      </c>
      <c r="N539" s="237" t="s">
        <v>943</v>
      </c>
      <c r="O539" s="237" t="s">
        <v>924</v>
      </c>
      <c r="P539" s="233">
        <f t="shared" si="5"/>
        <v>0.5</v>
      </c>
      <c r="Q539" s="238">
        <f t="shared" si="6"/>
        <v>0.5</v>
      </c>
      <c r="R539" s="238">
        <f t="shared" ref="R539:S539" si="1107">IF(OR(P539="", P539=0), "",
  IF(P539&lt;=2,   1,
  IF(P539&lt;=4,   2,
  IF(P539&lt;=5.5, 3, 4))))</f>
        <v>1</v>
      </c>
      <c r="S539" s="238">
        <f t="shared" si="1107"/>
        <v>1</v>
      </c>
      <c r="T539" s="238" t="str">
        <f t="shared" si="8"/>
        <v>No Progress</v>
      </c>
      <c r="U539" s="238">
        <f t="shared" ref="U539:U543" si="1110">IF(COUNTIF($A$2:A539, A539)=1, 1, 0)</f>
        <v>0</v>
      </c>
      <c r="V539" s="238"/>
    </row>
    <row r="540">
      <c r="A540" s="237" t="s">
        <v>269</v>
      </c>
      <c r="B540" s="233" t="s">
        <v>270</v>
      </c>
      <c r="C540" s="234" t="s">
        <v>97</v>
      </c>
      <c r="D540" s="234" t="s">
        <v>890</v>
      </c>
      <c r="E540" s="233" t="s">
        <v>21</v>
      </c>
      <c r="F540" s="235" t="s">
        <v>25</v>
      </c>
      <c r="G540" s="233"/>
      <c r="H540" s="219">
        <f>IFERROR(
  MINIFS(ATTENDANCE_LOG!$F:$F,
         ATTENDANCE_LOG!$A:$A, C540,
         ATTENDANCE_LOG!$B:$B, E540),
"")</f>
        <v>46126.625</v>
      </c>
      <c r="I540" s="233">
        <f>IFERROR(VLOOKUP(F540, LEVEL_HELPER!$A:$B, 2, 0), "")</f>
        <v>0.5</v>
      </c>
      <c r="J540" s="233" t="str">
        <f>IFERROR(VLOOKUP(G540, LEVEL_HELPER!$A:$B, 2, 0), "")</f>
        <v/>
      </c>
      <c r="K540" s="233">
        <f t="shared" ref="K540:L540" si="1108">IF(OR(I540="", I540=0), "",
  IF(I540&lt;=2,   1,
  IF(I540&lt;=4,   2,
  IF(I540&lt;=5.5, 3, 4))))</f>
        <v>1</v>
      </c>
      <c r="L540" s="190" t="str">
        <f t="shared" si="1108"/>
        <v/>
      </c>
      <c r="M540" s="190" t="str">
        <f t="shared" si="4"/>
        <v>No Data</v>
      </c>
      <c r="N540" s="237" t="s">
        <v>943</v>
      </c>
      <c r="O540" s="237" t="s">
        <v>924</v>
      </c>
      <c r="P540" s="233">
        <f t="shared" si="5"/>
        <v>0.5</v>
      </c>
      <c r="Q540" s="238">
        <f t="shared" si="6"/>
        <v>1</v>
      </c>
      <c r="R540" s="238">
        <f t="shared" ref="R540:S540" si="1109">IF(OR(P540="", P540=0), "",
  IF(P540&lt;=2,   1,
  IF(P540&lt;=4,   2,
  IF(P540&lt;=5.5, 3, 4))))</f>
        <v>1</v>
      </c>
      <c r="S540" s="238">
        <f t="shared" si="1109"/>
        <v>1</v>
      </c>
      <c r="T540" s="238" t="str">
        <f t="shared" si="8"/>
        <v>Progress within level</v>
      </c>
      <c r="U540" s="238">
        <f t="shared" si="1110"/>
        <v>0</v>
      </c>
      <c r="V540" s="238"/>
    </row>
    <row r="541">
      <c r="A541" s="237" t="s">
        <v>290</v>
      </c>
      <c r="B541" s="233" t="s">
        <v>291</v>
      </c>
      <c r="C541" s="234" t="s">
        <v>97</v>
      </c>
      <c r="D541" s="234" t="s">
        <v>890</v>
      </c>
      <c r="E541" s="233" t="s">
        <v>21</v>
      </c>
      <c r="F541" s="235" t="s">
        <v>25</v>
      </c>
      <c r="G541" s="233"/>
      <c r="H541" s="219">
        <f>IFERROR(
  MINIFS(ATTENDANCE_LOG!$F:$F,
         ATTENDANCE_LOG!$A:$A, C541,
         ATTENDANCE_LOG!$B:$B, E541),
"")</f>
        <v>46126.625</v>
      </c>
      <c r="I541" s="233">
        <f>IFERROR(VLOOKUP(F541, LEVEL_HELPER!$A:$B, 2, 0), "")</f>
        <v>0.5</v>
      </c>
      <c r="J541" s="233" t="str">
        <f>IFERROR(VLOOKUP(G541, LEVEL_HELPER!$A:$B, 2, 0), "")</f>
        <v/>
      </c>
      <c r="K541" s="233">
        <f t="shared" ref="K541:L541" si="1111">IF(OR(I541="", I541=0), "",
  IF(I541&lt;=2,   1,
  IF(I541&lt;=4,   2,
  IF(I541&lt;=5.5, 3, 4))))</f>
        <v>1</v>
      </c>
      <c r="L541" s="190" t="str">
        <f t="shared" si="1111"/>
        <v/>
      </c>
      <c r="M541" s="190" t="str">
        <f t="shared" si="4"/>
        <v>No Data</v>
      </c>
      <c r="N541" s="237" t="s">
        <v>931</v>
      </c>
      <c r="O541" s="237" t="s">
        <v>920</v>
      </c>
      <c r="P541" s="233">
        <f t="shared" si="5"/>
        <v>0.5</v>
      </c>
      <c r="Q541" s="238">
        <f t="shared" si="6"/>
        <v>0.5</v>
      </c>
      <c r="R541" s="238">
        <f t="shared" ref="R541:S541" si="1112">IF(OR(P541="", P541=0), "",
  IF(P541&lt;=2,   1,
  IF(P541&lt;=4,   2,
  IF(P541&lt;=5.5, 3, 4))))</f>
        <v>1</v>
      </c>
      <c r="S541" s="238">
        <f t="shared" si="1112"/>
        <v>1</v>
      </c>
      <c r="T541" s="238" t="str">
        <f t="shared" si="8"/>
        <v>No Progress</v>
      </c>
      <c r="U541" s="238">
        <f t="shared" si="1110"/>
        <v>0</v>
      </c>
      <c r="V541" s="238"/>
    </row>
    <row r="542">
      <c r="A542" s="220" t="s">
        <v>468</v>
      </c>
      <c r="B542" s="190" t="s">
        <v>469</v>
      </c>
      <c r="C542" s="223" t="s">
        <v>97</v>
      </c>
      <c r="D542" s="223" t="s">
        <v>890</v>
      </c>
      <c r="E542" s="190" t="s">
        <v>21</v>
      </c>
      <c r="F542" s="13" t="s">
        <v>25</v>
      </c>
      <c r="G542" s="190"/>
      <c r="H542" s="219">
        <f>IFERROR(
  MINIFS(ATTENDANCE_LOG!$F:$F,
         ATTENDANCE_LOG!$A:$A, C542,
         ATTENDANCE_LOG!$B:$B, E542),
"")</f>
        <v>46126.625</v>
      </c>
      <c r="I542" s="190">
        <f>IFERROR(VLOOKUP(F542, LEVEL_HELPER!$A:$B, 2, 0), "")</f>
        <v>0.5</v>
      </c>
      <c r="J542" s="233" t="str">
        <f>IFERROR(VLOOKUP(G542, LEVEL_HELPER!$A:$B, 2, 0), "")</f>
        <v/>
      </c>
      <c r="K542" s="190">
        <f t="shared" ref="K542:L542" si="1113">IF(OR(I542="", I542=0), "",
  IF(I542&lt;=2,   1,
  IF(I542&lt;=4,   2,
  IF(I542&lt;=5.5, 3, 4))))</f>
        <v>1</v>
      </c>
      <c r="L542" s="190" t="str">
        <f t="shared" si="1113"/>
        <v/>
      </c>
      <c r="M542" s="190" t="str">
        <f t="shared" si="4"/>
        <v>No Data</v>
      </c>
      <c r="N542" s="220" t="s">
        <v>931</v>
      </c>
      <c r="O542" s="220" t="s">
        <v>920</v>
      </c>
      <c r="P542" s="190">
        <f t="shared" si="5"/>
        <v>0.5</v>
      </c>
      <c r="Q542" s="210">
        <f t="shared" si="6"/>
        <v>0.5</v>
      </c>
      <c r="R542" s="210">
        <f t="shared" ref="R542:S542" si="1114">IF(OR(P542="", P542=0), "",
  IF(P542&lt;=2,   1,
  IF(P542&lt;=4,   2,
  IF(P542&lt;=5.5, 3, 4))))</f>
        <v>1</v>
      </c>
      <c r="S542" s="210">
        <f t="shared" si="1114"/>
        <v>1</v>
      </c>
      <c r="T542" s="210" t="str">
        <f t="shared" si="8"/>
        <v>No Progress</v>
      </c>
      <c r="U542" s="210">
        <f t="shared" si="1110"/>
        <v>0</v>
      </c>
      <c r="V542" s="210"/>
    </row>
    <row r="543">
      <c r="A543" s="220" t="s">
        <v>516</v>
      </c>
      <c r="B543" s="190" t="s">
        <v>517</v>
      </c>
      <c r="C543" s="223" t="s">
        <v>97</v>
      </c>
      <c r="D543" s="223" t="s">
        <v>890</v>
      </c>
      <c r="E543" s="190" t="s">
        <v>21</v>
      </c>
      <c r="F543" s="13" t="s">
        <v>25</v>
      </c>
      <c r="G543" s="190"/>
      <c r="H543" s="219">
        <f>IFERROR(
  MINIFS(ATTENDANCE_LOG!$F:$F,
         ATTENDANCE_LOG!$A:$A, C543,
         ATTENDANCE_LOG!$B:$B, E543),
"")</f>
        <v>46126.625</v>
      </c>
      <c r="I543" s="190">
        <f>IFERROR(VLOOKUP(F543, LEVEL_HELPER!$A:$B, 2, 0), "")</f>
        <v>0.5</v>
      </c>
      <c r="J543" s="233" t="str">
        <f>IFERROR(VLOOKUP(G543, LEVEL_HELPER!$A:$B, 2, 0), "")</f>
        <v/>
      </c>
      <c r="K543" s="190">
        <f t="shared" ref="K543:L543" si="1115">IF(OR(I543="", I543=0), "",
  IF(I543&lt;=2,   1,
  IF(I543&lt;=4,   2,
  IF(I543&lt;=5.5, 3, 4))))</f>
        <v>1</v>
      </c>
      <c r="L543" s="190" t="str">
        <f t="shared" si="1115"/>
        <v/>
      </c>
      <c r="M543" s="190" t="str">
        <f t="shared" si="4"/>
        <v>No Data</v>
      </c>
      <c r="N543" s="220" t="s">
        <v>931</v>
      </c>
      <c r="O543" s="220" t="s">
        <v>920</v>
      </c>
      <c r="P543" s="190">
        <f t="shared" si="5"/>
        <v>0.5</v>
      </c>
      <c r="Q543" s="210">
        <f t="shared" si="6"/>
        <v>0.5</v>
      </c>
      <c r="R543" s="210">
        <f t="shared" ref="R543:S543" si="1116">IF(OR(P543="", P543=0), "",
  IF(P543&lt;=2,   1,
  IF(P543&lt;=4,   2,
  IF(P543&lt;=5.5, 3, 4))))</f>
        <v>1</v>
      </c>
      <c r="S543" s="210">
        <f t="shared" si="1116"/>
        <v>1</v>
      </c>
      <c r="T543" s="210" t="str">
        <f t="shared" si="8"/>
        <v>No Progress</v>
      </c>
      <c r="U543" s="210">
        <f t="shared" si="1110"/>
        <v>0</v>
      </c>
      <c r="V543" s="210"/>
    </row>
    <row r="544">
      <c r="A544" s="220"/>
      <c r="F544" s="190"/>
      <c r="G544" s="190"/>
      <c r="N544" s="220"/>
      <c r="O544" s="220"/>
      <c r="Q544" s="210"/>
      <c r="R544" s="210"/>
      <c r="S544" s="210"/>
      <c r="T544" s="210"/>
      <c r="U544" s="210"/>
      <c r="V544" s="210"/>
    </row>
    <row r="545">
      <c r="A545" s="220"/>
      <c r="F545" s="190"/>
      <c r="G545" s="190"/>
      <c r="N545" s="220"/>
      <c r="O545" s="220"/>
      <c r="Q545" s="210"/>
      <c r="R545" s="210"/>
      <c r="S545" s="210"/>
      <c r="T545" s="210"/>
      <c r="U545" s="210"/>
      <c r="V545" s="210"/>
    </row>
    <row r="546">
      <c r="A546" s="220"/>
      <c r="F546" s="190"/>
      <c r="G546" s="190"/>
      <c r="N546" s="220"/>
      <c r="O546" s="220"/>
      <c r="Q546" s="210"/>
      <c r="R546" s="210"/>
      <c r="S546" s="210"/>
      <c r="T546" s="210"/>
      <c r="U546" s="210"/>
      <c r="V546" s="210"/>
    </row>
    <row r="547">
      <c r="A547" s="220"/>
      <c r="F547" s="190"/>
      <c r="G547" s="190"/>
      <c r="N547" s="220"/>
      <c r="O547" s="220"/>
      <c r="Q547" s="210"/>
      <c r="R547" s="210"/>
      <c r="S547" s="210"/>
      <c r="T547" s="210"/>
      <c r="U547" s="210"/>
      <c r="V547" s="210"/>
    </row>
    <row r="548">
      <c r="A548" s="220"/>
      <c r="F548" s="190"/>
      <c r="G548" s="190"/>
      <c r="N548" s="220"/>
      <c r="O548" s="220"/>
      <c r="Q548" s="210"/>
      <c r="R548" s="210"/>
      <c r="S548" s="210"/>
      <c r="T548" s="210"/>
      <c r="U548" s="210"/>
      <c r="V548" s="210"/>
    </row>
    <row r="549">
      <c r="A549" s="220"/>
      <c r="F549" s="190"/>
      <c r="G549" s="190"/>
      <c r="N549" s="220"/>
      <c r="O549" s="220"/>
      <c r="Q549" s="210"/>
      <c r="R549" s="210"/>
      <c r="S549" s="210"/>
      <c r="T549" s="210"/>
      <c r="U549" s="210"/>
      <c r="V549" s="210"/>
    </row>
    <row r="550">
      <c r="A550" s="220"/>
      <c r="F550" s="190"/>
      <c r="G550" s="190"/>
      <c r="N550" s="220"/>
      <c r="O550" s="220"/>
      <c r="Q550" s="210"/>
      <c r="R550" s="210"/>
      <c r="S550" s="210"/>
      <c r="T550" s="210"/>
      <c r="U550" s="210"/>
      <c r="V550" s="210"/>
    </row>
    <row r="551">
      <c r="A551" s="220"/>
      <c r="F551" s="190"/>
      <c r="G551" s="190"/>
      <c r="N551" s="220"/>
      <c r="O551" s="220"/>
      <c r="Q551" s="210"/>
      <c r="R551" s="210"/>
      <c r="S551" s="210"/>
      <c r="T551" s="210"/>
      <c r="U551" s="210"/>
      <c r="V551" s="210"/>
    </row>
    <row r="552">
      <c r="A552" s="220"/>
      <c r="F552" s="190"/>
      <c r="G552" s="190"/>
      <c r="N552" s="220"/>
      <c r="O552" s="220"/>
      <c r="Q552" s="210"/>
      <c r="R552" s="210"/>
      <c r="S552" s="210"/>
      <c r="T552" s="210"/>
      <c r="U552" s="210"/>
      <c r="V552" s="210"/>
    </row>
    <row r="553">
      <c r="A553" s="220"/>
      <c r="F553" s="190"/>
      <c r="G553" s="190"/>
      <c r="N553" s="220"/>
      <c r="O553" s="220"/>
      <c r="Q553" s="210"/>
      <c r="R553" s="210"/>
      <c r="S553" s="210"/>
      <c r="T553" s="210"/>
      <c r="U553" s="210"/>
      <c r="V553" s="210"/>
    </row>
    <row r="554">
      <c r="A554" s="220"/>
      <c r="F554" s="190"/>
      <c r="G554" s="190"/>
      <c r="N554" s="220"/>
      <c r="O554" s="220"/>
      <c r="Q554" s="210"/>
      <c r="R554" s="210"/>
      <c r="S554" s="210"/>
      <c r="T554" s="210"/>
      <c r="U554" s="210"/>
      <c r="V554" s="210"/>
    </row>
    <row r="555">
      <c r="A555" s="220"/>
      <c r="F555" s="190"/>
      <c r="G555" s="190"/>
      <c r="N555" s="220"/>
      <c r="O555" s="220"/>
      <c r="Q555" s="210"/>
      <c r="R555" s="210"/>
      <c r="S555" s="210"/>
      <c r="T555" s="210"/>
      <c r="U555" s="210"/>
      <c r="V555" s="210"/>
    </row>
    <row r="556">
      <c r="A556" s="220"/>
      <c r="F556" s="190"/>
      <c r="G556" s="190"/>
      <c r="N556" s="220"/>
      <c r="O556" s="220"/>
      <c r="Q556" s="210"/>
      <c r="R556" s="210"/>
      <c r="S556" s="210"/>
      <c r="T556" s="210"/>
      <c r="U556" s="210"/>
      <c r="V556" s="210"/>
    </row>
    <row r="557">
      <c r="A557" s="220"/>
      <c r="F557" s="190"/>
      <c r="G557" s="190"/>
      <c r="N557" s="220"/>
      <c r="O557" s="220"/>
      <c r="Q557" s="210"/>
      <c r="R557" s="210"/>
      <c r="S557" s="210"/>
      <c r="T557" s="210"/>
      <c r="U557" s="210"/>
      <c r="V557" s="210"/>
    </row>
    <row r="558">
      <c r="A558" s="220"/>
      <c r="F558" s="190"/>
      <c r="G558" s="190"/>
      <c r="N558" s="220"/>
      <c r="O558" s="220"/>
      <c r="Q558" s="210"/>
      <c r="R558" s="210"/>
      <c r="S558" s="210"/>
      <c r="T558" s="210"/>
      <c r="U558" s="210"/>
      <c r="V558" s="210"/>
    </row>
    <row r="559">
      <c r="A559" s="220"/>
      <c r="F559" s="190"/>
      <c r="G559" s="190"/>
      <c r="N559" s="220"/>
      <c r="O559" s="220"/>
      <c r="Q559" s="210"/>
      <c r="R559" s="210"/>
      <c r="S559" s="210"/>
      <c r="T559" s="210"/>
      <c r="U559" s="210"/>
      <c r="V559" s="210"/>
    </row>
    <row r="560">
      <c r="A560" s="220"/>
      <c r="F560" s="190"/>
      <c r="G560" s="190"/>
      <c r="N560" s="220"/>
      <c r="O560" s="220"/>
      <c r="Q560" s="210"/>
      <c r="R560" s="210"/>
      <c r="S560" s="210"/>
      <c r="T560" s="210"/>
      <c r="U560" s="210"/>
      <c r="V560" s="210"/>
    </row>
    <row r="561">
      <c r="A561" s="220"/>
      <c r="F561" s="190"/>
      <c r="G561" s="190"/>
      <c r="N561" s="220"/>
      <c r="O561" s="220"/>
      <c r="Q561" s="210"/>
      <c r="R561" s="210"/>
      <c r="S561" s="210"/>
      <c r="T561" s="210"/>
      <c r="U561" s="210"/>
      <c r="V561" s="210"/>
    </row>
    <row r="562">
      <c r="A562" s="220"/>
      <c r="F562" s="190"/>
      <c r="G562" s="190"/>
      <c r="N562" s="220"/>
      <c r="O562" s="220"/>
      <c r="Q562" s="210"/>
      <c r="R562" s="210"/>
      <c r="S562" s="210"/>
      <c r="T562" s="210"/>
      <c r="U562" s="210"/>
      <c r="V562" s="210"/>
    </row>
    <row r="563">
      <c r="A563" s="220"/>
      <c r="F563" s="190"/>
      <c r="G563" s="190"/>
      <c r="N563" s="220"/>
      <c r="O563" s="220"/>
      <c r="Q563" s="210"/>
      <c r="R563" s="210"/>
      <c r="S563" s="210"/>
      <c r="T563" s="210"/>
      <c r="U563" s="210"/>
      <c r="V563" s="210"/>
    </row>
    <row r="564">
      <c r="A564" s="220"/>
      <c r="F564" s="190"/>
      <c r="G564" s="190"/>
      <c r="N564" s="220"/>
      <c r="O564" s="220"/>
      <c r="Q564" s="210"/>
      <c r="R564" s="210"/>
      <c r="S564" s="210"/>
      <c r="T564" s="210"/>
      <c r="U564" s="210"/>
      <c r="V564" s="210"/>
    </row>
    <row r="565">
      <c r="A565" s="220"/>
      <c r="F565" s="190"/>
      <c r="G565" s="190"/>
      <c r="N565" s="220"/>
      <c r="O565" s="220"/>
      <c r="Q565" s="210"/>
      <c r="R565" s="210"/>
      <c r="S565" s="210"/>
      <c r="T565" s="210"/>
      <c r="U565" s="210"/>
      <c r="V565" s="210"/>
    </row>
    <row r="566">
      <c r="A566" s="220"/>
      <c r="F566" s="190"/>
      <c r="G566" s="190"/>
      <c r="N566" s="220"/>
      <c r="O566" s="220"/>
      <c r="Q566" s="210"/>
      <c r="R566" s="210"/>
      <c r="S566" s="210"/>
      <c r="T566" s="210"/>
      <c r="U566" s="210"/>
      <c r="V566" s="210"/>
    </row>
    <row r="567">
      <c r="A567" s="220"/>
      <c r="F567" s="190"/>
      <c r="G567" s="190"/>
      <c r="N567" s="220"/>
      <c r="O567" s="220"/>
      <c r="Q567" s="210"/>
      <c r="R567" s="210"/>
      <c r="S567" s="210"/>
      <c r="T567" s="210"/>
      <c r="U567" s="210"/>
      <c r="V567" s="210"/>
    </row>
    <row r="568">
      <c r="A568" s="220"/>
      <c r="F568" s="190"/>
      <c r="G568" s="190"/>
      <c r="N568" s="220"/>
      <c r="O568" s="220"/>
      <c r="Q568" s="210"/>
      <c r="R568" s="210"/>
      <c r="S568" s="210"/>
      <c r="T568" s="210"/>
      <c r="U568" s="210"/>
      <c r="V568" s="210"/>
    </row>
    <row r="569">
      <c r="A569" s="220"/>
      <c r="F569" s="190"/>
      <c r="G569" s="190"/>
      <c r="N569" s="220"/>
      <c r="O569" s="220"/>
      <c r="Q569" s="210"/>
      <c r="R569" s="210"/>
      <c r="S569" s="210"/>
      <c r="T569" s="210"/>
      <c r="U569" s="210"/>
      <c r="V569" s="210"/>
    </row>
    <row r="570">
      <c r="A570" s="220"/>
      <c r="F570" s="190"/>
      <c r="G570" s="190"/>
      <c r="N570" s="220"/>
      <c r="O570" s="220"/>
      <c r="Q570" s="210"/>
      <c r="R570" s="210"/>
      <c r="S570" s="210"/>
      <c r="T570" s="210"/>
      <c r="U570" s="210"/>
      <c r="V570" s="210"/>
    </row>
    <row r="571">
      <c r="A571" s="220"/>
      <c r="F571" s="190"/>
      <c r="G571" s="190"/>
      <c r="N571" s="220"/>
      <c r="O571" s="220"/>
      <c r="Q571" s="210"/>
      <c r="R571" s="210"/>
      <c r="S571" s="210"/>
      <c r="T571" s="210"/>
      <c r="U571" s="210"/>
      <c r="V571" s="210"/>
    </row>
    <row r="572">
      <c r="A572" s="220"/>
      <c r="F572" s="190"/>
      <c r="G572" s="190"/>
      <c r="N572" s="220"/>
      <c r="O572" s="220"/>
      <c r="Q572" s="210"/>
      <c r="R572" s="210"/>
      <c r="S572" s="210"/>
      <c r="T572" s="210"/>
      <c r="U572" s="210"/>
      <c r="V572" s="210"/>
    </row>
    <row r="573">
      <c r="A573" s="220"/>
      <c r="F573" s="190"/>
      <c r="G573" s="190"/>
      <c r="N573" s="220"/>
      <c r="O573" s="220"/>
      <c r="Q573" s="210"/>
      <c r="R573" s="210"/>
      <c r="S573" s="210"/>
      <c r="T573" s="210"/>
      <c r="U573" s="210"/>
      <c r="V573" s="210"/>
    </row>
    <row r="574">
      <c r="A574" s="220"/>
      <c r="F574" s="190"/>
      <c r="G574" s="190"/>
      <c r="N574" s="220"/>
      <c r="O574" s="220"/>
      <c r="Q574" s="210"/>
      <c r="R574" s="210"/>
      <c r="S574" s="210"/>
      <c r="T574" s="210"/>
      <c r="U574" s="210"/>
      <c r="V574" s="210"/>
    </row>
    <row r="575">
      <c r="A575" s="220"/>
      <c r="F575" s="190"/>
      <c r="G575" s="190"/>
      <c r="N575" s="220"/>
      <c r="O575" s="220"/>
      <c r="Q575" s="210"/>
      <c r="R575" s="210"/>
      <c r="S575" s="210"/>
      <c r="T575" s="210"/>
      <c r="U575" s="210"/>
      <c r="V575" s="210"/>
    </row>
    <row r="576">
      <c r="A576" s="220"/>
      <c r="F576" s="190"/>
      <c r="G576" s="190"/>
      <c r="N576" s="220"/>
      <c r="O576" s="220"/>
      <c r="Q576" s="210"/>
      <c r="R576" s="210"/>
      <c r="S576" s="210"/>
      <c r="T576" s="210"/>
      <c r="U576" s="210"/>
      <c r="V576" s="210"/>
    </row>
    <row r="577">
      <c r="A577" s="220"/>
      <c r="F577" s="190"/>
      <c r="G577" s="190"/>
      <c r="N577" s="220"/>
      <c r="O577" s="220"/>
      <c r="Q577" s="210"/>
      <c r="R577" s="210"/>
      <c r="S577" s="210"/>
      <c r="T577" s="210"/>
      <c r="U577" s="210"/>
      <c r="V577" s="210"/>
    </row>
    <row r="578">
      <c r="A578" s="220"/>
      <c r="F578" s="190"/>
      <c r="G578" s="190"/>
      <c r="N578" s="220"/>
      <c r="O578" s="220"/>
      <c r="Q578" s="210"/>
      <c r="R578" s="210"/>
      <c r="S578" s="210"/>
      <c r="T578" s="210"/>
      <c r="U578" s="210"/>
      <c r="V578" s="210"/>
    </row>
    <row r="579">
      <c r="A579" s="220"/>
      <c r="F579" s="190"/>
      <c r="G579" s="190"/>
      <c r="N579" s="220"/>
      <c r="O579" s="220"/>
      <c r="Q579" s="210"/>
      <c r="R579" s="210"/>
      <c r="S579" s="210"/>
      <c r="T579" s="210"/>
      <c r="U579" s="210"/>
      <c r="V579" s="210"/>
    </row>
    <row r="580">
      <c r="A580" s="220"/>
      <c r="F580" s="190"/>
      <c r="G580" s="190"/>
      <c r="N580" s="220"/>
      <c r="O580" s="220"/>
      <c r="Q580" s="210"/>
      <c r="R580" s="210"/>
      <c r="S580" s="210"/>
      <c r="T580" s="210"/>
      <c r="U580" s="210"/>
      <c r="V580" s="210"/>
    </row>
    <row r="581">
      <c r="A581" s="220"/>
      <c r="F581" s="190"/>
      <c r="G581" s="190"/>
      <c r="N581" s="220"/>
      <c r="O581" s="220"/>
      <c r="Q581" s="210"/>
      <c r="R581" s="210"/>
      <c r="S581" s="210"/>
      <c r="T581" s="210"/>
      <c r="U581" s="210"/>
      <c r="V581" s="210"/>
    </row>
    <row r="582">
      <c r="A582" s="220"/>
      <c r="F582" s="190"/>
      <c r="G582" s="190"/>
      <c r="N582" s="220"/>
      <c r="O582" s="220"/>
      <c r="Q582" s="210"/>
      <c r="R582" s="210"/>
      <c r="S582" s="210"/>
      <c r="T582" s="210"/>
      <c r="U582" s="210"/>
      <c r="V582" s="210"/>
    </row>
    <row r="583">
      <c r="A583" s="220"/>
      <c r="F583" s="190"/>
      <c r="G583" s="190"/>
      <c r="N583" s="220"/>
      <c r="O583" s="220"/>
      <c r="Q583" s="210"/>
      <c r="R583" s="210"/>
      <c r="S583" s="210"/>
      <c r="T583" s="210"/>
      <c r="U583" s="210"/>
      <c r="V583" s="210"/>
    </row>
    <row r="584">
      <c r="A584" s="220"/>
      <c r="F584" s="190"/>
      <c r="G584" s="190"/>
      <c r="N584" s="220"/>
      <c r="O584" s="220"/>
      <c r="Q584" s="210"/>
      <c r="R584" s="210"/>
      <c r="S584" s="210"/>
      <c r="T584" s="210"/>
      <c r="U584" s="210"/>
      <c r="V584" s="210"/>
    </row>
    <row r="585">
      <c r="A585" s="220"/>
      <c r="F585" s="190"/>
      <c r="G585" s="190"/>
      <c r="N585" s="220"/>
      <c r="O585" s="220"/>
      <c r="Q585" s="210"/>
      <c r="R585" s="210"/>
      <c r="S585" s="210"/>
      <c r="T585" s="210"/>
      <c r="U585" s="210"/>
      <c r="V585" s="210"/>
    </row>
    <row r="586">
      <c r="A586" s="220"/>
      <c r="F586" s="190"/>
      <c r="G586" s="190"/>
      <c r="N586" s="220"/>
      <c r="O586" s="220"/>
      <c r="Q586" s="210"/>
      <c r="R586" s="210"/>
      <c r="S586" s="210"/>
      <c r="T586" s="210"/>
      <c r="U586" s="210"/>
      <c r="V586" s="210"/>
    </row>
    <row r="587">
      <c r="A587" s="220"/>
      <c r="F587" s="190"/>
      <c r="G587" s="190"/>
      <c r="N587" s="220"/>
      <c r="O587" s="220"/>
      <c r="Q587" s="210"/>
      <c r="R587" s="210"/>
      <c r="S587" s="210"/>
      <c r="T587" s="210"/>
      <c r="U587" s="210"/>
      <c r="V587" s="210"/>
    </row>
    <row r="588">
      <c r="A588" s="220"/>
      <c r="F588" s="190"/>
      <c r="G588" s="190"/>
      <c r="N588" s="220"/>
      <c r="O588" s="220"/>
      <c r="Q588" s="210"/>
      <c r="R588" s="210"/>
      <c r="S588" s="210"/>
      <c r="T588" s="210"/>
      <c r="U588" s="210"/>
      <c r="V588" s="210"/>
    </row>
    <row r="589">
      <c r="A589" s="220"/>
      <c r="F589" s="190"/>
      <c r="G589" s="190"/>
      <c r="N589" s="220"/>
      <c r="O589" s="220"/>
      <c r="Q589" s="210"/>
      <c r="R589" s="210"/>
      <c r="S589" s="210"/>
      <c r="T589" s="210"/>
      <c r="U589" s="210"/>
      <c r="V589" s="210"/>
    </row>
    <row r="590">
      <c r="A590" s="220"/>
      <c r="F590" s="190"/>
      <c r="G590" s="190"/>
      <c r="N590" s="220"/>
      <c r="O590" s="220"/>
      <c r="Q590" s="210"/>
      <c r="R590" s="210"/>
      <c r="S590" s="210"/>
      <c r="T590" s="210"/>
      <c r="U590" s="210"/>
      <c r="V590" s="210"/>
    </row>
    <row r="591">
      <c r="A591" s="220"/>
      <c r="F591" s="190"/>
      <c r="G591" s="190"/>
      <c r="N591" s="220"/>
      <c r="O591" s="220"/>
      <c r="Q591" s="210"/>
      <c r="R591" s="210"/>
      <c r="S591" s="210"/>
      <c r="T591" s="210"/>
      <c r="U591" s="210"/>
      <c r="V591" s="210"/>
    </row>
    <row r="592">
      <c r="A592" s="220"/>
      <c r="F592" s="190"/>
      <c r="G592" s="190"/>
      <c r="N592" s="220"/>
      <c r="O592" s="220"/>
      <c r="Q592" s="210"/>
      <c r="R592" s="210"/>
      <c r="S592" s="210"/>
      <c r="T592" s="210"/>
      <c r="U592" s="210"/>
      <c r="V592" s="210"/>
    </row>
    <row r="593">
      <c r="A593" s="220"/>
      <c r="F593" s="190"/>
      <c r="G593" s="190"/>
      <c r="N593" s="220"/>
      <c r="O593" s="220"/>
      <c r="Q593" s="210"/>
      <c r="R593" s="210"/>
      <c r="S593" s="210"/>
      <c r="T593" s="210"/>
      <c r="U593" s="210"/>
      <c r="V593" s="210"/>
    </row>
    <row r="594">
      <c r="A594" s="220"/>
      <c r="F594" s="190"/>
      <c r="G594" s="190"/>
      <c r="N594" s="220"/>
      <c r="O594" s="220"/>
      <c r="Q594" s="210"/>
      <c r="R594" s="210"/>
      <c r="S594" s="210"/>
      <c r="T594" s="210"/>
      <c r="U594" s="210"/>
      <c r="V594" s="210"/>
    </row>
    <row r="595">
      <c r="A595" s="220"/>
      <c r="F595" s="190"/>
      <c r="G595" s="190"/>
      <c r="N595" s="220"/>
      <c r="O595" s="220"/>
      <c r="Q595" s="210"/>
      <c r="R595" s="210"/>
      <c r="S595" s="210"/>
      <c r="T595" s="210"/>
      <c r="U595" s="210"/>
      <c r="V595" s="210"/>
    </row>
    <row r="596">
      <c r="A596" s="220"/>
      <c r="F596" s="190"/>
      <c r="G596" s="190"/>
      <c r="N596" s="220"/>
      <c r="O596" s="220"/>
      <c r="Q596" s="210"/>
      <c r="R596" s="210"/>
      <c r="S596" s="210"/>
      <c r="T596" s="210"/>
      <c r="U596" s="210"/>
      <c r="V596" s="210"/>
    </row>
    <row r="597">
      <c r="A597" s="220"/>
      <c r="F597" s="190"/>
      <c r="G597" s="190"/>
      <c r="N597" s="220"/>
      <c r="O597" s="220"/>
      <c r="Q597" s="210"/>
      <c r="R597" s="210"/>
      <c r="S597" s="210"/>
      <c r="T597" s="210"/>
      <c r="U597" s="210"/>
      <c r="V597" s="210"/>
    </row>
    <row r="598">
      <c r="A598" s="220"/>
      <c r="F598" s="190"/>
      <c r="G598" s="190"/>
      <c r="N598" s="220"/>
      <c r="O598" s="220"/>
      <c r="Q598" s="210"/>
      <c r="R598" s="210"/>
      <c r="S598" s="210"/>
      <c r="T598" s="210"/>
      <c r="U598" s="210"/>
      <c r="V598" s="210"/>
    </row>
    <row r="599">
      <c r="A599" s="220"/>
      <c r="F599" s="190"/>
      <c r="G599" s="190"/>
      <c r="N599" s="220"/>
      <c r="O599" s="220"/>
      <c r="Q599" s="210"/>
      <c r="R599" s="210"/>
      <c r="S599" s="210"/>
      <c r="T599" s="210"/>
      <c r="U599" s="210"/>
      <c r="V599" s="210"/>
    </row>
    <row r="600">
      <c r="A600" s="220"/>
      <c r="F600" s="190"/>
      <c r="G600" s="190"/>
      <c r="N600" s="220"/>
      <c r="O600" s="220"/>
      <c r="Q600" s="210"/>
      <c r="R600" s="210"/>
      <c r="S600" s="210"/>
      <c r="T600" s="210"/>
      <c r="U600" s="210"/>
      <c r="V600" s="210"/>
    </row>
    <row r="601">
      <c r="A601" s="220"/>
      <c r="F601" s="190"/>
      <c r="G601" s="190"/>
      <c r="N601" s="220"/>
      <c r="O601" s="220"/>
      <c r="Q601" s="210"/>
      <c r="R601" s="210"/>
      <c r="S601" s="210"/>
      <c r="T601" s="210"/>
      <c r="U601" s="210"/>
      <c r="V601" s="210"/>
    </row>
    <row r="602">
      <c r="A602" s="220"/>
      <c r="F602" s="190"/>
      <c r="G602" s="190"/>
      <c r="N602" s="220"/>
      <c r="O602" s="220"/>
      <c r="Q602" s="210"/>
      <c r="R602" s="210"/>
      <c r="S602" s="210"/>
      <c r="T602" s="210"/>
      <c r="U602" s="210"/>
      <c r="V602" s="210"/>
    </row>
    <row r="603">
      <c r="A603" s="220"/>
      <c r="F603" s="190"/>
      <c r="G603" s="190"/>
      <c r="N603" s="220"/>
      <c r="O603" s="220"/>
      <c r="Q603" s="210"/>
      <c r="R603" s="210"/>
      <c r="S603" s="210"/>
      <c r="T603" s="210"/>
      <c r="U603" s="210"/>
      <c r="V603" s="210"/>
    </row>
    <row r="604">
      <c r="A604" s="220"/>
      <c r="F604" s="190"/>
      <c r="G604" s="190"/>
      <c r="N604" s="220"/>
      <c r="O604" s="220"/>
      <c r="Q604" s="210"/>
      <c r="R604" s="210"/>
      <c r="S604" s="210"/>
      <c r="T604" s="210"/>
      <c r="U604" s="210"/>
      <c r="V604" s="210"/>
    </row>
    <row r="605">
      <c r="A605" s="220"/>
      <c r="F605" s="190"/>
      <c r="G605" s="190"/>
      <c r="N605" s="220"/>
      <c r="O605" s="220"/>
      <c r="Q605" s="210"/>
      <c r="R605" s="210"/>
      <c r="S605" s="210"/>
      <c r="T605" s="210"/>
      <c r="U605" s="210"/>
      <c r="V605" s="210"/>
    </row>
    <row r="606">
      <c r="A606" s="220"/>
      <c r="F606" s="190"/>
      <c r="G606" s="190"/>
      <c r="N606" s="220"/>
      <c r="O606" s="220"/>
      <c r="Q606" s="210"/>
      <c r="R606" s="210"/>
      <c r="S606" s="210"/>
      <c r="T606" s="210"/>
      <c r="U606" s="210"/>
      <c r="V606" s="210"/>
    </row>
    <row r="607">
      <c r="A607" s="220"/>
      <c r="F607" s="190"/>
      <c r="G607" s="190"/>
      <c r="N607" s="220"/>
      <c r="O607" s="220"/>
      <c r="Q607" s="210"/>
      <c r="R607" s="210"/>
      <c r="S607" s="210"/>
      <c r="T607" s="210"/>
      <c r="U607" s="210"/>
      <c r="V607" s="210"/>
    </row>
    <row r="608">
      <c r="A608" s="220"/>
      <c r="F608" s="190"/>
      <c r="G608" s="190"/>
      <c r="N608" s="220"/>
      <c r="O608" s="220"/>
      <c r="Q608" s="210"/>
      <c r="R608" s="210"/>
      <c r="S608" s="210"/>
      <c r="T608" s="210"/>
      <c r="U608" s="210"/>
      <c r="V608" s="210"/>
    </row>
    <row r="609">
      <c r="A609" s="220"/>
      <c r="F609" s="190"/>
      <c r="G609" s="190"/>
      <c r="N609" s="220"/>
      <c r="O609" s="220"/>
      <c r="Q609" s="210"/>
      <c r="R609" s="210"/>
      <c r="S609" s="210"/>
      <c r="T609" s="210"/>
      <c r="U609" s="210"/>
      <c r="V609" s="210"/>
    </row>
    <row r="610">
      <c r="A610" s="220"/>
      <c r="F610" s="190"/>
      <c r="G610" s="190"/>
      <c r="N610" s="220"/>
      <c r="O610" s="220"/>
      <c r="Q610" s="210"/>
      <c r="R610" s="210"/>
      <c r="S610" s="210"/>
      <c r="T610" s="210"/>
      <c r="U610" s="210"/>
      <c r="V610" s="210"/>
    </row>
    <row r="611">
      <c r="A611" s="220"/>
      <c r="F611" s="190"/>
      <c r="G611" s="190"/>
      <c r="N611" s="220"/>
      <c r="O611" s="220"/>
      <c r="Q611" s="210"/>
      <c r="R611" s="210"/>
      <c r="S611" s="210"/>
      <c r="T611" s="210"/>
      <c r="U611" s="210"/>
      <c r="V611" s="210"/>
    </row>
    <row r="612">
      <c r="A612" s="220"/>
      <c r="F612" s="190"/>
      <c r="G612" s="190"/>
      <c r="N612" s="220"/>
      <c r="O612" s="220"/>
      <c r="Q612" s="210"/>
      <c r="R612" s="210"/>
      <c r="S612" s="210"/>
      <c r="T612" s="210"/>
      <c r="U612" s="210"/>
      <c r="V612" s="210"/>
    </row>
    <row r="613">
      <c r="A613" s="220"/>
      <c r="F613" s="190"/>
      <c r="G613" s="190"/>
      <c r="N613" s="220"/>
      <c r="O613" s="220"/>
      <c r="Q613" s="210"/>
      <c r="R613" s="210"/>
      <c r="S613" s="210"/>
      <c r="T613" s="210"/>
      <c r="U613" s="210"/>
      <c r="V613" s="210"/>
    </row>
    <row r="614">
      <c r="A614" s="220"/>
      <c r="F614" s="190"/>
      <c r="G614" s="190"/>
      <c r="N614" s="220"/>
      <c r="O614" s="220"/>
      <c r="Q614" s="210"/>
      <c r="R614" s="210"/>
      <c r="S614" s="210"/>
      <c r="T614" s="210"/>
      <c r="U614" s="210"/>
      <c r="V614" s="210"/>
    </row>
    <row r="615">
      <c r="A615" s="220"/>
      <c r="F615" s="190"/>
      <c r="G615" s="190"/>
      <c r="N615" s="220"/>
      <c r="O615" s="220"/>
      <c r="Q615" s="210"/>
      <c r="R615" s="210"/>
      <c r="S615" s="210"/>
      <c r="T615" s="210"/>
      <c r="U615" s="210"/>
      <c r="V615" s="210"/>
    </row>
    <row r="616">
      <c r="A616" s="220"/>
      <c r="F616" s="190"/>
      <c r="G616" s="190"/>
      <c r="N616" s="220"/>
      <c r="O616" s="220"/>
      <c r="Q616" s="210"/>
      <c r="R616" s="210"/>
      <c r="S616" s="210"/>
      <c r="T616" s="210"/>
      <c r="U616" s="210"/>
      <c r="V616" s="210"/>
    </row>
    <row r="617">
      <c r="A617" s="220"/>
      <c r="F617" s="190"/>
      <c r="G617" s="190"/>
      <c r="N617" s="220"/>
      <c r="O617" s="220"/>
      <c r="Q617" s="210"/>
      <c r="R617" s="210"/>
      <c r="S617" s="210"/>
      <c r="T617" s="210"/>
      <c r="U617" s="210"/>
      <c r="V617" s="210"/>
    </row>
    <row r="618">
      <c r="A618" s="220"/>
      <c r="F618" s="190"/>
      <c r="G618" s="190"/>
      <c r="N618" s="220"/>
      <c r="O618" s="220"/>
      <c r="Q618" s="210"/>
      <c r="R618" s="210"/>
      <c r="S618" s="210"/>
      <c r="T618" s="210"/>
      <c r="U618" s="210"/>
      <c r="V618" s="210"/>
    </row>
    <row r="619">
      <c r="A619" s="220"/>
      <c r="F619" s="190"/>
      <c r="G619" s="190"/>
      <c r="N619" s="220"/>
      <c r="O619" s="220"/>
      <c r="Q619" s="210"/>
      <c r="R619" s="210"/>
      <c r="S619" s="210"/>
      <c r="T619" s="210"/>
      <c r="U619" s="210"/>
      <c r="V619" s="210"/>
    </row>
    <row r="620">
      <c r="A620" s="220"/>
      <c r="F620" s="190"/>
      <c r="G620" s="190"/>
      <c r="N620" s="220"/>
      <c r="O620" s="220"/>
      <c r="Q620" s="210"/>
      <c r="R620" s="210"/>
      <c r="S620" s="210"/>
      <c r="T620" s="210"/>
      <c r="U620" s="210"/>
      <c r="V620" s="210"/>
    </row>
    <row r="621">
      <c r="A621" s="220"/>
      <c r="F621" s="190"/>
      <c r="G621" s="190"/>
      <c r="N621" s="220"/>
      <c r="O621" s="220"/>
      <c r="Q621" s="210"/>
      <c r="R621" s="210"/>
      <c r="S621" s="210"/>
      <c r="T621" s="210"/>
      <c r="U621" s="210"/>
      <c r="V621" s="210"/>
    </row>
    <row r="622">
      <c r="A622" s="220"/>
      <c r="F622" s="190"/>
      <c r="G622" s="190"/>
      <c r="N622" s="220"/>
      <c r="O622" s="220"/>
      <c r="Q622" s="210"/>
      <c r="R622" s="210"/>
      <c r="S622" s="210"/>
      <c r="T622" s="210"/>
      <c r="U622" s="210"/>
      <c r="V622" s="210"/>
    </row>
    <row r="623">
      <c r="A623" s="220"/>
      <c r="F623" s="190"/>
      <c r="G623" s="190"/>
      <c r="N623" s="220"/>
      <c r="O623" s="220"/>
      <c r="Q623" s="210"/>
      <c r="R623" s="210"/>
      <c r="S623" s="210"/>
      <c r="T623" s="210"/>
      <c r="U623" s="210"/>
      <c r="V623" s="210"/>
    </row>
    <row r="624">
      <c r="A624" s="220"/>
      <c r="F624" s="190"/>
      <c r="G624" s="190"/>
      <c r="N624" s="220"/>
      <c r="O624" s="220"/>
      <c r="Q624" s="210"/>
      <c r="R624" s="210"/>
      <c r="S624" s="210"/>
      <c r="T624" s="210"/>
      <c r="U624" s="210"/>
      <c r="V624" s="210"/>
    </row>
    <row r="625">
      <c r="A625" s="220"/>
      <c r="F625" s="190"/>
      <c r="G625" s="190"/>
      <c r="N625" s="220"/>
      <c r="O625" s="220"/>
      <c r="Q625" s="210"/>
      <c r="R625" s="210"/>
      <c r="S625" s="210"/>
      <c r="T625" s="210"/>
      <c r="U625" s="210"/>
      <c r="V625" s="210"/>
    </row>
    <row r="626">
      <c r="A626" s="220"/>
      <c r="F626" s="190"/>
      <c r="G626" s="190"/>
      <c r="N626" s="220"/>
      <c r="O626" s="220"/>
      <c r="Q626" s="210"/>
      <c r="R626" s="210"/>
      <c r="S626" s="210"/>
      <c r="T626" s="210"/>
      <c r="U626" s="210"/>
      <c r="V626" s="210"/>
    </row>
    <row r="627">
      <c r="A627" s="220"/>
      <c r="F627" s="190"/>
      <c r="G627" s="190"/>
      <c r="N627" s="220"/>
      <c r="O627" s="220"/>
      <c r="Q627" s="210"/>
      <c r="R627" s="210"/>
      <c r="S627" s="210"/>
      <c r="T627" s="210"/>
      <c r="U627" s="210"/>
      <c r="V627" s="210"/>
    </row>
    <row r="628">
      <c r="A628" s="220"/>
      <c r="F628" s="190"/>
      <c r="G628" s="190"/>
      <c r="N628" s="220"/>
      <c r="O628" s="220"/>
      <c r="Q628" s="210"/>
      <c r="R628" s="210"/>
      <c r="S628" s="210"/>
      <c r="T628" s="210"/>
      <c r="U628" s="210"/>
      <c r="V628" s="210"/>
    </row>
    <row r="629">
      <c r="A629" s="220"/>
      <c r="F629" s="190"/>
      <c r="G629" s="190"/>
      <c r="N629" s="220"/>
      <c r="O629" s="220"/>
      <c r="Q629" s="210"/>
      <c r="R629" s="210"/>
      <c r="S629" s="210"/>
      <c r="T629" s="210"/>
      <c r="U629" s="210"/>
      <c r="V629" s="210"/>
    </row>
    <row r="630">
      <c r="A630" s="220"/>
      <c r="F630" s="190"/>
      <c r="G630" s="190"/>
      <c r="N630" s="220"/>
      <c r="O630" s="220"/>
      <c r="Q630" s="210"/>
      <c r="R630" s="210"/>
      <c r="S630" s="210"/>
      <c r="T630" s="210"/>
      <c r="U630" s="210"/>
      <c r="V630" s="210"/>
    </row>
    <row r="631">
      <c r="A631" s="220"/>
      <c r="F631" s="190"/>
      <c r="G631" s="190"/>
      <c r="N631" s="220"/>
      <c r="O631" s="220"/>
      <c r="Q631" s="210"/>
      <c r="R631" s="210"/>
      <c r="S631" s="210"/>
      <c r="T631" s="210"/>
      <c r="U631" s="210"/>
      <c r="V631" s="210"/>
    </row>
    <row r="632">
      <c r="A632" s="220"/>
      <c r="F632" s="190"/>
      <c r="G632" s="190"/>
      <c r="N632" s="220"/>
      <c r="O632" s="220"/>
      <c r="Q632" s="210"/>
      <c r="R632" s="210"/>
      <c r="S632" s="210"/>
      <c r="T632" s="210"/>
      <c r="U632" s="210"/>
      <c r="V632" s="210"/>
    </row>
    <row r="633">
      <c r="A633" s="220"/>
      <c r="F633" s="190"/>
      <c r="G633" s="190"/>
      <c r="N633" s="220"/>
      <c r="O633" s="220"/>
      <c r="Q633" s="210"/>
      <c r="R633" s="210"/>
      <c r="S633" s="210"/>
      <c r="T633" s="210"/>
      <c r="U633" s="210"/>
      <c r="V633" s="210"/>
    </row>
    <row r="634">
      <c r="A634" s="220"/>
      <c r="F634" s="190"/>
      <c r="G634" s="190"/>
      <c r="N634" s="220"/>
      <c r="O634" s="220"/>
      <c r="Q634" s="210"/>
      <c r="R634" s="210"/>
      <c r="S634" s="210"/>
      <c r="T634" s="210"/>
      <c r="U634" s="210"/>
      <c r="V634" s="210"/>
    </row>
    <row r="635">
      <c r="A635" s="220"/>
      <c r="F635" s="190"/>
      <c r="G635" s="190"/>
      <c r="N635" s="220"/>
      <c r="O635" s="220"/>
      <c r="Q635" s="210"/>
      <c r="R635" s="210"/>
      <c r="S635" s="210"/>
      <c r="T635" s="210"/>
      <c r="U635" s="210"/>
      <c r="V635" s="210"/>
    </row>
    <row r="636">
      <c r="A636" s="220"/>
      <c r="F636" s="190"/>
      <c r="G636" s="190"/>
      <c r="N636" s="220"/>
      <c r="O636" s="220"/>
      <c r="Q636" s="210"/>
      <c r="R636" s="210"/>
      <c r="S636" s="210"/>
      <c r="T636" s="210"/>
      <c r="U636" s="210"/>
      <c r="V636" s="210"/>
    </row>
    <row r="637">
      <c r="A637" s="220"/>
      <c r="F637" s="190"/>
      <c r="G637" s="190"/>
      <c r="N637" s="220"/>
      <c r="O637" s="220"/>
      <c r="Q637" s="210"/>
      <c r="R637" s="210"/>
      <c r="S637" s="210"/>
      <c r="T637" s="210"/>
      <c r="U637" s="210"/>
      <c r="V637" s="210"/>
    </row>
    <row r="638">
      <c r="A638" s="220"/>
      <c r="F638" s="190"/>
      <c r="G638" s="190"/>
      <c r="N638" s="220"/>
      <c r="O638" s="220"/>
      <c r="Q638" s="210"/>
      <c r="R638" s="210"/>
      <c r="S638" s="210"/>
      <c r="T638" s="210"/>
      <c r="U638" s="210"/>
      <c r="V638" s="210"/>
    </row>
    <row r="639">
      <c r="A639" s="220"/>
      <c r="F639" s="190"/>
      <c r="G639" s="190"/>
      <c r="N639" s="220"/>
      <c r="O639" s="220"/>
      <c r="Q639" s="210"/>
      <c r="R639" s="210"/>
      <c r="S639" s="210"/>
      <c r="T639" s="210"/>
      <c r="U639" s="210"/>
      <c r="V639" s="210"/>
    </row>
    <row r="640">
      <c r="A640" s="220"/>
      <c r="F640" s="190"/>
      <c r="G640" s="190"/>
      <c r="N640" s="220"/>
      <c r="O640" s="220"/>
      <c r="Q640" s="210"/>
      <c r="R640" s="210"/>
      <c r="S640" s="210"/>
      <c r="T640" s="210"/>
      <c r="U640" s="210"/>
      <c r="V640" s="210"/>
    </row>
    <row r="641">
      <c r="A641" s="220"/>
      <c r="F641" s="190"/>
      <c r="G641" s="190"/>
      <c r="N641" s="220"/>
      <c r="O641" s="220"/>
      <c r="Q641" s="210"/>
      <c r="R641" s="210"/>
      <c r="S641" s="210"/>
      <c r="T641" s="210"/>
      <c r="U641" s="210"/>
      <c r="V641" s="210"/>
    </row>
    <row r="642">
      <c r="A642" s="220"/>
      <c r="F642" s="190"/>
      <c r="G642" s="190"/>
      <c r="N642" s="220"/>
      <c r="O642" s="220"/>
      <c r="Q642" s="210"/>
      <c r="R642" s="210"/>
      <c r="S642" s="210"/>
      <c r="T642" s="210"/>
      <c r="U642" s="210"/>
      <c r="V642" s="210"/>
    </row>
    <row r="643">
      <c r="A643" s="220"/>
      <c r="F643" s="190"/>
      <c r="G643" s="190"/>
      <c r="N643" s="220"/>
      <c r="O643" s="220"/>
      <c r="Q643" s="210"/>
      <c r="R643" s="210"/>
      <c r="S643" s="210"/>
      <c r="T643" s="210"/>
      <c r="U643" s="210"/>
      <c r="V643" s="210"/>
    </row>
    <row r="644">
      <c r="A644" s="220"/>
      <c r="F644" s="190"/>
      <c r="G644" s="190"/>
      <c r="N644" s="220"/>
      <c r="O644" s="220"/>
      <c r="Q644" s="210"/>
      <c r="R644" s="210"/>
      <c r="S644" s="210"/>
      <c r="T644" s="210"/>
      <c r="U644" s="210"/>
      <c r="V644" s="210"/>
    </row>
    <row r="645">
      <c r="A645" s="220"/>
      <c r="F645" s="190"/>
      <c r="G645" s="190"/>
      <c r="N645" s="220"/>
      <c r="O645" s="220"/>
      <c r="Q645" s="210"/>
      <c r="R645" s="210"/>
      <c r="S645" s="210"/>
      <c r="T645" s="210"/>
      <c r="U645" s="210"/>
      <c r="V645" s="210"/>
    </row>
    <row r="646">
      <c r="A646" s="220"/>
      <c r="F646" s="190"/>
      <c r="G646" s="190"/>
      <c r="N646" s="220"/>
      <c r="O646" s="220"/>
      <c r="Q646" s="210"/>
      <c r="R646" s="210"/>
      <c r="S646" s="210"/>
      <c r="T646" s="210"/>
      <c r="U646" s="210"/>
      <c r="V646" s="210"/>
    </row>
    <row r="647">
      <c r="A647" s="220"/>
      <c r="F647" s="190"/>
      <c r="G647" s="190"/>
      <c r="N647" s="220"/>
      <c r="O647" s="220"/>
      <c r="Q647" s="210"/>
      <c r="R647" s="210"/>
      <c r="S647" s="210"/>
      <c r="T647" s="210"/>
      <c r="U647" s="210"/>
      <c r="V647" s="210"/>
    </row>
    <row r="648">
      <c r="A648" s="220"/>
      <c r="F648" s="190"/>
      <c r="G648" s="190"/>
      <c r="N648" s="220"/>
      <c r="O648" s="220"/>
      <c r="Q648" s="210"/>
      <c r="R648" s="210"/>
      <c r="S648" s="210"/>
      <c r="T648" s="210"/>
      <c r="U648" s="210"/>
      <c r="V648" s="210"/>
    </row>
    <row r="649">
      <c r="A649" s="220"/>
      <c r="F649" s="190"/>
      <c r="G649" s="190"/>
      <c r="N649" s="220"/>
      <c r="O649" s="220"/>
      <c r="Q649" s="210"/>
      <c r="R649" s="210"/>
      <c r="S649" s="210"/>
      <c r="T649" s="210"/>
      <c r="U649" s="210"/>
      <c r="V649" s="210"/>
    </row>
    <row r="650">
      <c r="A650" s="220"/>
      <c r="F650" s="190"/>
      <c r="G650" s="190"/>
      <c r="N650" s="220"/>
      <c r="O650" s="220"/>
      <c r="Q650" s="210"/>
      <c r="R650" s="210"/>
      <c r="S650" s="210"/>
      <c r="T650" s="210"/>
      <c r="U650" s="210"/>
      <c r="V650" s="210"/>
    </row>
    <row r="651">
      <c r="A651" s="220"/>
      <c r="F651" s="190"/>
      <c r="G651" s="190"/>
      <c r="N651" s="220"/>
      <c r="O651" s="220"/>
      <c r="Q651" s="210"/>
      <c r="R651" s="210"/>
      <c r="S651" s="210"/>
      <c r="T651" s="210"/>
      <c r="U651" s="210"/>
      <c r="V651" s="210"/>
    </row>
    <row r="652">
      <c r="A652" s="220"/>
      <c r="F652" s="190"/>
      <c r="G652" s="190"/>
      <c r="N652" s="220"/>
      <c r="O652" s="220"/>
      <c r="Q652" s="210"/>
      <c r="R652" s="210"/>
      <c r="S652" s="210"/>
      <c r="T652" s="210"/>
      <c r="U652" s="210"/>
      <c r="V652" s="210"/>
    </row>
    <row r="653">
      <c r="A653" s="220"/>
      <c r="F653" s="190"/>
      <c r="G653" s="190"/>
      <c r="N653" s="220"/>
      <c r="O653" s="220"/>
      <c r="Q653" s="210"/>
      <c r="R653" s="210"/>
      <c r="S653" s="210"/>
      <c r="T653" s="210"/>
      <c r="U653" s="210"/>
      <c r="V653" s="210"/>
    </row>
    <row r="654">
      <c r="A654" s="220"/>
      <c r="F654" s="190"/>
      <c r="G654" s="190"/>
      <c r="N654" s="220"/>
      <c r="O654" s="220"/>
      <c r="Q654" s="210"/>
      <c r="R654" s="210"/>
      <c r="S654" s="210"/>
      <c r="T654" s="210"/>
      <c r="U654" s="210"/>
      <c r="V654" s="210"/>
    </row>
    <row r="655">
      <c r="A655" s="220"/>
      <c r="F655" s="190"/>
      <c r="G655" s="190"/>
      <c r="N655" s="220"/>
      <c r="O655" s="220"/>
      <c r="Q655" s="210"/>
      <c r="R655" s="210"/>
      <c r="S655" s="210"/>
      <c r="T655" s="210"/>
      <c r="U655" s="210"/>
      <c r="V655" s="210"/>
    </row>
    <row r="656">
      <c r="A656" s="220"/>
      <c r="F656" s="190"/>
      <c r="G656" s="190"/>
      <c r="N656" s="220"/>
      <c r="O656" s="220"/>
      <c r="Q656" s="210"/>
      <c r="R656" s="210"/>
      <c r="S656" s="210"/>
      <c r="T656" s="210"/>
      <c r="U656" s="210"/>
      <c r="V656" s="210"/>
    </row>
    <row r="657">
      <c r="A657" s="220"/>
      <c r="F657" s="190"/>
      <c r="G657" s="190"/>
      <c r="N657" s="220"/>
      <c r="O657" s="220"/>
      <c r="Q657" s="210"/>
      <c r="R657" s="210"/>
      <c r="S657" s="210"/>
      <c r="T657" s="210"/>
      <c r="U657" s="210"/>
      <c r="V657" s="210"/>
    </row>
    <row r="658">
      <c r="A658" s="220"/>
      <c r="F658" s="190"/>
      <c r="G658" s="190"/>
      <c r="N658" s="220"/>
      <c r="O658" s="220"/>
      <c r="Q658" s="210"/>
      <c r="R658" s="210"/>
      <c r="S658" s="210"/>
      <c r="T658" s="210"/>
      <c r="U658" s="210"/>
      <c r="V658" s="210"/>
    </row>
    <row r="659">
      <c r="A659" s="220"/>
      <c r="F659" s="190"/>
      <c r="G659" s="190"/>
      <c r="N659" s="220"/>
      <c r="O659" s="220"/>
      <c r="Q659" s="210"/>
      <c r="R659" s="210"/>
      <c r="S659" s="210"/>
      <c r="T659" s="210"/>
      <c r="U659" s="210"/>
      <c r="V659" s="210"/>
    </row>
    <row r="660">
      <c r="A660" s="220"/>
      <c r="F660" s="190"/>
      <c r="G660" s="190"/>
      <c r="N660" s="220"/>
      <c r="O660" s="220"/>
      <c r="Q660" s="210"/>
      <c r="R660" s="210"/>
      <c r="S660" s="210"/>
      <c r="T660" s="210"/>
      <c r="U660" s="210"/>
      <c r="V660" s="210"/>
    </row>
    <row r="661">
      <c r="A661" s="220"/>
      <c r="F661" s="190"/>
      <c r="G661" s="190"/>
      <c r="N661" s="220"/>
      <c r="O661" s="220"/>
      <c r="Q661" s="210"/>
      <c r="R661" s="210"/>
      <c r="S661" s="210"/>
      <c r="T661" s="210"/>
      <c r="U661" s="210"/>
      <c r="V661" s="210"/>
    </row>
    <row r="662">
      <c r="A662" s="220"/>
      <c r="F662" s="190"/>
      <c r="G662" s="190"/>
      <c r="N662" s="220"/>
      <c r="O662" s="220"/>
      <c r="Q662" s="210"/>
      <c r="R662" s="210"/>
      <c r="S662" s="210"/>
      <c r="T662" s="210"/>
      <c r="U662" s="210"/>
      <c r="V662" s="210"/>
    </row>
    <row r="663">
      <c r="A663" s="220"/>
      <c r="F663" s="190"/>
      <c r="G663" s="190"/>
      <c r="N663" s="220"/>
      <c r="O663" s="220"/>
      <c r="Q663" s="210"/>
      <c r="R663" s="210"/>
      <c r="S663" s="210"/>
      <c r="T663" s="210"/>
      <c r="U663" s="210"/>
      <c r="V663" s="210"/>
    </row>
    <row r="664">
      <c r="A664" s="220"/>
      <c r="F664" s="190"/>
      <c r="G664" s="190"/>
      <c r="N664" s="220"/>
      <c r="O664" s="220"/>
      <c r="Q664" s="210"/>
      <c r="R664" s="210"/>
      <c r="S664" s="210"/>
      <c r="T664" s="210"/>
      <c r="U664" s="210"/>
      <c r="V664" s="210"/>
    </row>
    <row r="665">
      <c r="A665" s="220"/>
      <c r="F665" s="190"/>
      <c r="G665" s="190"/>
      <c r="N665" s="220"/>
      <c r="O665" s="220"/>
      <c r="Q665" s="210"/>
      <c r="R665" s="210"/>
      <c r="S665" s="210"/>
      <c r="T665" s="210"/>
      <c r="U665" s="210"/>
      <c r="V665" s="210"/>
    </row>
    <row r="666">
      <c r="A666" s="220"/>
      <c r="F666" s="190"/>
      <c r="G666" s="190"/>
      <c r="N666" s="220"/>
      <c r="O666" s="220"/>
      <c r="Q666" s="210"/>
      <c r="R666" s="210"/>
      <c r="S666" s="210"/>
      <c r="T666" s="210"/>
      <c r="U666" s="210"/>
      <c r="V666" s="210"/>
    </row>
    <row r="667">
      <c r="A667" s="220"/>
      <c r="F667" s="190"/>
      <c r="G667" s="190"/>
      <c r="N667" s="220"/>
      <c r="O667" s="220"/>
      <c r="Q667" s="210"/>
      <c r="R667" s="210"/>
      <c r="S667" s="210"/>
      <c r="T667" s="210"/>
      <c r="U667" s="210"/>
      <c r="V667" s="210"/>
    </row>
    <row r="668">
      <c r="A668" s="220"/>
      <c r="F668" s="190"/>
      <c r="G668" s="190"/>
      <c r="N668" s="220"/>
      <c r="O668" s="220"/>
      <c r="Q668" s="210"/>
      <c r="R668" s="210"/>
      <c r="S668" s="210"/>
      <c r="T668" s="210"/>
      <c r="U668" s="210"/>
      <c r="V668" s="210"/>
    </row>
    <row r="669">
      <c r="A669" s="220"/>
      <c r="F669" s="190"/>
      <c r="G669" s="190"/>
      <c r="N669" s="220"/>
      <c r="O669" s="220"/>
      <c r="Q669" s="210"/>
      <c r="R669" s="210"/>
      <c r="S669" s="210"/>
      <c r="T669" s="210"/>
      <c r="U669" s="210"/>
      <c r="V669" s="210"/>
    </row>
    <row r="670">
      <c r="A670" s="220"/>
      <c r="F670" s="190"/>
      <c r="G670" s="190"/>
      <c r="N670" s="220"/>
      <c r="O670" s="220"/>
      <c r="Q670" s="210"/>
      <c r="R670" s="210"/>
      <c r="S670" s="210"/>
      <c r="T670" s="210"/>
      <c r="U670" s="210"/>
      <c r="V670" s="210"/>
    </row>
    <row r="671">
      <c r="A671" s="220"/>
      <c r="F671" s="190"/>
      <c r="G671" s="190"/>
      <c r="N671" s="220"/>
      <c r="O671" s="220"/>
      <c r="Q671" s="210"/>
      <c r="R671" s="210"/>
      <c r="S671" s="210"/>
      <c r="T671" s="210"/>
      <c r="U671" s="210"/>
      <c r="V671" s="210"/>
    </row>
    <row r="672">
      <c r="A672" s="220"/>
      <c r="F672" s="190"/>
      <c r="G672" s="190"/>
      <c r="N672" s="220"/>
      <c r="O672" s="220"/>
      <c r="Q672" s="210"/>
      <c r="R672" s="210"/>
      <c r="S672" s="210"/>
      <c r="T672" s="210"/>
      <c r="U672" s="210"/>
      <c r="V672" s="210"/>
    </row>
    <row r="673">
      <c r="A673" s="220"/>
      <c r="F673" s="190"/>
      <c r="G673" s="190"/>
      <c r="N673" s="220"/>
      <c r="O673" s="220"/>
      <c r="Q673" s="210"/>
      <c r="R673" s="210"/>
      <c r="S673" s="210"/>
      <c r="T673" s="210"/>
      <c r="U673" s="210"/>
      <c r="V673" s="210"/>
    </row>
    <row r="674">
      <c r="A674" s="220"/>
      <c r="F674" s="190"/>
      <c r="G674" s="190"/>
      <c r="N674" s="220"/>
      <c r="O674" s="220"/>
      <c r="Q674" s="210"/>
      <c r="R674" s="210"/>
      <c r="S674" s="210"/>
      <c r="T674" s="210"/>
      <c r="U674" s="210"/>
      <c r="V674" s="210"/>
    </row>
    <row r="675">
      <c r="A675" s="220"/>
      <c r="F675" s="190"/>
      <c r="G675" s="190"/>
      <c r="N675" s="220"/>
      <c r="O675" s="220"/>
      <c r="Q675" s="210"/>
      <c r="R675" s="210"/>
      <c r="S675" s="210"/>
      <c r="T675" s="210"/>
      <c r="U675" s="210"/>
      <c r="V675" s="210"/>
    </row>
    <row r="676">
      <c r="A676" s="220"/>
      <c r="F676" s="190"/>
      <c r="G676" s="190"/>
      <c r="N676" s="220"/>
      <c r="O676" s="220"/>
      <c r="Q676" s="210"/>
      <c r="R676" s="210"/>
      <c r="S676" s="210"/>
      <c r="T676" s="210"/>
      <c r="U676" s="210"/>
      <c r="V676" s="210"/>
    </row>
    <row r="677">
      <c r="A677" s="220"/>
      <c r="F677" s="190"/>
      <c r="G677" s="190"/>
      <c r="N677" s="220"/>
      <c r="O677" s="220"/>
      <c r="Q677" s="210"/>
      <c r="R677" s="210"/>
      <c r="S677" s="210"/>
      <c r="T677" s="210"/>
      <c r="U677" s="210"/>
      <c r="V677" s="210"/>
    </row>
    <row r="678">
      <c r="A678" s="220"/>
      <c r="F678" s="190"/>
      <c r="G678" s="190"/>
      <c r="N678" s="220"/>
      <c r="O678" s="220"/>
      <c r="Q678" s="210"/>
      <c r="R678" s="210"/>
      <c r="S678" s="210"/>
      <c r="T678" s="210"/>
      <c r="U678" s="210"/>
      <c r="V678" s="210"/>
    </row>
    <row r="679">
      <c r="A679" s="220"/>
      <c r="F679" s="190"/>
      <c r="G679" s="190"/>
      <c r="N679" s="220"/>
      <c r="O679" s="220"/>
      <c r="Q679" s="210"/>
      <c r="R679" s="210"/>
      <c r="S679" s="210"/>
      <c r="T679" s="210"/>
      <c r="U679" s="210"/>
      <c r="V679" s="210"/>
    </row>
    <row r="680">
      <c r="A680" s="220"/>
      <c r="F680" s="190"/>
      <c r="G680" s="190"/>
      <c r="N680" s="220"/>
      <c r="O680" s="220"/>
      <c r="Q680" s="210"/>
      <c r="R680" s="210"/>
      <c r="S680" s="210"/>
      <c r="T680" s="210"/>
      <c r="U680" s="210"/>
      <c r="V680" s="210"/>
    </row>
    <row r="681">
      <c r="A681" s="220"/>
      <c r="F681" s="190"/>
      <c r="G681" s="190"/>
      <c r="N681" s="220"/>
      <c r="O681" s="220"/>
      <c r="Q681" s="210"/>
      <c r="R681" s="210"/>
      <c r="S681" s="210"/>
      <c r="T681" s="210"/>
      <c r="U681" s="210"/>
      <c r="V681" s="210"/>
    </row>
    <row r="682">
      <c r="A682" s="220"/>
      <c r="F682" s="190"/>
      <c r="G682" s="190"/>
      <c r="N682" s="220"/>
      <c r="O682" s="220"/>
      <c r="Q682" s="210"/>
      <c r="R682" s="210"/>
      <c r="S682" s="210"/>
      <c r="T682" s="210"/>
      <c r="U682" s="210"/>
      <c r="V682" s="210"/>
    </row>
    <row r="683">
      <c r="A683" s="220"/>
      <c r="F683" s="190"/>
      <c r="G683" s="190"/>
      <c r="N683" s="220"/>
      <c r="O683" s="220"/>
      <c r="Q683" s="210"/>
      <c r="R683" s="210"/>
      <c r="S683" s="210"/>
      <c r="T683" s="210"/>
      <c r="U683" s="210"/>
      <c r="V683" s="210"/>
    </row>
    <row r="684">
      <c r="A684" s="220"/>
      <c r="F684" s="190"/>
      <c r="G684" s="190"/>
      <c r="N684" s="220"/>
      <c r="O684" s="220"/>
      <c r="Q684" s="210"/>
      <c r="R684" s="210"/>
      <c r="S684" s="210"/>
      <c r="T684" s="210"/>
      <c r="U684" s="210"/>
      <c r="V684" s="210"/>
    </row>
    <row r="685">
      <c r="A685" s="220"/>
      <c r="F685" s="190"/>
      <c r="G685" s="190"/>
      <c r="N685" s="220"/>
      <c r="O685" s="220"/>
      <c r="Q685" s="210"/>
      <c r="R685" s="210"/>
      <c r="S685" s="210"/>
      <c r="T685" s="210"/>
      <c r="U685" s="210"/>
      <c r="V685" s="210"/>
    </row>
    <row r="686">
      <c r="A686" s="220"/>
      <c r="F686" s="190"/>
      <c r="G686" s="190"/>
      <c r="N686" s="220"/>
      <c r="O686" s="220"/>
      <c r="Q686" s="210"/>
      <c r="R686" s="210"/>
      <c r="S686" s="210"/>
      <c r="T686" s="210"/>
      <c r="U686" s="210"/>
      <c r="V686" s="210"/>
    </row>
    <row r="687">
      <c r="A687" s="220"/>
      <c r="F687" s="190"/>
      <c r="G687" s="190"/>
      <c r="N687" s="220"/>
      <c r="O687" s="220"/>
      <c r="Q687" s="210"/>
      <c r="R687" s="210"/>
      <c r="S687" s="210"/>
      <c r="T687" s="210"/>
      <c r="U687" s="210"/>
      <c r="V687" s="210"/>
    </row>
    <row r="688">
      <c r="A688" s="220"/>
      <c r="F688" s="190"/>
      <c r="G688" s="190"/>
      <c r="N688" s="220"/>
      <c r="O688" s="220"/>
      <c r="Q688" s="210"/>
      <c r="R688" s="210"/>
      <c r="S688" s="210"/>
      <c r="T688" s="210"/>
      <c r="U688" s="210"/>
      <c r="V688" s="210"/>
    </row>
    <row r="689">
      <c r="A689" s="220"/>
      <c r="F689" s="190"/>
      <c r="G689" s="190"/>
      <c r="N689" s="220"/>
      <c r="O689" s="220"/>
      <c r="Q689" s="210"/>
      <c r="R689" s="210"/>
      <c r="S689" s="210"/>
      <c r="T689" s="210"/>
      <c r="U689" s="210"/>
      <c r="V689" s="210"/>
    </row>
    <row r="690">
      <c r="A690" s="220"/>
      <c r="F690" s="190"/>
      <c r="G690" s="190"/>
      <c r="N690" s="220"/>
      <c r="O690" s="220"/>
      <c r="Q690" s="210"/>
      <c r="R690" s="210"/>
      <c r="S690" s="210"/>
      <c r="T690" s="210"/>
      <c r="U690" s="210"/>
      <c r="V690" s="210"/>
    </row>
    <row r="691">
      <c r="A691" s="220"/>
      <c r="F691" s="190"/>
      <c r="G691" s="190"/>
      <c r="N691" s="220"/>
      <c r="O691" s="220"/>
      <c r="Q691" s="210"/>
      <c r="R691" s="210"/>
      <c r="S691" s="210"/>
      <c r="T691" s="210"/>
      <c r="U691" s="210"/>
      <c r="V691" s="210"/>
    </row>
    <row r="692">
      <c r="A692" s="220"/>
      <c r="F692" s="190"/>
      <c r="G692" s="190"/>
      <c r="N692" s="220"/>
      <c r="O692" s="220"/>
      <c r="Q692" s="210"/>
      <c r="R692" s="210"/>
      <c r="S692" s="210"/>
      <c r="T692" s="210"/>
      <c r="U692" s="210"/>
      <c r="V692" s="210"/>
    </row>
    <row r="693">
      <c r="A693" s="220"/>
      <c r="F693" s="190"/>
      <c r="G693" s="190"/>
      <c r="N693" s="220"/>
      <c r="O693" s="220"/>
      <c r="Q693" s="210"/>
      <c r="R693" s="210"/>
      <c r="S693" s="210"/>
      <c r="T693" s="210"/>
      <c r="U693" s="210"/>
      <c r="V693" s="210"/>
    </row>
    <row r="694">
      <c r="A694" s="220"/>
      <c r="F694" s="190"/>
      <c r="G694" s="190"/>
      <c r="N694" s="220"/>
      <c r="O694" s="220"/>
      <c r="Q694" s="210"/>
      <c r="R694" s="210"/>
      <c r="S694" s="210"/>
      <c r="T694" s="210"/>
      <c r="U694" s="210"/>
      <c r="V694" s="210"/>
    </row>
    <row r="695">
      <c r="A695" s="220"/>
      <c r="F695" s="190"/>
      <c r="G695" s="190"/>
      <c r="N695" s="220"/>
      <c r="O695" s="220"/>
      <c r="Q695" s="210"/>
      <c r="R695" s="210"/>
      <c r="S695" s="210"/>
      <c r="T695" s="210"/>
      <c r="U695" s="210"/>
      <c r="V695" s="210"/>
    </row>
    <row r="696">
      <c r="A696" s="220"/>
      <c r="F696" s="190"/>
      <c r="G696" s="190"/>
      <c r="N696" s="220"/>
      <c r="O696" s="220"/>
      <c r="Q696" s="210"/>
      <c r="R696" s="210"/>
      <c r="S696" s="210"/>
      <c r="T696" s="210"/>
      <c r="U696" s="210"/>
      <c r="V696" s="210"/>
    </row>
    <row r="697">
      <c r="A697" s="220"/>
      <c r="F697" s="190"/>
      <c r="G697" s="190"/>
      <c r="N697" s="220"/>
      <c r="O697" s="220"/>
      <c r="Q697" s="210"/>
      <c r="R697" s="210"/>
      <c r="S697" s="210"/>
      <c r="T697" s="210"/>
      <c r="U697" s="210"/>
      <c r="V697" s="210"/>
    </row>
    <row r="698">
      <c r="A698" s="220"/>
      <c r="F698" s="190"/>
      <c r="G698" s="190"/>
      <c r="N698" s="220"/>
      <c r="O698" s="220"/>
      <c r="Q698" s="210"/>
      <c r="R698" s="210"/>
      <c r="S698" s="210"/>
      <c r="T698" s="210"/>
      <c r="U698" s="210"/>
      <c r="V698" s="210"/>
    </row>
    <row r="699">
      <c r="A699" s="220"/>
      <c r="F699" s="190"/>
      <c r="G699" s="190"/>
      <c r="N699" s="220"/>
      <c r="O699" s="220"/>
      <c r="Q699" s="210"/>
      <c r="R699" s="210"/>
      <c r="S699" s="210"/>
      <c r="T699" s="210"/>
      <c r="U699" s="210"/>
      <c r="V699" s="210"/>
    </row>
    <row r="700">
      <c r="A700" s="220"/>
      <c r="F700" s="190"/>
      <c r="G700" s="190"/>
      <c r="N700" s="220"/>
      <c r="O700" s="220"/>
      <c r="Q700" s="210"/>
      <c r="R700" s="210"/>
      <c r="S700" s="210"/>
      <c r="T700" s="210"/>
      <c r="U700" s="210"/>
      <c r="V700" s="210"/>
    </row>
    <row r="701">
      <c r="A701" s="220"/>
      <c r="F701" s="190"/>
      <c r="G701" s="190"/>
      <c r="N701" s="220"/>
      <c r="O701" s="220"/>
      <c r="Q701" s="210"/>
      <c r="R701" s="210"/>
      <c r="S701" s="210"/>
      <c r="T701" s="210"/>
      <c r="U701" s="210"/>
      <c r="V701" s="210"/>
    </row>
    <row r="702">
      <c r="A702" s="220"/>
      <c r="F702" s="190"/>
      <c r="G702" s="190"/>
      <c r="N702" s="220"/>
      <c r="O702" s="220"/>
      <c r="Q702" s="210"/>
      <c r="R702" s="210"/>
      <c r="S702" s="210"/>
      <c r="T702" s="210"/>
      <c r="U702" s="210"/>
      <c r="V702" s="210"/>
    </row>
    <row r="703">
      <c r="A703" s="220"/>
      <c r="F703" s="190"/>
      <c r="G703" s="190"/>
      <c r="N703" s="220"/>
      <c r="O703" s="220"/>
      <c r="Q703" s="210"/>
      <c r="R703" s="210"/>
      <c r="S703" s="210"/>
      <c r="T703" s="210"/>
      <c r="U703" s="210"/>
      <c r="V703" s="210"/>
    </row>
    <row r="704">
      <c r="A704" s="220"/>
      <c r="F704" s="190"/>
      <c r="G704" s="190"/>
      <c r="N704" s="220"/>
      <c r="O704" s="220"/>
      <c r="Q704" s="210"/>
      <c r="R704" s="210"/>
      <c r="S704" s="210"/>
      <c r="T704" s="210"/>
      <c r="U704" s="210"/>
      <c r="V704" s="210"/>
    </row>
    <row r="705">
      <c r="A705" s="220"/>
      <c r="F705" s="190"/>
      <c r="G705" s="190"/>
      <c r="N705" s="220"/>
      <c r="O705" s="220"/>
      <c r="Q705" s="210"/>
      <c r="R705" s="210"/>
      <c r="S705" s="210"/>
      <c r="T705" s="210"/>
      <c r="U705" s="210"/>
      <c r="V705" s="210"/>
    </row>
    <row r="706">
      <c r="A706" s="220"/>
      <c r="F706" s="190"/>
      <c r="G706" s="190"/>
      <c r="N706" s="220"/>
      <c r="O706" s="220"/>
      <c r="Q706" s="210"/>
      <c r="R706" s="210"/>
      <c r="S706" s="210"/>
      <c r="T706" s="210"/>
      <c r="U706" s="210"/>
      <c r="V706" s="210"/>
    </row>
    <row r="707">
      <c r="A707" s="220"/>
      <c r="F707" s="190"/>
      <c r="G707" s="190"/>
      <c r="N707" s="220"/>
      <c r="O707" s="220"/>
      <c r="Q707" s="210"/>
      <c r="R707" s="210"/>
      <c r="S707" s="210"/>
      <c r="T707" s="210"/>
      <c r="U707" s="210"/>
      <c r="V707" s="210"/>
    </row>
    <row r="708">
      <c r="A708" s="220"/>
      <c r="F708" s="190"/>
      <c r="G708" s="190"/>
      <c r="N708" s="220"/>
      <c r="O708" s="220"/>
      <c r="Q708" s="210"/>
      <c r="R708" s="210"/>
      <c r="S708" s="210"/>
      <c r="T708" s="210"/>
      <c r="U708" s="210"/>
      <c r="V708" s="210"/>
    </row>
    <row r="709">
      <c r="A709" s="220"/>
      <c r="F709" s="190"/>
      <c r="G709" s="190"/>
      <c r="N709" s="220"/>
      <c r="O709" s="220"/>
      <c r="Q709" s="210"/>
      <c r="R709" s="210"/>
      <c r="S709" s="210"/>
      <c r="T709" s="210"/>
      <c r="U709" s="210"/>
      <c r="V709" s="210"/>
    </row>
    <row r="710">
      <c r="A710" s="220"/>
      <c r="F710" s="190"/>
      <c r="G710" s="190"/>
      <c r="N710" s="220"/>
      <c r="O710" s="220"/>
      <c r="Q710" s="210"/>
      <c r="R710" s="210"/>
      <c r="S710" s="210"/>
      <c r="T710" s="210"/>
      <c r="U710" s="210"/>
      <c r="V710" s="210"/>
    </row>
    <row r="711">
      <c r="A711" s="220"/>
      <c r="F711" s="190"/>
      <c r="G711" s="190"/>
      <c r="N711" s="220"/>
      <c r="O711" s="220"/>
      <c r="Q711" s="210"/>
      <c r="R711" s="210"/>
      <c r="S711" s="210"/>
      <c r="T711" s="210"/>
      <c r="U711" s="210"/>
      <c r="V711" s="210"/>
    </row>
    <row r="712">
      <c r="A712" s="220"/>
      <c r="F712" s="190"/>
      <c r="G712" s="190"/>
      <c r="N712" s="220"/>
      <c r="O712" s="220"/>
      <c r="Q712" s="210"/>
      <c r="R712" s="210"/>
      <c r="S712" s="210"/>
      <c r="T712" s="210"/>
      <c r="U712" s="210"/>
      <c r="V712" s="210"/>
    </row>
    <row r="713">
      <c r="A713" s="220"/>
      <c r="F713" s="190"/>
      <c r="G713" s="190"/>
      <c r="N713" s="220"/>
      <c r="O713" s="220"/>
      <c r="Q713" s="210"/>
      <c r="R713" s="210"/>
      <c r="S713" s="210"/>
      <c r="T713" s="210"/>
      <c r="U713" s="210"/>
      <c r="V713" s="210"/>
    </row>
    <row r="714">
      <c r="A714" s="220"/>
      <c r="F714" s="190"/>
      <c r="G714" s="190"/>
      <c r="N714" s="220"/>
      <c r="O714" s="220"/>
      <c r="Q714" s="210"/>
      <c r="R714" s="210"/>
      <c r="S714" s="210"/>
      <c r="T714" s="210"/>
      <c r="U714" s="210"/>
      <c r="V714" s="210"/>
    </row>
    <row r="715">
      <c r="A715" s="220"/>
      <c r="F715" s="190"/>
      <c r="G715" s="190"/>
      <c r="N715" s="220"/>
      <c r="O715" s="220"/>
      <c r="Q715" s="210"/>
      <c r="R715" s="210"/>
      <c r="S715" s="210"/>
      <c r="T715" s="210"/>
      <c r="U715" s="210"/>
      <c r="V715" s="210"/>
    </row>
    <row r="716">
      <c r="A716" s="220"/>
      <c r="F716" s="190"/>
      <c r="G716" s="190"/>
      <c r="N716" s="220"/>
      <c r="O716" s="220"/>
      <c r="Q716" s="210"/>
      <c r="R716" s="210"/>
      <c r="S716" s="210"/>
      <c r="T716" s="210"/>
      <c r="U716" s="210"/>
      <c r="V716" s="210"/>
    </row>
    <row r="717">
      <c r="A717" s="220"/>
      <c r="F717" s="190"/>
      <c r="G717" s="190"/>
      <c r="N717" s="220"/>
      <c r="O717" s="220"/>
      <c r="Q717" s="210"/>
      <c r="R717" s="210"/>
      <c r="S717" s="210"/>
      <c r="T717" s="210"/>
      <c r="U717" s="210"/>
      <c r="V717" s="210"/>
    </row>
    <row r="718">
      <c r="A718" s="220"/>
      <c r="F718" s="190"/>
      <c r="G718" s="190"/>
      <c r="N718" s="220"/>
      <c r="O718" s="220"/>
      <c r="Q718" s="210"/>
      <c r="R718" s="210"/>
      <c r="S718" s="210"/>
      <c r="T718" s="210"/>
      <c r="U718" s="210"/>
      <c r="V718" s="210"/>
    </row>
    <row r="719">
      <c r="A719" s="220"/>
      <c r="F719" s="190"/>
      <c r="G719" s="190"/>
      <c r="N719" s="220"/>
      <c r="O719" s="220"/>
      <c r="Q719" s="210"/>
      <c r="R719" s="210"/>
      <c r="S719" s="210"/>
      <c r="T719" s="210"/>
      <c r="U719" s="210"/>
      <c r="V719" s="210"/>
    </row>
    <row r="720">
      <c r="A720" s="220"/>
      <c r="F720" s="190"/>
      <c r="G720" s="190"/>
      <c r="N720" s="220"/>
      <c r="O720" s="220"/>
      <c r="Q720" s="210"/>
      <c r="R720" s="210"/>
      <c r="S720" s="210"/>
      <c r="T720" s="210"/>
      <c r="U720" s="210"/>
      <c r="V720" s="210"/>
    </row>
    <row r="721">
      <c r="A721" s="220"/>
      <c r="F721" s="190"/>
      <c r="G721" s="190"/>
      <c r="N721" s="220"/>
      <c r="O721" s="220"/>
      <c r="Q721" s="210"/>
      <c r="R721" s="210"/>
      <c r="S721" s="210"/>
      <c r="T721" s="210"/>
      <c r="U721" s="210"/>
      <c r="V721" s="210"/>
    </row>
    <row r="722">
      <c r="A722" s="220"/>
      <c r="F722" s="190"/>
      <c r="G722" s="190"/>
      <c r="N722" s="220"/>
      <c r="O722" s="220"/>
      <c r="Q722" s="210"/>
      <c r="R722" s="210"/>
      <c r="S722" s="210"/>
      <c r="T722" s="210"/>
      <c r="U722" s="210"/>
      <c r="V722" s="210"/>
    </row>
    <row r="723">
      <c r="A723" s="220"/>
      <c r="F723" s="190"/>
      <c r="G723" s="190"/>
      <c r="N723" s="220"/>
      <c r="O723" s="220"/>
      <c r="Q723" s="210"/>
      <c r="R723" s="210"/>
      <c r="S723" s="210"/>
      <c r="T723" s="210"/>
      <c r="U723" s="210"/>
      <c r="V723" s="210"/>
    </row>
    <row r="724">
      <c r="A724" s="220"/>
      <c r="F724" s="190"/>
      <c r="G724" s="190"/>
      <c r="N724" s="220"/>
      <c r="O724" s="220"/>
      <c r="Q724" s="210"/>
      <c r="R724" s="210"/>
      <c r="S724" s="210"/>
      <c r="T724" s="210"/>
      <c r="U724" s="210"/>
      <c r="V724" s="210"/>
    </row>
    <row r="725">
      <c r="A725" s="220"/>
      <c r="F725" s="190"/>
      <c r="G725" s="190"/>
      <c r="N725" s="220"/>
      <c r="O725" s="220"/>
      <c r="Q725" s="210"/>
      <c r="R725" s="210"/>
      <c r="S725" s="210"/>
      <c r="T725" s="210"/>
      <c r="U725" s="210"/>
      <c r="V725" s="210"/>
    </row>
    <row r="726">
      <c r="A726" s="220"/>
      <c r="F726" s="190"/>
      <c r="G726" s="190"/>
      <c r="N726" s="220"/>
      <c r="O726" s="220"/>
      <c r="Q726" s="210"/>
      <c r="R726" s="210"/>
      <c r="S726" s="210"/>
      <c r="T726" s="210"/>
      <c r="U726" s="210"/>
      <c r="V726" s="210"/>
    </row>
    <row r="727">
      <c r="A727" s="220"/>
      <c r="F727" s="190"/>
      <c r="G727" s="190"/>
      <c r="N727" s="220"/>
      <c r="O727" s="220"/>
      <c r="Q727" s="210"/>
      <c r="R727" s="210"/>
      <c r="S727" s="210"/>
      <c r="T727" s="210"/>
      <c r="U727" s="210"/>
      <c r="V727" s="210"/>
    </row>
    <row r="728">
      <c r="A728" s="220"/>
      <c r="F728" s="190"/>
      <c r="G728" s="190"/>
      <c r="N728" s="220"/>
      <c r="O728" s="220"/>
      <c r="Q728" s="210"/>
      <c r="R728" s="210"/>
      <c r="S728" s="210"/>
      <c r="T728" s="210"/>
      <c r="U728" s="210"/>
      <c r="V728" s="210"/>
    </row>
    <row r="729">
      <c r="A729" s="220"/>
      <c r="F729" s="190"/>
      <c r="G729" s="190"/>
      <c r="N729" s="220"/>
      <c r="O729" s="220"/>
      <c r="Q729" s="210"/>
      <c r="R729" s="210"/>
      <c r="S729" s="210"/>
      <c r="T729" s="210"/>
      <c r="U729" s="210"/>
      <c r="V729" s="210"/>
    </row>
    <row r="730">
      <c r="A730" s="220"/>
      <c r="F730" s="190"/>
      <c r="G730" s="190"/>
      <c r="N730" s="220"/>
      <c r="O730" s="220"/>
      <c r="Q730" s="210"/>
      <c r="R730" s="210"/>
      <c r="S730" s="210"/>
      <c r="T730" s="210"/>
      <c r="U730" s="210"/>
      <c r="V730" s="210"/>
    </row>
    <row r="731">
      <c r="A731" s="220"/>
      <c r="F731" s="190"/>
      <c r="G731" s="190"/>
      <c r="N731" s="220"/>
      <c r="O731" s="220"/>
      <c r="Q731" s="210"/>
      <c r="R731" s="210"/>
      <c r="S731" s="210"/>
      <c r="T731" s="210"/>
      <c r="U731" s="210"/>
      <c r="V731" s="210"/>
    </row>
    <row r="732">
      <c r="A732" s="220"/>
      <c r="F732" s="190"/>
      <c r="G732" s="190"/>
      <c r="N732" s="220"/>
      <c r="O732" s="220"/>
      <c r="Q732" s="210"/>
      <c r="R732" s="210"/>
      <c r="S732" s="210"/>
      <c r="T732" s="210"/>
      <c r="U732" s="210"/>
      <c r="V732" s="210"/>
    </row>
    <row r="733">
      <c r="A733" s="220"/>
      <c r="F733" s="190"/>
      <c r="G733" s="190"/>
      <c r="N733" s="220"/>
      <c r="O733" s="220"/>
      <c r="Q733" s="210"/>
      <c r="R733" s="210"/>
      <c r="S733" s="210"/>
      <c r="T733" s="210"/>
      <c r="U733" s="210"/>
      <c r="V733" s="210"/>
    </row>
    <row r="734">
      <c r="A734" s="220"/>
      <c r="F734" s="190"/>
      <c r="G734" s="190"/>
      <c r="N734" s="220"/>
      <c r="O734" s="220"/>
      <c r="Q734" s="210"/>
      <c r="R734" s="210"/>
      <c r="S734" s="210"/>
      <c r="T734" s="210"/>
      <c r="U734" s="210"/>
      <c r="V734" s="210"/>
    </row>
    <row r="735">
      <c r="A735" s="220"/>
      <c r="F735" s="190"/>
      <c r="G735" s="190"/>
      <c r="N735" s="220"/>
      <c r="O735" s="220"/>
      <c r="Q735" s="210"/>
      <c r="R735" s="210"/>
      <c r="S735" s="210"/>
      <c r="T735" s="210"/>
      <c r="U735" s="210"/>
      <c r="V735" s="210"/>
    </row>
    <row r="736">
      <c r="A736" s="220"/>
      <c r="F736" s="190"/>
      <c r="G736" s="190"/>
      <c r="N736" s="220"/>
      <c r="O736" s="220"/>
      <c r="Q736" s="210"/>
      <c r="R736" s="210"/>
      <c r="S736" s="210"/>
      <c r="T736" s="210"/>
      <c r="U736" s="210"/>
      <c r="V736" s="210"/>
    </row>
    <row r="737">
      <c r="A737" s="220"/>
      <c r="F737" s="190"/>
      <c r="G737" s="190"/>
      <c r="N737" s="220"/>
      <c r="O737" s="220"/>
      <c r="Q737" s="210"/>
      <c r="R737" s="210"/>
      <c r="S737" s="210"/>
      <c r="T737" s="210"/>
      <c r="U737" s="210"/>
      <c r="V737" s="210"/>
    </row>
    <row r="738">
      <c r="A738" s="220"/>
      <c r="F738" s="190"/>
      <c r="G738" s="190"/>
      <c r="N738" s="220"/>
      <c r="O738" s="220"/>
      <c r="Q738" s="210"/>
      <c r="R738" s="210"/>
      <c r="S738" s="210"/>
      <c r="T738" s="210"/>
      <c r="U738" s="210"/>
      <c r="V738" s="210"/>
    </row>
    <row r="739">
      <c r="A739" s="220"/>
      <c r="F739" s="190"/>
      <c r="G739" s="190"/>
      <c r="N739" s="220"/>
      <c r="O739" s="220"/>
      <c r="Q739" s="210"/>
      <c r="R739" s="210"/>
      <c r="S739" s="210"/>
      <c r="T739" s="210"/>
      <c r="U739" s="210"/>
      <c r="V739" s="210"/>
    </row>
    <row r="740">
      <c r="A740" s="220"/>
      <c r="F740" s="190"/>
      <c r="G740" s="190"/>
      <c r="N740" s="220"/>
      <c r="O740" s="220"/>
      <c r="Q740" s="210"/>
      <c r="R740" s="210"/>
      <c r="S740" s="210"/>
      <c r="T740" s="210"/>
      <c r="U740" s="210"/>
      <c r="V740" s="210"/>
    </row>
    <row r="741">
      <c r="A741" s="220"/>
      <c r="F741" s="190"/>
      <c r="G741" s="190"/>
      <c r="N741" s="220"/>
      <c r="O741" s="220"/>
      <c r="Q741" s="210"/>
      <c r="R741" s="210"/>
      <c r="S741" s="210"/>
      <c r="T741" s="210"/>
      <c r="U741" s="210"/>
      <c r="V741" s="210"/>
    </row>
    <row r="742">
      <c r="A742" s="220"/>
      <c r="F742" s="190"/>
      <c r="G742" s="190"/>
      <c r="N742" s="220"/>
      <c r="O742" s="220"/>
      <c r="Q742" s="210"/>
      <c r="R742" s="210"/>
      <c r="S742" s="210"/>
      <c r="T742" s="210"/>
      <c r="U742" s="210"/>
      <c r="V742" s="210"/>
    </row>
    <row r="743">
      <c r="A743" s="220"/>
      <c r="F743" s="190"/>
      <c r="G743" s="190"/>
      <c r="N743" s="220"/>
      <c r="O743" s="220"/>
      <c r="Q743" s="210"/>
      <c r="R743" s="210"/>
      <c r="S743" s="210"/>
      <c r="T743" s="210"/>
      <c r="U743" s="210"/>
      <c r="V743" s="210"/>
    </row>
    <row r="744">
      <c r="A744" s="220"/>
      <c r="F744" s="190"/>
      <c r="G744" s="190"/>
      <c r="N744" s="220"/>
      <c r="O744" s="220"/>
      <c r="Q744" s="210"/>
      <c r="R744" s="210"/>
      <c r="S744" s="210"/>
      <c r="T744" s="210"/>
      <c r="U744" s="210"/>
      <c r="V744" s="210"/>
    </row>
    <row r="745">
      <c r="A745" s="220"/>
      <c r="F745" s="190"/>
      <c r="G745" s="190"/>
      <c r="N745" s="220"/>
      <c r="O745" s="220"/>
      <c r="Q745" s="210"/>
      <c r="R745" s="210"/>
      <c r="S745" s="210"/>
      <c r="T745" s="210"/>
      <c r="U745" s="210"/>
      <c r="V745" s="210"/>
    </row>
    <row r="746">
      <c r="A746" s="220"/>
      <c r="F746" s="190"/>
      <c r="G746" s="190"/>
      <c r="N746" s="220"/>
      <c r="O746" s="220"/>
      <c r="Q746" s="210"/>
      <c r="R746" s="210"/>
      <c r="S746" s="210"/>
      <c r="T746" s="210"/>
      <c r="U746" s="210"/>
      <c r="V746" s="210"/>
    </row>
    <row r="747">
      <c r="A747" s="220"/>
      <c r="F747" s="190"/>
      <c r="G747" s="190"/>
      <c r="N747" s="220"/>
      <c r="O747" s="220"/>
      <c r="Q747" s="210"/>
      <c r="R747" s="210"/>
      <c r="S747" s="210"/>
      <c r="T747" s="210"/>
      <c r="U747" s="210"/>
      <c r="V747" s="210"/>
    </row>
    <row r="748">
      <c r="A748" s="220"/>
      <c r="F748" s="190"/>
      <c r="G748" s="190"/>
      <c r="N748" s="220"/>
      <c r="O748" s="220"/>
      <c r="Q748" s="210"/>
      <c r="R748" s="210"/>
      <c r="S748" s="210"/>
      <c r="T748" s="210"/>
      <c r="U748" s="210"/>
      <c r="V748" s="210"/>
    </row>
    <row r="749">
      <c r="A749" s="220"/>
      <c r="F749" s="190"/>
      <c r="G749" s="190"/>
      <c r="N749" s="220"/>
      <c r="O749" s="220"/>
      <c r="Q749" s="210"/>
      <c r="R749" s="210"/>
      <c r="S749" s="210"/>
      <c r="T749" s="210"/>
      <c r="U749" s="210"/>
      <c r="V749" s="210"/>
    </row>
    <row r="750">
      <c r="A750" s="220"/>
      <c r="F750" s="190"/>
      <c r="G750" s="190"/>
      <c r="N750" s="220"/>
      <c r="O750" s="220"/>
      <c r="Q750" s="210"/>
      <c r="R750" s="210"/>
      <c r="S750" s="210"/>
      <c r="T750" s="210"/>
      <c r="U750" s="210"/>
      <c r="V750" s="210"/>
    </row>
    <row r="751">
      <c r="A751" s="220"/>
      <c r="F751" s="190"/>
      <c r="G751" s="190"/>
      <c r="N751" s="220"/>
      <c r="O751" s="220"/>
      <c r="Q751" s="210"/>
      <c r="R751" s="210"/>
      <c r="S751" s="210"/>
      <c r="T751" s="210"/>
      <c r="U751" s="210"/>
      <c r="V751" s="210"/>
    </row>
    <row r="752">
      <c r="A752" s="220"/>
      <c r="F752" s="190"/>
      <c r="G752" s="190"/>
      <c r="N752" s="220"/>
      <c r="O752" s="220"/>
      <c r="Q752" s="210"/>
      <c r="R752" s="210"/>
      <c r="S752" s="210"/>
      <c r="T752" s="210"/>
      <c r="U752" s="210"/>
      <c r="V752" s="210"/>
    </row>
    <row r="753">
      <c r="A753" s="220"/>
      <c r="F753" s="190"/>
      <c r="G753" s="190"/>
      <c r="N753" s="220"/>
      <c r="O753" s="220"/>
      <c r="Q753" s="210"/>
      <c r="R753" s="210"/>
      <c r="S753" s="210"/>
      <c r="T753" s="210"/>
      <c r="U753" s="210"/>
      <c r="V753" s="210"/>
    </row>
    <row r="754">
      <c r="A754" s="220"/>
      <c r="F754" s="190"/>
      <c r="G754" s="190"/>
      <c r="N754" s="220"/>
      <c r="O754" s="220"/>
      <c r="Q754" s="210"/>
      <c r="R754" s="210"/>
      <c r="S754" s="210"/>
      <c r="T754" s="210"/>
      <c r="U754" s="210"/>
      <c r="V754" s="210"/>
    </row>
    <row r="755">
      <c r="A755" s="220"/>
      <c r="F755" s="190"/>
      <c r="G755" s="190"/>
      <c r="N755" s="220"/>
      <c r="O755" s="220"/>
      <c r="Q755" s="210"/>
      <c r="R755" s="210"/>
      <c r="S755" s="210"/>
      <c r="T755" s="210"/>
      <c r="U755" s="210"/>
      <c r="V755" s="210"/>
    </row>
    <row r="756">
      <c r="A756" s="220"/>
      <c r="F756" s="190"/>
      <c r="G756" s="190"/>
      <c r="N756" s="220"/>
      <c r="O756" s="220"/>
      <c r="Q756" s="210"/>
      <c r="R756" s="210"/>
      <c r="S756" s="210"/>
      <c r="T756" s="210"/>
      <c r="U756" s="210"/>
      <c r="V756" s="210"/>
    </row>
    <row r="757">
      <c r="A757" s="220"/>
      <c r="F757" s="190"/>
      <c r="G757" s="190"/>
      <c r="N757" s="220"/>
      <c r="O757" s="220"/>
      <c r="Q757" s="210"/>
      <c r="R757" s="210"/>
      <c r="S757" s="210"/>
      <c r="T757" s="210"/>
      <c r="U757" s="210"/>
      <c r="V757" s="210"/>
    </row>
    <row r="758">
      <c r="A758" s="220"/>
      <c r="F758" s="190"/>
      <c r="G758" s="190"/>
      <c r="N758" s="220"/>
      <c r="O758" s="220"/>
      <c r="Q758" s="210"/>
      <c r="R758" s="210"/>
      <c r="S758" s="210"/>
      <c r="T758" s="210"/>
      <c r="U758" s="210"/>
      <c r="V758" s="210"/>
    </row>
    <row r="759">
      <c r="A759" s="220"/>
      <c r="F759" s="190"/>
      <c r="G759" s="190"/>
      <c r="N759" s="220"/>
      <c r="O759" s="220"/>
      <c r="Q759" s="210"/>
      <c r="R759" s="210"/>
      <c r="S759" s="210"/>
      <c r="T759" s="210"/>
      <c r="U759" s="210"/>
      <c r="V759" s="210"/>
    </row>
    <row r="760">
      <c r="A760" s="220"/>
      <c r="F760" s="190"/>
      <c r="G760" s="190"/>
      <c r="N760" s="220"/>
      <c r="O760" s="220"/>
      <c r="Q760" s="210"/>
      <c r="R760" s="210"/>
      <c r="S760" s="210"/>
      <c r="T760" s="210"/>
      <c r="U760" s="210"/>
      <c r="V760" s="210"/>
    </row>
    <row r="761">
      <c r="A761" s="220"/>
      <c r="F761" s="190"/>
      <c r="G761" s="190"/>
      <c r="N761" s="220"/>
      <c r="O761" s="220"/>
      <c r="Q761" s="210"/>
      <c r="R761" s="210"/>
      <c r="S761" s="210"/>
      <c r="T761" s="210"/>
      <c r="U761" s="210"/>
      <c r="V761" s="210"/>
    </row>
    <row r="762">
      <c r="A762" s="220"/>
      <c r="F762" s="190"/>
      <c r="G762" s="190"/>
      <c r="N762" s="220"/>
      <c r="O762" s="220"/>
      <c r="Q762" s="210"/>
      <c r="R762" s="210"/>
      <c r="S762" s="210"/>
      <c r="T762" s="210"/>
      <c r="U762" s="210"/>
      <c r="V762" s="210"/>
    </row>
    <row r="763">
      <c r="A763" s="220"/>
      <c r="F763" s="190"/>
      <c r="G763" s="190"/>
      <c r="N763" s="220"/>
      <c r="O763" s="220"/>
      <c r="Q763" s="210"/>
      <c r="R763" s="210"/>
      <c r="S763" s="210"/>
      <c r="T763" s="210"/>
      <c r="U763" s="210"/>
      <c r="V763" s="210"/>
    </row>
    <row r="764">
      <c r="A764" s="220"/>
      <c r="F764" s="190"/>
      <c r="G764" s="190"/>
      <c r="N764" s="220"/>
      <c r="O764" s="220"/>
      <c r="Q764" s="210"/>
      <c r="R764" s="210"/>
      <c r="S764" s="210"/>
      <c r="T764" s="210"/>
      <c r="U764" s="210"/>
      <c r="V764" s="210"/>
    </row>
    <row r="765">
      <c r="A765" s="220"/>
      <c r="F765" s="190"/>
      <c r="G765" s="190"/>
      <c r="N765" s="220"/>
      <c r="O765" s="220"/>
      <c r="Q765" s="210"/>
      <c r="R765" s="210"/>
      <c r="S765" s="210"/>
      <c r="T765" s="210"/>
      <c r="U765" s="210"/>
      <c r="V765" s="210"/>
    </row>
    <row r="766">
      <c r="A766" s="220"/>
      <c r="F766" s="190"/>
      <c r="G766" s="190"/>
      <c r="N766" s="220"/>
      <c r="O766" s="220"/>
      <c r="Q766" s="210"/>
      <c r="R766" s="210"/>
      <c r="S766" s="210"/>
      <c r="T766" s="210"/>
      <c r="U766" s="210"/>
      <c r="V766" s="210"/>
    </row>
    <row r="767">
      <c r="A767" s="220"/>
      <c r="F767" s="190"/>
      <c r="G767" s="190"/>
      <c r="N767" s="220"/>
      <c r="O767" s="220"/>
      <c r="Q767" s="210"/>
      <c r="R767" s="210"/>
      <c r="S767" s="210"/>
      <c r="T767" s="210"/>
      <c r="U767" s="210"/>
      <c r="V767" s="210"/>
    </row>
    <row r="768">
      <c r="A768" s="220"/>
      <c r="F768" s="190"/>
      <c r="G768" s="190"/>
      <c r="N768" s="220"/>
      <c r="O768" s="220"/>
      <c r="Q768" s="210"/>
      <c r="R768" s="210"/>
      <c r="S768" s="210"/>
      <c r="T768" s="210"/>
      <c r="U768" s="210"/>
      <c r="V768" s="210"/>
    </row>
    <row r="769">
      <c r="A769" s="220"/>
      <c r="F769" s="190"/>
      <c r="G769" s="190"/>
      <c r="N769" s="220"/>
      <c r="O769" s="220"/>
      <c r="Q769" s="210"/>
      <c r="R769" s="210"/>
      <c r="S769" s="210"/>
      <c r="T769" s="210"/>
      <c r="U769" s="210"/>
      <c r="V769" s="210"/>
    </row>
    <row r="770">
      <c r="A770" s="220"/>
      <c r="F770" s="190"/>
      <c r="G770" s="190"/>
      <c r="N770" s="220"/>
      <c r="O770" s="220"/>
      <c r="Q770" s="210"/>
      <c r="R770" s="210"/>
      <c r="S770" s="210"/>
      <c r="T770" s="210"/>
      <c r="U770" s="210"/>
      <c r="V770" s="210"/>
    </row>
    <row r="771">
      <c r="A771" s="220"/>
      <c r="F771" s="190"/>
      <c r="G771" s="190"/>
      <c r="N771" s="220"/>
      <c r="O771" s="220"/>
      <c r="Q771" s="210"/>
      <c r="R771" s="210"/>
      <c r="S771" s="210"/>
      <c r="T771" s="210"/>
      <c r="U771" s="210"/>
      <c r="V771" s="210"/>
    </row>
    <row r="772">
      <c r="A772" s="220"/>
      <c r="F772" s="190"/>
      <c r="G772" s="190"/>
      <c r="N772" s="220"/>
      <c r="O772" s="220"/>
      <c r="Q772" s="210"/>
      <c r="R772" s="210"/>
      <c r="S772" s="210"/>
      <c r="T772" s="210"/>
      <c r="U772" s="210"/>
      <c r="V772" s="210"/>
    </row>
    <row r="773">
      <c r="A773" s="220"/>
      <c r="F773" s="190"/>
      <c r="G773" s="190"/>
      <c r="N773" s="220"/>
      <c r="O773" s="220"/>
      <c r="Q773" s="210"/>
      <c r="R773" s="210"/>
      <c r="S773" s="210"/>
      <c r="T773" s="210"/>
      <c r="U773" s="210"/>
      <c r="V773" s="210"/>
    </row>
    <row r="774">
      <c r="A774" s="220"/>
      <c r="F774" s="190"/>
      <c r="G774" s="190"/>
      <c r="N774" s="220"/>
      <c r="O774" s="220"/>
      <c r="Q774" s="210"/>
      <c r="R774" s="210"/>
      <c r="S774" s="210"/>
      <c r="T774" s="210"/>
      <c r="U774" s="210"/>
      <c r="V774" s="210"/>
    </row>
    <row r="775">
      <c r="A775" s="220"/>
      <c r="F775" s="190"/>
      <c r="G775" s="190"/>
      <c r="N775" s="220"/>
      <c r="O775" s="220"/>
      <c r="Q775" s="210"/>
      <c r="R775" s="210"/>
      <c r="S775" s="210"/>
      <c r="T775" s="210"/>
      <c r="U775" s="210"/>
      <c r="V775" s="210"/>
    </row>
    <row r="776">
      <c r="A776" s="220"/>
      <c r="F776" s="190"/>
      <c r="G776" s="190"/>
      <c r="N776" s="220"/>
      <c r="O776" s="220"/>
      <c r="Q776" s="210"/>
      <c r="R776" s="210"/>
      <c r="S776" s="210"/>
      <c r="T776" s="210"/>
      <c r="U776" s="210"/>
      <c r="V776" s="210"/>
    </row>
    <row r="777">
      <c r="A777" s="220"/>
      <c r="F777" s="190"/>
      <c r="G777" s="190"/>
      <c r="N777" s="220"/>
      <c r="O777" s="220"/>
      <c r="Q777" s="210"/>
      <c r="R777" s="210"/>
      <c r="S777" s="210"/>
      <c r="T777" s="210"/>
      <c r="U777" s="210"/>
      <c r="V777" s="210"/>
    </row>
    <row r="778">
      <c r="A778" s="220"/>
      <c r="F778" s="190"/>
      <c r="G778" s="190"/>
      <c r="N778" s="220"/>
      <c r="O778" s="220"/>
      <c r="Q778" s="210"/>
      <c r="R778" s="210"/>
      <c r="S778" s="210"/>
      <c r="T778" s="210"/>
      <c r="U778" s="210"/>
      <c r="V778" s="210"/>
    </row>
    <row r="779">
      <c r="A779" s="220"/>
      <c r="F779" s="190"/>
      <c r="G779" s="190"/>
      <c r="N779" s="220"/>
      <c r="O779" s="220"/>
      <c r="Q779" s="210"/>
      <c r="R779" s="210"/>
      <c r="S779" s="210"/>
      <c r="T779" s="210"/>
      <c r="U779" s="210"/>
      <c r="V779" s="210"/>
    </row>
    <row r="780">
      <c r="A780" s="220"/>
      <c r="F780" s="190"/>
      <c r="G780" s="190"/>
      <c r="N780" s="220"/>
      <c r="O780" s="220"/>
      <c r="Q780" s="210"/>
      <c r="R780" s="210"/>
      <c r="S780" s="210"/>
      <c r="T780" s="210"/>
      <c r="U780" s="210"/>
      <c r="V780" s="210"/>
    </row>
    <row r="781">
      <c r="A781" s="220"/>
      <c r="F781" s="190"/>
      <c r="G781" s="190"/>
      <c r="N781" s="220"/>
      <c r="O781" s="220"/>
      <c r="Q781" s="210"/>
      <c r="R781" s="210"/>
      <c r="S781" s="210"/>
      <c r="T781" s="210"/>
      <c r="U781" s="210"/>
      <c r="V781" s="210"/>
    </row>
    <row r="782">
      <c r="A782" s="220"/>
      <c r="F782" s="190"/>
      <c r="G782" s="190"/>
      <c r="N782" s="220"/>
      <c r="O782" s="220"/>
      <c r="Q782" s="210"/>
      <c r="R782" s="210"/>
      <c r="S782" s="210"/>
      <c r="T782" s="210"/>
      <c r="U782" s="210"/>
      <c r="V782" s="210"/>
    </row>
    <row r="783">
      <c r="A783" s="220"/>
      <c r="F783" s="190"/>
      <c r="G783" s="190"/>
      <c r="N783" s="220"/>
      <c r="O783" s="220"/>
      <c r="Q783" s="210"/>
      <c r="R783" s="210"/>
      <c r="S783" s="210"/>
      <c r="T783" s="210"/>
      <c r="U783" s="210"/>
      <c r="V783" s="210"/>
    </row>
    <row r="784">
      <c r="A784" s="220"/>
      <c r="F784" s="190"/>
      <c r="G784" s="190"/>
      <c r="N784" s="220"/>
      <c r="O784" s="220"/>
      <c r="Q784" s="210"/>
      <c r="R784" s="210"/>
      <c r="S784" s="210"/>
      <c r="T784" s="210"/>
      <c r="U784" s="210"/>
      <c r="V784" s="210"/>
    </row>
    <row r="785">
      <c r="A785" s="220"/>
      <c r="F785" s="190"/>
      <c r="G785" s="190"/>
      <c r="N785" s="220"/>
      <c r="O785" s="220"/>
      <c r="Q785" s="210"/>
      <c r="R785" s="210"/>
      <c r="S785" s="210"/>
      <c r="T785" s="210"/>
      <c r="U785" s="210"/>
      <c r="V785" s="210"/>
    </row>
    <row r="786">
      <c r="A786" s="220"/>
      <c r="F786" s="190"/>
      <c r="G786" s="190"/>
      <c r="N786" s="220"/>
      <c r="O786" s="220"/>
      <c r="Q786" s="210"/>
      <c r="R786" s="210"/>
      <c r="S786" s="210"/>
      <c r="T786" s="210"/>
      <c r="U786" s="210"/>
      <c r="V786" s="210"/>
    </row>
    <row r="787">
      <c r="A787" s="220"/>
      <c r="F787" s="190"/>
      <c r="G787" s="190"/>
      <c r="N787" s="220"/>
      <c r="O787" s="220"/>
      <c r="Q787" s="210"/>
      <c r="R787" s="210"/>
      <c r="S787" s="210"/>
      <c r="T787" s="210"/>
      <c r="U787" s="210"/>
      <c r="V787" s="210"/>
    </row>
    <row r="788">
      <c r="A788" s="220"/>
      <c r="F788" s="190"/>
      <c r="G788" s="190"/>
      <c r="N788" s="220"/>
      <c r="O788" s="220"/>
      <c r="Q788" s="210"/>
      <c r="R788" s="210"/>
      <c r="S788" s="210"/>
      <c r="T788" s="210"/>
      <c r="U788" s="210"/>
      <c r="V788" s="210"/>
    </row>
    <row r="789">
      <c r="A789" s="220"/>
      <c r="F789" s="190"/>
      <c r="G789" s="190"/>
      <c r="N789" s="220"/>
      <c r="O789" s="220"/>
      <c r="Q789" s="210"/>
      <c r="R789" s="210"/>
      <c r="S789" s="210"/>
      <c r="T789" s="210"/>
      <c r="U789" s="210"/>
      <c r="V789" s="210"/>
    </row>
    <row r="790">
      <c r="A790" s="220"/>
      <c r="F790" s="190"/>
      <c r="G790" s="190"/>
      <c r="N790" s="220"/>
      <c r="O790" s="220"/>
      <c r="Q790" s="210"/>
      <c r="R790" s="210"/>
      <c r="S790" s="210"/>
      <c r="T790" s="210"/>
      <c r="U790" s="210"/>
      <c r="V790" s="210"/>
    </row>
    <row r="791">
      <c r="A791" s="220"/>
      <c r="F791" s="190"/>
      <c r="G791" s="190"/>
      <c r="N791" s="220"/>
      <c r="O791" s="220"/>
      <c r="Q791" s="210"/>
      <c r="R791" s="210"/>
      <c r="S791" s="210"/>
      <c r="T791" s="210"/>
      <c r="U791" s="210"/>
      <c r="V791" s="210"/>
    </row>
    <row r="792">
      <c r="A792" s="220"/>
      <c r="F792" s="190"/>
      <c r="G792" s="190"/>
      <c r="N792" s="220"/>
      <c r="O792" s="220"/>
      <c r="Q792" s="210"/>
      <c r="R792" s="210"/>
      <c r="S792" s="210"/>
      <c r="T792" s="210"/>
      <c r="U792" s="210"/>
      <c r="V792" s="210"/>
    </row>
    <row r="793">
      <c r="A793" s="220"/>
      <c r="F793" s="190"/>
      <c r="G793" s="190"/>
      <c r="N793" s="220"/>
      <c r="O793" s="220"/>
      <c r="Q793" s="210"/>
      <c r="R793" s="210"/>
      <c r="S793" s="210"/>
      <c r="T793" s="210"/>
      <c r="U793" s="210"/>
      <c r="V793" s="210"/>
    </row>
    <row r="794">
      <c r="A794" s="220"/>
      <c r="F794" s="190"/>
      <c r="G794" s="190"/>
      <c r="N794" s="220"/>
      <c r="O794" s="220"/>
      <c r="Q794" s="210"/>
      <c r="R794" s="210"/>
      <c r="S794" s="210"/>
      <c r="T794" s="210"/>
      <c r="U794" s="210"/>
      <c r="V794" s="210"/>
    </row>
    <row r="795">
      <c r="A795" s="220"/>
      <c r="F795" s="190"/>
      <c r="G795" s="190"/>
      <c r="N795" s="220"/>
      <c r="O795" s="220"/>
      <c r="Q795" s="210"/>
      <c r="R795" s="210"/>
      <c r="S795" s="210"/>
      <c r="T795" s="210"/>
      <c r="U795" s="210"/>
      <c r="V795" s="210"/>
    </row>
    <row r="796">
      <c r="A796" s="220"/>
      <c r="F796" s="190"/>
      <c r="G796" s="190"/>
      <c r="N796" s="220"/>
      <c r="O796" s="220"/>
      <c r="Q796" s="210"/>
      <c r="R796" s="210"/>
      <c r="S796" s="210"/>
      <c r="T796" s="210"/>
      <c r="U796" s="210"/>
      <c r="V796" s="210"/>
    </row>
    <row r="797">
      <c r="A797" s="220"/>
      <c r="F797" s="190"/>
      <c r="G797" s="190"/>
      <c r="N797" s="220"/>
      <c r="O797" s="220"/>
      <c r="Q797" s="210"/>
      <c r="R797" s="210"/>
      <c r="S797" s="210"/>
      <c r="T797" s="210"/>
      <c r="U797" s="210"/>
      <c r="V797" s="210"/>
    </row>
    <row r="798">
      <c r="A798" s="220"/>
      <c r="F798" s="190"/>
      <c r="G798" s="190"/>
      <c r="N798" s="220"/>
      <c r="O798" s="220"/>
      <c r="Q798" s="210"/>
      <c r="R798" s="210"/>
      <c r="S798" s="210"/>
      <c r="T798" s="210"/>
      <c r="U798" s="210"/>
      <c r="V798" s="210"/>
    </row>
    <row r="799">
      <c r="A799" s="220"/>
      <c r="F799" s="190"/>
      <c r="G799" s="190"/>
      <c r="N799" s="220"/>
      <c r="O799" s="220"/>
      <c r="Q799" s="210"/>
      <c r="R799" s="210"/>
      <c r="S799" s="210"/>
      <c r="T799" s="210"/>
      <c r="U799" s="210"/>
      <c r="V799" s="210"/>
    </row>
    <row r="800">
      <c r="A800" s="220"/>
      <c r="F800" s="190"/>
      <c r="G800" s="190"/>
      <c r="N800" s="220"/>
      <c r="O800" s="220"/>
      <c r="Q800" s="210"/>
      <c r="R800" s="210"/>
      <c r="S800" s="210"/>
      <c r="T800" s="210"/>
      <c r="U800" s="210"/>
      <c r="V800" s="210"/>
    </row>
    <row r="801">
      <c r="A801" s="220"/>
      <c r="F801" s="190"/>
      <c r="G801" s="190"/>
      <c r="N801" s="220"/>
      <c r="O801" s="220"/>
      <c r="Q801" s="210"/>
      <c r="R801" s="210"/>
      <c r="S801" s="210"/>
      <c r="T801" s="210"/>
      <c r="U801" s="210"/>
      <c r="V801" s="210"/>
    </row>
    <row r="802">
      <c r="A802" s="220"/>
      <c r="F802" s="190"/>
      <c r="G802" s="190"/>
      <c r="N802" s="220"/>
      <c r="O802" s="220"/>
      <c r="Q802" s="210"/>
      <c r="R802" s="210"/>
      <c r="S802" s="210"/>
      <c r="T802" s="210"/>
      <c r="U802" s="210"/>
      <c r="V802" s="210"/>
    </row>
    <row r="803">
      <c r="A803" s="220"/>
      <c r="F803" s="190"/>
      <c r="G803" s="190"/>
      <c r="N803" s="220"/>
      <c r="O803" s="220"/>
      <c r="Q803" s="210"/>
      <c r="R803" s="210"/>
      <c r="S803" s="210"/>
      <c r="T803" s="210"/>
      <c r="U803" s="210"/>
      <c r="V803" s="210"/>
    </row>
    <row r="804">
      <c r="A804" s="220"/>
      <c r="F804" s="190"/>
      <c r="G804" s="190"/>
      <c r="N804" s="220"/>
      <c r="O804" s="220"/>
      <c r="Q804" s="210"/>
      <c r="R804" s="210"/>
      <c r="S804" s="210"/>
      <c r="T804" s="210"/>
      <c r="U804" s="210"/>
      <c r="V804" s="210"/>
    </row>
    <row r="805">
      <c r="A805" s="220"/>
      <c r="F805" s="190"/>
      <c r="G805" s="190"/>
      <c r="N805" s="220"/>
      <c r="O805" s="220"/>
      <c r="Q805" s="210"/>
      <c r="R805" s="210"/>
      <c r="S805" s="210"/>
      <c r="T805" s="210"/>
      <c r="U805" s="210"/>
      <c r="V805" s="210"/>
    </row>
    <row r="806">
      <c r="A806" s="220"/>
      <c r="F806" s="190"/>
      <c r="G806" s="190"/>
      <c r="N806" s="220"/>
      <c r="O806" s="220"/>
      <c r="Q806" s="210"/>
      <c r="R806" s="210"/>
      <c r="S806" s="210"/>
      <c r="T806" s="210"/>
      <c r="U806" s="210"/>
      <c r="V806" s="210"/>
    </row>
    <row r="807">
      <c r="A807" s="220"/>
      <c r="F807" s="190"/>
      <c r="G807" s="190"/>
      <c r="N807" s="220"/>
      <c r="O807" s="220"/>
      <c r="Q807" s="210"/>
      <c r="R807" s="210"/>
      <c r="S807" s="210"/>
      <c r="T807" s="210"/>
      <c r="U807" s="210"/>
      <c r="V807" s="210"/>
    </row>
    <row r="808">
      <c r="A808" s="220"/>
      <c r="F808" s="190"/>
      <c r="G808" s="190"/>
      <c r="N808" s="220"/>
      <c r="O808" s="220"/>
      <c r="Q808" s="210"/>
      <c r="R808" s="210"/>
      <c r="S808" s="210"/>
      <c r="T808" s="210"/>
      <c r="U808" s="210"/>
      <c r="V808" s="210"/>
    </row>
    <row r="809">
      <c r="A809" s="220"/>
      <c r="F809" s="190"/>
      <c r="G809" s="190"/>
      <c r="N809" s="220"/>
      <c r="O809" s="220"/>
      <c r="Q809" s="210"/>
      <c r="R809" s="210"/>
      <c r="S809" s="210"/>
      <c r="T809" s="210"/>
      <c r="U809" s="210"/>
      <c r="V809" s="210"/>
    </row>
    <row r="810">
      <c r="A810" s="220"/>
      <c r="F810" s="190"/>
      <c r="G810" s="190"/>
      <c r="N810" s="220"/>
      <c r="O810" s="220"/>
      <c r="Q810" s="210"/>
      <c r="R810" s="210"/>
      <c r="S810" s="210"/>
      <c r="T810" s="210"/>
      <c r="U810" s="210"/>
      <c r="V810" s="210"/>
    </row>
    <row r="811">
      <c r="A811" s="220"/>
      <c r="F811" s="190"/>
      <c r="G811" s="190"/>
      <c r="N811" s="220"/>
      <c r="O811" s="220"/>
      <c r="Q811" s="210"/>
      <c r="R811" s="210"/>
      <c r="S811" s="210"/>
      <c r="T811" s="210"/>
      <c r="U811" s="210"/>
      <c r="V811" s="210"/>
    </row>
    <row r="812">
      <c r="A812" s="220"/>
      <c r="F812" s="190"/>
      <c r="G812" s="190"/>
      <c r="N812" s="220"/>
      <c r="O812" s="220"/>
      <c r="Q812" s="210"/>
      <c r="R812" s="210"/>
      <c r="S812" s="210"/>
      <c r="T812" s="210"/>
      <c r="U812" s="210"/>
      <c r="V812" s="210"/>
    </row>
    <row r="813">
      <c r="A813" s="220"/>
      <c r="F813" s="190"/>
      <c r="G813" s="190"/>
      <c r="N813" s="220"/>
      <c r="O813" s="220"/>
      <c r="Q813" s="210"/>
      <c r="R813" s="210"/>
      <c r="S813" s="210"/>
      <c r="T813" s="210"/>
      <c r="U813" s="210"/>
      <c r="V813" s="210"/>
    </row>
    <row r="814">
      <c r="A814" s="220"/>
      <c r="F814" s="190"/>
      <c r="G814" s="190"/>
      <c r="N814" s="220"/>
      <c r="O814" s="220"/>
      <c r="Q814" s="210"/>
      <c r="R814" s="210"/>
      <c r="S814" s="210"/>
      <c r="T814" s="210"/>
      <c r="U814" s="210"/>
      <c r="V814" s="210"/>
    </row>
    <row r="815">
      <c r="A815" s="220"/>
      <c r="F815" s="190"/>
      <c r="G815" s="190"/>
      <c r="N815" s="220"/>
      <c r="O815" s="220"/>
      <c r="Q815" s="210"/>
      <c r="R815" s="210"/>
      <c r="S815" s="210"/>
      <c r="T815" s="210"/>
      <c r="U815" s="210"/>
      <c r="V815" s="210"/>
    </row>
    <row r="816">
      <c r="A816" s="220"/>
      <c r="F816" s="190"/>
      <c r="G816" s="190"/>
      <c r="N816" s="220"/>
      <c r="O816" s="220"/>
      <c r="Q816" s="210"/>
      <c r="R816" s="210"/>
      <c r="S816" s="210"/>
      <c r="T816" s="210"/>
      <c r="U816" s="210"/>
      <c r="V816" s="210"/>
    </row>
    <row r="817">
      <c r="A817" s="220"/>
      <c r="F817" s="190"/>
      <c r="G817" s="190"/>
      <c r="N817" s="220"/>
      <c r="O817" s="220"/>
      <c r="Q817" s="210"/>
      <c r="R817" s="210"/>
      <c r="S817" s="210"/>
      <c r="T817" s="210"/>
      <c r="U817" s="210"/>
      <c r="V817" s="210"/>
    </row>
    <row r="818">
      <c r="A818" s="220"/>
      <c r="F818" s="190"/>
      <c r="G818" s="190"/>
      <c r="N818" s="220"/>
      <c r="O818" s="220"/>
      <c r="Q818" s="210"/>
      <c r="R818" s="210"/>
      <c r="S818" s="210"/>
      <c r="T818" s="210"/>
      <c r="U818" s="210"/>
      <c r="V818" s="210"/>
    </row>
    <row r="819">
      <c r="A819" s="220"/>
      <c r="F819" s="190"/>
      <c r="G819" s="190"/>
      <c r="N819" s="220"/>
      <c r="O819" s="220"/>
      <c r="Q819" s="210"/>
      <c r="R819" s="210"/>
      <c r="S819" s="210"/>
      <c r="T819" s="210"/>
      <c r="U819" s="210"/>
      <c r="V819" s="210"/>
    </row>
    <row r="820">
      <c r="A820" s="220"/>
      <c r="F820" s="190"/>
      <c r="G820" s="190"/>
      <c r="N820" s="220"/>
      <c r="O820" s="220"/>
      <c r="Q820" s="210"/>
      <c r="R820" s="210"/>
      <c r="S820" s="210"/>
      <c r="T820" s="210"/>
      <c r="U820" s="210"/>
      <c r="V820" s="210"/>
    </row>
    <row r="821">
      <c r="A821" s="220"/>
      <c r="F821" s="190"/>
      <c r="G821" s="190"/>
      <c r="N821" s="220"/>
      <c r="O821" s="220"/>
      <c r="Q821" s="210"/>
      <c r="R821" s="210"/>
      <c r="S821" s="210"/>
      <c r="T821" s="210"/>
      <c r="U821" s="210"/>
      <c r="V821" s="210"/>
    </row>
    <row r="822">
      <c r="A822" s="220"/>
      <c r="F822" s="190"/>
      <c r="G822" s="190"/>
      <c r="N822" s="220"/>
      <c r="O822" s="220"/>
      <c r="Q822" s="210"/>
      <c r="R822" s="210"/>
      <c r="S822" s="210"/>
      <c r="T822" s="210"/>
      <c r="U822" s="210"/>
      <c r="V822" s="210"/>
    </row>
    <row r="823">
      <c r="A823" s="220"/>
      <c r="F823" s="190"/>
      <c r="G823" s="190"/>
      <c r="N823" s="220"/>
      <c r="O823" s="220"/>
      <c r="Q823" s="210"/>
      <c r="R823" s="210"/>
      <c r="S823" s="210"/>
      <c r="T823" s="210"/>
      <c r="U823" s="210"/>
      <c r="V823" s="210"/>
    </row>
    <row r="824">
      <c r="A824" s="220"/>
      <c r="F824" s="190"/>
      <c r="G824" s="190"/>
      <c r="N824" s="220"/>
      <c r="O824" s="220"/>
      <c r="Q824" s="210"/>
      <c r="R824" s="210"/>
      <c r="S824" s="210"/>
      <c r="T824" s="210"/>
      <c r="U824" s="210"/>
      <c r="V824" s="210"/>
    </row>
    <row r="825">
      <c r="A825" s="220"/>
      <c r="F825" s="190"/>
      <c r="G825" s="190"/>
      <c r="N825" s="220"/>
      <c r="O825" s="220"/>
      <c r="Q825" s="210"/>
      <c r="R825" s="210"/>
      <c r="S825" s="210"/>
      <c r="T825" s="210"/>
      <c r="U825" s="210"/>
      <c r="V825" s="210"/>
    </row>
    <row r="826">
      <c r="A826" s="220"/>
      <c r="F826" s="190"/>
      <c r="G826" s="190"/>
      <c r="N826" s="220"/>
      <c r="O826" s="220"/>
      <c r="Q826" s="210"/>
      <c r="R826" s="210"/>
      <c r="S826" s="210"/>
      <c r="T826" s="210"/>
      <c r="U826" s="210"/>
      <c r="V826" s="210"/>
    </row>
    <row r="827">
      <c r="A827" s="220"/>
      <c r="F827" s="190"/>
      <c r="G827" s="190"/>
      <c r="N827" s="220"/>
      <c r="O827" s="220"/>
      <c r="Q827" s="210"/>
      <c r="R827" s="210"/>
      <c r="S827" s="210"/>
      <c r="T827" s="210"/>
      <c r="U827" s="210"/>
      <c r="V827" s="210"/>
    </row>
    <row r="828">
      <c r="A828" s="220"/>
      <c r="F828" s="190"/>
      <c r="G828" s="190"/>
      <c r="N828" s="220"/>
      <c r="O828" s="220"/>
      <c r="Q828" s="210"/>
      <c r="R828" s="210"/>
      <c r="S828" s="210"/>
      <c r="T828" s="210"/>
      <c r="U828" s="210"/>
      <c r="V828" s="210"/>
    </row>
    <row r="829">
      <c r="A829" s="220"/>
      <c r="F829" s="190"/>
      <c r="G829" s="190"/>
      <c r="N829" s="220"/>
      <c r="O829" s="220"/>
      <c r="Q829" s="210"/>
      <c r="R829" s="210"/>
      <c r="S829" s="210"/>
      <c r="T829" s="210"/>
      <c r="U829" s="210"/>
      <c r="V829" s="210"/>
    </row>
    <row r="830">
      <c r="A830" s="220"/>
      <c r="F830" s="190"/>
      <c r="G830" s="190"/>
      <c r="N830" s="220"/>
      <c r="O830" s="220"/>
      <c r="Q830" s="210"/>
      <c r="R830" s="210"/>
      <c r="S830" s="210"/>
      <c r="T830" s="210"/>
      <c r="U830" s="210"/>
      <c r="V830" s="210"/>
    </row>
    <row r="831">
      <c r="A831" s="220"/>
      <c r="F831" s="190"/>
      <c r="G831" s="190"/>
      <c r="N831" s="220"/>
      <c r="O831" s="220"/>
      <c r="Q831" s="210"/>
      <c r="R831" s="210"/>
      <c r="S831" s="210"/>
      <c r="T831" s="210"/>
      <c r="U831" s="210"/>
      <c r="V831" s="210"/>
    </row>
    <row r="832">
      <c r="A832" s="220"/>
      <c r="F832" s="190"/>
      <c r="G832" s="190"/>
      <c r="N832" s="220"/>
      <c r="O832" s="220"/>
      <c r="Q832" s="210"/>
      <c r="R832" s="210"/>
      <c r="S832" s="210"/>
      <c r="T832" s="210"/>
      <c r="U832" s="210"/>
      <c r="V832" s="210"/>
    </row>
    <row r="833">
      <c r="A833" s="220"/>
      <c r="F833" s="190"/>
      <c r="G833" s="190"/>
      <c r="N833" s="220"/>
      <c r="O833" s="220"/>
      <c r="Q833" s="210"/>
      <c r="R833" s="210"/>
      <c r="S833" s="210"/>
      <c r="T833" s="210"/>
      <c r="U833" s="210"/>
      <c r="V833" s="210"/>
    </row>
    <row r="834">
      <c r="A834" s="220"/>
      <c r="F834" s="190"/>
      <c r="G834" s="190"/>
      <c r="N834" s="220"/>
      <c r="O834" s="220"/>
      <c r="Q834" s="210"/>
      <c r="R834" s="210"/>
      <c r="S834" s="210"/>
      <c r="T834" s="210"/>
      <c r="U834" s="210"/>
      <c r="V834" s="210"/>
    </row>
    <row r="835">
      <c r="A835" s="220"/>
      <c r="F835" s="190"/>
      <c r="G835" s="190"/>
      <c r="N835" s="220"/>
      <c r="O835" s="220"/>
      <c r="Q835" s="210"/>
      <c r="R835" s="210"/>
      <c r="S835" s="210"/>
      <c r="T835" s="210"/>
      <c r="U835" s="210"/>
      <c r="V835" s="210"/>
    </row>
    <row r="836">
      <c r="A836" s="220"/>
      <c r="F836" s="190"/>
      <c r="G836" s="190"/>
      <c r="N836" s="220"/>
      <c r="O836" s="220"/>
      <c r="Q836" s="210"/>
      <c r="R836" s="210"/>
      <c r="S836" s="210"/>
      <c r="T836" s="210"/>
      <c r="U836" s="210"/>
      <c r="V836" s="210"/>
    </row>
    <row r="837">
      <c r="A837" s="220"/>
      <c r="F837" s="190"/>
      <c r="G837" s="190"/>
      <c r="N837" s="220"/>
      <c r="O837" s="220"/>
      <c r="Q837" s="210"/>
      <c r="R837" s="210"/>
      <c r="S837" s="210"/>
      <c r="T837" s="210"/>
      <c r="U837" s="210"/>
      <c r="V837" s="210"/>
    </row>
    <row r="838">
      <c r="A838" s="220"/>
      <c r="F838" s="190"/>
      <c r="G838" s="190"/>
      <c r="N838" s="220"/>
      <c r="O838" s="220"/>
      <c r="Q838" s="210"/>
      <c r="R838" s="210"/>
      <c r="S838" s="210"/>
      <c r="T838" s="210"/>
      <c r="U838" s="210"/>
      <c r="V838" s="210"/>
    </row>
    <row r="839">
      <c r="A839" s="220"/>
      <c r="F839" s="190"/>
      <c r="G839" s="190"/>
      <c r="N839" s="220"/>
      <c r="O839" s="220"/>
      <c r="Q839" s="210"/>
      <c r="R839" s="210"/>
      <c r="S839" s="210"/>
      <c r="T839" s="210"/>
      <c r="U839" s="210"/>
      <c r="V839" s="210"/>
    </row>
    <row r="840">
      <c r="A840" s="220"/>
      <c r="F840" s="190"/>
      <c r="G840" s="190"/>
      <c r="N840" s="220"/>
      <c r="O840" s="220"/>
      <c r="Q840" s="210"/>
      <c r="R840" s="210"/>
      <c r="S840" s="210"/>
      <c r="T840" s="210"/>
      <c r="U840" s="210"/>
      <c r="V840" s="210"/>
    </row>
    <row r="841">
      <c r="A841" s="220"/>
      <c r="F841" s="190"/>
      <c r="G841" s="190"/>
      <c r="N841" s="220"/>
      <c r="O841" s="220"/>
      <c r="Q841" s="210"/>
      <c r="R841" s="210"/>
      <c r="S841" s="210"/>
      <c r="T841" s="210"/>
      <c r="U841" s="210"/>
      <c r="V841" s="210"/>
    </row>
    <row r="842">
      <c r="A842" s="220"/>
      <c r="F842" s="190"/>
      <c r="G842" s="190"/>
      <c r="N842" s="220"/>
      <c r="O842" s="220"/>
      <c r="Q842" s="210"/>
      <c r="R842" s="210"/>
      <c r="S842" s="210"/>
      <c r="T842" s="210"/>
      <c r="U842" s="210"/>
      <c r="V842" s="210"/>
    </row>
    <row r="843">
      <c r="A843" s="220"/>
      <c r="F843" s="190"/>
      <c r="G843" s="190"/>
      <c r="N843" s="220"/>
      <c r="O843" s="220"/>
      <c r="Q843" s="210"/>
      <c r="R843" s="210"/>
      <c r="S843" s="210"/>
      <c r="T843" s="210"/>
      <c r="U843" s="210"/>
      <c r="V843" s="210"/>
    </row>
    <row r="844">
      <c r="A844" s="220"/>
      <c r="F844" s="190"/>
      <c r="G844" s="190"/>
      <c r="N844" s="220"/>
      <c r="O844" s="220"/>
      <c r="Q844" s="210"/>
      <c r="R844" s="210"/>
      <c r="S844" s="210"/>
      <c r="T844" s="210"/>
      <c r="U844" s="210"/>
      <c r="V844" s="210"/>
    </row>
    <row r="845">
      <c r="A845" s="220"/>
      <c r="F845" s="190"/>
      <c r="G845" s="190"/>
      <c r="N845" s="220"/>
      <c r="O845" s="220"/>
      <c r="Q845" s="210"/>
      <c r="R845" s="210"/>
      <c r="S845" s="210"/>
      <c r="T845" s="210"/>
      <c r="U845" s="210"/>
      <c r="V845" s="210"/>
    </row>
    <row r="846">
      <c r="A846" s="220"/>
      <c r="F846" s="190"/>
      <c r="G846" s="190"/>
      <c r="N846" s="220"/>
      <c r="O846" s="220"/>
      <c r="Q846" s="210"/>
      <c r="R846" s="210"/>
      <c r="S846" s="210"/>
      <c r="T846" s="210"/>
      <c r="U846" s="210"/>
      <c r="V846" s="210"/>
    </row>
    <row r="847">
      <c r="A847" s="220"/>
      <c r="F847" s="190"/>
      <c r="G847" s="190"/>
      <c r="N847" s="220"/>
      <c r="O847" s="220"/>
      <c r="Q847" s="210"/>
      <c r="R847" s="210"/>
      <c r="S847" s="210"/>
      <c r="T847" s="210"/>
      <c r="U847" s="210"/>
      <c r="V847" s="210"/>
    </row>
    <row r="848">
      <c r="A848" s="220"/>
      <c r="F848" s="190"/>
      <c r="G848" s="190"/>
      <c r="N848" s="220"/>
      <c r="O848" s="220"/>
      <c r="Q848" s="210"/>
      <c r="R848" s="210"/>
      <c r="S848" s="210"/>
      <c r="T848" s="210"/>
      <c r="U848" s="210"/>
      <c r="V848" s="210"/>
    </row>
    <row r="849">
      <c r="A849" s="220"/>
      <c r="F849" s="190"/>
      <c r="G849" s="190"/>
      <c r="N849" s="220"/>
      <c r="O849" s="220"/>
      <c r="Q849" s="210"/>
      <c r="R849" s="210"/>
      <c r="S849" s="210"/>
      <c r="T849" s="210"/>
      <c r="U849" s="210"/>
      <c r="V849" s="210"/>
    </row>
    <row r="850">
      <c r="A850" s="220"/>
      <c r="F850" s="190"/>
      <c r="G850" s="190"/>
      <c r="N850" s="220"/>
      <c r="O850" s="220"/>
      <c r="Q850" s="210"/>
      <c r="R850" s="210"/>
      <c r="S850" s="210"/>
      <c r="T850" s="210"/>
      <c r="U850" s="210"/>
      <c r="V850" s="210"/>
    </row>
    <row r="851">
      <c r="A851" s="220"/>
      <c r="F851" s="190"/>
      <c r="G851" s="190"/>
      <c r="N851" s="220"/>
      <c r="O851" s="220"/>
      <c r="Q851" s="210"/>
      <c r="R851" s="210"/>
      <c r="S851" s="210"/>
      <c r="T851" s="210"/>
      <c r="U851" s="210"/>
      <c r="V851" s="210"/>
    </row>
    <row r="852">
      <c r="A852" s="220"/>
      <c r="F852" s="190"/>
      <c r="G852" s="190"/>
      <c r="N852" s="220"/>
      <c r="O852" s="220"/>
      <c r="Q852" s="210"/>
      <c r="R852" s="210"/>
      <c r="S852" s="210"/>
      <c r="T852" s="210"/>
      <c r="U852" s="210"/>
      <c r="V852" s="210"/>
    </row>
    <row r="853">
      <c r="A853" s="220"/>
      <c r="F853" s="190"/>
      <c r="G853" s="190"/>
      <c r="N853" s="220"/>
      <c r="O853" s="220"/>
      <c r="Q853" s="210"/>
      <c r="R853" s="210"/>
      <c r="S853" s="210"/>
      <c r="T853" s="210"/>
      <c r="U853" s="210"/>
      <c r="V853" s="210"/>
    </row>
    <row r="854">
      <c r="A854" s="220"/>
      <c r="F854" s="190"/>
      <c r="G854" s="190"/>
      <c r="N854" s="220"/>
      <c r="O854" s="220"/>
      <c r="Q854" s="210"/>
      <c r="R854" s="210"/>
      <c r="S854" s="210"/>
      <c r="T854" s="210"/>
      <c r="U854" s="210"/>
      <c r="V854" s="210"/>
    </row>
    <row r="855">
      <c r="A855" s="220"/>
      <c r="F855" s="190"/>
      <c r="G855" s="190"/>
      <c r="N855" s="220"/>
      <c r="O855" s="220"/>
      <c r="Q855" s="210"/>
      <c r="R855" s="210"/>
      <c r="S855" s="210"/>
      <c r="T855" s="210"/>
      <c r="U855" s="210"/>
      <c r="V855" s="210"/>
    </row>
    <row r="856">
      <c r="A856" s="220"/>
      <c r="F856" s="190"/>
      <c r="G856" s="190"/>
      <c r="N856" s="220"/>
      <c r="O856" s="220"/>
      <c r="Q856" s="210"/>
      <c r="R856" s="210"/>
      <c r="S856" s="210"/>
      <c r="T856" s="210"/>
      <c r="U856" s="210"/>
      <c r="V856" s="210"/>
    </row>
    <row r="857">
      <c r="A857" s="220"/>
      <c r="F857" s="190"/>
      <c r="G857" s="190"/>
      <c r="N857" s="220"/>
      <c r="O857" s="220"/>
      <c r="Q857" s="210"/>
      <c r="R857" s="210"/>
      <c r="S857" s="210"/>
      <c r="T857" s="210"/>
      <c r="U857" s="210"/>
      <c r="V857" s="210"/>
    </row>
    <row r="858">
      <c r="A858" s="220"/>
      <c r="F858" s="190"/>
      <c r="G858" s="190"/>
      <c r="N858" s="220"/>
      <c r="O858" s="220"/>
      <c r="Q858" s="210"/>
      <c r="R858" s="210"/>
      <c r="S858" s="210"/>
      <c r="T858" s="210"/>
      <c r="U858" s="210"/>
      <c r="V858" s="210"/>
    </row>
    <row r="859">
      <c r="A859" s="220"/>
      <c r="F859" s="190"/>
      <c r="G859" s="190"/>
      <c r="N859" s="220"/>
      <c r="O859" s="220"/>
      <c r="Q859" s="210"/>
      <c r="R859" s="210"/>
      <c r="S859" s="210"/>
      <c r="T859" s="210"/>
      <c r="U859" s="210"/>
      <c r="V859" s="210"/>
    </row>
    <row r="860">
      <c r="A860" s="220"/>
      <c r="F860" s="190"/>
      <c r="G860" s="190"/>
      <c r="N860" s="220"/>
      <c r="O860" s="220"/>
      <c r="Q860" s="210"/>
      <c r="R860" s="210"/>
      <c r="S860" s="210"/>
      <c r="T860" s="210"/>
      <c r="U860" s="210"/>
      <c r="V860" s="210"/>
    </row>
    <row r="861">
      <c r="A861" s="220"/>
      <c r="F861" s="190"/>
      <c r="G861" s="190"/>
      <c r="N861" s="220"/>
      <c r="O861" s="220"/>
      <c r="Q861" s="210"/>
      <c r="R861" s="210"/>
      <c r="S861" s="210"/>
      <c r="T861" s="210"/>
      <c r="U861" s="210"/>
      <c r="V861" s="210"/>
    </row>
    <row r="862">
      <c r="A862" s="220"/>
      <c r="F862" s="190"/>
      <c r="G862" s="190"/>
      <c r="N862" s="220"/>
      <c r="O862" s="220"/>
      <c r="Q862" s="210"/>
      <c r="R862" s="210"/>
      <c r="S862" s="210"/>
      <c r="T862" s="210"/>
      <c r="U862" s="210"/>
      <c r="V862" s="210"/>
    </row>
    <row r="863">
      <c r="A863" s="220"/>
      <c r="F863" s="190"/>
      <c r="G863" s="190"/>
      <c r="N863" s="220"/>
      <c r="O863" s="220"/>
      <c r="Q863" s="210"/>
      <c r="R863" s="210"/>
      <c r="S863" s="210"/>
      <c r="T863" s="210"/>
      <c r="U863" s="210"/>
      <c r="V863" s="210"/>
    </row>
    <row r="864">
      <c r="A864" s="220"/>
      <c r="F864" s="190"/>
      <c r="G864" s="190"/>
      <c r="N864" s="220"/>
      <c r="O864" s="220"/>
      <c r="Q864" s="210"/>
      <c r="R864" s="210"/>
      <c r="S864" s="210"/>
      <c r="T864" s="210"/>
      <c r="U864" s="210"/>
      <c r="V864" s="210"/>
    </row>
    <row r="865">
      <c r="A865" s="220"/>
      <c r="F865" s="190"/>
      <c r="G865" s="190"/>
      <c r="N865" s="220"/>
      <c r="O865" s="220"/>
      <c r="Q865" s="210"/>
      <c r="R865" s="210"/>
      <c r="S865" s="210"/>
      <c r="T865" s="210"/>
      <c r="U865" s="210"/>
      <c r="V865" s="210"/>
    </row>
    <row r="866">
      <c r="A866" s="220"/>
      <c r="F866" s="190"/>
      <c r="G866" s="190"/>
      <c r="N866" s="220"/>
      <c r="O866" s="220"/>
      <c r="Q866" s="210"/>
      <c r="R866" s="210"/>
      <c r="S866" s="210"/>
      <c r="T866" s="210"/>
      <c r="U866" s="210"/>
      <c r="V866" s="210"/>
    </row>
    <row r="867">
      <c r="A867" s="220"/>
      <c r="F867" s="190"/>
      <c r="G867" s="190"/>
      <c r="N867" s="220"/>
      <c r="O867" s="220"/>
      <c r="Q867" s="210"/>
      <c r="R867" s="210"/>
      <c r="S867" s="210"/>
      <c r="T867" s="210"/>
      <c r="U867" s="210"/>
      <c r="V867" s="210"/>
    </row>
    <row r="868">
      <c r="A868" s="220"/>
      <c r="F868" s="190"/>
      <c r="G868" s="190"/>
      <c r="N868" s="220"/>
      <c r="O868" s="220"/>
      <c r="Q868" s="210"/>
      <c r="R868" s="210"/>
      <c r="S868" s="210"/>
      <c r="T868" s="210"/>
      <c r="U868" s="210"/>
      <c r="V868" s="210"/>
    </row>
    <row r="869">
      <c r="A869" s="220"/>
      <c r="F869" s="190"/>
      <c r="G869" s="190"/>
      <c r="N869" s="220"/>
      <c r="O869" s="220"/>
      <c r="Q869" s="210"/>
      <c r="R869" s="210"/>
      <c r="S869" s="210"/>
      <c r="T869" s="210"/>
      <c r="U869" s="210"/>
      <c r="V869" s="210"/>
    </row>
    <row r="870">
      <c r="A870" s="220"/>
      <c r="F870" s="190"/>
      <c r="G870" s="190"/>
      <c r="N870" s="220"/>
      <c r="O870" s="220"/>
      <c r="Q870" s="210"/>
      <c r="R870" s="210"/>
      <c r="S870" s="210"/>
      <c r="T870" s="210"/>
      <c r="U870" s="210"/>
      <c r="V870" s="210"/>
    </row>
    <row r="871">
      <c r="A871" s="220"/>
      <c r="F871" s="190"/>
      <c r="G871" s="190"/>
      <c r="N871" s="220"/>
      <c r="O871" s="220"/>
      <c r="Q871" s="210"/>
      <c r="R871" s="210"/>
      <c r="S871" s="210"/>
      <c r="T871" s="210"/>
      <c r="U871" s="210"/>
      <c r="V871" s="210"/>
    </row>
    <row r="872">
      <c r="A872" s="220"/>
      <c r="F872" s="190"/>
      <c r="G872" s="190"/>
      <c r="N872" s="220"/>
      <c r="O872" s="220"/>
      <c r="Q872" s="210"/>
      <c r="R872" s="210"/>
      <c r="S872" s="210"/>
      <c r="T872" s="210"/>
      <c r="U872" s="210"/>
      <c r="V872" s="210"/>
    </row>
    <row r="873">
      <c r="A873" s="220"/>
      <c r="F873" s="190"/>
      <c r="G873" s="190"/>
      <c r="N873" s="220"/>
      <c r="O873" s="220"/>
      <c r="Q873" s="210"/>
      <c r="R873" s="210"/>
      <c r="S873" s="210"/>
      <c r="T873" s="210"/>
      <c r="U873" s="210"/>
      <c r="V873" s="210"/>
    </row>
    <row r="874">
      <c r="A874" s="220"/>
      <c r="F874" s="190"/>
      <c r="G874" s="190"/>
      <c r="N874" s="220"/>
      <c r="O874" s="220"/>
      <c r="Q874" s="210"/>
      <c r="R874" s="210"/>
      <c r="S874" s="210"/>
      <c r="T874" s="210"/>
      <c r="U874" s="210"/>
      <c r="V874" s="210"/>
    </row>
    <row r="875">
      <c r="A875" s="220"/>
      <c r="F875" s="190"/>
      <c r="G875" s="190"/>
      <c r="N875" s="220"/>
      <c r="O875" s="220"/>
      <c r="Q875" s="210"/>
      <c r="R875" s="210"/>
      <c r="S875" s="210"/>
      <c r="T875" s="210"/>
      <c r="U875" s="210"/>
      <c r="V875" s="210"/>
    </row>
    <row r="876">
      <c r="A876" s="220"/>
      <c r="F876" s="190"/>
      <c r="G876" s="190"/>
      <c r="N876" s="220"/>
      <c r="O876" s="220"/>
      <c r="Q876" s="210"/>
      <c r="R876" s="210"/>
      <c r="S876" s="210"/>
      <c r="T876" s="210"/>
      <c r="U876" s="210"/>
      <c r="V876" s="210"/>
    </row>
    <row r="877">
      <c r="A877" s="220"/>
      <c r="F877" s="190"/>
      <c r="G877" s="190"/>
      <c r="N877" s="220"/>
      <c r="O877" s="220"/>
      <c r="Q877" s="210"/>
      <c r="R877" s="210"/>
      <c r="S877" s="210"/>
      <c r="T877" s="210"/>
      <c r="U877" s="210"/>
      <c r="V877" s="210"/>
    </row>
    <row r="878">
      <c r="A878" s="220"/>
      <c r="F878" s="190"/>
      <c r="G878" s="190"/>
      <c r="N878" s="220"/>
      <c r="O878" s="220"/>
      <c r="Q878" s="210"/>
      <c r="R878" s="210"/>
      <c r="S878" s="210"/>
      <c r="T878" s="210"/>
      <c r="U878" s="210"/>
      <c r="V878" s="210"/>
    </row>
    <row r="879">
      <c r="A879" s="220"/>
      <c r="F879" s="190"/>
      <c r="G879" s="190"/>
      <c r="N879" s="220"/>
      <c r="O879" s="220"/>
      <c r="Q879" s="210"/>
      <c r="R879" s="210"/>
      <c r="S879" s="210"/>
      <c r="T879" s="210"/>
      <c r="U879" s="210"/>
      <c r="V879" s="210"/>
    </row>
    <row r="880">
      <c r="A880" s="220"/>
      <c r="F880" s="190"/>
      <c r="G880" s="190"/>
      <c r="N880" s="220"/>
      <c r="O880" s="220"/>
      <c r="Q880" s="210"/>
      <c r="R880" s="210"/>
      <c r="S880" s="210"/>
      <c r="T880" s="210"/>
      <c r="U880" s="210"/>
      <c r="V880" s="210"/>
    </row>
    <row r="881">
      <c r="A881" s="220"/>
      <c r="F881" s="190"/>
      <c r="G881" s="190"/>
      <c r="N881" s="220"/>
      <c r="O881" s="220"/>
      <c r="Q881" s="210"/>
      <c r="R881" s="210"/>
      <c r="S881" s="210"/>
      <c r="T881" s="210"/>
      <c r="U881" s="210"/>
      <c r="V881" s="210"/>
    </row>
    <row r="882">
      <c r="A882" s="220"/>
      <c r="F882" s="190"/>
      <c r="G882" s="190"/>
      <c r="N882" s="220"/>
      <c r="O882" s="220"/>
      <c r="Q882" s="210"/>
      <c r="R882" s="210"/>
      <c r="S882" s="210"/>
      <c r="T882" s="210"/>
      <c r="U882" s="210"/>
      <c r="V882" s="210"/>
    </row>
    <row r="883">
      <c r="A883" s="220"/>
      <c r="F883" s="190"/>
      <c r="G883" s="190"/>
      <c r="N883" s="220"/>
      <c r="O883" s="220"/>
      <c r="Q883" s="210"/>
      <c r="R883" s="210"/>
      <c r="S883" s="210"/>
      <c r="T883" s="210"/>
      <c r="U883" s="210"/>
      <c r="V883" s="210"/>
    </row>
    <row r="884">
      <c r="A884" s="220"/>
      <c r="F884" s="190"/>
      <c r="G884" s="190"/>
      <c r="N884" s="220"/>
      <c r="O884" s="220"/>
      <c r="Q884" s="210"/>
      <c r="R884" s="210"/>
      <c r="S884" s="210"/>
      <c r="T884" s="210"/>
      <c r="U884" s="210"/>
      <c r="V884" s="210"/>
    </row>
    <row r="885">
      <c r="A885" s="220"/>
      <c r="F885" s="190"/>
      <c r="G885" s="190"/>
      <c r="N885" s="220"/>
      <c r="O885" s="220"/>
      <c r="Q885" s="210"/>
      <c r="R885" s="210"/>
      <c r="S885" s="210"/>
      <c r="T885" s="210"/>
      <c r="U885" s="210"/>
      <c r="V885" s="210"/>
    </row>
    <row r="886">
      <c r="A886" s="220"/>
      <c r="F886" s="190"/>
      <c r="G886" s="190"/>
      <c r="N886" s="220"/>
      <c r="O886" s="220"/>
      <c r="Q886" s="210"/>
      <c r="R886" s="210"/>
      <c r="S886" s="210"/>
      <c r="T886" s="210"/>
      <c r="U886" s="210"/>
      <c r="V886" s="210"/>
    </row>
    <row r="887">
      <c r="A887" s="220"/>
      <c r="F887" s="190"/>
      <c r="G887" s="190"/>
      <c r="N887" s="220"/>
      <c r="O887" s="220"/>
      <c r="Q887" s="210"/>
      <c r="R887" s="210"/>
      <c r="S887" s="210"/>
      <c r="T887" s="210"/>
      <c r="U887" s="210"/>
      <c r="V887" s="210"/>
    </row>
    <row r="888">
      <c r="A888" s="220"/>
      <c r="F888" s="190"/>
      <c r="G888" s="190"/>
      <c r="N888" s="220"/>
      <c r="O888" s="220"/>
      <c r="Q888" s="210"/>
      <c r="R888" s="210"/>
      <c r="S888" s="210"/>
      <c r="T888" s="210"/>
      <c r="U888" s="210"/>
      <c r="V888" s="210"/>
    </row>
    <row r="889">
      <c r="A889" s="220"/>
      <c r="F889" s="190"/>
      <c r="G889" s="190"/>
      <c r="N889" s="220"/>
      <c r="O889" s="220"/>
      <c r="Q889" s="210"/>
      <c r="R889" s="210"/>
      <c r="S889" s="210"/>
      <c r="T889" s="210"/>
      <c r="U889" s="210"/>
      <c r="V889" s="210"/>
    </row>
    <row r="890">
      <c r="A890" s="220"/>
      <c r="F890" s="190"/>
      <c r="G890" s="190"/>
      <c r="N890" s="220"/>
      <c r="O890" s="220"/>
      <c r="Q890" s="210"/>
      <c r="R890" s="210"/>
      <c r="S890" s="210"/>
      <c r="T890" s="210"/>
      <c r="U890" s="210"/>
      <c r="V890" s="210"/>
    </row>
    <row r="891">
      <c r="A891" s="220"/>
      <c r="F891" s="190"/>
      <c r="G891" s="190"/>
      <c r="N891" s="220"/>
      <c r="O891" s="220"/>
      <c r="Q891" s="210"/>
      <c r="R891" s="210"/>
      <c r="S891" s="210"/>
      <c r="T891" s="210"/>
      <c r="U891" s="210"/>
      <c r="V891" s="210"/>
    </row>
    <row r="892">
      <c r="A892" s="220"/>
      <c r="F892" s="190"/>
      <c r="G892" s="190"/>
      <c r="N892" s="220"/>
      <c r="O892" s="220"/>
      <c r="Q892" s="210"/>
      <c r="R892" s="210"/>
      <c r="S892" s="210"/>
      <c r="T892" s="210"/>
      <c r="U892" s="210"/>
      <c r="V892" s="210"/>
    </row>
    <row r="893">
      <c r="A893" s="220"/>
      <c r="F893" s="190"/>
      <c r="G893" s="190"/>
      <c r="N893" s="220"/>
      <c r="O893" s="220"/>
      <c r="Q893" s="210"/>
      <c r="R893" s="210"/>
      <c r="S893" s="210"/>
      <c r="T893" s="210"/>
      <c r="U893" s="210"/>
      <c r="V893" s="210"/>
    </row>
    <row r="894">
      <c r="A894" s="220"/>
      <c r="F894" s="190"/>
      <c r="G894" s="190"/>
      <c r="N894" s="220"/>
      <c r="O894" s="220"/>
      <c r="Q894" s="210"/>
      <c r="R894" s="210"/>
      <c r="S894" s="210"/>
      <c r="T894" s="210"/>
      <c r="U894" s="210"/>
      <c r="V894" s="210"/>
    </row>
    <row r="895">
      <c r="A895" s="220"/>
      <c r="F895" s="190"/>
      <c r="G895" s="190"/>
      <c r="N895" s="220"/>
      <c r="O895" s="220"/>
      <c r="Q895" s="210"/>
      <c r="R895" s="210"/>
      <c r="S895" s="210"/>
      <c r="T895" s="210"/>
      <c r="U895" s="210"/>
      <c r="V895" s="210"/>
    </row>
    <row r="896">
      <c r="A896" s="220"/>
      <c r="F896" s="190"/>
      <c r="G896" s="190"/>
      <c r="N896" s="220"/>
      <c r="O896" s="220"/>
      <c r="Q896" s="210"/>
      <c r="R896" s="210"/>
      <c r="S896" s="210"/>
      <c r="T896" s="210"/>
      <c r="U896" s="210"/>
      <c r="V896" s="210"/>
    </row>
    <row r="897">
      <c r="A897" s="220"/>
      <c r="F897" s="190"/>
      <c r="G897" s="190"/>
      <c r="N897" s="220"/>
      <c r="O897" s="220"/>
      <c r="Q897" s="210"/>
      <c r="R897" s="210"/>
      <c r="S897" s="210"/>
      <c r="T897" s="210"/>
      <c r="U897" s="210"/>
      <c r="V897" s="210"/>
    </row>
    <row r="898">
      <c r="A898" s="220"/>
      <c r="F898" s="190"/>
      <c r="G898" s="190"/>
      <c r="N898" s="220"/>
      <c r="O898" s="220"/>
      <c r="Q898" s="210"/>
      <c r="R898" s="210"/>
      <c r="S898" s="210"/>
      <c r="T898" s="210"/>
      <c r="U898" s="210"/>
      <c r="V898" s="210"/>
    </row>
    <row r="899">
      <c r="A899" s="220"/>
      <c r="F899" s="190"/>
      <c r="G899" s="190"/>
      <c r="N899" s="220"/>
      <c r="O899" s="220"/>
      <c r="Q899" s="210"/>
      <c r="R899" s="210"/>
      <c r="S899" s="210"/>
      <c r="T899" s="210"/>
      <c r="U899" s="210"/>
      <c r="V899" s="210"/>
    </row>
    <row r="900">
      <c r="A900" s="220"/>
      <c r="F900" s="190"/>
      <c r="G900" s="190"/>
      <c r="N900" s="220"/>
      <c r="O900" s="220"/>
      <c r="Q900" s="210"/>
      <c r="R900" s="210"/>
      <c r="S900" s="210"/>
      <c r="T900" s="210"/>
      <c r="U900" s="210"/>
      <c r="V900" s="210"/>
    </row>
    <row r="901">
      <c r="A901" s="220"/>
      <c r="F901" s="190"/>
      <c r="G901" s="190"/>
      <c r="N901" s="220"/>
      <c r="O901" s="220"/>
      <c r="Q901" s="210"/>
      <c r="R901" s="210"/>
      <c r="S901" s="210"/>
      <c r="T901" s="210"/>
      <c r="U901" s="210"/>
      <c r="V901" s="210"/>
    </row>
    <row r="902">
      <c r="A902" s="220"/>
      <c r="F902" s="190"/>
      <c r="G902" s="190"/>
      <c r="N902" s="220"/>
      <c r="O902" s="220"/>
      <c r="Q902" s="210"/>
      <c r="R902" s="210"/>
      <c r="S902" s="210"/>
      <c r="T902" s="210"/>
      <c r="U902" s="210"/>
      <c r="V902" s="210"/>
    </row>
    <row r="903">
      <c r="A903" s="220"/>
      <c r="F903" s="190"/>
      <c r="G903" s="190"/>
      <c r="N903" s="220"/>
      <c r="O903" s="220"/>
      <c r="Q903" s="210"/>
      <c r="R903" s="210"/>
      <c r="S903" s="210"/>
      <c r="T903" s="210"/>
      <c r="U903" s="210"/>
      <c r="V903" s="210"/>
    </row>
    <row r="904">
      <c r="A904" s="220"/>
      <c r="F904" s="190"/>
      <c r="G904" s="190"/>
      <c r="N904" s="220"/>
      <c r="O904" s="220"/>
      <c r="Q904" s="210"/>
      <c r="R904" s="210"/>
      <c r="S904" s="210"/>
      <c r="T904" s="210"/>
      <c r="U904" s="210"/>
      <c r="V904" s="210"/>
    </row>
    <row r="905">
      <c r="A905" s="220"/>
      <c r="F905" s="190"/>
      <c r="G905" s="190"/>
      <c r="N905" s="220"/>
      <c r="O905" s="220"/>
      <c r="Q905" s="210"/>
      <c r="R905" s="210"/>
      <c r="S905" s="210"/>
      <c r="T905" s="210"/>
      <c r="U905" s="210"/>
      <c r="V905" s="210"/>
    </row>
    <row r="906">
      <c r="A906" s="220"/>
      <c r="F906" s="190"/>
      <c r="G906" s="190"/>
      <c r="N906" s="220"/>
      <c r="O906" s="220"/>
      <c r="Q906" s="210"/>
      <c r="R906" s="210"/>
      <c r="S906" s="210"/>
      <c r="T906" s="210"/>
      <c r="U906" s="210"/>
      <c r="V906" s="210"/>
    </row>
    <row r="907">
      <c r="A907" s="220"/>
      <c r="F907" s="190"/>
      <c r="G907" s="190"/>
      <c r="N907" s="220"/>
      <c r="O907" s="220"/>
      <c r="Q907" s="210"/>
      <c r="R907" s="210"/>
      <c r="S907" s="210"/>
      <c r="T907" s="210"/>
      <c r="U907" s="210"/>
      <c r="V907" s="210"/>
    </row>
    <row r="908">
      <c r="A908" s="220"/>
      <c r="F908" s="190"/>
      <c r="G908" s="190"/>
      <c r="N908" s="220"/>
      <c r="O908" s="220"/>
      <c r="Q908" s="210"/>
      <c r="R908" s="210"/>
      <c r="S908" s="210"/>
      <c r="T908" s="210"/>
      <c r="U908" s="210"/>
      <c r="V908" s="210"/>
    </row>
    <row r="909">
      <c r="A909" s="220"/>
      <c r="F909" s="190"/>
      <c r="G909" s="190"/>
      <c r="N909" s="220"/>
      <c r="O909" s="220"/>
      <c r="Q909" s="210"/>
      <c r="R909" s="210"/>
      <c r="S909" s="210"/>
      <c r="T909" s="210"/>
      <c r="U909" s="210"/>
      <c r="V909" s="210"/>
    </row>
    <row r="910">
      <c r="A910" s="220"/>
      <c r="F910" s="190"/>
      <c r="G910" s="190"/>
      <c r="N910" s="220"/>
      <c r="O910" s="220"/>
      <c r="Q910" s="210"/>
      <c r="R910" s="210"/>
      <c r="S910" s="210"/>
      <c r="T910" s="210"/>
      <c r="U910" s="210"/>
      <c r="V910" s="210"/>
    </row>
    <row r="911">
      <c r="A911" s="220"/>
      <c r="F911" s="190"/>
      <c r="G911" s="190"/>
      <c r="N911" s="220"/>
      <c r="O911" s="220"/>
      <c r="Q911" s="210"/>
      <c r="R911" s="210"/>
      <c r="S911" s="210"/>
      <c r="T911" s="210"/>
      <c r="U911" s="210"/>
      <c r="V911" s="210"/>
    </row>
    <row r="912">
      <c r="A912" s="220"/>
      <c r="F912" s="190"/>
      <c r="G912" s="190"/>
      <c r="N912" s="220"/>
      <c r="O912" s="220"/>
      <c r="Q912" s="210"/>
      <c r="R912" s="210"/>
      <c r="S912" s="210"/>
      <c r="T912" s="210"/>
      <c r="U912" s="210"/>
      <c r="V912" s="210"/>
    </row>
    <row r="913">
      <c r="A913" s="220"/>
      <c r="F913" s="190"/>
      <c r="G913" s="190"/>
      <c r="N913" s="220"/>
      <c r="O913" s="220"/>
      <c r="Q913" s="210"/>
      <c r="R913" s="210"/>
      <c r="S913" s="210"/>
      <c r="T913" s="210"/>
      <c r="U913" s="210"/>
      <c r="V913" s="210"/>
    </row>
    <row r="914">
      <c r="A914" s="220"/>
      <c r="F914" s="190"/>
      <c r="G914" s="190"/>
      <c r="N914" s="220"/>
      <c r="O914" s="220"/>
      <c r="Q914" s="210"/>
      <c r="R914" s="210"/>
      <c r="S914" s="210"/>
      <c r="T914" s="210"/>
      <c r="U914" s="210"/>
      <c r="V914" s="210"/>
    </row>
    <row r="915">
      <c r="A915" s="220"/>
      <c r="F915" s="190"/>
      <c r="G915" s="190"/>
      <c r="N915" s="220"/>
      <c r="O915" s="220"/>
      <c r="Q915" s="210"/>
      <c r="R915" s="210"/>
      <c r="S915" s="210"/>
      <c r="T915" s="210"/>
      <c r="U915" s="210"/>
      <c r="V915" s="210"/>
    </row>
    <row r="916">
      <c r="A916" s="220"/>
      <c r="F916" s="190"/>
      <c r="G916" s="190"/>
      <c r="N916" s="220"/>
      <c r="O916" s="220"/>
      <c r="Q916" s="210"/>
      <c r="R916" s="210"/>
      <c r="S916" s="210"/>
      <c r="T916" s="210"/>
      <c r="U916" s="210"/>
      <c r="V916" s="210"/>
    </row>
    <row r="917">
      <c r="A917" s="220"/>
      <c r="F917" s="190"/>
      <c r="G917" s="190"/>
      <c r="N917" s="220"/>
      <c r="O917" s="220"/>
      <c r="Q917" s="210"/>
      <c r="R917" s="210"/>
      <c r="S917" s="210"/>
      <c r="T917" s="210"/>
      <c r="U917" s="210"/>
      <c r="V917" s="210"/>
    </row>
    <row r="918">
      <c r="A918" s="220"/>
      <c r="F918" s="190"/>
      <c r="G918" s="190"/>
      <c r="N918" s="220"/>
      <c r="O918" s="220"/>
      <c r="Q918" s="210"/>
      <c r="R918" s="210"/>
      <c r="S918" s="210"/>
      <c r="T918" s="210"/>
      <c r="U918" s="210"/>
      <c r="V918" s="210"/>
    </row>
    <row r="919">
      <c r="A919" s="220"/>
      <c r="F919" s="190"/>
      <c r="G919" s="190"/>
      <c r="N919" s="220"/>
      <c r="O919" s="220"/>
      <c r="Q919" s="210"/>
      <c r="R919" s="210"/>
      <c r="S919" s="210"/>
      <c r="T919" s="210"/>
      <c r="U919" s="210"/>
      <c r="V919" s="210"/>
    </row>
    <row r="920">
      <c r="A920" s="220"/>
      <c r="F920" s="190"/>
      <c r="G920" s="190"/>
      <c r="N920" s="220"/>
      <c r="O920" s="220"/>
      <c r="Q920" s="210"/>
      <c r="R920" s="210"/>
      <c r="S920" s="210"/>
      <c r="T920" s="210"/>
      <c r="U920" s="210"/>
      <c r="V920" s="210"/>
    </row>
    <row r="921">
      <c r="A921" s="220"/>
      <c r="F921" s="190"/>
      <c r="G921" s="190"/>
      <c r="N921" s="220"/>
      <c r="O921" s="220"/>
      <c r="Q921" s="210"/>
      <c r="R921" s="210"/>
      <c r="S921" s="210"/>
      <c r="T921" s="210"/>
      <c r="U921" s="210"/>
      <c r="V921" s="210"/>
    </row>
    <row r="922">
      <c r="A922" s="220"/>
      <c r="F922" s="190"/>
      <c r="G922" s="190"/>
      <c r="N922" s="220"/>
      <c r="O922" s="220"/>
      <c r="Q922" s="210"/>
      <c r="R922" s="210"/>
      <c r="S922" s="210"/>
      <c r="T922" s="210"/>
      <c r="U922" s="210"/>
      <c r="V922" s="210"/>
    </row>
    <row r="923">
      <c r="A923" s="220"/>
      <c r="F923" s="190"/>
      <c r="G923" s="190"/>
      <c r="N923" s="220"/>
      <c r="O923" s="220"/>
      <c r="Q923" s="210"/>
      <c r="R923" s="210"/>
      <c r="S923" s="210"/>
      <c r="T923" s="210"/>
      <c r="U923" s="210"/>
      <c r="V923" s="210"/>
    </row>
    <row r="924">
      <c r="A924" s="220"/>
      <c r="F924" s="190"/>
      <c r="G924" s="190"/>
      <c r="N924" s="220"/>
      <c r="O924" s="220"/>
      <c r="Q924" s="210"/>
      <c r="R924" s="210"/>
      <c r="S924" s="210"/>
      <c r="T924" s="210"/>
      <c r="U924" s="210"/>
      <c r="V924" s="210"/>
    </row>
    <row r="925">
      <c r="A925" s="220"/>
      <c r="F925" s="190"/>
      <c r="G925" s="190"/>
      <c r="N925" s="220"/>
      <c r="O925" s="220"/>
      <c r="Q925" s="210"/>
      <c r="R925" s="210"/>
      <c r="S925" s="210"/>
      <c r="T925" s="210"/>
      <c r="U925" s="210"/>
      <c r="V925" s="210"/>
    </row>
    <row r="926">
      <c r="A926" s="220"/>
      <c r="F926" s="190"/>
      <c r="G926" s="190"/>
      <c r="N926" s="220"/>
      <c r="O926" s="220"/>
      <c r="Q926" s="210"/>
      <c r="R926" s="210"/>
      <c r="S926" s="210"/>
      <c r="T926" s="210"/>
      <c r="U926" s="210"/>
      <c r="V926" s="210"/>
    </row>
    <row r="927">
      <c r="A927" s="220"/>
      <c r="F927" s="190"/>
      <c r="G927" s="190"/>
      <c r="N927" s="220"/>
      <c r="O927" s="220"/>
      <c r="Q927" s="210"/>
      <c r="R927" s="210"/>
      <c r="S927" s="210"/>
      <c r="T927" s="210"/>
      <c r="U927" s="210"/>
      <c r="V927" s="210"/>
    </row>
    <row r="928">
      <c r="A928" s="220"/>
      <c r="F928" s="190"/>
      <c r="G928" s="190"/>
      <c r="N928" s="220"/>
      <c r="O928" s="220"/>
      <c r="Q928" s="210"/>
      <c r="R928" s="210"/>
      <c r="S928" s="210"/>
      <c r="T928" s="210"/>
      <c r="U928" s="210"/>
      <c r="V928" s="210"/>
    </row>
    <row r="929">
      <c r="A929" s="220"/>
      <c r="F929" s="190"/>
      <c r="G929" s="190"/>
      <c r="N929" s="220"/>
      <c r="O929" s="220"/>
      <c r="Q929" s="210"/>
      <c r="R929" s="210"/>
      <c r="S929" s="210"/>
      <c r="T929" s="210"/>
      <c r="U929" s="210"/>
      <c r="V929" s="210"/>
    </row>
    <row r="930">
      <c r="A930" s="220"/>
      <c r="F930" s="190"/>
      <c r="G930" s="190"/>
      <c r="N930" s="220"/>
      <c r="O930" s="220"/>
      <c r="Q930" s="210"/>
      <c r="R930" s="210"/>
      <c r="S930" s="210"/>
      <c r="T930" s="210"/>
      <c r="U930" s="210"/>
      <c r="V930" s="210"/>
    </row>
    <row r="931">
      <c r="A931" s="220"/>
      <c r="F931" s="190"/>
      <c r="G931" s="190"/>
      <c r="N931" s="220"/>
      <c r="O931" s="220"/>
      <c r="Q931" s="210"/>
      <c r="R931" s="210"/>
      <c r="S931" s="210"/>
      <c r="T931" s="210"/>
      <c r="U931" s="210"/>
      <c r="V931" s="210"/>
    </row>
    <row r="932">
      <c r="A932" s="220"/>
      <c r="F932" s="190"/>
      <c r="G932" s="190"/>
      <c r="N932" s="220"/>
      <c r="O932" s="220"/>
      <c r="Q932" s="210"/>
      <c r="R932" s="210"/>
      <c r="S932" s="210"/>
      <c r="T932" s="210"/>
      <c r="U932" s="210"/>
      <c r="V932" s="210"/>
    </row>
    <row r="933">
      <c r="A933" s="220"/>
      <c r="F933" s="190"/>
      <c r="G933" s="190"/>
      <c r="N933" s="220"/>
      <c r="O933" s="220"/>
      <c r="Q933" s="210"/>
      <c r="R933" s="210"/>
      <c r="S933" s="210"/>
      <c r="T933" s="210"/>
      <c r="U933" s="210"/>
      <c r="V933" s="210"/>
    </row>
    <row r="934">
      <c r="A934" s="220"/>
      <c r="F934" s="190"/>
      <c r="G934" s="190"/>
      <c r="N934" s="220"/>
      <c r="O934" s="220"/>
      <c r="Q934" s="210"/>
      <c r="R934" s="210"/>
      <c r="S934" s="210"/>
      <c r="T934" s="210"/>
      <c r="U934" s="210"/>
      <c r="V934" s="210"/>
    </row>
    <row r="935">
      <c r="A935" s="220"/>
      <c r="F935" s="190"/>
      <c r="G935" s="190"/>
      <c r="N935" s="220"/>
      <c r="O935" s="220"/>
      <c r="Q935" s="210"/>
      <c r="R935" s="210"/>
      <c r="S935" s="210"/>
      <c r="T935" s="210"/>
      <c r="U935" s="210"/>
      <c r="V935" s="210"/>
    </row>
    <row r="936">
      <c r="A936" s="220"/>
      <c r="F936" s="190"/>
      <c r="G936" s="190"/>
      <c r="N936" s="220"/>
      <c r="O936" s="220"/>
      <c r="Q936" s="210"/>
      <c r="R936" s="210"/>
      <c r="S936" s="210"/>
      <c r="T936" s="210"/>
      <c r="U936" s="210"/>
      <c r="V936" s="210"/>
    </row>
    <row r="937">
      <c r="A937" s="220"/>
      <c r="F937" s="190"/>
      <c r="G937" s="190"/>
      <c r="N937" s="220"/>
      <c r="O937" s="220"/>
      <c r="Q937" s="210"/>
      <c r="R937" s="210"/>
      <c r="S937" s="210"/>
      <c r="T937" s="210"/>
      <c r="U937" s="210"/>
      <c r="V937" s="210"/>
    </row>
    <row r="938">
      <c r="A938" s="220"/>
      <c r="F938" s="190"/>
      <c r="G938" s="190"/>
      <c r="N938" s="220"/>
      <c r="O938" s="220"/>
      <c r="Q938" s="210"/>
      <c r="R938" s="210"/>
      <c r="S938" s="210"/>
      <c r="T938" s="210"/>
      <c r="U938" s="210"/>
      <c r="V938" s="210"/>
    </row>
    <row r="939">
      <c r="A939" s="220"/>
      <c r="F939" s="190"/>
      <c r="G939" s="190"/>
      <c r="N939" s="220"/>
      <c r="O939" s="220"/>
      <c r="Q939" s="210"/>
      <c r="R939" s="210"/>
      <c r="S939" s="210"/>
      <c r="T939" s="210"/>
      <c r="U939" s="210"/>
      <c r="V939" s="210"/>
    </row>
    <row r="940">
      <c r="A940" s="220"/>
      <c r="F940" s="190"/>
      <c r="G940" s="190"/>
      <c r="N940" s="220"/>
      <c r="O940" s="220"/>
      <c r="Q940" s="210"/>
      <c r="R940" s="210"/>
      <c r="S940" s="210"/>
      <c r="T940" s="210"/>
      <c r="U940" s="210"/>
      <c r="V940" s="210"/>
    </row>
    <row r="941">
      <c r="A941" s="220"/>
      <c r="F941" s="190"/>
      <c r="G941" s="190"/>
      <c r="N941" s="220"/>
      <c r="O941" s="220"/>
      <c r="Q941" s="210"/>
      <c r="R941" s="210"/>
      <c r="S941" s="210"/>
      <c r="T941" s="210"/>
      <c r="U941" s="210"/>
      <c r="V941" s="210"/>
    </row>
    <row r="942">
      <c r="A942" s="220"/>
      <c r="F942" s="190"/>
      <c r="G942" s="190"/>
      <c r="N942" s="220"/>
      <c r="O942" s="220"/>
      <c r="Q942" s="210"/>
      <c r="R942" s="210"/>
      <c r="S942" s="210"/>
      <c r="T942" s="210"/>
      <c r="U942" s="210"/>
      <c r="V942" s="210"/>
    </row>
    <row r="943">
      <c r="A943" s="220"/>
      <c r="F943" s="190"/>
      <c r="G943" s="190"/>
      <c r="N943" s="220"/>
      <c r="O943" s="220"/>
      <c r="Q943" s="210"/>
      <c r="R943" s="210"/>
      <c r="S943" s="210"/>
      <c r="T943" s="210"/>
      <c r="U943" s="210"/>
      <c r="V943" s="210"/>
    </row>
    <row r="944">
      <c r="A944" s="220"/>
      <c r="F944" s="190"/>
      <c r="G944" s="190"/>
      <c r="N944" s="220"/>
      <c r="O944" s="220"/>
      <c r="Q944" s="210"/>
      <c r="R944" s="210"/>
      <c r="S944" s="210"/>
      <c r="T944" s="210"/>
      <c r="U944" s="210"/>
      <c r="V944" s="210"/>
    </row>
    <row r="945">
      <c r="A945" s="220"/>
      <c r="F945" s="190"/>
      <c r="G945" s="190"/>
      <c r="N945" s="220"/>
      <c r="O945" s="220"/>
      <c r="Q945" s="210"/>
      <c r="R945" s="210"/>
      <c r="S945" s="210"/>
      <c r="T945" s="210"/>
      <c r="U945" s="210"/>
      <c r="V945" s="210"/>
    </row>
    <row r="946">
      <c r="A946" s="220"/>
      <c r="F946" s="190"/>
      <c r="G946" s="190"/>
      <c r="N946" s="220"/>
      <c r="O946" s="220"/>
      <c r="Q946" s="210"/>
      <c r="R946" s="210"/>
      <c r="S946" s="210"/>
      <c r="T946" s="210"/>
      <c r="U946" s="210"/>
      <c r="V946" s="210"/>
    </row>
    <row r="947">
      <c r="A947" s="220"/>
      <c r="F947" s="190"/>
      <c r="G947" s="190"/>
      <c r="N947" s="220"/>
      <c r="O947" s="220"/>
      <c r="Q947" s="210"/>
      <c r="R947" s="210"/>
      <c r="S947" s="210"/>
      <c r="T947" s="210"/>
      <c r="U947" s="210"/>
      <c r="V947" s="210"/>
    </row>
    <row r="948">
      <c r="A948" s="220"/>
      <c r="F948" s="190"/>
      <c r="G948" s="190"/>
      <c r="N948" s="220"/>
      <c r="O948" s="220"/>
      <c r="Q948" s="210"/>
      <c r="R948" s="210"/>
      <c r="S948" s="210"/>
      <c r="T948" s="210"/>
      <c r="U948" s="210"/>
      <c r="V948" s="210"/>
    </row>
    <row r="949">
      <c r="A949" s="220"/>
      <c r="F949" s="190"/>
      <c r="G949" s="190"/>
      <c r="N949" s="220"/>
      <c r="O949" s="220"/>
      <c r="Q949" s="210"/>
      <c r="R949" s="210"/>
      <c r="S949" s="210"/>
      <c r="T949" s="210"/>
      <c r="U949" s="210"/>
      <c r="V949" s="210"/>
    </row>
    <row r="950">
      <c r="A950" s="220"/>
      <c r="F950" s="190"/>
      <c r="G950" s="190"/>
      <c r="N950" s="220"/>
      <c r="O950" s="220"/>
      <c r="Q950" s="210"/>
      <c r="R950" s="210"/>
      <c r="S950" s="210"/>
      <c r="T950" s="210"/>
      <c r="U950" s="210"/>
      <c r="V950" s="210"/>
    </row>
    <row r="951">
      <c r="A951" s="220"/>
      <c r="F951" s="190"/>
      <c r="G951" s="190"/>
      <c r="N951" s="220"/>
      <c r="O951" s="220"/>
      <c r="Q951" s="210"/>
      <c r="R951" s="210"/>
      <c r="S951" s="210"/>
      <c r="T951" s="210"/>
      <c r="U951" s="210"/>
      <c r="V951" s="210"/>
    </row>
    <row r="952">
      <c r="A952" s="220"/>
      <c r="F952" s="190"/>
      <c r="G952" s="190"/>
      <c r="N952" s="220"/>
      <c r="O952" s="220"/>
      <c r="Q952" s="210"/>
      <c r="R952" s="210"/>
      <c r="S952" s="210"/>
      <c r="T952" s="210"/>
      <c r="U952" s="210"/>
      <c r="V952" s="210"/>
    </row>
    <row r="953">
      <c r="A953" s="220"/>
      <c r="F953" s="190"/>
      <c r="G953" s="190"/>
      <c r="N953" s="220"/>
      <c r="O953" s="220"/>
      <c r="Q953" s="210"/>
      <c r="R953" s="210"/>
      <c r="S953" s="210"/>
      <c r="T953" s="210"/>
      <c r="U953" s="210"/>
      <c r="V953" s="210"/>
    </row>
    <row r="954">
      <c r="A954" s="220"/>
      <c r="F954" s="190"/>
      <c r="G954" s="190"/>
      <c r="N954" s="220"/>
      <c r="O954" s="220"/>
      <c r="Q954" s="210"/>
      <c r="R954" s="210"/>
      <c r="S954" s="210"/>
      <c r="T954" s="210"/>
      <c r="U954" s="210"/>
      <c r="V954" s="210"/>
    </row>
    <row r="955">
      <c r="A955" s="220"/>
      <c r="F955" s="190"/>
      <c r="G955" s="190"/>
      <c r="N955" s="220"/>
      <c r="O955" s="220"/>
      <c r="Q955" s="210"/>
      <c r="R955" s="210"/>
      <c r="S955" s="210"/>
      <c r="T955" s="210"/>
      <c r="U955" s="210"/>
      <c r="V955" s="210"/>
    </row>
    <row r="956">
      <c r="A956" s="220"/>
      <c r="F956" s="190"/>
      <c r="G956" s="190"/>
      <c r="N956" s="220"/>
      <c r="O956" s="220"/>
      <c r="Q956" s="210"/>
      <c r="R956" s="210"/>
      <c r="S956" s="210"/>
      <c r="T956" s="210"/>
      <c r="U956" s="210"/>
      <c r="V956" s="210"/>
    </row>
    <row r="957">
      <c r="A957" s="220"/>
      <c r="F957" s="190"/>
      <c r="G957" s="190"/>
      <c r="N957" s="220"/>
      <c r="O957" s="220"/>
      <c r="Q957" s="210"/>
      <c r="R957" s="210"/>
      <c r="S957" s="210"/>
      <c r="T957" s="210"/>
      <c r="U957" s="210"/>
      <c r="V957" s="210"/>
    </row>
    <row r="958">
      <c r="A958" s="220"/>
      <c r="F958" s="190"/>
      <c r="G958" s="190"/>
      <c r="N958" s="220"/>
      <c r="O958" s="220"/>
      <c r="Q958" s="210"/>
      <c r="R958" s="210"/>
      <c r="S958" s="210"/>
      <c r="T958" s="210"/>
      <c r="U958" s="210"/>
      <c r="V958" s="210"/>
    </row>
    <row r="959">
      <c r="A959" s="220"/>
      <c r="F959" s="190"/>
      <c r="G959" s="190"/>
      <c r="N959" s="220"/>
      <c r="O959" s="220"/>
      <c r="Q959" s="210"/>
      <c r="R959" s="210"/>
      <c r="S959" s="210"/>
      <c r="T959" s="210"/>
      <c r="U959" s="210"/>
      <c r="V959" s="210"/>
    </row>
    <row r="960">
      <c r="A960" s="220"/>
      <c r="F960" s="190"/>
      <c r="G960" s="190"/>
      <c r="N960" s="220"/>
      <c r="O960" s="220"/>
      <c r="Q960" s="210"/>
      <c r="R960" s="210"/>
      <c r="S960" s="210"/>
      <c r="T960" s="210"/>
      <c r="U960" s="210"/>
      <c r="V960" s="210"/>
    </row>
    <row r="961">
      <c r="A961" s="220"/>
      <c r="F961" s="190"/>
      <c r="G961" s="190"/>
      <c r="N961" s="220"/>
      <c r="O961" s="220"/>
      <c r="Q961" s="210"/>
      <c r="R961" s="210"/>
      <c r="S961" s="210"/>
      <c r="T961" s="210"/>
      <c r="U961" s="210"/>
      <c r="V961" s="210"/>
    </row>
    <row r="962">
      <c r="A962" s="220"/>
      <c r="F962" s="190"/>
      <c r="G962" s="190"/>
      <c r="N962" s="220"/>
      <c r="O962" s="220"/>
      <c r="Q962" s="210"/>
      <c r="R962" s="210"/>
      <c r="S962" s="210"/>
      <c r="T962" s="210"/>
      <c r="U962" s="210"/>
      <c r="V962" s="210"/>
    </row>
    <row r="963">
      <c r="A963" s="220"/>
      <c r="F963" s="190"/>
      <c r="G963" s="190"/>
      <c r="N963" s="220"/>
      <c r="O963" s="220"/>
      <c r="Q963" s="210"/>
      <c r="R963" s="210"/>
      <c r="S963" s="210"/>
      <c r="T963" s="210"/>
      <c r="U963" s="210"/>
      <c r="V963" s="210"/>
    </row>
    <row r="964">
      <c r="A964" s="220"/>
      <c r="F964" s="190"/>
      <c r="G964" s="190"/>
      <c r="N964" s="220"/>
      <c r="O964" s="220"/>
      <c r="Q964" s="210"/>
      <c r="R964" s="210"/>
      <c r="S964" s="210"/>
      <c r="T964" s="210"/>
      <c r="U964" s="210"/>
      <c r="V964" s="210"/>
    </row>
    <row r="965">
      <c r="A965" s="220"/>
      <c r="F965" s="190"/>
      <c r="G965" s="190"/>
      <c r="N965" s="220"/>
      <c r="O965" s="220"/>
      <c r="Q965" s="210"/>
      <c r="R965" s="210"/>
      <c r="S965" s="210"/>
      <c r="T965" s="210"/>
      <c r="U965" s="210"/>
      <c r="V965" s="210"/>
    </row>
    <row r="966">
      <c r="A966" s="220"/>
      <c r="F966" s="190"/>
      <c r="G966" s="190"/>
      <c r="N966" s="220"/>
      <c r="O966" s="220"/>
      <c r="Q966" s="210"/>
      <c r="R966" s="210"/>
      <c r="S966" s="210"/>
      <c r="T966" s="210"/>
      <c r="U966" s="210"/>
      <c r="V966" s="210"/>
    </row>
    <row r="967">
      <c r="A967" s="220"/>
      <c r="F967" s="190"/>
      <c r="G967" s="190"/>
      <c r="N967" s="220"/>
      <c r="O967" s="220"/>
      <c r="Q967" s="210"/>
      <c r="R967" s="210"/>
      <c r="S967" s="210"/>
      <c r="T967" s="210"/>
      <c r="U967" s="210"/>
      <c r="V967" s="210"/>
    </row>
    <row r="968">
      <c r="A968" s="220"/>
      <c r="F968" s="190"/>
      <c r="G968" s="190"/>
      <c r="N968" s="220"/>
      <c r="O968" s="220"/>
      <c r="Q968" s="210"/>
      <c r="R968" s="210"/>
      <c r="S968" s="210"/>
      <c r="T968" s="210"/>
      <c r="U968" s="210"/>
      <c r="V968" s="210"/>
    </row>
    <row r="969">
      <c r="A969" s="220"/>
      <c r="F969" s="190"/>
      <c r="G969" s="190"/>
      <c r="N969" s="220"/>
      <c r="O969" s="220"/>
      <c r="Q969" s="210"/>
      <c r="R969" s="210"/>
      <c r="S969" s="210"/>
      <c r="T969" s="210"/>
      <c r="U969" s="210"/>
      <c r="V969" s="210"/>
    </row>
    <row r="970">
      <c r="A970" s="220"/>
      <c r="F970" s="190"/>
      <c r="G970" s="190"/>
      <c r="N970" s="220"/>
      <c r="O970" s="220"/>
      <c r="Q970" s="210"/>
      <c r="R970" s="210"/>
      <c r="S970" s="210"/>
      <c r="T970" s="210"/>
      <c r="U970" s="210"/>
      <c r="V970" s="210"/>
    </row>
    <row r="971">
      <c r="A971" s="220"/>
      <c r="F971" s="190"/>
      <c r="G971" s="190"/>
      <c r="N971" s="220"/>
      <c r="O971" s="220"/>
      <c r="Q971" s="210"/>
      <c r="R971" s="210"/>
      <c r="S971" s="210"/>
      <c r="T971" s="210"/>
      <c r="U971" s="210"/>
      <c r="V971" s="210"/>
    </row>
    <row r="972">
      <c r="A972" s="220"/>
      <c r="F972" s="190"/>
      <c r="G972" s="190"/>
      <c r="N972" s="220"/>
      <c r="O972" s="220"/>
      <c r="Q972" s="210"/>
      <c r="R972" s="210"/>
      <c r="S972" s="210"/>
      <c r="T972" s="210"/>
      <c r="U972" s="210"/>
      <c r="V972" s="210"/>
    </row>
    <row r="973">
      <c r="A973" s="220"/>
      <c r="F973" s="190"/>
      <c r="G973" s="190"/>
      <c r="N973" s="220"/>
      <c r="O973" s="220"/>
      <c r="Q973" s="210"/>
      <c r="R973" s="210"/>
      <c r="S973" s="210"/>
      <c r="T973" s="210"/>
      <c r="U973" s="210"/>
      <c r="V973" s="210"/>
    </row>
    <row r="974">
      <c r="A974" s="220"/>
      <c r="F974" s="190"/>
      <c r="G974" s="190"/>
      <c r="N974" s="220"/>
      <c r="O974" s="220"/>
      <c r="Q974" s="210"/>
      <c r="R974" s="210"/>
      <c r="S974" s="210"/>
      <c r="T974" s="210"/>
      <c r="U974" s="210"/>
      <c r="V974" s="210"/>
    </row>
    <row r="975">
      <c r="A975" s="220"/>
      <c r="F975" s="190"/>
      <c r="G975" s="190"/>
      <c r="N975" s="220"/>
      <c r="O975" s="220"/>
      <c r="Q975" s="210"/>
      <c r="R975" s="210"/>
      <c r="S975" s="210"/>
      <c r="T975" s="210"/>
      <c r="U975" s="210"/>
      <c r="V975" s="210"/>
    </row>
    <row r="976">
      <c r="A976" s="220"/>
      <c r="F976" s="190"/>
      <c r="G976" s="190"/>
      <c r="N976" s="220"/>
      <c r="O976" s="220"/>
      <c r="Q976" s="210"/>
      <c r="R976" s="210"/>
      <c r="S976" s="210"/>
      <c r="T976" s="210"/>
      <c r="U976" s="210"/>
      <c r="V976" s="210"/>
    </row>
    <row r="977">
      <c r="A977" s="220"/>
      <c r="F977" s="190"/>
      <c r="G977" s="190"/>
      <c r="N977" s="220"/>
      <c r="O977" s="220"/>
      <c r="Q977" s="210"/>
      <c r="R977" s="210"/>
      <c r="S977" s="210"/>
      <c r="T977" s="210"/>
      <c r="U977" s="210"/>
      <c r="V977" s="210"/>
    </row>
    <row r="978">
      <c r="A978" s="220"/>
      <c r="F978" s="190"/>
      <c r="G978" s="190"/>
      <c r="N978" s="220"/>
      <c r="O978" s="220"/>
      <c r="Q978" s="210"/>
      <c r="R978" s="210"/>
      <c r="S978" s="210"/>
      <c r="T978" s="210"/>
      <c r="U978" s="210"/>
      <c r="V978" s="210"/>
    </row>
    <row r="979">
      <c r="A979" s="220"/>
      <c r="F979" s="190"/>
      <c r="G979" s="190"/>
      <c r="N979" s="220"/>
      <c r="O979" s="220"/>
      <c r="Q979" s="210"/>
      <c r="R979" s="210"/>
      <c r="S979" s="210"/>
      <c r="T979" s="210"/>
      <c r="U979" s="210"/>
      <c r="V979" s="210"/>
    </row>
    <row r="980">
      <c r="A980" s="220"/>
      <c r="F980" s="190"/>
      <c r="G980" s="190"/>
      <c r="N980" s="220"/>
      <c r="O980" s="220"/>
      <c r="Q980" s="210"/>
      <c r="R980" s="210"/>
      <c r="S980" s="210"/>
      <c r="T980" s="210"/>
      <c r="U980" s="210"/>
      <c r="V980" s="210"/>
    </row>
    <row r="981">
      <c r="A981" s="220"/>
      <c r="F981" s="190"/>
      <c r="G981" s="190"/>
      <c r="N981" s="220"/>
      <c r="O981" s="220"/>
      <c r="Q981" s="210"/>
      <c r="R981" s="210"/>
      <c r="S981" s="210"/>
      <c r="T981" s="210"/>
      <c r="U981" s="210"/>
      <c r="V981" s="210"/>
    </row>
    <row r="982">
      <c r="A982" s="220"/>
      <c r="F982" s="190"/>
      <c r="G982" s="190"/>
      <c r="N982" s="220"/>
      <c r="O982" s="220"/>
      <c r="Q982" s="210"/>
      <c r="R982" s="210"/>
      <c r="S982" s="210"/>
      <c r="T982" s="210"/>
      <c r="U982" s="210"/>
      <c r="V982" s="210"/>
    </row>
    <row r="983">
      <c r="A983" s="220"/>
      <c r="F983" s="190"/>
      <c r="G983" s="190"/>
      <c r="N983" s="220"/>
      <c r="O983" s="220"/>
      <c r="Q983" s="210"/>
      <c r="R983" s="210"/>
      <c r="S983" s="210"/>
      <c r="T983" s="210"/>
      <c r="U983" s="210"/>
      <c r="V983" s="210"/>
    </row>
    <row r="984">
      <c r="A984" s="220"/>
      <c r="F984" s="190"/>
      <c r="G984" s="190"/>
      <c r="N984" s="220"/>
      <c r="O984" s="220"/>
      <c r="Q984" s="210"/>
      <c r="R984" s="210"/>
      <c r="S984" s="210"/>
      <c r="T984" s="210"/>
      <c r="U984" s="210"/>
      <c r="V984" s="210"/>
    </row>
    <row r="985">
      <c r="A985" s="220"/>
      <c r="F985" s="190"/>
      <c r="G985" s="190"/>
      <c r="N985" s="220"/>
      <c r="O985" s="220"/>
      <c r="Q985" s="210"/>
      <c r="R985" s="210"/>
      <c r="S985" s="210"/>
      <c r="T985" s="210"/>
      <c r="U985" s="210"/>
      <c r="V985" s="210"/>
    </row>
    <row r="986">
      <c r="A986" s="220"/>
      <c r="F986" s="190"/>
      <c r="G986" s="190"/>
      <c r="N986" s="220"/>
      <c r="O986" s="220"/>
      <c r="Q986" s="210"/>
      <c r="R986" s="210"/>
      <c r="S986" s="210"/>
      <c r="T986" s="210"/>
      <c r="U986" s="210"/>
      <c r="V986" s="210"/>
    </row>
    <row r="987">
      <c r="A987" s="220"/>
      <c r="F987" s="190"/>
      <c r="G987" s="190"/>
      <c r="N987" s="220"/>
      <c r="O987" s="220"/>
      <c r="Q987" s="210"/>
      <c r="R987" s="210"/>
      <c r="S987" s="210"/>
      <c r="T987" s="210"/>
      <c r="U987" s="210"/>
      <c r="V987" s="210"/>
    </row>
    <row r="988">
      <c r="A988" s="220"/>
      <c r="F988" s="190"/>
      <c r="G988" s="190"/>
      <c r="N988" s="220"/>
      <c r="O988" s="220"/>
      <c r="Q988" s="210"/>
      <c r="R988" s="210"/>
      <c r="S988" s="210"/>
      <c r="T988" s="210"/>
      <c r="U988" s="210"/>
      <c r="V988" s="210"/>
    </row>
    <row r="989">
      <c r="A989" s="220"/>
      <c r="F989" s="190"/>
      <c r="G989" s="190"/>
      <c r="N989" s="220"/>
      <c r="O989" s="220"/>
      <c r="Q989" s="210"/>
      <c r="R989" s="210"/>
      <c r="S989" s="210"/>
      <c r="T989" s="210"/>
      <c r="U989" s="210"/>
      <c r="V989" s="210"/>
    </row>
    <row r="990">
      <c r="A990" s="220"/>
      <c r="F990" s="190"/>
      <c r="G990" s="190"/>
      <c r="N990" s="220"/>
      <c r="O990" s="220"/>
      <c r="Q990" s="210"/>
      <c r="R990" s="210"/>
      <c r="S990" s="210"/>
      <c r="T990" s="210"/>
      <c r="U990" s="210"/>
      <c r="V990" s="210"/>
    </row>
    <row r="991">
      <c r="A991" s="220"/>
      <c r="F991" s="190"/>
      <c r="G991" s="190"/>
      <c r="N991" s="220"/>
      <c r="O991" s="220"/>
      <c r="Q991" s="210"/>
      <c r="R991" s="210"/>
      <c r="S991" s="210"/>
      <c r="T991" s="210"/>
      <c r="U991" s="210"/>
      <c r="V991" s="210"/>
    </row>
    <row r="992">
      <c r="A992" s="220"/>
      <c r="F992" s="190"/>
      <c r="G992" s="190"/>
      <c r="N992" s="220"/>
      <c r="O992" s="220"/>
      <c r="Q992" s="210"/>
      <c r="R992" s="210"/>
      <c r="S992" s="210"/>
      <c r="T992" s="210"/>
      <c r="U992" s="210"/>
      <c r="V992" s="210"/>
    </row>
    <row r="993">
      <c r="A993" s="220"/>
      <c r="F993" s="190"/>
      <c r="G993" s="190"/>
      <c r="N993" s="220"/>
      <c r="O993" s="220"/>
      <c r="Q993" s="210"/>
      <c r="R993" s="210"/>
      <c r="S993" s="210"/>
      <c r="T993" s="210"/>
      <c r="U993" s="210"/>
      <c r="V993" s="210"/>
    </row>
    <row r="994">
      <c r="A994" s="220"/>
      <c r="F994" s="190"/>
      <c r="G994" s="190"/>
      <c r="N994" s="220"/>
      <c r="O994" s="220"/>
      <c r="Q994" s="210"/>
      <c r="R994" s="210"/>
      <c r="S994" s="210"/>
      <c r="T994" s="210"/>
      <c r="U994" s="210"/>
      <c r="V994" s="210"/>
    </row>
    <row r="995">
      <c r="A995" s="220"/>
      <c r="F995" s="190"/>
      <c r="G995" s="190"/>
      <c r="N995" s="220"/>
      <c r="O995" s="220"/>
      <c r="Q995" s="210"/>
      <c r="R995" s="210"/>
      <c r="S995" s="210"/>
      <c r="T995" s="210"/>
      <c r="U995" s="210"/>
      <c r="V995" s="210"/>
    </row>
    <row r="996">
      <c r="A996" s="220"/>
      <c r="F996" s="190"/>
      <c r="G996" s="190"/>
      <c r="N996" s="220"/>
      <c r="O996" s="220"/>
      <c r="Q996" s="210"/>
      <c r="R996" s="210"/>
      <c r="S996" s="210"/>
      <c r="T996" s="210"/>
      <c r="U996" s="210"/>
      <c r="V996" s="210"/>
    </row>
    <row r="997">
      <c r="A997" s="220"/>
      <c r="F997" s="190"/>
      <c r="G997" s="190"/>
      <c r="N997" s="220"/>
      <c r="O997" s="220"/>
      <c r="Q997" s="210"/>
      <c r="R997" s="210"/>
      <c r="S997" s="210"/>
      <c r="T997" s="210"/>
      <c r="U997" s="210"/>
      <c r="V997" s="210"/>
    </row>
    <row r="998">
      <c r="A998" s="220"/>
      <c r="F998" s="190"/>
      <c r="G998" s="190"/>
      <c r="N998" s="220"/>
      <c r="O998" s="220"/>
      <c r="Q998" s="210"/>
      <c r="R998" s="210"/>
      <c r="S998" s="210"/>
      <c r="T998" s="210"/>
      <c r="U998" s="210"/>
      <c r="V998" s="210"/>
    </row>
    <row r="999">
      <c r="A999" s="220"/>
      <c r="F999" s="190"/>
      <c r="G999" s="190"/>
      <c r="N999" s="220"/>
      <c r="O999" s="220"/>
      <c r="Q999" s="210"/>
      <c r="R999" s="210"/>
      <c r="S999" s="210"/>
      <c r="T999" s="210"/>
      <c r="U999" s="210"/>
      <c r="V999" s="210"/>
    </row>
    <row r="1000">
      <c r="A1000" s="220"/>
      <c r="F1000" s="190"/>
      <c r="G1000" s="190"/>
      <c r="N1000" s="220"/>
      <c r="O1000" s="220"/>
      <c r="Q1000" s="210"/>
      <c r="R1000" s="210"/>
      <c r="S1000" s="210"/>
      <c r="T1000" s="210"/>
      <c r="U1000" s="210"/>
      <c r="V1000" s="210"/>
    </row>
    <row r="1001">
      <c r="A1001" s="220"/>
      <c r="F1001" s="190"/>
      <c r="G1001" s="190"/>
      <c r="N1001" s="220"/>
      <c r="O1001" s="220"/>
      <c r="Q1001" s="210"/>
      <c r="R1001" s="210"/>
      <c r="S1001" s="210"/>
      <c r="T1001" s="210"/>
      <c r="U1001" s="210"/>
      <c r="V1001" s="210"/>
    </row>
    <row r="1002">
      <c r="A1002" s="220"/>
      <c r="F1002" s="190"/>
      <c r="G1002" s="190"/>
      <c r="N1002" s="220"/>
      <c r="O1002" s="220"/>
      <c r="Q1002" s="210"/>
      <c r="R1002" s="210"/>
      <c r="S1002" s="210"/>
      <c r="T1002" s="210"/>
      <c r="U1002" s="210"/>
      <c r="V1002" s="210"/>
    </row>
    <row r="1003">
      <c r="A1003" s="220"/>
      <c r="F1003" s="190"/>
      <c r="G1003" s="190"/>
      <c r="N1003" s="220"/>
      <c r="O1003" s="220"/>
      <c r="Q1003" s="210"/>
      <c r="R1003" s="210"/>
      <c r="S1003" s="210"/>
      <c r="T1003" s="210"/>
      <c r="U1003" s="210"/>
      <c r="V1003" s="210"/>
    </row>
    <row r="1004">
      <c r="A1004" s="220"/>
      <c r="F1004" s="190"/>
      <c r="G1004" s="190"/>
      <c r="N1004" s="220"/>
      <c r="O1004" s="220"/>
      <c r="Q1004" s="210"/>
      <c r="R1004" s="210"/>
      <c r="S1004" s="210"/>
      <c r="T1004" s="210"/>
      <c r="U1004" s="210"/>
      <c r="V1004" s="210"/>
    </row>
    <row r="1005">
      <c r="A1005" s="220"/>
      <c r="F1005" s="190"/>
      <c r="G1005" s="190"/>
      <c r="N1005" s="220"/>
      <c r="O1005" s="220"/>
      <c r="Q1005" s="210"/>
      <c r="R1005" s="210"/>
      <c r="S1005" s="210"/>
      <c r="T1005" s="210"/>
      <c r="U1005" s="210"/>
      <c r="V1005" s="210"/>
    </row>
    <row r="1006">
      <c r="A1006" s="220"/>
      <c r="F1006" s="190"/>
      <c r="G1006" s="190"/>
      <c r="N1006" s="220"/>
      <c r="O1006" s="220"/>
      <c r="Q1006" s="210"/>
      <c r="R1006" s="210"/>
      <c r="S1006" s="210"/>
      <c r="T1006" s="210"/>
      <c r="U1006" s="210"/>
      <c r="V1006" s="210"/>
    </row>
    <row r="1007">
      <c r="A1007" s="220"/>
      <c r="F1007" s="190"/>
      <c r="G1007" s="190"/>
      <c r="N1007" s="220"/>
      <c r="O1007" s="220"/>
      <c r="Q1007" s="210"/>
      <c r="R1007" s="210"/>
      <c r="S1007" s="210"/>
      <c r="T1007" s="210"/>
      <c r="U1007" s="210"/>
      <c r="V1007" s="210"/>
    </row>
    <row r="1008">
      <c r="A1008" s="220"/>
      <c r="F1008" s="190"/>
      <c r="G1008" s="190"/>
      <c r="N1008" s="220"/>
      <c r="O1008" s="220"/>
      <c r="Q1008" s="210"/>
      <c r="R1008" s="210"/>
      <c r="S1008" s="210"/>
      <c r="T1008" s="210"/>
      <c r="U1008" s="210"/>
      <c r="V1008" s="210"/>
    </row>
    <row r="1009">
      <c r="A1009" s="220"/>
      <c r="F1009" s="190"/>
      <c r="G1009" s="190"/>
      <c r="N1009" s="220"/>
      <c r="O1009" s="220"/>
      <c r="Q1009" s="210"/>
      <c r="R1009" s="210"/>
      <c r="S1009" s="210"/>
      <c r="T1009" s="210"/>
      <c r="U1009" s="210"/>
      <c r="V1009" s="210"/>
    </row>
    <row r="1010">
      <c r="A1010" s="220"/>
      <c r="F1010" s="190"/>
      <c r="G1010" s="190"/>
      <c r="N1010" s="220"/>
      <c r="O1010" s="220"/>
      <c r="Q1010" s="210"/>
      <c r="R1010" s="210"/>
      <c r="S1010" s="210"/>
      <c r="T1010" s="210"/>
      <c r="U1010" s="210"/>
      <c r="V1010" s="210"/>
    </row>
    <row r="1011">
      <c r="A1011" s="220"/>
      <c r="F1011" s="190"/>
      <c r="G1011" s="190"/>
      <c r="N1011" s="220"/>
      <c r="O1011" s="220"/>
      <c r="Q1011" s="210"/>
      <c r="R1011" s="210"/>
      <c r="S1011" s="210"/>
      <c r="T1011" s="210"/>
      <c r="U1011" s="210"/>
      <c r="V1011" s="210"/>
    </row>
    <row r="1012">
      <c r="A1012" s="220"/>
      <c r="F1012" s="190"/>
      <c r="G1012" s="190"/>
      <c r="N1012" s="220"/>
      <c r="O1012" s="220"/>
      <c r="Q1012" s="210"/>
      <c r="R1012" s="210"/>
      <c r="S1012" s="210"/>
      <c r="T1012" s="210"/>
      <c r="U1012" s="210"/>
      <c r="V1012" s="210"/>
    </row>
    <row r="1013">
      <c r="A1013" s="220"/>
      <c r="F1013" s="190"/>
      <c r="G1013" s="190"/>
      <c r="N1013" s="220"/>
      <c r="O1013" s="220"/>
      <c r="Q1013" s="210"/>
      <c r="R1013" s="210"/>
      <c r="S1013" s="210"/>
      <c r="T1013" s="210"/>
      <c r="U1013" s="210"/>
      <c r="V1013" s="210"/>
    </row>
    <row r="1014">
      <c r="A1014" s="220"/>
      <c r="F1014" s="190"/>
      <c r="G1014" s="190"/>
      <c r="N1014" s="220"/>
      <c r="O1014" s="220"/>
      <c r="Q1014" s="210"/>
      <c r="R1014" s="210"/>
      <c r="S1014" s="210"/>
      <c r="T1014" s="210"/>
      <c r="U1014" s="210"/>
      <c r="V1014" s="210"/>
    </row>
    <row r="1015">
      <c r="A1015" s="220"/>
      <c r="F1015" s="190"/>
      <c r="G1015" s="190"/>
      <c r="N1015" s="220"/>
      <c r="O1015" s="220"/>
      <c r="Q1015" s="210"/>
      <c r="R1015" s="210"/>
      <c r="S1015" s="210"/>
      <c r="T1015" s="210"/>
      <c r="U1015" s="210"/>
      <c r="V1015" s="210"/>
    </row>
    <row r="1016">
      <c r="A1016" s="220"/>
      <c r="F1016" s="190"/>
      <c r="G1016" s="190"/>
      <c r="N1016" s="220"/>
      <c r="O1016" s="220"/>
      <c r="Q1016" s="210"/>
      <c r="R1016" s="210"/>
      <c r="S1016" s="210"/>
      <c r="T1016" s="210"/>
      <c r="U1016" s="210"/>
      <c r="V1016" s="210"/>
    </row>
    <row r="1017">
      <c r="A1017" s="220"/>
      <c r="F1017" s="190"/>
      <c r="G1017" s="190"/>
      <c r="N1017" s="220"/>
      <c r="O1017" s="220"/>
      <c r="Q1017" s="210"/>
      <c r="R1017" s="210"/>
      <c r="S1017" s="210"/>
      <c r="T1017" s="210"/>
      <c r="U1017" s="210"/>
      <c r="V1017" s="210"/>
    </row>
    <row r="1018">
      <c r="A1018" s="220"/>
      <c r="F1018" s="190"/>
      <c r="G1018" s="190"/>
      <c r="N1018" s="220"/>
      <c r="O1018" s="220"/>
      <c r="Q1018" s="210"/>
      <c r="R1018" s="210"/>
      <c r="S1018" s="210"/>
      <c r="T1018" s="210"/>
      <c r="U1018" s="210"/>
      <c r="V1018" s="210"/>
    </row>
    <row r="1019">
      <c r="A1019" s="220"/>
      <c r="F1019" s="190"/>
      <c r="G1019" s="190"/>
      <c r="N1019" s="220"/>
      <c r="O1019" s="220"/>
      <c r="Q1019" s="210"/>
      <c r="R1019" s="210"/>
      <c r="S1019" s="210"/>
      <c r="T1019" s="210"/>
      <c r="U1019" s="210"/>
      <c r="V1019" s="210"/>
    </row>
    <row r="1020">
      <c r="A1020" s="220"/>
      <c r="F1020" s="190"/>
      <c r="G1020" s="190"/>
      <c r="N1020" s="220"/>
      <c r="O1020" s="220"/>
      <c r="Q1020" s="210"/>
      <c r="R1020" s="210"/>
      <c r="S1020" s="210"/>
      <c r="T1020" s="210"/>
      <c r="U1020" s="210"/>
      <c r="V1020" s="210"/>
    </row>
    <row r="1021">
      <c r="A1021" s="220"/>
      <c r="F1021" s="190"/>
      <c r="G1021" s="190"/>
      <c r="N1021" s="220"/>
      <c r="O1021" s="220"/>
      <c r="Q1021" s="210"/>
      <c r="R1021" s="210"/>
      <c r="S1021" s="210"/>
      <c r="T1021" s="210"/>
      <c r="U1021" s="210"/>
      <c r="V1021" s="210"/>
    </row>
    <row r="1022">
      <c r="A1022" s="220"/>
      <c r="F1022" s="190"/>
      <c r="G1022" s="190"/>
      <c r="N1022" s="220"/>
      <c r="O1022" s="220"/>
      <c r="Q1022" s="210"/>
      <c r="R1022" s="210"/>
      <c r="S1022" s="210"/>
      <c r="T1022" s="210"/>
      <c r="U1022" s="210"/>
      <c r="V1022" s="210"/>
    </row>
    <row r="1023">
      <c r="A1023" s="220"/>
      <c r="F1023" s="190"/>
      <c r="G1023" s="190"/>
      <c r="N1023" s="220"/>
      <c r="O1023" s="220"/>
      <c r="Q1023" s="210"/>
      <c r="R1023" s="210"/>
      <c r="S1023" s="210"/>
      <c r="T1023" s="210"/>
      <c r="U1023" s="210"/>
      <c r="V1023" s="210"/>
    </row>
    <row r="1024">
      <c r="A1024" s="220"/>
      <c r="F1024" s="190"/>
      <c r="G1024" s="190"/>
      <c r="N1024" s="220"/>
      <c r="O1024" s="220"/>
      <c r="Q1024" s="210"/>
      <c r="R1024" s="210"/>
      <c r="S1024" s="210"/>
      <c r="T1024" s="210"/>
      <c r="U1024" s="210"/>
      <c r="V1024" s="210"/>
    </row>
    <row r="1025">
      <c r="A1025" s="220"/>
      <c r="F1025" s="190"/>
      <c r="G1025" s="190"/>
      <c r="N1025" s="220"/>
      <c r="O1025" s="220"/>
      <c r="Q1025" s="210"/>
      <c r="R1025" s="210"/>
      <c r="S1025" s="210"/>
      <c r="T1025" s="210"/>
      <c r="U1025" s="210"/>
      <c r="V1025" s="210"/>
    </row>
    <row r="1026">
      <c r="A1026" s="220"/>
      <c r="F1026" s="190"/>
      <c r="G1026" s="190"/>
      <c r="N1026" s="220"/>
      <c r="O1026" s="220"/>
      <c r="Q1026" s="210"/>
      <c r="R1026" s="210"/>
      <c r="S1026" s="210"/>
      <c r="T1026" s="210"/>
      <c r="U1026" s="210"/>
      <c r="V1026" s="210"/>
    </row>
    <row r="1027">
      <c r="A1027" s="220"/>
      <c r="F1027" s="190"/>
      <c r="G1027" s="190"/>
      <c r="N1027" s="220"/>
      <c r="O1027" s="220"/>
      <c r="Q1027" s="210"/>
      <c r="R1027" s="210"/>
      <c r="S1027" s="210"/>
      <c r="T1027" s="210"/>
      <c r="U1027" s="210"/>
      <c r="V1027" s="210"/>
    </row>
    <row r="1028">
      <c r="A1028" s="220"/>
      <c r="F1028" s="190"/>
      <c r="G1028" s="190"/>
      <c r="N1028" s="220"/>
      <c r="O1028" s="220"/>
      <c r="Q1028" s="210"/>
      <c r="R1028" s="210"/>
      <c r="S1028" s="210"/>
      <c r="T1028" s="210"/>
      <c r="U1028" s="210"/>
      <c r="V1028" s="210"/>
    </row>
    <row r="1029">
      <c r="A1029" s="220"/>
      <c r="F1029" s="190"/>
      <c r="G1029" s="190"/>
      <c r="N1029" s="220"/>
      <c r="O1029" s="220"/>
      <c r="Q1029" s="210"/>
      <c r="R1029" s="210"/>
      <c r="S1029" s="210"/>
      <c r="T1029" s="210"/>
      <c r="U1029" s="210"/>
      <c r="V1029" s="210"/>
    </row>
    <row r="1030">
      <c r="A1030" s="220"/>
      <c r="F1030" s="190"/>
      <c r="G1030" s="190"/>
      <c r="N1030" s="220"/>
      <c r="O1030" s="220"/>
      <c r="Q1030" s="210"/>
      <c r="R1030" s="210"/>
      <c r="S1030" s="210"/>
      <c r="T1030" s="210"/>
      <c r="U1030" s="210"/>
      <c r="V1030" s="210"/>
    </row>
    <row r="1031">
      <c r="A1031" s="220"/>
      <c r="F1031" s="190"/>
      <c r="G1031" s="190"/>
      <c r="N1031" s="220"/>
      <c r="O1031" s="220"/>
      <c r="Q1031" s="210"/>
      <c r="R1031" s="210"/>
      <c r="S1031" s="210"/>
      <c r="T1031" s="210"/>
      <c r="U1031" s="210"/>
      <c r="V1031" s="210"/>
    </row>
    <row r="1032">
      <c r="A1032" s="220"/>
      <c r="F1032" s="190"/>
      <c r="G1032" s="190"/>
      <c r="N1032" s="220"/>
      <c r="O1032" s="220"/>
      <c r="Q1032" s="210"/>
      <c r="R1032" s="210"/>
      <c r="S1032" s="210"/>
      <c r="T1032" s="210"/>
      <c r="U1032" s="210"/>
      <c r="V1032" s="210"/>
    </row>
    <row r="1033">
      <c r="A1033" s="220"/>
      <c r="F1033" s="190"/>
      <c r="G1033" s="190"/>
      <c r="N1033" s="220"/>
      <c r="O1033" s="220"/>
      <c r="Q1033" s="210"/>
      <c r="R1033" s="210"/>
      <c r="S1033" s="210"/>
      <c r="T1033" s="210"/>
      <c r="U1033" s="210"/>
      <c r="V1033" s="210"/>
    </row>
    <row r="1034">
      <c r="A1034" s="220"/>
      <c r="F1034" s="190"/>
      <c r="G1034" s="190"/>
      <c r="N1034" s="220"/>
      <c r="O1034" s="220"/>
      <c r="Q1034" s="210"/>
      <c r="R1034" s="210"/>
      <c r="S1034" s="210"/>
      <c r="T1034" s="210"/>
      <c r="U1034" s="210"/>
      <c r="V1034" s="210"/>
    </row>
    <row r="1035">
      <c r="A1035" s="220"/>
      <c r="F1035" s="190"/>
      <c r="G1035" s="190"/>
      <c r="N1035" s="220"/>
      <c r="O1035" s="220"/>
      <c r="Q1035" s="210"/>
      <c r="R1035" s="210"/>
      <c r="S1035" s="210"/>
      <c r="T1035" s="210"/>
      <c r="U1035" s="210"/>
      <c r="V1035" s="210"/>
    </row>
    <row r="1036">
      <c r="A1036" s="220"/>
      <c r="F1036" s="190"/>
      <c r="G1036" s="190"/>
      <c r="N1036" s="220"/>
      <c r="O1036" s="220"/>
      <c r="Q1036" s="210"/>
      <c r="R1036" s="210"/>
      <c r="S1036" s="210"/>
      <c r="T1036" s="210"/>
      <c r="U1036" s="210"/>
      <c r="V1036" s="210"/>
    </row>
    <row r="1037">
      <c r="A1037" s="220"/>
      <c r="F1037" s="190"/>
      <c r="G1037" s="190"/>
      <c r="N1037" s="220"/>
      <c r="O1037" s="220"/>
      <c r="Q1037" s="210"/>
      <c r="R1037" s="210"/>
      <c r="S1037" s="210"/>
      <c r="T1037" s="210"/>
      <c r="U1037" s="210"/>
      <c r="V1037" s="210"/>
    </row>
    <row r="1038">
      <c r="A1038" s="220"/>
      <c r="F1038" s="190"/>
      <c r="G1038" s="190"/>
      <c r="N1038" s="220"/>
      <c r="O1038" s="220"/>
      <c r="Q1038" s="210"/>
      <c r="R1038" s="210"/>
      <c r="S1038" s="210"/>
      <c r="T1038" s="210"/>
      <c r="U1038" s="210"/>
      <c r="V1038" s="210"/>
    </row>
    <row r="1039">
      <c r="A1039" s="220"/>
      <c r="F1039" s="190"/>
      <c r="G1039" s="190"/>
      <c r="N1039" s="220"/>
      <c r="O1039" s="220"/>
      <c r="Q1039" s="210"/>
      <c r="R1039" s="210"/>
      <c r="S1039" s="210"/>
      <c r="T1039" s="210"/>
      <c r="U1039" s="210"/>
      <c r="V1039" s="210"/>
    </row>
    <row r="1040">
      <c r="A1040" s="220"/>
      <c r="F1040" s="190"/>
      <c r="G1040" s="190"/>
      <c r="N1040" s="220"/>
      <c r="O1040" s="220"/>
      <c r="Q1040" s="210"/>
      <c r="R1040" s="210"/>
      <c r="S1040" s="210"/>
      <c r="T1040" s="210"/>
      <c r="U1040" s="210"/>
      <c r="V1040" s="210"/>
    </row>
    <row r="1041">
      <c r="A1041" s="220"/>
      <c r="F1041" s="190"/>
      <c r="G1041" s="190"/>
      <c r="N1041" s="220"/>
      <c r="O1041" s="220"/>
      <c r="Q1041" s="210"/>
      <c r="R1041" s="210"/>
      <c r="S1041" s="210"/>
      <c r="T1041" s="210"/>
      <c r="U1041" s="210"/>
      <c r="V1041" s="210"/>
    </row>
    <row r="1042">
      <c r="A1042" s="220"/>
      <c r="F1042" s="190"/>
      <c r="G1042" s="190"/>
      <c r="N1042" s="220"/>
      <c r="O1042" s="220"/>
      <c r="Q1042" s="210"/>
      <c r="R1042" s="210"/>
      <c r="S1042" s="210"/>
      <c r="T1042" s="210"/>
      <c r="U1042" s="210"/>
      <c r="V1042" s="210"/>
    </row>
    <row r="1043">
      <c r="A1043" s="220"/>
      <c r="F1043" s="190"/>
      <c r="G1043" s="190"/>
      <c r="N1043" s="220"/>
      <c r="O1043" s="220"/>
      <c r="Q1043" s="210"/>
      <c r="R1043" s="210"/>
      <c r="S1043" s="210"/>
      <c r="T1043" s="210"/>
      <c r="U1043" s="210"/>
      <c r="V1043" s="210"/>
    </row>
    <row r="1044">
      <c r="A1044" s="220"/>
      <c r="F1044" s="190"/>
      <c r="G1044" s="190"/>
      <c r="N1044" s="220"/>
      <c r="O1044" s="220"/>
      <c r="Q1044" s="210"/>
      <c r="R1044" s="210"/>
      <c r="S1044" s="210"/>
      <c r="T1044" s="210"/>
      <c r="U1044" s="210"/>
      <c r="V1044" s="210"/>
    </row>
    <row r="1045">
      <c r="A1045" s="220"/>
      <c r="F1045" s="190"/>
      <c r="G1045" s="190"/>
      <c r="N1045" s="220"/>
      <c r="O1045" s="220"/>
      <c r="Q1045" s="210"/>
      <c r="R1045" s="210"/>
      <c r="S1045" s="210"/>
      <c r="T1045" s="210"/>
      <c r="U1045" s="210"/>
      <c r="V1045" s="210"/>
    </row>
    <row r="1046">
      <c r="A1046" s="220"/>
      <c r="F1046" s="190"/>
      <c r="G1046" s="190"/>
      <c r="N1046" s="220"/>
      <c r="O1046" s="220"/>
      <c r="Q1046" s="210"/>
      <c r="R1046" s="210"/>
      <c r="S1046" s="210"/>
      <c r="T1046" s="210"/>
      <c r="U1046" s="210"/>
      <c r="V1046" s="210"/>
    </row>
    <row r="1047">
      <c r="A1047" s="220"/>
      <c r="F1047" s="190"/>
      <c r="G1047" s="190"/>
      <c r="N1047" s="220"/>
      <c r="O1047" s="220"/>
      <c r="Q1047" s="210"/>
      <c r="R1047" s="210"/>
      <c r="S1047" s="210"/>
      <c r="T1047" s="210"/>
      <c r="U1047" s="210"/>
      <c r="V1047" s="210"/>
    </row>
    <row r="1048">
      <c r="A1048" s="220"/>
      <c r="F1048" s="190"/>
      <c r="G1048" s="190"/>
      <c r="N1048" s="220"/>
      <c r="O1048" s="220"/>
      <c r="Q1048" s="210"/>
      <c r="R1048" s="210"/>
      <c r="S1048" s="210"/>
      <c r="T1048" s="210"/>
      <c r="U1048" s="210"/>
      <c r="V1048" s="210"/>
    </row>
    <row r="1049">
      <c r="A1049" s="220"/>
      <c r="F1049" s="190"/>
      <c r="G1049" s="190"/>
      <c r="N1049" s="220"/>
      <c r="O1049" s="220"/>
      <c r="Q1049" s="210"/>
      <c r="R1049" s="210"/>
      <c r="S1049" s="210"/>
      <c r="T1049" s="210"/>
      <c r="U1049" s="210"/>
      <c r="V1049" s="210"/>
    </row>
    <row r="1050">
      <c r="A1050" s="220"/>
      <c r="F1050" s="190"/>
      <c r="G1050" s="190"/>
      <c r="N1050" s="220"/>
      <c r="O1050" s="220"/>
      <c r="Q1050" s="210"/>
      <c r="R1050" s="210"/>
      <c r="S1050" s="210"/>
      <c r="T1050" s="210"/>
      <c r="U1050" s="210"/>
      <c r="V1050" s="210"/>
    </row>
    <row r="1051">
      <c r="A1051" s="220"/>
      <c r="F1051" s="190"/>
      <c r="G1051" s="190"/>
      <c r="N1051" s="220"/>
      <c r="O1051" s="220"/>
      <c r="Q1051" s="210"/>
      <c r="R1051" s="210"/>
      <c r="S1051" s="210"/>
      <c r="T1051" s="210"/>
      <c r="U1051" s="210"/>
      <c r="V1051" s="210"/>
    </row>
    <row r="1052">
      <c r="A1052" s="220"/>
      <c r="F1052" s="190"/>
      <c r="G1052" s="190"/>
      <c r="N1052" s="220"/>
      <c r="O1052" s="220"/>
      <c r="Q1052" s="210"/>
      <c r="R1052" s="210"/>
      <c r="S1052" s="210"/>
      <c r="T1052" s="210"/>
      <c r="U1052" s="210"/>
      <c r="V1052" s="210"/>
    </row>
    <row r="1053">
      <c r="A1053" s="220"/>
      <c r="F1053" s="190"/>
      <c r="G1053" s="190"/>
      <c r="N1053" s="220"/>
      <c r="O1053" s="220"/>
      <c r="Q1053" s="210"/>
      <c r="R1053" s="210"/>
      <c r="S1053" s="210"/>
      <c r="T1053" s="210"/>
      <c r="U1053" s="210"/>
      <c r="V1053" s="210"/>
    </row>
    <row r="1054">
      <c r="A1054" s="220"/>
      <c r="F1054" s="190"/>
      <c r="G1054" s="190"/>
      <c r="N1054" s="220"/>
      <c r="O1054" s="220"/>
      <c r="Q1054" s="210"/>
      <c r="R1054" s="210"/>
      <c r="S1054" s="210"/>
      <c r="T1054" s="210"/>
      <c r="U1054" s="210"/>
      <c r="V1054" s="210"/>
    </row>
    <row r="1055">
      <c r="A1055" s="220"/>
      <c r="F1055" s="190"/>
      <c r="G1055" s="190"/>
      <c r="N1055" s="220"/>
      <c r="O1055" s="220"/>
      <c r="Q1055" s="210"/>
      <c r="R1055" s="210"/>
      <c r="S1055" s="210"/>
      <c r="T1055" s="210"/>
      <c r="U1055" s="210"/>
      <c r="V1055" s="210"/>
    </row>
    <row r="1056">
      <c r="A1056" s="220"/>
      <c r="F1056" s="190"/>
      <c r="G1056" s="190"/>
      <c r="N1056" s="220"/>
      <c r="O1056" s="220"/>
      <c r="Q1056" s="210"/>
      <c r="R1056" s="210"/>
      <c r="S1056" s="210"/>
      <c r="T1056" s="210"/>
      <c r="U1056" s="210"/>
      <c r="V1056" s="210"/>
    </row>
    <row r="1057">
      <c r="A1057" s="220"/>
      <c r="F1057" s="190"/>
      <c r="G1057" s="190"/>
      <c r="N1057" s="220"/>
      <c r="O1057" s="220"/>
      <c r="Q1057" s="210"/>
      <c r="R1057" s="210"/>
      <c r="S1057" s="210"/>
      <c r="T1057" s="210"/>
      <c r="U1057" s="210"/>
      <c r="V1057" s="210"/>
    </row>
    <row r="1058">
      <c r="A1058" s="220"/>
      <c r="F1058" s="190"/>
      <c r="G1058" s="190"/>
      <c r="N1058" s="220"/>
      <c r="O1058" s="220"/>
      <c r="Q1058" s="210"/>
      <c r="R1058" s="210"/>
      <c r="S1058" s="210"/>
      <c r="T1058" s="210"/>
      <c r="U1058" s="210"/>
      <c r="V1058" s="210"/>
    </row>
    <row r="1059">
      <c r="A1059" s="220"/>
      <c r="F1059" s="190"/>
      <c r="G1059" s="190"/>
      <c r="N1059" s="220"/>
      <c r="O1059" s="220"/>
      <c r="Q1059" s="210"/>
      <c r="R1059" s="210"/>
      <c r="S1059" s="210"/>
      <c r="T1059" s="210"/>
      <c r="U1059" s="210"/>
      <c r="V1059" s="210"/>
    </row>
    <row r="1060">
      <c r="A1060" s="220"/>
      <c r="F1060" s="190"/>
      <c r="G1060" s="190"/>
      <c r="N1060" s="220"/>
      <c r="O1060" s="220"/>
      <c r="Q1060" s="210"/>
      <c r="R1060" s="210"/>
      <c r="S1060" s="210"/>
      <c r="T1060" s="210"/>
      <c r="U1060" s="210"/>
      <c r="V1060" s="210"/>
    </row>
    <row r="1061">
      <c r="A1061" s="220"/>
      <c r="F1061" s="190"/>
      <c r="G1061" s="190"/>
      <c r="N1061" s="220"/>
      <c r="O1061" s="220"/>
      <c r="Q1061" s="210"/>
      <c r="R1061" s="210"/>
      <c r="S1061" s="210"/>
      <c r="T1061" s="210"/>
      <c r="U1061" s="210"/>
      <c r="V1061" s="210"/>
    </row>
    <row r="1062">
      <c r="A1062" s="220"/>
      <c r="F1062" s="190"/>
      <c r="G1062" s="190"/>
      <c r="N1062" s="220"/>
      <c r="O1062" s="220"/>
      <c r="Q1062" s="210"/>
      <c r="R1062" s="210"/>
      <c r="S1062" s="210"/>
      <c r="T1062" s="210"/>
      <c r="U1062" s="210"/>
      <c r="V1062" s="210"/>
    </row>
    <row r="1063">
      <c r="A1063" s="220"/>
      <c r="F1063" s="190"/>
      <c r="G1063" s="190"/>
      <c r="N1063" s="220"/>
      <c r="O1063" s="220"/>
      <c r="Q1063" s="210"/>
      <c r="R1063" s="210"/>
      <c r="S1063" s="210"/>
      <c r="T1063" s="210"/>
      <c r="U1063" s="210"/>
      <c r="V1063" s="210"/>
    </row>
    <row r="1064">
      <c r="A1064" s="220"/>
      <c r="F1064" s="190"/>
      <c r="G1064" s="190"/>
      <c r="N1064" s="220"/>
      <c r="O1064" s="220"/>
      <c r="Q1064" s="210"/>
      <c r="R1064" s="210"/>
      <c r="S1064" s="210"/>
      <c r="T1064" s="210"/>
      <c r="U1064" s="210"/>
      <c r="V1064" s="210"/>
    </row>
    <row r="1065">
      <c r="A1065" s="220"/>
      <c r="F1065" s="190"/>
      <c r="G1065" s="190"/>
      <c r="N1065" s="220"/>
      <c r="O1065" s="220"/>
      <c r="Q1065" s="210"/>
      <c r="R1065" s="210"/>
      <c r="S1065" s="210"/>
      <c r="T1065" s="210"/>
      <c r="U1065" s="210"/>
      <c r="V1065" s="210"/>
    </row>
    <row r="1066">
      <c r="A1066" s="220"/>
      <c r="F1066" s="190"/>
      <c r="G1066" s="190"/>
      <c r="N1066" s="220"/>
      <c r="O1066" s="220"/>
      <c r="Q1066" s="210"/>
      <c r="R1066" s="210"/>
      <c r="S1066" s="210"/>
      <c r="T1066" s="210"/>
      <c r="U1066" s="210"/>
      <c r="V1066" s="210"/>
    </row>
    <row r="1067">
      <c r="A1067" s="220"/>
      <c r="F1067" s="190"/>
      <c r="G1067" s="190"/>
      <c r="N1067" s="220"/>
      <c r="O1067" s="220"/>
      <c r="Q1067" s="210"/>
      <c r="R1067" s="210"/>
      <c r="S1067" s="210"/>
      <c r="T1067" s="210"/>
      <c r="U1067" s="210"/>
      <c r="V1067" s="210"/>
    </row>
    <row r="1068">
      <c r="A1068" s="220"/>
      <c r="F1068" s="190"/>
      <c r="G1068" s="190"/>
      <c r="N1068" s="220"/>
      <c r="O1068" s="220"/>
      <c r="Q1068" s="210"/>
      <c r="R1068" s="210"/>
      <c r="S1068" s="210"/>
      <c r="T1068" s="210"/>
      <c r="U1068" s="210"/>
      <c r="V1068" s="210"/>
    </row>
    <row r="1069">
      <c r="A1069" s="220"/>
      <c r="F1069" s="190"/>
      <c r="G1069" s="190"/>
      <c r="N1069" s="220"/>
      <c r="O1069" s="220"/>
      <c r="Q1069" s="210"/>
      <c r="R1069" s="210"/>
      <c r="S1069" s="210"/>
      <c r="T1069" s="210"/>
      <c r="U1069" s="210"/>
      <c r="V1069" s="210"/>
    </row>
    <row r="1070">
      <c r="A1070" s="220"/>
      <c r="F1070" s="190"/>
      <c r="G1070" s="190"/>
      <c r="N1070" s="220"/>
      <c r="O1070" s="220"/>
      <c r="Q1070" s="210"/>
      <c r="R1070" s="210"/>
      <c r="S1070" s="210"/>
      <c r="T1070" s="210"/>
      <c r="U1070" s="210"/>
      <c r="V1070" s="210"/>
    </row>
    <row r="1071">
      <c r="A1071" s="220"/>
      <c r="F1071" s="190"/>
      <c r="G1071" s="190"/>
      <c r="N1071" s="220"/>
      <c r="O1071" s="220"/>
      <c r="Q1071" s="210"/>
      <c r="R1071" s="210"/>
      <c r="S1071" s="210"/>
      <c r="T1071" s="210"/>
      <c r="U1071" s="210"/>
      <c r="V1071" s="210"/>
    </row>
    <row r="1072">
      <c r="A1072" s="220"/>
      <c r="F1072" s="190"/>
      <c r="G1072" s="190"/>
      <c r="N1072" s="220"/>
      <c r="O1072" s="220"/>
      <c r="Q1072" s="210"/>
      <c r="R1072" s="210"/>
      <c r="S1072" s="210"/>
      <c r="T1072" s="210"/>
      <c r="U1072" s="210"/>
      <c r="V1072" s="210"/>
    </row>
    <row r="1073">
      <c r="A1073" s="220"/>
      <c r="F1073" s="190"/>
      <c r="G1073" s="190"/>
      <c r="N1073" s="220"/>
      <c r="O1073" s="220"/>
      <c r="Q1073" s="210"/>
      <c r="R1073" s="210"/>
      <c r="S1073" s="210"/>
      <c r="T1073" s="210"/>
      <c r="U1073" s="210"/>
      <c r="V1073" s="210"/>
    </row>
    <row r="1074">
      <c r="A1074" s="220"/>
      <c r="F1074" s="190"/>
      <c r="G1074" s="190"/>
      <c r="N1074" s="220"/>
      <c r="O1074" s="220"/>
      <c r="Q1074" s="210"/>
      <c r="R1074" s="210"/>
      <c r="S1074" s="210"/>
      <c r="T1074" s="210"/>
      <c r="U1074" s="210"/>
      <c r="V1074" s="210"/>
    </row>
    <row r="1075">
      <c r="A1075" s="220"/>
      <c r="F1075" s="190"/>
      <c r="G1075" s="190"/>
      <c r="N1075" s="220"/>
      <c r="O1075" s="220"/>
      <c r="Q1075" s="210"/>
      <c r="R1075" s="210"/>
      <c r="S1075" s="210"/>
      <c r="T1075" s="210"/>
      <c r="U1075" s="210"/>
      <c r="V1075" s="210"/>
    </row>
    <row r="1076">
      <c r="A1076" s="220"/>
      <c r="F1076" s="190"/>
      <c r="G1076" s="190"/>
      <c r="N1076" s="220"/>
      <c r="O1076" s="220"/>
      <c r="Q1076" s="210"/>
      <c r="R1076" s="210"/>
      <c r="S1076" s="210"/>
      <c r="T1076" s="210"/>
      <c r="U1076" s="210"/>
      <c r="V1076" s="210"/>
    </row>
    <row r="1077">
      <c r="A1077" s="220"/>
      <c r="F1077" s="190"/>
      <c r="G1077" s="190"/>
      <c r="N1077" s="220"/>
      <c r="O1077" s="220"/>
      <c r="Q1077" s="210"/>
      <c r="R1077" s="210"/>
      <c r="S1077" s="210"/>
      <c r="T1077" s="210"/>
      <c r="U1077" s="210"/>
      <c r="V1077" s="210"/>
    </row>
    <row r="1078">
      <c r="A1078" s="220"/>
      <c r="F1078" s="190"/>
      <c r="G1078" s="190"/>
      <c r="N1078" s="220"/>
      <c r="O1078" s="220"/>
      <c r="Q1078" s="210"/>
      <c r="R1078" s="210"/>
      <c r="S1078" s="210"/>
      <c r="T1078" s="210"/>
      <c r="U1078" s="210"/>
      <c r="V1078" s="210"/>
    </row>
    <row r="1079">
      <c r="A1079" s="220"/>
      <c r="F1079" s="190"/>
      <c r="G1079" s="190"/>
      <c r="N1079" s="220"/>
      <c r="O1079" s="220"/>
      <c r="Q1079" s="210"/>
      <c r="R1079" s="210"/>
      <c r="S1079" s="210"/>
      <c r="T1079" s="210"/>
      <c r="U1079" s="210"/>
      <c r="V1079" s="210"/>
    </row>
    <row r="1080">
      <c r="A1080" s="220"/>
      <c r="F1080" s="190"/>
      <c r="G1080" s="190"/>
      <c r="N1080" s="220"/>
      <c r="O1080" s="220"/>
      <c r="Q1080" s="210"/>
      <c r="R1080" s="210"/>
      <c r="S1080" s="210"/>
      <c r="T1080" s="210"/>
      <c r="U1080" s="210"/>
      <c r="V1080" s="210"/>
    </row>
    <row r="1081">
      <c r="A1081" s="220"/>
      <c r="F1081" s="190"/>
      <c r="G1081" s="190"/>
      <c r="N1081" s="220"/>
      <c r="O1081" s="220"/>
      <c r="Q1081" s="210"/>
      <c r="R1081" s="210"/>
      <c r="S1081" s="210"/>
      <c r="T1081" s="210"/>
      <c r="U1081" s="210"/>
      <c r="V1081" s="210"/>
    </row>
    <row r="1082">
      <c r="A1082" s="220"/>
      <c r="F1082" s="190"/>
      <c r="G1082" s="190"/>
      <c r="N1082" s="220"/>
      <c r="O1082" s="220"/>
      <c r="Q1082" s="210"/>
      <c r="R1082" s="210"/>
      <c r="S1082" s="210"/>
      <c r="T1082" s="210"/>
      <c r="U1082" s="210"/>
      <c r="V1082" s="210"/>
    </row>
    <row r="1083">
      <c r="A1083" s="220"/>
      <c r="F1083" s="190"/>
      <c r="G1083" s="190"/>
      <c r="N1083" s="220"/>
      <c r="O1083" s="220"/>
      <c r="Q1083" s="210"/>
      <c r="R1083" s="210"/>
      <c r="S1083" s="210"/>
      <c r="T1083" s="210"/>
      <c r="U1083" s="210"/>
      <c r="V1083" s="210"/>
    </row>
    <row r="1084">
      <c r="A1084" s="220"/>
      <c r="F1084" s="190"/>
      <c r="G1084" s="190"/>
      <c r="N1084" s="220"/>
      <c r="O1084" s="220"/>
      <c r="Q1084" s="210"/>
      <c r="R1084" s="210"/>
      <c r="S1084" s="210"/>
      <c r="T1084" s="210"/>
      <c r="U1084" s="210"/>
      <c r="V1084" s="210"/>
    </row>
    <row r="1085">
      <c r="A1085" s="220"/>
      <c r="F1085" s="190"/>
      <c r="G1085" s="190"/>
      <c r="N1085" s="220"/>
      <c r="O1085" s="220"/>
      <c r="Q1085" s="210"/>
      <c r="R1085" s="210"/>
      <c r="S1085" s="210"/>
      <c r="T1085" s="210"/>
      <c r="U1085" s="210"/>
      <c r="V1085" s="210"/>
    </row>
    <row r="1086">
      <c r="A1086" s="220"/>
      <c r="F1086" s="190"/>
      <c r="G1086" s="190"/>
      <c r="N1086" s="220"/>
      <c r="O1086" s="220"/>
      <c r="Q1086" s="210"/>
      <c r="R1086" s="210"/>
      <c r="S1086" s="210"/>
      <c r="T1086" s="210"/>
      <c r="U1086" s="210"/>
      <c r="V1086" s="210"/>
    </row>
    <row r="1087">
      <c r="A1087" s="220"/>
      <c r="F1087" s="190"/>
      <c r="G1087" s="190"/>
      <c r="N1087" s="220"/>
      <c r="O1087" s="220"/>
      <c r="Q1087" s="210"/>
      <c r="R1087" s="210"/>
      <c r="S1087" s="210"/>
      <c r="T1087" s="210"/>
      <c r="U1087" s="210"/>
      <c r="V1087" s="210"/>
    </row>
    <row r="1088">
      <c r="A1088" s="220"/>
      <c r="F1088" s="190"/>
      <c r="G1088" s="190"/>
      <c r="N1088" s="220"/>
      <c r="O1088" s="220"/>
      <c r="Q1088" s="210"/>
      <c r="R1088" s="210"/>
      <c r="S1088" s="210"/>
      <c r="T1088" s="210"/>
      <c r="U1088" s="210"/>
      <c r="V1088" s="210"/>
    </row>
    <row r="1089">
      <c r="A1089" s="220"/>
      <c r="F1089" s="190"/>
      <c r="G1089" s="190"/>
      <c r="N1089" s="220"/>
      <c r="O1089" s="220"/>
      <c r="Q1089" s="210"/>
      <c r="R1089" s="210"/>
      <c r="S1089" s="210"/>
      <c r="T1089" s="210"/>
      <c r="U1089" s="210"/>
      <c r="V1089" s="210"/>
    </row>
    <row r="1090">
      <c r="A1090" s="220"/>
      <c r="F1090" s="190"/>
      <c r="G1090" s="190"/>
      <c r="N1090" s="220"/>
      <c r="O1090" s="220"/>
      <c r="Q1090" s="210"/>
      <c r="R1090" s="210"/>
      <c r="S1090" s="210"/>
      <c r="T1090" s="210"/>
      <c r="U1090" s="210"/>
      <c r="V1090" s="210"/>
    </row>
    <row r="1091">
      <c r="A1091" s="220"/>
      <c r="F1091" s="190"/>
      <c r="G1091" s="190"/>
      <c r="N1091" s="220"/>
      <c r="O1091" s="220"/>
      <c r="Q1091" s="210"/>
      <c r="R1091" s="210"/>
      <c r="S1091" s="210"/>
      <c r="T1091" s="210"/>
      <c r="U1091" s="210"/>
      <c r="V1091" s="210"/>
    </row>
    <row r="1092">
      <c r="A1092" s="220"/>
      <c r="F1092" s="190"/>
      <c r="G1092" s="190"/>
      <c r="N1092" s="220"/>
      <c r="O1092" s="220"/>
      <c r="Q1092" s="210"/>
      <c r="R1092" s="210"/>
      <c r="S1092" s="210"/>
      <c r="T1092" s="210"/>
      <c r="U1092" s="210"/>
      <c r="V1092" s="210"/>
    </row>
    <row r="1093">
      <c r="A1093" s="220"/>
      <c r="F1093" s="190"/>
      <c r="G1093" s="190"/>
      <c r="N1093" s="220"/>
      <c r="O1093" s="220"/>
      <c r="Q1093" s="210"/>
      <c r="R1093" s="210"/>
      <c r="S1093" s="210"/>
      <c r="T1093" s="210"/>
      <c r="U1093" s="210"/>
      <c r="V1093" s="210"/>
    </row>
    <row r="1094">
      <c r="A1094" s="220"/>
      <c r="F1094" s="190"/>
      <c r="G1094" s="190"/>
      <c r="N1094" s="220"/>
      <c r="O1094" s="220"/>
      <c r="Q1094" s="210"/>
      <c r="R1094" s="210"/>
      <c r="S1094" s="210"/>
      <c r="T1094" s="210"/>
      <c r="U1094" s="210"/>
      <c r="V1094" s="210"/>
    </row>
    <row r="1095">
      <c r="A1095" s="220"/>
      <c r="F1095" s="190"/>
      <c r="G1095" s="190"/>
      <c r="N1095" s="220"/>
      <c r="O1095" s="220"/>
      <c r="Q1095" s="210"/>
      <c r="R1095" s="210"/>
      <c r="S1095" s="210"/>
      <c r="T1095" s="210"/>
      <c r="U1095" s="210"/>
      <c r="V1095" s="210"/>
    </row>
    <row r="1096">
      <c r="A1096" s="220"/>
      <c r="F1096" s="190"/>
      <c r="G1096" s="190"/>
      <c r="N1096" s="220"/>
      <c r="O1096" s="220"/>
      <c r="Q1096" s="210"/>
      <c r="R1096" s="210"/>
      <c r="S1096" s="210"/>
      <c r="T1096" s="210"/>
      <c r="U1096" s="210"/>
      <c r="V1096" s="210"/>
    </row>
    <row r="1097">
      <c r="A1097" s="220"/>
      <c r="F1097" s="190"/>
      <c r="G1097" s="190"/>
      <c r="N1097" s="220"/>
      <c r="O1097" s="220"/>
      <c r="Q1097" s="210"/>
      <c r="R1097" s="210"/>
      <c r="S1097" s="210"/>
      <c r="T1097" s="210"/>
      <c r="U1097" s="210"/>
      <c r="V1097" s="210"/>
    </row>
    <row r="1098">
      <c r="A1098" s="220"/>
      <c r="F1098" s="190"/>
      <c r="G1098" s="190"/>
      <c r="N1098" s="220"/>
      <c r="O1098" s="220"/>
      <c r="Q1098" s="210"/>
      <c r="R1098" s="210"/>
      <c r="S1098" s="210"/>
      <c r="T1098" s="210"/>
      <c r="U1098" s="210"/>
      <c r="V1098" s="210"/>
    </row>
    <row r="1099">
      <c r="A1099" s="220"/>
      <c r="F1099" s="190"/>
      <c r="G1099" s="190"/>
      <c r="N1099" s="220"/>
      <c r="O1099" s="220"/>
      <c r="Q1099" s="210"/>
      <c r="R1099" s="210"/>
      <c r="S1099" s="210"/>
      <c r="T1099" s="210"/>
      <c r="U1099" s="210"/>
      <c r="V1099" s="210"/>
    </row>
    <row r="1100">
      <c r="A1100" s="220"/>
      <c r="F1100" s="190"/>
      <c r="G1100" s="190"/>
      <c r="N1100" s="220"/>
      <c r="O1100" s="220"/>
      <c r="Q1100" s="210"/>
      <c r="R1100" s="210"/>
      <c r="S1100" s="210"/>
      <c r="T1100" s="210"/>
      <c r="U1100" s="210"/>
      <c r="V1100" s="210"/>
    </row>
    <row r="1101">
      <c r="A1101" s="220"/>
      <c r="F1101" s="190"/>
      <c r="G1101" s="190"/>
      <c r="N1101" s="220"/>
      <c r="O1101" s="220"/>
      <c r="Q1101" s="210"/>
      <c r="R1101" s="210"/>
      <c r="S1101" s="210"/>
      <c r="T1101" s="210"/>
      <c r="U1101" s="210"/>
      <c r="V1101" s="210"/>
    </row>
    <row r="1102">
      <c r="A1102" s="220"/>
      <c r="F1102" s="190"/>
      <c r="G1102" s="190"/>
      <c r="N1102" s="220"/>
      <c r="O1102" s="220"/>
      <c r="Q1102" s="210"/>
      <c r="R1102" s="210"/>
      <c r="S1102" s="210"/>
      <c r="T1102" s="210"/>
      <c r="U1102" s="210"/>
      <c r="V1102" s="210"/>
    </row>
    <row r="1103">
      <c r="A1103" s="220"/>
      <c r="F1103" s="190"/>
      <c r="G1103" s="190"/>
      <c r="N1103" s="220"/>
      <c r="O1103" s="220"/>
      <c r="Q1103" s="210"/>
      <c r="R1103" s="210"/>
      <c r="S1103" s="210"/>
      <c r="T1103" s="210"/>
      <c r="U1103" s="210"/>
      <c r="V1103" s="210"/>
    </row>
    <row r="1104">
      <c r="A1104" s="220"/>
      <c r="F1104" s="190"/>
      <c r="G1104" s="190"/>
      <c r="N1104" s="220"/>
      <c r="O1104" s="220"/>
      <c r="Q1104" s="210"/>
      <c r="R1104" s="210"/>
      <c r="S1104" s="210"/>
      <c r="T1104" s="210"/>
      <c r="U1104" s="210"/>
      <c r="V1104" s="210"/>
    </row>
    <row r="1105">
      <c r="A1105" s="220"/>
      <c r="F1105" s="190"/>
      <c r="G1105" s="190"/>
      <c r="N1105" s="220"/>
      <c r="O1105" s="220"/>
      <c r="Q1105" s="210"/>
      <c r="R1105" s="210"/>
      <c r="S1105" s="210"/>
      <c r="T1105" s="210"/>
      <c r="U1105" s="210"/>
      <c r="V1105" s="210"/>
    </row>
    <row r="1106">
      <c r="A1106" s="220"/>
      <c r="F1106" s="190"/>
      <c r="G1106" s="190"/>
      <c r="N1106" s="220"/>
      <c r="O1106" s="220"/>
      <c r="Q1106" s="210"/>
      <c r="R1106" s="210"/>
      <c r="S1106" s="210"/>
      <c r="T1106" s="210"/>
      <c r="U1106" s="210"/>
      <c r="V1106" s="210"/>
    </row>
    <row r="1107">
      <c r="A1107" s="220"/>
      <c r="F1107" s="190"/>
      <c r="G1107" s="190"/>
      <c r="N1107" s="220"/>
      <c r="O1107" s="220"/>
      <c r="Q1107" s="210"/>
      <c r="R1107" s="210"/>
      <c r="S1107" s="210"/>
      <c r="T1107" s="210"/>
      <c r="U1107" s="210"/>
      <c r="V1107" s="210"/>
    </row>
    <row r="1108">
      <c r="A1108" s="220"/>
      <c r="F1108" s="190"/>
      <c r="G1108" s="190"/>
      <c r="N1108" s="220"/>
      <c r="O1108" s="220"/>
      <c r="Q1108" s="210"/>
      <c r="R1108" s="210"/>
      <c r="S1108" s="210"/>
      <c r="T1108" s="210"/>
      <c r="U1108" s="210"/>
      <c r="V1108" s="210"/>
    </row>
    <row r="1109">
      <c r="A1109" s="220"/>
      <c r="F1109" s="190"/>
      <c r="G1109" s="190"/>
      <c r="N1109" s="220"/>
      <c r="O1109" s="220"/>
      <c r="Q1109" s="210"/>
      <c r="R1109" s="210"/>
      <c r="S1109" s="210"/>
      <c r="T1109" s="210"/>
      <c r="U1109" s="210"/>
      <c r="V1109" s="210"/>
    </row>
    <row r="1110">
      <c r="A1110" s="220"/>
      <c r="F1110" s="190"/>
      <c r="G1110" s="190"/>
      <c r="N1110" s="220"/>
      <c r="O1110" s="220"/>
      <c r="Q1110" s="210"/>
      <c r="R1110" s="210"/>
      <c r="S1110" s="210"/>
      <c r="T1110" s="210"/>
      <c r="U1110" s="210"/>
      <c r="V1110" s="210"/>
    </row>
    <row r="1111">
      <c r="A1111" s="220"/>
      <c r="F1111" s="190"/>
      <c r="G1111" s="190"/>
      <c r="N1111" s="220"/>
      <c r="O1111" s="220"/>
      <c r="Q1111" s="210"/>
      <c r="R1111" s="210"/>
      <c r="S1111" s="210"/>
      <c r="T1111" s="210"/>
      <c r="U1111" s="210"/>
      <c r="V1111" s="210"/>
    </row>
    <row r="1112">
      <c r="A1112" s="220"/>
      <c r="F1112" s="190"/>
      <c r="G1112" s="190"/>
      <c r="N1112" s="220"/>
      <c r="O1112" s="220"/>
      <c r="Q1112" s="210"/>
      <c r="R1112" s="210"/>
      <c r="S1112" s="210"/>
      <c r="T1112" s="210"/>
      <c r="U1112" s="210"/>
      <c r="V1112" s="210"/>
    </row>
    <row r="1113">
      <c r="A1113" s="220"/>
      <c r="F1113" s="190"/>
      <c r="G1113" s="190"/>
      <c r="N1113" s="220"/>
      <c r="O1113" s="220"/>
      <c r="Q1113" s="210"/>
      <c r="R1113" s="210"/>
      <c r="S1113" s="210"/>
      <c r="T1113" s="210"/>
      <c r="U1113" s="210"/>
      <c r="V1113" s="210"/>
    </row>
    <row r="1114">
      <c r="A1114" s="220"/>
      <c r="F1114" s="190"/>
      <c r="G1114" s="190"/>
      <c r="N1114" s="220"/>
      <c r="O1114" s="220"/>
      <c r="Q1114" s="210"/>
      <c r="R1114" s="210"/>
      <c r="S1114" s="210"/>
      <c r="T1114" s="210"/>
      <c r="U1114" s="210"/>
      <c r="V1114" s="210"/>
    </row>
    <row r="1115">
      <c r="A1115" s="220"/>
      <c r="F1115" s="190"/>
      <c r="G1115" s="190"/>
      <c r="N1115" s="220"/>
      <c r="O1115" s="220"/>
      <c r="Q1115" s="210"/>
      <c r="R1115" s="210"/>
      <c r="S1115" s="210"/>
      <c r="T1115" s="210"/>
      <c r="U1115" s="210"/>
      <c r="V1115" s="210"/>
    </row>
    <row r="1116">
      <c r="A1116" s="220"/>
      <c r="F1116" s="190"/>
      <c r="G1116" s="190"/>
      <c r="N1116" s="220"/>
      <c r="O1116" s="220"/>
      <c r="Q1116" s="210"/>
      <c r="R1116" s="210"/>
      <c r="S1116" s="210"/>
      <c r="T1116" s="210"/>
      <c r="U1116" s="210"/>
      <c r="V1116" s="210"/>
    </row>
    <row r="1117">
      <c r="A1117" s="220"/>
      <c r="F1117" s="190"/>
      <c r="G1117" s="190"/>
      <c r="N1117" s="220"/>
      <c r="O1117" s="220"/>
      <c r="Q1117" s="210"/>
      <c r="R1117" s="210"/>
      <c r="S1117" s="210"/>
      <c r="T1117" s="210"/>
      <c r="U1117" s="210"/>
      <c r="V1117" s="210"/>
    </row>
    <row r="1118">
      <c r="A1118" s="220"/>
      <c r="F1118" s="190"/>
      <c r="G1118" s="190"/>
      <c r="N1118" s="220"/>
      <c r="O1118" s="220"/>
      <c r="Q1118" s="210"/>
      <c r="R1118" s="210"/>
      <c r="S1118" s="210"/>
      <c r="T1118" s="210"/>
      <c r="U1118" s="210"/>
      <c r="V1118" s="210"/>
    </row>
    <row r="1119">
      <c r="A1119" s="220"/>
      <c r="F1119" s="190"/>
      <c r="G1119" s="190"/>
      <c r="N1119" s="220"/>
      <c r="O1119" s="220"/>
      <c r="Q1119" s="210"/>
      <c r="R1119" s="210"/>
      <c r="S1119" s="210"/>
      <c r="T1119" s="210"/>
      <c r="U1119" s="210"/>
      <c r="V1119" s="210"/>
    </row>
    <row r="1120">
      <c r="A1120" s="220"/>
      <c r="F1120" s="190"/>
      <c r="G1120" s="190"/>
      <c r="N1120" s="220"/>
      <c r="O1120" s="220"/>
      <c r="Q1120" s="210"/>
      <c r="R1120" s="210"/>
      <c r="S1120" s="210"/>
      <c r="T1120" s="210"/>
      <c r="U1120" s="210"/>
      <c r="V1120" s="210"/>
    </row>
    <row r="1121">
      <c r="A1121" s="220"/>
      <c r="F1121" s="190"/>
      <c r="G1121" s="190"/>
      <c r="N1121" s="220"/>
      <c r="O1121" s="220"/>
      <c r="Q1121" s="210"/>
      <c r="R1121" s="210"/>
      <c r="S1121" s="210"/>
      <c r="T1121" s="210"/>
      <c r="U1121" s="210"/>
      <c r="V1121" s="210"/>
    </row>
    <row r="1122">
      <c r="A1122" s="220"/>
      <c r="F1122" s="190"/>
      <c r="G1122" s="190"/>
      <c r="N1122" s="220"/>
      <c r="O1122" s="220"/>
      <c r="Q1122" s="210"/>
      <c r="R1122" s="210"/>
      <c r="S1122" s="210"/>
      <c r="T1122" s="210"/>
      <c r="U1122" s="210"/>
      <c r="V1122" s="210"/>
    </row>
    <row r="1123">
      <c r="A1123" s="220"/>
      <c r="F1123" s="190"/>
      <c r="G1123" s="190"/>
      <c r="N1123" s="220"/>
      <c r="O1123" s="220"/>
      <c r="Q1123" s="210"/>
      <c r="R1123" s="210"/>
      <c r="S1123" s="210"/>
      <c r="T1123" s="210"/>
      <c r="U1123" s="210"/>
      <c r="V1123" s="210"/>
    </row>
    <row r="1124">
      <c r="A1124" s="220"/>
      <c r="F1124" s="190"/>
      <c r="G1124" s="190"/>
      <c r="N1124" s="220"/>
      <c r="O1124" s="220"/>
      <c r="Q1124" s="210"/>
      <c r="R1124" s="210"/>
      <c r="S1124" s="210"/>
      <c r="T1124" s="210"/>
      <c r="U1124" s="210"/>
      <c r="V1124" s="210"/>
    </row>
    <row r="1125">
      <c r="A1125" s="220"/>
      <c r="F1125" s="190"/>
      <c r="G1125" s="190"/>
      <c r="N1125" s="220"/>
      <c r="O1125" s="220"/>
      <c r="Q1125" s="210"/>
      <c r="R1125" s="210"/>
      <c r="S1125" s="210"/>
      <c r="T1125" s="210"/>
      <c r="U1125" s="210"/>
      <c r="V1125" s="210"/>
    </row>
    <row r="1126">
      <c r="A1126" s="220"/>
      <c r="F1126" s="190"/>
      <c r="G1126" s="190"/>
      <c r="N1126" s="220"/>
      <c r="O1126" s="220"/>
      <c r="Q1126" s="210"/>
      <c r="R1126" s="210"/>
      <c r="S1126" s="210"/>
      <c r="T1126" s="210"/>
      <c r="U1126" s="210"/>
      <c r="V1126" s="210"/>
    </row>
    <row r="1127">
      <c r="A1127" s="220"/>
      <c r="F1127" s="190"/>
      <c r="G1127" s="190"/>
      <c r="N1127" s="220"/>
      <c r="O1127" s="220"/>
      <c r="Q1127" s="210"/>
      <c r="R1127" s="210"/>
      <c r="S1127" s="210"/>
      <c r="T1127" s="210"/>
      <c r="U1127" s="210"/>
      <c r="V1127" s="210"/>
    </row>
    <row r="1128">
      <c r="A1128" s="220"/>
      <c r="F1128" s="190"/>
      <c r="G1128" s="190"/>
      <c r="N1128" s="220"/>
      <c r="O1128" s="220"/>
      <c r="Q1128" s="210"/>
      <c r="R1128" s="210"/>
      <c r="S1128" s="210"/>
      <c r="T1128" s="210"/>
      <c r="U1128" s="210"/>
      <c r="V1128" s="210"/>
    </row>
    <row r="1129">
      <c r="A1129" s="220"/>
      <c r="F1129" s="190"/>
      <c r="G1129" s="190"/>
      <c r="N1129" s="220"/>
      <c r="O1129" s="220"/>
      <c r="Q1129" s="210"/>
      <c r="R1129" s="210"/>
      <c r="S1129" s="210"/>
      <c r="T1129" s="210"/>
      <c r="U1129" s="210"/>
      <c r="V1129" s="210"/>
    </row>
    <row r="1130">
      <c r="A1130" s="220"/>
      <c r="F1130" s="190"/>
      <c r="G1130" s="190"/>
      <c r="N1130" s="220"/>
      <c r="O1130" s="220"/>
      <c r="Q1130" s="210"/>
      <c r="R1130" s="210"/>
      <c r="S1130" s="210"/>
      <c r="T1130" s="210"/>
      <c r="U1130" s="210"/>
      <c r="V1130" s="210"/>
    </row>
    <row r="1131">
      <c r="A1131" s="220"/>
      <c r="F1131" s="190"/>
      <c r="G1131" s="190"/>
      <c r="N1131" s="220"/>
      <c r="O1131" s="220"/>
      <c r="Q1131" s="210"/>
      <c r="R1131" s="210"/>
      <c r="S1131" s="210"/>
      <c r="T1131" s="210"/>
      <c r="U1131" s="210"/>
      <c r="V1131" s="210"/>
    </row>
    <row r="1132">
      <c r="A1132" s="220"/>
      <c r="F1132" s="190"/>
      <c r="G1132" s="190"/>
      <c r="N1132" s="220"/>
      <c r="O1132" s="220"/>
      <c r="Q1132" s="210"/>
      <c r="R1132" s="210"/>
      <c r="S1132" s="210"/>
      <c r="T1132" s="210"/>
      <c r="U1132" s="210"/>
      <c r="V1132" s="210"/>
    </row>
    <row r="1133">
      <c r="A1133" s="220"/>
      <c r="F1133" s="190"/>
      <c r="G1133" s="190"/>
      <c r="N1133" s="220"/>
      <c r="O1133" s="220"/>
      <c r="Q1133" s="210"/>
      <c r="R1133" s="210"/>
      <c r="S1133" s="210"/>
      <c r="T1133" s="210"/>
      <c r="U1133" s="210"/>
      <c r="V1133" s="210"/>
    </row>
    <row r="1134">
      <c r="A1134" s="220"/>
      <c r="F1134" s="190"/>
      <c r="G1134" s="190"/>
      <c r="N1134" s="220"/>
      <c r="O1134" s="220"/>
      <c r="Q1134" s="210"/>
      <c r="R1134" s="210"/>
      <c r="S1134" s="210"/>
      <c r="T1134" s="210"/>
      <c r="U1134" s="210"/>
      <c r="V1134" s="210"/>
    </row>
    <row r="1135">
      <c r="A1135" s="220"/>
      <c r="F1135" s="190"/>
      <c r="G1135" s="190"/>
      <c r="N1135" s="220"/>
      <c r="O1135" s="220"/>
      <c r="Q1135" s="210"/>
      <c r="R1135" s="210"/>
      <c r="S1135" s="210"/>
      <c r="T1135" s="210"/>
      <c r="U1135" s="210"/>
      <c r="V1135" s="210"/>
    </row>
    <row r="1136">
      <c r="A1136" s="220"/>
      <c r="F1136" s="190"/>
      <c r="G1136" s="190"/>
      <c r="N1136" s="220"/>
      <c r="O1136" s="220"/>
      <c r="Q1136" s="210"/>
      <c r="R1136" s="210"/>
      <c r="S1136" s="210"/>
      <c r="T1136" s="210"/>
      <c r="U1136" s="210"/>
      <c r="V1136" s="210"/>
    </row>
    <row r="1137">
      <c r="A1137" s="220"/>
      <c r="F1137" s="190"/>
      <c r="G1137" s="190"/>
      <c r="N1137" s="220"/>
      <c r="O1137" s="220"/>
      <c r="Q1137" s="210"/>
      <c r="R1137" s="210"/>
      <c r="S1137" s="210"/>
      <c r="T1137" s="210"/>
      <c r="U1137" s="210"/>
      <c r="V1137" s="210"/>
    </row>
    <row r="1138">
      <c r="A1138" s="220"/>
      <c r="F1138" s="190"/>
      <c r="G1138" s="190"/>
      <c r="N1138" s="220"/>
      <c r="O1138" s="220"/>
      <c r="Q1138" s="210"/>
      <c r="R1138" s="210"/>
      <c r="S1138" s="210"/>
      <c r="T1138" s="210"/>
      <c r="U1138" s="210"/>
      <c r="V1138" s="210"/>
    </row>
    <row r="1139">
      <c r="A1139" s="220"/>
      <c r="F1139" s="190"/>
      <c r="G1139" s="190"/>
      <c r="N1139" s="220"/>
      <c r="O1139" s="220"/>
      <c r="Q1139" s="210"/>
      <c r="R1139" s="210"/>
      <c r="S1139" s="210"/>
      <c r="T1139" s="210"/>
      <c r="U1139" s="210"/>
      <c r="V1139" s="210"/>
    </row>
    <row r="1140">
      <c r="A1140" s="220"/>
      <c r="F1140" s="190"/>
      <c r="G1140" s="190"/>
      <c r="N1140" s="220"/>
      <c r="O1140" s="220"/>
      <c r="Q1140" s="210"/>
      <c r="R1140" s="210"/>
      <c r="S1140" s="210"/>
      <c r="T1140" s="210"/>
      <c r="U1140" s="210"/>
      <c r="V1140" s="210"/>
    </row>
    <row r="1141">
      <c r="A1141" s="220"/>
      <c r="F1141" s="190"/>
      <c r="G1141" s="190"/>
      <c r="N1141" s="220"/>
      <c r="O1141" s="220"/>
      <c r="Q1141" s="210"/>
      <c r="R1141" s="210"/>
      <c r="S1141" s="210"/>
      <c r="T1141" s="210"/>
      <c r="U1141" s="210"/>
      <c r="V1141" s="210"/>
    </row>
    <row r="1142">
      <c r="A1142" s="220"/>
      <c r="F1142" s="190"/>
      <c r="G1142" s="190"/>
      <c r="N1142" s="220"/>
      <c r="O1142" s="220"/>
      <c r="Q1142" s="210"/>
      <c r="R1142" s="210"/>
      <c r="S1142" s="210"/>
      <c r="T1142" s="210"/>
      <c r="U1142" s="210"/>
      <c r="V1142" s="210"/>
    </row>
    <row r="1143">
      <c r="A1143" s="220"/>
      <c r="F1143" s="190"/>
      <c r="G1143" s="190"/>
      <c r="N1143" s="220"/>
      <c r="O1143" s="220"/>
      <c r="Q1143" s="210"/>
      <c r="R1143" s="210"/>
      <c r="S1143" s="210"/>
      <c r="T1143" s="210"/>
      <c r="U1143" s="210"/>
      <c r="V1143" s="210"/>
    </row>
    <row r="1144">
      <c r="A1144" s="220"/>
      <c r="F1144" s="190"/>
      <c r="G1144" s="190"/>
      <c r="N1144" s="220"/>
      <c r="O1144" s="220"/>
      <c r="Q1144" s="210"/>
      <c r="R1144" s="210"/>
      <c r="S1144" s="210"/>
      <c r="T1144" s="210"/>
      <c r="U1144" s="210"/>
      <c r="V1144" s="210"/>
    </row>
    <row r="1145">
      <c r="A1145" s="220"/>
      <c r="F1145" s="190"/>
      <c r="G1145" s="190"/>
      <c r="N1145" s="220"/>
      <c r="O1145" s="220"/>
      <c r="Q1145" s="210"/>
      <c r="R1145" s="210"/>
      <c r="S1145" s="210"/>
      <c r="T1145" s="210"/>
      <c r="U1145" s="210"/>
      <c r="V1145" s="210"/>
    </row>
    <row r="1146">
      <c r="A1146" s="220"/>
      <c r="F1146" s="190"/>
      <c r="G1146" s="190"/>
      <c r="N1146" s="220"/>
      <c r="O1146" s="220"/>
      <c r="Q1146" s="210"/>
      <c r="R1146" s="210"/>
      <c r="S1146" s="210"/>
      <c r="T1146" s="210"/>
      <c r="U1146" s="210"/>
      <c r="V1146" s="210"/>
    </row>
    <row r="1147">
      <c r="A1147" s="220"/>
      <c r="F1147" s="190"/>
      <c r="G1147" s="190"/>
      <c r="N1147" s="220"/>
      <c r="O1147" s="220"/>
      <c r="Q1147" s="210"/>
      <c r="R1147" s="210"/>
      <c r="S1147" s="210"/>
      <c r="T1147" s="210"/>
      <c r="U1147" s="210"/>
      <c r="V1147" s="210"/>
    </row>
    <row r="1148">
      <c r="A1148" s="220"/>
      <c r="F1148" s="190"/>
      <c r="G1148" s="190"/>
      <c r="N1148" s="220"/>
      <c r="O1148" s="220"/>
      <c r="Q1148" s="210"/>
      <c r="R1148" s="210"/>
      <c r="S1148" s="210"/>
      <c r="T1148" s="210"/>
      <c r="U1148" s="210"/>
      <c r="V1148" s="210"/>
    </row>
    <row r="1149">
      <c r="A1149" s="220"/>
      <c r="F1149" s="190"/>
      <c r="G1149" s="190"/>
      <c r="N1149" s="220"/>
      <c r="O1149" s="220"/>
      <c r="Q1149" s="210"/>
      <c r="R1149" s="210"/>
      <c r="S1149" s="210"/>
      <c r="T1149" s="210"/>
      <c r="U1149" s="210"/>
      <c r="V1149" s="210"/>
    </row>
    <row r="1150">
      <c r="A1150" s="220"/>
      <c r="F1150" s="190"/>
      <c r="G1150" s="190"/>
      <c r="N1150" s="220"/>
      <c r="O1150" s="220"/>
      <c r="Q1150" s="210"/>
      <c r="R1150" s="210"/>
      <c r="S1150" s="210"/>
      <c r="T1150" s="210"/>
      <c r="U1150" s="210"/>
      <c r="V1150" s="210"/>
    </row>
    <row r="1151">
      <c r="A1151" s="220"/>
      <c r="F1151" s="190"/>
      <c r="G1151" s="190"/>
      <c r="N1151" s="220"/>
      <c r="O1151" s="220"/>
      <c r="Q1151" s="210"/>
      <c r="R1151" s="210"/>
      <c r="S1151" s="210"/>
      <c r="T1151" s="210"/>
      <c r="U1151" s="210"/>
      <c r="V1151" s="210"/>
    </row>
    <row r="1152">
      <c r="A1152" s="220"/>
      <c r="F1152" s="190"/>
      <c r="G1152" s="190"/>
      <c r="N1152" s="220"/>
      <c r="O1152" s="220"/>
      <c r="Q1152" s="210"/>
      <c r="R1152" s="210"/>
      <c r="S1152" s="210"/>
      <c r="T1152" s="210"/>
      <c r="U1152" s="210"/>
      <c r="V1152" s="210"/>
    </row>
    <row r="1153">
      <c r="A1153" s="220"/>
      <c r="F1153" s="190"/>
      <c r="G1153" s="190"/>
      <c r="N1153" s="220"/>
      <c r="O1153" s="220"/>
      <c r="Q1153" s="210"/>
      <c r="R1153" s="210"/>
      <c r="S1153" s="210"/>
      <c r="T1153" s="210"/>
      <c r="U1153" s="210"/>
      <c r="V1153" s="210"/>
    </row>
    <row r="1154">
      <c r="A1154" s="220"/>
      <c r="F1154" s="190"/>
      <c r="G1154" s="190"/>
      <c r="N1154" s="220"/>
      <c r="O1154" s="220"/>
      <c r="Q1154" s="210"/>
      <c r="R1154" s="210"/>
      <c r="S1154" s="210"/>
      <c r="T1154" s="210"/>
      <c r="U1154" s="210"/>
      <c r="V1154" s="210"/>
    </row>
    <row r="1155">
      <c r="A1155" s="220"/>
      <c r="F1155" s="190"/>
      <c r="G1155" s="190"/>
      <c r="N1155" s="220"/>
      <c r="O1155" s="220"/>
      <c r="Q1155" s="210"/>
      <c r="R1155" s="210"/>
      <c r="S1155" s="210"/>
      <c r="T1155" s="210"/>
      <c r="U1155" s="210"/>
      <c r="V1155" s="210"/>
    </row>
    <row r="1156">
      <c r="A1156" s="220"/>
      <c r="F1156" s="190"/>
      <c r="G1156" s="190"/>
      <c r="N1156" s="220"/>
      <c r="O1156" s="220"/>
      <c r="Q1156" s="210"/>
      <c r="R1156" s="210"/>
      <c r="S1156" s="210"/>
      <c r="T1156" s="210"/>
      <c r="U1156" s="210"/>
      <c r="V1156" s="210"/>
    </row>
    <row r="1157">
      <c r="A1157" s="220"/>
      <c r="F1157" s="190"/>
      <c r="G1157" s="190"/>
      <c r="N1157" s="220"/>
      <c r="O1157" s="220"/>
      <c r="Q1157" s="210"/>
      <c r="R1157" s="210"/>
      <c r="S1157" s="210"/>
      <c r="T1157" s="210"/>
      <c r="U1157" s="210"/>
      <c r="V1157" s="210"/>
    </row>
    <row r="1158">
      <c r="A1158" s="220"/>
      <c r="F1158" s="190"/>
      <c r="G1158" s="190"/>
      <c r="N1158" s="220"/>
      <c r="O1158" s="220"/>
      <c r="Q1158" s="210"/>
      <c r="R1158" s="210"/>
      <c r="S1158" s="210"/>
      <c r="T1158" s="210"/>
      <c r="U1158" s="210"/>
      <c r="V1158" s="210"/>
    </row>
    <row r="1159">
      <c r="A1159" s="220"/>
      <c r="F1159" s="190"/>
      <c r="G1159" s="190"/>
      <c r="N1159" s="220"/>
      <c r="O1159" s="220"/>
      <c r="Q1159" s="210"/>
      <c r="R1159" s="210"/>
      <c r="S1159" s="210"/>
      <c r="T1159" s="210"/>
      <c r="U1159" s="210"/>
      <c r="V1159" s="210"/>
    </row>
    <row r="1160">
      <c r="A1160" s="220"/>
      <c r="F1160" s="190"/>
      <c r="G1160" s="190"/>
      <c r="N1160" s="220"/>
      <c r="O1160" s="220"/>
      <c r="Q1160" s="210"/>
      <c r="R1160" s="210"/>
      <c r="S1160" s="210"/>
      <c r="T1160" s="210"/>
      <c r="U1160" s="210"/>
      <c r="V1160" s="210"/>
    </row>
    <row r="1161">
      <c r="A1161" s="220"/>
      <c r="F1161" s="190"/>
      <c r="G1161" s="190"/>
      <c r="N1161" s="220"/>
      <c r="O1161" s="220"/>
      <c r="Q1161" s="210"/>
      <c r="R1161" s="210"/>
      <c r="S1161" s="210"/>
      <c r="T1161" s="210"/>
      <c r="U1161" s="210"/>
      <c r="V1161" s="210"/>
    </row>
    <row r="1162">
      <c r="A1162" s="220"/>
      <c r="F1162" s="190"/>
      <c r="G1162" s="190"/>
      <c r="N1162" s="220"/>
      <c r="O1162" s="220"/>
      <c r="Q1162" s="210"/>
      <c r="R1162" s="210"/>
      <c r="S1162" s="210"/>
      <c r="T1162" s="210"/>
      <c r="U1162" s="210"/>
      <c r="V1162" s="210"/>
    </row>
    <row r="1163">
      <c r="A1163" s="220"/>
      <c r="F1163" s="190"/>
      <c r="G1163" s="190"/>
      <c r="N1163" s="220"/>
      <c r="O1163" s="220"/>
      <c r="Q1163" s="210"/>
      <c r="R1163" s="210"/>
      <c r="S1163" s="210"/>
      <c r="T1163" s="210"/>
      <c r="U1163" s="210"/>
      <c r="V1163" s="210"/>
    </row>
    <row r="1164">
      <c r="A1164" s="220"/>
      <c r="F1164" s="190"/>
      <c r="G1164" s="190"/>
      <c r="N1164" s="220"/>
      <c r="O1164" s="220"/>
      <c r="Q1164" s="210"/>
      <c r="R1164" s="210"/>
      <c r="S1164" s="210"/>
      <c r="T1164" s="210"/>
      <c r="U1164" s="210"/>
      <c r="V1164" s="210"/>
    </row>
    <row r="1165">
      <c r="A1165" s="220"/>
      <c r="F1165" s="190"/>
      <c r="G1165" s="190"/>
      <c r="N1165" s="220"/>
      <c r="O1165" s="220"/>
      <c r="Q1165" s="210"/>
      <c r="R1165" s="210"/>
      <c r="S1165" s="210"/>
      <c r="T1165" s="210"/>
      <c r="U1165" s="210"/>
      <c r="V1165" s="210"/>
    </row>
    <row r="1166">
      <c r="A1166" s="220"/>
      <c r="F1166" s="190"/>
      <c r="G1166" s="190"/>
      <c r="N1166" s="220"/>
      <c r="O1166" s="220"/>
      <c r="Q1166" s="210"/>
      <c r="R1166" s="210"/>
      <c r="S1166" s="210"/>
      <c r="T1166" s="210"/>
      <c r="U1166" s="210"/>
      <c r="V1166" s="210"/>
    </row>
    <row r="1167">
      <c r="A1167" s="220"/>
      <c r="F1167" s="190"/>
      <c r="G1167" s="190"/>
      <c r="N1167" s="220"/>
      <c r="O1167" s="220"/>
      <c r="Q1167" s="210"/>
      <c r="R1167" s="210"/>
      <c r="S1167" s="210"/>
      <c r="T1167" s="210"/>
      <c r="U1167" s="210"/>
      <c r="V1167" s="210"/>
    </row>
    <row r="1168">
      <c r="A1168" s="220"/>
      <c r="F1168" s="190"/>
      <c r="G1168" s="190"/>
      <c r="N1168" s="220"/>
      <c r="O1168" s="220"/>
      <c r="Q1168" s="210"/>
      <c r="R1168" s="210"/>
      <c r="S1168" s="210"/>
      <c r="T1168" s="210"/>
      <c r="U1168" s="210"/>
      <c r="V1168" s="210"/>
    </row>
    <row r="1169">
      <c r="A1169" s="220"/>
      <c r="F1169" s="190"/>
      <c r="G1169" s="190"/>
      <c r="N1169" s="220"/>
      <c r="O1169" s="220"/>
      <c r="Q1169" s="210"/>
      <c r="R1169" s="210"/>
      <c r="S1169" s="210"/>
      <c r="T1169" s="210"/>
      <c r="U1169" s="210"/>
      <c r="V1169" s="210"/>
    </row>
    <row r="1170">
      <c r="A1170" s="220"/>
      <c r="F1170" s="190"/>
      <c r="G1170" s="190"/>
      <c r="N1170" s="220"/>
      <c r="O1170" s="220"/>
      <c r="Q1170" s="210"/>
      <c r="R1170" s="210"/>
      <c r="S1170" s="210"/>
      <c r="T1170" s="210"/>
      <c r="U1170" s="210"/>
      <c r="V1170" s="210"/>
    </row>
    <row r="1171">
      <c r="A1171" s="220"/>
      <c r="F1171" s="190"/>
      <c r="G1171" s="190"/>
      <c r="N1171" s="220"/>
      <c r="O1171" s="220"/>
      <c r="Q1171" s="210"/>
      <c r="R1171" s="210"/>
      <c r="S1171" s="210"/>
      <c r="T1171" s="210"/>
      <c r="U1171" s="210"/>
      <c r="V1171" s="210"/>
    </row>
    <row r="1172">
      <c r="A1172" s="220"/>
      <c r="F1172" s="190"/>
      <c r="G1172" s="190"/>
      <c r="N1172" s="220"/>
      <c r="O1172" s="220"/>
      <c r="Q1172" s="210"/>
      <c r="R1172" s="210"/>
      <c r="S1172" s="210"/>
      <c r="T1172" s="210"/>
      <c r="U1172" s="210"/>
      <c r="V1172" s="210"/>
    </row>
    <row r="1173">
      <c r="A1173" s="220"/>
      <c r="F1173" s="190"/>
      <c r="G1173" s="190"/>
      <c r="N1173" s="220"/>
      <c r="O1173" s="220"/>
      <c r="Q1173" s="210"/>
      <c r="R1173" s="210"/>
      <c r="S1173" s="210"/>
      <c r="T1173" s="210"/>
      <c r="U1173" s="210"/>
      <c r="V1173" s="210"/>
    </row>
    <row r="1174">
      <c r="A1174" s="220"/>
      <c r="F1174" s="190"/>
      <c r="G1174" s="190"/>
      <c r="N1174" s="220"/>
      <c r="O1174" s="220"/>
      <c r="Q1174" s="210"/>
      <c r="R1174" s="210"/>
      <c r="S1174" s="210"/>
      <c r="T1174" s="210"/>
      <c r="U1174" s="210"/>
      <c r="V1174" s="210"/>
    </row>
    <row r="1175">
      <c r="A1175" s="220"/>
      <c r="F1175" s="190"/>
      <c r="G1175" s="190"/>
      <c r="N1175" s="220"/>
      <c r="O1175" s="220"/>
      <c r="Q1175" s="210"/>
      <c r="R1175" s="210"/>
      <c r="S1175" s="210"/>
      <c r="T1175" s="210"/>
      <c r="U1175" s="210"/>
      <c r="V1175" s="210"/>
    </row>
    <row r="1176">
      <c r="A1176" s="220"/>
      <c r="F1176" s="190"/>
      <c r="G1176" s="190"/>
      <c r="N1176" s="220"/>
      <c r="O1176" s="220"/>
      <c r="Q1176" s="210"/>
      <c r="R1176" s="210"/>
      <c r="S1176" s="210"/>
      <c r="T1176" s="210"/>
      <c r="U1176" s="210"/>
      <c r="V1176" s="210"/>
    </row>
    <row r="1177">
      <c r="A1177" s="220"/>
      <c r="F1177" s="190"/>
      <c r="G1177" s="190"/>
      <c r="N1177" s="220"/>
      <c r="O1177" s="220"/>
      <c r="Q1177" s="210"/>
      <c r="R1177" s="210"/>
      <c r="S1177" s="210"/>
      <c r="T1177" s="210"/>
      <c r="U1177" s="210"/>
      <c r="V1177" s="210"/>
    </row>
    <row r="1178">
      <c r="A1178" s="220"/>
      <c r="F1178" s="190"/>
      <c r="G1178" s="190"/>
      <c r="N1178" s="220"/>
      <c r="O1178" s="220"/>
      <c r="Q1178" s="210"/>
      <c r="R1178" s="210"/>
      <c r="S1178" s="210"/>
      <c r="T1178" s="210"/>
      <c r="U1178" s="210"/>
      <c r="V1178" s="210"/>
    </row>
    <row r="1179">
      <c r="A1179" s="220"/>
      <c r="F1179" s="190"/>
      <c r="G1179" s="190"/>
      <c r="N1179" s="220"/>
      <c r="O1179" s="220"/>
      <c r="Q1179" s="210"/>
      <c r="R1179" s="210"/>
      <c r="S1179" s="210"/>
      <c r="T1179" s="210"/>
      <c r="U1179" s="210"/>
      <c r="V1179" s="210"/>
    </row>
    <row r="1180">
      <c r="A1180" s="220"/>
      <c r="F1180" s="190"/>
      <c r="G1180" s="190"/>
      <c r="N1180" s="220"/>
      <c r="O1180" s="220"/>
      <c r="Q1180" s="210"/>
      <c r="R1180" s="210"/>
      <c r="S1180" s="210"/>
      <c r="T1180" s="210"/>
      <c r="U1180" s="210"/>
      <c r="V1180" s="210"/>
    </row>
    <row r="1181">
      <c r="A1181" s="220"/>
      <c r="F1181" s="190"/>
      <c r="G1181" s="190"/>
      <c r="N1181" s="220"/>
      <c r="O1181" s="220"/>
      <c r="Q1181" s="210"/>
      <c r="R1181" s="210"/>
      <c r="S1181" s="210"/>
      <c r="T1181" s="210"/>
      <c r="U1181" s="210"/>
      <c r="V1181" s="210"/>
    </row>
    <row r="1182">
      <c r="A1182" s="220"/>
      <c r="F1182" s="190"/>
      <c r="G1182" s="190"/>
      <c r="N1182" s="220"/>
      <c r="O1182" s="220"/>
      <c r="Q1182" s="210"/>
      <c r="R1182" s="210"/>
      <c r="S1182" s="210"/>
      <c r="T1182" s="210"/>
      <c r="U1182" s="210"/>
      <c r="V1182" s="210"/>
    </row>
    <row r="1183">
      <c r="A1183" s="220"/>
      <c r="F1183" s="190"/>
      <c r="G1183" s="190"/>
      <c r="N1183" s="220"/>
      <c r="O1183" s="220"/>
      <c r="Q1183" s="210"/>
      <c r="R1183" s="210"/>
      <c r="S1183" s="210"/>
      <c r="T1183" s="210"/>
      <c r="U1183" s="210"/>
      <c r="V1183" s="210"/>
    </row>
    <row r="1184">
      <c r="A1184" s="220"/>
      <c r="F1184" s="190"/>
      <c r="G1184" s="190"/>
      <c r="N1184" s="220"/>
      <c r="O1184" s="220"/>
      <c r="Q1184" s="210"/>
      <c r="R1184" s="210"/>
      <c r="S1184" s="210"/>
      <c r="T1184" s="210"/>
      <c r="U1184" s="210"/>
      <c r="V1184" s="210"/>
    </row>
    <row r="1185">
      <c r="A1185" s="220"/>
      <c r="F1185" s="190"/>
      <c r="G1185" s="190"/>
      <c r="N1185" s="220"/>
      <c r="O1185" s="220"/>
      <c r="Q1185" s="210"/>
      <c r="R1185" s="210"/>
      <c r="S1185" s="210"/>
      <c r="T1185" s="210"/>
      <c r="U1185" s="210"/>
      <c r="V1185" s="210"/>
    </row>
    <row r="1186">
      <c r="A1186" s="220"/>
      <c r="F1186" s="190"/>
      <c r="G1186" s="190"/>
      <c r="N1186" s="220"/>
      <c r="O1186" s="220"/>
      <c r="Q1186" s="210"/>
      <c r="R1186" s="210"/>
      <c r="S1186" s="210"/>
      <c r="T1186" s="210"/>
      <c r="U1186" s="210"/>
      <c r="V1186" s="210"/>
    </row>
    <row r="1187">
      <c r="A1187" s="220"/>
      <c r="F1187" s="190"/>
      <c r="G1187" s="190"/>
      <c r="N1187" s="220"/>
      <c r="O1187" s="220"/>
      <c r="Q1187" s="210"/>
      <c r="R1187" s="210"/>
      <c r="S1187" s="210"/>
      <c r="T1187" s="210"/>
      <c r="U1187" s="210"/>
      <c r="V1187" s="210"/>
    </row>
    <row r="1188">
      <c r="A1188" s="220"/>
      <c r="F1188" s="190"/>
      <c r="G1188" s="190"/>
      <c r="N1188" s="220"/>
      <c r="O1188" s="220"/>
      <c r="Q1188" s="210"/>
      <c r="R1188" s="210"/>
      <c r="S1188" s="210"/>
      <c r="T1188" s="210"/>
      <c r="U1188" s="210"/>
      <c r="V1188" s="210"/>
    </row>
    <row r="1189">
      <c r="A1189" s="220"/>
      <c r="F1189" s="190"/>
      <c r="G1189" s="190"/>
      <c r="N1189" s="220"/>
      <c r="O1189" s="220"/>
      <c r="Q1189" s="210"/>
      <c r="R1189" s="210"/>
      <c r="S1189" s="210"/>
      <c r="T1189" s="210"/>
      <c r="U1189" s="210"/>
      <c r="V1189" s="210"/>
    </row>
    <row r="1190">
      <c r="A1190" s="220"/>
      <c r="F1190" s="190"/>
      <c r="G1190" s="190"/>
      <c r="N1190" s="220"/>
      <c r="O1190" s="220"/>
      <c r="Q1190" s="210"/>
      <c r="R1190" s="210"/>
      <c r="S1190" s="210"/>
      <c r="T1190" s="210"/>
      <c r="U1190" s="210"/>
      <c r="V1190" s="210"/>
    </row>
    <row r="1191">
      <c r="A1191" s="220"/>
      <c r="F1191" s="190"/>
      <c r="G1191" s="190"/>
      <c r="N1191" s="220"/>
      <c r="O1191" s="220"/>
      <c r="Q1191" s="210"/>
      <c r="R1191" s="210"/>
      <c r="S1191" s="210"/>
      <c r="T1191" s="210"/>
      <c r="U1191" s="210"/>
      <c r="V1191" s="210"/>
    </row>
    <row r="1192">
      <c r="A1192" s="220"/>
      <c r="F1192" s="190"/>
      <c r="G1192" s="190"/>
      <c r="N1192" s="220"/>
      <c r="O1192" s="220"/>
      <c r="Q1192" s="210"/>
      <c r="R1192" s="210"/>
      <c r="S1192" s="210"/>
      <c r="T1192" s="210"/>
      <c r="U1192" s="210"/>
      <c r="V1192" s="210"/>
    </row>
    <row r="1193">
      <c r="A1193" s="220"/>
      <c r="F1193" s="190"/>
      <c r="G1193" s="190"/>
      <c r="N1193" s="220"/>
      <c r="O1193" s="220"/>
      <c r="Q1193" s="210"/>
      <c r="R1193" s="210"/>
      <c r="S1193" s="210"/>
      <c r="T1193" s="210"/>
      <c r="U1193" s="210"/>
      <c r="V1193" s="210"/>
    </row>
    <row r="1194">
      <c r="A1194" s="220"/>
      <c r="F1194" s="190"/>
      <c r="G1194" s="190"/>
      <c r="N1194" s="220"/>
      <c r="O1194" s="220"/>
      <c r="Q1194" s="210"/>
      <c r="R1194" s="210"/>
      <c r="S1194" s="210"/>
      <c r="T1194" s="210"/>
      <c r="U1194" s="210"/>
      <c r="V1194" s="210"/>
    </row>
    <row r="1195">
      <c r="A1195" s="220"/>
      <c r="F1195" s="190"/>
      <c r="G1195" s="190"/>
      <c r="N1195" s="220"/>
      <c r="O1195" s="220"/>
      <c r="Q1195" s="210"/>
      <c r="R1195" s="210"/>
      <c r="S1195" s="210"/>
      <c r="T1195" s="210"/>
      <c r="U1195" s="210"/>
      <c r="V1195" s="210"/>
    </row>
    <row r="1196">
      <c r="A1196" s="220"/>
      <c r="F1196" s="190"/>
      <c r="G1196" s="190"/>
      <c r="N1196" s="220"/>
      <c r="O1196" s="220"/>
      <c r="Q1196" s="210"/>
      <c r="R1196" s="210"/>
      <c r="S1196" s="210"/>
      <c r="T1196" s="210"/>
      <c r="U1196" s="210"/>
      <c r="V1196" s="210"/>
    </row>
    <row r="1197">
      <c r="A1197" s="220"/>
      <c r="F1197" s="190"/>
      <c r="G1197" s="190"/>
      <c r="N1197" s="220"/>
      <c r="O1197" s="220"/>
      <c r="Q1197" s="210"/>
      <c r="R1197" s="210"/>
      <c r="S1197" s="210"/>
      <c r="T1197" s="210"/>
      <c r="U1197" s="210"/>
      <c r="V1197" s="210"/>
    </row>
    <row r="1198">
      <c r="A1198" s="220"/>
      <c r="F1198" s="190"/>
      <c r="G1198" s="190"/>
      <c r="N1198" s="220"/>
      <c r="O1198" s="220"/>
      <c r="Q1198" s="210"/>
      <c r="R1198" s="210"/>
      <c r="S1198" s="210"/>
      <c r="T1198" s="210"/>
      <c r="U1198" s="210"/>
      <c r="V1198" s="210"/>
    </row>
    <row r="1199">
      <c r="A1199" s="220"/>
      <c r="F1199" s="190"/>
      <c r="G1199" s="190"/>
      <c r="N1199" s="220"/>
      <c r="O1199" s="220"/>
      <c r="Q1199" s="210"/>
      <c r="R1199" s="210"/>
      <c r="S1199" s="210"/>
      <c r="T1199" s="210"/>
      <c r="U1199" s="210"/>
      <c r="V1199" s="210"/>
    </row>
    <row r="1200">
      <c r="A1200" s="220"/>
      <c r="F1200" s="190"/>
      <c r="G1200" s="190"/>
      <c r="N1200" s="220"/>
      <c r="O1200" s="220"/>
      <c r="Q1200" s="210"/>
      <c r="R1200" s="210"/>
      <c r="S1200" s="210"/>
      <c r="T1200" s="210"/>
      <c r="U1200" s="210"/>
      <c r="V1200" s="210"/>
    </row>
    <row r="1201">
      <c r="A1201" s="220"/>
      <c r="F1201" s="190"/>
      <c r="G1201" s="190"/>
      <c r="N1201" s="220"/>
      <c r="O1201" s="220"/>
      <c r="Q1201" s="210"/>
      <c r="R1201" s="210"/>
      <c r="S1201" s="210"/>
      <c r="T1201" s="210"/>
      <c r="U1201" s="210"/>
      <c r="V1201" s="210"/>
    </row>
    <row r="1202">
      <c r="A1202" s="220"/>
      <c r="F1202" s="190"/>
      <c r="G1202" s="190"/>
      <c r="N1202" s="220"/>
      <c r="O1202" s="220"/>
      <c r="Q1202" s="210"/>
      <c r="R1202" s="210"/>
      <c r="S1202" s="210"/>
      <c r="T1202" s="210"/>
      <c r="U1202" s="210"/>
      <c r="V1202" s="210"/>
    </row>
    <row r="1203">
      <c r="A1203" s="220"/>
      <c r="F1203" s="190"/>
      <c r="G1203" s="190"/>
      <c r="N1203" s="220"/>
      <c r="O1203" s="220"/>
      <c r="Q1203" s="210"/>
      <c r="R1203" s="210"/>
      <c r="S1203" s="210"/>
      <c r="T1203" s="210"/>
      <c r="U1203" s="210"/>
      <c r="V1203" s="210"/>
    </row>
    <row r="1204">
      <c r="A1204" s="220"/>
      <c r="F1204" s="190"/>
      <c r="G1204" s="190"/>
      <c r="N1204" s="220"/>
      <c r="O1204" s="220"/>
      <c r="Q1204" s="210"/>
      <c r="R1204" s="210"/>
      <c r="S1204" s="210"/>
      <c r="T1204" s="210"/>
      <c r="U1204" s="210"/>
      <c r="V1204" s="210"/>
    </row>
    <row r="1205">
      <c r="A1205" s="220"/>
      <c r="F1205" s="190"/>
      <c r="G1205" s="190"/>
      <c r="N1205" s="220"/>
      <c r="O1205" s="220"/>
      <c r="Q1205" s="210"/>
      <c r="R1205" s="210"/>
      <c r="S1205" s="210"/>
      <c r="T1205" s="210"/>
      <c r="U1205" s="210"/>
      <c r="V1205" s="210"/>
    </row>
    <row r="1206">
      <c r="A1206" s="220"/>
      <c r="F1206" s="190"/>
      <c r="G1206" s="190"/>
      <c r="N1206" s="220"/>
      <c r="O1206" s="220"/>
      <c r="Q1206" s="210"/>
      <c r="R1206" s="210"/>
      <c r="S1206" s="210"/>
      <c r="T1206" s="210"/>
      <c r="U1206" s="210"/>
      <c r="V1206" s="210"/>
    </row>
    <row r="1207">
      <c r="A1207" s="220"/>
      <c r="F1207" s="190"/>
      <c r="G1207" s="190"/>
      <c r="N1207" s="220"/>
      <c r="O1207" s="220"/>
      <c r="Q1207" s="210"/>
      <c r="R1207" s="210"/>
      <c r="S1207" s="210"/>
      <c r="T1207" s="210"/>
      <c r="U1207" s="210"/>
      <c r="V1207" s="210"/>
    </row>
    <row r="1208">
      <c r="A1208" s="220"/>
      <c r="F1208" s="190"/>
      <c r="G1208" s="190"/>
      <c r="N1208" s="220"/>
      <c r="O1208" s="220"/>
      <c r="Q1208" s="210"/>
      <c r="R1208" s="210"/>
      <c r="S1208" s="210"/>
      <c r="T1208" s="210"/>
      <c r="U1208" s="210"/>
      <c r="V1208" s="210"/>
    </row>
    <row r="1209">
      <c r="A1209" s="220"/>
      <c r="F1209" s="190"/>
      <c r="G1209" s="190"/>
      <c r="N1209" s="220"/>
      <c r="O1209" s="220"/>
      <c r="Q1209" s="210"/>
      <c r="R1209" s="210"/>
      <c r="S1209" s="210"/>
      <c r="T1209" s="210"/>
      <c r="U1209" s="210"/>
      <c r="V1209" s="210"/>
    </row>
    <row r="1210">
      <c r="A1210" s="220"/>
      <c r="F1210" s="190"/>
      <c r="G1210" s="190"/>
      <c r="N1210" s="220"/>
      <c r="O1210" s="220"/>
      <c r="Q1210" s="210"/>
      <c r="R1210" s="210"/>
      <c r="S1210" s="210"/>
      <c r="T1210" s="210"/>
      <c r="U1210" s="210"/>
      <c r="V1210" s="210"/>
    </row>
    <row r="1211">
      <c r="A1211" s="220"/>
      <c r="F1211" s="190"/>
      <c r="G1211" s="190"/>
      <c r="N1211" s="220"/>
      <c r="O1211" s="220"/>
      <c r="Q1211" s="210"/>
      <c r="R1211" s="210"/>
      <c r="S1211" s="210"/>
      <c r="T1211" s="210"/>
      <c r="U1211" s="210"/>
      <c r="V1211" s="210"/>
    </row>
    <row r="1212">
      <c r="A1212" s="220"/>
      <c r="F1212" s="190"/>
      <c r="G1212" s="190"/>
      <c r="N1212" s="220"/>
      <c r="O1212" s="220"/>
      <c r="Q1212" s="210"/>
      <c r="R1212" s="210"/>
      <c r="S1212" s="210"/>
      <c r="T1212" s="210"/>
      <c r="U1212" s="210"/>
      <c r="V1212" s="210"/>
    </row>
    <row r="1213">
      <c r="A1213" s="220"/>
      <c r="F1213" s="190"/>
      <c r="G1213" s="190"/>
      <c r="N1213" s="220"/>
      <c r="O1213" s="220"/>
      <c r="Q1213" s="210"/>
      <c r="R1213" s="210"/>
      <c r="S1213" s="210"/>
      <c r="T1213" s="210"/>
      <c r="U1213" s="210"/>
      <c r="V1213" s="210"/>
    </row>
    <row r="1214">
      <c r="A1214" s="220"/>
      <c r="F1214" s="190"/>
      <c r="G1214" s="190"/>
      <c r="N1214" s="220"/>
      <c r="O1214" s="220"/>
      <c r="Q1214" s="210"/>
      <c r="R1214" s="210"/>
      <c r="S1214" s="210"/>
      <c r="T1214" s="210"/>
      <c r="U1214" s="210"/>
      <c r="V1214" s="210"/>
    </row>
    <row r="1215">
      <c r="A1215" s="220"/>
      <c r="F1215" s="190"/>
      <c r="G1215" s="190"/>
      <c r="N1215" s="220"/>
      <c r="O1215" s="220"/>
      <c r="Q1215" s="210"/>
      <c r="R1215" s="210"/>
      <c r="S1215" s="210"/>
      <c r="T1215" s="210"/>
      <c r="U1215" s="210"/>
      <c r="V1215" s="210"/>
    </row>
    <row r="1216">
      <c r="A1216" s="220"/>
      <c r="F1216" s="190"/>
      <c r="G1216" s="190"/>
      <c r="N1216" s="220"/>
      <c r="O1216" s="220"/>
      <c r="Q1216" s="210"/>
      <c r="R1216" s="210"/>
      <c r="S1216" s="210"/>
      <c r="T1216" s="210"/>
      <c r="U1216" s="210"/>
      <c r="V1216" s="210"/>
    </row>
    <row r="1217">
      <c r="A1217" s="220"/>
      <c r="F1217" s="190"/>
      <c r="G1217" s="190"/>
      <c r="N1217" s="220"/>
      <c r="O1217" s="220"/>
      <c r="Q1217" s="210"/>
      <c r="R1217" s="210"/>
      <c r="S1217" s="210"/>
      <c r="T1217" s="210"/>
      <c r="U1217" s="210"/>
      <c r="V1217" s="210"/>
    </row>
    <row r="1218">
      <c r="A1218" s="220"/>
      <c r="F1218" s="190"/>
      <c r="G1218" s="190"/>
      <c r="N1218" s="220"/>
      <c r="O1218" s="220"/>
      <c r="Q1218" s="210"/>
      <c r="R1218" s="210"/>
      <c r="S1218" s="210"/>
      <c r="T1218" s="210"/>
      <c r="U1218" s="210"/>
      <c r="V1218" s="210"/>
    </row>
    <row r="1219">
      <c r="A1219" s="220"/>
      <c r="F1219" s="190"/>
      <c r="G1219" s="190"/>
      <c r="N1219" s="220"/>
      <c r="O1219" s="220"/>
      <c r="Q1219" s="210"/>
      <c r="R1219" s="210"/>
      <c r="S1219" s="210"/>
      <c r="T1219" s="210"/>
      <c r="U1219" s="210"/>
      <c r="V1219" s="210"/>
    </row>
    <row r="1220">
      <c r="A1220" s="220"/>
      <c r="F1220" s="190"/>
      <c r="G1220" s="190"/>
      <c r="N1220" s="220"/>
      <c r="O1220" s="220"/>
      <c r="Q1220" s="210"/>
      <c r="R1220" s="210"/>
      <c r="S1220" s="210"/>
      <c r="T1220" s="210"/>
      <c r="U1220" s="210"/>
      <c r="V1220" s="210"/>
    </row>
    <row r="1221">
      <c r="A1221" s="220"/>
      <c r="F1221" s="190"/>
      <c r="G1221" s="190"/>
      <c r="N1221" s="220"/>
      <c r="O1221" s="220"/>
      <c r="Q1221" s="210"/>
      <c r="R1221" s="210"/>
      <c r="S1221" s="210"/>
      <c r="T1221" s="210"/>
      <c r="U1221" s="210"/>
      <c r="V1221" s="210"/>
    </row>
    <row r="1222">
      <c r="A1222" s="220"/>
      <c r="F1222" s="190"/>
      <c r="G1222" s="190"/>
      <c r="N1222" s="220"/>
      <c r="O1222" s="220"/>
      <c r="Q1222" s="210"/>
      <c r="R1222" s="210"/>
      <c r="S1222" s="210"/>
      <c r="T1222" s="210"/>
      <c r="U1222" s="210"/>
      <c r="V1222" s="210"/>
    </row>
    <row r="1223">
      <c r="A1223" s="220"/>
      <c r="F1223" s="190"/>
      <c r="G1223" s="190"/>
      <c r="N1223" s="220"/>
      <c r="O1223" s="220"/>
      <c r="Q1223" s="210"/>
      <c r="R1223" s="210"/>
      <c r="S1223" s="210"/>
      <c r="T1223" s="210"/>
      <c r="U1223" s="210"/>
      <c r="V1223" s="210"/>
    </row>
    <row r="1224">
      <c r="A1224" s="220"/>
      <c r="F1224" s="190"/>
      <c r="G1224" s="190"/>
      <c r="N1224" s="220"/>
      <c r="O1224" s="220"/>
      <c r="Q1224" s="210"/>
      <c r="R1224" s="210"/>
      <c r="S1224" s="210"/>
      <c r="T1224" s="210"/>
      <c r="U1224" s="210"/>
      <c r="V1224" s="210"/>
    </row>
    <row r="1225">
      <c r="A1225" s="220"/>
      <c r="F1225" s="190"/>
      <c r="G1225" s="190"/>
      <c r="N1225" s="220"/>
      <c r="O1225" s="220"/>
      <c r="Q1225" s="210"/>
      <c r="R1225" s="210"/>
      <c r="S1225" s="210"/>
      <c r="T1225" s="210"/>
      <c r="U1225" s="210"/>
      <c r="V1225" s="210"/>
    </row>
    <row r="1226">
      <c r="A1226" s="220"/>
      <c r="F1226" s="190"/>
      <c r="G1226" s="190"/>
      <c r="N1226" s="220"/>
      <c r="O1226" s="220"/>
      <c r="Q1226" s="210"/>
      <c r="R1226" s="210"/>
      <c r="S1226" s="210"/>
      <c r="T1226" s="210"/>
      <c r="U1226" s="210"/>
      <c r="V1226" s="210"/>
    </row>
    <row r="1227">
      <c r="A1227" s="220"/>
      <c r="F1227" s="190"/>
      <c r="G1227" s="190"/>
      <c r="N1227" s="220"/>
      <c r="O1227" s="220"/>
      <c r="Q1227" s="210"/>
      <c r="R1227" s="210"/>
      <c r="S1227" s="210"/>
      <c r="T1227" s="210"/>
      <c r="U1227" s="210"/>
      <c r="V1227" s="210"/>
    </row>
    <row r="1228">
      <c r="A1228" s="220"/>
      <c r="F1228" s="190"/>
      <c r="G1228" s="190"/>
      <c r="N1228" s="220"/>
      <c r="O1228" s="220"/>
      <c r="Q1228" s="210"/>
      <c r="R1228" s="210"/>
      <c r="S1228" s="210"/>
      <c r="T1228" s="210"/>
      <c r="U1228" s="210"/>
      <c r="V1228" s="210"/>
    </row>
    <row r="1229">
      <c r="A1229" s="220"/>
      <c r="F1229" s="190"/>
      <c r="G1229" s="190"/>
      <c r="N1229" s="220"/>
      <c r="O1229" s="220"/>
      <c r="Q1229" s="210"/>
      <c r="R1229" s="210"/>
      <c r="S1229" s="210"/>
      <c r="T1229" s="210"/>
      <c r="U1229" s="210"/>
      <c r="V1229" s="210"/>
    </row>
    <row r="1230">
      <c r="A1230" s="220"/>
      <c r="F1230" s="190"/>
      <c r="G1230" s="190"/>
      <c r="N1230" s="220"/>
      <c r="O1230" s="220"/>
      <c r="Q1230" s="210"/>
      <c r="R1230" s="210"/>
      <c r="S1230" s="210"/>
      <c r="T1230" s="210"/>
      <c r="U1230" s="210"/>
      <c r="V1230" s="210"/>
    </row>
    <row r="1231">
      <c r="A1231" s="220"/>
      <c r="F1231" s="190"/>
      <c r="G1231" s="190"/>
      <c r="N1231" s="220"/>
      <c r="O1231" s="220"/>
      <c r="Q1231" s="210"/>
      <c r="R1231" s="210"/>
      <c r="S1231" s="210"/>
      <c r="T1231" s="210"/>
      <c r="U1231" s="210"/>
      <c r="V1231" s="210"/>
    </row>
    <row r="1232">
      <c r="A1232" s="220"/>
      <c r="F1232" s="190"/>
      <c r="G1232" s="190"/>
      <c r="N1232" s="220"/>
      <c r="O1232" s="220"/>
      <c r="Q1232" s="210"/>
      <c r="R1232" s="210"/>
      <c r="S1232" s="210"/>
      <c r="T1232" s="210"/>
      <c r="U1232" s="210"/>
      <c r="V1232" s="210"/>
    </row>
    <row r="1233">
      <c r="A1233" s="220"/>
      <c r="F1233" s="190"/>
      <c r="G1233" s="190"/>
      <c r="N1233" s="220"/>
      <c r="O1233" s="220"/>
      <c r="Q1233" s="210"/>
      <c r="R1233" s="210"/>
      <c r="S1233" s="210"/>
      <c r="T1233" s="210"/>
      <c r="U1233" s="210"/>
      <c r="V1233" s="210"/>
    </row>
    <row r="1234">
      <c r="A1234" s="220"/>
      <c r="F1234" s="190"/>
      <c r="G1234" s="190"/>
      <c r="N1234" s="220"/>
      <c r="O1234" s="220"/>
      <c r="Q1234" s="210"/>
      <c r="R1234" s="210"/>
      <c r="S1234" s="210"/>
      <c r="T1234" s="210"/>
      <c r="U1234" s="210"/>
      <c r="V1234" s="210"/>
    </row>
    <row r="1235">
      <c r="A1235" s="220"/>
      <c r="F1235" s="190"/>
      <c r="G1235" s="190"/>
      <c r="N1235" s="220"/>
      <c r="O1235" s="220"/>
      <c r="Q1235" s="210"/>
      <c r="R1235" s="210"/>
      <c r="S1235" s="210"/>
      <c r="T1235" s="210"/>
      <c r="U1235" s="210"/>
      <c r="V1235" s="210"/>
    </row>
    <row r="1236">
      <c r="A1236" s="220"/>
      <c r="F1236" s="190"/>
      <c r="G1236" s="190"/>
      <c r="N1236" s="220"/>
      <c r="O1236" s="220"/>
      <c r="Q1236" s="210"/>
      <c r="R1236" s="210"/>
      <c r="S1236" s="210"/>
      <c r="T1236" s="210"/>
      <c r="U1236" s="210"/>
      <c r="V1236" s="210"/>
    </row>
    <row r="1237">
      <c r="A1237" s="220"/>
      <c r="F1237" s="190"/>
      <c r="G1237" s="190"/>
      <c r="N1237" s="220"/>
      <c r="O1237" s="220"/>
      <c r="Q1237" s="210"/>
      <c r="R1237" s="210"/>
      <c r="S1237" s="210"/>
      <c r="T1237" s="210"/>
      <c r="U1237" s="210"/>
      <c r="V1237" s="210"/>
    </row>
    <row r="1238">
      <c r="A1238" s="220"/>
      <c r="F1238" s="190"/>
      <c r="G1238" s="190"/>
      <c r="N1238" s="220"/>
      <c r="O1238" s="220"/>
      <c r="Q1238" s="210"/>
      <c r="R1238" s="210"/>
      <c r="S1238" s="210"/>
      <c r="T1238" s="210"/>
      <c r="U1238" s="210"/>
      <c r="V1238" s="210"/>
    </row>
    <row r="1239">
      <c r="A1239" s="220"/>
      <c r="F1239" s="190"/>
      <c r="G1239" s="190"/>
      <c r="N1239" s="220"/>
      <c r="O1239" s="220"/>
      <c r="Q1239" s="210"/>
      <c r="R1239" s="210"/>
      <c r="S1239" s="210"/>
      <c r="T1239" s="210"/>
      <c r="U1239" s="210"/>
      <c r="V1239" s="210"/>
    </row>
    <row r="1240">
      <c r="A1240" s="220"/>
      <c r="F1240" s="190"/>
      <c r="G1240" s="190"/>
      <c r="N1240" s="220"/>
      <c r="O1240" s="220"/>
      <c r="Q1240" s="210"/>
      <c r="R1240" s="210"/>
      <c r="S1240" s="210"/>
      <c r="T1240" s="210"/>
      <c r="U1240" s="210"/>
      <c r="V1240" s="210"/>
    </row>
    <row r="1241">
      <c r="A1241" s="220"/>
      <c r="F1241" s="190"/>
      <c r="G1241" s="190"/>
      <c r="N1241" s="220"/>
      <c r="O1241" s="220"/>
      <c r="Q1241" s="210"/>
      <c r="R1241" s="210"/>
      <c r="S1241" s="210"/>
      <c r="T1241" s="210"/>
      <c r="U1241" s="210"/>
      <c r="V1241" s="210"/>
    </row>
    <row r="1242">
      <c r="A1242" s="220"/>
      <c r="F1242" s="190"/>
      <c r="G1242" s="190"/>
      <c r="N1242" s="220"/>
      <c r="O1242" s="220"/>
      <c r="Q1242" s="210"/>
      <c r="R1242" s="210"/>
      <c r="S1242" s="210"/>
      <c r="T1242" s="210"/>
      <c r="U1242" s="210"/>
      <c r="V1242" s="210"/>
    </row>
    <row r="1243">
      <c r="A1243" s="220"/>
      <c r="F1243" s="190"/>
      <c r="G1243" s="190"/>
      <c r="N1243" s="220"/>
      <c r="O1243" s="220"/>
      <c r="Q1243" s="210"/>
      <c r="R1243" s="210"/>
      <c r="S1243" s="210"/>
      <c r="T1243" s="210"/>
      <c r="U1243" s="210"/>
      <c r="V1243" s="210"/>
    </row>
    <row r="1244">
      <c r="A1244" s="220"/>
      <c r="F1244" s="190"/>
      <c r="G1244" s="190"/>
      <c r="N1244" s="220"/>
      <c r="O1244" s="220"/>
      <c r="Q1244" s="210"/>
      <c r="R1244" s="210"/>
      <c r="S1244" s="210"/>
      <c r="T1244" s="210"/>
      <c r="U1244" s="210"/>
      <c r="V1244" s="210"/>
    </row>
    <row r="1245">
      <c r="A1245" s="220"/>
      <c r="F1245" s="190"/>
      <c r="G1245" s="190"/>
      <c r="N1245" s="220"/>
      <c r="O1245" s="220"/>
      <c r="Q1245" s="210"/>
      <c r="R1245" s="210"/>
      <c r="S1245" s="210"/>
      <c r="T1245" s="210"/>
      <c r="U1245" s="210"/>
      <c r="V1245" s="210"/>
    </row>
    <row r="1246">
      <c r="A1246" s="220"/>
      <c r="F1246" s="190"/>
      <c r="G1246" s="190"/>
      <c r="N1246" s="220"/>
      <c r="O1246" s="220"/>
      <c r="Q1246" s="210"/>
      <c r="R1246" s="210"/>
      <c r="S1246" s="210"/>
      <c r="T1246" s="210"/>
      <c r="U1246" s="210"/>
      <c r="V1246" s="210"/>
    </row>
    <row r="1247">
      <c r="A1247" s="220"/>
      <c r="F1247" s="190"/>
      <c r="G1247" s="190"/>
      <c r="N1247" s="220"/>
      <c r="O1247" s="220"/>
      <c r="Q1247" s="210"/>
      <c r="R1247" s="210"/>
      <c r="S1247" s="210"/>
      <c r="T1247" s="210"/>
      <c r="U1247" s="210"/>
      <c r="V1247" s="210"/>
    </row>
    <row r="1248">
      <c r="A1248" s="220"/>
      <c r="F1248" s="190"/>
      <c r="G1248" s="190"/>
      <c r="N1248" s="220"/>
      <c r="O1248" s="220"/>
      <c r="Q1248" s="210"/>
      <c r="R1248" s="210"/>
      <c r="S1248" s="210"/>
      <c r="T1248" s="210"/>
      <c r="U1248" s="210"/>
      <c r="V1248" s="210"/>
    </row>
    <row r="1249">
      <c r="A1249" s="220"/>
      <c r="F1249" s="190"/>
      <c r="G1249" s="190"/>
      <c r="N1249" s="220"/>
      <c r="O1249" s="220"/>
      <c r="Q1249" s="210"/>
      <c r="R1249" s="210"/>
      <c r="S1249" s="210"/>
      <c r="T1249" s="210"/>
      <c r="U1249" s="210"/>
      <c r="V1249" s="210"/>
    </row>
    <row r="1250">
      <c r="A1250" s="220"/>
      <c r="F1250" s="190"/>
      <c r="G1250" s="190"/>
      <c r="N1250" s="220"/>
      <c r="O1250" s="220"/>
      <c r="Q1250" s="210"/>
      <c r="R1250" s="210"/>
      <c r="S1250" s="210"/>
      <c r="T1250" s="210"/>
      <c r="U1250" s="210"/>
      <c r="V1250" s="210"/>
    </row>
    <row r="1251">
      <c r="A1251" s="220"/>
      <c r="F1251" s="190"/>
      <c r="G1251" s="190"/>
      <c r="N1251" s="220"/>
      <c r="O1251" s="220"/>
      <c r="Q1251" s="210"/>
      <c r="R1251" s="210"/>
      <c r="S1251" s="210"/>
      <c r="T1251" s="210"/>
      <c r="U1251" s="210"/>
      <c r="V1251" s="210"/>
    </row>
    <row r="1252">
      <c r="A1252" s="220"/>
      <c r="F1252" s="190"/>
      <c r="G1252" s="190"/>
      <c r="N1252" s="220"/>
      <c r="O1252" s="220"/>
      <c r="Q1252" s="210"/>
      <c r="R1252" s="210"/>
      <c r="S1252" s="210"/>
      <c r="T1252" s="210"/>
      <c r="U1252" s="210"/>
      <c r="V1252" s="210"/>
    </row>
    <row r="1253">
      <c r="A1253" s="220"/>
      <c r="F1253" s="190"/>
      <c r="G1253" s="190"/>
      <c r="N1253" s="220"/>
      <c r="O1253" s="220"/>
      <c r="Q1253" s="210"/>
      <c r="R1253" s="210"/>
      <c r="S1253" s="210"/>
      <c r="T1253" s="210"/>
      <c r="U1253" s="210"/>
      <c r="V1253" s="210"/>
    </row>
    <row r="1254">
      <c r="A1254" s="220"/>
      <c r="F1254" s="190"/>
      <c r="G1254" s="190"/>
      <c r="N1254" s="220"/>
      <c r="O1254" s="220"/>
      <c r="Q1254" s="210"/>
      <c r="R1254" s="210"/>
      <c r="S1254" s="210"/>
      <c r="T1254" s="210"/>
      <c r="U1254" s="210"/>
      <c r="V1254" s="210"/>
    </row>
    <row r="1255">
      <c r="A1255" s="220"/>
      <c r="F1255" s="190"/>
      <c r="G1255" s="190"/>
      <c r="N1255" s="220"/>
      <c r="O1255" s="220"/>
      <c r="Q1255" s="210"/>
      <c r="R1255" s="210"/>
      <c r="S1255" s="210"/>
      <c r="T1255" s="210"/>
      <c r="U1255" s="210"/>
      <c r="V1255" s="210"/>
    </row>
    <row r="1256">
      <c r="A1256" s="220"/>
      <c r="F1256" s="190"/>
      <c r="G1256" s="190"/>
      <c r="N1256" s="220"/>
      <c r="O1256" s="220"/>
      <c r="Q1256" s="210"/>
      <c r="R1256" s="210"/>
      <c r="S1256" s="210"/>
      <c r="T1256" s="210"/>
      <c r="U1256" s="210"/>
      <c r="V1256" s="210"/>
    </row>
    <row r="1257">
      <c r="A1257" s="220"/>
      <c r="F1257" s="190"/>
      <c r="G1257" s="190"/>
      <c r="N1257" s="220"/>
      <c r="O1257" s="220"/>
      <c r="Q1257" s="210"/>
      <c r="R1257" s="210"/>
      <c r="S1257" s="210"/>
      <c r="T1257" s="210"/>
      <c r="U1257" s="210"/>
      <c r="V1257" s="210"/>
    </row>
    <row r="1258">
      <c r="A1258" s="220"/>
      <c r="F1258" s="190"/>
      <c r="G1258" s="190"/>
      <c r="N1258" s="220"/>
      <c r="O1258" s="220"/>
      <c r="Q1258" s="210"/>
      <c r="R1258" s="210"/>
      <c r="S1258" s="210"/>
      <c r="T1258" s="210"/>
      <c r="U1258" s="210"/>
      <c r="V1258" s="210"/>
    </row>
    <row r="1259">
      <c r="A1259" s="220"/>
      <c r="F1259" s="190"/>
      <c r="G1259" s="190"/>
      <c r="N1259" s="220"/>
      <c r="O1259" s="220"/>
      <c r="Q1259" s="210"/>
      <c r="R1259" s="210"/>
      <c r="S1259" s="210"/>
      <c r="T1259" s="210"/>
      <c r="U1259" s="210"/>
      <c r="V1259" s="210"/>
    </row>
    <row r="1260">
      <c r="A1260" s="220"/>
      <c r="F1260" s="190"/>
      <c r="G1260" s="190"/>
      <c r="N1260" s="220"/>
      <c r="O1260" s="220"/>
      <c r="Q1260" s="210"/>
      <c r="R1260" s="210"/>
      <c r="S1260" s="210"/>
      <c r="T1260" s="210"/>
      <c r="U1260" s="210"/>
      <c r="V1260" s="210"/>
    </row>
    <row r="1261">
      <c r="A1261" s="220"/>
      <c r="F1261" s="190"/>
      <c r="G1261" s="190"/>
      <c r="N1261" s="220"/>
      <c r="O1261" s="220"/>
      <c r="Q1261" s="210"/>
      <c r="R1261" s="210"/>
      <c r="S1261" s="210"/>
      <c r="T1261" s="210"/>
      <c r="U1261" s="210"/>
      <c r="V1261" s="210"/>
    </row>
    <row r="1262">
      <c r="A1262" s="220"/>
      <c r="F1262" s="190"/>
      <c r="G1262" s="190"/>
      <c r="N1262" s="220"/>
      <c r="O1262" s="220"/>
      <c r="Q1262" s="210"/>
      <c r="R1262" s="210"/>
      <c r="S1262" s="210"/>
      <c r="T1262" s="210"/>
      <c r="U1262" s="210"/>
      <c r="V1262" s="210"/>
    </row>
    <row r="1263">
      <c r="A1263" s="220"/>
      <c r="F1263" s="190"/>
      <c r="G1263" s="190"/>
      <c r="N1263" s="220"/>
      <c r="O1263" s="220"/>
      <c r="Q1263" s="210"/>
      <c r="R1263" s="210"/>
      <c r="S1263" s="210"/>
      <c r="T1263" s="210"/>
      <c r="U1263" s="210"/>
      <c r="V1263" s="210"/>
    </row>
    <row r="1264">
      <c r="A1264" s="220"/>
      <c r="F1264" s="190"/>
      <c r="G1264" s="190"/>
      <c r="N1264" s="220"/>
      <c r="O1264" s="220"/>
      <c r="Q1264" s="210"/>
      <c r="R1264" s="210"/>
      <c r="S1264" s="210"/>
      <c r="T1264" s="210"/>
      <c r="U1264" s="210"/>
      <c r="V1264" s="210"/>
    </row>
    <row r="1265">
      <c r="A1265" s="220"/>
      <c r="F1265" s="190"/>
      <c r="G1265" s="190"/>
      <c r="N1265" s="220"/>
      <c r="O1265" s="220"/>
      <c r="Q1265" s="210"/>
      <c r="R1265" s="210"/>
      <c r="S1265" s="210"/>
      <c r="T1265" s="210"/>
      <c r="U1265" s="210"/>
      <c r="V1265" s="210"/>
    </row>
    <row r="1266">
      <c r="A1266" s="220"/>
      <c r="F1266" s="190"/>
      <c r="G1266" s="190"/>
      <c r="N1266" s="220"/>
      <c r="O1266" s="220"/>
      <c r="Q1266" s="210"/>
      <c r="R1266" s="210"/>
      <c r="S1266" s="210"/>
      <c r="T1266" s="210"/>
      <c r="U1266" s="210"/>
      <c r="V1266" s="210"/>
    </row>
    <row r="1267">
      <c r="A1267" s="220"/>
      <c r="F1267" s="190"/>
      <c r="G1267" s="190"/>
      <c r="N1267" s="220"/>
      <c r="O1267" s="220"/>
      <c r="Q1267" s="210"/>
      <c r="R1267" s="210"/>
      <c r="S1267" s="210"/>
      <c r="T1267" s="210"/>
      <c r="U1267" s="210"/>
      <c r="V1267" s="210"/>
    </row>
    <row r="1268">
      <c r="A1268" s="220"/>
      <c r="F1268" s="190"/>
      <c r="G1268" s="190"/>
      <c r="N1268" s="220"/>
      <c r="O1268" s="220"/>
      <c r="Q1268" s="210"/>
      <c r="R1268" s="210"/>
      <c r="S1268" s="210"/>
      <c r="T1268" s="210"/>
      <c r="U1268" s="210"/>
      <c r="V1268" s="210"/>
    </row>
    <row r="1269">
      <c r="A1269" s="220"/>
      <c r="F1269" s="190"/>
      <c r="G1269" s="190"/>
      <c r="N1269" s="220"/>
      <c r="O1269" s="220"/>
      <c r="Q1269" s="210"/>
      <c r="R1269" s="210"/>
      <c r="S1269" s="210"/>
      <c r="T1269" s="210"/>
      <c r="U1269" s="210"/>
      <c r="V1269" s="210"/>
    </row>
    <row r="1270">
      <c r="A1270" s="220"/>
      <c r="F1270" s="190"/>
      <c r="G1270" s="190"/>
      <c r="N1270" s="220"/>
      <c r="O1270" s="220"/>
      <c r="Q1270" s="210"/>
      <c r="R1270" s="210"/>
      <c r="S1270" s="210"/>
      <c r="T1270" s="210"/>
      <c r="U1270" s="210"/>
      <c r="V1270" s="210"/>
    </row>
    <row r="1271">
      <c r="A1271" s="220"/>
      <c r="F1271" s="190"/>
      <c r="G1271" s="190"/>
      <c r="N1271" s="220"/>
      <c r="O1271" s="220"/>
      <c r="Q1271" s="210"/>
      <c r="R1271" s="210"/>
      <c r="S1271" s="210"/>
      <c r="T1271" s="210"/>
      <c r="U1271" s="210"/>
      <c r="V1271" s="210"/>
    </row>
    <row r="1272">
      <c r="A1272" s="220"/>
      <c r="F1272" s="190"/>
      <c r="G1272" s="190"/>
      <c r="N1272" s="220"/>
      <c r="O1272" s="220"/>
      <c r="Q1272" s="210"/>
      <c r="R1272" s="210"/>
      <c r="S1272" s="210"/>
      <c r="T1272" s="210"/>
      <c r="U1272" s="210"/>
      <c r="V1272" s="210"/>
    </row>
    <row r="1273">
      <c r="A1273" s="220"/>
      <c r="F1273" s="190"/>
      <c r="G1273" s="190"/>
      <c r="N1273" s="220"/>
      <c r="O1273" s="220"/>
      <c r="Q1273" s="210"/>
      <c r="R1273" s="210"/>
      <c r="S1273" s="210"/>
      <c r="T1273" s="210"/>
      <c r="U1273" s="210"/>
      <c r="V1273" s="210"/>
    </row>
    <row r="1274">
      <c r="A1274" s="220"/>
      <c r="F1274" s="190"/>
      <c r="G1274" s="190"/>
      <c r="N1274" s="220"/>
      <c r="O1274" s="220"/>
      <c r="Q1274" s="210"/>
      <c r="R1274" s="210"/>
      <c r="S1274" s="210"/>
      <c r="T1274" s="210"/>
      <c r="U1274" s="210"/>
      <c r="V1274" s="210"/>
    </row>
    <row r="1275">
      <c r="A1275" s="220"/>
      <c r="F1275" s="190"/>
      <c r="G1275" s="190"/>
      <c r="N1275" s="220"/>
      <c r="O1275" s="220"/>
      <c r="Q1275" s="210"/>
      <c r="R1275" s="210"/>
      <c r="S1275" s="210"/>
      <c r="T1275" s="210"/>
      <c r="U1275" s="210"/>
      <c r="V1275" s="210"/>
    </row>
    <row r="1276">
      <c r="A1276" s="220"/>
      <c r="F1276" s="190"/>
      <c r="G1276" s="190"/>
      <c r="N1276" s="220"/>
      <c r="O1276" s="220"/>
      <c r="Q1276" s="210"/>
      <c r="R1276" s="210"/>
      <c r="S1276" s="210"/>
      <c r="T1276" s="210"/>
      <c r="U1276" s="210"/>
      <c r="V1276" s="210"/>
    </row>
    <row r="1277">
      <c r="A1277" s="220"/>
      <c r="F1277" s="190"/>
      <c r="G1277" s="190"/>
      <c r="N1277" s="220"/>
      <c r="O1277" s="220"/>
      <c r="Q1277" s="210"/>
      <c r="R1277" s="210"/>
      <c r="S1277" s="210"/>
      <c r="T1277" s="210"/>
      <c r="U1277" s="210"/>
      <c r="V1277" s="210"/>
    </row>
    <row r="1278">
      <c r="A1278" s="220"/>
      <c r="F1278" s="190"/>
      <c r="G1278" s="190"/>
      <c r="N1278" s="220"/>
      <c r="O1278" s="220"/>
      <c r="Q1278" s="210"/>
      <c r="R1278" s="210"/>
      <c r="S1278" s="210"/>
      <c r="T1278" s="210"/>
      <c r="U1278" s="210"/>
      <c r="V1278" s="210"/>
    </row>
    <row r="1279">
      <c r="A1279" s="220"/>
      <c r="F1279" s="190"/>
      <c r="G1279" s="190"/>
      <c r="N1279" s="220"/>
      <c r="O1279" s="220"/>
      <c r="Q1279" s="210"/>
      <c r="R1279" s="210"/>
      <c r="S1279" s="210"/>
      <c r="T1279" s="210"/>
      <c r="U1279" s="210"/>
      <c r="V1279" s="210"/>
    </row>
    <row r="1280">
      <c r="A1280" s="220"/>
      <c r="F1280" s="190"/>
      <c r="G1280" s="190"/>
      <c r="N1280" s="220"/>
      <c r="O1280" s="220"/>
      <c r="Q1280" s="210"/>
      <c r="R1280" s="210"/>
      <c r="S1280" s="210"/>
      <c r="T1280" s="210"/>
      <c r="U1280" s="210"/>
      <c r="V1280" s="210"/>
    </row>
    <row r="1281">
      <c r="A1281" s="220"/>
      <c r="F1281" s="190"/>
      <c r="G1281" s="190"/>
      <c r="N1281" s="220"/>
      <c r="O1281" s="220"/>
      <c r="Q1281" s="210"/>
      <c r="R1281" s="210"/>
      <c r="S1281" s="210"/>
      <c r="T1281" s="210"/>
      <c r="U1281" s="210"/>
      <c r="V1281" s="210"/>
    </row>
    <row r="1282">
      <c r="A1282" s="220"/>
      <c r="F1282" s="190"/>
      <c r="G1282" s="190"/>
      <c r="N1282" s="220"/>
      <c r="O1282" s="220"/>
      <c r="Q1282" s="210"/>
      <c r="R1282" s="210"/>
      <c r="S1282" s="210"/>
      <c r="T1282" s="210"/>
      <c r="U1282" s="210"/>
      <c r="V1282" s="210"/>
    </row>
    <row r="1283">
      <c r="A1283" s="220"/>
      <c r="F1283" s="190"/>
      <c r="G1283" s="190"/>
      <c r="N1283" s="220"/>
      <c r="O1283" s="220"/>
      <c r="Q1283" s="210"/>
      <c r="R1283" s="210"/>
      <c r="S1283" s="210"/>
      <c r="T1283" s="210"/>
      <c r="U1283" s="210"/>
      <c r="V1283" s="210"/>
    </row>
    <row r="1284">
      <c r="A1284" s="220"/>
      <c r="F1284" s="190"/>
      <c r="G1284" s="190"/>
      <c r="N1284" s="220"/>
      <c r="O1284" s="220"/>
      <c r="Q1284" s="210"/>
      <c r="R1284" s="210"/>
      <c r="S1284" s="210"/>
      <c r="T1284" s="210"/>
      <c r="U1284" s="210"/>
      <c r="V1284" s="210"/>
    </row>
    <row r="1285">
      <c r="A1285" s="220"/>
      <c r="F1285" s="190"/>
      <c r="G1285" s="190"/>
      <c r="N1285" s="220"/>
      <c r="O1285" s="220"/>
      <c r="Q1285" s="210"/>
      <c r="R1285" s="210"/>
      <c r="S1285" s="210"/>
      <c r="T1285" s="210"/>
      <c r="U1285" s="210"/>
      <c r="V1285" s="210"/>
    </row>
    <row r="1286">
      <c r="A1286" s="220"/>
      <c r="F1286" s="190"/>
      <c r="G1286" s="190"/>
      <c r="N1286" s="220"/>
      <c r="O1286" s="220"/>
      <c r="Q1286" s="210"/>
      <c r="R1286" s="210"/>
      <c r="S1286" s="210"/>
      <c r="T1286" s="210"/>
      <c r="U1286" s="210"/>
      <c r="V1286" s="210"/>
    </row>
    <row r="1287">
      <c r="A1287" s="220"/>
      <c r="F1287" s="190"/>
      <c r="G1287" s="190"/>
      <c r="N1287" s="220"/>
      <c r="O1287" s="220"/>
      <c r="Q1287" s="210"/>
      <c r="R1287" s="210"/>
      <c r="S1287" s="210"/>
      <c r="T1287" s="210"/>
      <c r="U1287" s="210"/>
      <c r="V1287" s="210"/>
    </row>
    <row r="1288">
      <c r="A1288" s="220"/>
      <c r="F1288" s="190"/>
      <c r="G1288" s="190"/>
      <c r="N1288" s="220"/>
      <c r="O1288" s="220"/>
      <c r="Q1288" s="210"/>
      <c r="R1288" s="210"/>
      <c r="S1288" s="210"/>
      <c r="T1288" s="210"/>
      <c r="U1288" s="210"/>
      <c r="V1288" s="210"/>
    </row>
    <row r="1289">
      <c r="A1289" s="220"/>
      <c r="F1289" s="190"/>
      <c r="G1289" s="190"/>
      <c r="N1289" s="220"/>
      <c r="O1289" s="220"/>
      <c r="Q1289" s="210"/>
      <c r="R1289" s="210"/>
      <c r="S1289" s="210"/>
      <c r="T1289" s="210"/>
      <c r="U1289" s="210"/>
      <c r="V1289" s="210"/>
    </row>
    <row r="1290">
      <c r="A1290" s="220"/>
      <c r="F1290" s="190"/>
      <c r="G1290" s="190"/>
      <c r="N1290" s="220"/>
      <c r="O1290" s="220"/>
      <c r="Q1290" s="210"/>
      <c r="R1290" s="210"/>
      <c r="S1290" s="210"/>
      <c r="T1290" s="210"/>
      <c r="U1290" s="210"/>
      <c r="V1290" s="210"/>
    </row>
    <row r="1291">
      <c r="A1291" s="220"/>
      <c r="F1291" s="190"/>
      <c r="G1291" s="190"/>
      <c r="N1291" s="220"/>
      <c r="O1291" s="220"/>
      <c r="Q1291" s="210"/>
      <c r="R1291" s="210"/>
      <c r="S1291" s="210"/>
      <c r="T1291" s="210"/>
      <c r="U1291" s="210"/>
      <c r="V1291" s="210"/>
    </row>
    <row r="1292">
      <c r="A1292" s="220"/>
      <c r="F1292" s="190"/>
      <c r="G1292" s="190"/>
      <c r="N1292" s="220"/>
      <c r="O1292" s="220"/>
      <c r="Q1292" s="210"/>
      <c r="R1292" s="210"/>
      <c r="S1292" s="210"/>
      <c r="T1292" s="210"/>
      <c r="U1292" s="210"/>
      <c r="V1292" s="210"/>
    </row>
    <row r="1293">
      <c r="A1293" s="220"/>
      <c r="F1293" s="190"/>
      <c r="G1293" s="190"/>
      <c r="N1293" s="220"/>
      <c r="O1293" s="220"/>
      <c r="Q1293" s="210"/>
      <c r="R1293" s="210"/>
      <c r="S1293" s="210"/>
      <c r="T1293" s="210"/>
      <c r="U1293" s="210"/>
      <c r="V1293" s="210"/>
    </row>
    <row r="1294">
      <c r="A1294" s="220"/>
      <c r="F1294" s="190"/>
      <c r="G1294" s="190"/>
      <c r="N1294" s="220"/>
      <c r="O1294" s="220"/>
      <c r="Q1294" s="210"/>
      <c r="R1294" s="210"/>
      <c r="S1294" s="210"/>
      <c r="T1294" s="210"/>
      <c r="U1294" s="210"/>
      <c r="V1294" s="210"/>
    </row>
    <row r="1295">
      <c r="A1295" s="220"/>
      <c r="F1295" s="190"/>
      <c r="G1295" s="190"/>
      <c r="N1295" s="220"/>
      <c r="O1295" s="220"/>
      <c r="Q1295" s="210"/>
      <c r="R1295" s="210"/>
      <c r="S1295" s="210"/>
      <c r="T1295" s="210"/>
      <c r="U1295" s="210"/>
      <c r="V1295" s="210"/>
    </row>
    <row r="1296">
      <c r="A1296" s="220"/>
      <c r="F1296" s="190"/>
      <c r="G1296" s="190"/>
      <c r="N1296" s="220"/>
      <c r="O1296" s="220"/>
      <c r="Q1296" s="210"/>
      <c r="R1296" s="210"/>
      <c r="S1296" s="210"/>
      <c r="T1296" s="210"/>
      <c r="U1296" s="210"/>
      <c r="V1296" s="210"/>
    </row>
    <row r="1297">
      <c r="A1297" s="220"/>
      <c r="F1297" s="190"/>
      <c r="G1297" s="190"/>
      <c r="N1297" s="220"/>
      <c r="O1297" s="220"/>
      <c r="Q1297" s="210"/>
      <c r="R1297" s="210"/>
      <c r="S1297" s="210"/>
      <c r="T1297" s="210"/>
      <c r="U1297" s="210"/>
      <c r="V1297" s="210"/>
    </row>
    <row r="1298">
      <c r="A1298" s="220"/>
      <c r="F1298" s="190"/>
      <c r="G1298" s="190"/>
      <c r="N1298" s="220"/>
      <c r="O1298" s="220"/>
      <c r="Q1298" s="210"/>
      <c r="R1298" s="210"/>
      <c r="S1298" s="210"/>
      <c r="T1298" s="210"/>
      <c r="U1298" s="210"/>
      <c r="V1298" s="210"/>
    </row>
    <row r="1299">
      <c r="A1299" s="220"/>
      <c r="F1299" s="190"/>
      <c r="G1299" s="190"/>
      <c r="N1299" s="220"/>
      <c r="O1299" s="220"/>
      <c r="Q1299" s="210"/>
      <c r="R1299" s="210"/>
      <c r="S1299" s="210"/>
      <c r="T1299" s="210"/>
      <c r="U1299" s="210"/>
      <c r="V1299" s="210"/>
    </row>
    <row r="1300">
      <c r="A1300" s="220"/>
      <c r="F1300" s="190"/>
      <c r="G1300" s="190"/>
      <c r="N1300" s="220"/>
      <c r="O1300" s="220"/>
      <c r="Q1300" s="210"/>
      <c r="R1300" s="210"/>
      <c r="S1300" s="210"/>
      <c r="T1300" s="210"/>
      <c r="U1300" s="210"/>
      <c r="V1300" s="210"/>
    </row>
    <row r="1301">
      <c r="A1301" s="220"/>
      <c r="F1301" s="190"/>
      <c r="G1301" s="190"/>
      <c r="N1301" s="220"/>
      <c r="O1301" s="220"/>
      <c r="Q1301" s="210"/>
      <c r="R1301" s="210"/>
      <c r="S1301" s="210"/>
      <c r="T1301" s="210"/>
      <c r="U1301" s="210"/>
      <c r="V1301" s="210"/>
    </row>
    <row r="1302">
      <c r="A1302" s="220"/>
      <c r="F1302" s="190"/>
      <c r="G1302" s="190"/>
      <c r="N1302" s="220"/>
      <c r="O1302" s="220"/>
      <c r="Q1302" s="210"/>
      <c r="R1302" s="210"/>
      <c r="S1302" s="210"/>
      <c r="T1302" s="210"/>
      <c r="U1302" s="210"/>
      <c r="V1302" s="210"/>
    </row>
    <row r="1303">
      <c r="A1303" s="220"/>
      <c r="F1303" s="190"/>
      <c r="G1303" s="190"/>
      <c r="N1303" s="220"/>
      <c r="O1303" s="220"/>
      <c r="Q1303" s="210"/>
      <c r="R1303" s="210"/>
      <c r="S1303" s="210"/>
      <c r="T1303" s="210"/>
      <c r="U1303" s="210"/>
      <c r="V1303" s="210"/>
    </row>
    <row r="1304">
      <c r="A1304" s="220"/>
      <c r="F1304" s="190"/>
      <c r="G1304" s="190"/>
      <c r="N1304" s="220"/>
      <c r="O1304" s="220"/>
      <c r="Q1304" s="210"/>
      <c r="R1304" s="210"/>
      <c r="S1304" s="210"/>
      <c r="T1304" s="210"/>
      <c r="U1304" s="210"/>
      <c r="V1304" s="210"/>
    </row>
    <row r="1305">
      <c r="A1305" s="220"/>
      <c r="F1305" s="190"/>
      <c r="G1305" s="190"/>
      <c r="N1305" s="220"/>
      <c r="O1305" s="220"/>
      <c r="Q1305" s="210"/>
      <c r="R1305" s="210"/>
      <c r="S1305" s="210"/>
      <c r="T1305" s="210"/>
      <c r="U1305" s="210"/>
      <c r="V1305" s="210"/>
    </row>
    <row r="1306">
      <c r="A1306" s="220"/>
      <c r="F1306" s="190"/>
      <c r="G1306" s="190"/>
      <c r="N1306" s="220"/>
      <c r="O1306" s="220"/>
      <c r="Q1306" s="210"/>
      <c r="R1306" s="210"/>
      <c r="S1306" s="210"/>
      <c r="T1306" s="210"/>
      <c r="U1306" s="210"/>
      <c r="V1306" s="210"/>
    </row>
    <row r="1307">
      <c r="A1307" s="220"/>
      <c r="F1307" s="190"/>
      <c r="G1307" s="190"/>
      <c r="N1307" s="220"/>
      <c r="O1307" s="220"/>
      <c r="Q1307" s="210"/>
      <c r="R1307" s="210"/>
      <c r="S1307" s="210"/>
      <c r="T1307" s="210"/>
      <c r="U1307" s="210"/>
      <c r="V1307" s="210"/>
    </row>
    <row r="1308">
      <c r="A1308" s="220"/>
      <c r="F1308" s="190"/>
      <c r="G1308" s="190"/>
      <c r="N1308" s="220"/>
      <c r="O1308" s="220"/>
      <c r="Q1308" s="210"/>
      <c r="R1308" s="210"/>
      <c r="S1308" s="210"/>
      <c r="T1308" s="210"/>
      <c r="U1308" s="210"/>
      <c r="V1308" s="210"/>
    </row>
    <row r="1309">
      <c r="A1309" s="220"/>
      <c r="F1309" s="190"/>
      <c r="G1309" s="190"/>
      <c r="N1309" s="220"/>
      <c r="O1309" s="220"/>
      <c r="Q1309" s="210"/>
      <c r="R1309" s="210"/>
      <c r="S1309" s="210"/>
      <c r="T1309" s="210"/>
      <c r="U1309" s="210"/>
      <c r="V1309" s="210"/>
    </row>
    <row r="1310">
      <c r="A1310" s="220"/>
      <c r="F1310" s="190"/>
      <c r="G1310" s="190"/>
      <c r="N1310" s="220"/>
      <c r="O1310" s="220"/>
      <c r="Q1310" s="210"/>
      <c r="R1310" s="210"/>
      <c r="S1310" s="210"/>
      <c r="T1310" s="210"/>
      <c r="U1310" s="210"/>
      <c r="V1310" s="210"/>
    </row>
    <row r="1311">
      <c r="A1311" s="220"/>
      <c r="F1311" s="190"/>
      <c r="G1311" s="190"/>
      <c r="N1311" s="220"/>
      <c r="O1311" s="220"/>
      <c r="Q1311" s="210"/>
      <c r="R1311" s="210"/>
      <c r="S1311" s="210"/>
      <c r="T1311" s="210"/>
      <c r="U1311" s="210"/>
      <c r="V1311" s="210"/>
    </row>
    <row r="1312">
      <c r="A1312" s="220"/>
      <c r="F1312" s="190"/>
      <c r="G1312" s="190"/>
      <c r="N1312" s="220"/>
      <c r="O1312" s="220"/>
      <c r="Q1312" s="210"/>
      <c r="R1312" s="210"/>
      <c r="S1312" s="210"/>
      <c r="T1312" s="210"/>
      <c r="U1312" s="210"/>
      <c r="V1312" s="210"/>
    </row>
    <row r="1313">
      <c r="A1313" s="220"/>
      <c r="F1313" s="190"/>
      <c r="G1313" s="190"/>
      <c r="N1313" s="220"/>
      <c r="O1313" s="220"/>
      <c r="Q1313" s="210"/>
      <c r="R1313" s="210"/>
      <c r="S1313" s="210"/>
      <c r="T1313" s="210"/>
      <c r="U1313" s="210"/>
      <c r="V1313" s="210"/>
    </row>
    <row r="1314">
      <c r="A1314" s="220"/>
      <c r="F1314" s="190"/>
      <c r="G1314" s="190"/>
      <c r="N1314" s="220"/>
      <c r="O1314" s="220"/>
      <c r="Q1314" s="210"/>
      <c r="R1314" s="210"/>
      <c r="S1314" s="210"/>
      <c r="T1314" s="210"/>
      <c r="U1314" s="210"/>
      <c r="V1314" s="210"/>
    </row>
    <row r="1315">
      <c r="A1315" s="220"/>
      <c r="F1315" s="190"/>
      <c r="G1315" s="190"/>
      <c r="N1315" s="220"/>
      <c r="O1315" s="220"/>
      <c r="Q1315" s="210"/>
      <c r="R1315" s="210"/>
      <c r="S1315" s="210"/>
      <c r="T1315" s="210"/>
      <c r="U1315" s="210"/>
      <c r="V1315" s="210"/>
    </row>
    <row r="1316">
      <c r="A1316" s="220"/>
      <c r="F1316" s="190"/>
      <c r="G1316" s="190"/>
      <c r="N1316" s="220"/>
      <c r="O1316" s="220"/>
      <c r="Q1316" s="210"/>
      <c r="R1316" s="210"/>
      <c r="S1316" s="210"/>
      <c r="T1316" s="210"/>
      <c r="U1316" s="210"/>
      <c r="V1316" s="210"/>
    </row>
    <row r="1317">
      <c r="A1317" s="220"/>
      <c r="F1317" s="190"/>
      <c r="G1317" s="190"/>
      <c r="N1317" s="220"/>
      <c r="O1317" s="220"/>
      <c r="Q1317" s="210"/>
      <c r="R1317" s="210"/>
      <c r="S1317" s="210"/>
      <c r="T1317" s="210"/>
      <c r="U1317" s="210"/>
      <c r="V1317" s="210"/>
    </row>
    <row r="1318">
      <c r="A1318" s="220"/>
      <c r="F1318" s="190"/>
      <c r="G1318" s="190"/>
      <c r="N1318" s="220"/>
      <c r="O1318" s="220"/>
      <c r="Q1318" s="210"/>
      <c r="R1318" s="210"/>
      <c r="S1318" s="210"/>
      <c r="T1318" s="210"/>
      <c r="U1318" s="210"/>
      <c r="V1318" s="210"/>
    </row>
    <row r="1319">
      <c r="A1319" s="220"/>
      <c r="F1319" s="190"/>
      <c r="G1319" s="190"/>
      <c r="N1319" s="220"/>
      <c r="O1319" s="220"/>
      <c r="Q1319" s="210"/>
      <c r="R1319" s="210"/>
      <c r="S1319" s="210"/>
      <c r="T1319" s="210"/>
      <c r="U1319" s="210"/>
      <c r="V1319" s="210"/>
    </row>
    <row r="1320">
      <c r="A1320" s="220"/>
      <c r="F1320" s="190"/>
      <c r="G1320" s="190"/>
      <c r="N1320" s="220"/>
      <c r="O1320" s="220"/>
      <c r="Q1320" s="210"/>
      <c r="R1320" s="210"/>
      <c r="S1320" s="210"/>
      <c r="T1320" s="210"/>
      <c r="U1320" s="210"/>
      <c r="V1320" s="210"/>
    </row>
    <row r="1321">
      <c r="A1321" s="220"/>
      <c r="F1321" s="190"/>
      <c r="G1321" s="190"/>
      <c r="N1321" s="220"/>
      <c r="O1321" s="220"/>
      <c r="Q1321" s="210"/>
      <c r="R1321" s="210"/>
      <c r="S1321" s="210"/>
      <c r="T1321" s="210"/>
      <c r="U1321" s="210"/>
      <c r="V1321" s="210"/>
    </row>
    <row r="1322">
      <c r="A1322" s="220"/>
      <c r="F1322" s="190"/>
      <c r="G1322" s="190"/>
      <c r="N1322" s="220"/>
      <c r="O1322" s="220"/>
      <c r="Q1322" s="210"/>
      <c r="R1322" s="210"/>
      <c r="S1322" s="210"/>
      <c r="T1322" s="210"/>
      <c r="U1322" s="210"/>
      <c r="V1322" s="210"/>
    </row>
    <row r="1323">
      <c r="A1323" s="220"/>
      <c r="F1323" s="190"/>
      <c r="G1323" s="190"/>
      <c r="N1323" s="220"/>
      <c r="O1323" s="220"/>
      <c r="Q1323" s="210"/>
      <c r="R1323" s="210"/>
      <c r="S1323" s="210"/>
      <c r="T1323" s="210"/>
      <c r="U1323" s="210"/>
      <c r="V1323" s="210"/>
    </row>
    <row r="1324">
      <c r="A1324" s="220"/>
      <c r="F1324" s="190"/>
      <c r="G1324" s="190"/>
      <c r="N1324" s="220"/>
      <c r="O1324" s="220"/>
      <c r="Q1324" s="210"/>
      <c r="R1324" s="210"/>
      <c r="S1324" s="210"/>
      <c r="T1324" s="210"/>
      <c r="U1324" s="210"/>
      <c r="V1324" s="210"/>
    </row>
    <row r="1325">
      <c r="A1325" s="220"/>
      <c r="F1325" s="190"/>
      <c r="G1325" s="190"/>
      <c r="N1325" s="220"/>
      <c r="O1325" s="220"/>
      <c r="Q1325" s="210"/>
      <c r="R1325" s="210"/>
      <c r="S1325" s="210"/>
      <c r="T1325" s="210"/>
      <c r="U1325" s="210"/>
      <c r="V1325" s="210"/>
    </row>
    <row r="1326">
      <c r="A1326" s="220"/>
      <c r="F1326" s="190"/>
      <c r="G1326" s="190"/>
      <c r="N1326" s="220"/>
      <c r="O1326" s="220"/>
      <c r="Q1326" s="210"/>
      <c r="R1326" s="210"/>
      <c r="S1326" s="210"/>
      <c r="T1326" s="210"/>
      <c r="U1326" s="210"/>
      <c r="V1326" s="210"/>
    </row>
    <row r="1327">
      <c r="A1327" s="220"/>
      <c r="F1327" s="190"/>
      <c r="G1327" s="190"/>
      <c r="N1327" s="220"/>
      <c r="O1327" s="220"/>
      <c r="Q1327" s="210"/>
      <c r="R1327" s="210"/>
      <c r="S1327" s="210"/>
      <c r="T1327" s="210"/>
      <c r="U1327" s="210"/>
      <c r="V1327" s="210"/>
    </row>
    <row r="1328">
      <c r="A1328" s="220"/>
      <c r="F1328" s="190"/>
      <c r="G1328" s="190"/>
      <c r="N1328" s="220"/>
      <c r="O1328" s="220"/>
      <c r="Q1328" s="210"/>
      <c r="R1328" s="210"/>
      <c r="S1328" s="210"/>
      <c r="T1328" s="210"/>
      <c r="U1328" s="210"/>
      <c r="V1328" s="210"/>
    </row>
    <row r="1329">
      <c r="A1329" s="220"/>
      <c r="F1329" s="190"/>
      <c r="G1329" s="190"/>
      <c r="N1329" s="220"/>
      <c r="O1329" s="220"/>
      <c r="Q1329" s="210"/>
      <c r="R1329" s="210"/>
      <c r="S1329" s="210"/>
      <c r="T1329" s="210"/>
      <c r="U1329" s="210"/>
      <c r="V1329" s="210"/>
    </row>
    <row r="1330">
      <c r="A1330" s="220"/>
      <c r="F1330" s="190"/>
      <c r="G1330" s="190"/>
      <c r="N1330" s="220"/>
      <c r="O1330" s="220"/>
      <c r="Q1330" s="210"/>
      <c r="R1330" s="210"/>
      <c r="S1330" s="210"/>
      <c r="T1330" s="210"/>
      <c r="U1330" s="210"/>
      <c r="V1330" s="210"/>
    </row>
    <row r="1331">
      <c r="A1331" s="220"/>
      <c r="F1331" s="190"/>
      <c r="G1331" s="190"/>
      <c r="N1331" s="220"/>
      <c r="O1331" s="220"/>
      <c r="Q1331" s="210"/>
      <c r="R1331" s="210"/>
      <c r="S1331" s="210"/>
      <c r="T1331" s="210"/>
      <c r="U1331" s="210"/>
      <c r="V1331" s="210"/>
    </row>
    <row r="1332">
      <c r="A1332" s="220"/>
      <c r="F1332" s="190"/>
      <c r="G1332" s="190"/>
      <c r="N1332" s="220"/>
      <c r="O1332" s="220"/>
      <c r="Q1332" s="210"/>
      <c r="R1332" s="210"/>
      <c r="S1332" s="210"/>
      <c r="T1332" s="210"/>
      <c r="U1332" s="210"/>
      <c r="V1332" s="210"/>
    </row>
    <row r="1333">
      <c r="A1333" s="220"/>
      <c r="F1333" s="190"/>
      <c r="G1333" s="190"/>
      <c r="N1333" s="220"/>
      <c r="O1333" s="220"/>
      <c r="Q1333" s="210"/>
      <c r="R1333" s="210"/>
      <c r="S1333" s="210"/>
      <c r="T1333" s="210"/>
      <c r="U1333" s="210"/>
      <c r="V1333" s="210"/>
    </row>
    <row r="1334">
      <c r="A1334" s="220"/>
      <c r="F1334" s="190"/>
      <c r="G1334" s="190"/>
      <c r="N1334" s="220"/>
      <c r="O1334" s="220"/>
      <c r="Q1334" s="210"/>
      <c r="R1334" s="210"/>
      <c r="S1334" s="210"/>
      <c r="T1334" s="210"/>
      <c r="U1334" s="210"/>
      <c r="V1334" s="210"/>
    </row>
    <row r="1335">
      <c r="A1335" s="220"/>
      <c r="F1335" s="190"/>
      <c r="G1335" s="190"/>
      <c r="N1335" s="220"/>
      <c r="O1335" s="220"/>
      <c r="Q1335" s="210"/>
      <c r="R1335" s="210"/>
      <c r="S1335" s="210"/>
      <c r="T1335" s="210"/>
      <c r="U1335" s="210"/>
      <c r="V1335" s="210"/>
    </row>
    <row r="1336">
      <c r="A1336" s="220"/>
      <c r="F1336" s="190"/>
      <c r="G1336" s="190"/>
      <c r="N1336" s="220"/>
      <c r="O1336" s="220"/>
      <c r="Q1336" s="210"/>
      <c r="R1336" s="210"/>
      <c r="S1336" s="210"/>
      <c r="T1336" s="210"/>
      <c r="U1336" s="210"/>
      <c r="V1336" s="210"/>
    </row>
    <row r="1337">
      <c r="A1337" s="220"/>
      <c r="F1337" s="190"/>
      <c r="G1337" s="190"/>
      <c r="N1337" s="220"/>
      <c r="O1337" s="220"/>
      <c r="Q1337" s="210"/>
      <c r="R1337" s="210"/>
      <c r="S1337" s="210"/>
      <c r="T1337" s="210"/>
      <c r="U1337" s="210"/>
      <c r="V1337" s="210"/>
    </row>
    <row r="1338">
      <c r="A1338" s="220"/>
      <c r="F1338" s="190"/>
      <c r="G1338" s="190"/>
      <c r="N1338" s="220"/>
      <c r="O1338" s="220"/>
      <c r="Q1338" s="210"/>
      <c r="R1338" s="210"/>
      <c r="S1338" s="210"/>
      <c r="T1338" s="210"/>
      <c r="U1338" s="210"/>
      <c r="V1338" s="210"/>
    </row>
    <row r="1339">
      <c r="A1339" s="220"/>
      <c r="F1339" s="190"/>
      <c r="G1339" s="190"/>
      <c r="N1339" s="220"/>
      <c r="O1339" s="220"/>
      <c r="Q1339" s="210"/>
      <c r="R1339" s="210"/>
      <c r="S1339" s="210"/>
      <c r="T1339" s="210"/>
      <c r="U1339" s="210"/>
      <c r="V1339" s="210"/>
    </row>
    <row r="1340">
      <c r="A1340" s="220"/>
      <c r="F1340" s="190"/>
      <c r="G1340" s="190"/>
      <c r="N1340" s="220"/>
      <c r="O1340" s="220"/>
      <c r="Q1340" s="210"/>
      <c r="R1340" s="210"/>
      <c r="S1340" s="210"/>
      <c r="T1340" s="210"/>
      <c r="U1340" s="210"/>
      <c r="V1340" s="210"/>
    </row>
    <row r="1341">
      <c r="A1341" s="220"/>
      <c r="F1341" s="190"/>
      <c r="G1341" s="190"/>
      <c r="N1341" s="220"/>
      <c r="O1341" s="220"/>
      <c r="Q1341" s="210"/>
      <c r="R1341" s="210"/>
      <c r="S1341" s="210"/>
      <c r="T1341" s="210"/>
      <c r="U1341" s="210"/>
      <c r="V1341" s="210"/>
    </row>
    <row r="1342">
      <c r="A1342" s="220"/>
      <c r="F1342" s="190"/>
      <c r="G1342" s="190"/>
      <c r="N1342" s="220"/>
      <c r="O1342" s="220"/>
      <c r="Q1342" s="210"/>
      <c r="R1342" s="210"/>
      <c r="S1342" s="210"/>
      <c r="T1342" s="210"/>
      <c r="U1342" s="210"/>
      <c r="V1342" s="210"/>
    </row>
    <row r="1343">
      <c r="A1343" s="220"/>
      <c r="F1343" s="190"/>
      <c r="G1343" s="190"/>
      <c r="N1343" s="220"/>
      <c r="O1343" s="220"/>
      <c r="Q1343" s="210"/>
      <c r="R1343" s="210"/>
      <c r="S1343" s="210"/>
      <c r="T1343" s="210"/>
      <c r="U1343" s="210"/>
      <c r="V1343" s="210"/>
    </row>
    <row r="1344">
      <c r="A1344" s="220"/>
      <c r="F1344" s="190"/>
      <c r="G1344" s="190"/>
      <c r="N1344" s="220"/>
      <c r="O1344" s="220"/>
      <c r="Q1344" s="210"/>
      <c r="R1344" s="210"/>
      <c r="S1344" s="210"/>
      <c r="T1344" s="210"/>
      <c r="U1344" s="210"/>
      <c r="V1344" s="210"/>
    </row>
    <row r="1345">
      <c r="A1345" s="220"/>
      <c r="F1345" s="190"/>
      <c r="G1345" s="190"/>
      <c r="N1345" s="220"/>
      <c r="O1345" s="220"/>
      <c r="Q1345" s="210"/>
      <c r="R1345" s="210"/>
      <c r="S1345" s="210"/>
      <c r="T1345" s="210"/>
      <c r="U1345" s="210"/>
      <c r="V1345" s="210"/>
    </row>
    <row r="1346">
      <c r="A1346" s="220"/>
      <c r="F1346" s="190"/>
      <c r="G1346" s="190"/>
      <c r="N1346" s="220"/>
      <c r="O1346" s="220"/>
      <c r="Q1346" s="210"/>
      <c r="R1346" s="210"/>
      <c r="S1346" s="210"/>
      <c r="T1346" s="210"/>
      <c r="U1346" s="210"/>
      <c r="V1346" s="210"/>
    </row>
    <row r="1347">
      <c r="A1347" s="220"/>
      <c r="F1347" s="190"/>
      <c r="G1347" s="190"/>
      <c r="N1347" s="220"/>
      <c r="O1347" s="220"/>
      <c r="Q1347" s="210"/>
      <c r="R1347" s="210"/>
      <c r="S1347" s="210"/>
      <c r="T1347" s="210"/>
      <c r="U1347" s="210"/>
      <c r="V1347" s="210"/>
    </row>
    <row r="1348">
      <c r="A1348" s="220"/>
      <c r="F1348" s="190"/>
      <c r="G1348" s="190"/>
      <c r="N1348" s="220"/>
      <c r="O1348" s="220"/>
      <c r="Q1348" s="210"/>
      <c r="R1348" s="210"/>
      <c r="S1348" s="210"/>
      <c r="T1348" s="210"/>
      <c r="U1348" s="210"/>
      <c r="V1348" s="210"/>
    </row>
    <row r="1349">
      <c r="A1349" s="220"/>
      <c r="F1349" s="190"/>
      <c r="G1349" s="190"/>
      <c r="N1349" s="220"/>
      <c r="O1349" s="220"/>
      <c r="Q1349" s="210"/>
      <c r="R1349" s="210"/>
      <c r="S1349" s="210"/>
      <c r="T1349" s="210"/>
      <c r="U1349" s="210"/>
      <c r="V1349" s="210"/>
    </row>
    <row r="1350">
      <c r="A1350" s="220"/>
      <c r="F1350" s="190"/>
      <c r="G1350" s="190"/>
      <c r="N1350" s="220"/>
      <c r="O1350" s="220"/>
      <c r="Q1350" s="210"/>
      <c r="R1350" s="210"/>
      <c r="S1350" s="210"/>
      <c r="T1350" s="210"/>
      <c r="U1350" s="210"/>
      <c r="V1350" s="210"/>
    </row>
    <row r="1351">
      <c r="A1351" s="220"/>
      <c r="F1351" s="190"/>
      <c r="G1351" s="190"/>
      <c r="N1351" s="220"/>
      <c r="O1351" s="220"/>
      <c r="Q1351" s="210"/>
      <c r="R1351" s="210"/>
      <c r="S1351" s="210"/>
      <c r="T1351" s="210"/>
      <c r="U1351" s="210"/>
      <c r="V1351" s="210"/>
    </row>
    <row r="1352">
      <c r="A1352" s="220"/>
      <c r="F1352" s="190"/>
      <c r="G1352" s="190"/>
      <c r="N1352" s="220"/>
      <c r="O1352" s="220"/>
      <c r="Q1352" s="210"/>
      <c r="R1352" s="210"/>
      <c r="S1352" s="210"/>
      <c r="T1352" s="210"/>
      <c r="U1352" s="210"/>
      <c r="V1352" s="210"/>
    </row>
    <row r="1353">
      <c r="A1353" s="220"/>
      <c r="F1353" s="190"/>
      <c r="G1353" s="190"/>
      <c r="N1353" s="220"/>
      <c r="O1353" s="220"/>
      <c r="Q1353" s="210"/>
      <c r="R1353" s="210"/>
      <c r="S1353" s="210"/>
      <c r="T1353" s="210"/>
      <c r="U1353" s="210"/>
      <c r="V1353" s="210"/>
    </row>
    <row r="1354">
      <c r="A1354" s="220"/>
      <c r="F1354" s="190"/>
      <c r="G1354" s="190"/>
      <c r="N1354" s="220"/>
      <c r="O1354" s="220"/>
      <c r="Q1354" s="210"/>
      <c r="R1354" s="210"/>
      <c r="S1354" s="210"/>
      <c r="T1354" s="210"/>
      <c r="U1354" s="210"/>
      <c r="V1354" s="210"/>
    </row>
    <row r="1355">
      <c r="A1355" s="220"/>
      <c r="F1355" s="190"/>
      <c r="G1355" s="190"/>
      <c r="N1355" s="220"/>
      <c r="O1355" s="220"/>
      <c r="Q1355" s="210"/>
      <c r="R1355" s="210"/>
      <c r="S1355" s="210"/>
      <c r="T1355" s="210"/>
      <c r="U1355" s="210"/>
      <c r="V1355" s="210"/>
    </row>
    <row r="1356">
      <c r="A1356" s="220"/>
      <c r="F1356" s="190"/>
      <c r="G1356" s="190"/>
      <c r="N1356" s="220"/>
      <c r="O1356" s="220"/>
      <c r="Q1356" s="210"/>
      <c r="R1356" s="210"/>
      <c r="S1356" s="210"/>
      <c r="T1356" s="210"/>
      <c r="U1356" s="210"/>
      <c r="V1356" s="210"/>
    </row>
    <row r="1357">
      <c r="A1357" s="220"/>
      <c r="F1357" s="190"/>
      <c r="G1357" s="190"/>
      <c r="N1357" s="220"/>
      <c r="O1357" s="220"/>
      <c r="Q1357" s="210"/>
      <c r="R1357" s="210"/>
      <c r="S1357" s="210"/>
      <c r="T1357" s="210"/>
      <c r="U1357" s="210"/>
      <c r="V1357" s="210"/>
    </row>
    <row r="1358">
      <c r="A1358" s="220"/>
      <c r="F1358" s="190"/>
      <c r="G1358" s="190"/>
      <c r="N1358" s="220"/>
      <c r="O1358" s="220"/>
      <c r="Q1358" s="210"/>
      <c r="R1358" s="210"/>
      <c r="S1358" s="210"/>
      <c r="T1358" s="210"/>
      <c r="U1358" s="210"/>
      <c r="V1358" s="210"/>
    </row>
    <row r="1359">
      <c r="A1359" s="220"/>
      <c r="F1359" s="190"/>
      <c r="G1359" s="190"/>
      <c r="N1359" s="220"/>
      <c r="O1359" s="220"/>
      <c r="Q1359" s="210"/>
      <c r="R1359" s="210"/>
      <c r="S1359" s="210"/>
      <c r="T1359" s="210"/>
      <c r="U1359" s="210"/>
      <c r="V1359" s="210"/>
    </row>
    <row r="1360">
      <c r="A1360" s="220"/>
      <c r="F1360" s="190"/>
      <c r="G1360" s="190"/>
      <c r="N1360" s="220"/>
      <c r="O1360" s="220"/>
      <c r="Q1360" s="210"/>
      <c r="R1360" s="210"/>
      <c r="S1360" s="210"/>
      <c r="T1360" s="210"/>
      <c r="U1360" s="210"/>
      <c r="V1360" s="210"/>
    </row>
    <row r="1361">
      <c r="A1361" s="220"/>
      <c r="F1361" s="190"/>
      <c r="G1361" s="190"/>
      <c r="N1361" s="220"/>
      <c r="O1361" s="220"/>
      <c r="Q1361" s="210"/>
      <c r="R1361" s="210"/>
      <c r="S1361" s="210"/>
      <c r="T1361" s="210"/>
      <c r="U1361" s="210"/>
      <c r="V1361" s="210"/>
    </row>
    <row r="1362">
      <c r="A1362" s="220"/>
      <c r="F1362" s="190"/>
      <c r="G1362" s="190"/>
      <c r="N1362" s="220"/>
      <c r="O1362" s="220"/>
      <c r="Q1362" s="210"/>
      <c r="R1362" s="210"/>
      <c r="S1362" s="210"/>
      <c r="T1362" s="210"/>
      <c r="U1362" s="210"/>
      <c r="V1362" s="210"/>
    </row>
    <row r="1363">
      <c r="A1363" s="220"/>
      <c r="F1363" s="190"/>
      <c r="G1363" s="190"/>
      <c r="N1363" s="220"/>
      <c r="O1363" s="220"/>
      <c r="Q1363" s="210"/>
      <c r="R1363" s="210"/>
      <c r="S1363" s="210"/>
      <c r="T1363" s="210"/>
      <c r="U1363" s="210"/>
      <c r="V1363" s="210"/>
    </row>
    <row r="1364">
      <c r="A1364" s="220"/>
      <c r="F1364" s="190"/>
      <c r="G1364" s="190"/>
      <c r="N1364" s="220"/>
      <c r="O1364" s="220"/>
      <c r="Q1364" s="210"/>
      <c r="R1364" s="210"/>
      <c r="S1364" s="210"/>
      <c r="T1364" s="210"/>
      <c r="U1364" s="210"/>
      <c r="V1364" s="210"/>
    </row>
    <row r="1365">
      <c r="A1365" s="220"/>
      <c r="F1365" s="190"/>
      <c r="G1365" s="190"/>
      <c r="N1365" s="220"/>
      <c r="O1365" s="220"/>
      <c r="Q1365" s="210"/>
      <c r="R1365" s="210"/>
      <c r="S1365" s="210"/>
      <c r="T1365" s="210"/>
      <c r="U1365" s="210"/>
      <c r="V1365" s="210"/>
    </row>
    <row r="1366">
      <c r="A1366" s="220"/>
      <c r="F1366" s="190"/>
      <c r="G1366" s="190"/>
      <c r="N1366" s="220"/>
      <c r="O1366" s="220"/>
      <c r="Q1366" s="210"/>
      <c r="R1366" s="210"/>
      <c r="S1366" s="210"/>
      <c r="T1366" s="210"/>
      <c r="U1366" s="210"/>
      <c r="V1366" s="210"/>
    </row>
    <row r="1367">
      <c r="A1367" s="220"/>
      <c r="F1367" s="190"/>
      <c r="G1367" s="190"/>
      <c r="N1367" s="220"/>
      <c r="O1367" s="220"/>
      <c r="Q1367" s="210"/>
      <c r="R1367" s="210"/>
      <c r="S1367" s="210"/>
      <c r="T1367" s="210"/>
      <c r="U1367" s="210"/>
      <c r="V1367" s="210"/>
    </row>
    <row r="1368">
      <c r="A1368" s="220"/>
      <c r="F1368" s="190"/>
      <c r="G1368" s="190"/>
      <c r="N1368" s="220"/>
      <c r="O1368" s="220"/>
      <c r="Q1368" s="210"/>
      <c r="R1368" s="210"/>
      <c r="S1368" s="210"/>
      <c r="T1368" s="210"/>
      <c r="U1368" s="210"/>
      <c r="V1368" s="210"/>
    </row>
    <row r="1369">
      <c r="A1369" s="220"/>
      <c r="F1369" s="190"/>
      <c r="G1369" s="190"/>
      <c r="N1369" s="220"/>
      <c r="O1369" s="220"/>
      <c r="Q1369" s="210"/>
      <c r="R1369" s="210"/>
      <c r="S1369" s="210"/>
      <c r="T1369" s="210"/>
      <c r="U1369" s="210"/>
      <c r="V1369" s="210"/>
    </row>
    <row r="1370">
      <c r="A1370" s="220"/>
      <c r="F1370" s="190"/>
      <c r="G1370" s="190"/>
      <c r="N1370" s="220"/>
      <c r="O1370" s="220"/>
      <c r="Q1370" s="210"/>
      <c r="R1370" s="210"/>
      <c r="S1370" s="210"/>
      <c r="T1370" s="210"/>
      <c r="U1370" s="210"/>
      <c r="V1370" s="210"/>
    </row>
    <row r="1371">
      <c r="A1371" s="220"/>
      <c r="F1371" s="190"/>
      <c r="G1371" s="190"/>
      <c r="N1371" s="220"/>
      <c r="O1371" s="220"/>
      <c r="Q1371" s="210"/>
      <c r="R1371" s="210"/>
      <c r="S1371" s="210"/>
      <c r="T1371" s="210"/>
      <c r="U1371" s="210"/>
      <c r="V1371" s="210"/>
    </row>
    <row r="1372">
      <c r="A1372" s="220"/>
      <c r="F1372" s="190"/>
      <c r="G1372" s="190"/>
      <c r="N1372" s="220"/>
      <c r="O1372" s="220"/>
      <c r="Q1372" s="210"/>
      <c r="R1372" s="210"/>
      <c r="S1372" s="210"/>
      <c r="T1372" s="210"/>
      <c r="U1372" s="210"/>
      <c r="V1372" s="210"/>
    </row>
    <row r="1373">
      <c r="A1373" s="220"/>
      <c r="F1373" s="190"/>
      <c r="G1373" s="190"/>
      <c r="N1373" s="220"/>
      <c r="O1373" s="220"/>
      <c r="Q1373" s="210"/>
      <c r="R1373" s="210"/>
      <c r="S1373" s="210"/>
      <c r="T1373" s="210"/>
      <c r="U1373" s="210"/>
      <c r="V1373" s="210"/>
    </row>
    <row r="1374">
      <c r="A1374" s="220"/>
      <c r="F1374" s="190"/>
      <c r="G1374" s="190"/>
      <c r="N1374" s="220"/>
      <c r="O1374" s="220"/>
      <c r="Q1374" s="210"/>
      <c r="R1374" s="210"/>
      <c r="S1374" s="210"/>
      <c r="T1374" s="210"/>
      <c r="U1374" s="210"/>
      <c r="V1374" s="210"/>
    </row>
    <row r="1375">
      <c r="A1375" s="220"/>
      <c r="F1375" s="190"/>
      <c r="G1375" s="190"/>
      <c r="N1375" s="220"/>
      <c r="O1375" s="220"/>
      <c r="Q1375" s="210"/>
      <c r="R1375" s="210"/>
      <c r="S1375" s="210"/>
      <c r="T1375" s="210"/>
      <c r="U1375" s="210"/>
      <c r="V1375" s="210"/>
    </row>
    <row r="1376">
      <c r="A1376" s="220"/>
      <c r="F1376" s="190"/>
      <c r="G1376" s="190"/>
      <c r="N1376" s="220"/>
      <c r="O1376" s="220"/>
      <c r="Q1376" s="210"/>
      <c r="R1376" s="210"/>
      <c r="S1376" s="210"/>
      <c r="T1376" s="210"/>
      <c r="U1376" s="210"/>
      <c r="V1376" s="210"/>
    </row>
    <row r="1377">
      <c r="A1377" s="220"/>
      <c r="F1377" s="190"/>
      <c r="G1377" s="190"/>
      <c r="N1377" s="220"/>
      <c r="O1377" s="220"/>
      <c r="Q1377" s="210"/>
      <c r="R1377" s="210"/>
      <c r="S1377" s="210"/>
      <c r="T1377" s="210"/>
      <c r="U1377" s="210"/>
      <c r="V1377" s="210"/>
    </row>
    <row r="1378">
      <c r="A1378" s="220"/>
      <c r="F1378" s="190"/>
      <c r="G1378" s="190"/>
      <c r="N1378" s="220"/>
      <c r="O1378" s="220"/>
      <c r="Q1378" s="210"/>
      <c r="R1378" s="210"/>
      <c r="S1378" s="210"/>
      <c r="T1378" s="210"/>
      <c r="U1378" s="210"/>
      <c r="V1378" s="210"/>
    </row>
    <row r="1379">
      <c r="A1379" s="220"/>
      <c r="F1379" s="190"/>
      <c r="G1379" s="190"/>
      <c r="N1379" s="220"/>
      <c r="O1379" s="220"/>
      <c r="Q1379" s="210"/>
      <c r="R1379" s="210"/>
      <c r="S1379" s="210"/>
      <c r="T1379" s="210"/>
      <c r="U1379" s="210"/>
      <c r="V1379" s="210"/>
    </row>
    <row r="1380">
      <c r="A1380" s="220"/>
      <c r="F1380" s="190"/>
      <c r="G1380" s="190"/>
      <c r="N1380" s="220"/>
      <c r="O1380" s="220"/>
      <c r="Q1380" s="210"/>
      <c r="R1380" s="210"/>
      <c r="S1380" s="210"/>
      <c r="T1380" s="210"/>
      <c r="U1380" s="210"/>
      <c r="V1380" s="210"/>
    </row>
    <row r="1381">
      <c r="A1381" s="220"/>
      <c r="F1381" s="190"/>
      <c r="G1381" s="190"/>
      <c r="N1381" s="220"/>
      <c r="O1381" s="220"/>
      <c r="Q1381" s="210"/>
      <c r="R1381" s="210"/>
      <c r="S1381" s="210"/>
      <c r="T1381" s="210"/>
      <c r="U1381" s="210"/>
      <c r="V1381" s="210"/>
    </row>
    <row r="1382">
      <c r="A1382" s="220"/>
      <c r="F1382" s="190"/>
      <c r="G1382" s="190"/>
      <c r="N1382" s="220"/>
      <c r="O1382" s="220"/>
      <c r="Q1382" s="210"/>
      <c r="R1382" s="210"/>
      <c r="S1382" s="210"/>
      <c r="T1382" s="210"/>
      <c r="U1382" s="210"/>
      <c r="V1382" s="210"/>
    </row>
    <row r="1383">
      <c r="A1383" s="220"/>
      <c r="F1383" s="190"/>
      <c r="G1383" s="190"/>
      <c r="N1383" s="220"/>
      <c r="O1383" s="220"/>
      <c r="Q1383" s="210"/>
      <c r="R1383" s="210"/>
      <c r="S1383" s="210"/>
      <c r="T1383" s="210"/>
      <c r="U1383" s="210"/>
      <c r="V1383" s="210"/>
    </row>
    <row r="1384">
      <c r="A1384" s="220"/>
      <c r="F1384" s="190"/>
      <c r="G1384" s="190"/>
      <c r="N1384" s="220"/>
      <c r="O1384" s="220"/>
      <c r="Q1384" s="210"/>
      <c r="R1384" s="210"/>
      <c r="S1384" s="210"/>
      <c r="T1384" s="210"/>
      <c r="U1384" s="210"/>
      <c r="V1384" s="210"/>
    </row>
    <row r="1385">
      <c r="A1385" s="220"/>
      <c r="F1385" s="190"/>
      <c r="G1385" s="190"/>
      <c r="N1385" s="220"/>
      <c r="O1385" s="220"/>
      <c r="Q1385" s="210"/>
      <c r="R1385" s="210"/>
      <c r="S1385" s="210"/>
      <c r="T1385" s="210"/>
      <c r="U1385" s="210"/>
      <c r="V1385" s="210"/>
    </row>
    <row r="1386">
      <c r="A1386" s="220"/>
      <c r="F1386" s="190"/>
      <c r="G1386" s="190"/>
      <c r="N1386" s="220"/>
      <c r="O1386" s="220"/>
      <c r="Q1386" s="210"/>
      <c r="R1386" s="210"/>
      <c r="S1386" s="210"/>
      <c r="T1386" s="210"/>
      <c r="U1386" s="210"/>
      <c r="V1386" s="210"/>
    </row>
    <row r="1387">
      <c r="A1387" s="220"/>
      <c r="F1387" s="190"/>
      <c r="G1387" s="190"/>
      <c r="N1387" s="220"/>
      <c r="O1387" s="220"/>
      <c r="Q1387" s="210"/>
      <c r="R1387" s="210"/>
      <c r="S1387" s="210"/>
      <c r="T1387" s="210"/>
      <c r="U1387" s="210"/>
      <c r="V1387" s="210"/>
    </row>
    <row r="1388">
      <c r="A1388" s="220"/>
      <c r="F1388" s="190"/>
      <c r="G1388" s="190"/>
      <c r="N1388" s="220"/>
      <c r="O1388" s="220"/>
      <c r="Q1388" s="210"/>
      <c r="R1388" s="210"/>
      <c r="S1388" s="210"/>
      <c r="T1388" s="210"/>
      <c r="U1388" s="210"/>
      <c r="V1388" s="210"/>
    </row>
    <row r="1389">
      <c r="A1389" s="220"/>
      <c r="F1389" s="190"/>
      <c r="G1389" s="190"/>
      <c r="N1389" s="220"/>
      <c r="O1389" s="220"/>
      <c r="Q1389" s="210"/>
      <c r="R1389" s="210"/>
      <c r="S1389" s="210"/>
      <c r="T1389" s="210"/>
      <c r="U1389" s="210"/>
      <c r="V1389" s="210"/>
    </row>
    <row r="1390">
      <c r="A1390" s="220"/>
      <c r="F1390" s="190"/>
      <c r="G1390" s="190"/>
      <c r="N1390" s="220"/>
      <c r="O1390" s="220"/>
      <c r="Q1390" s="210"/>
      <c r="R1390" s="210"/>
      <c r="S1390" s="210"/>
      <c r="T1390" s="210"/>
      <c r="U1390" s="210"/>
      <c r="V1390" s="210"/>
    </row>
    <row r="1391">
      <c r="A1391" s="220"/>
      <c r="F1391" s="190"/>
      <c r="G1391" s="190"/>
      <c r="N1391" s="220"/>
      <c r="O1391" s="220"/>
      <c r="Q1391" s="210"/>
      <c r="R1391" s="210"/>
      <c r="S1391" s="210"/>
      <c r="T1391" s="210"/>
      <c r="U1391" s="210"/>
      <c r="V1391" s="210"/>
    </row>
    <row r="1392">
      <c r="A1392" s="220"/>
      <c r="F1392" s="190"/>
      <c r="G1392" s="190"/>
      <c r="N1392" s="220"/>
      <c r="O1392" s="220"/>
      <c r="Q1392" s="210"/>
      <c r="R1392" s="210"/>
      <c r="S1392" s="210"/>
      <c r="T1392" s="210"/>
      <c r="U1392" s="210"/>
      <c r="V1392" s="210"/>
    </row>
    <row r="1393">
      <c r="A1393" s="220"/>
      <c r="F1393" s="190"/>
      <c r="G1393" s="190"/>
      <c r="N1393" s="220"/>
      <c r="O1393" s="220"/>
      <c r="Q1393" s="210"/>
      <c r="R1393" s="210"/>
      <c r="S1393" s="210"/>
      <c r="T1393" s="210"/>
      <c r="U1393" s="210"/>
      <c r="V1393" s="210"/>
    </row>
    <row r="1394">
      <c r="A1394" s="220"/>
      <c r="F1394" s="190"/>
      <c r="G1394" s="190"/>
      <c r="N1394" s="220"/>
      <c r="O1394" s="220"/>
      <c r="Q1394" s="210"/>
      <c r="R1394" s="210"/>
      <c r="S1394" s="210"/>
      <c r="T1394" s="210"/>
      <c r="U1394" s="210"/>
      <c r="V1394" s="210"/>
    </row>
    <row r="1395">
      <c r="A1395" s="220"/>
      <c r="F1395" s="190"/>
      <c r="G1395" s="190"/>
      <c r="N1395" s="220"/>
      <c r="O1395" s="220"/>
      <c r="Q1395" s="210"/>
      <c r="R1395" s="210"/>
      <c r="S1395" s="210"/>
      <c r="T1395" s="210"/>
      <c r="U1395" s="210"/>
      <c r="V1395" s="210"/>
    </row>
    <row r="1396">
      <c r="A1396" s="220"/>
      <c r="F1396" s="190"/>
      <c r="G1396" s="190"/>
      <c r="N1396" s="220"/>
      <c r="O1396" s="220"/>
      <c r="Q1396" s="210"/>
      <c r="R1396" s="210"/>
      <c r="S1396" s="210"/>
      <c r="T1396" s="210"/>
      <c r="U1396" s="210"/>
      <c r="V1396" s="210"/>
    </row>
    <row r="1397">
      <c r="A1397" s="220"/>
      <c r="F1397" s="190"/>
      <c r="G1397" s="190"/>
      <c r="N1397" s="220"/>
      <c r="O1397" s="220"/>
      <c r="Q1397" s="210"/>
      <c r="R1397" s="210"/>
      <c r="S1397" s="210"/>
      <c r="T1397" s="210"/>
      <c r="U1397" s="210"/>
      <c r="V1397" s="210"/>
    </row>
    <row r="1398">
      <c r="A1398" s="220"/>
      <c r="F1398" s="190"/>
      <c r="G1398" s="190"/>
      <c r="N1398" s="220"/>
      <c r="O1398" s="220"/>
      <c r="Q1398" s="210"/>
      <c r="R1398" s="210"/>
      <c r="S1398" s="210"/>
      <c r="T1398" s="210"/>
      <c r="U1398" s="210"/>
      <c r="V1398" s="210"/>
    </row>
    <row r="1399">
      <c r="A1399" s="220"/>
      <c r="F1399" s="190"/>
      <c r="G1399" s="190"/>
      <c r="N1399" s="220"/>
      <c r="O1399" s="220"/>
      <c r="Q1399" s="210"/>
      <c r="R1399" s="210"/>
      <c r="S1399" s="210"/>
      <c r="T1399" s="210"/>
      <c r="U1399" s="210"/>
      <c r="V1399" s="210"/>
    </row>
    <row r="1400">
      <c r="A1400" s="220"/>
      <c r="F1400" s="190"/>
      <c r="G1400" s="190"/>
      <c r="N1400" s="220"/>
      <c r="O1400" s="220"/>
      <c r="Q1400" s="210"/>
      <c r="R1400" s="210"/>
      <c r="S1400" s="210"/>
      <c r="T1400" s="210"/>
      <c r="U1400" s="210"/>
      <c r="V1400" s="210"/>
    </row>
    <row r="1401">
      <c r="A1401" s="220"/>
      <c r="F1401" s="190"/>
      <c r="G1401" s="190"/>
      <c r="N1401" s="220"/>
      <c r="O1401" s="220"/>
      <c r="Q1401" s="210"/>
      <c r="R1401" s="210"/>
      <c r="S1401" s="210"/>
      <c r="T1401" s="210"/>
      <c r="U1401" s="210"/>
      <c r="V1401" s="210"/>
    </row>
    <row r="1402">
      <c r="A1402" s="220"/>
      <c r="F1402" s="190"/>
      <c r="G1402" s="190"/>
      <c r="N1402" s="220"/>
      <c r="O1402" s="220"/>
      <c r="Q1402" s="210"/>
      <c r="R1402" s="210"/>
      <c r="S1402" s="210"/>
      <c r="T1402" s="210"/>
      <c r="U1402" s="210"/>
      <c r="V1402" s="210"/>
    </row>
    <row r="1403">
      <c r="A1403" s="220"/>
      <c r="F1403" s="190"/>
      <c r="G1403" s="190"/>
      <c r="N1403" s="220"/>
      <c r="O1403" s="220"/>
      <c r="Q1403" s="210"/>
      <c r="R1403" s="210"/>
      <c r="S1403" s="210"/>
      <c r="T1403" s="210"/>
      <c r="U1403" s="210"/>
      <c r="V1403" s="210"/>
    </row>
    <row r="1404">
      <c r="A1404" s="220"/>
      <c r="F1404" s="190"/>
      <c r="G1404" s="190"/>
      <c r="N1404" s="220"/>
      <c r="O1404" s="220"/>
      <c r="Q1404" s="210"/>
      <c r="R1404" s="210"/>
      <c r="S1404" s="210"/>
      <c r="T1404" s="210"/>
      <c r="U1404" s="210"/>
      <c r="V1404" s="210"/>
    </row>
    <row r="1405">
      <c r="A1405" s="220"/>
      <c r="F1405" s="190"/>
      <c r="G1405" s="190"/>
      <c r="N1405" s="220"/>
      <c r="O1405" s="220"/>
      <c r="Q1405" s="210"/>
      <c r="R1405" s="210"/>
      <c r="S1405" s="210"/>
      <c r="T1405" s="210"/>
      <c r="U1405" s="210"/>
      <c r="V1405" s="210"/>
    </row>
    <row r="1406">
      <c r="A1406" s="220"/>
      <c r="F1406" s="190"/>
      <c r="G1406" s="190"/>
      <c r="N1406" s="220"/>
      <c r="O1406" s="220"/>
      <c r="Q1406" s="210"/>
      <c r="R1406" s="210"/>
      <c r="S1406" s="210"/>
      <c r="T1406" s="210"/>
      <c r="U1406" s="210"/>
      <c r="V1406" s="210"/>
    </row>
    <row r="1407">
      <c r="A1407" s="220"/>
      <c r="F1407" s="190"/>
      <c r="G1407" s="190"/>
      <c r="N1407" s="220"/>
      <c r="O1407" s="220"/>
      <c r="Q1407" s="210"/>
      <c r="R1407" s="210"/>
      <c r="S1407" s="210"/>
      <c r="T1407" s="210"/>
      <c r="U1407" s="210"/>
      <c r="V1407" s="210"/>
    </row>
    <row r="1408">
      <c r="A1408" s="220"/>
      <c r="F1408" s="190"/>
      <c r="G1408" s="190"/>
      <c r="N1408" s="220"/>
      <c r="O1408" s="220"/>
      <c r="Q1408" s="210"/>
      <c r="R1408" s="210"/>
      <c r="S1408" s="210"/>
      <c r="T1408" s="210"/>
      <c r="U1408" s="210"/>
      <c r="V1408" s="210"/>
    </row>
    <row r="1409">
      <c r="A1409" s="220"/>
      <c r="F1409" s="190"/>
      <c r="G1409" s="190"/>
      <c r="N1409" s="220"/>
      <c r="O1409" s="220"/>
      <c r="Q1409" s="210"/>
      <c r="R1409" s="210"/>
      <c r="S1409" s="210"/>
      <c r="T1409" s="210"/>
      <c r="U1409" s="210"/>
      <c r="V1409" s="210"/>
    </row>
    <row r="1410">
      <c r="A1410" s="220"/>
      <c r="F1410" s="190"/>
      <c r="G1410" s="190"/>
      <c r="N1410" s="220"/>
      <c r="O1410" s="220"/>
      <c r="Q1410" s="210"/>
      <c r="R1410" s="210"/>
      <c r="S1410" s="210"/>
      <c r="T1410" s="210"/>
      <c r="U1410" s="210"/>
      <c r="V1410" s="210"/>
    </row>
    <row r="1411">
      <c r="A1411" s="220"/>
      <c r="F1411" s="190"/>
      <c r="G1411" s="190"/>
      <c r="N1411" s="220"/>
      <c r="O1411" s="220"/>
      <c r="Q1411" s="210"/>
      <c r="R1411" s="210"/>
      <c r="S1411" s="210"/>
      <c r="T1411" s="210"/>
      <c r="U1411" s="210"/>
      <c r="V1411" s="210"/>
    </row>
    <row r="1412">
      <c r="A1412" s="220"/>
      <c r="F1412" s="190"/>
      <c r="G1412" s="190"/>
      <c r="N1412" s="220"/>
      <c r="O1412" s="220"/>
      <c r="Q1412" s="210"/>
      <c r="R1412" s="210"/>
      <c r="S1412" s="210"/>
      <c r="T1412" s="210"/>
      <c r="U1412" s="210"/>
      <c r="V1412" s="210"/>
    </row>
    <row r="1413">
      <c r="A1413" s="220"/>
      <c r="F1413" s="190"/>
      <c r="G1413" s="190"/>
      <c r="N1413" s="220"/>
      <c r="O1413" s="220"/>
      <c r="Q1413" s="210"/>
      <c r="R1413" s="210"/>
      <c r="S1413" s="210"/>
      <c r="T1413" s="210"/>
      <c r="U1413" s="210"/>
      <c r="V1413" s="210"/>
    </row>
    <row r="1414">
      <c r="A1414" s="220"/>
      <c r="F1414" s="190"/>
      <c r="G1414" s="190"/>
      <c r="N1414" s="220"/>
      <c r="O1414" s="220"/>
      <c r="Q1414" s="210"/>
      <c r="R1414" s="210"/>
      <c r="S1414" s="210"/>
      <c r="T1414" s="210"/>
      <c r="U1414" s="210"/>
      <c r="V1414" s="210"/>
    </row>
    <row r="1415">
      <c r="A1415" s="220"/>
      <c r="F1415" s="190"/>
      <c r="G1415" s="190"/>
      <c r="N1415" s="220"/>
      <c r="O1415" s="220"/>
      <c r="Q1415" s="210"/>
      <c r="R1415" s="210"/>
      <c r="S1415" s="210"/>
      <c r="T1415" s="210"/>
      <c r="U1415" s="210"/>
      <c r="V1415" s="210"/>
    </row>
    <row r="1416">
      <c r="A1416" s="220"/>
      <c r="F1416" s="190"/>
      <c r="G1416" s="190"/>
      <c r="N1416" s="220"/>
      <c r="O1416" s="220"/>
      <c r="Q1416" s="210"/>
      <c r="R1416" s="210"/>
      <c r="S1416" s="210"/>
      <c r="T1416" s="210"/>
      <c r="U1416" s="210"/>
      <c r="V1416" s="210"/>
    </row>
    <row r="1417">
      <c r="A1417" s="220"/>
      <c r="F1417" s="190"/>
      <c r="G1417" s="190"/>
      <c r="N1417" s="220"/>
      <c r="O1417" s="220"/>
      <c r="Q1417" s="210"/>
      <c r="R1417" s="210"/>
      <c r="S1417" s="210"/>
      <c r="T1417" s="210"/>
      <c r="U1417" s="210"/>
      <c r="V1417" s="210"/>
    </row>
    <row r="1418">
      <c r="A1418" s="220"/>
      <c r="F1418" s="190"/>
      <c r="G1418" s="190"/>
      <c r="N1418" s="220"/>
      <c r="O1418" s="220"/>
      <c r="Q1418" s="210"/>
      <c r="R1418" s="210"/>
      <c r="S1418" s="210"/>
      <c r="T1418" s="210"/>
      <c r="U1418" s="210"/>
      <c r="V1418" s="210"/>
    </row>
    <row r="1419">
      <c r="A1419" s="220"/>
      <c r="F1419" s="190"/>
      <c r="G1419" s="190"/>
      <c r="N1419" s="220"/>
      <c r="O1419" s="220"/>
      <c r="Q1419" s="210"/>
      <c r="R1419" s="210"/>
      <c r="S1419" s="210"/>
      <c r="T1419" s="210"/>
      <c r="U1419" s="210"/>
      <c r="V1419" s="210"/>
    </row>
    <row r="1420">
      <c r="A1420" s="220"/>
      <c r="F1420" s="190"/>
      <c r="G1420" s="190"/>
      <c r="N1420" s="220"/>
      <c r="O1420" s="220"/>
      <c r="Q1420" s="210"/>
      <c r="R1420" s="210"/>
      <c r="S1420" s="210"/>
      <c r="T1420" s="210"/>
      <c r="U1420" s="210"/>
      <c r="V1420" s="210"/>
    </row>
    <row r="1421">
      <c r="A1421" s="220"/>
      <c r="F1421" s="190"/>
      <c r="G1421" s="190"/>
      <c r="N1421" s="220"/>
      <c r="O1421" s="220"/>
      <c r="Q1421" s="210"/>
      <c r="R1421" s="210"/>
      <c r="S1421" s="210"/>
      <c r="T1421" s="210"/>
      <c r="U1421" s="210"/>
      <c r="V1421" s="210"/>
    </row>
    <row r="1422">
      <c r="A1422" s="220"/>
      <c r="F1422" s="190"/>
      <c r="G1422" s="190"/>
      <c r="N1422" s="220"/>
      <c r="O1422" s="220"/>
      <c r="Q1422" s="210"/>
      <c r="R1422" s="210"/>
      <c r="S1422" s="210"/>
      <c r="T1422" s="210"/>
      <c r="U1422" s="210"/>
      <c r="V1422" s="210"/>
    </row>
    <row r="1423">
      <c r="A1423" s="220"/>
      <c r="F1423" s="190"/>
      <c r="G1423" s="190"/>
      <c r="N1423" s="220"/>
      <c r="O1423" s="220"/>
      <c r="Q1423" s="210"/>
      <c r="R1423" s="210"/>
      <c r="S1423" s="210"/>
      <c r="T1423" s="210"/>
      <c r="U1423" s="210"/>
      <c r="V1423" s="210"/>
    </row>
    <row r="1424">
      <c r="A1424" s="220"/>
      <c r="F1424" s="190"/>
      <c r="G1424" s="190"/>
      <c r="N1424" s="220"/>
      <c r="O1424" s="220"/>
      <c r="Q1424" s="210"/>
      <c r="R1424" s="210"/>
      <c r="S1424" s="210"/>
      <c r="T1424" s="210"/>
      <c r="U1424" s="210"/>
      <c r="V1424" s="210"/>
    </row>
    <row r="1425">
      <c r="A1425" s="220"/>
      <c r="F1425" s="190"/>
      <c r="G1425" s="190"/>
      <c r="N1425" s="220"/>
      <c r="O1425" s="220"/>
      <c r="Q1425" s="210"/>
      <c r="R1425" s="210"/>
      <c r="S1425" s="210"/>
      <c r="T1425" s="210"/>
      <c r="U1425" s="210"/>
      <c r="V1425" s="210"/>
    </row>
    <row r="1426">
      <c r="A1426" s="220"/>
      <c r="F1426" s="190"/>
      <c r="G1426" s="190"/>
      <c r="N1426" s="220"/>
      <c r="O1426" s="220"/>
      <c r="Q1426" s="210"/>
      <c r="R1426" s="210"/>
      <c r="S1426" s="210"/>
      <c r="T1426" s="210"/>
      <c r="U1426" s="210"/>
      <c r="V1426" s="210"/>
    </row>
    <row r="1427">
      <c r="A1427" s="220"/>
      <c r="F1427" s="190"/>
      <c r="G1427" s="190"/>
      <c r="N1427" s="220"/>
      <c r="O1427" s="220"/>
      <c r="Q1427" s="210"/>
      <c r="R1427" s="210"/>
      <c r="S1427" s="210"/>
      <c r="T1427" s="210"/>
      <c r="U1427" s="210"/>
      <c r="V1427" s="210"/>
    </row>
    <row r="1428">
      <c r="A1428" s="220"/>
      <c r="F1428" s="190"/>
      <c r="G1428" s="190"/>
      <c r="N1428" s="220"/>
      <c r="O1428" s="220"/>
      <c r="Q1428" s="210"/>
      <c r="R1428" s="210"/>
      <c r="S1428" s="210"/>
      <c r="T1428" s="210"/>
      <c r="U1428" s="210"/>
      <c r="V1428" s="210"/>
    </row>
    <row r="1429">
      <c r="A1429" s="220"/>
      <c r="F1429" s="190"/>
      <c r="G1429" s="190"/>
      <c r="N1429" s="220"/>
      <c r="O1429" s="220"/>
      <c r="Q1429" s="210"/>
      <c r="R1429" s="210"/>
      <c r="S1429" s="210"/>
      <c r="T1429" s="210"/>
      <c r="U1429" s="210"/>
      <c r="V1429" s="210"/>
    </row>
    <row r="1430">
      <c r="A1430" s="220"/>
      <c r="F1430" s="190"/>
      <c r="G1430" s="190"/>
      <c r="N1430" s="220"/>
      <c r="O1430" s="220"/>
      <c r="Q1430" s="210"/>
      <c r="R1430" s="210"/>
      <c r="S1430" s="210"/>
      <c r="T1430" s="210"/>
      <c r="U1430" s="210"/>
      <c r="V1430" s="210"/>
    </row>
    <row r="1431">
      <c r="A1431" s="220"/>
      <c r="F1431" s="190"/>
      <c r="G1431" s="190"/>
      <c r="N1431" s="220"/>
      <c r="O1431" s="220"/>
      <c r="Q1431" s="210"/>
      <c r="R1431" s="210"/>
      <c r="S1431" s="210"/>
      <c r="T1431" s="210"/>
      <c r="U1431" s="210"/>
      <c r="V1431" s="210"/>
    </row>
    <row r="1432">
      <c r="A1432" s="220"/>
      <c r="F1432" s="190"/>
      <c r="G1432" s="190"/>
      <c r="N1432" s="220"/>
      <c r="O1432" s="220"/>
      <c r="Q1432" s="210"/>
      <c r="R1432" s="210"/>
      <c r="S1432" s="210"/>
      <c r="T1432" s="210"/>
      <c r="U1432" s="210"/>
      <c r="V1432" s="210"/>
    </row>
    <row r="1433">
      <c r="A1433" s="220"/>
      <c r="F1433" s="190"/>
      <c r="G1433" s="190"/>
      <c r="N1433" s="220"/>
      <c r="O1433" s="220"/>
      <c r="Q1433" s="210"/>
      <c r="R1433" s="210"/>
      <c r="S1433" s="210"/>
      <c r="T1433" s="210"/>
      <c r="U1433" s="210"/>
      <c r="V1433" s="210"/>
    </row>
    <row r="1434">
      <c r="A1434" s="220"/>
      <c r="F1434" s="190"/>
      <c r="G1434" s="190"/>
      <c r="N1434" s="220"/>
      <c r="O1434" s="220"/>
      <c r="Q1434" s="210"/>
      <c r="R1434" s="210"/>
      <c r="S1434" s="210"/>
      <c r="T1434" s="210"/>
      <c r="U1434" s="210"/>
      <c r="V1434" s="210"/>
    </row>
    <row r="1435">
      <c r="A1435" s="220"/>
      <c r="F1435" s="190"/>
      <c r="G1435" s="190"/>
      <c r="N1435" s="220"/>
      <c r="O1435" s="220"/>
      <c r="Q1435" s="210"/>
      <c r="R1435" s="210"/>
      <c r="S1435" s="210"/>
      <c r="T1435" s="210"/>
      <c r="U1435" s="210"/>
      <c r="V1435" s="210"/>
    </row>
    <row r="1436">
      <c r="A1436" s="220"/>
      <c r="F1436" s="190"/>
      <c r="G1436" s="190"/>
      <c r="N1436" s="220"/>
      <c r="O1436" s="220"/>
      <c r="Q1436" s="210"/>
      <c r="R1436" s="210"/>
      <c r="S1436" s="210"/>
      <c r="T1436" s="210"/>
      <c r="U1436" s="210"/>
      <c r="V1436" s="210"/>
    </row>
    <row r="1437">
      <c r="A1437" s="220"/>
      <c r="F1437" s="190"/>
      <c r="G1437" s="190"/>
      <c r="N1437" s="220"/>
      <c r="O1437" s="220"/>
      <c r="Q1437" s="210"/>
      <c r="R1437" s="210"/>
      <c r="S1437" s="210"/>
      <c r="T1437" s="210"/>
      <c r="U1437" s="210"/>
      <c r="V1437" s="210"/>
    </row>
    <row r="1438">
      <c r="A1438" s="220"/>
      <c r="F1438" s="190"/>
      <c r="G1438" s="190"/>
      <c r="N1438" s="220"/>
      <c r="O1438" s="220"/>
      <c r="Q1438" s="210"/>
      <c r="R1438" s="210"/>
      <c r="S1438" s="210"/>
      <c r="T1438" s="210"/>
      <c r="U1438" s="210"/>
      <c r="V1438" s="210"/>
    </row>
    <row r="1439">
      <c r="A1439" s="220"/>
      <c r="F1439" s="190"/>
      <c r="G1439" s="190"/>
      <c r="N1439" s="220"/>
      <c r="O1439" s="220"/>
      <c r="Q1439" s="210"/>
      <c r="R1439" s="210"/>
      <c r="S1439" s="210"/>
      <c r="T1439" s="210"/>
      <c r="U1439" s="210"/>
      <c r="V1439" s="210"/>
    </row>
    <row r="1440">
      <c r="A1440" s="220"/>
      <c r="F1440" s="190"/>
      <c r="G1440" s="190"/>
      <c r="N1440" s="220"/>
      <c r="O1440" s="220"/>
      <c r="Q1440" s="210"/>
      <c r="R1440" s="210"/>
      <c r="S1440" s="210"/>
      <c r="T1440" s="210"/>
      <c r="U1440" s="210"/>
      <c r="V1440" s="210"/>
    </row>
    <row r="1441">
      <c r="A1441" s="220"/>
      <c r="F1441" s="190"/>
      <c r="G1441" s="190"/>
      <c r="N1441" s="220"/>
      <c r="O1441" s="220"/>
      <c r="Q1441" s="210"/>
      <c r="R1441" s="210"/>
      <c r="S1441" s="210"/>
      <c r="T1441" s="210"/>
      <c r="U1441" s="210"/>
      <c r="V1441" s="210"/>
    </row>
    <row r="1442">
      <c r="A1442" s="220"/>
      <c r="F1442" s="190"/>
      <c r="G1442" s="190"/>
      <c r="N1442" s="220"/>
      <c r="O1442" s="220"/>
      <c r="Q1442" s="210"/>
      <c r="R1442" s="210"/>
      <c r="S1442" s="210"/>
      <c r="T1442" s="210"/>
      <c r="U1442" s="210"/>
      <c r="V1442" s="210"/>
    </row>
    <row r="1443">
      <c r="A1443" s="220"/>
      <c r="F1443" s="190"/>
      <c r="G1443" s="190"/>
      <c r="N1443" s="220"/>
      <c r="O1443" s="220"/>
      <c r="Q1443" s="210"/>
      <c r="R1443" s="210"/>
      <c r="S1443" s="210"/>
      <c r="T1443" s="210"/>
      <c r="U1443" s="210"/>
      <c r="V1443" s="210"/>
    </row>
    <row r="1444">
      <c r="A1444" s="220"/>
      <c r="F1444" s="190"/>
      <c r="G1444" s="190"/>
      <c r="N1444" s="220"/>
      <c r="O1444" s="220"/>
      <c r="Q1444" s="210"/>
      <c r="R1444" s="210"/>
      <c r="S1444" s="210"/>
      <c r="T1444" s="210"/>
      <c r="U1444" s="210"/>
      <c r="V1444" s="210"/>
    </row>
    <row r="1445">
      <c r="A1445" s="220"/>
      <c r="F1445" s="190"/>
      <c r="G1445" s="190"/>
      <c r="N1445" s="220"/>
      <c r="O1445" s="220"/>
      <c r="Q1445" s="210"/>
      <c r="R1445" s="210"/>
      <c r="S1445" s="210"/>
      <c r="T1445" s="210"/>
      <c r="U1445" s="210"/>
      <c r="V1445" s="210"/>
    </row>
    <row r="1446">
      <c r="A1446" s="220"/>
      <c r="F1446" s="190"/>
      <c r="G1446" s="190"/>
      <c r="N1446" s="220"/>
      <c r="O1446" s="220"/>
      <c r="Q1446" s="210"/>
      <c r="R1446" s="210"/>
      <c r="S1446" s="210"/>
      <c r="T1446" s="210"/>
      <c r="U1446" s="210"/>
      <c r="V1446" s="210"/>
    </row>
    <row r="1447">
      <c r="A1447" s="220"/>
      <c r="F1447" s="190"/>
      <c r="G1447" s="190"/>
      <c r="N1447" s="220"/>
      <c r="O1447" s="220"/>
      <c r="Q1447" s="210"/>
      <c r="R1447" s="210"/>
      <c r="S1447" s="210"/>
      <c r="T1447" s="210"/>
      <c r="U1447" s="210"/>
      <c r="V1447" s="210"/>
    </row>
    <row r="1448">
      <c r="A1448" s="220"/>
      <c r="F1448" s="190"/>
      <c r="G1448" s="190"/>
      <c r="N1448" s="220"/>
      <c r="O1448" s="220"/>
      <c r="Q1448" s="210"/>
      <c r="R1448" s="210"/>
      <c r="S1448" s="210"/>
      <c r="T1448" s="210"/>
      <c r="U1448" s="210"/>
      <c r="V1448" s="210"/>
    </row>
    <row r="1449">
      <c r="A1449" s="220"/>
      <c r="F1449" s="190"/>
      <c r="G1449" s="190"/>
      <c r="N1449" s="220"/>
      <c r="O1449" s="220"/>
      <c r="Q1449" s="210"/>
      <c r="R1449" s="210"/>
      <c r="S1449" s="210"/>
      <c r="T1449" s="210"/>
      <c r="U1449" s="210"/>
      <c r="V1449" s="210"/>
    </row>
    <row r="1450">
      <c r="A1450" s="220"/>
      <c r="F1450" s="190"/>
      <c r="G1450" s="190"/>
      <c r="N1450" s="220"/>
      <c r="O1450" s="220"/>
      <c r="Q1450" s="210"/>
      <c r="R1450" s="210"/>
      <c r="S1450" s="210"/>
      <c r="T1450" s="210"/>
      <c r="U1450" s="210"/>
      <c r="V1450" s="210"/>
    </row>
    <row r="1451">
      <c r="A1451" s="220"/>
      <c r="F1451" s="190"/>
      <c r="G1451" s="190"/>
      <c r="N1451" s="220"/>
      <c r="O1451" s="220"/>
      <c r="Q1451" s="210"/>
      <c r="R1451" s="210"/>
      <c r="S1451" s="210"/>
      <c r="T1451" s="210"/>
      <c r="U1451" s="210"/>
      <c r="V1451" s="210"/>
    </row>
    <row r="1452">
      <c r="A1452" s="220"/>
      <c r="F1452" s="190"/>
      <c r="G1452" s="190"/>
      <c r="N1452" s="220"/>
      <c r="O1452" s="220"/>
      <c r="Q1452" s="210"/>
      <c r="R1452" s="210"/>
      <c r="S1452" s="210"/>
      <c r="T1452" s="210"/>
      <c r="U1452" s="210"/>
      <c r="V1452" s="210"/>
    </row>
    <row r="1453">
      <c r="A1453" s="220"/>
      <c r="F1453" s="190"/>
      <c r="G1453" s="190"/>
      <c r="N1453" s="220"/>
      <c r="O1453" s="220"/>
      <c r="Q1453" s="210"/>
      <c r="R1453" s="210"/>
      <c r="S1453" s="210"/>
      <c r="T1453" s="210"/>
      <c r="U1453" s="210"/>
      <c r="V1453" s="210"/>
    </row>
    <row r="1454">
      <c r="A1454" s="220"/>
      <c r="F1454" s="190"/>
      <c r="G1454" s="190"/>
      <c r="N1454" s="220"/>
      <c r="O1454" s="220"/>
      <c r="Q1454" s="210"/>
      <c r="R1454" s="210"/>
      <c r="S1454" s="210"/>
      <c r="T1454" s="210"/>
      <c r="U1454" s="210"/>
      <c r="V1454" s="210"/>
    </row>
    <row r="1455">
      <c r="A1455" s="220"/>
      <c r="F1455" s="190"/>
      <c r="G1455" s="190"/>
      <c r="N1455" s="220"/>
      <c r="O1455" s="220"/>
      <c r="Q1455" s="210"/>
      <c r="R1455" s="210"/>
      <c r="S1455" s="210"/>
      <c r="T1455" s="210"/>
      <c r="U1455" s="210"/>
      <c r="V1455" s="210"/>
    </row>
    <row r="1456">
      <c r="A1456" s="220"/>
      <c r="F1456" s="190"/>
      <c r="G1456" s="190"/>
      <c r="N1456" s="220"/>
      <c r="O1456" s="220"/>
      <c r="Q1456" s="210"/>
      <c r="R1456" s="210"/>
      <c r="S1456" s="210"/>
      <c r="T1456" s="210"/>
      <c r="U1456" s="210"/>
      <c r="V1456" s="210"/>
    </row>
    <row r="1457">
      <c r="A1457" s="220"/>
      <c r="F1457" s="190"/>
      <c r="G1457" s="190"/>
      <c r="N1457" s="220"/>
      <c r="O1457" s="220"/>
      <c r="Q1457" s="210"/>
      <c r="R1457" s="210"/>
      <c r="S1457" s="210"/>
      <c r="T1457" s="210"/>
      <c r="U1457" s="210"/>
      <c r="V1457" s="210"/>
    </row>
    <row r="1458">
      <c r="A1458" s="220"/>
      <c r="F1458" s="190"/>
      <c r="G1458" s="190"/>
      <c r="N1458" s="220"/>
      <c r="O1458" s="220"/>
      <c r="Q1458" s="210"/>
      <c r="R1458" s="210"/>
      <c r="S1458" s="210"/>
      <c r="T1458" s="210"/>
      <c r="U1458" s="210"/>
      <c r="V1458" s="210"/>
    </row>
    <row r="1459">
      <c r="A1459" s="220"/>
      <c r="F1459" s="190"/>
      <c r="G1459" s="190"/>
      <c r="N1459" s="220"/>
      <c r="O1459" s="220"/>
      <c r="Q1459" s="210"/>
      <c r="R1459" s="210"/>
      <c r="S1459" s="210"/>
      <c r="T1459" s="210"/>
      <c r="U1459" s="210"/>
      <c r="V1459" s="210"/>
    </row>
    <row r="1460">
      <c r="A1460" s="220"/>
      <c r="F1460" s="190"/>
      <c r="G1460" s="190"/>
      <c r="N1460" s="220"/>
      <c r="O1460" s="220"/>
      <c r="Q1460" s="210"/>
      <c r="R1460" s="210"/>
      <c r="S1460" s="210"/>
      <c r="T1460" s="210"/>
      <c r="U1460" s="210"/>
      <c r="V1460" s="210"/>
    </row>
    <row r="1461">
      <c r="A1461" s="220"/>
      <c r="F1461" s="190"/>
      <c r="G1461" s="190"/>
      <c r="N1461" s="220"/>
      <c r="O1461" s="220"/>
      <c r="Q1461" s="210"/>
      <c r="R1461" s="210"/>
      <c r="S1461" s="210"/>
      <c r="T1461" s="210"/>
      <c r="U1461" s="210"/>
      <c r="V1461" s="210"/>
    </row>
    <row r="1462">
      <c r="A1462" s="220"/>
      <c r="F1462" s="190"/>
      <c r="G1462" s="190"/>
      <c r="N1462" s="220"/>
      <c r="O1462" s="220"/>
      <c r="Q1462" s="210"/>
      <c r="R1462" s="210"/>
      <c r="S1462" s="210"/>
      <c r="T1462" s="210"/>
      <c r="U1462" s="210"/>
      <c r="V1462" s="210"/>
    </row>
    <row r="1463">
      <c r="A1463" s="220"/>
      <c r="F1463" s="190"/>
      <c r="G1463" s="190"/>
      <c r="N1463" s="220"/>
      <c r="O1463" s="220"/>
      <c r="Q1463" s="210"/>
      <c r="R1463" s="210"/>
      <c r="S1463" s="210"/>
      <c r="T1463" s="210"/>
      <c r="U1463" s="210"/>
      <c r="V1463" s="210"/>
    </row>
    <row r="1464">
      <c r="A1464" s="220"/>
      <c r="F1464" s="190"/>
      <c r="G1464" s="190"/>
      <c r="N1464" s="220"/>
      <c r="O1464" s="220"/>
      <c r="Q1464" s="210"/>
      <c r="R1464" s="210"/>
      <c r="S1464" s="210"/>
      <c r="T1464" s="210"/>
      <c r="U1464" s="210"/>
      <c r="V1464" s="210"/>
    </row>
    <row r="1465">
      <c r="A1465" s="220"/>
      <c r="F1465" s="190"/>
      <c r="G1465" s="190"/>
      <c r="N1465" s="220"/>
      <c r="O1465" s="220"/>
      <c r="Q1465" s="210"/>
      <c r="R1465" s="210"/>
      <c r="S1465" s="210"/>
      <c r="T1465" s="210"/>
      <c r="U1465" s="210"/>
      <c r="V1465" s="210"/>
    </row>
    <row r="1466">
      <c r="A1466" s="220"/>
      <c r="F1466" s="190"/>
      <c r="G1466" s="190"/>
      <c r="N1466" s="220"/>
      <c r="O1466" s="220"/>
      <c r="Q1466" s="210"/>
      <c r="R1466" s="210"/>
      <c r="S1466" s="210"/>
      <c r="T1466" s="210"/>
      <c r="U1466" s="210"/>
      <c r="V1466" s="210"/>
    </row>
    <row r="1467">
      <c r="A1467" s="220"/>
      <c r="F1467" s="190"/>
      <c r="G1467" s="190"/>
      <c r="N1467" s="220"/>
      <c r="O1467" s="220"/>
      <c r="Q1467" s="210"/>
      <c r="R1467" s="210"/>
      <c r="S1467" s="210"/>
      <c r="T1467" s="210"/>
      <c r="U1467" s="210"/>
      <c r="V1467" s="210"/>
    </row>
    <row r="1468">
      <c r="A1468" s="220"/>
      <c r="F1468" s="190"/>
      <c r="G1468" s="190"/>
      <c r="N1468" s="220"/>
      <c r="O1468" s="220"/>
      <c r="Q1468" s="210"/>
      <c r="R1468" s="210"/>
      <c r="S1468" s="210"/>
      <c r="T1468" s="210"/>
      <c r="U1468" s="210"/>
      <c r="V1468" s="210"/>
    </row>
    <row r="1469">
      <c r="A1469" s="220"/>
      <c r="F1469" s="190"/>
      <c r="G1469" s="190"/>
      <c r="N1469" s="220"/>
      <c r="O1469" s="220"/>
      <c r="Q1469" s="210"/>
      <c r="R1469" s="210"/>
      <c r="S1469" s="210"/>
      <c r="T1469" s="210"/>
      <c r="U1469" s="210"/>
      <c r="V1469" s="210"/>
    </row>
    <row r="1470">
      <c r="A1470" s="220"/>
      <c r="F1470" s="190"/>
      <c r="G1470" s="190"/>
      <c r="N1470" s="220"/>
      <c r="O1470" s="220"/>
      <c r="Q1470" s="210"/>
      <c r="R1470" s="210"/>
      <c r="S1470" s="210"/>
      <c r="T1470" s="210"/>
      <c r="U1470" s="210"/>
      <c r="V1470" s="210"/>
    </row>
    <row r="1471">
      <c r="A1471" s="220"/>
      <c r="F1471" s="190"/>
      <c r="G1471" s="190"/>
      <c r="N1471" s="220"/>
      <c r="O1471" s="220"/>
      <c r="Q1471" s="210"/>
      <c r="R1471" s="210"/>
      <c r="S1471" s="210"/>
      <c r="T1471" s="210"/>
      <c r="U1471" s="210"/>
      <c r="V1471" s="210"/>
    </row>
    <row r="1472">
      <c r="A1472" s="220"/>
      <c r="F1472" s="190"/>
      <c r="G1472" s="190"/>
      <c r="N1472" s="220"/>
      <c r="O1472" s="220"/>
      <c r="Q1472" s="210"/>
      <c r="R1472" s="210"/>
      <c r="S1472" s="210"/>
      <c r="T1472" s="210"/>
      <c r="U1472" s="210"/>
      <c r="V1472" s="210"/>
    </row>
    <row r="1473">
      <c r="A1473" s="220"/>
      <c r="F1473" s="190"/>
      <c r="G1473" s="190"/>
      <c r="N1473" s="220"/>
      <c r="O1473" s="220"/>
      <c r="Q1473" s="210"/>
      <c r="R1473" s="210"/>
      <c r="S1473" s="210"/>
      <c r="T1473" s="210"/>
      <c r="U1473" s="210"/>
      <c r="V1473" s="210"/>
    </row>
    <row r="1474">
      <c r="A1474" s="220"/>
      <c r="F1474" s="190"/>
      <c r="G1474" s="190"/>
      <c r="N1474" s="220"/>
      <c r="O1474" s="220"/>
      <c r="Q1474" s="210"/>
      <c r="R1474" s="210"/>
      <c r="S1474" s="210"/>
      <c r="T1474" s="210"/>
      <c r="U1474" s="210"/>
      <c r="V1474" s="210"/>
    </row>
    <row r="1475">
      <c r="A1475" s="220"/>
      <c r="F1475" s="190"/>
      <c r="G1475" s="190"/>
      <c r="N1475" s="220"/>
      <c r="O1475" s="220"/>
      <c r="Q1475" s="210"/>
      <c r="R1475" s="210"/>
      <c r="S1475" s="210"/>
      <c r="T1475" s="210"/>
      <c r="U1475" s="210"/>
      <c r="V1475" s="210"/>
    </row>
    <row r="1476">
      <c r="A1476" s="220"/>
      <c r="F1476" s="190"/>
      <c r="G1476" s="190"/>
      <c r="N1476" s="220"/>
      <c r="O1476" s="220"/>
      <c r="Q1476" s="210"/>
      <c r="R1476" s="210"/>
      <c r="S1476" s="210"/>
      <c r="T1476" s="210"/>
      <c r="U1476" s="210"/>
      <c r="V1476" s="210"/>
    </row>
    <row r="1477">
      <c r="A1477" s="220"/>
      <c r="F1477" s="190"/>
      <c r="G1477" s="190"/>
      <c r="N1477" s="220"/>
      <c r="O1477" s="220"/>
      <c r="Q1477" s="210"/>
      <c r="R1477" s="210"/>
      <c r="S1477" s="210"/>
      <c r="T1477" s="210"/>
      <c r="U1477" s="210"/>
      <c r="V1477" s="210"/>
    </row>
    <row r="1478">
      <c r="A1478" s="220"/>
      <c r="F1478" s="190"/>
      <c r="G1478" s="190"/>
      <c r="N1478" s="220"/>
      <c r="O1478" s="220"/>
      <c r="Q1478" s="210"/>
      <c r="R1478" s="210"/>
      <c r="S1478" s="210"/>
      <c r="T1478" s="210"/>
      <c r="U1478" s="210"/>
      <c r="V1478" s="210"/>
    </row>
    <row r="1479">
      <c r="A1479" s="220"/>
      <c r="F1479" s="190"/>
      <c r="G1479" s="190"/>
      <c r="N1479" s="220"/>
      <c r="O1479" s="220"/>
      <c r="Q1479" s="210"/>
      <c r="R1479" s="210"/>
      <c r="S1479" s="210"/>
      <c r="T1479" s="210"/>
      <c r="U1479" s="210"/>
      <c r="V1479" s="210"/>
    </row>
    <row r="1480">
      <c r="A1480" s="220"/>
      <c r="F1480" s="190"/>
      <c r="G1480" s="190"/>
      <c r="N1480" s="220"/>
      <c r="O1480" s="220"/>
      <c r="Q1480" s="210"/>
      <c r="R1480" s="210"/>
      <c r="S1480" s="210"/>
      <c r="T1480" s="210"/>
      <c r="U1480" s="210"/>
      <c r="V1480" s="210"/>
    </row>
    <row r="1481">
      <c r="A1481" s="220"/>
      <c r="F1481" s="190"/>
      <c r="G1481" s="190"/>
      <c r="N1481" s="220"/>
      <c r="O1481" s="220"/>
      <c r="Q1481" s="210"/>
      <c r="R1481" s="210"/>
      <c r="S1481" s="210"/>
      <c r="T1481" s="210"/>
      <c r="U1481" s="210"/>
      <c r="V1481" s="210"/>
    </row>
    <row r="1482">
      <c r="A1482" s="220"/>
      <c r="F1482" s="190"/>
      <c r="G1482" s="190"/>
      <c r="N1482" s="220"/>
      <c r="O1482" s="220"/>
      <c r="Q1482" s="210"/>
      <c r="R1482" s="210"/>
      <c r="S1482" s="210"/>
      <c r="T1482" s="210"/>
      <c r="U1482" s="210"/>
      <c r="V1482" s="210"/>
    </row>
    <row r="1483">
      <c r="A1483" s="220"/>
      <c r="F1483" s="190"/>
      <c r="G1483" s="190"/>
      <c r="N1483" s="220"/>
      <c r="O1483" s="220"/>
      <c r="Q1483" s="210"/>
      <c r="R1483" s="210"/>
      <c r="S1483" s="210"/>
      <c r="T1483" s="210"/>
      <c r="U1483" s="210"/>
      <c r="V1483" s="210"/>
    </row>
    <row r="1484">
      <c r="A1484" s="220"/>
      <c r="F1484" s="190"/>
      <c r="G1484" s="190"/>
      <c r="N1484" s="220"/>
      <c r="O1484" s="220"/>
      <c r="Q1484" s="210"/>
      <c r="R1484" s="210"/>
      <c r="S1484" s="210"/>
      <c r="T1484" s="210"/>
      <c r="U1484" s="210"/>
      <c r="V1484" s="210"/>
    </row>
    <row r="1485">
      <c r="A1485" s="220"/>
      <c r="F1485" s="190"/>
      <c r="G1485" s="190"/>
      <c r="N1485" s="220"/>
      <c r="O1485" s="220"/>
      <c r="Q1485" s="210"/>
      <c r="R1485" s="210"/>
      <c r="S1485" s="210"/>
      <c r="T1485" s="210"/>
      <c r="U1485" s="210"/>
      <c r="V1485" s="210"/>
    </row>
    <row r="1486">
      <c r="A1486" s="220"/>
      <c r="F1486" s="190"/>
      <c r="G1486" s="190"/>
      <c r="N1486" s="220"/>
      <c r="O1486" s="220"/>
      <c r="Q1486" s="210"/>
      <c r="R1486" s="210"/>
      <c r="S1486" s="210"/>
      <c r="T1486" s="210"/>
      <c r="U1486" s="210"/>
      <c r="V1486" s="210"/>
    </row>
    <row r="1487">
      <c r="A1487" s="220"/>
      <c r="F1487" s="190"/>
      <c r="G1487" s="190"/>
      <c r="N1487" s="220"/>
      <c r="O1487" s="220"/>
      <c r="Q1487" s="210"/>
      <c r="R1487" s="210"/>
      <c r="S1487" s="210"/>
      <c r="T1487" s="210"/>
      <c r="U1487" s="210"/>
      <c r="V1487" s="210"/>
    </row>
    <row r="1488">
      <c r="A1488" s="220"/>
      <c r="F1488" s="190"/>
      <c r="G1488" s="190"/>
      <c r="N1488" s="220"/>
      <c r="O1488" s="220"/>
      <c r="Q1488" s="210"/>
      <c r="R1488" s="210"/>
      <c r="S1488" s="210"/>
      <c r="T1488" s="210"/>
      <c r="U1488" s="210"/>
      <c r="V1488" s="210"/>
    </row>
    <row r="1489">
      <c r="A1489" s="220"/>
      <c r="F1489" s="190"/>
      <c r="G1489" s="190"/>
      <c r="N1489" s="220"/>
      <c r="O1489" s="220"/>
      <c r="Q1489" s="210"/>
      <c r="R1489" s="210"/>
      <c r="S1489" s="210"/>
      <c r="T1489" s="210"/>
      <c r="U1489" s="210"/>
      <c r="V1489" s="210"/>
    </row>
    <row r="1490">
      <c r="A1490" s="220"/>
      <c r="F1490" s="190"/>
      <c r="G1490" s="190"/>
      <c r="N1490" s="220"/>
      <c r="O1490" s="220"/>
      <c r="Q1490" s="210"/>
      <c r="R1490" s="210"/>
      <c r="S1490" s="210"/>
      <c r="T1490" s="210"/>
      <c r="U1490" s="210"/>
      <c r="V1490" s="210"/>
    </row>
    <row r="1491">
      <c r="A1491" s="220"/>
      <c r="F1491" s="190"/>
      <c r="G1491" s="190"/>
      <c r="N1491" s="220"/>
      <c r="O1491" s="220"/>
      <c r="Q1491" s="210"/>
      <c r="R1491" s="210"/>
      <c r="S1491" s="210"/>
      <c r="T1491" s="210"/>
      <c r="U1491" s="210"/>
      <c r="V1491" s="210"/>
    </row>
    <row r="1492">
      <c r="A1492" s="220"/>
      <c r="F1492" s="190"/>
      <c r="G1492" s="190"/>
      <c r="N1492" s="220"/>
      <c r="O1492" s="220"/>
      <c r="Q1492" s="210"/>
      <c r="R1492" s="210"/>
      <c r="S1492" s="210"/>
      <c r="T1492" s="210"/>
      <c r="U1492" s="210"/>
      <c r="V1492" s="210"/>
    </row>
    <row r="1493">
      <c r="A1493" s="220"/>
      <c r="F1493" s="190"/>
      <c r="G1493" s="190"/>
      <c r="N1493" s="220"/>
      <c r="O1493" s="220"/>
      <c r="Q1493" s="210"/>
      <c r="R1493" s="210"/>
      <c r="S1493" s="210"/>
      <c r="T1493" s="210"/>
      <c r="U1493" s="210"/>
      <c r="V1493" s="210"/>
    </row>
    <row r="1494">
      <c r="A1494" s="220"/>
      <c r="F1494" s="190"/>
      <c r="G1494" s="190"/>
      <c r="N1494" s="220"/>
      <c r="O1494" s="220"/>
      <c r="Q1494" s="210"/>
      <c r="R1494" s="210"/>
      <c r="S1494" s="210"/>
      <c r="T1494" s="210"/>
      <c r="U1494" s="210"/>
      <c r="V1494" s="210"/>
    </row>
    <row r="1495">
      <c r="A1495" s="220"/>
      <c r="F1495" s="190"/>
      <c r="G1495" s="190"/>
      <c r="N1495" s="220"/>
      <c r="O1495" s="220"/>
      <c r="Q1495" s="210"/>
      <c r="R1495" s="210"/>
      <c r="S1495" s="210"/>
      <c r="T1495" s="210"/>
      <c r="U1495" s="210"/>
      <c r="V1495" s="210"/>
    </row>
    <row r="1496">
      <c r="A1496" s="220"/>
      <c r="F1496" s="190"/>
      <c r="G1496" s="190"/>
      <c r="N1496" s="220"/>
      <c r="O1496" s="220"/>
      <c r="Q1496" s="210"/>
      <c r="R1496" s="210"/>
      <c r="S1496" s="210"/>
      <c r="T1496" s="210"/>
      <c r="U1496" s="210"/>
      <c r="V1496" s="210"/>
    </row>
    <row r="1497">
      <c r="A1497" s="220"/>
      <c r="F1497" s="190"/>
      <c r="G1497" s="190"/>
      <c r="N1497" s="220"/>
      <c r="O1497" s="220"/>
      <c r="Q1497" s="210"/>
      <c r="R1497" s="210"/>
      <c r="S1497" s="210"/>
      <c r="T1497" s="210"/>
      <c r="U1497" s="210"/>
      <c r="V1497" s="210"/>
    </row>
    <row r="1498">
      <c r="A1498" s="220"/>
      <c r="F1498" s="190"/>
      <c r="G1498" s="190"/>
      <c r="N1498" s="220"/>
      <c r="O1498" s="220"/>
      <c r="Q1498" s="210"/>
      <c r="R1498" s="210"/>
      <c r="S1498" s="210"/>
      <c r="T1498" s="210"/>
      <c r="U1498" s="210"/>
      <c r="V1498" s="210"/>
    </row>
    <row r="1499">
      <c r="A1499" s="220"/>
      <c r="F1499" s="190"/>
      <c r="G1499" s="190"/>
      <c r="N1499" s="220"/>
      <c r="O1499" s="220"/>
      <c r="Q1499" s="210"/>
      <c r="R1499" s="210"/>
      <c r="S1499" s="210"/>
      <c r="T1499" s="210"/>
      <c r="U1499" s="210"/>
      <c r="V1499" s="210"/>
    </row>
    <row r="1500">
      <c r="A1500" s="220"/>
      <c r="F1500" s="190"/>
      <c r="G1500" s="190"/>
      <c r="N1500" s="220"/>
      <c r="O1500" s="220"/>
      <c r="Q1500" s="210"/>
      <c r="R1500" s="210"/>
      <c r="S1500" s="210"/>
      <c r="T1500" s="210"/>
      <c r="U1500" s="210"/>
      <c r="V1500" s="210"/>
    </row>
    <row r="1501">
      <c r="A1501" s="220"/>
      <c r="F1501" s="190"/>
      <c r="G1501" s="190"/>
      <c r="N1501" s="220"/>
      <c r="O1501" s="220"/>
      <c r="Q1501" s="210"/>
      <c r="R1501" s="210"/>
      <c r="S1501" s="210"/>
      <c r="T1501" s="210"/>
      <c r="U1501" s="210"/>
      <c r="V1501" s="210"/>
    </row>
    <row r="1502">
      <c r="A1502" s="220"/>
      <c r="F1502" s="190"/>
      <c r="G1502" s="190"/>
      <c r="N1502" s="220"/>
      <c r="O1502" s="220"/>
      <c r="Q1502" s="210"/>
      <c r="R1502" s="210"/>
      <c r="S1502" s="210"/>
      <c r="T1502" s="210"/>
      <c r="U1502" s="210"/>
      <c r="V1502" s="210"/>
    </row>
    <row r="1503">
      <c r="A1503" s="220"/>
      <c r="F1503" s="190"/>
      <c r="G1503" s="190"/>
      <c r="N1503" s="220"/>
      <c r="O1503" s="220"/>
      <c r="Q1503" s="210"/>
      <c r="R1503" s="210"/>
      <c r="S1503" s="210"/>
      <c r="T1503" s="210"/>
      <c r="U1503" s="210"/>
      <c r="V1503" s="210"/>
    </row>
    <row r="1504">
      <c r="A1504" s="220"/>
      <c r="F1504" s="190"/>
      <c r="G1504" s="190"/>
      <c r="N1504" s="220"/>
      <c r="O1504" s="220"/>
      <c r="Q1504" s="210"/>
      <c r="R1504" s="210"/>
      <c r="S1504" s="210"/>
      <c r="T1504" s="210"/>
      <c r="U1504" s="210"/>
      <c r="V1504" s="210"/>
    </row>
    <row r="1505">
      <c r="A1505" s="220"/>
      <c r="F1505" s="190"/>
      <c r="G1505" s="190"/>
      <c r="N1505" s="220"/>
      <c r="O1505" s="220"/>
      <c r="Q1505" s="210"/>
      <c r="R1505" s="210"/>
      <c r="S1505" s="210"/>
      <c r="T1505" s="210"/>
      <c r="U1505" s="210"/>
      <c r="V1505" s="210"/>
    </row>
    <row r="1506">
      <c r="A1506" s="220"/>
      <c r="F1506" s="190"/>
      <c r="G1506" s="190"/>
      <c r="N1506" s="220"/>
      <c r="O1506" s="220"/>
      <c r="Q1506" s="210"/>
      <c r="R1506" s="210"/>
      <c r="S1506" s="210"/>
      <c r="T1506" s="210"/>
      <c r="U1506" s="210"/>
      <c r="V1506" s="210"/>
    </row>
    <row r="1507">
      <c r="A1507" s="220"/>
      <c r="F1507" s="190"/>
      <c r="G1507" s="190"/>
      <c r="N1507" s="220"/>
      <c r="O1507" s="220"/>
      <c r="Q1507" s="210"/>
      <c r="R1507" s="210"/>
      <c r="S1507" s="210"/>
      <c r="T1507" s="210"/>
      <c r="U1507" s="210"/>
      <c r="V1507" s="210"/>
    </row>
    <row r="1508">
      <c r="A1508" s="220"/>
      <c r="F1508" s="190"/>
      <c r="G1508" s="190"/>
      <c r="N1508" s="220"/>
      <c r="O1508" s="220"/>
      <c r="Q1508" s="210"/>
      <c r="R1508" s="210"/>
      <c r="S1508" s="210"/>
      <c r="T1508" s="210"/>
      <c r="U1508" s="210"/>
      <c r="V1508" s="210"/>
    </row>
    <row r="1509">
      <c r="A1509" s="220"/>
      <c r="F1509" s="190"/>
      <c r="G1509" s="190"/>
      <c r="N1509" s="220"/>
      <c r="O1509" s="220"/>
      <c r="Q1509" s="210"/>
      <c r="R1509" s="210"/>
      <c r="S1509" s="210"/>
      <c r="T1509" s="210"/>
      <c r="U1509" s="210"/>
      <c r="V1509" s="210"/>
    </row>
    <row r="1510">
      <c r="A1510" s="220"/>
      <c r="F1510" s="190"/>
      <c r="G1510" s="190"/>
      <c r="N1510" s="220"/>
      <c r="O1510" s="220"/>
      <c r="Q1510" s="210"/>
      <c r="R1510" s="210"/>
      <c r="S1510" s="210"/>
      <c r="T1510" s="210"/>
      <c r="U1510" s="210"/>
      <c r="V1510" s="210"/>
    </row>
    <row r="1511">
      <c r="A1511" s="220"/>
      <c r="F1511" s="190"/>
      <c r="G1511" s="190"/>
      <c r="N1511" s="220"/>
      <c r="O1511" s="220"/>
      <c r="Q1511" s="210"/>
      <c r="R1511" s="210"/>
      <c r="S1511" s="210"/>
      <c r="T1511" s="210"/>
      <c r="U1511" s="210"/>
      <c r="V1511" s="210"/>
    </row>
    <row r="1512">
      <c r="A1512" s="220"/>
      <c r="F1512" s="190"/>
      <c r="G1512" s="190"/>
      <c r="N1512" s="220"/>
      <c r="O1512" s="220"/>
      <c r="Q1512" s="210"/>
      <c r="R1512" s="210"/>
      <c r="S1512" s="210"/>
      <c r="T1512" s="210"/>
      <c r="U1512" s="210"/>
      <c r="V1512" s="210"/>
    </row>
    <row r="1513">
      <c r="A1513" s="220"/>
      <c r="F1513" s="190"/>
      <c r="G1513" s="190"/>
      <c r="N1513" s="220"/>
      <c r="O1513" s="220"/>
      <c r="Q1513" s="210"/>
      <c r="R1513" s="210"/>
      <c r="S1513" s="210"/>
      <c r="T1513" s="210"/>
      <c r="U1513" s="210"/>
      <c r="V1513" s="210"/>
    </row>
    <row r="1514">
      <c r="A1514" s="220"/>
      <c r="F1514" s="190"/>
      <c r="G1514" s="190"/>
      <c r="N1514" s="220"/>
      <c r="O1514" s="220"/>
      <c r="Q1514" s="210"/>
      <c r="R1514" s="210"/>
      <c r="S1514" s="210"/>
      <c r="T1514" s="210"/>
      <c r="U1514" s="210"/>
      <c r="V1514" s="210"/>
    </row>
    <row r="1515">
      <c r="A1515" s="220"/>
      <c r="F1515" s="190"/>
      <c r="G1515" s="190"/>
      <c r="N1515" s="220"/>
      <c r="O1515" s="220"/>
      <c r="Q1515" s="210"/>
      <c r="R1515" s="210"/>
      <c r="S1515" s="210"/>
      <c r="T1515" s="210"/>
      <c r="U1515" s="210"/>
      <c r="V1515" s="210"/>
    </row>
    <row r="1516">
      <c r="A1516" s="220"/>
      <c r="F1516" s="190"/>
      <c r="G1516" s="190"/>
      <c r="N1516" s="220"/>
      <c r="O1516" s="220"/>
      <c r="Q1516" s="210"/>
      <c r="R1516" s="210"/>
      <c r="S1516" s="210"/>
      <c r="T1516" s="210"/>
      <c r="U1516" s="210"/>
      <c r="V1516" s="210"/>
    </row>
    <row r="1517">
      <c r="A1517" s="220"/>
      <c r="F1517" s="190"/>
      <c r="G1517" s="190"/>
      <c r="N1517" s="220"/>
      <c r="O1517" s="220"/>
      <c r="Q1517" s="210"/>
      <c r="R1517" s="210"/>
      <c r="S1517" s="210"/>
      <c r="T1517" s="210"/>
      <c r="U1517" s="210"/>
      <c r="V1517" s="210"/>
    </row>
    <row r="1518">
      <c r="A1518" s="220"/>
      <c r="F1518" s="190"/>
      <c r="G1518" s="190"/>
      <c r="N1518" s="220"/>
      <c r="O1518" s="220"/>
      <c r="Q1518" s="210"/>
      <c r="R1518" s="210"/>
      <c r="S1518" s="210"/>
      <c r="T1518" s="210"/>
      <c r="U1518" s="210"/>
      <c r="V1518" s="210"/>
    </row>
    <row r="1519">
      <c r="A1519" s="220"/>
      <c r="F1519" s="190"/>
      <c r="G1519" s="190"/>
      <c r="N1519" s="220"/>
      <c r="O1519" s="220"/>
      <c r="Q1519" s="210"/>
      <c r="R1519" s="210"/>
      <c r="S1519" s="210"/>
      <c r="T1519" s="210"/>
      <c r="U1519" s="210"/>
      <c r="V1519" s="210"/>
    </row>
    <row r="1520">
      <c r="A1520" s="220"/>
      <c r="F1520" s="190"/>
      <c r="G1520" s="190"/>
      <c r="N1520" s="220"/>
      <c r="O1520" s="220"/>
      <c r="Q1520" s="210"/>
      <c r="R1520" s="210"/>
      <c r="S1520" s="210"/>
      <c r="T1520" s="210"/>
      <c r="U1520" s="210"/>
      <c r="V1520" s="210"/>
    </row>
    <row r="1521">
      <c r="A1521" s="220"/>
      <c r="F1521" s="190"/>
      <c r="G1521" s="190"/>
      <c r="N1521" s="220"/>
      <c r="O1521" s="220"/>
      <c r="Q1521" s="210"/>
      <c r="R1521" s="210"/>
      <c r="S1521" s="210"/>
      <c r="T1521" s="210"/>
      <c r="U1521" s="210"/>
      <c r="V1521" s="210"/>
    </row>
    <row r="1522">
      <c r="A1522" s="220"/>
      <c r="F1522" s="190"/>
      <c r="G1522" s="190"/>
      <c r="N1522" s="220"/>
      <c r="O1522" s="220"/>
      <c r="Q1522" s="210"/>
      <c r="R1522" s="210"/>
      <c r="S1522" s="210"/>
      <c r="T1522" s="210"/>
      <c r="U1522" s="210"/>
      <c r="V1522" s="210"/>
    </row>
    <row r="1523">
      <c r="A1523" s="220"/>
      <c r="F1523" s="190"/>
      <c r="G1523" s="190"/>
      <c r="N1523" s="220"/>
      <c r="O1523" s="220"/>
      <c r="Q1523" s="210"/>
      <c r="R1523" s="210"/>
      <c r="S1523" s="210"/>
      <c r="T1523" s="210"/>
      <c r="U1523" s="210"/>
      <c r="V1523" s="210"/>
    </row>
    <row r="1524">
      <c r="A1524" s="220"/>
      <c r="F1524" s="190"/>
      <c r="G1524" s="190"/>
      <c r="N1524" s="220"/>
      <c r="O1524" s="220"/>
      <c r="Q1524" s="210"/>
      <c r="R1524" s="210"/>
      <c r="S1524" s="210"/>
      <c r="T1524" s="210"/>
      <c r="U1524" s="210"/>
      <c r="V1524" s="210"/>
    </row>
    <row r="1525">
      <c r="A1525" s="220"/>
      <c r="F1525" s="190"/>
      <c r="G1525" s="190"/>
      <c r="N1525" s="220"/>
      <c r="O1525" s="220"/>
      <c r="Q1525" s="210"/>
      <c r="R1525" s="210"/>
      <c r="S1525" s="210"/>
      <c r="T1525" s="210"/>
      <c r="U1525" s="210"/>
      <c r="V1525" s="210"/>
    </row>
    <row r="1526">
      <c r="A1526" s="220"/>
      <c r="F1526" s="190"/>
      <c r="G1526" s="190"/>
      <c r="N1526" s="220"/>
      <c r="O1526" s="220"/>
      <c r="Q1526" s="210"/>
      <c r="R1526" s="210"/>
      <c r="S1526" s="210"/>
      <c r="T1526" s="210"/>
      <c r="U1526" s="210"/>
      <c r="V1526" s="210"/>
    </row>
    <row r="1527">
      <c r="A1527" s="220"/>
      <c r="F1527" s="190"/>
      <c r="G1527" s="190"/>
      <c r="N1527" s="220"/>
      <c r="O1527" s="220"/>
      <c r="Q1527" s="210"/>
      <c r="R1527" s="210"/>
      <c r="S1527" s="210"/>
      <c r="T1527" s="210"/>
      <c r="U1527" s="210"/>
      <c r="V1527" s="210"/>
    </row>
    <row r="1528">
      <c r="A1528" s="220"/>
      <c r="F1528" s="190"/>
      <c r="G1528" s="190"/>
      <c r="N1528" s="220"/>
      <c r="O1528" s="220"/>
      <c r="Q1528" s="210"/>
      <c r="R1528" s="210"/>
      <c r="S1528" s="210"/>
      <c r="T1528" s="210"/>
      <c r="U1528" s="210"/>
      <c r="V1528" s="210"/>
    </row>
    <row r="1529">
      <c r="A1529" s="220"/>
      <c r="F1529" s="190"/>
      <c r="G1529" s="190"/>
      <c r="N1529" s="220"/>
      <c r="O1529" s="220"/>
      <c r="Q1529" s="210"/>
      <c r="R1529" s="210"/>
      <c r="S1529" s="210"/>
      <c r="T1529" s="210"/>
      <c r="U1529" s="210"/>
      <c r="V1529" s="210"/>
    </row>
    <row r="1530">
      <c r="A1530" s="220"/>
      <c r="F1530" s="190"/>
      <c r="G1530" s="190"/>
      <c r="N1530" s="220"/>
      <c r="O1530" s="220"/>
      <c r="Q1530" s="210"/>
      <c r="R1530" s="210"/>
      <c r="S1530" s="210"/>
      <c r="T1530" s="210"/>
      <c r="U1530" s="210"/>
      <c r="V1530" s="210"/>
    </row>
    <row r="1531">
      <c r="A1531" s="220"/>
      <c r="F1531" s="190"/>
      <c r="G1531" s="190"/>
      <c r="N1531" s="220"/>
      <c r="O1531" s="220"/>
      <c r="Q1531" s="210"/>
      <c r="R1531" s="210"/>
      <c r="S1531" s="210"/>
      <c r="T1531" s="210"/>
      <c r="U1531" s="210"/>
      <c r="V1531" s="210"/>
    </row>
    <row r="1532">
      <c r="A1532" s="220"/>
      <c r="F1532" s="190"/>
      <c r="G1532" s="190"/>
      <c r="N1532" s="220"/>
      <c r="O1532" s="220"/>
      <c r="Q1532" s="210"/>
      <c r="R1532" s="210"/>
      <c r="S1532" s="210"/>
      <c r="T1532" s="210"/>
      <c r="U1532" s="210"/>
      <c r="V1532" s="210"/>
    </row>
    <row r="1533">
      <c r="A1533" s="220"/>
      <c r="F1533" s="190"/>
      <c r="G1533" s="190"/>
      <c r="N1533" s="220"/>
      <c r="O1533" s="220"/>
      <c r="Q1533" s="210"/>
      <c r="R1533" s="210"/>
      <c r="S1533" s="210"/>
      <c r="T1533" s="210"/>
      <c r="U1533" s="210"/>
      <c r="V1533" s="210"/>
    </row>
    <row r="1534">
      <c r="A1534" s="220"/>
      <c r="F1534" s="190"/>
      <c r="G1534" s="190"/>
      <c r="N1534" s="220"/>
      <c r="O1534" s="220"/>
      <c r="Q1534" s="210"/>
      <c r="R1534" s="210"/>
      <c r="S1534" s="210"/>
      <c r="T1534" s="210"/>
      <c r="U1534" s="210"/>
      <c r="V1534" s="210"/>
    </row>
    <row r="1535">
      <c r="A1535" s="220"/>
      <c r="F1535" s="190"/>
      <c r="G1535" s="190"/>
      <c r="N1535" s="220"/>
      <c r="O1535" s="220"/>
      <c r="Q1535" s="210"/>
      <c r="R1535" s="210"/>
      <c r="S1535" s="210"/>
      <c r="T1535" s="210"/>
      <c r="U1535" s="210"/>
      <c r="V1535" s="210"/>
    </row>
    <row r="1536">
      <c r="A1536" s="220"/>
      <c r="F1536" s="190"/>
      <c r="G1536" s="190"/>
      <c r="N1536" s="220"/>
      <c r="O1536" s="220"/>
      <c r="Q1536" s="210"/>
      <c r="R1536" s="210"/>
      <c r="S1536" s="210"/>
      <c r="T1536" s="210"/>
      <c r="U1536" s="210"/>
      <c r="V1536" s="210"/>
    </row>
    <row r="1537">
      <c r="A1537" s="220"/>
      <c r="F1537" s="190"/>
      <c r="G1537" s="190"/>
      <c r="N1537" s="220"/>
      <c r="O1537" s="220"/>
      <c r="Q1537" s="210"/>
      <c r="R1537" s="210"/>
      <c r="S1537" s="210"/>
      <c r="T1537" s="210"/>
      <c r="U1537" s="210"/>
      <c r="V1537" s="210"/>
    </row>
    <row r="1538">
      <c r="A1538" s="220"/>
      <c r="F1538" s="190"/>
      <c r="G1538" s="190"/>
      <c r="N1538" s="220"/>
      <c r="O1538" s="220"/>
      <c r="Q1538" s="210"/>
      <c r="R1538" s="210"/>
      <c r="S1538" s="210"/>
      <c r="T1538" s="210"/>
      <c r="U1538" s="210"/>
      <c r="V1538" s="210"/>
    </row>
    <row r="1539">
      <c r="A1539" s="220"/>
      <c r="F1539" s="190"/>
      <c r="G1539" s="190"/>
      <c r="N1539" s="220"/>
      <c r="O1539" s="220"/>
      <c r="Q1539" s="210"/>
      <c r="R1539" s="210"/>
      <c r="S1539" s="210"/>
      <c r="T1539" s="210"/>
      <c r="U1539" s="210"/>
      <c r="V1539" s="210"/>
    </row>
    <row r="1540">
      <c r="A1540" s="220"/>
      <c r="F1540" s="190"/>
      <c r="G1540" s="190"/>
      <c r="N1540" s="220"/>
      <c r="O1540" s="220"/>
      <c r="Q1540" s="210"/>
      <c r="R1540" s="210"/>
      <c r="S1540" s="210"/>
      <c r="T1540" s="210"/>
      <c r="U1540" s="210"/>
      <c r="V1540" s="210"/>
    </row>
    <row r="1541">
      <c r="A1541" s="220"/>
      <c r="F1541" s="190"/>
      <c r="G1541" s="190"/>
      <c r="N1541" s="220"/>
      <c r="O1541" s="220"/>
      <c r="Q1541" s="210"/>
      <c r="R1541" s="210"/>
      <c r="S1541" s="210"/>
      <c r="T1541" s="210"/>
      <c r="U1541" s="210"/>
      <c r="V1541" s="210"/>
    </row>
    <row r="1542">
      <c r="A1542" s="220"/>
      <c r="F1542" s="190"/>
      <c r="G1542" s="190"/>
      <c r="N1542" s="220"/>
      <c r="O1542" s="220"/>
      <c r="Q1542" s="210"/>
      <c r="R1542" s="210"/>
      <c r="S1542" s="210"/>
      <c r="T1542" s="210"/>
      <c r="U1542" s="210"/>
      <c r="V1542" s="210"/>
    </row>
    <row r="1543">
      <c r="A1543" s="220"/>
      <c r="F1543" s="190"/>
      <c r="G1543" s="190"/>
      <c r="N1543" s="220"/>
      <c r="O1543" s="220"/>
      <c r="Q1543" s="210"/>
      <c r="R1543" s="210"/>
      <c r="S1543" s="210"/>
      <c r="T1543" s="210"/>
      <c r="U1543" s="210"/>
      <c r="V1543" s="210"/>
    </row>
    <row r="1544">
      <c r="A1544" s="220"/>
      <c r="F1544" s="190"/>
      <c r="G1544" s="190"/>
      <c r="N1544" s="220"/>
      <c r="O1544" s="220"/>
      <c r="Q1544" s="210"/>
      <c r="R1544" s="210"/>
      <c r="S1544" s="210"/>
      <c r="T1544" s="210"/>
      <c r="U1544" s="210"/>
      <c r="V1544" s="210"/>
    </row>
    <row r="1545">
      <c r="A1545" s="220"/>
      <c r="F1545" s="190"/>
      <c r="G1545" s="190"/>
      <c r="N1545" s="220"/>
      <c r="O1545" s="220"/>
      <c r="Q1545" s="210"/>
      <c r="R1545" s="210"/>
      <c r="S1545" s="210"/>
      <c r="T1545" s="210"/>
      <c r="U1545" s="210"/>
      <c r="V1545" s="210"/>
    </row>
    <row r="1546">
      <c r="A1546" s="220"/>
      <c r="F1546" s="190"/>
      <c r="G1546" s="190"/>
      <c r="N1546" s="220"/>
      <c r="O1546" s="220"/>
      <c r="Q1546" s="210"/>
      <c r="R1546" s="210"/>
      <c r="S1546" s="210"/>
      <c r="T1546" s="210"/>
      <c r="U1546" s="210"/>
      <c r="V1546" s="210"/>
    </row>
    <row r="1547">
      <c r="A1547" s="220"/>
      <c r="F1547" s="190"/>
      <c r="G1547" s="190"/>
      <c r="N1547" s="220"/>
      <c r="O1547" s="220"/>
      <c r="Q1547" s="210"/>
      <c r="R1547" s="210"/>
      <c r="S1547" s="210"/>
      <c r="T1547" s="210"/>
      <c r="U1547" s="210"/>
      <c r="V1547" s="210"/>
    </row>
    <row r="1548">
      <c r="A1548" s="220"/>
      <c r="F1548" s="190"/>
      <c r="G1548" s="190"/>
      <c r="N1548" s="220"/>
      <c r="O1548" s="220"/>
      <c r="Q1548" s="210"/>
      <c r="R1548" s="210"/>
      <c r="S1548" s="210"/>
      <c r="T1548" s="210"/>
      <c r="U1548" s="210"/>
      <c r="V1548" s="210"/>
    </row>
    <row r="1549">
      <c r="A1549" s="220"/>
      <c r="F1549" s="190"/>
      <c r="G1549" s="190"/>
      <c r="N1549" s="220"/>
      <c r="O1549" s="220"/>
      <c r="Q1549" s="210"/>
      <c r="R1549" s="210"/>
      <c r="S1549" s="210"/>
      <c r="T1549" s="210"/>
      <c r="U1549" s="210"/>
      <c r="V1549" s="210"/>
    </row>
    <row r="1550">
      <c r="A1550" s="220"/>
      <c r="F1550" s="190"/>
      <c r="G1550" s="190"/>
      <c r="N1550" s="220"/>
      <c r="O1550" s="220"/>
      <c r="Q1550" s="210"/>
      <c r="R1550" s="210"/>
      <c r="S1550" s="210"/>
      <c r="T1550" s="210"/>
      <c r="U1550" s="210"/>
      <c r="V1550" s="210"/>
    </row>
    <row r="1551">
      <c r="A1551" s="220"/>
      <c r="F1551" s="190"/>
      <c r="G1551" s="190"/>
      <c r="N1551" s="220"/>
      <c r="O1551" s="220"/>
      <c r="Q1551" s="210"/>
      <c r="R1551" s="210"/>
      <c r="S1551" s="210"/>
      <c r="T1551" s="210"/>
      <c r="U1551" s="210"/>
      <c r="V1551" s="210"/>
    </row>
    <row r="1552">
      <c r="A1552" s="220"/>
      <c r="F1552" s="190"/>
      <c r="G1552" s="190"/>
      <c r="N1552" s="220"/>
      <c r="O1552" s="220"/>
      <c r="Q1552" s="210"/>
      <c r="R1552" s="210"/>
      <c r="S1552" s="210"/>
      <c r="T1552" s="210"/>
      <c r="U1552" s="210"/>
      <c r="V1552" s="210"/>
    </row>
    <row r="1553">
      <c r="A1553" s="220"/>
      <c r="F1553" s="190"/>
      <c r="G1553" s="190"/>
      <c r="N1553" s="220"/>
      <c r="O1553" s="220"/>
      <c r="Q1553" s="210"/>
      <c r="R1553" s="210"/>
      <c r="S1553" s="210"/>
      <c r="T1553" s="210"/>
      <c r="U1553" s="210"/>
      <c r="V1553" s="210"/>
    </row>
    <row r="1554">
      <c r="A1554" s="220"/>
      <c r="F1554" s="190"/>
      <c r="G1554" s="190"/>
      <c r="N1554" s="220"/>
      <c r="O1554" s="220"/>
      <c r="Q1554" s="210"/>
      <c r="R1554" s="210"/>
      <c r="S1554" s="210"/>
      <c r="T1554" s="210"/>
      <c r="U1554" s="210"/>
      <c r="V1554" s="210"/>
    </row>
    <row r="1555">
      <c r="A1555" s="220"/>
      <c r="F1555" s="190"/>
      <c r="G1555" s="190"/>
      <c r="N1555" s="220"/>
      <c r="O1555" s="220"/>
      <c r="Q1555" s="210"/>
      <c r="R1555" s="210"/>
      <c r="S1555" s="210"/>
      <c r="T1555" s="210"/>
      <c r="U1555" s="210"/>
      <c r="V1555" s="210"/>
    </row>
    <row r="1556">
      <c r="A1556" s="220"/>
      <c r="F1556" s="190"/>
      <c r="G1556" s="190"/>
      <c r="N1556" s="220"/>
      <c r="O1556" s="220"/>
      <c r="Q1556" s="210"/>
      <c r="R1556" s="210"/>
      <c r="S1556" s="210"/>
      <c r="T1556" s="210"/>
      <c r="U1556" s="210"/>
      <c r="V1556" s="210"/>
    </row>
    <row r="1557">
      <c r="A1557" s="220"/>
      <c r="F1557" s="190"/>
      <c r="G1557" s="190"/>
      <c r="N1557" s="220"/>
      <c r="O1557" s="220"/>
      <c r="Q1557" s="210"/>
      <c r="R1557" s="210"/>
      <c r="S1557" s="210"/>
      <c r="T1557" s="210"/>
      <c r="U1557" s="210"/>
      <c r="V1557" s="210"/>
    </row>
    <row r="1558">
      <c r="A1558" s="220"/>
      <c r="F1558" s="190"/>
      <c r="G1558" s="190"/>
      <c r="N1558" s="220"/>
      <c r="O1558" s="220"/>
      <c r="Q1558" s="210"/>
      <c r="R1558" s="210"/>
      <c r="S1558" s="210"/>
      <c r="T1558" s="210"/>
      <c r="U1558" s="210"/>
      <c r="V1558" s="210"/>
    </row>
    <row r="1559">
      <c r="A1559" s="220"/>
      <c r="F1559" s="190"/>
      <c r="G1559" s="190"/>
      <c r="N1559" s="220"/>
      <c r="O1559" s="220"/>
      <c r="Q1559" s="210"/>
      <c r="R1559" s="210"/>
      <c r="S1559" s="210"/>
      <c r="T1559" s="210"/>
      <c r="U1559" s="210"/>
      <c r="V1559" s="210"/>
    </row>
    <row r="1560">
      <c r="A1560" s="220"/>
      <c r="F1560" s="190"/>
      <c r="G1560" s="190"/>
      <c r="N1560" s="220"/>
      <c r="O1560" s="220"/>
      <c r="Q1560" s="210"/>
      <c r="R1560" s="210"/>
      <c r="S1560" s="210"/>
      <c r="T1560" s="210"/>
      <c r="U1560" s="210"/>
      <c r="V1560" s="210"/>
    </row>
    <row r="1561">
      <c r="A1561" s="220"/>
      <c r="F1561" s="190"/>
      <c r="G1561" s="190"/>
      <c r="N1561" s="220"/>
      <c r="O1561" s="220"/>
      <c r="Q1561" s="210"/>
      <c r="R1561" s="210"/>
      <c r="S1561" s="210"/>
      <c r="T1561" s="210"/>
      <c r="U1561" s="210"/>
      <c r="V1561" s="210"/>
    </row>
    <row r="1562">
      <c r="A1562" s="220"/>
      <c r="F1562" s="190"/>
      <c r="G1562" s="190"/>
      <c r="N1562" s="220"/>
      <c r="O1562" s="220"/>
      <c r="Q1562" s="210"/>
      <c r="R1562" s="210"/>
      <c r="S1562" s="210"/>
      <c r="T1562" s="210"/>
      <c r="U1562" s="210"/>
      <c r="V1562" s="210"/>
    </row>
    <row r="1563">
      <c r="A1563" s="220"/>
      <c r="F1563" s="190"/>
      <c r="G1563" s="190"/>
      <c r="N1563" s="220"/>
      <c r="O1563" s="220"/>
      <c r="Q1563" s="210"/>
      <c r="R1563" s="210"/>
      <c r="S1563" s="210"/>
      <c r="T1563" s="210"/>
      <c r="U1563" s="210"/>
      <c r="V1563" s="210"/>
    </row>
    <row r="1564">
      <c r="A1564" s="220"/>
      <c r="F1564" s="190"/>
      <c r="G1564" s="190"/>
      <c r="N1564" s="220"/>
      <c r="O1564" s="220"/>
      <c r="Q1564" s="210"/>
      <c r="R1564" s="210"/>
      <c r="S1564" s="210"/>
      <c r="T1564" s="210"/>
      <c r="U1564" s="210"/>
      <c r="V1564" s="210"/>
    </row>
    <row r="1565">
      <c r="A1565" s="220"/>
      <c r="F1565" s="190"/>
      <c r="G1565" s="190"/>
      <c r="N1565" s="220"/>
      <c r="O1565" s="220"/>
      <c r="Q1565" s="210"/>
      <c r="R1565" s="210"/>
      <c r="S1565" s="210"/>
      <c r="T1565" s="210"/>
      <c r="U1565" s="210"/>
      <c r="V1565" s="210"/>
    </row>
    <row r="1566">
      <c r="A1566" s="220"/>
      <c r="F1566" s="190"/>
      <c r="G1566" s="190"/>
      <c r="N1566" s="220"/>
      <c r="O1566" s="220"/>
      <c r="Q1566" s="210"/>
      <c r="R1566" s="210"/>
      <c r="S1566" s="210"/>
      <c r="T1566" s="210"/>
      <c r="U1566" s="210"/>
      <c r="V1566" s="210"/>
    </row>
    <row r="1567">
      <c r="A1567" s="220"/>
      <c r="F1567" s="190"/>
      <c r="G1567" s="190"/>
      <c r="N1567" s="220"/>
      <c r="O1567" s="220"/>
      <c r="Q1567" s="210"/>
      <c r="R1567" s="210"/>
      <c r="S1567" s="210"/>
      <c r="T1567" s="210"/>
      <c r="U1567" s="210"/>
      <c r="V1567" s="210"/>
    </row>
    <row r="1568">
      <c r="A1568" s="220"/>
      <c r="F1568" s="190"/>
      <c r="G1568" s="190"/>
      <c r="N1568" s="220"/>
      <c r="O1568" s="220"/>
      <c r="Q1568" s="210"/>
      <c r="R1568" s="210"/>
      <c r="S1568" s="210"/>
      <c r="T1568" s="210"/>
      <c r="U1568" s="210"/>
      <c r="V1568" s="210"/>
    </row>
    <row r="1569">
      <c r="A1569" s="220"/>
      <c r="F1569" s="190"/>
      <c r="G1569" s="190"/>
      <c r="N1569" s="220"/>
      <c r="O1569" s="220"/>
      <c r="Q1569" s="210"/>
      <c r="R1569" s="210"/>
      <c r="S1569" s="210"/>
      <c r="T1569" s="210"/>
      <c r="U1569" s="210"/>
      <c r="V1569" s="210"/>
    </row>
    <row r="1570">
      <c r="A1570" s="220"/>
      <c r="F1570" s="190"/>
      <c r="G1570" s="190"/>
      <c r="N1570" s="220"/>
      <c r="O1570" s="220"/>
      <c r="Q1570" s="210"/>
      <c r="R1570" s="210"/>
      <c r="S1570" s="210"/>
      <c r="T1570" s="210"/>
      <c r="U1570" s="210"/>
      <c r="V1570" s="210"/>
    </row>
    <row r="1571">
      <c r="A1571" s="220"/>
      <c r="F1571" s="190"/>
      <c r="G1571" s="190"/>
      <c r="N1571" s="220"/>
      <c r="O1571" s="220"/>
      <c r="Q1571" s="210"/>
      <c r="R1571" s="210"/>
      <c r="S1571" s="210"/>
      <c r="T1571" s="210"/>
      <c r="U1571" s="210"/>
      <c r="V1571" s="210"/>
    </row>
    <row r="1572">
      <c r="A1572" s="220"/>
      <c r="F1572" s="190"/>
      <c r="G1572" s="190"/>
      <c r="N1572" s="220"/>
      <c r="O1572" s="220"/>
      <c r="Q1572" s="210"/>
      <c r="R1572" s="210"/>
      <c r="S1572" s="210"/>
      <c r="T1572" s="210"/>
      <c r="U1572" s="210"/>
      <c r="V1572" s="210"/>
    </row>
    <row r="1573">
      <c r="A1573" s="220"/>
      <c r="F1573" s="190"/>
      <c r="G1573" s="190"/>
      <c r="N1573" s="220"/>
      <c r="O1573" s="220"/>
      <c r="Q1573" s="210"/>
      <c r="R1573" s="210"/>
      <c r="S1573" s="210"/>
      <c r="T1573" s="210"/>
      <c r="U1573" s="210"/>
      <c r="V1573" s="210"/>
    </row>
    <row r="1574">
      <c r="A1574" s="220"/>
      <c r="F1574" s="190"/>
      <c r="G1574" s="190"/>
      <c r="N1574" s="220"/>
      <c r="O1574" s="220"/>
      <c r="Q1574" s="210"/>
      <c r="R1574" s="210"/>
      <c r="S1574" s="210"/>
      <c r="T1574" s="210"/>
      <c r="U1574" s="210"/>
      <c r="V1574" s="210"/>
    </row>
    <row r="1575">
      <c r="A1575" s="220"/>
      <c r="F1575" s="190"/>
      <c r="G1575" s="190"/>
      <c r="N1575" s="220"/>
      <c r="O1575" s="220"/>
      <c r="Q1575" s="210"/>
      <c r="R1575" s="210"/>
      <c r="S1575" s="210"/>
      <c r="T1575" s="210"/>
      <c r="U1575" s="210"/>
      <c r="V1575" s="210"/>
    </row>
    <row r="1576">
      <c r="A1576" s="220"/>
      <c r="F1576" s="190"/>
      <c r="G1576" s="190"/>
      <c r="N1576" s="220"/>
      <c r="O1576" s="220"/>
      <c r="Q1576" s="210"/>
      <c r="R1576" s="210"/>
      <c r="S1576" s="210"/>
      <c r="T1576" s="210"/>
      <c r="U1576" s="210"/>
      <c r="V1576" s="210"/>
    </row>
    <row r="1577">
      <c r="A1577" s="220"/>
      <c r="F1577" s="190"/>
      <c r="G1577" s="190"/>
      <c r="N1577" s="220"/>
      <c r="O1577" s="220"/>
      <c r="Q1577" s="210"/>
      <c r="R1577" s="210"/>
      <c r="S1577" s="210"/>
      <c r="T1577" s="210"/>
      <c r="U1577" s="210"/>
      <c r="V1577" s="210"/>
    </row>
    <row r="1578">
      <c r="A1578" s="220"/>
      <c r="F1578" s="190"/>
      <c r="G1578" s="190"/>
      <c r="N1578" s="220"/>
      <c r="O1578" s="220"/>
      <c r="Q1578" s="210"/>
      <c r="R1578" s="210"/>
      <c r="S1578" s="210"/>
      <c r="T1578" s="210"/>
      <c r="U1578" s="210"/>
      <c r="V1578" s="210"/>
    </row>
    <row r="1579">
      <c r="A1579" s="220"/>
      <c r="F1579" s="190"/>
      <c r="G1579" s="190"/>
      <c r="N1579" s="220"/>
      <c r="O1579" s="220"/>
      <c r="Q1579" s="210"/>
      <c r="R1579" s="210"/>
      <c r="S1579" s="210"/>
      <c r="T1579" s="210"/>
      <c r="U1579" s="210"/>
      <c r="V1579" s="210"/>
    </row>
    <row r="1580">
      <c r="A1580" s="220"/>
      <c r="F1580" s="190"/>
      <c r="G1580" s="190"/>
      <c r="N1580" s="220"/>
      <c r="O1580" s="220"/>
      <c r="Q1580" s="210"/>
      <c r="R1580" s="210"/>
      <c r="S1580" s="210"/>
      <c r="T1580" s="210"/>
      <c r="U1580" s="210"/>
      <c r="V1580" s="210"/>
    </row>
    <row r="1581">
      <c r="A1581" s="220"/>
      <c r="F1581" s="190"/>
      <c r="G1581" s="190"/>
      <c r="N1581" s="220"/>
      <c r="O1581" s="220"/>
      <c r="Q1581" s="210"/>
      <c r="R1581" s="210"/>
      <c r="S1581" s="210"/>
      <c r="T1581" s="210"/>
      <c r="U1581" s="210"/>
      <c r="V1581" s="210"/>
    </row>
    <row r="1582">
      <c r="A1582" s="220"/>
      <c r="F1582" s="190"/>
      <c r="G1582" s="190"/>
      <c r="N1582" s="220"/>
      <c r="O1582" s="220"/>
      <c r="Q1582" s="210"/>
      <c r="R1582" s="210"/>
      <c r="S1582" s="210"/>
      <c r="T1582" s="210"/>
      <c r="U1582" s="210"/>
      <c r="V1582" s="210"/>
    </row>
    <row r="1583">
      <c r="A1583" s="220"/>
      <c r="F1583" s="190"/>
      <c r="G1583" s="190"/>
      <c r="N1583" s="220"/>
      <c r="O1583" s="220"/>
      <c r="Q1583" s="210"/>
      <c r="R1583" s="210"/>
      <c r="S1583" s="210"/>
      <c r="T1583" s="210"/>
      <c r="U1583" s="210"/>
      <c r="V1583" s="210"/>
    </row>
    <row r="1584">
      <c r="A1584" s="220"/>
      <c r="F1584" s="190"/>
      <c r="G1584" s="190"/>
      <c r="N1584" s="220"/>
      <c r="O1584" s="220"/>
      <c r="Q1584" s="210"/>
      <c r="R1584" s="210"/>
      <c r="S1584" s="210"/>
      <c r="T1584" s="210"/>
      <c r="U1584" s="210"/>
      <c r="V1584" s="210"/>
    </row>
    <row r="1585">
      <c r="A1585" s="220"/>
      <c r="F1585" s="190"/>
      <c r="G1585" s="190"/>
      <c r="N1585" s="220"/>
      <c r="O1585" s="220"/>
      <c r="Q1585" s="210"/>
      <c r="R1585" s="210"/>
      <c r="S1585" s="210"/>
      <c r="T1585" s="210"/>
      <c r="U1585" s="210"/>
      <c r="V1585" s="210"/>
    </row>
    <row r="1586">
      <c r="A1586" s="220"/>
      <c r="F1586" s="190"/>
      <c r="G1586" s="190"/>
      <c r="N1586" s="220"/>
      <c r="O1586" s="220"/>
      <c r="Q1586" s="210"/>
      <c r="R1586" s="210"/>
      <c r="S1586" s="210"/>
      <c r="T1586" s="210"/>
      <c r="U1586" s="210"/>
      <c r="V1586" s="210"/>
    </row>
    <row r="1587">
      <c r="A1587" s="220"/>
      <c r="F1587" s="190"/>
      <c r="G1587" s="190"/>
      <c r="N1587" s="220"/>
      <c r="O1587" s="220"/>
      <c r="Q1587" s="210"/>
      <c r="R1587" s="210"/>
      <c r="S1587" s="210"/>
      <c r="T1587" s="210"/>
      <c r="U1587" s="210"/>
      <c r="V1587" s="210"/>
    </row>
    <row r="1588">
      <c r="A1588" s="220"/>
      <c r="F1588" s="190"/>
      <c r="G1588" s="190"/>
      <c r="N1588" s="220"/>
      <c r="O1588" s="220"/>
      <c r="Q1588" s="210"/>
      <c r="R1588" s="210"/>
      <c r="S1588" s="210"/>
      <c r="T1588" s="210"/>
      <c r="U1588" s="210"/>
      <c r="V1588" s="210"/>
    </row>
    <row r="1589">
      <c r="A1589" s="220"/>
      <c r="F1589" s="190"/>
      <c r="G1589" s="190"/>
      <c r="N1589" s="220"/>
      <c r="O1589" s="220"/>
      <c r="Q1589" s="210"/>
      <c r="R1589" s="210"/>
      <c r="S1589" s="210"/>
      <c r="T1589" s="210"/>
      <c r="U1589" s="210"/>
      <c r="V1589" s="210"/>
    </row>
    <row r="1590">
      <c r="A1590" s="220"/>
      <c r="F1590" s="190"/>
      <c r="G1590" s="190"/>
      <c r="N1590" s="220"/>
      <c r="O1590" s="220"/>
      <c r="Q1590" s="210"/>
      <c r="R1590" s="210"/>
      <c r="S1590" s="210"/>
      <c r="T1590" s="210"/>
      <c r="U1590" s="210"/>
      <c r="V1590" s="210"/>
    </row>
    <row r="1591">
      <c r="A1591" s="220"/>
      <c r="F1591" s="190"/>
      <c r="G1591" s="190"/>
      <c r="N1591" s="220"/>
      <c r="O1591" s="220"/>
      <c r="Q1591" s="210"/>
      <c r="R1591" s="210"/>
      <c r="S1591" s="210"/>
      <c r="T1591" s="210"/>
      <c r="U1591" s="210"/>
      <c r="V1591" s="210"/>
    </row>
    <row r="1592">
      <c r="A1592" s="220"/>
      <c r="F1592" s="190"/>
      <c r="G1592" s="190"/>
      <c r="N1592" s="220"/>
      <c r="O1592" s="220"/>
      <c r="Q1592" s="210"/>
      <c r="R1592" s="210"/>
      <c r="S1592" s="210"/>
      <c r="T1592" s="210"/>
      <c r="U1592" s="210"/>
      <c r="V1592" s="210"/>
    </row>
    <row r="1593">
      <c r="A1593" s="220"/>
      <c r="F1593" s="190"/>
      <c r="G1593" s="190"/>
      <c r="N1593" s="220"/>
      <c r="O1593" s="220"/>
      <c r="Q1593" s="210"/>
      <c r="R1593" s="210"/>
      <c r="S1593" s="210"/>
      <c r="T1593" s="210"/>
      <c r="U1593" s="210"/>
      <c r="V1593" s="210"/>
    </row>
    <row r="1594">
      <c r="A1594" s="220"/>
      <c r="F1594" s="190"/>
      <c r="G1594" s="190"/>
      <c r="N1594" s="220"/>
      <c r="O1594" s="220"/>
      <c r="Q1594" s="210"/>
      <c r="R1594" s="210"/>
      <c r="S1594" s="210"/>
      <c r="T1594" s="210"/>
      <c r="U1594" s="210"/>
      <c r="V1594" s="210"/>
    </row>
    <row r="1595">
      <c r="A1595" s="220"/>
      <c r="F1595" s="190"/>
      <c r="G1595" s="190"/>
      <c r="N1595" s="220"/>
      <c r="O1595" s="220"/>
      <c r="Q1595" s="210"/>
      <c r="R1595" s="210"/>
      <c r="S1595" s="210"/>
      <c r="T1595" s="210"/>
      <c r="U1595" s="210"/>
      <c r="V1595" s="210"/>
    </row>
    <row r="1596">
      <c r="A1596" s="220"/>
      <c r="F1596" s="190"/>
      <c r="G1596" s="190"/>
      <c r="N1596" s="220"/>
      <c r="O1596" s="220"/>
      <c r="Q1596" s="210"/>
      <c r="R1596" s="210"/>
      <c r="S1596" s="210"/>
      <c r="T1596" s="210"/>
      <c r="U1596" s="210"/>
      <c r="V1596" s="210"/>
    </row>
    <row r="1597">
      <c r="A1597" s="220"/>
      <c r="F1597" s="190"/>
      <c r="G1597" s="190"/>
      <c r="N1597" s="220"/>
      <c r="O1597" s="220"/>
      <c r="Q1597" s="210"/>
      <c r="R1597" s="210"/>
      <c r="S1597" s="210"/>
      <c r="T1597" s="210"/>
      <c r="U1597" s="210"/>
      <c r="V1597" s="210"/>
    </row>
    <row r="1598">
      <c r="A1598" s="220"/>
      <c r="F1598" s="190"/>
      <c r="G1598" s="190"/>
      <c r="N1598" s="220"/>
      <c r="O1598" s="220"/>
      <c r="Q1598" s="210"/>
      <c r="R1598" s="210"/>
      <c r="S1598" s="210"/>
      <c r="T1598" s="210"/>
      <c r="U1598" s="210"/>
      <c r="V1598" s="210"/>
    </row>
    <row r="1599">
      <c r="A1599" s="220"/>
      <c r="F1599" s="190"/>
      <c r="G1599" s="190"/>
      <c r="N1599" s="220"/>
      <c r="O1599" s="220"/>
      <c r="Q1599" s="210"/>
      <c r="R1599" s="210"/>
      <c r="S1599" s="210"/>
      <c r="T1599" s="210"/>
      <c r="U1599" s="210"/>
      <c r="V1599" s="210"/>
    </row>
  </sheetData>
  <autoFilter ref="$A$1:$O$543"/>
  <dataValidations>
    <dataValidation type="list" allowBlank="1" showErrorMessage="1" sqref="F2:G1599">
      <formula1>LEVEL_HELPER!$A$2:$A$15</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7.57"/>
    <col customWidth="1" min="5" max="5" width="18.86"/>
    <col customWidth="1" min="6" max="6" width="23.29"/>
    <col customWidth="1" min="7" max="7" width="25.14"/>
    <col customWidth="1" min="8" max="13" width="22.57"/>
    <col customWidth="1" min="14" max="15" width="10.71"/>
    <col customWidth="1" min="18" max="18" width="15.14"/>
    <col customWidth="1" min="19" max="21" width="12.43"/>
    <col customWidth="1" min="22" max="22" width="3.43"/>
    <col customWidth="1" min="23" max="23" width="12.57"/>
    <col customWidth="1" min="24" max="43" width="8.71"/>
  </cols>
  <sheetData>
    <row r="1">
      <c r="A1" s="206" t="str">
        <f>IFERROR(__xludf.DUMMYFUNCTION("importrange(""https://docs.google.com/spreadsheets/d/1U9dtfrPAvBHmGv6-XSDU5YSEKouwLDJQ5nbhWdww6DY/edit?gid=338215880#gid=338215880"",""sheet2!A:O"")"),"Emp Code")</f>
        <v>Emp Code</v>
      </c>
      <c r="B1" s="207" t="str">
        <f>IFERROR(__xludf.DUMMYFUNCTION("""COMPUTED_VALUE"""),"Full Name")</f>
        <v>Full Name</v>
      </c>
      <c r="C1" s="207" t="str">
        <f>IFERROR(__xludf.DUMMYFUNCTION("""COMPUTED_VALUE"""),"Class Code")</f>
        <v>Class Code</v>
      </c>
      <c r="D1" s="207" t="str">
        <f>IFERROR(__xludf.DUMMYFUNCTION("""COMPUTED_VALUE"""),"PIC")</f>
        <v>PIC</v>
      </c>
      <c r="E1" s="207" t="str">
        <f>IFERROR(__xludf.DUMMYFUNCTION("""COMPUTED_VALUE"""),"Course Name")</f>
        <v>Course Name</v>
      </c>
      <c r="F1" s="207" t="str">
        <f>IFERROR(__xludf.DUMMYFUNCTION("""COMPUTED_VALUE"""),"Entrance Level")</f>
        <v>Entrance Level</v>
      </c>
      <c r="G1" s="207" t="str">
        <f>IFERROR(__xludf.DUMMYFUNCTION("""COMPUTED_VALUE"""),"Final Level")</f>
        <v>Final Level</v>
      </c>
      <c r="H1" s="195" t="str">
        <f>IFERROR(__xludf.DUMMYFUNCTION("""COMPUTED_VALUE"""),"start date")</f>
        <v>start date</v>
      </c>
      <c r="I1" s="195" t="str">
        <f>IFERROR(__xludf.DUMMYFUNCTION("""COMPUTED_VALUE"""),"First Class Start Date")</f>
        <v>First Class Start Date</v>
      </c>
      <c r="J1" s="195" t="str">
        <f>IFERROR(__xludf.DUMMYFUNCTION("""COMPUTED_VALUE"""),"Entrance Numeric ")</f>
        <v>Entrance Numeric </v>
      </c>
      <c r="K1" s="195" t="str">
        <f>IFERROR(__xludf.DUMMYFUNCTION("""COMPUTED_VALUE"""),"Final Numeric")</f>
        <v>Final Numeric</v>
      </c>
      <c r="L1" s="195" t="str">
        <f>IFERROR(__xludf.DUMMYFUNCTION("""COMPUTED_VALUE"""),"Role")</f>
        <v>Role</v>
      </c>
      <c r="M1" s="195" t="str">
        <f>IFERROR(__xludf.DUMMYFUNCTION("""COMPUTED_VALUE"""),"BU")</f>
        <v>BU</v>
      </c>
      <c r="N1" s="195" t="str">
        <f>IFERROR(__xludf.DUMMYFUNCTION("""COMPUTED_VALUE"""),"First Entrance Numeric")</f>
        <v>First Entrance Numeric</v>
      </c>
      <c r="O1" s="195" t="str">
        <f>IFERROR(__xludf.DUMMYFUNCTION("""COMPUTED_VALUE"""),"Best Final Numeric")</f>
        <v>Best Final Numeric</v>
      </c>
      <c r="P1" s="195"/>
      <c r="R1" s="62" t="s">
        <v>906</v>
      </c>
      <c r="S1" s="62" t="s">
        <v>972</v>
      </c>
      <c r="T1" s="62" t="s">
        <v>908</v>
      </c>
      <c r="U1" s="62" t="s">
        <v>973</v>
      </c>
      <c r="X1" s="231"/>
      <c r="Y1" s="210"/>
      <c r="Z1" s="210"/>
      <c r="AA1" s="210"/>
      <c r="AB1" s="210"/>
      <c r="AC1" s="210"/>
      <c r="AD1" s="210"/>
      <c r="AE1" s="210"/>
      <c r="AF1" s="210"/>
      <c r="AG1" s="210"/>
      <c r="AH1" s="210"/>
      <c r="AI1" s="210"/>
      <c r="AJ1" s="210"/>
      <c r="AK1" s="210"/>
      <c r="AL1" s="210"/>
      <c r="AM1" s="210"/>
      <c r="AN1" s="210"/>
      <c r="AO1" s="210"/>
      <c r="AP1" s="210"/>
      <c r="AQ1" s="210"/>
    </row>
    <row r="2">
      <c r="A2" s="218" t="str">
        <f>IFERROR(__xludf.DUMMYFUNCTION("""COMPUTED_VALUE"""),"227155")</f>
        <v>227155</v>
      </c>
      <c r="B2" s="217" t="str">
        <f>IFERROR(__xludf.DUMMYFUNCTION("""COMPUTED_VALUE"""),"VŨ TÚ ANH")</f>
        <v>VŨ TÚ ANH</v>
      </c>
      <c r="C2" s="218" t="str">
        <f>IFERROR(__xludf.DUMMYFUNCTION("""COMPUTED_VALUE"""),"EL001")</f>
        <v>EL001</v>
      </c>
      <c r="D2" s="218" t="str">
        <f>IFERROR(__xludf.DUMMYFUNCTION("""COMPUTED_VALUE"""),"Anh Vu")</f>
        <v>Anh Vu</v>
      </c>
      <c r="E2" s="217" t="str">
        <f>IFERROR(__xludf.DUMMYFUNCTION("""COMPUTED_VALUE"""),"Communication 1")</f>
        <v>Communication 1</v>
      </c>
      <c r="F2" s="190" t="str">
        <f>IFERROR(__xludf.DUMMYFUNCTION("""COMPUTED_VALUE"""),"Pre-Intermediate")</f>
        <v>Pre-Intermediate</v>
      </c>
      <c r="G2" s="190" t="str">
        <f>IFERROR(__xludf.DUMMYFUNCTION("""COMPUTED_VALUE"""),"Pre-Intermediate 1")</f>
        <v>Pre-Intermediate 1</v>
      </c>
      <c r="H2" s="219">
        <f>IFERROR(__xludf.DUMMYFUNCTION("""COMPUTED_VALUE"""),45700.41666666667)</f>
        <v>45700.41667</v>
      </c>
      <c r="I2" s="219">
        <f>IFERROR(__xludf.DUMMYFUNCTION("""COMPUTED_VALUE"""),45700.41666666667)</f>
        <v>45700.41667</v>
      </c>
      <c r="J2" s="190">
        <f>IFERROR(__xludf.DUMMYFUNCTION("""COMPUTED_VALUE"""),2.5)</f>
        <v>2.5</v>
      </c>
      <c r="K2" s="190">
        <f>IFERROR(__xludf.DUMMYFUNCTION("""COMPUTED_VALUE"""),3.0)</f>
        <v>3</v>
      </c>
      <c r="L2" s="190" t="str">
        <f>IFERROR(__xludf.DUMMYFUNCTION("""COMPUTED_VALUE"""),"QC")</f>
        <v>QC</v>
      </c>
      <c r="M2" s="190" t="str">
        <f>IFERROR(__xludf.DUMMYFUNCTION("""COMPUTED_VALUE"""),"POC")</f>
        <v>POC</v>
      </c>
      <c r="N2" s="220">
        <f>IFERROR(__xludf.DUMMYFUNCTION("""COMPUTED_VALUE"""),2.5)</f>
        <v>2.5</v>
      </c>
      <c r="O2" s="220">
        <f>IFERROR(__xludf.DUMMYFUNCTION("""COMPUTED_VALUE"""),3.5)</f>
        <v>3.5</v>
      </c>
      <c r="P2" s="220"/>
      <c r="Q2" s="190">
        <f t="shared" ref="Q2:Q308" si="1">COUNTIF($R$2:R2,R2)</f>
        <v>1</v>
      </c>
      <c r="R2" s="211" t="str">
        <f t="array" ref="R2:R306">unique(A2:A1581)</f>
        <v>227155</v>
      </c>
      <c r="S2" s="210" t="str">
        <f t="shared" ref="S2:S324" si="2">VLOOKUP(R2,$A$2:$P1581,12,0)</f>
        <v>QC</v>
      </c>
      <c r="T2" s="210" t="str">
        <f t="shared" ref="T2:T324" si="3">IFS(S2="QC","QC",OR(S2="BA",S2="BC"),"BA, BC",OR(S2="DEV",S2="TA"),"DEV, TA",OR(S2="HR",S2="Admin",S2="Management"),"HR, GA, Mgt",S2="GSD","GSD",OR(S2="PPO",S2="SM",S2="IM"),"PPO, SM, IM ",OR(S2="UI/UX",S2="Designer"),"UI/UX, Des")</f>
        <v>QC</v>
      </c>
      <c r="U2" s="210" t="str">
        <f t="shared" ref="U2:U272" si="4">VLOOKUP(R2,$A$2:$P1581,13,0)</f>
        <v>POC</v>
      </c>
      <c r="AE2" s="210"/>
      <c r="AF2" s="210"/>
      <c r="AG2" s="210"/>
      <c r="AH2" s="210"/>
      <c r="AI2" s="210"/>
      <c r="AJ2" s="210"/>
      <c r="AK2" s="210"/>
      <c r="AL2" s="210"/>
      <c r="AM2" s="210"/>
      <c r="AN2" s="210"/>
      <c r="AO2" s="210"/>
      <c r="AP2" s="210"/>
      <c r="AQ2" s="210"/>
    </row>
    <row r="3">
      <c r="A3" s="223" t="str">
        <f>IFERROR(__xludf.DUMMYFUNCTION("""COMPUTED_VALUE"""),"173230")</f>
        <v>173230</v>
      </c>
      <c r="B3" s="190" t="str">
        <f>IFERROR(__xludf.DUMMYFUNCTION("""COMPUTED_VALUE"""),"LÊ THỊ THU HIỀN")</f>
        <v>LÊ THỊ THU HIỀN</v>
      </c>
      <c r="C3" s="223" t="str">
        <f>IFERROR(__xludf.DUMMYFUNCTION("""COMPUTED_VALUE"""),"EL001")</f>
        <v>EL001</v>
      </c>
      <c r="D3" s="223" t="str">
        <f>IFERROR(__xludf.DUMMYFUNCTION("""COMPUTED_VALUE"""),"Anh Vu")</f>
        <v>Anh Vu</v>
      </c>
      <c r="E3" s="190" t="str">
        <f>IFERROR(__xludf.DUMMYFUNCTION("""COMPUTED_VALUE"""),"Communication 1")</f>
        <v>Communication 1</v>
      </c>
      <c r="F3" s="190" t="str">
        <f>IFERROR(__xludf.DUMMYFUNCTION("""COMPUTED_VALUE"""),"Beginner")</f>
        <v>Beginner</v>
      </c>
      <c r="G3" s="190" t="str">
        <f>IFERROR(__xludf.DUMMYFUNCTION("""COMPUTED_VALUE"""),"Pre-Intermediate 1")</f>
        <v>Pre-Intermediate 1</v>
      </c>
      <c r="H3" s="219">
        <f>IFERROR(__xludf.DUMMYFUNCTION("""COMPUTED_VALUE"""),45700.41666666667)</f>
        <v>45700.41667</v>
      </c>
      <c r="I3" s="219">
        <f>IFERROR(__xludf.DUMMYFUNCTION("""COMPUTED_VALUE"""),45700.41666666667)</f>
        <v>45700.41667</v>
      </c>
      <c r="J3" s="190">
        <f>IFERROR(__xludf.DUMMYFUNCTION("""COMPUTED_VALUE"""),1.0)</f>
        <v>1</v>
      </c>
      <c r="K3" s="190">
        <f>IFERROR(__xludf.DUMMYFUNCTION("""COMPUTED_VALUE"""),3.0)</f>
        <v>3</v>
      </c>
      <c r="L3" s="190" t="str">
        <f>IFERROR(__xludf.DUMMYFUNCTION("""COMPUTED_VALUE"""),"QC")</f>
        <v>QC</v>
      </c>
      <c r="M3" s="190" t="str">
        <f>IFERROR(__xludf.DUMMYFUNCTION("""COMPUTED_VALUE"""),"POC")</f>
        <v>POC</v>
      </c>
      <c r="N3" s="220">
        <f>IFERROR(__xludf.DUMMYFUNCTION("""COMPUTED_VALUE"""),1.0)</f>
        <v>1</v>
      </c>
      <c r="O3" s="220">
        <f>IFERROR(__xludf.DUMMYFUNCTION("""COMPUTED_VALUE"""),3.5)</f>
        <v>3.5</v>
      </c>
      <c r="P3" s="220"/>
      <c r="Q3" s="190">
        <f t="shared" si="1"/>
        <v>1</v>
      </c>
      <c r="R3" s="211" t="s">
        <v>296</v>
      </c>
      <c r="S3" s="210" t="str">
        <f t="shared" si="2"/>
        <v>QC</v>
      </c>
      <c r="T3" s="210" t="str">
        <f t="shared" si="3"/>
        <v>QC</v>
      </c>
      <c r="U3" s="210" t="str">
        <f t="shared" si="4"/>
        <v>POC</v>
      </c>
      <c r="AE3" s="210"/>
      <c r="AF3" s="210"/>
      <c r="AG3" s="210"/>
      <c r="AH3" s="210"/>
      <c r="AI3" s="210"/>
      <c r="AJ3" s="210"/>
      <c r="AK3" s="210"/>
      <c r="AL3" s="210"/>
      <c r="AM3" s="210"/>
      <c r="AN3" s="210"/>
      <c r="AO3" s="210"/>
      <c r="AP3" s="210"/>
      <c r="AQ3" s="210"/>
    </row>
    <row r="4">
      <c r="A4" s="223" t="str">
        <f>IFERROR(__xludf.DUMMYFUNCTION("""COMPUTED_VALUE"""),"143079")</f>
        <v>143079</v>
      </c>
      <c r="B4" s="190" t="str">
        <f>IFERROR(__xludf.DUMMYFUNCTION("""COMPUTED_VALUE"""),"LÝ THỊ DIỄM MY")</f>
        <v>LÝ THỊ DIỄM MY</v>
      </c>
      <c r="C4" s="223" t="str">
        <f>IFERROR(__xludf.DUMMYFUNCTION("""COMPUTED_VALUE"""),"EL001")</f>
        <v>EL001</v>
      </c>
      <c r="D4" s="223" t="str">
        <f>IFERROR(__xludf.DUMMYFUNCTION("""COMPUTED_VALUE"""),"Anh Vu")</f>
        <v>Anh Vu</v>
      </c>
      <c r="E4" s="190" t="str">
        <f>IFERROR(__xludf.DUMMYFUNCTION("""COMPUTED_VALUE"""),"Communication 1")</f>
        <v>Communication 1</v>
      </c>
      <c r="F4" s="190" t="str">
        <f>IFERROR(__xludf.DUMMYFUNCTION("""COMPUTED_VALUE"""),"Beginner")</f>
        <v>Beginner</v>
      </c>
      <c r="G4" s="190" t="str">
        <f>IFERROR(__xludf.DUMMYFUNCTION("""COMPUTED_VALUE"""),"Beginner 2")</f>
        <v>Beginner 2</v>
      </c>
      <c r="H4" s="219">
        <f>IFERROR(__xludf.DUMMYFUNCTION("""COMPUTED_VALUE"""),45700.41666666667)</f>
        <v>45700.41667</v>
      </c>
      <c r="I4" s="219">
        <f>IFERROR(__xludf.DUMMYFUNCTION("""COMPUTED_VALUE"""),45700.41666666667)</f>
        <v>45700.41667</v>
      </c>
      <c r="J4" s="190">
        <f>IFERROR(__xludf.DUMMYFUNCTION("""COMPUTED_VALUE"""),1.0)</f>
        <v>1</v>
      </c>
      <c r="K4" s="190">
        <f>IFERROR(__xludf.DUMMYFUNCTION("""COMPUTED_VALUE"""),1.5)</f>
        <v>1.5</v>
      </c>
      <c r="L4" s="190" t="str">
        <f>IFERROR(__xludf.DUMMYFUNCTION("""COMPUTED_VALUE"""),"QC")</f>
        <v>QC</v>
      </c>
      <c r="M4" s="190" t="str">
        <f>IFERROR(__xludf.DUMMYFUNCTION("""COMPUTED_VALUE"""),"POC")</f>
        <v>POC</v>
      </c>
      <c r="N4" s="220">
        <f>IFERROR(__xludf.DUMMYFUNCTION("""COMPUTED_VALUE"""),1.0)</f>
        <v>1</v>
      </c>
      <c r="O4" s="220">
        <f>IFERROR(__xludf.DUMMYFUNCTION("""COMPUTED_VALUE"""),2.0)</f>
        <v>2</v>
      </c>
      <c r="P4" s="220"/>
      <c r="Q4" s="190">
        <f t="shared" si="1"/>
        <v>1</v>
      </c>
      <c r="R4" s="211" t="s">
        <v>319</v>
      </c>
      <c r="S4" s="210" t="str">
        <f t="shared" si="2"/>
        <v>QC</v>
      </c>
      <c r="T4" s="210" t="str">
        <f t="shared" si="3"/>
        <v>QC</v>
      </c>
      <c r="U4" s="210" t="str">
        <f t="shared" si="4"/>
        <v>POC</v>
      </c>
      <c r="AE4" s="210"/>
      <c r="AF4" s="210"/>
      <c r="AG4" s="210"/>
      <c r="AH4" s="210"/>
      <c r="AI4" s="210"/>
      <c r="AJ4" s="210"/>
      <c r="AK4" s="210"/>
      <c r="AL4" s="210"/>
      <c r="AM4" s="210"/>
      <c r="AN4" s="210"/>
      <c r="AO4" s="210"/>
      <c r="AP4" s="210"/>
      <c r="AQ4" s="210"/>
    </row>
    <row r="5">
      <c r="A5" s="223" t="str">
        <f>IFERROR(__xludf.DUMMYFUNCTION("""COMPUTED_VALUE"""),"227122")</f>
        <v>227122</v>
      </c>
      <c r="B5" s="190" t="str">
        <f>IFERROR(__xludf.DUMMYFUNCTION("""COMPUTED_VALUE"""),"NGUYỄN THỊ NGỌC DUNG")</f>
        <v>NGUYỄN THỊ NGỌC DUNG</v>
      </c>
      <c r="C5" s="223" t="str">
        <f>IFERROR(__xludf.DUMMYFUNCTION("""COMPUTED_VALUE"""),"EL001")</f>
        <v>EL001</v>
      </c>
      <c r="D5" s="223" t="str">
        <f>IFERROR(__xludf.DUMMYFUNCTION("""COMPUTED_VALUE"""),"Anh Vu")</f>
        <v>Anh Vu</v>
      </c>
      <c r="E5" s="190" t="str">
        <f>IFERROR(__xludf.DUMMYFUNCTION("""COMPUTED_VALUE"""),"Communication 1")</f>
        <v>Communication 1</v>
      </c>
      <c r="F5" s="190" t="str">
        <f>IFERROR(__xludf.DUMMYFUNCTION("""COMPUTED_VALUE"""),"Beginner")</f>
        <v>Beginner</v>
      </c>
      <c r="G5" s="190" t="str">
        <f>IFERROR(__xludf.DUMMYFUNCTION("""COMPUTED_VALUE"""),"Pre-Intermediate 1")</f>
        <v>Pre-Intermediate 1</v>
      </c>
      <c r="H5" s="219">
        <f>IFERROR(__xludf.DUMMYFUNCTION("""COMPUTED_VALUE"""),45700.41666666667)</f>
        <v>45700.41667</v>
      </c>
      <c r="I5" s="219">
        <f>IFERROR(__xludf.DUMMYFUNCTION("""COMPUTED_VALUE"""),45700.41666666667)</f>
        <v>45700.41667</v>
      </c>
      <c r="J5" s="190">
        <f>IFERROR(__xludf.DUMMYFUNCTION("""COMPUTED_VALUE"""),1.0)</f>
        <v>1</v>
      </c>
      <c r="K5" s="190">
        <f>IFERROR(__xludf.DUMMYFUNCTION("""COMPUTED_VALUE"""),3.0)</f>
        <v>3</v>
      </c>
      <c r="L5" s="190" t="str">
        <f>IFERROR(__xludf.DUMMYFUNCTION("""COMPUTED_VALUE"""),"QC")</f>
        <v>QC</v>
      </c>
      <c r="M5" s="190" t="str">
        <f>IFERROR(__xludf.DUMMYFUNCTION("""COMPUTED_VALUE"""),"POC")</f>
        <v>POC</v>
      </c>
      <c r="N5" s="220">
        <f>IFERROR(__xludf.DUMMYFUNCTION("""COMPUTED_VALUE"""),1.0)</f>
        <v>1</v>
      </c>
      <c r="O5" s="220">
        <f>IFERROR(__xludf.DUMMYFUNCTION("""COMPUTED_VALUE"""),3.5)</f>
        <v>3.5</v>
      </c>
      <c r="P5" s="220"/>
      <c r="Q5" s="190">
        <f t="shared" si="1"/>
        <v>1</v>
      </c>
      <c r="R5" s="211" t="s">
        <v>474</v>
      </c>
      <c r="S5" s="210" t="str">
        <f t="shared" si="2"/>
        <v>QC</v>
      </c>
      <c r="T5" s="210" t="str">
        <f t="shared" si="3"/>
        <v>QC</v>
      </c>
      <c r="U5" s="210" t="str">
        <f t="shared" si="4"/>
        <v>POC</v>
      </c>
      <c r="AE5" s="210"/>
      <c r="AF5" s="210"/>
      <c r="AG5" s="210"/>
      <c r="AH5" s="210"/>
      <c r="AI5" s="210"/>
      <c r="AJ5" s="210"/>
      <c r="AK5" s="210"/>
      <c r="AL5" s="210"/>
      <c r="AM5" s="210"/>
      <c r="AN5" s="210"/>
      <c r="AO5" s="210"/>
      <c r="AP5" s="210"/>
      <c r="AQ5" s="210"/>
    </row>
    <row r="6">
      <c r="A6" s="223" t="str">
        <f>IFERROR(__xludf.DUMMYFUNCTION("""COMPUTED_VALUE"""),"237050")</f>
        <v>237050</v>
      </c>
      <c r="B6" s="190" t="str">
        <f>IFERROR(__xludf.DUMMYFUNCTION("""COMPUTED_VALUE"""),"TRẦN THỊ THANH NGA")</f>
        <v>TRẦN THỊ THANH NGA</v>
      </c>
      <c r="C6" s="223" t="str">
        <f>IFERROR(__xludf.DUMMYFUNCTION("""COMPUTED_VALUE"""),"EL001")</f>
        <v>EL001</v>
      </c>
      <c r="D6" s="223" t="str">
        <f>IFERROR(__xludf.DUMMYFUNCTION("""COMPUTED_VALUE"""),"Anh Vu")</f>
        <v>Anh Vu</v>
      </c>
      <c r="E6" s="190" t="str">
        <f>IFERROR(__xludf.DUMMYFUNCTION("""COMPUTED_VALUE"""),"Communication 1")</f>
        <v>Communication 1</v>
      </c>
      <c r="F6" s="190" t="str">
        <f>IFERROR(__xludf.DUMMYFUNCTION("""COMPUTED_VALUE"""),"Intermediate")</f>
        <v>Intermediate</v>
      </c>
      <c r="G6" s="190" t="str">
        <f>IFERROR(__xludf.DUMMYFUNCTION("""COMPUTED_VALUE"""),"Intermediate")</f>
        <v>Intermediate</v>
      </c>
      <c r="H6" s="219">
        <f>IFERROR(__xludf.DUMMYFUNCTION("""COMPUTED_VALUE"""),45700.41666666667)</f>
        <v>45700.41667</v>
      </c>
      <c r="I6" s="219">
        <f>IFERROR(__xludf.DUMMYFUNCTION("""COMPUTED_VALUE"""),45700.41666666667)</f>
        <v>45700.41667</v>
      </c>
      <c r="J6" s="190">
        <f>IFERROR(__xludf.DUMMYFUNCTION("""COMPUTED_VALUE"""),4.5)</f>
        <v>4.5</v>
      </c>
      <c r="K6" s="190">
        <f>IFERROR(__xludf.DUMMYFUNCTION("""COMPUTED_VALUE"""),4.5)</f>
        <v>4.5</v>
      </c>
      <c r="L6" s="190" t="str">
        <f>IFERROR(__xludf.DUMMYFUNCTION("""COMPUTED_VALUE"""),"QC")</f>
        <v>QC</v>
      </c>
      <c r="M6" s="190" t="str">
        <f>IFERROR(__xludf.DUMMYFUNCTION("""COMPUTED_VALUE"""),"POC")</f>
        <v>POC</v>
      </c>
      <c r="N6" s="220">
        <f>IFERROR(__xludf.DUMMYFUNCTION("""COMPUTED_VALUE"""),4.5)</f>
        <v>4.5</v>
      </c>
      <c r="O6" s="220">
        <f>IFERROR(__xludf.DUMMYFUNCTION("""COMPUTED_VALUE"""),5.5)</f>
        <v>5.5</v>
      </c>
      <c r="P6" s="220"/>
      <c r="Q6" s="190">
        <f t="shared" si="1"/>
        <v>1</v>
      </c>
      <c r="R6" s="211" t="s">
        <v>657</v>
      </c>
      <c r="S6" s="210" t="str">
        <f t="shared" si="2"/>
        <v>QC</v>
      </c>
      <c r="T6" s="210" t="str">
        <f t="shared" si="3"/>
        <v>QC</v>
      </c>
      <c r="U6" s="210" t="str">
        <f t="shared" si="4"/>
        <v>POC</v>
      </c>
      <c r="AE6" s="210"/>
      <c r="AF6" s="210"/>
      <c r="AG6" s="210"/>
      <c r="AH6" s="210"/>
      <c r="AI6" s="210"/>
      <c r="AJ6" s="210"/>
      <c r="AK6" s="210"/>
      <c r="AL6" s="210"/>
      <c r="AM6" s="210"/>
      <c r="AN6" s="210"/>
      <c r="AO6" s="210"/>
      <c r="AP6" s="210"/>
      <c r="AQ6" s="210"/>
    </row>
    <row r="7">
      <c r="A7" s="223" t="str">
        <f>IFERROR(__xludf.DUMMYFUNCTION("""COMPUTED_VALUE"""),"227148")</f>
        <v>227148</v>
      </c>
      <c r="B7" s="190" t="str">
        <f>IFERROR(__xludf.DUMMYFUNCTION("""COMPUTED_VALUE"""),"TRẦN THỊ THÙY DUNG")</f>
        <v>TRẦN THỊ THÙY DUNG</v>
      </c>
      <c r="C7" s="223" t="str">
        <f>IFERROR(__xludf.DUMMYFUNCTION("""COMPUTED_VALUE"""),"EL001")</f>
        <v>EL001</v>
      </c>
      <c r="D7" s="223" t="str">
        <f>IFERROR(__xludf.DUMMYFUNCTION("""COMPUTED_VALUE"""),"Anh Vu")</f>
        <v>Anh Vu</v>
      </c>
      <c r="E7" s="190" t="str">
        <f>IFERROR(__xludf.DUMMYFUNCTION("""COMPUTED_VALUE"""),"Communication 1")</f>
        <v>Communication 1</v>
      </c>
      <c r="F7" s="190" t="str">
        <f>IFERROR(__xludf.DUMMYFUNCTION("""COMPUTED_VALUE"""),"Beginner")</f>
        <v>Beginner</v>
      </c>
      <c r="G7" s="190" t="str">
        <f>IFERROR(__xludf.DUMMYFUNCTION("""COMPUTED_VALUE"""),"Pre-Intermediate 2")</f>
        <v>Pre-Intermediate 2</v>
      </c>
      <c r="H7" s="219">
        <f>IFERROR(__xludf.DUMMYFUNCTION("""COMPUTED_VALUE"""),45700.41666666667)</f>
        <v>45700.41667</v>
      </c>
      <c r="I7" s="219">
        <f>IFERROR(__xludf.DUMMYFUNCTION("""COMPUTED_VALUE"""),45700.41666666667)</f>
        <v>45700.41667</v>
      </c>
      <c r="J7" s="190">
        <f>IFERROR(__xludf.DUMMYFUNCTION("""COMPUTED_VALUE"""),1.0)</f>
        <v>1</v>
      </c>
      <c r="K7" s="190">
        <f>IFERROR(__xludf.DUMMYFUNCTION("""COMPUTED_VALUE"""),3.5)</f>
        <v>3.5</v>
      </c>
      <c r="L7" s="190" t="str">
        <f>IFERROR(__xludf.DUMMYFUNCTION("""COMPUTED_VALUE"""),"QC")</f>
        <v>QC</v>
      </c>
      <c r="M7" s="190" t="str">
        <f>IFERROR(__xludf.DUMMYFUNCTION("""COMPUTED_VALUE"""),"POC")</f>
        <v>POC</v>
      </c>
      <c r="N7" s="220">
        <f>IFERROR(__xludf.DUMMYFUNCTION("""COMPUTED_VALUE"""),1.0)</f>
        <v>1</v>
      </c>
      <c r="O7" s="220">
        <f>IFERROR(__xludf.DUMMYFUNCTION("""COMPUTED_VALUE"""),5.0)</f>
        <v>5</v>
      </c>
      <c r="P7" s="220"/>
      <c r="Q7" s="190">
        <f t="shared" si="1"/>
        <v>1</v>
      </c>
      <c r="R7" s="211" t="s">
        <v>659</v>
      </c>
      <c r="S7" s="210" t="str">
        <f t="shared" si="2"/>
        <v>QC</v>
      </c>
      <c r="T7" s="210" t="str">
        <f t="shared" si="3"/>
        <v>QC</v>
      </c>
      <c r="U7" s="210" t="str">
        <f t="shared" si="4"/>
        <v>POC</v>
      </c>
      <c r="AE7" s="210"/>
      <c r="AF7" s="210"/>
      <c r="AG7" s="210"/>
      <c r="AH7" s="210"/>
      <c r="AI7" s="210"/>
      <c r="AJ7" s="210"/>
      <c r="AK7" s="210"/>
      <c r="AL7" s="210"/>
      <c r="AM7" s="210"/>
      <c r="AN7" s="210"/>
      <c r="AO7" s="210"/>
      <c r="AP7" s="210"/>
      <c r="AQ7" s="210"/>
    </row>
    <row r="8">
      <c r="A8" s="218" t="str">
        <f>IFERROR(__xludf.DUMMYFUNCTION("""COMPUTED_VALUE"""),"227155")</f>
        <v>227155</v>
      </c>
      <c r="B8" s="217" t="str">
        <f>IFERROR(__xludf.DUMMYFUNCTION("""COMPUTED_VALUE"""),"VŨ TÚ ANH")</f>
        <v>VŨ TÚ ANH</v>
      </c>
      <c r="C8" s="218" t="str">
        <f>IFERROR(__xludf.DUMMYFUNCTION("""COMPUTED_VALUE"""),"EL001")</f>
        <v>EL001</v>
      </c>
      <c r="D8" s="218" t="str">
        <f>IFERROR(__xludf.DUMMYFUNCTION("""COMPUTED_VALUE"""),"Anh Vu")</f>
        <v>Anh Vu</v>
      </c>
      <c r="E8" s="217" t="str">
        <f>IFERROR(__xludf.DUMMYFUNCTION("""COMPUTED_VALUE"""),"Communication 2")</f>
        <v>Communication 2</v>
      </c>
      <c r="F8" s="190" t="str">
        <f>IFERROR(__xludf.DUMMYFUNCTION("""COMPUTED_VALUE"""),"Pre-Intermediate 1")</f>
        <v>Pre-Intermediate 1</v>
      </c>
      <c r="G8" s="190" t="str">
        <f>IFERROR(__xludf.DUMMYFUNCTION("""COMPUTED_VALUE"""),"Pre-Intermediate 2")</f>
        <v>Pre-Intermediate 2</v>
      </c>
      <c r="H8" s="219">
        <f>IFERROR(__xludf.DUMMYFUNCTION("""COMPUTED_VALUE"""),45889.45833333333)</f>
        <v>45889.45833</v>
      </c>
      <c r="I8" s="219">
        <f>IFERROR(__xludf.DUMMYFUNCTION("""COMPUTED_VALUE"""),45700.41666666667)</f>
        <v>45700.41667</v>
      </c>
      <c r="J8" s="190">
        <f>IFERROR(__xludf.DUMMYFUNCTION("""COMPUTED_VALUE"""),3.0)</f>
        <v>3</v>
      </c>
      <c r="K8" s="190">
        <f>IFERROR(__xludf.DUMMYFUNCTION("""COMPUTED_VALUE"""),3.5)</f>
        <v>3.5</v>
      </c>
      <c r="L8" s="190" t="str">
        <f>IFERROR(__xludf.DUMMYFUNCTION("""COMPUTED_VALUE"""),"QC")</f>
        <v>QC</v>
      </c>
      <c r="M8" s="190" t="str">
        <f>IFERROR(__xludf.DUMMYFUNCTION("""COMPUTED_VALUE"""),"POC")</f>
        <v>POC</v>
      </c>
      <c r="N8" s="220">
        <f>IFERROR(__xludf.DUMMYFUNCTION("""COMPUTED_VALUE"""),2.5)</f>
        <v>2.5</v>
      </c>
      <c r="O8" s="220">
        <f>IFERROR(__xludf.DUMMYFUNCTION("""COMPUTED_VALUE"""),3.5)</f>
        <v>3.5</v>
      </c>
      <c r="P8" s="220"/>
      <c r="Q8" s="190">
        <f t="shared" si="1"/>
        <v>1</v>
      </c>
      <c r="R8" s="211" t="s">
        <v>170</v>
      </c>
      <c r="S8" s="210" t="str">
        <f t="shared" si="2"/>
        <v>SM</v>
      </c>
      <c r="T8" s="210" t="str">
        <f t="shared" si="3"/>
        <v>PPO, SM, IM </v>
      </c>
      <c r="U8" s="210" t="str">
        <f t="shared" si="4"/>
        <v>CHORUS</v>
      </c>
      <c r="AE8" s="210"/>
      <c r="AF8" s="210"/>
      <c r="AG8" s="210"/>
      <c r="AH8" s="210"/>
      <c r="AI8" s="210"/>
      <c r="AJ8" s="210"/>
      <c r="AK8" s="210"/>
      <c r="AL8" s="210"/>
      <c r="AM8" s="210"/>
      <c r="AN8" s="210"/>
      <c r="AO8" s="210"/>
      <c r="AP8" s="210"/>
      <c r="AQ8" s="210"/>
    </row>
    <row r="9">
      <c r="A9" s="223" t="str">
        <f>IFERROR(__xludf.DUMMYFUNCTION("""COMPUTED_VALUE"""),"173230")</f>
        <v>173230</v>
      </c>
      <c r="B9" s="190" t="str">
        <f>IFERROR(__xludf.DUMMYFUNCTION("""COMPUTED_VALUE"""),"LÊ THỊ THU HIỀN")</f>
        <v>LÊ THỊ THU HIỀN</v>
      </c>
      <c r="C9" s="223" t="str">
        <f>IFERROR(__xludf.DUMMYFUNCTION("""COMPUTED_VALUE"""),"EL001")</f>
        <v>EL001</v>
      </c>
      <c r="D9" s="223" t="str">
        <f>IFERROR(__xludf.DUMMYFUNCTION("""COMPUTED_VALUE"""),"Anh Vu")</f>
        <v>Anh Vu</v>
      </c>
      <c r="E9" s="190" t="str">
        <f>IFERROR(__xludf.DUMMYFUNCTION("""COMPUTED_VALUE"""),"Communication 2")</f>
        <v>Communication 2</v>
      </c>
      <c r="F9" s="190" t="str">
        <f>IFERROR(__xludf.DUMMYFUNCTION("""COMPUTED_VALUE"""),"Pre-Intermediate 1")</f>
        <v>Pre-Intermediate 1</v>
      </c>
      <c r="G9" s="190" t="str">
        <f>IFERROR(__xludf.DUMMYFUNCTION("""COMPUTED_VALUE"""),"Pre-Intermediate 2")</f>
        <v>Pre-Intermediate 2</v>
      </c>
      <c r="H9" s="219">
        <f>IFERROR(__xludf.DUMMYFUNCTION("""COMPUTED_VALUE"""),45889.45833333333)</f>
        <v>45889.45833</v>
      </c>
      <c r="I9" s="219">
        <f>IFERROR(__xludf.DUMMYFUNCTION("""COMPUTED_VALUE"""),45700.41666666667)</f>
        <v>45700.41667</v>
      </c>
      <c r="J9" s="190">
        <f>IFERROR(__xludf.DUMMYFUNCTION("""COMPUTED_VALUE"""),3.0)</f>
        <v>3</v>
      </c>
      <c r="K9" s="190">
        <f>IFERROR(__xludf.DUMMYFUNCTION("""COMPUTED_VALUE"""),3.5)</f>
        <v>3.5</v>
      </c>
      <c r="L9" s="190" t="str">
        <f>IFERROR(__xludf.DUMMYFUNCTION("""COMPUTED_VALUE"""),"QC")</f>
        <v>QC</v>
      </c>
      <c r="M9" s="190" t="str">
        <f>IFERROR(__xludf.DUMMYFUNCTION("""COMPUTED_VALUE"""),"POC")</f>
        <v>POC</v>
      </c>
      <c r="N9" s="220">
        <f>IFERROR(__xludf.DUMMYFUNCTION("""COMPUTED_VALUE"""),1.0)</f>
        <v>1</v>
      </c>
      <c r="O9" s="220">
        <f>IFERROR(__xludf.DUMMYFUNCTION("""COMPUTED_VALUE"""),3.5)</f>
        <v>3.5</v>
      </c>
      <c r="P9" s="220"/>
      <c r="Q9" s="190">
        <f t="shared" si="1"/>
        <v>1</v>
      </c>
      <c r="R9" s="211" t="s">
        <v>196</v>
      </c>
      <c r="S9" s="210" t="str">
        <f t="shared" si="2"/>
        <v>DEV</v>
      </c>
      <c r="T9" s="210" t="str">
        <f t="shared" si="3"/>
        <v>DEV, TA</v>
      </c>
      <c r="U9" s="210" t="str">
        <f t="shared" si="4"/>
        <v>CHORUS</v>
      </c>
      <c r="AE9" s="210"/>
      <c r="AF9" s="210"/>
      <c r="AG9" s="210"/>
      <c r="AH9" s="210"/>
      <c r="AI9" s="210"/>
      <c r="AJ9" s="210"/>
      <c r="AK9" s="210"/>
      <c r="AL9" s="210"/>
      <c r="AM9" s="210"/>
      <c r="AN9" s="210"/>
      <c r="AO9" s="210"/>
      <c r="AP9" s="210"/>
      <c r="AQ9" s="210"/>
    </row>
    <row r="10">
      <c r="A10" s="223" t="str">
        <f>IFERROR(__xludf.DUMMYFUNCTION("""COMPUTED_VALUE"""),"143079")</f>
        <v>143079</v>
      </c>
      <c r="B10" s="190" t="str">
        <f>IFERROR(__xludf.DUMMYFUNCTION("""COMPUTED_VALUE"""),"LÝ THỊ DIỄM MY")</f>
        <v>LÝ THỊ DIỄM MY</v>
      </c>
      <c r="C10" s="223" t="str">
        <f>IFERROR(__xludf.DUMMYFUNCTION("""COMPUTED_VALUE"""),"EL001")</f>
        <v>EL001</v>
      </c>
      <c r="D10" s="223" t="str">
        <f>IFERROR(__xludf.DUMMYFUNCTION("""COMPUTED_VALUE"""),"Anh Vu")</f>
        <v>Anh Vu</v>
      </c>
      <c r="E10" s="190" t="str">
        <f>IFERROR(__xludf.DUMMYFUNCTION("""COMPUTED_VALUE"""),"Communication 2")</f>
        <v>Communication 2</v>
      </c>
      <c r="F10" s="190" t="str">
        <f>IFERROR(__xludf.DUMMYFUNCTION("""COMPUTED_VALUE"""),"Beginner 2")</f>
        <v>Beginner 2</v>
      </c>
      <c r="G10" s="190" t="str">
        <f>IFERROR(__xludf.DUMMYFUNCTION("""COMPUTED_VALUE"""),"Beginner 3")</f>
        <v>Beginner 3</v>
      </c>
      <c r="H10" s="219">
        <f>IFERROR(__xludf.DUMMYFUNCTION("""COMPUTED_VALUE"""),45889.45833333333)</f>
        <v>45889.45833</v>
      </c>
      <c r="I10" s="219">
        <f>IFERROR(__xludf.DUMMYFUNCTION("""COMPUTED_VALUE"""),45700.41666666667)</f>
        <v>45700.41667</v>
      </c>
      <c r="J10" s="190">
        <f>IFERROR(__xludf.DUMMYFUNCTION("""COMPUTED_VALUE"""),1.5)</f>
        <v>1.5</v>
      </c>
      <c r="K10" s="190">
        <f>IFERROR(__xludf.DUMMYFUNCTION("""COMPUTED_VALUE"""),2.0)</f>
        <v>2</v>
      </c>
      <c r="L10" s="190" t="str">
        <f>IFERROR(__xludf.DUMMYFUNCTION("""COMPUTED_VALUE"""),"QC")</f>
        <v>QC</v>
      </c>
      <c r="M10" s="190" t="str">
        <f>IFERROR(__xludf.DUMMYFUNCTION("""COMPUTED_VALUE"""),"POC")</f>
        <v>POC</v>
      </c>
      <c r="N10" s="220">
        <f>IFERROR(__xludf.DUMMYFUNCTION("""COMPUTED_VALUE"""),1.0)</f>
        <v>1</v>
      </c>
      <c r="O10" s="220">
        <f>IFERROR(__xludf.DUMMYFUNCTION("""COMPUTED_VALUE"""),2.0)</f>
        <v>2</v>
      </c>
      <c r="P10" s="220"/>
      <c r="Q10" s="190">
        <f t="shared" si="1"/>
        <v>1</v>
      </c>
      <c r="R10" s="211" t="s">
        <v>328</v>
      </c>
      <c r="S10" s="210" t="str">
        <f t="shared" si="2"/>
        <v>DEV</v>
      </c>
      <c r="T10" s="210" t="str">
        <f t="shared" si="3"/>
        <v>DEV, TA</v>
      </c>
      <c r="U10" s="210" t="str">
        <f t="shared" si="4"/>
        <v>CHORUS</v>
      </c>
      <c r="AE10" s="210"/>
      <c r="AF10" s="210"/>
      <c r="AG10" s="210"/>
      <c r="AH10" s="210"/>
      <c r="AI10" s="210"/>
      <c r="AJ10" s="210"/>
      <c r="AK10" s="210"/>
      <c r="AL10" s="210"/>
      <c r="AM10" s="210"/>
      <c r="AN10" s="210"/>
      <c r="AO10" s="210"/>
      <c r="AP10" s="210"/>
      <c r="AQ10" s="210"/>
    </row>
    <row r="11">
      <c r="A11" s="223" t="str">
        <f>IFERROR(__xludf.DUMMYFUNCTION("""COMPUTED_VALUE"""),"227122")</f>
        <v>227122</v>
      </c>
      <c r="B11" s="190" t="str">
        <f>IFERROR(__xludf.DUMMYFUNCTION("""COMPUTED_VALUE"""),"NGUYỄN THỊ NGỌC DUNG")</f>
        <v>NGUYỄN THỊ NGỌC DUNG</v>
      </c>
      <c r="C11" s="223" t="str">
        <f>IFERROR(__xludf.DUMMYFUNCTION("""COMPUTED_VALUE"""),"EL001")</f>
        <v>EL001</v>
      </c>
      <c r="D11" s="223" t="str">
        <f>IFERROR(__xludf.DUMMYFUNCTION("""COMPUTED_VALUE"""),"Anh Vu")</f>
        <v>Anh Vu</v>
      </c>
      <c r="E11" s="190" t="str">
        <f>IFERROR(__xludf.DUMMYFUNCTION("""COMPUTED_VALUE"""),"Communication 2")</f>
        <v>Communication 2</v>
      </c>
      <c r="F11" s="190" t="str">
        <f>IFERROR(__xludf.DUMMYFUNCTION("""COMPUTED_VALUE"""),"Pre-Intermediate 1")</f>
        <v>Pre-Intermediate 1</v>
      </c>
      <c r="G11" s="190" t="str">
        <f>IFERROR(__xludf.DUMMYFUNCTION("""COMPUTED_VALUE"""),"Pre-Intermediate 2")</f>
        <v>Pre-Intermediate 2</v>
      </c>
      <c r="H11" s="219">
        <f>IFERROR(__xludf.DUMMYFUNCTION("""COMPUTED_VALUE"""),45889.45833333333)</f>
        <v>45889.45833</v>
      </c>
      <c r="I11" s="219">
        <f>IFERROR(__xludf.DUMMYFUNCTION("""COMPUTED_VALUE"""),45700.41666666667)</f>
        <v>45700.41667</v>
      </c>
      <c r="J11" s="190">
        <f>IFERROR(__xludf.DUMMYFUNCTION("""COMPUTED_VALUE"""),3.0)</f>
        <v>3</v>
      </c>
      <c r="K11" s="190">
        <f>IFERROR(__xludf.DUMMYFUNCTION("""COMPUTED_VALUE"""),3.5)</f>
        <v>3.5</v>
      </c>
      <c r="L11" s="190" t="str">
        <f>IFERROR(__xludf.DUMMYFUNCTION("""COMPUTED_VALUE"""),"QC")</f>
        <v>QC</v>
      </c>
      <c r="M11" s="190" t="str">
        <f>IFERROR(__xludf.DUMMYFUNCTION("""COMPUTED_VALUE"""),"POC")</f>
        <v>POC</v>
      </c>
      <c r="N11" s="220">
        <f>IFERROR(__xludf.DUMMYFUNCTION("""COMPUTED_VALUE"""),1.0)</f>
        <v>1</v>
      </c>
      <c r="O11" s="220">
        <f>IFERROR(__xludf.DUMMYFUNCTION("""COMPUTED_VALUE"""),3.5)</f>
        <v>3.5</v>
      </c>
      <c r="P11" s="220"/>
      <c r="Q11" s="190">
        <f t="shared" si="1"/>
        <v>1</v>
      </c>
      <c r="R11" s="211" t="s">
        <v>506</v>
      </c>
      <c r="S11" s="210" t="str">
        <f t="shared" si="2"/>
        <v>TA</v>
      </c>
      <c r="T11" s="210" t="str">
        <f t="shared" si="3"/>
        <v>DEV, TA</v>
      </c>
      <c r="U11" s="210" t="str">
        <f t="shared" si="4"/>
        <v>CHORUS</v>
      </c>
      <c r="AE11" s="210"/>
      <c r="AF11" s="210"/>
      <c r="AG11" s="210">
        <f>sum(X11:AF11)</f>
        <v>286</v>
      </c>
      <c r="AH11" s="210"/>
      <c r="AI11" s="210"/>
      <c r="AJ11" s="210"/>
      <c r="AK11" s="210"/>
      <c r="AL11" s="210"/>
      <c r="AM11" s="210"/>
      <c r="AN11" s="210"/>
      <c r="AO11" s="210"/>
      <c r="AP11" s="210"/>
      <c r="AQ11" s="210"/>
    </row>
    <row r="12">
      <c r="A12" s="223" t="str">
        <f>IFERROR(__xludf.DUMMYFUNCTION("""COMPUTED_VALUE"""),"237050")</f>
        <v>237050</v>
      </c>
      <c r="B12" s="190" t="str">
        <f>IFERROR(__xludf.DUMMYFUNCTION("""COMPUTED_VALUE"""),"TRẦN THỊ THANH NGA")</f>
        <v>TRẦN THỊ THANH NGA</v>
      </c>
      <c r="C12" s="223" t="str">
        <f>IFERROR(__xludf.DUMMYFUNCTION("""COMPUTED_VALUE"""),"EL001")</f>
        <v>EL001</v>
      </c>
      <c r="D12" s="223" t="str">
        <f>IFERROR(__xludf.DUMMYFUNCTION("""COMPUTED_VALUE"""),"Anh Vu")</f>
        <v>Anh Vu</v>
      </c>
      <c r="E12" s="190" t="str">
        <f>IFERROR(__xludf.DUMMYFUNCTION("""COMPUTED_VALUE"""),"Communication 2")</f>
        <v>Communication 2</v>
      </c>
      <c r="F12" s="190" t="str">
        <f>IFERROR(__xludf.DUMMYFUNCTION("""COMPUTED_VALUE"""),"Intermediate")</f>
        <v>Intermediate</v>
      </c>
      <c r="G12" s="190" t="str">
        <f>IFERROR(__xludf.DUMMYFUNCTION("""COMPUTED_VALUE"""),"Intermediate 2")</f>
        <v>Intermediate 2</v>
      </c>
      <c r="H12" s="219">
        <f>IFERROR(__xludf.DUMMYFUNCTION("""COMPUTED_VALUE"""),45889.45833333333)</f>
        <v>45889.45833</v>
      </c>
      <c r="I12" s="219">
        <f>IFERROR(__xludf.DUMMYFUNCTION("""COMPUTED_VALUE"""),45700.41666666667)</f>
        <v>45700.41667</v>
      </c>
      <c r="J12" s="190">
        <f>IFERROR(__xludf.DUMMYFUNCTION("""COMPUTED_VALUE"""),4.5)</f>
        <v>4.5</v>
      </c>
      <c r="K12" s="190">
        <f>IFERROR(__xludf.DUMMYFUNCTION("""COMPUTED_VALUE"""),5.5)</f>
        <v>5.5</v>
      </c>
      <c r="L12" s="190" t="str">
        <f>IFERROR(__xludf.DUMMYFUNCTION("""COMPUTED_VALUE"""),"QC")</f>
        <v>QC</v>
      </c>
      <c r="M12" s="190" t="str">
        <f>IFERROR(__xludf.DUMMYFUNCTION("""COMPUTED_VALUE"""),"POC")</f>
        <v>POC</v>
      </c>
      <c r="N12" s="220">
        <f>IFERROR(__xludf.DUMMYFUNCTION("""COMPUTED_VALUE"""),4.5)</f>
        <v>4.5</v>
      </c>
      <c r="O12" s="220">
        <f>IFERROR(__xludf.DUMMYFUNCTION("""COMPUTED_VALUE"""),5.5)</f>
        <v>5.5</v>
      </c>
      <c r="P12" s="220"/>
      <c r="Q12" s="190">
        <f t="shared" si="1"/>
        <v>1</v>
      </c>
      <c r="R12" s="211" t="s">
        <v>605</v>
      </c>
      <c r="S12" s="210" t="str">
        <f t="shared" si="2"/>
        <v>DEV</v>
      </c>
      <c r="T12" s="210" t="str">
        <f t="shared" si="3"/>
        <v>DEV, TA</v>
      </c>
      <c r="U12" s="210" t="str">
        <f t="shared" si="4"/>
        <v>LBU</v>
      </c>
      <c r="X12" s="210"/>
      <c r="Y12" s="210"/>
      <c r="Z12" s="210"/>
      <c r="AA12" s="210"/>
      <c r="AB12" s="210"/>
      <c r="AC12" s="210"/>
      <c r="AD12" s="210"/>
      <c r="AE12" s="210"/>
      <c r="AF12" s="210"/>
      <c r="AG12" s="210"/>
      <c r="AH12" s="210"/>
      <c r="AI12" s="210"/>
      <c r="AJ12" s="210"/>
      <c r="AK12" s="210"/>
      <c r="AL12" s="210"/>
      <c r="AM12" s="210"/>
      <c r="AN12" s="210"/>
      <c r="AO12" s="210"/>
      <c r="AP12" s="210"/>
      <c r="AQ12" s="210"/>
    </row>
    <row r="13">
      <c r="A13" s="223" t="str">
        <f>IFERROR(__xludf.DUMMYFUNCTION("""COMPUTED_VALUE"""),"227148")</f>
        <v>227148</v>
      </c>
      <c r="B13" s="190" t="str">
        <f>IFERROR(__xludf.DUMMYFUNCTION("""COMPUTED_VALUE"""),"TRẦN THỊ THÙY DUNG")</f>
        <v>TRẦN THỊ THÙY DUNG</v>
      </c>
      <c r="C13" s="223" t="str">
        <f>IFERROR(__xludf.DUMMYFUNCTION("""COMPUTED_VALUE"""),"EL001")</f>
        <v>EL001</v>
      </c>
      <c r="D13" s="223" t="str">
        <f>IFERROR(__xludf.DUMMYFUNCTION("""COMPUTED_VALUE"""),"Anh Vu")</f>
        <v>Anh Vu</v>
      </c>
      <c r="E13" s="190" t="str">
        <f>IFERROR(__xludf.DUMMYFUNCTION("""COMPUTED_VALUE"""),"Communication 2")</f>
        <v>Communication 2</v>
      </c>
      <c r="F13" s="190" t="str">
        <f>IFERROR(__xludf.DUMMYFUNCTION("""COMPUTED_VALUE"""),"Pre-Intermediate 2")</f>
        <v>Pre-Intermediate 2</v>
      </c>
      <c r="G13" s="190" t="str">
        <f>IFERROR(__xludf.DUMMYFUNCTION("""COMPUTED_VALUE"""),"Intermediate 1")</f>
        <v>Intermediate 1</v>
      </c>
      <c r="H13" s="219">
        <f>IFERROR(__xludf.DUMMYFUNCTION("""COMPUTED_VALUE"""),45889.45833333333)</f>
        <v>45889.45833</v>
      </c>
      <c r="I13" s="219">
        <f>IFERROR(__xludf.DUMMYFUNCTION("""COMPUTED_VALUE"""),45700.41666666667)</f>
        <v>45700.41667</v>
      </c>
      <c r="J13" s="190">
        <f>IFERROR(__xludf.DUMMYFUNCTION("""COMPUTED_VALUE"""),3.5)</f>
        <v>3.5</v>
      </c>
      <c r="K13" s="190">
        <f>IFERROR(__xludf.DUMMYFUNCTION("""COMPUTED_VALUE"""),5.0)</f>
        <v>5</v>
      </c>
      <c r="L13" s="190" t="str">
        <f>IFERROR(__xludf.DUMMYFUNCTION("""COMPUTED_VALUE"""),"QC")</f>
        <v>QC</v>
      </c>
      <c r="M13" s="190" t="str">
        <f>IFERROR(__xludf.DUMMYFUNCTION("""COMPUTED_VALUE"""),"POC")</f>
        <v>POC</v>
      </c>
      <c r="N13" s="220">
        <f>IFERROR(__xludf.DUMMYFUNCTION("""COMPUTED_VALUE"""),1.0)</f>
        <v>1</v>
      </c>
      <c r="O13" s="220">
        <f>IFERROR(__xludf.DUMMYFUNCTION("""COMPUTED_VALUE"""),5.0)</f>
        <v>5</v>
      </c>
      <c r="P13" s="220"/>
      <c r="Q13" s="190">
        <f t="shared" si="1"/>
        <v>1</v>
      </c>
      <c r="R13" s="211" t="s">
        <v>677</v>
      </c>
      <c r="S13" s="210" t="str">
        <f t="shared" si="2"/>
        <v>DEV</v>
      </c>
      <c r="T13" s="210" t="str">
        <f t="shared" si="3"/>
        <v>DEV, TA</v>
      </c>
      <c r="U13" s="210" t="str">
        <f t="shared" si="4"/>
        <v>CHORUS</v>
      </c>
      <c r="X13" s="210"/>
      <c r="Y13" s="210"/>
      <c r="Z13" s="210"/>
      <c r="AA13" s="210"/>
      <c r="AB13" s="210"/>
      <c r="AC13" s="210"/>
      <c r="AD13" s="210"/>
      <c r="AE13" s="210"/>
      <c r="AF13" s="210"/>
      <c r="AG13" s="210"/>
      <c r="AH13" s="210"/>
      <c r="AI13" s="210"/>
      <c r="AJ13" s="210"/>
      <c r="AK13" s="210"/>
      <c r="AL13" s="210"/>
      <c r="AM13" s="210"/>
      <c r="AN13" s="210"/>
      <c r="AO13" s="210"/>
      <c r="AP13" s="210"/>
      <c r="AQ13" s="210"/>
    </row>
    <row r="14">
      <c r="A14" s="218" t="str">
        <f>IFERROR(__xludf.DUMMYFUNCTION("""COMPUTED_VALUE"""),"227155")</f>
        <v>227155</v>
      </c>
      <c r="B14" s="217" t="str">
        <f>IFERROR(__xludf.DUMMYFUNCTION("""COMPUTED_VALUE"""),"VŨ TÚ ANH")</f>
        <v>VŨ TÚ ANH</v>
      </c>
      <c r="C14" s="218" t="str">
        <f>IFERROR(__xludf.DUMMYFUNCTION("""COMPUTED_VALUE"""),"EL001")</f>
        <v>EL001</v>
      </c>
      <c r="D14" s="218" t="str">
        <f>IFERROR(__xludf.DUMMYFUNCTION("""COMPUTED_VALUE"""),"Anh Vu")</f>
        <v>Anh Vu</v>
      </c>
      <c r="E14" s="217" t="str">
        <f>IFERROR(__xludf.DUMMYFUNCTION("""COMPUTED_VALUE"""),"Business English")</f>
        <v>Business English</v>
      </c>
      <c r="F14" s="190"/>
      <c r="G14" s="190"/>
      <c r="H14" s="219">
        <f>IFERROR(__xludf.DUMMYFUNCTION("""COMPUTED_VALUE"""),46084.54166666667)</f>
        <v>46084.54167</v>
      </c>
      <c r="I14" s="219">
        <f>IFERROR(__xludf.DUMMYFUNCTION("""COMPUTED_VALUE"""),45700.41666666667)</f>
        <v>45700.41667</v>
      </c>
      <c r="J14" s="190" t="str">
        <f>IFERROR(__xludf.DUMMYFUNCTION("""COMPUTED_VALUE"""),"")</f>
        <v/>
      </c>
      <c r="K14" s="190" t="str">
        <f>IFERROR(__xludf.DUMMYFUNCTION("""COMPUTED_VALUE"""),"")</f>
        <v/>
      </c>
      <c r="L14" s="190" t="str">
        <f>IFERROR(__xludf.DUMMYFUNCTION("""COMPUTED_VALUE"""),"QC")</f>
        <v>QC</v>
      </c>
      <c r="M14" s="190" t="str">
        <f>IFERROR(__xludf.DUMMYFUNCTION("""COMPUTED_VALUE"""),"POC")</f>
        <v>POC</v>
      </c>
      <c r="N14" s="220">
        <f>IFERROR(__xludf.DUMMYFUNCTION("""COMPUTED_VALUE"""),2.5)</f>
        <v>2.5</v>
      </c>
      <c r="O14" s="220">
        <f>IFERROR(__xludf.DUMMYFUNCTION("""COMPUTED_VALUE"""),3.5)</f>
        <v>3.5</v>
      </c>
      <c r="P14" s="220"/>
      <c r="Q14" s="190">
        <f t="shared" si="1"/>
        <v>1</v>
      </c>
      <c r="R14" s="211" t="s">
        <v>687</v>
      </c>
      <c r="S14" s="210" t="str">
        <f t="shared" si="2"/>
        <v>DEV</v>
      </c>
      <c r="T14" s="210" t="str">
        <f t="shared" si="3"/>
        <v>DEV, TA</v>
      </c>
      <c r="U14" s="210" t="str">
        <f t="shared" si="4"/>
        <v>CHORUS</v>
      </c>
      <c r="X14" s="210"/>
      <c r="Y14" s="210"/>
      <c r="Z14" s="210"/>
      <c r="AA14" s="210"/>
      <c r="AB14" s="210"/>
      <c r="AC14" s="210"/>
      <c r="AD14" s="210"/>
      <c r="AE14" s="210"/>
      <c r="AF14" s="210"/>
      <c r="AG14" s="210"/>
      <c r="AH14" s="210"/>
      <c r="AI14" s="210"/>
      <c r="AJ14" s="210"/>
      <c r="AK14" s="210"/>
      <c r="AL14" s="210"/>
      <c r="AM14" s="210"/>
      <c r="AN14" s="210"/>
      <c r="AO14" s="210"/>
      <c r="AP14" s="210"/>
      <c r="AQ14" s="210"/>
    </row>
    <row r="15">
      <c r="A15" s="223" t="str">
        <f>IFERROR(__xludf.DUMMYFUNCTION("""COMPUTED_VALUE"""),"237050")</f>
        <v>237050</v>
      </c>
      <c r="B15" s="190" t="str">
        <f>IFERROR(__xludf.DUMMYFUNCTION("""COMPUTED_VALUE"""),"TRẦN THỊ THANH NGA")</f>
        <v>TRẦN THỊ THANH NGA</v>
      </c>
      <c r="C15" s="223" t="str">
        <f>IFERROR(__xludf.DUMMYFUNCTION("""COMPUTED_VALUE"""),"EL001")</f>
        <v>EL001</v>
      </c>
      <c r="D15" s="223" t="str">
        <f>IFERROR(__xludf.DUMMYFUNCTION("""COMPUTED_VALUE"""),"Anh Vu")</f>
        <v>Anh Vu</v>
      </c>
      <c r="E15" s="190" t="str">
        <f>IFERROR(__xludf.DUMMYFUNCTION("""COMPUTED_VALUE"""),"Business English")</f>
        <v>Business English</v>
      </c>
      <c r="F15" s="190"/>
      <c r="G15" s="190"/>
      <c r="H15" s="219">
        <f>IFERROR(__xludf.DUMMYFUNCTION("""COMPUTED_VALUE"""),46084.54166666667)</f>
        <v>46084.54167</v>
      </c>
      <c r="I15" s="219">
        <f>IFERROR(__xludf.DUMMYFUNCTION("""COMPUTED_VALUE"""),45700.41666666667)</f>
        <v>45700.41667</v>
      </c>
      <c r="J15" s="190" t="str">
        <f>IFERROR(__xludf.DUMMYFUNCTION("""COMPUTED_VALUE"""),"")</f>
        <v/>
      </c>
      <c r="K15" s="190" t="str">
        <f>IFERROR(__xludf.DUMMYFUNCTION("""COMPUTED_VALUE"""),"")</f>
        <v/>
      </c>
      <c r="L15" s="190" t="str">
        <f>IFERROR(__xludf.DUMMYFUNCTION("""COMPUTED_VALUE"""),"QC")</f>
        <v>QC</v>
      </c>
      <c r="M15" s="190" t="str">
        <f>IFERROR(__xludf.DUMMYFUNCTION("""COMPUTED_VALUE"""),"POC")</f>
        <v>POC</v>
      </c>
      <c r="N15" s="220">
        <f>IFERROR(__xludf.DUMMYFUNCTION("""COMPUTED_VALUE"""),4.5)</f>
        <v>4.5</v>
      </c>
      <c r="O15" s="220">
        <f>IFERROR(__xludf.DUMMYFUNCTION("""COMPUTED_VALUE"""),5.5)</f>
        <v>5.5</v>
      </c>
      <c r="P15" s="220"/>
      <c r="Q15" s="190">
        <f t="shared" si="1"/>
        <v>1</v>
      </c>
      <c r="R15" s="211" t="s">
        <v>701</v>
      </c>
      <c r="S15" s="210" t="str">
        <f t="shared" si="2"/>
        <v>DEV</v>
      </c>
      <c r="T15" s="210" t="str">
        <f t="shared" si="3"/>
        <v>DEV, TA</v>
      </c>
      <c r="U15" s="210" t="str">
        <f t="shared" si="4"/>
        <v>CHORUS</v>
      </c>
      <c r="X15" s="210"/>
      <c r="Y15" s="210"/>
      <c r="Z15" s="210"/>
      <c r="AA15" s="210"/>
      <c r="AB15" s="210"/>
      <c r="AC15" s="210"/>
      <c r="AD15" s="210"/>
      <c r="AE15" s="210"/>
      <c r="AF15" s="210"/>
      <c r="AG15" s="210"/>
      <c r="AH15" s="210"/>
      <c r="AI15" s="210"/>
      <c r="AJ15" s="210"/>
      <c r="AK15" s="210"/>
      <c r="AL15" s="210"/>
      <c r="AM15" s="210"/>
      <c r="AN15" s="210"/>
      <c r="AO15" s="210"/>
      <c r="AP15" s="210"/>
      <c r="AQ15" s="210"/>
    </row>
    <row r="16">
      <c r="A16" s="223" t="str">
        <f>IFERROR(__xludf.DUMMYFUNCTION("""COMPUTED_VALUE"""),"227148")</f>
        <v>227148</v>
      </c>
      <c r="B16" s="190" t="str">
        <f>IFERROR(__xludf.DUMMYFUNCTION("""COMPUTED_VALUE"""),"TRẦN THỊ THÙY DUNG")</f>
        <v>TRẦN THỊ THÙY DUNG</v>
      </c>
      <c r="C16" s="223" t="str">
        <f>IFERROR(__xludf.DUMMYFUNCTION("""COMPUTED_VALUE"""),"EL001")</f>
        <v>EL001</v>
      </c>
      <c r="D16" s="223" t="str">
        <f>IFERROR(__xludf.DUMMYFUNCTION("""COMPUTED_VALUE"""),"Anh Vu")</f>
        <v>Anh Vu</v>
      </c>
      <c r="E16" s="190" t="str">
        <f>IFERROR(__xludf.DUMMYFUNCTION("""COMPUTED_VALUE"""),"Business English")</f>
        <v>Business English</v>
      </c>
      <c r="F16" s="190"/>
      <c r="G16" s="190"/>
      <c r="H16" s="219">
        <f>IFERROR(__xludf.DUMMYFUNCTION("""COMPUTED_VALUE"""),46084.54166666667)</f>
        <v>46084.54167</v>
      </c>
      <c r="I16" s="219">
        <f>IFERROR(__xludf.DUMMYFUNCTION("""COMPUTED_VALUE"""),45700.41666666667)</f>
        <v>45700.41667</v>
      </c>
      <c r="J16" s="190" t="str">
        <f>IFERROR(__xludf.DUMMYFUNCTION("""COMPUTED_VALUE"""),"")</f>
        <v/>
      </c>
      <c r="K16" s="190" t="str">
        <f>IFERROR(__xludf.DUMMYFUNCTION("""COMPUTED_VALUE"""),"")</f>
        <v/>
      </c>
      <c r="L16" s="190" t="str">
        <f>IFERROR(__xludf.DUMMYFUNCTION("""COMPUTED_VALUE"""),"QC")</f>
        <v>QC</v>
      </c>
      <c r="M16" s="190" t="str">
        <f>IFERROR(__xludf.DUMMYFUNCTION("""COMPUTED_VALUE"""),"POC")</f>
        <v>POC</v>
      </c>
      <c r="N16" s="220">
        <f>IFERROR(__xludf.DUMMYFUNCTION("""COMPUTED_VALUE"""),1.0)</f>
        <v>1</v>
      </c>
      <c r="O16" s="220">
        <f>IFERROR(__xludf.DUMMYFUNCTION("""COMPUTED_VALUE"""),5.0)</f>
        <v>5</v>
      </c>
      <c r="P16" s="220"/>
      <c r="Q16" s="190">
        <f t="shared" si="1"/>
        <v>1</v>
      </c>
      <c r="R16" s="211" t="s">
        <v>534</v>
      </c>
      <c r="S16" s="210" t="str">
        <f t="shared" si="2"/>
        <v>QC</v>
      </c>
      <c r="T16" s="210" t="str">
        <f t="shared" si="3"/>
        <v>QC</v>
      </c>
      <c r="U16" s="210" t="str">
        <f t="shared" si="4"/>
        <v>LBU</v>
      </c>
      <c r="X16" s="210"/>
      <c r="Y16" s="210"/>
      <c r="Z16" s="210"/>
      <c r="AA16" s="210"/>
      <c r="AB16" s="210"/>
      <c r="AC16" s="210"/>
      <c r="AD16" s="210"/>
      <c r="AE16" s="210"/>
      <c r="AF16" s="210"/>
      <c r="AG16" s="210"/>
      <c r="AH16" s="210"/>
      <c r="AI16" s="210"/>
      <c r="AJ16" s="210"/>
      <c r="AK16" s="210"/>
      <c r="AL16" s="210"/>
      <c r="AM16" s="210"/>
      <c r="AN16" s="210"/>
      <c r="AO16" s="210"/>
      <c r="AP16" s="210"/>
      <c r="AQ16" s="210"/>
    </row>
    <row r="17">
      <c r="A17" s="218" t="str">
        <f>IFERROR(__xludf.DUMMYFUNCTION("""COMPUTED_VALUE"""),"247300")</f>
        <v>247300</v>
      </c>
      <c r="B17" s="217" t="str">
        <f>IFERROR(__xludf.DUMMYFUNCTION("""COMPUTED_VALUE"""),"ĐỖ CHÂU BỬU")</f>
        <v>ĐỖ CHÂU BỬU</v>
      </c>
      <c r="C17" s="218" t="str">
        <f>IFERROR(__xludf.DUMMYFUNCTION("""COMPUTED_VALUE"""),"EL002")</f>
        <v>EL002</v>
      </c>
      <c r="D17" s="218" t="str">
        <f>IFERROR(__xludf.DUMMYFUNCTION("""COMPUTED_VALUE"""),"Buu Do 1")</f>
        <v>Buu Do 1</v>
      </c>
      <c r="E17" s="217" t="str">
        <f>IFERROR(__xludf.DUMMYFUNCTION("""COMPUTED_VALUE"""),"Communication 1")</f>
        <v>Communication 1</v>
      </c>
      <c r="F17" s="190" t="str">
        <f>IFERROR(__xludf.DUMMYFUNCTION("""COMPUTED_VALUE"""),"Pre-Intermediate")</f>
        <v>Pre-Intermediate</v>
      </c>
      <c r="G17" s="190"/>
      <c r="H17" s="219">
        <f>IFERROR(__xludf.DUMMYFUNCTION("""COMPUTED_VALUE"""),45715.41666666667)</f>
        <v>45715.41667</v>
      </c>
      <c r="I17" s="219">
        <f>IFERROR(__xludf.DUMMYFUNCTION("""COMPUTED_VALUE"""),45715.41666666667)</f>
        <v>45715.41667</v>
      </c>
      <c r="J17" s="190">
        <f>IFERROR(__xludf.DUMMYFUNCTION("""COMPUTED_VALUE"""),2.5)</f>
        <v>2.5</v>
      </c>
      <c r="K17" s="190" t="str">
        <f>IFERROR(__xludf.DUMMYFUNCTION("""COMPUTED_VALUE"""),"")</f>
        <v/>
      </c>
      <c r="L17" s="190" t="str">
        <f>IFERROR(__xludf.DUMMYFUNCTION("""COMPUTED_VALUE"""),"SM")</f>
        <v>SM</v>
      </c>
      <c r="M17" s="190" t="str">
        <f>IFERROR(__xludf.DUMMYFUNCTION("""COMPUTED_VALUE"""),"CHORUS")</f>
        <v>CHORUS</v>
      </c>
      <c r="N17" s="220">
        <f>IFERROR(__xludf.DUMMYFUNCTION("""COMPUTED_VALUE"""),2.5)</f>
        <v>2.5</v>
      </c>
      <c r="O17" s="220">
        <f>IFERROR(__xludf.DUMMYFUNCTION("""COMPUTED_VALUE"""),0.0)</f>
        <v>0</v>
      </c>
      <c r="P17" s="229"/>
      <c r="Q17" s="190">
        <f t="shared" si="1"/>
        <v>1</v>
      </c>
      <c r="R17" s="211" t="s">
        <v>325</v>
      </c>
      <c r="S17" s="210" t="str">
        <f t="shared" si="2"/>
        <v>UI/UX</v>
      </c>
      <c r="T17" s="210" t="str">
        <f t="shared" si="3"/>
        <v>UI/UX, Des</v>
      </c>
      <c r="U17" s="210" t="str">
        <f t="shared" si="4"/>
        <v>CHORUS</v>
      </c>
      <c r="X17" s="210"/>
      <c r="Y17" s="210"/>
      <c r="Z17" s="210"/>
      <c r="AA17" s="210"/>
      <c r="AB17" s="210"/>
      <c r="AC17" s="210"/>
      <c r="AD17" s="210"/>
      <c r="AE17" s="210"/>
      <c r="AF17" s="210"/>
      <c r="AG17" s="210"/>
      <c r="AH17" s="210"/>
      <c r="AI17" s="210"/>
      <c r="AJ17" s="210"/>
      <c r="AK17" s="210"/>
      <c r="AL17" s="210"/>
      <c r="AM17" s="210"/>
      <c r="AN17" s="210"/>
      <c r="AO17" s="210"/>
      <c r="AP17" s="210"/>
      <c r="AQ17" s="210"/>
    </row>
    <row r="18">
      <c r="A18" s="223" t="str">
        <f>IFERROR(__xludf.DUMMYFUNCTION("""COMPUTED_VALUE"""),"247196")</f>
        <v>247196</v>
      </c>
      <c r="B18" s="190" t="str">
        <f>IFERROR(__xludf.DUMMYFUNCTION("""COMPUTED_VALUE"""),"ĐOÀN TRẦN BÁ ĐẠT")</f>
        <v>ĐOÀN TRẦN BÁ ĐẠT</v>
      </c>
      <c r="C18" s="223" t="str">
        <f>IFERROR(__xludf.DUMMYFUNCTION("""COMPUTED_VALUE"""),"EL002")</f>
        <v>EL002</v>
      </c>
      <c r="D18" s="223" t="str">
        <f>IFERROR(__xludf.DUMMYFUNCTION("""COMPUTED_VALUE"""),"Buu Do 1")</f>
        <v>Buu Do 1</v>
      </c>
      <c r="E18" s="190" t="str">
        <f>IFERROR(__xludf.DUMMYFUNCTION("""COMPUTED_VALUE"""),"Communication 1")</f>
        <v>Communication 1</v>
      </c>
      <c r="F18" s="190" t="str">
        <f>IFERROR(__xludf.DUMMYFUNCTION("""COMPUTED_VALUE"""),"Beginner")</f>
        <v>Beginner</v>
      </c>
      <c r="G18" s="190" t="str">
        <f>IFERROR(__xludf.DUMMYFUNCTION("""COMPUTED_VALUE"""),"Intermediate")</f>
        <v>Intermediate</v>
      </c>
      <c r="H18" s="219">
        <f>IFERROR(__xludf.DUMMYFUNCTION("""COMPUTED_VALUE"""),45715.41666666667)</f>
        <v>45715.41667</v>
      </c>
      <c r="I18" s="219">
        <f>IFERROR(__xludf.DUMMYFUNCTION("""COMPUTED_VALUE"""),45715.41666666667)</f>
        <v>45715.41667</v>
      </c>
      <c r="J18" s="190">
        <f>IFERROR(__xludf.DUMMYFUNCTION("""COMPUTED_VALUE"""),1.0)</f>
        <v>1</v>
      </c>
      <c r="K18" s="190">
        <f>IFERROR(__xludf.DUMMYFUNCTION("""COMPUTED_VALUE"""),4.5)</f>
        <v>4.5</v>
      </c>
      <c r="L18" s="190" t="str">
        <f>IFERROR(__xludf.DUMMYFUNCTION("""COMPUTED_VALUE"""),"DEV")</f>
        <v>DEV</v>
      </c>
      <c r="M18" s="190" t="str">
        <f>IFERROR(__xludf.DUMMYFUNCTION("""COMPUTED_VALUE"""),"CHORUS")</f>
        <v>CHORUS</v>
      </c>
      <c r="N18" s="220">
        <f>IFERROR(__xludf.DUMMYFUNCTION("""COMPUTED_VALUE"""),1.0)</f>
        <v>1</v>
      </c>
      <c r="O18" s="220">
        <f>IFERROR(__xludf.DUMMYFUNCTION("""COMPUTED_VALUE"""),4.5)</f>
        <v>4.5</v>
      </c>
      <c r="P18" s="229"/>
      <c r="Q18" s="190">
        <f t="shared" si="1"/>
        <v>1</v>
      </c>
      <c r="R18" s="211" t="s">
        <v>415</v>
      </c>
      <c r="S18" s="210" t="str">
        <f t="shared" si="2"/>
        <v>QC</v>
      </c>
      <c r="T18" s="210" t="str">
        <f t="shared" si="3"/>
        <v>QC</v>
      </c>
      <c r="U18" s="210" t="str">
        <f t="shared" si="4"/>
        <v>CHORUS</v>
      </c>
      <c r="X18" s="210"/>
      <c r="Y18" s="210"/>
      <c r="Z18" s="210"/>
      <c r="AA18" s="210"/>
      <c r="AB18" s="210"/>
      <c r="AC18" s="210"/>
      <c r="AD18" s="210"/>
      <c r="AE18" s="210"/>
      <c r="AF18" s="210"/>
      <c r="AG18" s="210"/>
      <c r="AH18" s="210"/>
      <c r="AI18" s="210"/>
      <c r="AJ18" s="210"/>
      <c r="AK18" s="210"/>
      <c r="AL18" s="210"/>
      <c r="AM18" s="210"/>
      <c r="AN18" s="210"/>
      <c r="AO18" s="210"/>
      <c r="AP18" s="210"/>
      <c r="AQ18" s="210"/>
    </row>
    <row r="19">
      <c r="A19" s="223" t="str">
        <f>IFERROR(__xludf.DUMMYFUNCTION("""COMPUTED_VALUE"""),"247200")</f>
        <v>247200</v>
      </c>
      <c r="B19" s="190" t="str">
        <f>IFERROR(__xludf.DUMMYFUNCTION("""COMPUTED_VALUE"""),"NGÔ TRỌNG NGHĨA")</f>
        <v>NGÔ TRỌNG NGHĨA</v>
      </c>
      <c r="C19" s="223" t="str">
        <f>IFERROR(__xludf.DUMMYFUNCTION("""COMPUTED_VALUE"""),"EL002")</f>
        <v>EL002</v>
      </c>
      <c r="D19" s="223" t="str">
        <f>IFERROR(__xludf.DUMMYFUNCTION("""COMPUTED_VALUE"""),"Buu Do 1")</f>
        <v>Buu Do 1</v>
      </c>
      <c r="E19" s="190" t="str">
        <f>IFERROR(__xludf.DUMMYFUNCTION("""COMPUTED_VALUE"""),"Communication 1")</f>
        <v>Communication 1</v>
      </c>
      <c r="F19" s="190" t="str">
        <f>IFERROR(__xludf.DUMMYFUNCTION("""COMPUTED_VALUE"""),"Beginner")</f>
        <v>Beginner</v>
      </c>
      <c r="G19" s="190" t="str">
        <f>IFERROR(__xludf.DUMMYFUNCTION("""COMPUTED_VALUE"""),"Pre-Intermediate 1")</f>
        <v>Pre-Intermediate 1</v>
      </c>
      <c r="H19" s="219">
        <f>IFERROR(__xludf.DUMMYFUNCTION("""COMPUTED_VALUE"""),45715.41666666667)</f>
        <v>45715.41667</v>
      </c>
      <c r="I19" s="219">
        <f>IFERROR(__xludf.DUMMYFUNCTION("""COMPUTED_VALUE"""),45715.41666666667)</f>
        <v>45715.41667</v>
      </c>
      <c r="J19" s="190">
        <f>IFERROR(__xludf.DUMMYFUNCTION("""COMPUTED_VALUE"""),1.0)</f>
        <v>1</v>
      </c>
      <c r="K19" s="190">
        <f>IFERROR(__xludf.DUMMYFUNCTION("""COMPUTED_VALUE"""),3.0)</f>
        <v>3</v>
      </c>
      <c r="L19" s="190" t="str">
        <f>IFERROR(__xludf.DUMMYFUNCTION("""COMPUTED_VALUE"""),"DEV")</f>
        <v>DEV</v>
      </c>
      <c r="M19" s="190" t="str">
        <f>IFERROR(__xludf.DUMMYFUNCTION("""COMPUTED_VALUE"""),"CHORUS")</f>
        <v>CHORUS</v>
      </c>
      <c r="N19" s="220">
        <f>IFERROR(__xludf.DUMMYFUNCTION("""COMPUTED_VALUE"""),1.0)</f>
        <v>1</v>
      </c>
      <c r="O19" s="220">
        <f>IFERROR(__xludf.DUMMYFUNCTION("""COMPUTED_VALUE"""),3.0)</f>
        <v>3</v>
      </c>
      <c r="P19" s="229"/>
      <c r="Q19" s="190">
        <f t="shared" si="1"/>
        <v>1</v>
      </c>
      <c r="R19" s="211" t="s">
        <v>461</v>
      </c>
      <c r="S19" s="210" t="str">
        <f t="shared" si="2"/>
        <v>QC</v>
      </c>
      <c r="T19" s="210" t="str">
        <f t="shared" si="3"/>
        <v>QC</v>
      </c>
      <c r="U19" s="210" t="str">
        <f t="shared" si="4"/>
        <v>LBU</v>
      </c>
      <c r="X19" s="210"/>
      <c r="Y19" s="210"/>
      <c r="Z19" s="210"/>
      <c r="AA19" s="210"/>
      <c r="AB19" s="210"/>
      <c r="AC19" s="210"/>
      <c r="AD19" s="210"/>
      <c r="AE19" s="210"/>
      <c r="AF19" s="210"/>
      <c r="AG19" s="210"/>
      <c r="AH19" s="210"/>
      <c r="AI19" s="210"/>
      <c r="AJ19" s="210"/>
      <c r="AK19" s="210"/>
      <c r="AL19" s="210"/>
      <c r="AM19" s="210"/>
      <c r="AN19" s="210"/>
      <c r="AO19" s="210"/>
      <c r="AP19" s="210"/>
      <c r="AQ19" s="210"/>
    </row>
    <row r="20">
      <c r="A20" s="223" t="str">
        <f>IFERROR(__xludf.DUMMYFUNCTION("""COMPUTED_VALUE"""),"247156")</f>
        <v>247156</v>
      </c>
      <c r="B20" s="190" t="str">
        <f>IFERROR(__xludf.DUMMYFUNCTION("""COMPUTED_VALUE"""),"NGUYỄN VĂN HOÀNG")</f>
        <v>NGUYỄN VĂN HOÀNG</v>
      </c>
      <c r="C20" s="223" t="str">
        <f>IFERROR(__xludf.DUMMYFUNCTION("""COMPUTED_VALUE"""),"EL002")</f>
        <v>EL002</v>
      </c>
      <c r="D20" s="223" t="str">
        <f>IFERROR(__xludf.DUMMYFUNCTION("""COMPUTED_VALUE"""),"Buu Do 1")</f>
        <v>Buu Do 1</v>
      </c>
      <c r="E20" s="190" t="str">
        <f>IFERROR(__xludf.DUMMYFUNCTION("""COMPUTED_VALUE"""),"Communication 1")</f>
        <v>Communication 1</v>
      </c>
      <c r="F20" s="190" t="str">
        <f>IFERROR(__xludf.DUMMYFUNCTION("""COMPUTED_VALUE"""),"Beginner")</f>
        <v>Beginner</v>
      </c>
      <c r="G20" s="190"/>
      <c r="H20" s="219">
        <f>IFERROR(__xludf.DUMMYFUNCTION("""COMPUTED_VALUE"""),45715.41666666667)</f>
        <v>45715.41667</v>
      </c>
      <c r="I20" s="219">
        <f>IFERROR(__xludf.DUMMYFUNCTION("""COMPUTED_VALUE"""),45715.41666666667)</f>
        <v>45715.41667</v>
      </c>
      <c r="J20" s="190">
        <f>IFERROR(__xludf.DUMMYFUNCTION("""COMPUTED_VALUE"""),1.0)</f>
        <v>1</v>
      </c>
      <c r="K20" s="190" t="str">
        <f>IFERROR(__xludf.DUMMYFUNCTION("""COMPUTED_VALUE"""),"")</f>
        <v/>
      </c>
      <c r="L20" s="190" t="str">
        <f>IFERROR(__xludf.DUMMYFUNCTION("""COMPUTED_VALUE"""),"TA")</f>
        <v>TA</v>
      </c>
      <c r="M20" s="190" t="str">
        <f>IFERROR(__xludf.DUMMYFUNCTION("""COMPUTED_VALUE"""),"CHORUS")</f>
        <v>CHORUS</v>
      </c>
      <c r="N20" s="220">
        <f>IFERROR(__xludf.DUMMYFUNCTION("""COMPUTED_VALUE"""),1.0)</f>
        <v>1</v>
      </c>
      <c r="O20" s="220">
        <f>IFERROR(__xludf.DUMMYFUNCTION("""COMPUTED_VALUE"""),0.0)</f>
        <v>0</v>
      </c>
      <c r="P20" s="229"/>
      <c r="Q20" s="190">
        <f t="shared" si="1"/>
        <v>1</v>
      </c>
      <c r="R20" s="211" t="s">
        <v>560</v>
      </c>
      <c r="S20" s="210" t="str">
        <f t="shared" si="2"/>
        <v>QC</v>
      </c>
      <c r="T20" s="210" t="str">
        <f t="shared" si="3"/>
        <v>QC</v>
      </c>
      <c r="U20" s="210" t="str">
        <f t="shared" si="4"/>
        <v>CHORUS</v>
      </c>
      <c r="X20" s="210"/>
      <c r="Y20" s="210"/>
      <c r="Z20" s="210"/>
      <c r="AA20" s="210"/>
      <c r="AB20" s="210"/>
      <c r="AC20" s="210"/>
      <c r="AD20" s="210"/>
      <c r="AE20" s="210"/>
      <c r="AF20" s="210"/>
      <c r="AG20" s="210"/>
      <c r="AH20" s="210"/>
      <c r="AI20" s="210"/>
      <c r="AJ20" s="210"/>
      <c r="AK20" s="210"/>
      <c r="AL20" s="210"/>
      <c r="AM20" s="210"/>
      <c r="AN20" s="210"/>
      <c r="AO20" s="210"/>
      <c r="AP20" s="210"/>
      <c r="AQ20" s="210"/>
    </row>
    <row r="21">
      <c r="A21" s="223" t="str">
        <f>IFERROR(__xludf.DUMMYFUNCTION("""COMPUTED_VALUE"""),"247192")</f>
        <v>247192</v>
      </c>
      <c r="B21" s="190" t="str">
        <f>IFERROR(__xludf.DUMMYFUNCTION("""COMPUTED_VALUE"""),"TRẦN ĐỨC LỢI")</f>
        <v>TRẦN ĐỨC LỢI</v>
      </c>
      <c r="C21" s="223" t="str">
        <f>IFERROR(__xludf.DUMMYFUNCTION("""COMPUTED_VALUE"""),"EL002")</f>
        <v>EL002</v>
      </c>
      <c r="D21" s="223" t="str">
        <f>IFERROR(__xludf.DUMMYFUNCTION("""COMPUTED_VALUE"""),"Buu Do 1")</f>
        <v>Buu Do 1</v>
      </c>
      <c r="E21" s="190" t="str">
        <f>IFERROR(__xludf.DUMMYFUNCTION("""COMPUTED_VALUE"""),"Communication 1")</f>
        <v>Communication 1</v>
      </c>
      <c r="F21" s="190" t="str">
        <f>IFERROR(__xludf.DUMMYFUNCTION("""COMPUTED_VALUE"""),"Beginner")</f>
        <v>Beginner</v>
      </c>
      <c r="G21" s="190"/>
      <c r="H21" s="219">
        <f>IFERROR(__xludf.DUMMYFUNCTION("""COMPUTED_VALUE"""),45715.41666666667)</f>
        <v>45715.41667</v>
      </c>
      <c r="I21" s="219">
        <f>IFERROR(__xludf.DUMMYFUNCTION("""COMPUTED_VALUE"""),45715.41666666667)</f>
        <v>45715.41667</v>
      </c>
      <c r="J21" s="190">
        <f>IFERROR(__xludf.DUMMYFUNCTION("""COMPUTED_VALUE"""),1.0)</f>
        <v>1</v>
      </c>
      <c r="K21" s="190" t="str">
        <f>IFERROR(__xludf.DUMMYFUNCTION("""COMPUTED_VALUE"""),"")</f>
        <v/>
      </c>
      <c r="L21" s="190" t="str">
        <f>IFERROR(__xludf.DUMMYFUNCTION("""COMPUTED_VALUE"""),"DEV")</f>
        <v>DEV</v>
      </c>
      <c r="M21" s="190" t="str">
        <f>IFERROR(__xludf.DUMMYFUNCTION("""COMPUTED_VALUE"""),"LBU")</f>
        <v>LBU</v>
      </c>
      <c r="N21" s="220">
        <f>IFERROR(__xludf.DUMMYFUNCTION("""COMPUTED_VALUE"""),1.0)</f>
        <v>1</v>
      </c>
      <c r="O21" s="220">
        <f>IFERROR(__xludf.DUMMYFUNCTION("""COMPUTED_VALUE"""),0.0)</f>
        <v>0</v>
      </c>
      <c r="P21" s="220"/>
      <c r="Q21" s="190">
        <f t="shared" si="1"/>
        <v>1</v>
      </c>
      <c r="R21" s="211" t="s">
        <v>399</v>
      </c>
      <c r="S21" s="210" t="str">
        <f t="shared" si="2"/>
        <v>UI/UX</v>
      </c>
      <c r="T21" s="210" t="str">
        <f t="shared" si="3"/>
        <v>UI/UX, Des</v>
      </c>
      <c r="U21" s="210" t="str">
        <f t="shared" si="4"/>
        <v>LBU</v>
      </c>
      <c r="X21" s="210"/>
      <c r="Y21" s="210"/>
      <c r="Z21" s="210"/>
      <c r="AA21" s="210"/>
      <c r="AB21" s="210"/>
      <c r="AC21" s="210"/>
      <c r="AD21" s="210"/>
      <c r="AE21" s="210"/>
      <c r="AF21" s="210"/>
      <c r="AG21" s="210"/>
      <c r="AH21" s="210"/>
      <c r="AI21" s="210"/>
      <c r="AJ21" s="210"/>
      <c r="AK21" s="210"/>
      <c r="AL21" s="210"/>
      <c r="AM21" s="210"/>
      <c r="AN21" s="210"/>
      <c r="AO21" s="210"/>
      <c r="AP21" s="210"/>
      <c r="AQ21" s="210"/>
    </row>
    <row r="22">
      <c r="A22" s="223" t="str">
        <f>IFERROR(__xludf.DUMMYFUNCTION("""COMPUTED_VALUE"""),"247195")</f>
        <v>247195</v>
      </c>
      <c r="B22" s="190" t="str">
        <f>IFERROR(__xludf.DUMMYFUNCTION("""COMPUTED_VALUE"""),"TRƯƠNG ĐĂNG QUANG")</f>
        <v>TRƯƠNG ĐĂNG QUANG</v>
      </c>
      <c r="C22" s="223" t="str">
        <f>IFERROR(__xludf.DUMMYFUNCTION("""COMPUTED_VALUE"""),"EL002")</f>
        <v>EL002</v>
      </c>
      <c r="D22" s="223" t="str">
        <f>IFERROR(__xludf.DUMMYFUNCTION("""COMPUTED_VALUE"""),"Buu Do 1")</f>
        <v>Buu Do 1</v>
      </c>
      <c r="E22" s="190" t="str">
        <f>IFERROR(__xludf.DUMMYFUNCTION("""COMPUTED_VALUE"""),"Communication 1")</f>
        <v>Communication 1</v>
      </c>
      <c r="F22" s="190" t="str">
        <f>IFERROR(__xludf.DUMMYFUNCTION("""COMPUTED_VALUE"""),"Beginner")</f>
        <v>Beginner</v>
      </c>
      <c r="G22" s="190" t="str">
        <f>IFERROR(__xludf.DUMMYFUNCTION("""COMPUTED_VALUE"""),"Pre-Intermediate 1")</f>
        <v>Pre-Intermediate 1</v>
      </c>
      <c r="H22" s="219">
        <f>IFERROR(__xludf.DUMMYFUNCTION("""COMPUTED_VALUE"""),45715.41666666667)</f>
        <v>45715.41667</v>
      </c>
      <c r="I22" s="219">
        <f>IFERROR(__xludf.DUMMYFUNCTION("""COMPUTED_VALUE"""),45715.41666666667)</f>
        <v>45715.41667</v>
      </c>
      <c r="J22" s="190">
        <f>IFERROR(__xludf.DUMMYFUNCTION("""COMPUTED_VALUE"""),1.0)</f>
        <v>1</v>
      </c>
      <c r="K22" s="190">
        <f>IFERROR(__xludf.DUMMYFUNCTION("""COMPUTED_VALUE"""),3.0)</f>
        <v>3</v>
      </c>
      <c r="L22" s="190" t="str">
        <f>IFERROR(__xludf.DUMMYFUNCTION("""COMPUTED_VALUE"""),"DEV")</f>
        <v>DEV</v>
      </c>
      <c r="M22" s="190" t="str">
        <f>IFERROR(__xludf.DUMMYFUNCTION("""COMPUTED_VALUE"""),"CHORUS")</f>
        <v>CHORUS</v>
      </c>
      <c r="N22" s="220">
        <f>IFERROR(__xludf.DUMMYFUNCTION("""COMPUTED_VALUE"""),1.0)</f>
        <v>1</v>
      </c>
      <c r="O22" s="220">
        <f>IFERROR(__xludf.DUMMYFUNCTION("""COMPUTED_VALUE"""),3.0)</f>
        <v>3</v>
      </c>
      <c r="P22" s="229"/>
      <c r="Q22" s="190">
        <f t="shared" si="1"/>
        <v>1</v>
      </c>
      <c r="R22" s="211" t="s">
        <v>510</v>
      </c>
      <c r="S22" s="210" t="str">
        <f t="shared" si="2"/>
        <v>DEV</v>
      </c>
      <c r="T22" s="210" t="str">
        <f t="shared" si="3"/>
        <v>DEV, TA</v>
      </c>
      <c r="U22" s="210" t="str">
        <f t="shared" si="4"/>
        <v>ONC</v>
      </c>
      <c r="X22" s="210"/>
      <c r="Y22" s="210"/>
      <c r="Z22" s="210"/>
      <c r="AA22" s="210"/>
      <c r="AB22" s="210"/>
      <c r="AC22" s="210"/>
      <c r="AD22" s="210"/>
      <c r="AE22" s="210"/>
      <c r="AF22" s="210"/>
      <c r="AG22" s="210"/>
      <c r="AH22" s="210"/>
      <c r="AI22" s="210"/>
      <c r="AJ22" s="210"/>
      <c r="AK22" s="210"/>
      <c r="AL22" s="210"/>
      <c r="AM22" s="210"/>
      <c r="AN22" s="210"/>
      <c r="AO22" s="210"/>
      <c r="AP22" s="210"/>
      <c r="AQ22" s="210"/>
    </row>
    <row r="23">
      <c r="A23" s="223" t="str">
        <f>IFERROR(__xludf.DUMMYFUNCTION("""COMPUTED_VALUE"""),"193547")</f>
        <v>193547</v>
      </c>
      <c r="B23" s="190" t="str">
        <f>IFERROR(__xludf.DUMMYFUNCTION("""COMPUTED_VALUE"""),"VĂN TÂN LỢI")</f>
        <v>VĂN TÂN LỢI</v>
      </c>
      <c r="C23" s="223" t="str">
        <f>IFERROR(__xludf.DUMMYFUNCTION("""COMPUTED_VALUE"""),"EL002")</f>
        <v>EL002</v>
      </c>
      <c r="D23" s="223" t="str">
        <f>IFERROR(__xludf.DUMMYFUNCTION("""COMPUTED_VALUE"""),"Buu Do 1")</f>
        <v>Buu Do 1</v>
      </c>
      <c r="E23" s="190" t="str">
        <f>IFERROR(__xludf.DUMMYFUNCTION("""COMPUTED_VALUE"""),"Communication 1")</f>
        <v>Communication 1</v>
      </c>
      <c r="F23" s="190" t="str">
        <f>IFERROR(__xludf.DUMMYFUNCTION("""COMPUTED_VALUE"""),"Beginner")</f>
        <v>Beginner</v>
      </c>
      <c r="G23" s="190" t="str">
        <f>IFERROR(__xludf.DUMMYFUNCTION("""COMPUTED_VALUE"""),"Pre-Intermediate 1")</f>
        <v>Pre-Intermediate 1</v>
      </c>
      <c r="H23" s="219">
        <f>IFERROR(__xludf.DUMMYFUNCTION("""COMPUTED_VALUE"""),45715.41666666667)</f>
        <v>45715.41667</v>
      </c>
      <c r="I23" s="219">
        <f>IFERROR(__xludf.DUMMYFUNCTION("""COMPUTED_VALUE"""),45715.41666666667)</f>
        <v>45715.41667</v>
      </c>
      <c r="J23" s="190">
        <f>IFERROR(__xludf.DUMMYFUNCTION("""COMPUTED_VALUE"""),1.0)</f>
        <v>1</v>
      </c>
      <c r="K23" s="190">
        <f>IFERROR(__xludf.DUMMYFUNCTION("""COMPUTED_VALUE"""),3.0)</f>
        <v>3</v>
      </c>
      <c r="L23" s="190" t="str">
        <f>IFERROR(__xludf.DUMMYFUNCTION("""COMPUTED_VALUE"""),"DEV")</f>
        <v>DEV</v>
      </c>
      <c r="M23" s="190" t="str">
        <f>IFERROR(__xludf.DUMMYFUNCTION("""COMPUTED_VALUE"""),"CHORUS")</f>
        <v>CHORUS</v>
      </c>
      <c r="N23" s="220">
        <f>IFERROR(__xludf.DUMMYFUNCTION("""COMPUTED_VALUE"""),1.0)</f>
        <v>1</v>
      </c>
      <c r="O23" s="220">
        <f>IFERROR(__xludf.DUMMYFUNCTION("""COMPUTED_VALUE"""),3.0)</f>
        <v>3</v>
      </c>
      <c r="P23" s="229"/>
      <c r="Q23" s="190">
        <f t="shared" si="1"/>
        <v>1</v>
      </c>
      <c r="R23" s="211" t="s">
        <v>144</v>
      </c>
      <c r="S23" s="210" t="str">
        <f t="shared" si="2"/>
        <v>DEV</v>
      </c>
      <c r="T23" s="210" t="str">
        <f t="shared" si="3"/>
        <v>DEV, TA</v>
      </c>
      <c r="U23" s="210" t="str">
        <f t="shared" si="4"/>
        <v>ONC</v>
      </c>
      <c r="X23" s="210"/>
      <c r="Y23" s="210"/>
      <c r="Z23" s="210"/>
      <c r="AA23" s="210"/>
      <c r="AB23" s="210"/>
      <c r="AC23" s="210"/>
      <c r="AD23" s="210"/>
      <c r="AE23" s="210"/>
      <c r="AF23" s="210"/>
      <c r="AG23" s="210"/>
      <c r="AH23" s="210"/>
      <c r="AI23" s="210"/>
      <c r="AJ23" s="210"/>
      <c r="AK23" s="210"/>
      <c r="AL23" s="210"/>
      <c r="AM23" s="210"/>
      <c r="AN23" s="210"/>
      <c r="AO23" s="210"/>
      <c r="AP23" s="210"/>
      <c r="AQ23" s="210"/>
    </row>
    <row r="24">
      <c r="A24" s="223" t="str">
        <f>IFERROR(__xludf.DUMMYFUNCTION("""COMPUTED_VALUE"""),"247199")</f>
        <v>247199</v>
      </c>
      <c r="B24" s="190" t="str">
        <f>IFERROR(__xludf.DUMMYFUNCTION("""COMPUTED_VALUE"""),"VÕ PHÚ PHÁT")</f>
        <v>VÕ PHÚ PHÁT</v>
      </c>
      <c r="C24" s="223" t="str">
        <f>IFERROR(__xludf.DUMMYFUNCTION("""COMPUTED_VALUE"""),"EL002")</f>
        <v>EL002</v>
      </c>
      <c r="D24" s="223" t="str">
        <f>IFERROR(__xludf.DUMMYFUNCTION("""COMPUTED_VALUE"""),"Buu Do 1")</f>
        <v>Buu Do 1</v>
      </c>
      <c r="E24" s="190" t="str">
        <f>IFERROR(__xludf.DUMMYFUNCTION("""COMPUTED_VALUE"""),"Communication 1")</f>
        <v>Communication 1</v>
      </c>
      <c r="F24" s="190" t="str">
        <f>IFERROR(__xludf.DUMMYFUNCTION("""COMPUTED_VALUE"""),"Beginner")</f>
        <v>Beginner</v>
      </c>
      <c r="G24" s="190" t="str">
        <f>IFERROR(__xludf.DUMMYFUNCTION("""COMPUTED_VALUE"""),"Pre-Intermediate 2")</f>
        <v>Pre-Intermediate 2</v>
      </c>
      <c r="H24" s="219">
        <f>IFERROR(__xludf.DUMMYFUNCTION("""COMPUTED_VALUE"""),45715.41666666667)</f>
        <v>45715.41667</v>
      </c>
      <c r="I24" s="219">
        <f>IFERROR(__xludf.DUMMYFUNCTION("""COMPUTED_VALUE"""),45715.41666666667)</f>
        <v>45715.41667</v>
      </c>
      <c r="J24" s="190">
        <f>IFERROR(__xludf.DUMMYFUNCTION("""COMPUTED_VALUE"""),1.0)</f>
        <v>1</v>
      </c>
      <c r="K24" s="190">
        <f>IFERROR(__xludf.DUMMYFUNCTION("""COMPUTED_VALUE"""),3.5)</f>
        <v>3.5</v>
      </c>
      <c r="L24" s="190" t="str">
        <f>IFERROR(__xludf.DUMMYFUNCTION("""COMPUTED_VALUE"""),"DEV")</f>
        <v>DEV</v>
      </c>
      <c r="M24" s="190" t="str">
        <f>IFERROR(__xludf.DUMMYFUNCTION("""COMPUTED_VALUE"""),"CHORUS")</f>
        <v>CHORUS</v>
      </c>
      <c r="N24" s="220">
        <f>IFERROR(__xludf.DUMMYFUNCTION("""COMPUTED_VALUE"""),1.0)</f>
        <v>1</v>
      </c>
      <c r="O24" s="220">
        <f>IFERROR(__xludf.DUMMYFUNCTION("""COMPUTED_VALUE"""),3.5)</f>
        <v>3.5</v>
      </c>
      <c r="P24" s="229"/>
      <c r="Q24" s="190">
        <f t="shared" si="1"/>
        <v>1</v>
      </c>
      <c r="R24" s="211" t="s">
        <v>155</v>
      </c>
      <c r="S24" s="210" t="str">
        <f t="shared" si="2"/>
        <v>DEV</v>
      </c>
      <c r="T24" s="210" t="str">
        <f t="shared" si="3"/>
        <v>DEV, TA</v>
      </c>
      <c r="U24" s="210" t="str">
        <f t="shared" si="4"/>
        <v>ONC</v>
      </c>
      <c r="X24" s="210"/>
      <c r="Y24" s="210"/>
      <c r="Z24" s="210"/>
      <c r="AA24" s="210"/>
      <c r="AB24" s="210"/>
      <c r="AC24" s="210"/>
      <c r="AD24" s="210"/>
      <c r="AE24" s="210"/>
      <c r="AF24" s="210"/>
      <c r="AG24" s="210"/>
      <c r="AH24" s="210"/>
      <c r="AI24" s="210"/>
      <c r="AJ24" s="210"/>
      <c r="AK24" s="210"/>
      <c r="AL24" s="210"/>
      <c r="AM24" s="210"/>
      <c r="AN24" s="210"/>
      <c r="AO24" s="210"/>
      <c r="AP24" s="210"/>
      <c r="AQ24" s="210"/>
    </row>
    <row r="25">
      <c r="A25" s="218" t="str">
        <f>IFERROR(__xludf.DUMMYFUNCTION("""COMPUTED_VALUE"""),"247405")</f>
        <v>247405</v>
      </c>
      <c r="B25" s="217" t="str">
        <f>IFERROR(__xludf.DUMMYFUNCTION("""COMPUTED_VALUE"""),"PHẠM LÊ HOÀI PHƯƠNG")</f>
        <v>PHẠM LÊ HOÀI PHƯƠNG</v>
      </c>
      <c r="C25" s="218" t="str">
        <f>IFERROR(__xludf.DUMMYFUNCTION("""COMPUTED_VALUE"""),"EL003")</f>
        <v>EL003</v>
      </c>
      <c r="D25" s="218" t="str">
        <f>IFERROR(__xludf.DUMMYFUNCTION("""COMPUTED_VALUE"""),"Buu Do 2")</f>
        <v>Buu Do 2</v>
      </c>
      <c r="E25" s="217" t="str">
        <f>IFERROR(__xludf.DUMMYFUNCTION("""COMPUTED_VALUE"""),"Communication 1")</f>
        <v>Communication 1</v>
      </c>
      <c r="F25" s="190" t="str">
        <f>IFERROR(__xludf.DUMMYFUNCTION("""COMPUTED_VALUE"""),"Beginner")</f>
        <v>Beginner</v>
      </c>
      <c r="G25" s="190" t="str">
        <f>IFERROR(__xludf.DUMMYFUNCTION("""COMPUTED_VALUE"""),"Pre-Intermediate 1")</f>
        <v>Pre-Intermediate 1</v>
      </c>
      <c r="H25" s="219">
        <f>IFERROR(__xludf.DUMMYFUNCTION("""COMPUTED_VALUE"""),45715.45833333333)</f>
        <v>45715.45833</v>
      </c>
      <c r="I25" s="219">
        <f>IFERROR(__xludf.DUMMYFUNCTION("""COMPUTED_VALUE"""),45715.45833333333)</f>
        <v>45715.45833</v>
      </c>
      <c r="J25" s="190">
        <f>IFERROR(__xludf.DUMMYFUNCTION("""COMPUTED_VALUE"""),1.0)</f>
        <v>1</v>
      </c>
      <c r="K25" s="190">
        <f>IFERROR(__xludf.DUMMYFUNCTION("""COMPUTED_VALUE"""),3.0)</f>
        <v>3</v>
      </c>
      <c r="L25" s="190" t="str">
        <f>IFERROR(__xludf.DUMMYFUNCTION("""COMPUTED_VALUE"""),"QC")</f>
        <v>QC</v>
      </c>
      <c r="M25" s="190" t="str">
        <f>IFERROR(__xludf.DUMMYFUNCTION("""COMPUTED_VALUE"""),"LBU")</f>
        <v>LBU</v>
      </c>
      <c r="N25" s="220">
        <f>IFERROR(__xludf.DUMMYFUNCTION("""COMPUTED_VALUE"""),1.0)</f>
        <v>1</v>
      </c>
      <c r="O25" s="220">
        <f>IFERROR(__xludf.DUMMYFUNCTION("""COMPUTED_VALUE"""),3.0)</f>
        <v>3</v>
      </c>
      <c r="P25" s="220"/>
      <c r="Q25" s="190">
        <f t="shared" si="1"/>
        <v>1</v>
      </c>
      <c r="R25" s="211" t="s">
        <v>226</v>
      </c>
      <c r="S25" s="210" t="str">
        <f t="shared" si="2"/>
        <v>DEV</v>
      </c>
      <c r="T25" s="210" t="str">
        <f t="shared" si="3"/>
        <v>DEV, TA</v>
      </c>
      <c r="U25" s="210" t="str">
        <f t="shared" si="4"/>
        <v>ONC</v>
      </c>
      <c r="X25" s="210"/>
      <c r="Y25" s="210"/>
      <c r="Z25" s="210"/>
      <c r="AA25" s="210"/>
      <c r="AB25" s="210"/>
      <c r="AC25" s="210"/>
      <c r="AD25" s="210"/>
      <c r="AE25" s="210"/>
      <c r="AF25" s="210"/>
      <c r="AG25" s="210"/>
      <c r="AH25" s="210"/>
      <c r="AI25" s="210"/>
      <c r="AJ25" s="210"/>
      <c r="AK25" s="210"/>
      <c r="AL25" s="210"/>
      <c r="AM25" s="210"/>
      <c r="AN25" s="210"/>
      <c r="AO25" s="210"/>
      <c r="AP25" s="210"/>
      <c r="AQ25" s="210"/>
    </row>
    <row r="26">
      <c r="A26" s="223" t="str">
        <f>IFERROR(__xludf.DUMMYFUNCTION("""COMPUTED_VALUE"""),"247265")</f>
        <v>247265</v>
      </c>
      <c r="B26" s="190" t="str">
        <f>IFERROR(__xludf.DUMMYFUNCTION("""COMPUTED_VALUE"""),"NGÔ THỤY THANH NHƯ")</f>
        <v>NGÔ THỤY THANH NHƯ</v>
      </c>
      <c r="C26" s="223" t="str">
        <f>IFERROR(__xludf.DUMMYFUNCTION("""COMPUTED_VALUE"""),"EL003")</f>
        <v>EL003</v>
      </c>
      <c r="D26" s="223" t="str">
        <f>IFERROR(__xludf.DUMMYFUNCTION("""COMPUTED_VALUE"""),"Buu Do 2")</f>
        <v>Buu Do 2</v>
      </c>
      <c r="E26" s="190" t="str">
        <f>IFERROR(__xludf.DUMMYFUNCTION("""COMPUTED_VALUE"""),"Communication 1")</f>
        <v>Communication 1</v>
      </c>
      <c r="F26" s="190" t="str">
        <f>IFERROR(__xludf.DUMMYFUNCTION("""COMPUTED_VALUE"""),"Beginner")</f>
        <v>Beginner</v>
      </c>
      <c r="G26" s="190" t="str">
        <f>IFERROR(__xludf.DUMMYFUNCTION("""COMPUTED_VALUE"""),"Beginner")</f>
        <v>Beginner</v>
      </c>
      <c r="H26" s="219">
        <f>IFERROR(__xludf.DUMMYFUNCTION("""COMPUTED_VALUE"""),45715.45833333333)</f>
        <v>45715.45833</v>
      </c>
      <c r="I26" s="219">
        <f>IFERROR(__xludf.DUMMYFUNCTION("""COMPUTED_VALUE"""),45715.45833333333)</f>
        <v>45715.45833</v>
      </c>
      <c r="J26" s="190">
        <f>IFERROR(__xludf.DUMMYFUNCTION("""COMPUTED_VALUE"""),1.0)</f>
        <v>1</v>
      </c>
      <c r="K26" s="190">
        <f>IFERROR(__xludf.DUMMYFUNCTION("""COMPUTED_VALUE"""),1.0)</f>
        <v>1</v>
      </c>
      <c r="L26" s="190" t="str">
        <f>IFERROR(__xludf.DUMMYFUNCTION("""COMPUTED_VALUE"""),"UI/UX")</f>
        <v>UI/UX</v>
      </c>
      <c r="M26" s="190" t="str">
        <f>IFERROR(__xludf.DUMMYFUNCTION("""COMPUTED_VALUE"""),"CHORUS")</f>
        <v>CHORUS</v>
      </c>
      <c r="N26" s="220">
        <f>IFERROR(__xludf.DUMMYFUNCTION("""COMPUTED_VALUE"""),1.0)</f>
        <v>1</v>
      </c>
      <c r="O26" s="220">
        <f>IFERROR(__xludf.DUMMYFUNCTION("""COMPUTED_VALUE"""),3.5)</f>
        <v>3.5</v>
      </c>
      <c r="P26" s="229"/>
      <c r="Q26" s="190">
        <f t="shared" si="1"/>
        <v>1</v>
      </c>
      <c r="R26" s="211" t="s">
        <v>245</v>
      </c>
      <c r="S26" s="210" t="str">
        <f t="shared" si="2"/>
        <v>DEV</v>
      </c>
      <c r="T26" s="210" t="str">
        <f t="shared" si="3"/>
        <v>DEV, TA</v>
      </c>
      <c r="U26" s="210" t="str">
        <f t="shared" si="4"/>
        <v>ONC</v>
      </c>
      <c r="X26" s="210"/>
      <c r="Y26" s="210"/>
      <c r="Z26" s="210"/>
      <c r="AA26" s="210"/>
      <c r="AB26" s="210"/>
      <c r="AC26" s="210"/>
      <c r="AD26" s="210"/>
      <c r="AE26" s="210"/>
      <c r="AF26" s="210"/>
      <c r="AG26" s="210"/>
      <c r="AH26" s="210"/>
      <c r="AI26" s="210"/>
      <c r="AJ26" s="210"/>
      <c r="AK26" s="210"/>
      <c r="AL26" s="210"/>
      <c r="AM26" s="210"/>
      <c r="AN26" s="210"/>
      <c r="AO26" s="210"/>
      <c r="AP26" s="210"/>
      <c r="AQ26" s="210"/>
    </row>
    <row r="27">
      <c r="A27" s="223" t="str">
        <f>IFERROR(__xludf.DUMMYFUNCTION("""COMPUTED_VALUE"""),"247264")</f>
        <v>247264</v>
      </c>
      <c r="B27" s="190" t="str">
        <f>IFERROR(__xludf.DUMMYFUNCTION("""COMPUTED_VALUE"""),"NGUYỄN NGỌC NGUYỆT NGÂN")</f>
        <v>NGUYỄN NGỌC NGUYỆT NGÂN</v>
      </c>
      <c r="C27" s="223" t="str">
        <f>IFERROR(__xludf.DUMMYFUNCTION("""COMPUTED_VALUE"""),"EL003")</f>
        <v>EL003</v>
      </c>
      <c r="D27" s="223" t="str">
        <f>IFERROR(__xludf.DUMMYFUNCTION("""COMPUTED_VALUE"""),"Buu Do 2")</f>
        <v>Buu Do 2</v>
      </c>
      <c r="E27" s="190" t="str">
        <f>IFERROR(__xludf.DUMMYFUNCTION("""COMPUTED_VALUE"""),"Communication 1")</f>
        <v>Communication 1</v>
      </c>
      <c r="F27" s="190" t="str">
        <f>IFERROR(__xludf.DUMMYFUNCTION("""COMPUTED_VALUE"""),"Beginner")</f>
        <v>Beginner</v>
      </c>
      <c r="G27" s="190" t="str">
        <f>IFERROR(__xludf.DUMMYFUNCTION("""COMPUTED_VALUE"""),"Beginner")</f>
        <v>Beginner</v>
      </c>
      <c r="H27" s="219">
        <f>IFERROR(__xludf.DUMMYFUNCTION("""COMPUTED_VALUE"""),45715.45833333333)</f>
        <v>45715.45833</v>
      </c>
      <c r="I27" s="219">
        <f>IFERROR(__xludf.DUMMYFUNCTION("""COMPUTED_VALUE"""),45715.45833333333)</f>
        <v>45715.45833</v>
      </c>
      <c r="J27" s="190">
        <f>IFERROR(__xludf.DUMMYFUNCTION("""COMPUTED_VALUE"""),1.0)</f>
        <v>1</v>
      </c>
      <c r="K27" s="190">
        <f>IFERROR(__xludf.DUMMYFUNCTION("""COMPUTED_VALUE"""),1.0)</f>
        <v>1</v>
      </c>
      <c r="L27" s="190" t="str">
        <f>IFERROR(__xludf.DUMMYFUNCTION("""COMPUTED_VALUE"""),"QC")</f>
        <v>QC</v>
      </c>
      <c r="M27" s="190" t="str">
        <f>IFERROR(__xludf.DUMMYFUNCTION("""COMPUTED_VALUE"""),"CHORUS")</f>
        <v>CHORUS</v>
      </c>
      <c r="N27" s="220">
        <f>IFERROR(__xludf.DUMMYFUNCTION("""COMPUTED_VALUE"""),1.0)</f>
        <v>1</v>
      </c>
      <c r="O27" s="220">
        <f>IFERROR(__xludf.DUMMYFUNCTION("""COMPUTED_VALUE"""),1.0)</f>
        <v>1</v>
      </c>
      <c r="P27" s="229"/>
      <c r="Q27" s="190">
        <f t="shared" si="1"/>
        <v>1</v>
      </c>
      <c r="R27" s="211" t="s">
        <v>352</v>
      </c>
      <c r="S27" s="210" t="str">
        <f t="shared" si="2"/>
        <v>DEV</v>
      </c>
      <c r="T27" s="210" t="str">
        <f t="shared" si="3"/>
        <v>DEV, TA</v>
      </c>
      <c r="U27" s="210" t="str">
        <f t="shared" si="4"/>
        <v>ONC</v>
      </c>
      <c r="X27" s="210"/>
      <c r="Y27" s="210"/>
      <c r="Z27" s="210"/>
      <c r="AA27" s="210"/>
      <c r="AB27" s="210"/>
      <c r="AC27" s="210"/>
      <c r="AD27" s="210"/>
      <c r="AE27" s="210"/>
      <c r="AF27" s="210"/>
      <c r="AG27" s="210"/>
      <c r="AH27" s="210"/>
      <c r="AI27" s="210"/>
      <c r="AJ27" s="210"/>
      <c r="AK27" s="210"/>
      <c r="AL27" s="210"/>
      <c r="AM27" s="210"/>
      <c r="AN27" s="210"/>
      <c r="AO27" s="210"/>
      <c r="AP27" s="210"/>
      <c r="AQ27" s="210"/>
    </row>
    <row r="28">
      <c r="A28" s="223" t="str">
        <f>IFERROR(__xludf.DUMMYFUNCTION("""COMPUTED_VALUE"""),"247415")</f>
        <v>247415</v>
      </c>
      <c r="B28" s="190" t="str">
        <f>IFERROR(__xludf.DUMMYFUNCTION("""COMPUTED_VALUE"""),"NGUYỄN THỊ HIỀN NI")</f>
        <v>NGUYỄN THỊ HIỀN NI</v>
      </c>
      <c r="C28" s="223" t="str">
        <f>IFERROR(__xludf.DUMMYFUNCTION("""COMPUTED_VALUE"""),"EL003")</f>
        <v>EL003</v>
      </c>
      <c r="D28" s="223" t="str">
        <f>IFERROR(__xludf.DUMMYFUNCTION("""COMPUTED_VALUE"""),"Buu Do 2")</f>
        <v>Buu Do 2</v>
      </c>
      <c r="E28" s="190" t="str">
        <f>IFERROR(__xludf.DUMMYFUNCTION("""COMPUTED_VALUE"""),"Communication 1")</f>
        <v>Communication 1</v>
      </c>
      <c r="F28" s="190" t="str">
        <f>IFERROR(__xludf.DUMMYFUNCTION("""COMPUTED_VALUE"""),"Beginner")</f>
        <v>Beginner</v>
      </c>
      <c r="G28" s="190" t="str">
        <f>IFERROR(__xludf.DUMMYFUNCTION("""COMPUTED_VALUE"""),"Beginner")</f>
        <v>Beginner</v>
      </c>
      <c r="H28" s="219">
        <f>IFERROR(__xludf.DUMMYFUNCTION("""COMPUTED_VALUE"""),45715.45833333333)</f>
        <v>45715.45833</v>
      </c>
      <c r="I28" s="219">
        <f>IFERROR(__xludf.DUMMYFUNCTION("""COMPUTED_VALUE"""),45715.45833333333)</f>
        <v>45715.45833</v>
      </c>
      <c r="J28" s="190">
        <f>IFERROR(__xludf.DUMMYFUNCTION("""COMPUTED_VALUE"""),1.0)</f>
        <v>1</v>
      </c>
      <c r="K28" s="190">
        <f>IFERROR(__xludf.DUMMYFUNCTION("""COMPUTED_VALUE"""),1.0)</f>
        <v>1</v>
      </c>
      <c r="L28" s="190" t="str">
        <f>IFERROR(__xludf.DUMMYFUNCTION("""COMPUTED_VALUE"""),"QC")</f>
        <v>QC</v>
      </c>
      <c r="M28" s="190" t="str">
        <f>IFERROR(__xludf.DUMMYFUNCTION("""COMPUTED_VALUE"""),"LBU")</f>
        <v>LBU</v>
      </c>
      <c r="N28" s="220">
        <f>IFERROR(__xludf.DUMMYFUNCTION("""COMPUTED_VALUE"""),1.0)</f>
        <v>1</v>
      </c>
      <c r="O28" s="220">
        <f>IFERROR(__xludf.DUMMYFUNCTION("""COMPUTED_VALUE"""),3.5)</f>
        <v>3.5</v>
      </c>
      <c r="P28" s="220"/>
      <c r="Q28" s="190">
        <f t="shared" si="1"/>
        <v>1</v>
      </c>
      <c r="R28" s="211" t="s">
        <v>553</v>
      </c>
      <c r="S28" s="210" t="str">
        <f t="shared" si="2"/>
        <v>DEV</v>
      </c>
      <c r="T28" s="210" t="str">
        <f t="shared" si="3"/>
        <v>DEV, TA</v>
      </c>
      <c r="U28" s="210" t="str">
        <f t="shared" si="4"/>
        <v>ONC</v>
      </c>
      <c r="X28" s="210"/>
      <c r="Y28" s="210"/>
      <c r="Z28" s="210"/>
      <c r="AA28" s="210"/>
      <c r="AB28" s="210"/>
      <c r="AC28" s="210"/>
      <c r="AD28" s="210"/>
      <c r="AE28" s="210"/>
      <c r="AF28" s="210"/>
      <c r="AG28" s="210"/>
      <c r="AH28" s="210"/>
      <c r="AI28" s="210"/>
      <c r="AJ28" s="210"/>
      <c r="AK28" s="210"/>
      <c r="AL28" s="210"/>
      <c r="AM28" s="210"/>
      <c r="AN28" s="210"/>
      <c r="AO28" s="210"/>
      <c r="AP28" s="210"/>
      <c r="AQ28" s="210"/>
    </row>
    <row r="29">
      <c r="A29" s="223" t="str">
        <f>IFERROR(__xludf.DUMMYFUNCTION("""COMPUTED_VALUE"""),"247360")</f>
        <v>247360</v>
      </c>
      <c r="B29" s="190" t="str">
        <f>IFERROR(__xludf.DUMMYFUNCTION("""COMPUTED_VALUE"""),"PHAN HỮU CƯỜNG")</f>
        <v>PHAN HỮU CƯỜNG</v>
      </c>
      <c r="C29" s="223" t="str">
        <f>IFERROR(__xludf.DUMMYFUNCTION("""COMPUTED_VALUE"""),"EL003")</f>
        <v>EL003</v>
      </c>
      <c r="D29" s="223" t="str">
        <f>IFERROR(__xludf.DUMMYFUNCTION("""COMPUTED_VALUE"""),"Buu Do 2")</f>
        <v>Buu Do 2</v>
      </c>
      <c r="E29" s="190" t="str">
        <f>IFERROR(__xludf.DUMMYFUNCTION("""COMPUTED_VALUE"""),"Communication 1")</f>
        <v>Communication 1</v>
      </c>
      <c r="F29" s="190" t="str">
        <f>IFERROR(__xludf.DUMMYFUNCTION("""COMPUTED_VALUE"""),"Beginner")</f>
        <v>Beginner</v>
      </c>
      <c r="G29" s="190" t="str">
        <f>IFERROR(__xludf.DUMMYFUNCTION("""COMPUTED_VALUE"""),"Beginner")</f>
        <v>Beginner</v>
      </c>
      <c r="H29" s="219">
        <f>IFERROR(__xludf.DUMMYFUNCTION("""COMPUTED_VALUE"""),45715.45833333333)</f>
        <v>45715.45833</v>
      </c>
      <c r="I29" s="219">
        <f>IFERROR(__xludf.DUMMYFUNCTION("""COMPUTED_VALUE"""),45715.45833333333)</f>
        <v>45715.45833</v>
      </c>
      <c r="J29" s="190">
        <f>IFERROR(__xludf.DUMMYFUNCTION("""COMPUTED_VALUE"""),1.0)</f>
        <v>1</v>
      </c>
      <c r="K29" s="190">
        <f>IFERROR(__xludf.DUMMYFUNCTION("""COMPUTED_VALUE"""),1.0)</f>
        <v>1</v>
      </c>
      <c r="L29" s="190" t="str">
        <f>IFERROR(__xludf.DUMMYFUNCTION("""COMPUTED_VALUE"""),"QC")</f>
        <v>QC</v>
      </c>
      <c r="M29" s="190" t="str">
        <f>IFERROR(__xludf.DUMMYFUNCTION("""COMPUTED_VALUE"""),"CHORUS")</f>
        <v>CHORUS</v>
      </c>
      <c r="N29" s="220">
        <f>IFERROR(__xludf.DUMMYFUNCTION("""COMPUTED_VALUE"""),1.0)</f>
        <v>1</v>
      </c>
      <c r="O29" s="220">
        <f>IFERROR(__xludf.DUMMYFUNCTION("""COMPUTED_VALUE"""),1.0)</f>
        <v>1</v>
      </c>
      <c r="P29" s="229"/>
      <c r="Q29" s="190">
        <f t="shared" si="1"/>
        <v>1</v>
      </c>
      <c r="R29" s="211" t="s">
        <v>617</v>
      </c>
      <c r="S29" s="210" t="str">
        <f t="shared" si="2"/>
        <v>DEV</v>
      </c>
      <c r="T29" s="210" t="str">
        <f t="shared" si="3"/>
        <v>DEV, TA</v>
      </c>
      <c r="U29" s="210" t="str">
        <f t="shared" si="4"/>
        <v>ONC</v>
      </c>
      <c r="X29" s="210"/>
      <c r="Y29" s="210"/>
      <c r="Z29" s="210"/>
      <c r="AA29" s="210"/>
      <c r="AB29" s="210"/>
      <c r="AC29" s="210"/>
      <c r="AD29" s="210"/>
      <c r="AE29" s="210"/>
      <c r="AF29" s="210"/>
      <c r="AG29" s="210"/>
      <c r="AH29" s="210"/>
      <c r="AI29" s="210"/>
      <c r="AJ29" s="210"/>
      <c r="AK29" s="210"/>
      <c r="AL29" s="210"/>
      <c r="AM29" s="210"/>
      <c r="AN29" s="210"/>
      <c r="AO29" s="210"/>
      <c r="AP29" s="210"/>
      <c r="AQ29" s="210"/>
    </row>
    <row r="30">
      <c r="A30" s="223" t="str">
        <f>IFERROR(__xludf.DUMMYFUNCTION("""COMPUTED_VALUE"""),"247298")</f>
        <v>247298</v>
      </c>
      <c r="B30" s="190" t="str">
        <f>IFERROR(__xludf.DUMMYFUNCTION("""COMPUTED_VALUE"""),"NGUYỄN LÊ KHOA")</f>
        <v>NGUYỄN LÊ KHOA</v>
      </c>
      <c r="C30" s="223" t="str">
        <f>IFERROR(__xludf.DUMMYFUNCTION("""COMPUTED_VALUE"""),"EL003")</f>
        <v>EL003</v>
      </c>
      <c r="D30" s="223" t="str">
        <f>IFERROR(__xludf.DUMMYFUNCTION("""COMPUTED_VALUE"""),"Buu Do 2")</f>
        <v>Buu Do 2</v>
      </c>
      <c r="E30" s="190" t="str">
        <f>IFERROR(__xludf.DUMMYFUNCTION("""COMPUTED_VALUE"""),"Communication 1")</f>
        <v>Communication 1</v>
      </c>
      <c r="F30" s="190" t="str">
        <f>IFERROR(__xludf.DUMMYFUNCTION("""COMPUTED_VALUE"""),"Pre-Intermediate")</f>
        <v>Pre-Intermediate</v>
      </c>
      <c r="G30" s="190" t="str">
        <f>IFERROR(__xludf.DUMMYFUNCTION("""COMPUTED_VALUE"""),"Pre-Intermediate 2")</f>
        <v>Pre-Intermediate 2</v>
      </c>
      <c r="H30" s="219">
        <f>IFERROR(__xludf.DUMMYFUNCTION("""COMPUTED_VALUE"""),45715.45833333333)</f>
        <v>45715.45833</v>
      </c>
      <c r="I30" s="219">
        <f>IFERROR(__xludf.DUMMYFUNCTION("""COMPUTED_VALUE"""),45715.45833333333)</f>
        <v>45715.45833</v>
      </c>
      <c r="J30" s="190">
        <f>IFERROR(__xludf.DUMMYFUNCTION("""COMPUTED_VALUE"""),2.5)</f>
        <v>2.5</v>
      </c>
      <c r="K30" s="190">
        <f>IFERROR(__xludf.DUMMYFUNCTION("""COMPUTED_VALUE"""),3.5)</f>
        <v>3.5</v>
      </c>
      <c r="L30" s="190" t="str">
        <f>IFERROR(__xludf.DUMMYFUNCTION("""COMPUTED_VALUE"""),"UI/UX")</f>
        <v>UI/UX</v>
      </c>
      <c r="M30" s="190" t="str">
        <f>IFERROR(__xludf.DUMMYFUNCTION("""COMPUTED_VALUE"""),"LBU")</f>
        <v>LBU</v>
      </c>
      <c r="N30" s="220">
        <f>IFERROR(__xludf.DUMMYFUNCTION("""COMPUTED_VALUE"""),2.5)</f>
        <v>2.5</v>
      </c>
      <c r="O30" s="220">
        <f>IFERROR(__xludf.DUMMYFUNCTION("""COMPUTED_VALUE"""),3.5)</f>
        <v>3.5</v>
      </c>
      <c r="P30" s="220"/>
      <c r="Q30" s="190">
        <f t="shared" si="1"/>
        <v>1</v>
      </c>
      <c r="R30" s="211" t="s">
        <v>695</v>
      </c>
      <c r="S30" s="210" t="str">
        <f t="shared" si="2"/>
        <v>DEV</v>
      </c>
      <c r="T30" s="210" t="str">
        <f t="shared" si="3"/>
        <v>DEV, TA</v>
      </c>
      <c r="U30" s="210" t="str">
        <f t="shared" si="4"/>
        <v>ONC</v>
      </c>
      <c r="X30" s="210"/>
      <c r="Y30" s="210"/>
      <c r="Z30" s="210"/>
      <c r="AA30" s="210"/>
      <c r="AB30" s="210"/>
      <c r="AC30" s="210"/>
      <c r="AD30" s="210"/>
      <c r="AE30" s="210"/>
      <c r="AF30" s="210"/>
      <c r="AG30" s="210"/>
      <c r="AH30" s="210"/>
      <c r="AI30" s="210"/>
      <c r="AJ30" s="210"/>
      <c r="AK30" s="210"/>
      <c r="AL30" s="210"/>
      <c r="AM30" s="210"/>
      <c r="AN30" s="210"/>
      <c r="AO30" s="210"/>
      <c r="AP30" s="210"/>
      <c r="AQ30" s="210"/>
    </row>
    <row r="31">
      <c r="A31" s="218" t="str">
        <f>IFERROR(__xludf.DUMMYFUNCTION("""COMPUTED_VALUE"""),"193529")</f>
        <v>193529</v>
      </c>
      <c r="B31" s="217" t="str">
        <f>IFERROR(__xludf.DUMMYFUNCTION("""COMPUTED_VALUE"""),"NGUYỄN VĂN MẠNH CƯỜNG")</f>
        <v>NGUYỄN VĂN MẠNH CƯỜNG</v>
      </c>
      <c r="C31" s="218" t="str">
        <f>IFERROR(__xludf.DUMMYFUNCTION("""COMPUTED_VALUE"""),"EL004")</f>
        <v>EL004</v>
      </c>
      <c r="D31" s="218" t="str">
        <f>IFERROR(__xludf.DUMMYFUNCTION("""COMPUTED_VALUE"""),"Cuong Nguyen")</f>
        <v>Cuong Nguyen</v>
      </c>
      <c r="E31" s="217" t="str">
        <f>IFERROR(__xludf.DUMMYFUNCTION("""COMPUTED_VALUE"""),"Communication 1")</f>
        <v>Communication 1</v>
      </c>
      <c r="F31" s="190" t="str">
        <f>IFERROR(__xludf.DUMMYFUNCTION("""COMPUTED_VALUE"""),"Pre-Intermediate")</f>
        <v>Pre-Intermediate</v>
      </c>
      <c r="G31" s="190" t="str">
        <f>IFERROR(__xludf.DUMMYFUNCTION("""COMPUTED_VALUE"""),"Pre-Intermediate 2")</f>
        <v>Pre-Intermediate 2</v>
      </c>
      <c r="H31" s="219">
        <f>IFERROR(__xludf.DUMMYFUNCTION("""COMPUTED_VALUE"""),45639.58333333333)</f>
        <v>45639.58333</v>
      </c>
      <c r="I31" s="219">
        <f>IFERROR(__xludf.DUMMYFUNCTION("""COMPUTED_VALUE"""),45639.58333333333)</f>
        <v>45639.58333</v>
      </c>
      <c r="J31" s="190">
        <f>IFERROR(__xludf.DUMMYFUNCTION("""COMPUTED_VALUE"""),2.5)</f>
        <v>2.5</v>
      </c>
      <c r="K31" s="190">
        <f>IFERROR(__xludf.DUMMYFUNCTION("""COMPUTED_VALUE"""),3.5)</f>
        <v>3.5</v>
      </c>
      <c r="L31" s="190" t="str">
        <f>IFERROR(__xludf.DUMMYFUNCTION("""COMPUTED_VALUE"""),"DEV")</f>
        <v>DEV</v>
      </c>
      <c r="M31" s="190" t="str">
        <f>IFERROR(__xludf.DUMMYFUNCTION("""COMPUTED_VALUE"""),"ONC")</f>
        <v>ONC</v>
      </c>
      <c r="N31" s="220">
        <f>IFERROR(__xludf.DUMMYFUNCTION("""COMPUTED_VALUE"""),2.5)</f>
        <v>2.5</v>
      </c>
      <c r="O31" s="229">
        <f>IFERROR(__xludf.DUMMYFUNCTION("""COMPUTED_VALUE"""),5.0)</f>
        <v>5</v>
      </c>
      <c r="P31" s="220"/>
      <c r="Q31" s="190">
        <f t="shared" si="1"/>
        <v>1</v>
      </c>
      <c r="R31" s="211" t="s">
        <v>330</v>
      </c>
      <c r="S31" s="210" t="str">
        <f t="shared" si="2"/>
        <v>DEV</v>
      </c>
      <c r="T31" s="210" t="str">
        <f t="shared" si="3"/>
        <v>DEV, TA</v>
      </c>
      <c r="U31" s="210" t="str">
        <f t="shared" si="4"/>
        <v>LBU</v>
      </c>
      <c r="X31" s="210"/>
      <c r="Y31" s="210"/>
      <c r="Z31" s="210"/>
      <c r="AA31" s="210"/>
      <c r="AB31" s="210"/>
      <c r="AC31" s="210"/>
      <c r="AD31" s="210"/>
      <c r="AE31" s="210"/>
      <c r="AF31" s="210"/>
      <c r="AG31" s="210"/>
      <c r="AH31" s="210"/>
      <c r="AI31" s="210"/>
      <c r="AJ31" s="210"/>
      <c r="AK31" s="210"/>
      <c r="AL31" s="210"/>
      <c r="AM31" s="210"/>
      <c r="AN31" s="210"/>
      <c r="AO31" s="210"/>
      <c r="AP31" s="210"/>
      <c r="AQ31" s="210"/>
    </row>
    <row r="32">
      <c r="A32" s="223" t="str">
        <f>IFERROR(__xludf.DUMMYFUNCTION("""COMPUTED_VALUE"""),"193479")</f>
        <v>193479</v>
      </c>
      <c r="B32" s="190" t="str">
        <f>IFERROR(__xludf.DUMMYFUNCTION("""COMPUTED_VALUE"""),"BÙI NGỌC QUỐC")</f>
        <v>BÙI NGỌC QUỐC</v>
      </c>
      <c r="C32" s="223" t="str">
        <f>IFERROR(__xludf.DUMMYFUNCTION("""COMPUTED_VALUE"""),"EL004")</f>
        <v>EL004</v>
      </c>
      <c r="D32" s="223" t="str">
        <f>IFERROR(__xludf.DUMMYFUNCTION("""COMPUTED_VALUE"""),"Cuong Nguyen")</f>
        <v>Cuong Nguyen</v>
      </c>
      <c r="E32" s="190" t="str">
        <f>IFERROR(__xludf.DUMMYFUNCTION("""COMPUTED_VALUE"""),"Communication 1")</f>
        <v>Communication 1</v>
      </c>
      <c r="F32" s="190" t="str">
        <f>IFERROR(__xludf.DUMMYFUNCTION("""COMPUTED_VALUE"""),"Beginner")</f>
        <v>Beginner</v>
      </c>
      <c r="G32" s="190" t="str">
        <f>IFERROR(__xludf.DUMMYFUNCTION("""COMPUTED_VALUE"""),"Beginner")</f>
        <v>Beginner</v>
      </c>
      <c r="H32" s="219">
        <f>IFERROR(__xludf.DUMMYFUNCTION("""COMPUTED_VALUE"""),45639.58333333333)</f>
        <v>45639.58333</v>
      </c>
      <c r="I32" s="219">
        <f>IFERROR(__xludf.DUMMYFUNCTION("""COMPUTED_VALUE"""),45639.58333333333)</f>
        <v>45639.58333</v>
      </c>
      <c r="J32" s="190">
        <f>IFERROR(__xludf.DUMMYFUNCTION("""COMPUTED_VALUE"""),1.0)</f>
        <v>1</v>
      </c>
      <c r="K32" s="190">
        <f>IFERROR(__xludf.DUMMYFUNCTION("""COMPUTED_VALUE"""),1.0)</f>
        <v>1</v>
      </c>
      <c r="L32" s="190" t="str">
        <f>IFERROR(__xludf.DUMMYFUNCTION("""COMPUTED_VALUE"""),"DEV")</f>
        <v>DEV</v>
      </c>
      <c r="M32" s="190" t="str">
        <f>IFERROR(__xludf.DUMMYFUNCTION("""COMPUTED_VALUE"""),"ONC")</f>
        <v>ONC</v>
      </c>
      <c r="N32" s="220">
        <f>IFERROR(__xludf.DUMMYFUNCTION("""COMPUTED_VALUE"""),1.0)</f>
        <v>1</v>
      </c>
      <c r="O32" s="220">
        <f>IFERROR(__xludf.DUMMYFUNCTION("""COMPUTED_VALUE"""),3.5)</f>
        <v>3.5</v>
      </c>
      <c r="P32" s="220"/>
      <c r="Q32" s="190">
        <f t="shared" si="1"/>
        <v>1</v>
      </c>
      <c r="R32" s="211" t="s">
        <v>294</v>
      </c>
      <c r="S32" s="210" t="str">
        <f t="shared" si="2"/>
        <v>GSD</v>
      </c>
      <c r="T32" s="210" t="str">
        <f t="shared" si="3"/>
        <v>GSD</v>
      </c>
      <c r="U32" s="210" t="str">
        <f t="shared" si="4"/>
        <v>LBU</v>
      </c>
      <c r="X32" s="210"/>
      <c r="Y32" s="210"/>
      <c r="Z32" s="210"/>
      <c r="AA32" s="210"/>
      <c r="AB32" s="210"/>
      <c r="AC32" s="210"/>
      <c r="AD32" s="210"/>
      <c r="AE32" s="210"/>
      <c r="AF32" s="210"/>
      <c r="AG32" s="210"/>
      <c r="AH32" s="210"/>
      <c r="AI32" s="210"/>
      <c r="AJ32" s="210"/>
      <c r="AK32" s="210"/>
      <c r="AL32" s="210"/>
      <c r="AM32" s="210"/>
      <c r="AN32" s="210"/>
      <c r="AO32" s="210"/>
      <c r="AP32" s="210"/>
      <c r="AQ32" s="210"/>
    </row>
    <row r="33">
      <c r="A33" s="223" t="str">
        <f>IFERROR(__xludf.DUMMYFUNCTION("""COMPUTED_VALUE"""),"213811")</f>
        <v>213811</v>
      </c>
      <c r="B33" s="190" t="str">
        <f>IFERROR(__xludf.DUMMYFUNCTION("""COMPUTED_VALUE"""),"ĐẶNG QUỐC MẠNH")</f>
        <v>ĐẶNG QUỐC MẠNH</v>
      </c>
      <c r="C33" s="223" t="str">
        <f>IFERROR(__xludf.DUMMYFUNCTION("""COMPUTED_VALUE"""),"EL004")</f>
        <v>EL004</v>
      </c>
      <c r="D33" s="223" t="str">
        <f>IFERROR(__xludf.DUMMYFUNCTION("""COMPUTED_VALUE"""),"Cuong Nguyen")</f>
        <v>Cuong Nguyen</v>
      </c>
      <c r="E33" s="190" t="str">
        <f>IFERROR(__xludf.DUMMYFUNCTION("""COMPUTED_VALUE"""),"Communication 1")</f>
        <v>Communication 1</v>
      </c>
      <c r="F33" s="190" t="str">
        <f>IFERROR(__xludf.DUMMYFUNCTION("""COMPUTED_VALUE"""),"Beginner")</f>
        <v>Beginner</v>
      </c>
      <c r="G33" s="190" t="str">
        <f>IFERROR(__xludf.DUMMYFUNCTION("""COMPUTED_VALUE"""),"Intermediate 1")</f>
        <v>Intermediate 1</v>
      </c>
      <c r="H33" s="219">
        <f>IFERROR(__xludf.DUMMYFUNCTION("""COMPUTED_VALUE"""),45639.58333333333)</f>
        <v>45639.58333</v>
      </c>
      <c r="I33" s="219">
        <f>IFERROR(__xludf.DUMMYFUNCTION("""COMPUTED_VALUE"""),45639.58333333333)</f>
        <v>45639.58333</v>
      </c>
      <c r="J33" s="190">
        <f>IFERROR(__xludf.DUMMYFUNCTION("""COMPUTED_VALUE"""),1.0)</f>
        <v>1</v>
      </c>
      <c r="K33" s="190">
        <f>IFERROR(__xludf.DUMMYFUNCTION("""COMPUTED_VALUE"""),5.0)</f>
        <v>5</v>
      </c>
      <c r="L33" s="190" t="str">
        <f>IFERROR(__xludf.DUMMYFUNCTION("""COMPUTED_VALUE"""),"DEV")</f>
        <v>DEV</v>
      </c>
      <c r="M33" s="190" t="str">
        <f>IFERROR(__xludf.DUMMYFUNCTION("""COMPUTED_VALUE"""),"ONC")</f>
        <v>ONC</v>
      </c>
      <c r="N33" s="220">
        <f>IFERROR(__xludf.DUMMYFUNCTION("""COMPUTED_VALUE"""),1.0)</f>
        <v>1</v>
      </c>
      <c r="O33" s="220">
        <f>IFERROR(__xludf.DUMMYFUNCTION("""COMPUTED_VALUE"""),5.0)</f>
        <v>5</v>
      </c>
      <c r="P33" s="220"/>
      <c r="Q33" s="190">
        <f t="shared" si="1"/>
        <v>1</v>
      </c>
      <c r="R33" s="211" t="s">
        <v>411</v>
      </c>
      <c r="S33" s="210" t="str">
        <f t="shared" si="2"/>
        <v>GSD</v>
      </c>
      <c r="T33" s="210" t="str">
        <f t="shared" si="3"/>
        <v>GSD</v>
      </c>
      <c r="U33" s="210" t="str">
        <f t="shared" si="4"/>
        <v>LBU</v>
      </c>
      <c r="X33" s="210"/>
      <c r="Y33" s="210"/>
      <c r="Z33" s="210"/>
      <c r="AA33" s="210"/>
      <c r="AB33" s="210"/>
      <c r="AC33" s="210"/>
      <c r="AD33" s="210"/>
      <c r="AE33" s="210"/>
      <c r="AF33" s="210"/>
      <c r="AG33" s="210"/>
      <c r="AH33" s="210"/>
      <c r="AI33" s="210"/>
      <c r="AJ33" s="210"/>
      <c r="AK33" s="210"/>
      <c r="AL33" s="210"/>
      <c r="AM33" s="210"/>
      <c r="AN33" s="210"/>
      <c r="AO33" s="210"/>
      <c r="AP33" s="210"/>
      <c r="AQ33" s="210"/>
    </row>
    <row r="34">
      <c r="A34" s="223" t="str">
        <f>IFERROR(__xludf.DUMMYFUNCTION("""COMPUTED_VALUE"""),"183431")</f>
        <v>183431</v>
      </c>
      <c r="B34" s="190" t="str">
        <f>IFERROR(__xludf.DUMMYFUNCTION("""COMPUTED_VALUE"""),"HOÀNG XUÂN MẪN")</f>
        <v>HOÀNG XUÂN MẪN</v>
      </c>
      <c r="C34" s="223" t="str">
        <f>IFERROR(__xludf.DUMMYFUNCTION("""COMPUTED_VALUE"""),"EL004")</f>
        <v>EL004</v>
      </c>
      <c r="D34" s="223" t="str">
        <f>IFERROR(__xludf.DUMMYFUNCTION("""COMPUTED_VALUE"""),"Cuong Nguyen")</f>
        <v>Cuong Nguyen</v>
      </c>
      <c r="E34" s="190" t="str">
        <f>IFERROR(__xludf.DUMMYFUNCTION("""COMPUTED_VALUE"""),"Communication 1")</f>
        <v>Communication 1</v>
      </c>
      <c r="F34" s="190" t="str">
        <f>IFERROR(__xludf.DUMMYFUNCTION("""COMPUTED_VALUE"""),"Beginner")</f>
        <v>Beginner</v>
      </c>
      <c r="G34" s="190" t="str">
        <f>IFERROR(__xludf.DUMMYFUNCTION("""COMPUTED_VALUE"""),"Beginner 2")</f>
        <v>Beginner 2</v>
      </c>
      <c r="H34" s="219">
        <f>IFERROR(__xludf.DUMMYFUNCTION("""COMPUTED_VALUE"""),45639.58333333333)</f>
        <v>45639.58333</v>
      </c>
      <c r="I34" s="219">
        <f>IFERROR(__xludf.DUMMYFUNCTION("""COMPUTED_VALUE"""),45639.58333333333)</f>
        <v>45639.58333</v>
      </c>
      <c r="J34" s="190">
        <f>IFERROR(__xludf.DUMMYFUNCTION("""COMPUTED_VALUE"""),1.0)</f>
        <v>1</v>
      </c>
      <c r="K34" s="190">
        <f>IFERROR(__xludf.DUMMYFUNCTION("""COMPUTED_VALUE"""),1.5)</f>
        <v>1.5</v>
      </c>
      <c r="L34" s="190" t="str">
        <f>IFERROR(__xludf.DUMMYFUNCTION("""COMPUTED_VALUE"""),"DEV")</f>
        <v>DEV</v>
      </c>
      <c r="M34" s="190" t="str">
        <f>IFERROR(__xludf.DUMMYFUNCTION("""COMPUTED_VALUE"""),"ONC")</f>
        <v>ONC</v>
      </c>
      <c r="N34" s="220">
        <f>IFERROR(__xludf.DUMMYFUNCTION("""COMPUTED_VALUE"""),1.0)</f>
        <v>1</v>
      </c>
      <c r="O34" s="220">
        <f>IFERROR(__xludf.DUMMYFUNCTION("""COMPUTED_VALUE"""),3.5)</f>
        <v>3.5</v>
      </c>
      <c r="P34" s="220"/>
      <c r="Q34" s="190">
        <f t="shared" si="1"/>
        <v>1</v>
      </c>
      <c r="R34" s="211" t="s">
        <v>496</v>
      </c>
      <c r="S34" s="210" t="str">
        <f t="shared" si="2"/>
        <v>GSD</v>
      </c>
      <c r="T34" s="210" t="str">
        <f t="shared" si="3"/>
        <v>GSD</v>
      </c>
      <c r="U34" s="210" t="str">
        <f t="shared" si="4"/>
        <v>ONC</v>
      </c>
      <c r="X34" s="210"/>
      <c r="Y34" s="210"/>
      <c r="Z34" s="210"/>
      <c r="AA34" s="210"/>
      <c r="AB34" s="210"/>
      <c r="AC34" s="210"/>
      <c r="AD34" s="210"/>
      <c r="AE34" s="210"/>
      <c r="AF34" s="210"/>
      <c r="AG34" s="210"/>
      <c r="AH34" s="210"/>
      <c r="AI34" s="210"/>
      <c r="AJ34" s="210"/>
      <c r="AK34" s="210"/>
      <c r="AL34" s="210"/>
      <c r="AM34" s="210"/>
      <c r="AN34" s="210"/>
      <c r="AO34" s="210"/>
      <c r="AP34" s="210"/>
      <c r="AQ34" s="210"/>
    </row>
    <row r="35">
      <c r="A35" s="223" t="str">
        <f>IFERROR(__xludf.DUMMYFUNCTION("""COMPUTED_VALUE"""),"193499")</f>
        <v>193499</v>
      </c>
      <c r="B35" s="190" t="str">
        <f>IFERROR(__xludf.DUMMYFUNCTION("""COMPUTED_VALUE"""),"HUỲNH TUẤN KHANH")</f>
        <v>HUỲNH TUẤN KHANH</v>
      </c>
      <c r="C35" s="223" t="str">
        <f>IFERROR(__xludf.DUMMYFUNCTION("""COMPUTED_VALUE"""),"EL004")</f>
        <v>EL004</v>
      </c>
      <c r="D35" s="223" t="str">
        <f>IFERROR(__xludf.DUMMYFUNCTION("""COMPUTED_VALUE"""),"Cuong Nguyen")</f>
        <v>Cuong Nguyen</v>
      </c>
      <c r="E35" s="190" t="str">
        <f>IFERROR(__xludf.DUMMYFUNCTION("""COMPUTED_VALUE"""),"Communication 1")</f>
        <v>Communication 1</v>
      </c>
      <c r="F35" s="190" t="str">
        <f>IFERROR(__xludf.DUMMYFUNCTION("""COMPUTED_VALUE"""),"Beginner")</f>
        <v>Beginner</v>
      </c>
      <c r="G35" s="190" t="str">
        <f>IFERROR(__xludf.DUMMYFUNCTION("""COMPUTED_VALUE"""),"Beginner")</f>
        <v>Beginner</v>
      </c>
      <c r="H35" s="219">
        <f>IFERROR(__xludf.DUMMYFUNCTION("""COMPUTED_VALUE"""),45639.58333333333)</f>
        <v>45639.58333</v>
      </c>
      <c r="I35" s="219">
        <f>IFERROR(__xludf.DUMMYFUNCTION("""COMPUTED_VALUE"""),45639.58333333333)</f>
        <v>45639.58333</v>
      </c>
      <c r="J35" s="190">
        <f>IFERROR(__xludf.DUMMYFUNCTION("""COMPUTED_VALUE"""),1.0)</f>
        <v>1</v>
      </c>
      <c r="K35" s="190">
        <f>IFERROR(__xludf.DUMMYFUNCTION("""COMPUTED_VALUE"""),1.0)</f>
        <v>1</v>
      </c>
      <c r="L35" s="190" t="str">
        <f>IFERROR(__xludf.DUMMYFUNCTION("""COMPUTED_VALUE"""),"DEV")</f>
        <v>DEV</v>
      </c>
      <c r="M35" s="190" t="str">
        <f>IFERROR(__xludf.DUMMYFUNCTION("""COMPUTED_VALUE"""),"ONC")</f>
        <v>ONC</v>
      </c>
      <c r="N35" s="220">
        <f>IFERROR(__xludf.DUMMYFUNCTION("""COMPUTED_VALUE"""),1.0)</f>
        <v>1</v>
      </c>
      <c r="O35" s="220">
        <f>IFERROR(__xludf.DUMMYFUNCTION("""COMPUTED_VALUE"""),3.0)</f>
        <v>3</v>
      </c>
      <c r="P35" s="220"/>
      <c r="Q35" s="190">
        <f t="shared" si="1"/>
        <v>1</v>
      </c>
      <c r="R35" s="211" t="s">
        <v>547</v>
      </c>
      <c r="S35" s="210" t="str">
        <f t="shared" si="2"/>
        <v>GSD</v>
      </c>
      <c r="T35" s="210" t="str">
        <f t="shared" si="3"/>
        <v>GSD</v>
      </c>
      <c r="U35" s="210" t="str">
        <f t="shared" si="4"/>
        <v>LBU</v>
      </c>
      <c r="X35" s="210"/>
      <c r="Y35" s="210"/>
      <c r="Z35" s="210"/>
      <c r="AA35" s="210"/>
      <c r="AB35" s="210"/>
      <c r="AC35" s="210"/>
      <c r="AD35" s="210"/>
      <c r="AE35" s="210"/>
      <c r="AF35" s="210"/>
      <c r="AG35" s="210"/>
      <c r="AH35" s="210"/>
      <c r="AI35" s="210"/>
      <c r="AJ35" s="210"/>
      <c r="AK35" s="210"/>
      <c r="AL35" s="210"/>
      <c r="AM35" s="210"/>
      <c r="AN35" s="210"/>
      <c r="AO35" s="210"/>
      <c r="AP35" s="210"/>
      <c r="AQ35" s="210"/>
    </row>
    <row r="36">
      <c r="A36" s="223" t="str">
        <f>IFERROR(__xludf.DUMMYFUNCTION("""COMPUTED_VALUE"""),"227141")</f>
        <v>227141</v>
      </c>
      <c r="B36" s="190" t="str">
        <f>IFERROR(__xludf.DUMMYFUNCTION("""COMPUTED_VALUE"""),"NGUYỄN ĐÔNG HỒ")</f>
        <v>NGUYỄN ĐÔNG HỒ</v>
      </c>
      <c r="C36" s="223" t="str">
        <f>IFERROR(__xludf.DUMMYFUNCTION("""COMPUTED_VALUE"""),"EL004")</f>
        <v>EL004</v>
      </c>
      <c r="D36" s="223" t="str">
        <f>IFERROR(__xludf.DUMMYFUNCTION("""COMPUTED_VALUE"""),"Cuong Nguyen")</f>
        <v>Cuong Nguyen</v>
      </c>
      <c r="E36" s="190" t="str">
        <f>IFERROR(__xludf.DUMMYFUNCTION("""COMPUTED_VALUE"""),"Communication 1")</f>
        <v>Communication 1</v>
      </c>
      <c r="F36" s="190" t="str">
        <f>IFERROR(__xludf.DUMMYFUNCTION("""COMPUTED_VALUE"""),"Beginner")</f>
        <v>Beginner</v>
      </c>
      <c r="G36" s="190" t="str">
        <f>IFERROR(__xludf.DUMMYFUNCTION("""COMPUTED_VALUE"""),"Beginner 2")</f>
        <v>Beginner 2</v>
      </c>
      <c r="H36" s="219">
        <f>IFERROR(__xludf.DUMMYFUNCTION("""COMPUTED_VALUE"""),45639.58333333333)</f>
        <v>45639.58333</v>
      </c>
      <c r="I36" s="219">
        <f>IFERROR(__xludf.DUMMYFUNCTION("""COMPUTED_VALUE"""),45639.58333333333)</f>
        <v>45639.58333</v>
      </c>
      <c r="J36" s="190">
        <f>IFERROR(__xludf.DUMMYFUNCTION("""COMPUTED_VALUE"""),1.0)</f>
        <v>1</v>
      </c>
      <c r="K36" s="190">
        <f>IFERROR(__xludf.DUMMYFUNCTION("""COMPUTED_VALUE"""),1.5)</f>
        <v>1.5</v>
      </c>
      <c r="L36" s="190" t="str">
        <f>IFERROR(__xludf.DUMMYFUNCTION("""COMPUTED_VALUE"""),"DEV")</f>
        <v>DEV</v>
      </c>
      <c r="M36" s="190" t="str">
        <f>IFERROR(__xludf.DUMMYFUNCTION("""COMPUTED_VALUE"""),"ONC")</f>
        <v>ONC</v>
      </c>
      <c r="N36" s="220">
        <f>IFERROR(__xludf.DUMMYFUNCTION("""COMPUTED_VALUE"""),1.0)</f>
        <v>1</v>
      </c>
      <c r="O36" s="220">
        <f>IFERROR(__xludf.DUMMYFUNCTION("""COMPUTED_VALUE"""),3.0)</f>
        <v>3</v>
      </c>
      <c r="P36" s="220"/>
      <c r="Q36" s="190">
        <f t="shared" si="1"/>
        <v>1</v>
      </c>
      <c r="R36" s="211" t="s">
        <v>445</v>
      </c>
      <c r="S36" s="210" t="str">
        <f t="shared" si="2"/>
        <v>DEV</v>
      </c>
      <c r="T36" s="210" t="str">
        <f t="shared" si="3"/>
        <v>DEV, TA</v>
      </c>
      <c r="U36" s="210" t="str">
        <f t="shared" si="4"/>
        <v>LBU</v>
      </c>
      <c r="X36" s="210"/>
      <c r="Y36" s="210"/>
      <c r="Z36" s="210"/>
      <c r="AA36" s="210"/>
      <c r="AB36" s="210"/>
      <c r="AC36" s="210"/>
      <c r="AD36" s="210"/>
      <c r="AE36" s="210"/>
      <c r="AF36" s="210"/>
      <c r="AG36" s="210"/>
      <c r="AH36" s="210"/>
      <c r="AI36" s="210"/>
      <c r="AJ36" s="210"/>
      <c r="AK36" s="210"/>
      <c r="AL36" s="210"/>
      <c r="AM36" s="210"/>
      <c r="AN36" s="210"/>
      <c r="AO36" s="210"/>
      <c r="AP36" s="210"/>
      <c r="AQ36" s="210"/>
    </row>
    <row r="37">
      <c r="A37" s="223" t="str">
        <f>IFERROR(__xludf.DUMMYFUNCTION("""COMPUTED_VALUE"""),"183427")</f>
        <v>183427</v>
      </c>
      <c r="B37" s="190" t="str">
        <f>IFERROR(__xludf.DUMMYFUNCTION("""COMPUTED_VALUE"""),"PHAN CÔNG TOẠI")</f>
        <v>PHAN CÔNG TOẠI</v>
      </c>
      <c r="C37" s="223" t="str">
        <f>IFERROR(__xludf.DUMMYFUNCTION("""COMPUTED_VALUE"""),"EL004")</f>
        <v>EL004</v>
      </c>
      <c r="D37" s="223" t="str">
        <f>IFERROR(__xludf.DUMMYFUNCTION("""COMPUTED_VALUE"""),"Cuong Nguyen")</f>
        <v>Cuong Nguyen</v>
      </c>
      <c r="E37" s="190" t="str">
        <f>IFERROR(__xludf.DUMMYFUNCTION("""COMPUTED_VALUE"""),"Communication 1")</f>
        <v>Communication 1</v>
      </c>
      <c r="F37" s="190" t="str">
        <f>IFERROR(__xludf.DUMMYFUNCTION("""COMPUTED_VALUE"""),"Beginner")</f>
        <v>Beginner</v>
      </c>
      <c r="G37" s="190" t="str">
        <f>IFERROR(__xludf.DUMMYFUNCTION("""COMPUTED_VALUE"""),"Pre-Intermediate 2")</f>
        <v>Pre-Intermediate 2</v>
      </c>
      <c r="H37" s="219">
        <f>IFERROR(__xludf.DUMMYFUNCTION("""COMPUTED_VALUE"""),45639.58333333333)</f>
        <v>45639.58333</v>
      </c>
      <c r="I37" s="219">
        <f>IFERROR(__xludf.DUMMYFUNCTION("""COMPUTED_VALUE"""),45639.58333333333)</f>
        <v>45639.58333</v>
      </c>
      <c r="J37" s="190">
        <f>IFERROR(__xludf.DUMMYFUNCTION("""COMPUTED_VALUE"""),1.0)</f>
        <v>1</v>
      </c>
      <c r="K37" s="190">
        <f>IFERROR(__xludf.DUMMYFUNCTION("""COMPUTED_VALUE"""),3.5)</f>
        <v>3.5</v>
      </c>
      <c r="L37" s="190" t="str">
        <f>IFERROR(__xludf.DUMMYFUNCTION("""COMPUTED_VALUE"""),"DEV")</f>
        <v>DEV</v>
      </c>
      <c r="M37" s="190" t="str">
        <f>IFERROR(__xludf.DUMMYFUNCTION("""COMPUTED_VALUE"""),"ONC")</f>
        <v>ONC</v>
      </c>
      <c r="N37" s="220">
        <f>IFERROR(__xludf.DUMMYFUNCTION("""COMPUTED_VALUE"""),1.0)</f>
        <v>1</v>
      </c>
      <c r="O37" s="220">
        <f>IFERROR(__xludf.DUMMYFUNCTION("""COMPUTED_VALUE"""),5.0)</f>
        <v>5</v>
      </c>
      <c r="P37" s="220"/>
      <c r="Q37" s="190">
        <f t="shared" si="1"/>
        <v>1</v>
      </c>
      <c r="R37" s="211" t="s">
        <v>176</v>
      </c>
      <c r="S37" s="210" t="str">
        <f t="shared" si="2"/>
        <v>GSD</v>
      </c>
      <c r="T37" s="210" t="str">
        <f t="shared" si="3"/>
        <v>GSD</v>
      </c>
      <c r="U37" s="210" t="str">
        <f t="shared" si="4"/>
        <v>LBU</v>
      </c>
      <c r="X37" s="210"/>
      <c r="Y37" s="210"/>
      <c r="Z37" s="210"/>
      <c r="AA37" s="210"/>
      <c r="AB37" s="210"/>
      <c r="AC37" s="210"/>
      <c r="AD37" s="210"/>
      <c r="AE37" s="210"/>
      <c r="AF37" s="210"/>
      <c r="AG37" s="210"/>
      <c r="AH37" s="210"/>
      <c r="AI37" s="210"/>
      <c r="AJ37" s="210"/>
      <c r="AK37" s="210"/>
      <c r="AL37" s="210"/>
      <c r="AM37" s="210"/>
      <c r="AN37" s="210"/>
      <c r="AO37" s="210"/>
      <c r="AP37" s="210"/>
      <c r="AQ37" s="210"/>
    </row>
    <row r="38">
      <c r="A38" s="223" t="str">
        <f>IFERROR(__xludf.DUMMYFUNCTION("""COMPUTED_VALUE"""),"237130")</f>
        <v>237130</v>
      </c>
      <c r="B38" s="190" t="str">
        <f>IFERROR(__xludf.DUMMYFUNCTION("""COMPUTED_VALUE"""),"TRẦN KHANG")</f>
        <v>TRẦN KHANG</v>
      </c>
      <c r="C38" s="223" t="str">
        <f>IFERROR(__xludf.DUMMYFUNCTION("""COMPUTED_VALUE"""),"EL004")</f>
        <v>EL004</v>
      </c>
      <c r="D38" s="223" t="str">
        <f>IFERROR(__xludf.DUMMYFUNCTION("""COMPUTED_VALUE"""),"Cuong Nguyen")</f>
        <v>Cuong Nguyen</v>
      </c>
      <c r="E38" s="190" t="str">
        <f>IFERROR(__xludf.DUMMYFUNCTION("""COMPUTED_VALUE"""),"Communication 1")</f>
        <v>Communication 1</v>
      </c>
      <c r="F38" s="190" t="str">
        <f>IFERROR(__xludf.DUMMYFUNCTION("""COMPUTED_VALUE"""),"Beginner")</f>
        <v>Beginner</v>
      </c>
      <c r="G38" s="190" t="str">
        <f>IFERROR(__xludf.DUMMYFUNCTION("""COMPUTED_VALUE"""),"Pre-Intermediate 1")</f>
        <v>Pre-Intermediate 1</v>
      </c>
      <c r="H38" s="219">
        <f>IFERROR(__xludf.DUMMYFUNCTION("""COMPUTED_VALUE"""),45639.58333333333)</f>
        <v>45639.58333</v>
      </c>
      <c r="I38" s="219">
        <f>IFERROR(__xludf.DUMMYFUNCTION("""COMPUTED_VALUE"""),45639.58333333333)</f>
        <v>45639.58333</v>
      </c>
      <c r="J38" s="190">
        <f>IFERROR(__xludf.DUMMYFUNCTION("""COMPUTED_VALUE"""),1.0)</f>
        <v>1</v>
      </c>
      <c r="K38" s="190">
        <f>IFERROR(__xludf.DUMMYFUNCTION("""COMPUTED_VALUE"""),3.0)</f>
        <v>3</v>
      </c>
      <c r="L38" s="190" t="str">
        <f>IFERROR(__xludf.DUMMYFUNCTION("""COMPUTED_VALUE"""),"DEV")</f>
        <v>DEV</v>
      </c>
      <c r="M38" s="190" t="str">
        <f>IFERROR(__xludf.DUMMYFUNCTION("""COMPUTED_VALUE"""),"ONC")</f>
        <v>ONC</v>
      </c>
      <c r="N38" s="220">
        <f>IFERROR(__xludf.DUMMYFUNCTION("""COMPUTED_VALUE"""),1.0)</f>
        <v>1</v>
      </c>
      <c r="O38" s="220">
        <f>IFERROR(__xludf.DUMMYFUNCTION("""COMPUTED_VALUE"""),3.5)</f>
        <v>3.5</v>
      </c>
      <c r="P38" s="220"/>
      <c r="Q38" s="190">
        <f t="shared" si="1"/>
        <v>1</v>
      </c>
      <c r="R38" s="211" t="s">
        <v>228</v>
      </c>
      <c r="S38" s="210" t="str">
        <f t="shared" si="2"/>
        <v>DEV</v>
      </c>
      <c r="T38" s="210" t="str">
        <f t="shared" si="3"/>
        <v>DEV, TA</v>
      </c>
      <c r="U38" s="210" t="str">
        <f t="shared" si="4"/>
        <v>LBU</v>
      </c>
      <c r="X38" s="210"/>
      <c r="Y38" s="210"/>
      <c r="Z38" s="210"/>
      <c r="AA38" s="210"/>
      <c r="AB38" s="210"/>
      <c r="AC38" s="210"/>
      <c r="AD38" s="210"/>
      <c r="AE38" s="210"/>
      <c r="AF38" s="210"/>
      <c r="AG38" s="210"/>
      <c r="AH38" s="210"/>
      <c r="AI38" s="210"/>
      <c r="AJ38" s="210"/>
      <c r="AK38" s="210"/>
      <c r="AL38" s="210"/>
      <c r="AM38" s="210"/>
      <c r="AN38" s="210"/>
      <c r="AO38" s="210"/>
      <c r="AP38" s="210"/>
      <c r="AQ38" s="210"/>
    </row>
    <row r="39">
      <c r="A39" s="223" t="str">
        <f>IFERROR(__xludf.DUMMYFUNCTION("""COMPUTED_VALUE"""),"237097")</f>
        <v>237097</v>
      </c>
      <c r="B39" s="190" t="str">
        <f>IFERROR(__xludf.DUMMYFUNCTION("""COMPUTED_VALUE"""),"VÕ ĐỒNG ĐỨC DUY")</f>
        <v>VÕ ĐỒNG ĐỨC DUY</v>
      </c>
      <c r="C39" s="223" t="str">
        <f>IFERROR(__xludf.DUMMYFUNCTION("""COMPUTED_VALUE"""),"EL004")</f>
        <v>EL004</v>
      </c>
      <c r="D39" s="223" t="str">
        <f>IFERROR(__xludf.DUMMYFUNCTION("""COMPUTED_VALUE"""),"Cuong Nguyen")</f>
        <v>Cuong Nguyen</v>
      </c>
      <c r="E39" s="190" t="str">
        <f>IFERROR(__xludf.DUMMYFUNCTION("""COMPUTED_VALUE"""),"Communication 1")</f>
        <v>Communication 1</v>
      </c>
      <c r="F39" s="190"/>
      <c r="G39" s="190"/>
      <c r="H39" s="219">
        <f>IFERROR(__xludf.DUMMYFUNCTION("""COMPUTED_VALUE"""),45639.58333333333)</f>
        <v>45639.58333</v>
      </c>
      <c r="I39" s="219">
        <f>IFERROR(__xludf.DUMMYFUNCTION("""COMPUTED_VALUE"""),45639.58333333333)</f>
        <v>45639.58333</v>
      </c>
      <c r="J39" s="190" t="str">
        <f>IFERROR(__xludf.DUMMYFUNCTION("""COMPUTED_VALUE"""),"")</f>
        <v/>
      </c>
      <c r="K39" s="190" t="str">
        <f>IFERROR(__xludf.DUMMYFUNCTION("""COMPUTED_VALUE"""),"")</f>
        <v/>
      </c>
      <c r="L39" s="190" t="str">
        <f>IFERROR(__xludf.DUMMYFUNCTION("""COMPUTED_VALUE"""),"DEV")</f>
        <v>DEV</v>
      </c>
      <c r="M39" s="190" t="str">
        <f>IFERROR(__xludf.DUMMYFUNCTION("""COMPUTED_VALUE"""),"ONC")</f>
        <v>ONC</v>
      </c>
      <c r="N39" s="220" t="str">
        <f>IFERROR(__xludf.DUMMYFUNCTION("""COMPUTED_VALUE"""),"")</f>
        <v/>
      </c>
      <c r="O39" s="229">
        <f>IFERROR(__xludf.DUMMYFUNCTION("""COMPUTED_VALUE"""),0.0)</f>
        <v>0</v>
      </c>
      <c r="P39" s="220"/>
      <c r="Q39" s="190">
        <f t="shared" si="1"/>
        <v>1</v>
      </c>
      <c r="R39" s="211" t="s">
        <v>482</v>
      </c>
      <c r="S39" s="210" t="str">
        <f t="shared" si="2"/>
        <v>QC</v>
      </c>
      <c r="T39" s="210" t="str">
        <f t="shared" si="3"/>
        <v>QC</v>
      </c>
      <c r="U39" s="210" t="str">
        <f t="shared" si="4"/>
        <v>TBU</v>
      </c>
      <c r="X39" s="210"/>
      <c r="Y39" s="210"/>
      <c r="Z39" s="210"/>
      <c r="AA39" s="210"/>
      <c r="AB39" s="210"/>
      <c r="AC39" s="210"/>
      <c r="AD39" s="210"/>
      <c r="AE39" s="210"/>
      <c r="AF39" s="210"/>
      <c r="AG39" s="210"/>
      <c r="AH39" s="210"/>
      <c r="AI39" s="210"/>
      <c r="AJ39" s="210"/>
      <c r="AK39" s="210"/>
      <c r="AL39" s="210"/>
      <c r="AM39" s="210"/>
      <c r="AN39" s="210"/>
      <c r="AO39" s="210"/>
      <c r="AP39" s="210"/>
      <c r="AQ39" s="210"/>
    </row>
    <row r="40">
      <c r="A40" s="218" t="str">
        <f>IFERROR(__xludf.DUMMYFUNCTION("""COMPUTED_VALUE"""),"193529")</f>
        <v>193529</v>
      </c>
      <c r="B40" s="217" t="str">
        <f>IFERROR(__xludf.DUMMYFUNCTION("""COMPUTED_VALUE"""),"NGUYỄN VĂN MẠNH CƯỜNG")</f>
        <v>NGUYỄN VĂN MẠNH CƯỜNG</v>
      </c>
      <c r="C40" s="218" t="str">
        <f>IFERROR(__xludf.DUMMYFUNCTION("""COMPUTED_VALUE"""),"EL004")</f>
        <v>EL004</v>
      </c>
      <c r="D40" s="218" t="str">
        <f>IFERROR(__xludf.DUMMYFUNCTION("""COMPUTED_VALUE"""),"Cuong Nguyen")</f>
        <v>Cuong Nguyen</v>
      </c>
      <c r="E40" s="217" t="str">
        <f>IFERROR(__xludf.DUMMYFUNCTION("""COMPUTED_VALUE"""),"Communication 2")</f>
        <v>Communication 2</v>
      </c>
      <c r="F40" s="190" t="str">
        <f>IFERROR(__xludf.DUMMYFUNCTION("""COMPUTED_VALUE"""),"Pre-Intermediate 2")</f>
        <v>Pre-Intermediate 2</v>
      </c>
      <c r="G40" s="190" t="str">
        <f>IFERROR(__xludf.DUMMYFUNCTION("""COMPUTED_VALUE"""),"Intermediate 1")</f>
        <v>Intermediate 1</v>
      </c>
      <c r="H40" s="219">
        <f>IFERROR(__xludf.DUMMYFUNCTION("""COMPUTED_VALUE"""),45869.58333333333)</f>
        <v>45869.58333</v>
      </c>
      <c r="I40" s="219">
        <f>IFERROR(__xludf.DUMMYFUNCTION("""COMPUTED_VALUE"""),45639.58333333333)</f>
        <v>45639.58333</v>
      </c>
      <c r="J40" s="190">
        <f>IFERROR(__xludf.DUMMYFUNCTION("""COMPUTED_VALUE"""),3.5)</f>
        <v>3.5</v>
      </c>
      <c r="K40" s="190">
        <f>IFERROR(__xludf.DUMMYFUNCTION("""COMPUTED_VALUE"""),5.0)</f>
        <v>5</v>
      </c>
      <c r="L40" s="190" t="str">
        <f>IFERROR(__xludf.DUMMYFUNCTION("""COMPUTED_VALUE"""),"DEV")</f>
        <v>DEV</v>
      </c>
      <c r="M40" s="190" t="str">
        <f>IFERROR(__xludf.DUMMYFUNCTION("""COMPUTED_VALUE"""),"ONC")</f>
        <v>ONC</v>
      </c>
      <c r="N40" s="220">
        <f>IFERROR(__xludf.DUMMYFUNCTION("""COMPUTED_VALUE"""),2.5)</f>
        <v>2.5</v>
      </c>
      <c r="O40" s="220">
        <f>IFERROR(__xludf.DUMMYFUNCTION("""COMPUTED_VALUE"""),5.0)</f>
        <v>5</v>
      </c>
      <c r="P40" s="220"/>
      <c r="Q40" s="190">
        <f t="shared" si="1"/>
        <v>1</v>
      </c>
      <c r="R40" s="211" t="s">
        <v>357</v>
      </c>
      <c r="S40" s="210" t="str">
        <f t="shared" si="2"/>
        <v>DEV</v>
      </c>
      <c r="T40" s="210" t="str">
        <f t="shared" si="3"/>
        <v>DEV, TA</v>
      </c>
      <c r="U40" s="210" t="str">
        <f t="shared" si="4"/>
        <v>CHORUS</v>
      </c>
      <c r="X40" s="210"/>
      <c r="Y40" s="210"/>
      <c r="Z40" s="210"/>
      <c r="AA40" s="210"/>
      <c r="AB40" s="210"/>
      <c r="AC40" s="210"/>
      <c r="AD40" s="210"/>
      <c r="AE40" s="210"/>
      <c r="AF40" s="210"/>
      <c r="AG40" s="210"/>
      <c r="AH40" s="210"/>
      <c r="AI40" s="210"/>
      <c r="AJ40" s="210"/>
      <c r="AK40" s="210"/>
      <c r="AL40" s="210"/>
      <c r="AM40" s="210"/>
      <c r="AN40" s="210"/>
      <c r="AO40" s="210"/>
      <c r="AP40" s="210"/>
      <c r="AQ40" s="210"/>
    </row>
    <row r="41">
      <c r="A41" s="223" t="str">
        <f>IFERROR(__xludf.DUMMYFUNCTION("""COMPUTED_VALUE"""),"193479")</f>
        <v>193479</v>
      </c>
      <c r="B41" s="190" t="str">
        <f>IFERROR(__xludf.DUMMYFUNCTION("""COMPUTED_VALUE"""),"BÙI NGỌC QUỐC")</f>
        <v>BÙI NGỌC QUỐC</v>
      </c>
      <c r="C41" s="223" t="str">
        <f>IFERROR(__xludf.DUMMYFUNCTION("""COMPUTED_VALUE"""),"EL004")</f>
        <v>EL004</v>
      </c>
      <c r="D41" s="223" t="str">
        <f>IFERROR(__xludf.DUMMYFUNCTION("""COMPUTED_VALUE"""),"Cuong Nguyen")</f>
        <v>Cuong Nguyen</v>
      </c>
      <c r="E41" s="190" t="str">
        <f>IFERROR(__xludf.DUMMYFUNCTION("""COMPUTED_VALUE"""),"Communication 2")</f>
        <v>Communication 2</v>
      </c>
      <c r="F41" s="190" t="str">
        <f>IFERROR(__xludf.DUMMYFUNCTION("""COMPUTED_VALUE"""),"Beginner")</f>
        <v>Beginner</v>
      </c>
      <c r="G41" s="190" t="str">
        <f>IFERROR(__xludf.DUMMYFUNCTION("""COMPUTED_VALUE"""),"Pre-Intermediate 2")</f>
        <v>Pre-Intermediate 2</v>
      </c>
      <c r="H41" s="219">
        <f>IFERROR(__xludf.DUMMYFUNCTION("""COMPUTED_VALUE"""),45869.58333333333)</f>
        <v>45869.58333</v>
      </c>
      <c r="I41" s="219">
        <f>IFERROR(__xludf.DUMMYFUNCTION("""COMPUTED_VALUE"""),45639.58333333333)</f>
        <v>45639.58333</v>
      </c>
      <c r="J41" s="190">
        <f>IFERROR(__xludf.DUMMYFUNCTION("""COMPUTED_VALUE"""),1.0)</f>
        <v>1</v>
      </c>
      <c r="K41" s="190">
        <f>IFERROR(__xludf.DUMMYFUNCTION("""COMPUTED_VALUE"""),3.5)</f>
        <v>3.5</v>
      </c>
      <c r="L41" s="190" t="str">
        <f>IFERROR(__xludf.DUMMYFUNCTION("""COMPUTED_VALUE"""),"DEV")</f>
        <v>DEV</v>
      </c>
      <c r="M41" s="190" t="str">
        <f>IFERROR(__xludf.DUMMYFUNCTION("""COMPUTED_VALUE"""),"ONC")</f>
        <v>ONC</v>
      </c>
      <c r="N41" s="220">
        <f>IFERROR(__xludf.DUMMYFUNCTION("""COMPUTED_VALUE"""),1.0)</f>
        <v>1</v>
      </c>
      <c r="O41" s="220">
        <f>IFERROR(__xludf.DUMMYFUNCTION("""COMPUTED_VALUE"""),3.5)</f>
        <v>3.5</v>
      </c>
      <c r="P41" s="220"/>
      <c r="Q41" s="190">
        <f t="shared" si="1"/>
        <v>1</v>
      </c>
      <c r="R41" s="211" t="s">
        <v>230</v>
      </c>
      <c r="S41" s="210" t="str">
        <f t="shared" si="2"/>
        <v>DEV</v>
      </c>
      <c r="T41" s="210" t="str">
        <f t="shared" si="3"/>
        <v>DEV, TA</v>
      </c>
      <c r="U41" s="210" t="str">
        <f t="shared" si="4"/>
        <v>CHORUS</v>
      </c>
      <c r="X41" s="210"/>
      <c r="Y41" s="210"/>
      <c r="Z41" s="210"/>
      <c r="AA41" s="210"/>
      <c r="AB41" s="210"/>
      <c r="AC41" s="210"/>
      <c r="AD41" s="210"/>
      <c r="AE41" s="210"/>
      <c r="AF41" s="210"/>
      <c r="AG41" s="210"/>
      <c r="AH41" s="210"/>
      <c r="AI41" s="210"/>
      <c r="AJ41" s="210"/>
      <c r="AK41" s="210"/>
      <c r="AL41" s="210"/>
      <c r="AM41" s="210"/>
      <c r="AN41" s="210"/>
      <c r="AO41" s="210"/>
      <c r="AP41" s="210"/>
      <c r="AQ41" s="210"/>
    </row>
    <row r="42">
      <c r="A42" s="223" t="str">
        <f>IFERROR(__xludf.DUMMYFUNCTION("""COMPUTED_VALUE"""),"213811")</f>
        <v>213811</v>
      </c>
      <c r="B42" s="190" t="str">
        <f>IFERROR(__xludf.DUMMYFUNCTION("""COMPUTED_VALUE"""),"ĐẶNG QUỐC MẠNH")</f>
        <v>ĐẶNG QUỐC MẠNH</v>
      </c>
      <c r="C42" s="223" t="str">
        <f>IFERROR(__xludf.DUMMYFUNCTION("""COMPUTED_VALUE"""),"EL004")</f>
        <v>EL004</v>
      </c>
      <c r="D42" s="223" t="str">
        <f>IFERROR(__xludf.DUMMYFUNCTION("""COMPUTED_VALUE"""),"Cuong Nguyen")</f>
        <v>Cuong Nguyen</v>
      </c>
      <c r="E42" s="190" t="str">
        <f>IFERROR(__xludf.DUMMYFUNCTION("""COMPUTED_VALUE"""),"Communication 2")</f>
        <v>Communication 2</v>
      </c>
      <c r="F42" s="190" t="str">
        <f>IFERROR(__xludf.DUMMYFUNCTION("""COMPUTED_VALUE"""),"Pre-Intermediate 1")</f>
        <v>Pre-Intermediate 1</v>
      </c>
      <c r="G42" s="190" t="str">
        <f>IFERROR(__xludf.DUMMYFUNCTION("""COMPUTED_VALUE"""),"Pre-Intermediate 1")</f>
        <v>Pre-Intermediate 1</v>
      </c>
      <c r="H42" s="219">
        <f>IFERROR(__xludf.DUMMYFUNCTION("""COMPUTED_VALUE"""),45869.58333333333)</f>
        <v>45869.58333</v>
      </c>
      <c r="I42" s="219">
        <f>IFERROR(__xludf.DUMMYFUNCTION("""COMPUTED_VALUE"""),45639.58333333333)</f>
        <v>45639.58333</v>
      </c>
      <c r="J42" s="190">
        <f>IFERROR(__xludf.DUMMYFUNCTION("""COMPUTED_VALUE"""),3.0)</f>
        <v>3</v>
      </c>
      <c r="K42" s="190">
        <f>IFERROR(__xludf.DUMMYFUNCTION("""COMPUTED_VALUE"""),3.0)</f>
        <v>3</v>
      </c>
      <c r="L42" s="190" t="str">
        <f>IFERROR(__xludf.DUMMYFUNCTION("""COMPUTED_VALUE"""),"DEV")</f>
        <v>DEV</v>
      </c>
      <c r="M42" s="190" t="str">
        <f>IFERROR(__xludf.DUMMYFUNCTION("""COMPUTED_VALUE"""),"ONC")</f>
        <v>ONC</v>
      </c>
      <c r="N42" s="220">
        <f>IFERROR(__xludf.DUMMYFUNCTION("""COMPUTED_VALUE"""),1.0)</f>
        <v>1</v>
      </c>
      <c r="O42" s="220">
        <f>IFERROR(__xludf.DUMMYFUNCTION("""COMPUTED_VALUE"""),5.0)</f>
        <v>5</v>
      </c>
      <c r="P42" s="220"/>
      <c r="Q42" s="190">
        <f t="shared" si="1"/>
        <v>1</v>
      </c>
      <c r="R42" s="211" t="s">
        <v>568</v>
      </c>
      <c r="S42" s="210" t="str">
        <f t="shared" si="2"/>
        <v>DEV</v>
      </c>
      <c r="T42" s="210" t="str">
        <f t="shared" si="3"/>
        <v>DEV, TA</v>
      </c>
      <c r="U42" s="210" t="str">
        <f t="shared" si="4"/>
        <v>LBU</v>
      </c>
      <c r="X42" s="210"/>
      <c r="Y42" s="210"/>
      <c r="Z42" s="210"/>
      <c r="AA42" s="210"/>
      <c r="AB42" s="210"/>
      <c r="AC42" s="210"/>
      <c r="AD42" s="210"/>
      <c r="AE42" s="210"/>
      <c r="AF42" s="210"/>
      <c r="AG42" s="210"/>
      <c r="AH42" s="210"/>
      <c r="AI42" s="210"/>
      <c r="AJ42" s="210"/>
      <c r="AK42" s="210"/>
      <c r="AL42" s="210"/>
      <c r="AM42" s="210"/>
      <c r="AN42" s="210"/>
      <c r="AO42" s="210"/>
      <c r="AP42" s="210"/>
      <c r="AQ42" s="210"/>
    </row>
    <row r="43">
      <c r="A43" s="223" t="str">
        <f>IFERROR(__xludf.DUMMYFUNCTION("""COMPUTED_VALUE"""),"183431")</f>
        <v>183431</v>
      </c>
      <c r="B43" s="190" t="str">
        <f>IFERROR(__xludf.DUMMYFUNCTION("""COMPUTED_VALUE"""),"HOÀNG XUÂN MẪN")</f>
        <v>HOÀNG XUÂN MẪN</v>
      </c>
      <c r="C43" s="223" t="str">
        <f>IFERROR(__xludf.DUMMYFUNCTION("""COMPUTED_VALUE"""),"EL004")</f>
        <v>EL004</v>
      </c>
      <c r="D43" s="223" t="str">
        <f>IFERROR(__xludf.DUMMYFUNCTION("""COMPUTED_VALUE"""),"Cuong Nguyen")</f>
        <v>Cuong Nguyen</v>
      </c>
      <c r="E43" s="190" t="str">
        <f>IFERROR(__xludf.DUMMYFUNCTION("""COMPUTED_VALUE"""),"Communication 2")</f>
        <v>Communication 2</v>
      </c>
      <c r="F43" s="190" t="str">
        <f>IFERROR(__xludf.DUMMYFUNCTION("""COMPUTED_VALUE"""),"Beginner 2")</f>
        <v>Beginner 2</v>
      </c>
      <c r="G43" s="190" t="str">
        <f>IFERROR(__xludf.DUMMYFUNCTION("""COMPUTED_VALUE"""),"Pre-Intermediate 2")</f>
        <v>Pre-Intermediate 2</v>
      </c>
      <c r="H43" s="219">
        <f>IFERROR(__xludf.DUMMYFUNCTION("""COMPUTED_VALUE"""),45869.58333333333)</f>
        <v>45869.58333</v>
      </c>
      <c r="I43" s="219">
        <f>IFERROR(__xludf.DUMMYFUNCTION("""COMPUTED_VALUE"""),45639.58333333333)</f>
        <v>45639.58333</v>
      </c>
      <c r="J43" s="190">
        <f>IFERROR(__xludf.DUMMYFUNCTION("""COMPUTED_VALUE"""),1.5)</f>
        <v>1.5</v>
      </c>
      <c r="K43" s="190">
        <f>IFERROR(__xludf.DUMMYFUNCTION("""COMPUTED_VALUE"""),3.5)</f>
        <v>3.5</v>
      </c>
      <c r="L43" s="190" t="str">
        <f>IFERROR(__xludf.DUMMYFUNCTION("""COMPUTED_VALUE"""),"DEV")</f>
        <v>DEV</v>
      </c>
      <c r="M43" s="190" t="str">
        <f>IFERROR(__xludf.DUMMYFUNCTION("""COMPUTED_VALUE"""),"ONC")</f>
        <v>ONC</v>
      </c>
      <c r="N43" s="220">
        <f>IFERROR(__xludf.DUMMYFUNCTION("""COMPUTED_VALUE"""),1.0)</f>
        <v>1</v>
      </c>
      <c r="O43" s="220">
        <f>IFERROR(__xludf.DUMMYFUNCTION("""COMPUTED_VALUE"""),3.5)</f>
        <v>3.5</v>
      </c>
      <c r="P43" s="220"/>
      <c r="Q43" s="190">
        <f t="shared" si="1"/>
        <v>1</v>
      </c>
      <c r="R43" s="211" t="s">
        <v>625</v>
      </c>
      <c r="S43" s="210" t="str">
        <f t="shared" si="2"/>
        <v>DEV</v>
      </c>
      <c r="T43" s="210" t="str">
        <f t="shared" si="3"/>
        <v>DEV, TA</v>
      </c>
      <c r="U43" s="210" t="str">
        <f t="shared" si="4"/>
        <v>CHORUS</v>
      </c>
      <c r="X43" s="210"/>
      <c r="Y43" s="210"/>
      <c r="Z43" s="210"/>
      <c r="AA43" s="210"/>
      <c r="AB43" s="210"/>
      <c r="AC43" s="210"/>
      <c r="AD43" s="210"/>
      <c r="AE43" s="210"/>
      <c r="AF43" s="210"/>
      <c r="AG43" s="210"/>
      <c r="AH43" s="210"/>
      <c r="AI43" s="210"/>
      <c r="AJ43" s="210"/>
      <c r="AK43" s="210"/>
      <c r="AL43" s="210"/>
      <c r="AM43" s="210"/>
      <c r="AN43" s="210"/>
      <c r="AO43" s="210"/>
      <c r="AP43" s="210"/>
      <c r="AQ43" s="210"/>
    </row>
    <row r="44">
      <c r="A44" s="223" t="str">
        <f>IFERROR(__xludf.DUMMYFUNCTION("""COMPUTED_VALUE"""),"193499")</f>
        <v>193499</v>
      </c>
      <c r="B44" s="190" t="str">
        <f>IFERROR(__xludf.DUMMYFUNCTION("""COMPUTED_VALUE"""),"HUỲNH TUẤN KHANH")</f>
        <v>HUỲNH TUẤN KHANH</v>
      </c>
      <c r="C44" s="223" t="str">
        <f>IFERROR(__xludf.DUMMYFUNCTION("""COMPUTED_VALUE"""),"EL004")</f>
        <v>EL004</v>
      </c>
      <c r="D44" s="223" t="str">
        <f>IFERROR(__xludf.DUMMYFUNCTION("""COMPUTED_VALUE"""),"Cuong Nguyen")</f>
        <v>Cuong Nguyen</v>
      </c>
      <c r="E44" s="190" t="str">
        <f>IFERROR(__xludf.DUMMYFUNCTION("""COMPUTED_VALUE"""),"Communication 2")</f>
        <v>Communication 2</v>
      </c>
      <c r="F44" s="190" t="str">
        <f>IFERROR(__xludf.DUMMYFUNCTION("""COMPUTED_VALUE"""),"Beginner")</f>
        <v>Beginner</v>
      </c>
      <c r="G44" s="190" t="str">
        <f>IFERROR(__xludf.DUMMYFUNCTION("""COMPUTED_VALUE"""),"Pre-Intermediate 1")</f>
        <v>Pre-Intermediate 1</v>
      </c>
      <c r="H44" s="219">
        <f>IFERROR(__xludf.DUMMYFUNCTION("""COMPUTED_VALUE"""),45869.58333333333)</f>
        <v>45869.58333</v>
      </c>
      <c r="I44" s="219">
        <f>IFERROR(__xludf.DUMMYFUNCTION("""COMPUTED_VALUE"""),45639.58333333333)</f>
        <v>45639.58333</v>
      </c>
      <c r="J44" s="190">
        <f>IFERROR(__xludf.DUMMYFUNCTION("""COMPUTED_VALUE"""),1.0)</f>
        <v>1</v>
      </c>
      <c r="K44" s="190">
        <f>IFERROR(__xludf.DUMMYFUNCTION("""COMPUTED_VALUE"""),3.0)</f>
        <v>3</v>
      </c>
      <c r="L44" s="190" t="str">
        <f>IFERROR(__xludf.DUMMYFUNCTION("""COMPUTED_VALUE"""),"DEV")</f>
        <v>DEV</v>
      </c>
      <c r="M44" s="190" t="str">
        <f>IFERROR(__xludf.DUMMYFUNCTION("""COMPUTED_VALUE"""),"ONC")</f>
        <v>ONC</v>
      </c>
      <c r="N44" s="220">
        <f>IFERROR(__xludf.DUMMYFUNCTION("""COMPUTED_VALUE"""),1.0)</f>
        <v>1</v>
      </c>
      <c r="O44" s="220">
        <f>IFERROR(__xludf.DUMMYFUNCTION("""COMPUTED_VALUE"""),3.0)</f>
        <v>3</v>
      </c>
      <c r="P44" s="220"/>
      <c r="Q44" s="190">
        <f t="shared" si="1"/>
        <v>1</v>
      </c>
      <c r="R44" s="211" t="s">
        <v>675</v>
      </c>
      <c r="S44" s="210" t="str">
        <f t="shared" si="2"/>
        <v>QC</v>
      </c>
      <c r="T44" s="210" t="str">
        <f t="shared" si="3"/>
        <v>QC</v>
      </c>
      <c r="U44" s="210" t="str">
        <f t="shared" si="4"/>
        <v>MOC</v>
      </c>
      <c r="X44" s="210"/>
      <c r="Y44" s="210"/>
      <c r="Z44" s="210"/>
      <c r="AA44" s="210"/>
      <c r="AB44" s="210"/>
      <c r="AC44" s="210"/>
      <c r="AD44" s="210"/>
      <c r="AE44" s="210"/>
      <c r="AF44" s="210"/>
      <c r="AG44" s="210"/>
      <c r="AH44" s="210"/>
      <c r="AI44" s="210"/>
      <c r="AJ44" s="210"/>
      <c r="AK44" s="210"/>
      <c r="AL44" s="210"/>
      <c r="AM44" s="210"/>
      <c r="AN44" s="210"/>
      <c r="AO44" s="210"/>
      <c r="AP44" s="210"/>
      <c r="AQ44" s="210"/>
    </row>
    <row r="45">
      <c r="A45" s="223" t="str">
        <f>IFERROR(__xludf.DUMMYFUNCTION("""COMPUTED_VALUE"""),"227141")</f>
        <v>227141</v>
      </c>
      <c r="B45" s="190" t="str">
        <f>IFERROR(__xludf.DUMMYFUNCTION("""COMPUTED_VALUE"""),"NGUYỄN ĐÔNG HỒ")</f>
        <v>NGUYỄN ĐÔNG HỒ</v>
      </c>
      <c r="C45" s="223" t="str">
        <f>IFERROR(__xludf.DUMMYFUNCTION("""COMPUTED_VALUE"""),"EL004")</f>
        <v>EL004</v>
      </c>
      <c r="D45" s="223" t="str">
        <f>IFERROR(__xludf.DUMMYFUNCTION("""COMPUTED_VALUE"""),"Cuong Nguyen")</f>
        <v>Cuong Nguyen</v>
      </c>
      <c r="E45" s="190" t="str">
        <f>IFERROR(__xludf.DUMMYFUNCTION("""COMPUTED_VALUE"""),"Communication 2")</f>
        <v>Communication 2</v>
      </c>
      <c r="F45" s="190" t="str">
        <f>IFERROR(__xludf.DUMMYFUNCTION("""COMPUTED_VALUE"""),"Beginner 2")</f>
        <v>Beginner 2</v>
      </c>
      <c r="G45" s="190" t="str">
        <f>IFERROR(__xludf.DUMMYFUNCTION("""COMPUTED_VALUE"""),"Pre-Intermediate 1")</f>
        <v>Pre-Intermediate 1</v>
      </c>
      <c r="H45" s="219">
        <f>IFERROR(__xludf.DUMMYFUNCTION("""COMPUTED_VALUE"""),45869.58333333333)</f>
        <v>45869.58333</v>
      </c>
      <c r="I45" s="219">
        <f>IFERROR(__xludf.DUMMYFUNCTION("""COMPUTED_VALUE"""),45639.58333333333)</f>
        <v>45639.58333</v>
      </c>
      <c r="J45" s="190">
        <f>IFERROR(__xludf.DUMMYFUNCTION("""COMPUTED_VALUE"""),1.5)</f>
        <v>1.5</v>
      </c>
      <c r="K45" s="190">
        <f>IFERROR(__xludf.DUMMYFUNCTION("""COMPUTED_VALUE"""),3.0)</f>
        <v>3</v>
      </c>
      <c r="L45" s="190" t="str">
        <f>IFERROR(__xludf.DUMMYFUNCTION("""COMPUTED_VALUE"""),"DEV")</f>
        <v>DEV</v>
      </c>
      <c r="M45" s="190" t="str">
        <f>IFERROR(__xludf.DUMMYFUNCTION("""COMPUTED_VALUE"""),"ONC")</f>
        <v>ONC</v>
      </c>
      <c r="N45" s="220">
        <f>IFERROR(__xludf.DUMMYFUNCTION("""COMPUTED_VALUE"""),1.0)</f>
        <v>1</v>
      </c>
      <c r="O45" s="220">
        <f>IFERROR(__xludf.DUMMYFUNCTION("""COMPUTED_VALUE"""),3.0)</f>
        <v>3</v>
      </c>
      <c r="P45" s="220"/>
      <c r="Q45" s="190">
        <f t="shared" si="1"/>
        <v>1</v>
      </c>
      <c r="R45" s="211" t="s">
        <v>167</v>
      </c>
      <c r="S45" s="210" t="str">
        <f t="shared" si="2"/>
        <v>QC</v>
      </c>
      <c r="T45" s="210" t="str">
        <f t="shared" si="3"/>
        <v>QC</v>
      </c>
      <c r="U45" s="210" t="str">
        <f t="shared" si="4"/>
        <v>LBU</v>
      </c>
      <c r="X45" s="210"/>
      <c r="Y45" s="210"/>
      <c r="Z45" s="210"/>
      <c r="AA45" s="210"/>
      <c r="AB45" s="210"/>
      <c r="AC45" s="210"/>
      <c r="AD45" s="210"/>
      <c r="AE45" s="210"/>
      <c r="AF45" s="210"/>
      <c r="AG45" s="210"/>
      <c r="AH45" s="210"/>
      <c r="AI45" s="210"/>
      <c r="AJ45" s="210"/>
      <c r="AK45" s="210"/>
      <c r="AL45" s="210"/>
      <c r="AM45" s="210"/>
      <c r="AN45" s="210"/>
      <c r="AO45" s="210"/>
      <c r="AP45" s="210"/>
      <c r="AQ45" s="210"/>
    </row>
    <row r="46">
      <c r="A46" s="223" t="str">
        <f>IFERROR(__xludf.DUMMYFUNCTION("""COMPUTED_VALUE"""),"183427")</f>
        <v>183427</v>
      </c>
      <c r="B46" s="190" t="str">
        <f>IFERROR(__xludf.DUMMYFUNCTION("""COMPUTED_VALUE"""),"PHAN CÔNG TOẠI")</f>
        <v>PHAN CÔNG TOẠI</v>
      </c>
      <c r="C46" s="223" t="str">
        <f>IFERROR(__xludf.DUMMYFUNCTION("""COMPUTED_VALUE"""),"EL004")</f>
        <v>EL004</v>
      </c>
      <c r="D46" s="223" t="str">
        <f>IFERROR(__xludf.DUMMYFUNCTION("""COMPUTED_VALUE"""),"Cuong Nguyen")</f>
        <v>Cuong Nguyen</v>
      </c>
      <c r="E46" s="190" t="str">
        <f>IFERROR(__xludf.DUMMYFUNCTION("""COMPUTED_VALUE"""),"Communication 2")</f>
        <v>Communication 2</v>
      </c>
      <c r="F46" s="190" t="str">
        <f>IFERROR(__xludf.DUMMYFUNCTION("""COMPUTED_VALUE"""),"Pre-Intermediate 2")</f>
        <v>Pre-Intermediate 2</v>
      </c>
      <c r="G46" s="190" t="str">
        <f>IFERROR(__xludf.DUMMYFUNCTION("""COMPUTED_VALUE"""),"Intermediate 1")</f>
        <v>Intermediate 1</v>
      </c>
      <c r="H46" s="219">
        <f>IFERROR(__xludf.DUMMYFUNCTION("""COMPUTED_VALUE"""),45869.58333333333)</f>
        <v>45869.58333</v>
      </c>
      <c r="I46" s="219">
        <f>IFERROR(__xludf.DUMMYFUNCTION("""COMPUTED_VALUE"""),45639.58333333333)</f>
        <v>45639.58333</v>
      </c>
      <c r="J46" s="190">
        <f>IFERROR(__xludf.DUMMYFUNCTION("""COMPUTED_VALUE"""),3.5)</f>
        <v>3.5</v>
      </c>
      <c r="K46" s="190">
        <f>IFERROR(__xludf.DUMMYFUNCTION("""COMPUTED_VALUE"""),5.0)</f>
        <v>5</v>
      </c>
      <c r="L46" s="190" t="str">
        <f>IFERROR(__xludf.DUMMYFUNCTION("""COMPUTED_VALUE"""),"DEV")</f>
        <v>DEV</v>
      </c>
      <c r="M46" s="190" t="str">
        <f>IFERROR(__xludf.DUMMYFUNCTION("""COMPUTED_VALUE"""),"ONC")</f>
        <v>ONC</v>
      </c>
      <c r="N46" s="220">
        <f>IFERROR(__xludf.DUMMYFUNCTION("""COMPUTED_VALUE"""),1.0)</f>
        <v>1</v>
      </c>
      <c r="O46" s="220">
        <f>IFERROR(__xludf.DUMMYFUNCTION("""COMPUTED_VALUE"""),5.0)</f>
        <v>5</v>
      </c>
      <c r="P46" s="220"/>
      <c r="Q46" s="190">
        <f t="shared" si="1"/>
        <v>1</v>
      </c>
      <c r="R46" s="211" t="s">
        <v>184</v>
      </c>
      <c r="S46" s="210" t="str">
        <f t="shared" si="2"/>
        <v>DEV</v>
      </c>
      <c r="T46" s="210" t="str">
        <f t="shared" si="3"/>
        <v>DEV, TA</v>
      </c>
      <c r="U46" s="210" t="str">
        <f t="shared" si="4"/>
        <v>TBU</v>
      </c>
      <c r="X46" s="210"/>
      <c r="Y46" s="210"/>
      <c r="Z46" s="210"/>
      <c r="AA46" s="210"/>
      <c r="AB46" s="210"/>
      <c r="AC46" s="210"/>
      <c r="AD46" s="210"/>
      <c r="AE46" s="210"/>
      <c r="AF46" s="210"/>
      <c r="AG46" s="210"/>
      <c r="AH46" s="210"/>
      <c r="AI46" s="210"/>
      <c r="AJ46" s="210"/>
      <c r="AK46" s="210"/>
      <c r="AL46" s="210"/>
      <c r="AM46" s="210"/>
      <c r="AN46" s="210"/>
      <c r="AO46" s="210"/>
      <c r="AP46" s="210"/>
      <c r="AQ46" s="210"/>
    </row>
    <row r="47">
      <c r="A47" s="223" t="str">
        <f>IFERROR(__xludf.DUMMYFUNCTION("""COMPUTED_VALUE"""),"237130")</f>
        <v>237130</v>
      </c>
      <c r="B47" s="190" t="str">
        <f>IFERROR(__xludf.DUMMYFUNCTION("""COMPUTED_VALUE"""),"TRẦN KHANG")</f>
        <v>TRẦN KHANG</v>
      </c>
      <c r="C47" s="223" t="str">
        <f>IFERROR(__xludf.DUMMYFUNCTION("""COMPUTED_VALUE"""),"EL004")</f>
        <v>EL004</v>
      </c>
      <c r="D47" s="223" t="str">
        <f>IFERROR(__xludf.DUMMYFUNCTION("""COMPUTED_VALUE"""),"Cuong Nguyen")</f>
        <v>Cuong Nguyen</v>
      </c>
      <c r="E47" s="190" t="str">
        <f>IFERROR(__xludf.DUMMYFUNCTION("""COMPUTED_VALUE"""),"Communication 2")</f>
        <v>Communication 2</v>
      </c>
      <c r="F47" s="190" t="str">
        <f>IFERROR(__xludf.DUMMYFUNCTION("""COMPUTED_VALUE"""),"Pre-Intermediate 1")</f>
        <v>Pre-Intermediate 1</v>
      </c>
      <c r="G47" s="190" t="str">
        <f>IFERROR(__xludf.DUMMYFUNCTION("""COMPUTED_VALUE"""),"Pre-Intermediate 2")</f>
        <v>Pre-Intermediate 2</v>
      </c>
      <c r="H47" s="219">
        <f>IFERROR(__xludf.DUMMYFUNCTION("""COMPUTED_VALUE"""),45869.58333333333)</f>
        <v>45869.58333</v>
      </c>
      <c r="I47" s="219">
        <f>IFERROR(__xludf.DUMMYFUNCTION("""COMPUTED_VALUE"""),45639.58333333333)</f>
        <v>45639.58333</v>
      </c>
      <c r="J47" s="190">
        <f>IFERROR(__xludf.DUMMYFUNCTION("""COMPUTED_VALUE"""),3.0)</f>
        <v>3</v>
      </c>
      <c r="K47" s="190">
        <f>IFERROR(__xludf.DUMMYFUNCTION("""COMPUTED_VALUE"""),3.5)</f>
        <v>3.5</v>
      </c>
      <c r="L47" s="190" t="str">
        <f>IFERROR(__xludf.DUMMYFUNCTION("""COMPUTED_VALUE"""),"DEV")</f>
        <v>DEV</v>
      </c>
      <c r="M47" s="190" t="str">
        <f>IFERROR(__xludf.DUMMYFUNCTION("""COMPUTED_VALUE"""),"ONC")</f>
        <v>ONC</v>
      </c>
      <c r="N47" s="220">
        <f>IFERROR(__xludf.DUMMYFUNCTION("""COMPUTED_VALUE"""),1.0)</f>
        <v>1</v>
      </c>
      <c r="O47" s="220">
        <f>IFERROR(__xludf.DUMMYFUNCTION("""COMPUTED_VALUE"""),3.5)</f>
        <v>3.5</v>
      </c>
      <c r="P47" s="220"/>
      <c r="Q47" s="190">
        <f t="shared" si="1"/>
        <v>1</v>
      </c>
      <c r="R47" s="211" t="s">
        <v>188</v>
      </c>
      <c r="S47" s="210" t="str">
        <f t="shared" si="2"/>
        <v>QC</v>
      </c>
      <c r="T47" s="210" t="str">
        <f t="shared" si="3"/>
        <v>QC</v>
      </c>
      <c r="U47" s="210" t="str">
        <f t="shared" si="4"/>
        <v>LBU</v>
      </c>
      <c r="X47" s="210"/>
      <c r="Y47" s="210"/>
      <c r="Z47" s="210"/>
      <c r="AA47" s="210"/>
      <c r="AB47" s="210"/>
      <c r="AC47" s="210"/>
      <c r="AD47" s="210"/>
      <c r="AE47" s="210"/>
      <c r="AF47" s="210"/>
      <c r="AG47" s="210"/>
      <c r="AH47" s="210"/>
      <c r="AI47" s="210"/>
      <c r="AJ47" s="210"/>
      <c r="AK47" s="210"/>
      <c r="AL47" s="210"/>
      <c r="AM47" s="210"/>
      <c r="AN47" s="210"/>
      <c r="AO47" s="210"/>
      <c r="AP47" s="210"/>
      <c r="AQ47" s="210"/>
    </row>
    <row r="48">
      <c r="A48" s="223" t="str">
        <f>IFERROR(__xludf.DUMMYFUNCTION("""COMPUTED_VALUE"""),"237097")</f>
        <v>237097</v>
      </c>
      <c r="B48" s="190" t="str">
        <f>IFERROR(__xludf.DUMMYFUNCTION("""COMPUTED_VALUE"""),"VÕ ĐỒNG ĐỨC DUY")</f>
        <v>VÕ ĐỒNG ĐỨC DUY</v>
      </c>
      <c r="C48" s="223" t="str">
        <f>IFERROR(__xludf.DUMMYFUNCTION("""COMPUTED_VALUE"""),"EL004")</f>
        <v>EL004</v>
      </c>
      <c r="D48" s="223" t="str">
        <f>IFERROR(__xludf.DUMMYFUNCTION("""COMPUTED_VALUE"""),"Cuong Nguyen")</f>
        <v>Cuong Nguyen</v>
      </c>
      <c r="E48" s="190" t="str">
        <f>IFERROR(__xludf.DUMMYFUNCTION("""COMPUTED_VALUE"""),"Communication 2")</f>
        <v>Communication 2</v>
      </c>
      <c r="F48" s="190"/>
      <c r="G48" s="190"/>
      <c r="H48" s="219">
        <f>IFERROR(__xludf.DUMMYFUNCTION("""COMPUTED_VALUE"""),45869.58333333333)</f>
        <v>45869.58333</v>
      </c>
      <c r="I48" s="219">
        <f>IFERROR(__xludf.DUMMYFUNCTION("""COMPUTED_VALUE"""),45639.58333333333)</f>
        <v>45639.58333</v>
      </c>
      <c r="J48" s="190" t="str">
        <f>IFERROR(__xludf.DUMMYFUNCTION("""COMPUTED_VALUE"""),"")</f>
        <v/>
      </c>
      <c r="K48" s="190" t="str">
        <f>IFERROR(__xludf.DUMMYFUNCTION("""COMPUTED_VALUE"""),"")</f>
        <v/>
      </c>
      <c r="L48" s="190" t="str">
        <f>IFERROR(__xludf.DUMMYFUNCTION("""COMPUTED_VALUE"""),"DEV")</f>
        <v>DEV</v>
      </c>
      <c r="M48" s="190" t="str">
        <f>IFERROR(__xludf.DUMMYFUNCTION("""COMPUTED_VALUE"""),"ONC")</f>
        <v>ONC</v>
      </c>
      <c r="N48" s="220" t="str">
        <f>IFERROR(__xludf.DUMMYFUNCTION("""COMPUTED_VALUE"""),"")</f>
        <v/>
      </c>
      <c r="O48" s="220">
        <f>IFERROR(__xludf.DUMMYFUNCTION("""COMPUTED_VALUE"""),0.0)</f>
        <v>0</v>
      </c>
      <c r="P48" s="220"/>
      <c r="Q48" s="190">
        <f t="shared" si="1"/>
        <v>1</v>
      </c>
      <c r="R48" s="211" t="s">
        <v>697</v>
      </c>
      <c r="S48" s="210" t="str">
        <f t="shared" si="2"/>
        <v>DEV</v>
      </c>
      <c r="T48" s="210" t="str">
        <f t="shared" si="3"/>
        <v>DEV, TA</v>
      </c>
      <c r="U48" s="210" t="str">
        <f t="shared" si="4"/>
        <v>TBU</v>
      </c>
      <c r="X48" s="210"/>
      <c r="Y48" s="210"/>
      <c r="Z48" s="210"/>
      <c r="AA48" s="210"/>
      <c r="AB48" s="210"/>
      <c r="AC48" s="210"/>
      <c r="AD48" s="210"/>
      <c r="AE48" s="210"/>
      <c r="AF48" s="210"/>
      <c r="AG48" s="210"/>
      <c r="AH48" s="210"/>
      <c r="AI48" s="210"/>
      <c r="AJ48" s="210"/>
      <c r="AK48" s="210"/>
      <c r="AL48" s="210"/>
      <c r="AM48" s="210"/>
      <c r="AN48" s="210"/>
      <c r="AO48" s="210"/>
      <c r="AP48" s="210"/>
      <c r="AQ48" s="210"/>
    </row>
    <row r="49">
      <c r="A49" s="218" t="str">
        <f>IFERROR(__xludf.DUMMYFUNCTION("""COMPUTED_VALUE"""),"193447")</f>
        <v>193447</v>
      </c>
      <c r="B49" s="217" t="str">
        <f>IFERROR(__xludf.DUMMYFUNCTION("""COMPUTED_VALUE"""),"NGUYỄN ANH ĐỨC")</f>
        <v>NGUYỄN ANH ĐỨC</v>
      </c>
      <c r="C49" s="218" t="str">
        <f>IFERROR(__xludf.DUMMYFUNCTION("""COMPUTED_VALUE"""),"EL005")</f>
        <v>EL005</v>
      </c>
      <c r="D49" s="218" t="str">
        <f>IFERROR(__xludf.DUMMYFUNCTION("""COMPUTED_VALUE"""),"Duc Nguyen")</f>
        <v>Duc Nguyen</v>
      </c>
      <c r="E49" s="217" t="str">
        <f>IFERROR(__xludf.DUMMYFUNCTION("""COMPUTED_VALUE"""),"Communication 1")</f>
        <v>Communication 1</v>
      </c>
      <c r="F49" s="190" t="str">
        <f>IFERROR(__xludf.DUMMYFUNCTION("""COMPUTED_VALUE"""),"Pre-Intermediate")</f>
        <v>Pre-Intermediate</v>
      </c>
      <c r="G49" s="190" t="str">
        <f>IFERROR(__xludf.DUMMYFUNCTION("""COMPUTED_VALUE"""),"Intermediate")</f>
        <v>Intermediate</v>
      </c>
      <c r="H49" s="219">
        <f>IFERROR(__xludf.DUMMYFUNCTION("""COMPUTED_VALUE"""),45637.41666666667)</f>
        <v>45637.41667</v>
      </c>
      <c r="I49" s="219">
        <f>IFERROR(__xludf.DUMMYFUNCTION("""COMPUTED_VALUE"""),45637.41666666667)</f>
        <v>45637.41667</v>
      </c>
      <c r="J49" s="190">
        <f>IFERROR(__xludf.DUMMYFUNCTION("""COMPUTED_VALUE"""),2.5)</f>
        <v>2.5</v>
      </c>
      <c r="K49" s="190">
        <f>IFERROR(__xludf.DUMMYFUNCTION("""COMPUTED_VALUE"""),4.5)</f>
        <v>4.5</v>
      </c>
      <c r="L49" s="190" t="str">
        <f>IFERROR(__xludf.DUMMYFUNCTION("""COMPUTED_VALUE"""),"DEV")</f>
        <v>DEV</v>
      </c>
      <c r="M49" s="190" t="str">
        <f>IFERROR(__xludf.DUMMYFUNCTION("""COMPUTED_VALUE"""),"LBU")</f>
        <v>LBU</v>
      </c>
      <c r="N49" s="220">
        <f>IFERROR(__xludf.DUMMYFUNCTION("""COMPUTED_VALUE"""),2.5)</f>
        <v>2.5</v>
      </c>
      <c r="O49" s="220">
        <f>IFERROR(__xludf.DUMMYFUNCTION("""COMPUTED_VALUE"""),5.5)</f>
        <v>5.5</v>
      </c>
      <c r="P49" s="220"/>
      <c r="Q49" s="190">
        <f t="shared" si="1"/>
        <v>1</v>
      </c>
      <c r="R49" s="211" t="s">
        <v>603</v>
      </c>
      <c r="S49" s="210" t="str">
        <f t="shared" si="2"/>
        <v>DEV</v>
      </c>
      <c r="T49" s="210" t="str">
        <f t="shared" si="3"/>
        <v>DEV, TA</v>
      </c>
      <c r="U49" s="210" t="str">
        <f t="shared" si="4"/>
        <v>TBU</v>
      </c>
      <c r="X49" s="210"/>
      <c r="Y49" s="210"/>
      <c r="Z49" s="210"/>
      <c r="AA49" s="210"/>
      <c r="AB49" s="210"/>
      <c r="AC49" s="210"/>
      <c r="AD49" s="210"/>
      <c r="AE49" s="210"/>
      <c r="AF49" s="210"/>
      <c r="AG49" s="210"/>
      <c r="AH49" s="210"/>
      <c r="AI49" s="210"/>
      <c r="AJ49" s="210"/>
      <c r="AK49" s="210"/>
      <c r="AL49" s="210"/>
      <c r="AM49" s="210"/>
      <c r="AN49" s="210"/>
      <c r="AO49" s="210"/>
      <c r="AP49" s="210"/>
      <c r="AQ49" s="210"/>
    </row>
    <row r="50">
      <c r="A50" s="223" t="str">
        <f>IFERROR(__xludf.DUMMYFUNCTION("""COMPUTED_VALUE"""),"227160")</f>
        <v>227160</v>
      </c>
      <c r="B50" s="190" t="str">
        <f>IFERROR(__xludf.DUMMYFUNCTION("""COMPUTED_VALUE"""),"LÊ THỊ LAN HƯƠNG")</f>
        <v>LÊ THỊ LAN HƯƠNG</v>
      </c>
      <c r="C50" s="223" t="str">
        <f>IFERROR(__xludf.DUMMYFUNCTION("""COMPUTED_VALUE"""),"EL005")</f>
        <v>EL005</v>
      </c>
      <c r="D50" s="223" t="str">
        <f>IFERROR(__xludf.DUMMYFUNCTION("""COMPUTED_VALUE"""),"Duc Nguyen")</f>
        <v>Duc Nguyen</v>
      </c>
      <c r="E50" s="190" t="str">
        <f>IFERROR(__xludf.DUMMYFUNCTION("""COMPUTED_VALUE"""),"Communication 1")</f>
        <v>Communication 1</v>
      </c>
      <c r="F50" s="190" t="str">
        <f>IFERROR(__xludf.DUMMYFUNCTION("""COMPUTED_VALUE"""),"Beginner")</f>
        <v>Beginner</v>
      </c>
      <c r="G50" s="190" t="str">
        <f>IFERROR(__xludf.DUMMYFUNCTION("""COMPUTED_VALUE"""),"Beginner 2")</f>
        <v>Beginner 2</v>
      </c>
      <c r="H50" s="219">
        <f>IFERROR(__xludf.DUMMYFUNCTION("""COMPUTED_VALUE"""),45637.41666666667)</f>
        <v>45637.41667</v>
      </c>
      <c r="I50" s="219">
        <f>IFERROR(__xludf.DUMMYFUNCTION("""COMPUTED_VALUE"""),45637.41666666667)</f>
        <v>45637.41667</v>
      </c>
      <c r="J50" s="190">
        <f>IFERROR(__xludf.DUMMYFUNCTION("""COMPUTED_VALUE"""),1.0)</f>
        <v>1</v>
      </c>
      <c r="K50" s="190">
        <f>IFERROR(__xludf.DUMMYFUNCTION("""COMPUTED_VALUE"""),1.5)</f>
        <v>1.5</v>
      </c>
      <c r="L50" s="190" t="str">
        <f>IFERROR(__xludf.DUMMYFUNCTION("""COMPUTED_VALUE"""),"GSD")</f>
        <v>GSD</v>
      </c>
      <c r="M50" s="190" t="str">
        <f>IFERROR(__xludf.DUMMYFUNCTION("""COMPUTED_VALUE"""),"LBU")</f>
        <v>LBU</v>
      </c>
      <c r="N50" s="220">
        <f>IFERROR(__xludf.DUMMYFUNCTION("""COMPUTED_VALUE"""),1.0)</f>
        <v>1</v>
      </c>
      <c r="O50" s="220">
        <f>IFERROR(__xludf.DUMMYFUNCTION("""COMPUTED_VALUE"""),3.0)</f>
        <v>3</v>
      </c>
      <c r="P50" s="220"/>
      <c r="Q50" s="190">
        <f t="shared" si="1"/>
        <v>1</v>
      </c>
      <c r="R50" s="211" t="s">
        <v>239</v>
      </c>
      <c r="S50" s="210" t="str">
        <f t="shared" si="2"/>
        <v>DEV</v>
      </c>
      <c r="T50" s="210" t="str">
        <f t="shared" si="3"/>
        <v>DEV, TA</v>
      </c>
      <c r="U50" s="210" t="str">
        <f t="shared" si="4"/>
        <v>TBU</v>
      </c>
      <c r="X50" s="210"/>
      <c r="Y50" s="210"/>
      <c r="Z50" s="210"/>
      <c r="AA50" s="210"/>
      <c r="AB50" s="210"/>
      <c r="AC50" s="210"/>
      <c r="AD50" s="210"/>
      <c r="AE50" s="210"/>
      <c r="AF50" s="210"/>
      <c r="AG50" s="210"/>
      <c r="AH50" s="210"/>
      <c r="AI50" s="210"/>
      <c r="AJ50" s="210"/>
      <c r="AK50" s="210"/>
      <c r="AL50" s="210"/>
      <c r="AM50" s="210"/>
      <c r="AN50" s="210"/>
      <c r="AO50" s="210"/>
      <c r="AP50" s="210"/>
      <c r="AQ50" s="210"/>
    </row>
    <row r="51">
      <c r="A51" s="223" t="str">
        <f>IFERROR(__xludf.DUMMYFUNCTION("""COMPUTED_VALUE"""),"247187")</f>
        <v>247187</v>
      </c>
      <c r="B51" s="190" t="str">
        <f>IFERROR(__xludf.DUMMYFUNCTION("""COMPUTED_VALUE"""),"NGUYỄN MINH THƯ")</f>
        <v>NGUYỄN MINH THƯ</v>
      </c>
      <c r="C51" s="223" t="str">
        <f>IFERROR(__xludf.DUMMYFUNCTION("""COMPUTED_VALUE"""),"EL005")</f>
        <v>EL005</v>
      </c>
      <c r="D51" s="223" t="str">
        <f>IFERROR(__xludf.DUMMYFUNCTION("""COMPUTED_VALUE"""),"Duc Nguyen")</f>
        <v>Duc Nguyen</v>
      </c>
      <c r="E51" s="190" t="str">
        <f>IFERROR(__xludf.DUMMYFUNCTION("""COMPUTED_VALUE"""),"Communication 1")</f>
        <v>Communication 1</v>
      </c>
      <c r="F51" s="190" t="str">
        <f>IFERROR(__xludf.DUMMYFUNCTION("""COMPUTED_VALUE"""),"Pre-Intermediate")</f>
        <v>Pre-Intermediate</v>
      </c>
      <c r="G51" s="190" t="str">
        <f>IFERROR(__xludf.DUMMYFUNCTION("""COMPUTED_VALUE"""),"Beginner 2")</f>
        <v>Beginner 2</v>
      </c>
      <c r="H51" s="219">
        <f>IFERROR(__xludf.DUMMYFUNCTION("""COMPUTED_VALUE"""),45637.41666666667)</f>
        <v>45637.41667</v>
      </c>
      <c r="I51" s="219">
        <f>IFERROR(__xludf.DUMMYFUNCTION("""COMPUTED_VALUE"""),45637.41666666667)</f>
        <v>45637.41667</v>
      </c>
      <c r="J51" s="190">
        <f>IFERROR(__xludf.DUMMYFUNCTION("""COMPUTED_VALUE"""),2.5)</f>
        <v>2.5</v>
      </c>
      <c r="K51" s="190">
        <f>IFERROR(__xludf.DUMMYFUNCTION("""COMPUTED_VALUE"""),1.5)</f>
        <v>1.5</v>
      </c>
      <c r="L51" s="190" t="str">
        <f>IFERROR(__xludf.DUMMYFUNCTION("""COMPUTED_VALUE"""),"GSD")</f>
        <v>GSD</v>
      </c>
      <c r="M51" s="190" t="str">
        <f>IFERROR(__xludf.DUMMYFUNCTION("""COMPUTED_VALUE"""),"LBU")</f>
        <v>LBU</v>
      </c>
      <c r="N51" s="220">
        <f>IFERROR(__xludf.DUMMYFUNCTION("""COMPUTED_VALUE"""),2.5)</f>
        <v>2.5</v>
      </c>
      <c r="O51" s="220">
        <f>IFERROR(__xludf.DUMMYFUNCTION("""COMPUTED_VALUE"""),5.0)</f>
        <v>5</v>
      </c>
      <c r="P51" s="220"/>
      <c r="Q51" s="190">
        <f t="shared" si="1"/>
        <v>1</v>
      </c>
      <c r="R51" s="211" t="s">
        <v>263</v>
      </c>
      <c r="S51" s="210" t="str">
        <f t="shared" si="2"/>
        <v>QC</v>
      </c>
      <c r="T51" s="210" t="str">
        <f t="shared" si="3"/>
        <v>QC</v>
      </c>
      <c r="U51" s="210" t="str">
        <f t="shared" si="4"/>
        <v>TBU</v>
      </c>
      <c r="X51" s="210"/>
      <c r="Y51" s="210"/>
      <c r="Z51" s="210"/>
      <c r="AA51" s="210"/>
      <c r="AB51" s="210"/>
      <c r="AC51" s="210"/>
      <c r="AD51" s="210"/>
      <c r="AE51" s="210"/>
      <c r="AF51" s="210"/>
      <c r="AG51" s="210"/>
      <c r="AH51" s="210"/>
      <c r="AI51" s="210"/>
      <c r="AJ51" s="210"/>
      <c r="AK51" s="210"/>
      <c r="AL51" s="210"/>
      <c r="AM51" s="210"/>
      <c r="AN51" s="210"/>
      <c r="AO51" s="210"/>
      <c r="AP51" s="210"/>
      <c r="AQ51" s="210"/>
    </row>
    <row r="52">
      <c r="A52" s="223" t="str">
        <f>IFERROR(__xludf.DUMMYFUNCTION("""COMPUTED_VALUE"""),"237182")</f>
        <v>237182</v>
      </c>
      <c r="B52" s="190" t="str">
        <f>IFERROR(__xludf.DUMMYFUNCTION("""COMPUTED_VALUE"""),"NGUYỄN TRỌNG BÌNH NGUYÊN")</f>
        <v>NGUYỄN TRỌNG BÌNH NGUYÊN</v>
      </c>
      <c r="C52" s="223" t="str">
        <f>IFERROR(__xludf.DUMMYFUNCTION("""COMPUTED_VALUE"""),"EL005")</f>
        <v>EL005</v>
      </c>
      <c r="D52" s="223" t="str">
        <f>IFERROR(__xludf.DUMMYFUNCTION("""COMPUTED_VALUE"""),"Duc Nguyen")</f>
        <v>Duc Nguyen</v>
      </c>
      <c r="E52" s="190" t="str">
        <f>IFERROR(__xludf.DUMMYFUNCTION("""COMPUTED_VALUE"""),"Communication 1")</f>
        <v>Communication 1</v>
      </c>
      <c r="F52" s="190"/>
      <c r="G52" s="190"/>
      <c r="H52" s="219">
        <f>IFERROR(__xludf.DUMMYFUNCTION("""COMPUTED_VALUE"""),45637.41666666667)</f>
        <v>45637.41667</v>
      </c>
      <c r="I52" s="219">
        <f>IFERROR(__xludf.DUMMYFUNCTION("""COMPUTED_VALUE"""),45637.41666666667)</f>
        <v>45637.41667</v>
      </c>
      <c r="J52" s="190" t="str">
        <f>IFERROR(__xludf.DUMMYFUNCTION("""COMPUTED_VALUE"""),"")</f>
        <v/>
      </c>
      <c r="K52" s="190" t="str">
        <f>IFERROR(__xludf.DUMMYFUNCTION("""COMPUTED_VALUE"""),"")</f>
        <v/>
      </c>
      <c r="L52" s="190" t="str">
        <f>IFERROR(__xludf.DUMMYFUNCTION("""COMPUTED_VALUE"""),"GSD")</f>
        <v>GSD</v>
      </c>
      <c r="M52" s="190" t="str">
        <f>IFERROR(__xludf.DUMMYFUNCTION("""COMPUTED_VALUE"""),"ONC")</f>
        <v>ONC</v>
      </c>
      <c r="N52" s="220" t="str">
        <f>IFERROR(__xludf.DUMMYFUNCTION("""COMPUTED_VALUE"""),"")</f>
        <v/>
      </c>
      <c r="O52" s="220">
        <f>IFERROR(__xludf.DUMMYFUNCTION("""COMPUTED_VALUE"""),0.0)</f>
        <v>0</v>
      </c>
      <c r="P52" s="220"/>
      <c r="Q52" s="190">
        <f t="shared" si="1"/>
        <v>1</v>
      </c>
      <c r="R52" s="211" t="s">
        <v>383</v>
      </c>
      <c r="S52" s="210" t="str">
        <f t="shared" si="2"/>
        <v>SM</v>
      </c>
      <c r="T52" s="210" t="str">
        <f t="shared" si="3"/>
        <v>PPO, SM, IM </v>
      </c>
      <c r="U52" s="210" t="str">
        <f t="shared" si="4"/>
        <v>TBU</v>
      </c>
      <c r="X52" s="210"/>
      <c r="Y52" s="210"/>
      <c r="Z52" s="210"/>
      <c r="AA52" s="210"/>
      <c r="AB52" s="210"/>
      <c r="AC52" s="210"/>
      <c r="AD52" s="210"/>
      <c r="AE52" s="210"/>
      <c r="AF52" s="210"/>
      <c r="AG52" s="210"/>
      <c r="AH52" s="210"/>
      <c r="AI52" s="210"/>
      <c r="AJ52" s="210"/>
      <c r="AK52" s="210"/>
      <c r="AL52" s="210"/>
      <c r="AM52" s="210"/>
      <c r="AN52" s="210"/>
      <c r="AO52" s="210"/>
      <c r="AP52" s="210"/>
      <c r="AQ52" s="210"/>
    </row>
    <row r="53">
      <c r="A53" s="223" t="str">
        <f>IFERROR(__xludf.DUMMYFUNCTION("""COMPUTED_VALUE"""),"227092")</f>
        <v>227092</v>
      </c>
      <c r="B53" s="190" t="str">
        <f>IFERROR(__xludf.DUMMYFUNCTION("""COMPUTED_VALUE"""),"PHẠM THỊ BÍCH THÚY")</f>
        <v>PHẠM THỊ BÍCH THÚY</v>
      </c>
      <c r="C53" s="223" t="str">
        <f>IFERROR(__xludf.DUMMYFUNCTION("""COMPUTED_VALUE"""),"EL005")</f>
        <v>EL005</v>
      </c>
      <c r="D53" s="223" t="str">
        <f>IFERROR(__xludf.DUMMYFUNCTION("""COMPUTED_VALUE"""),"Duc Nguyen")</f>
        <v>Duc Nguyen</v>
      </c>
      <c r="E53" s="190" t="str">
        <f>IFERROR(__xludf.DUMMYFUNCTION("""COMPUTED_VALUE"""),"Communication 1")</f>
        <v>Communication 1</v>
      </c>
      <c r="F53" s="190" t="str">
        <f>IFERROR(__xludf.DUMMYFUNCTION("""COMPUTED_VALUE"""),"Intermediate")</f>
        <v>Intermediate</v>
      </c>
      <c r="G53" s="190" t="str">
        <f>IFERROR(__xludf.DUMMYFUNCTION("""COMPUTED_VALUE"""),"Intermediate")</f>
        <v>Intermediate</v>
      </c>
      <c r="H53" s="219">
        <f>IFERROR(__xludf.DUMMYFUNCTION("""COMPUTED_VALUE"""),45637.41666666667)</f>
        <v>45637.41667</v>
      </c>
      <c r="I53" s="219">
        <f>IFERROR(__xludf.DUMMYFUNCTION("""COMPUTED_VALUE"""),45637.41666666667)</f>
        <v>45637.41667</v>
      </c>
      <c r="J53" s="190">
        <f>IFERROR(__xludf.DUMMYFUNCTION("""COMPUTED_VALUE"""),4.5)</f>
        <v>4.5</v>
      </c>
      <c r="K53" s="190">
        <f>IFERROR(__xludf.DUMMYFUNCTION("""COMPUTED_VALUE"""),4.5)</f>
        <v>4.5</v>
      </c>
      <c r="L53" s="190" t="str">
        <f>IFERROR(__xludf.DUMMYFUNCTION("""COMPUTED_VALUE"""),"GSD")</f>
        <v>GSD</v>
      </c>
      <c r="M53" s="190" t="str">
        <f>IFERROR(__xludf.DUMMYFUNCTION("""COMPUTED_VALUE"""),"LBU")</f>
        <v>LBU</v>
      </c>
      <c r="N53" s="220">
        <f>IFERROR(__xludf.DUMMYFUNCTION("""COMPUTED_VALUE"""),4.5)</f>
        <v>4.5</v>
      </c>
      <c r="O53" s="220">
        <f>IFERROR(__xludf.DUMMYFUNCTION("""COMPUTED_VALUE"""),5.0)</f>
        <v>5</v>
      </c>
      <c r="P53" s="220"/>
      <c r="Q53" s="190">
        <f t="shared" si="1"/>
        <v>1</v>
      </c>
      <c r="R53" s="211" t="s">
        <v>528</v>
      </c>
      <c r="S53" s="210" t="str">
        <f t="shared" si="2"/>
        <v>DEV</v>
      </c>
      <c r="T53" s="210" t="str">
        <f t="shared" si="3"/>
        <v>DEV, TA</v>
      </c>
      <c r="U53" s="210" t="str">
        <f t="shared" si="4"/>
        <v>TBU</v>
      </c>
      <c r="X53" s="210"/>
      <c r="Y53" s="210"/>
      <c r="Z53" s="210"/>
      <c r="AA53" s="210"/>
      <c r="AB53" s="210"/>
      <c r="AC53" s="210"/>
      <c r="AD53" s="210"/>
      <c r="AE53" s="210"/>
      <c r="AF53" s="210"/>
      <c r="AG53" s="210"/>
      <c r="AH53" s="210"/>
      <c r="AI53" s="210"/>
      <c r="AJ53" s="210"/>
      <c r="AK53" s="210"/>
      <c r="AL53" s="210"/>
      <c r="AM53" s="210"/>
      <c r="AN53" s="210"/>
      <c r="AO53" s="210"/>
      <c r="AP53" s="210"/>
      <c r="AQ53" s="210"/>
    </row>
    <row r="54">
      <c r="A54" s="218" t="str">
        <f>IFERROR(__xludf.DUMMYFUNCTION("""COMPUTED_VALUE"""),"183421")</f>
        <v>183421</v>
      </c>
      <c r="B54" s="217" t="str">
        <f>IFERROR(__xludf.DUMMYFUNCTION("""COMPUTED_VALUE"""),"NGUYỄN TẤT ĐẠT")</f>
        <v>NGUYỄN TẤT ĐẠT</v>
      </c>
      <c r="C54" s="218" t="str">
        <f>IFERROR(__xludf.DUMMYFUNCTION("""COMPUTED_VALUE"""),"EL006")</f>
        <v>EL006</v>
      </c>
      <c r="D54" s="218" t="str">
        <f>IFERROR(__xludf.DUMMYFUNCTION("""COMPUTED_VALUE"""),"Dat Nguyen")</f>
        <v>Dat Nguyen</v>
      </c>
      <c r="E54" s="217" t="str">
        <f>IFERROR(__xludf.DUMMYFUNCTION("""COMPUTED_VALUE"""),"Communication 1")</f>
        <v>Communication 1</v>
      </c>
      <c r="F54" s="190" t="str">
        <f>IFERROR(__xludf.DUMMYFUNCTION("""COMPUTED_VALUE"""),"Intermediate")</f>
        <v>Intermediate</v>
      </c>
      <c r="G54" s="190" t="str">
        <f>IFERROR(__xludf.DUMMYFUNCTION("""COMPUTED_VALUE"""),"Intermediate")</f>
        <v>Intermediate</v>
      </c>
      <c r="H54" s="219">
        <f>IFERROR(__xludf.DUMMYFUNCTION("""COMPUTED_VALUE"""),45639.41666666667)</f>
        <v>45639.41667</v>
      </c>
      <c r="I54" s="219">
        <f>IFERROR(__xludf.DUMMYFUNCTION("""COMPUTED_VALUE"""),45639.41666666667)</f>
        <v>45639.41667</v>
      </c>
      <c r="J54" s="190">
        <f>IFERROR(__xludf.DUMMYFUNCTION("""COMPUTED_VALUE"""),4.5)</f>
        <v>4.5</v>
      </c>
      <c r="K54" s="190">
        <f>IFERROR(__xludf.DUMMYFUNCTION("""COMPUTED_VALUE"""),4.5)</f>
        <v>4.5</v>
      </c>
      <c r="L54" s="190" t="str">
        <f>IFERROR(__xludf.DUMMYFUNCTION("""COMPUTED_VALUE"""),"DEV")</f>
        <v>DEV</v>
      </c>
      <c r="M54" s="190" t="str">
        <f>IFERROR(__xludf.DUMMYFUNCTION("""COMPUTED_VALUE"""),"LBU")</f>
        <v>LBU</v>
      </c>
      <c r="N54" s="220">
        <f>IFERROR(__xludf.DUMMYFUNCTION("""COMPUTED_VALUE"""),4.5)</f>
        <v>4.5</v>
      </c>
      <c r="O54" s="220">
        <f>IFERROR(__xludf.DUMMYFUNCTION("""COMPUTED_VALUE"""),4.5)</f>
        <v>4.5</v>
      </c>
      <c r="P54" s="220"/>
      <c r="Q54" s="190">
        <f t="shared" si="1"/>
        <v>1</v>
      </c>
      <c r="R54" s="211" t="s">
        <v>665</v>
      </c>
      <c r="S54" s="210" t="str">
        <f t="shared" si="2"/>
        <v>DEV</v>
      </c>
      <c r="T54" s="210" t="str">
        <f t="shared" si="3"/>
        <v>DEV, TA</v>
      </c>
      <c r="U54" s="210" t="str">
        <f t="shared" si="4"/>
        <v>TBU</v>
      </c>
      <c r="X54" s="210"/>
      <c r="Y54" s="210"/>
      <c r="Z54" s="210"/>
      <c r="AA54" s="210"/>
      <c r="AB54" s="210"/>
      <c r="AC54" s="210"/>
      <c r="AD54" s="210"/>
      <c r="AE54" s="210"/>
      <c r="AF54" s="210"/>
      <c r="AG54" s="210"/>
      <c r="AH54" s="210"/>
      <c r="AI54" s="210"/>
      <c r="AJ54" s="210"/>
      <c r="AK54" s="210"/>
      <c r="AL54" s="210"/>
      <c r="AM54" s="210"/>
      <c r="AN54" s="210"/>
      <c r="AO54" s="210"/>
      <c r="AP54" s="210"/>
      <c r="AQ54" s="210"/>
    </row>
    <row r="55">
      <c r="A55" s="223" t="str">
        <f>IFERROR(__xludf.DUMMYFUNCTION("""COMPUTED_VALUE"""),"247026")</f>
        <v>247026</v>
      </c>
      <c r="B55" s="190" t="str">
        <f>IFERROR(__xludf.DUMMYFUNCTION("""COMPUTED_VALUE"""),"ĐỖ HOÀNG MINH HUY")</f>
        <v>ĐỖ HOÀNG MINH HUY</v>
      </c>
      <c r="C55" s="223" t="str">
        <f>IFERROR(__xludf.DUMMYFUNCTION("""COMPUTED_VALUE"""),"EL006")</f>
        <v>EL006</v>
      </c>
      <c r="D55" s="223" t="str">
        <f>IFERROR(__xludf.DUMMYFUNCTION("""COMPUTED_VALUE"""),"Dat Nguyen")</f>
        <v>Dat Nguyen</v>
      </c>
      <c r="E55" s="190" t="str">
        <f>IFERROR(__xludf.DUMMYFUNCTION("""COMPUTED_VALUE"""),"Communication 1")</f>
        <v>Communication 1</v>
      </c>
      <c r="F55" s="190" t="str">
        <f>IFERROR(__xludf.DUMMYFUNCTION("""COMPUTED_VALUE"""),"Pre-Intermediate")</f>
        <v>Pre-Intermediate</v>
      </c>
      <c r="G55" s="190" t="str">
        <f>IFERROR(__xludf.DUMMYFUNCTION("""COMPUTED_VALUE"""),"Intermediate")</f>
        <v>Intermediate</v>
      </c>
      <c r="H55" s="219">
        <f>IFERROR(__xludf.DUMMYFUNCTION("""COMPUTED_VALUE"""),45639.41666666667)</f>
        <v>45639.41667</v>
      </c>
      <c r="I55" s="219">
        <f>IFERROR(__xludf.DUMMYFUNCTION("""COMPUTED_VALUE"""),45639.41666666667)</f>
        <v>45639.41667</v>
      </c>
      <c r="J55" s="190">
        <f>IFERROR(__xludf.DUMMYFUNCTION("""COMPUTED_VALUE"""),2.5)</f>
        <v>2.5</v>
      </c>
      <c r="K55" s="190">
        <f>IFERROR(__xludf.DUMMYFUNCTION("""COMPUTED_VALUE"""),4.5)</f>
        <v>4.5</v>
      </c>
      <c r="L55" s="190" t="str">
        <f>IFERROR(__xludf.DUMMYFUNCTION("""COMPUTED_VALUE"""),"GSD")</f>
        <v>GSD</v>
      </c>
      <c r="M55" s="190" t="str">
        <f>IFERROR(__xludf.DUMMYFUNCTION("""COMPUTED_VALUE"""),"LBU")</f>
        <v>LBU</v>
      </c>
      <c r="N55" s="220">
        <f>IFERROR(__xludf.DUMMYFUNCTION("""COMPUTED_VALUE"""),2.5)</f>
        <v>2.5</v>
      </c>
      <c r="O55" s="220">
        <f>IFERROR(__xludf.DUMMYFUNCTION("""COMPUTED_VALUE"""),4.5)</f>
        <v>4.5</v>
      </c>
      <c r="P55" s="220"/>
      <c r="Q55" s="190">
        <f t="shared" si="1"/>
        <v>1</v>
      </c>
      <c r="R55" s="211" t="s">
        <v>484</v>
      </c>
      <c r="S55" s="210" t="str">
        <f t="shared" si="2"/>
        <v>GSD</v>
      </c>
      <c r="T55" s="210" t="str">
        <f t="shared" si="3"/>
        <v>GSD</v>
      </c>
      <c r="U55" s="210" t="str">
        <f t="shared" si="4"/>
        <v>ONC</v>
      </c>
      <c r="X55" s="210"/>
      <c r="Y55" s="210"/>
      <c r="Z55" s="210"/>
      <c r="AA55" s="210"/>
      <c r="AB55" s="210"/>
      <c r="AC55" s="210"/>
      <c r="AD55" s="210"/>
      <c r="AE55" s="210"/>
      <c r="AF55" s="210"/>
      <c r="AG55" s="210"/>
      <c r="AH55" s="210"/>
      <c r="AI55" s="210"/>
      <c r="AJ55" s="210"/>
      <c r="AK55" s="210"/>
      <c r="AL55" s="210"/>
      <c r="AM55" s="210"/>
      <c r="AN55" s="210"/>
      <c r="AO55" s="210"/>
      <c r="AP55" s="210"/>
      <c r="AQ55" s="210"/>
    </row>
    <row r="56">
      <c r="A56" s="223" t="str">
        <f>IFERROR(__xludf.DUMMYFUNCTION("""COMPUTED_VALUE"""),"237043")</f>
        <v>237043</v>
      </c>
      <c r="B56" s="190" t="str">
        <f>IFERROR(__xludf.DUMMYFUNCTION("""COMPUTED_VALUE"""),"HUỲNH BỬU BỬU")</f>
        <v>HUỲNH BỬU BỬU</v>
      </c>
      <c r="C56" s="223" t="str">
        <f>IFERROR(__xludf.DUMMYFUNCTION("""COMPUTED_VALUE"""),"EL006")</f>
        <v>EL006</v>
      </c>
      <c r="D56" s="223" t="str">
        <f>IFERROR(__xludf.DUMMYFUNCTION("""COMPUTED_VALUE"""),"Dat Nguyen")</f>
        <v>Dat Nguyen</v>
      </c>
      <c r="E56" s="190" t="str">
        <f>IFERROR(__xludf.DUMMYFUNCTION("""COMPUTED_VALUE"""),"Communication 1")</f>
        <v>Communication 1</v>
      </c>
      <c r="F56" s="190" t="str">
        <f>IFERROR(__xludf.DUMMYFUNCTION("""COMPUTED_VALUE"""),"Beginner")</f>
        <v>Beginner</v>
      </c>
      <c r="G56" s="190" t="str">
        <f>IFERROR(__xludf.DUMMYFUNCTION("""COMPUTED_VALUE"""),"Pre-Intermediate 1")</f>
        <v>Pre-Intermediate 1</v>
      </c>
      <c r="H56" s="219">
        <f>IFERROR(__xludf.DUMMYFUNCTION("""COMPUTED_VALUE"""),45639.41666666667)</f>
        <v>45639.41667</v>
      </c>
      <c r="I56" s="219">
        <f>IFERROR(__xludf.DUMMYFUNCTION("""COMPUTED_VALUE"""),45639.41666666667)</f>
        <v>45639.41667</v>
      </c>
      <c r="J56" s="190">
        <f>IFERROR(__xludf.DUMMYFUNCTION("""COMPUTED_VALUE"""),1.0)</f>
        <v>1</v>
      </c>
      <c r="K56" s="190">
        <f>IFERROR(__xludf.DUMMYFUNCTION("""COMPUTED_VALUE"""),3.0)</f>
        <v>3</v>
      </c>
      <c r="L56" s="190" t="str">
        <f>IFERROR(__xludf.DUMMYFUNCTION("""COMPUTED_VALUE"""),"DEV")</f>
        <v>DEV</v>
      </c>
      <c r="M56" s="190" t="str">
        <f>IFERROR(__xludf.DUMMYFUNCTION("""COMPUTED_VALUE"""),"LBU")</f>
        <v>LBU</v>
      </c>
      <c r="N56" s="220">
        <f>IFERROR(__xludf.DUMMYFUNCTION("""COMPUTED_VALUE"""),1.0)</f>
        <v>1</v>
      </c>
      <c r="O56" s="220">
        <f>IFERROR(__xludf.DUMMYFUNCTION("""COMPUTED_VALUE"""),3.0)</f>
        <v>3</v>
      </c>
      <c r="P56" s="220"/>
      <c r="Q56" s="190">
        <f t="shared" si="1"/>
        <v>1</v>
      </c>
      <c r="R56" s="211" t="s">
        <v>159</v>
      </c>
      <c r="S56" s="210" t="str">
        <f t="shared" si="2"/>
        <v>GSD</v>
      </c>
      <c r="T56" s="210" t="str">
        <f t="shared" si="3"/>
        <v>GSD</v>
      </c>
      <c r="U56" s="210" t="str">
        <f t="shared" si="4"/>
        <v>LBU</v>
      </c>
      <c r="X56" s="210"/>
      <c r="Y56" s="210"/>
      <c r="Z56" s="210"/>
      <c r="AA56" s="210"/>
      <c r="AB56" s="210"/>
      <c r="AC56" s="210"/>
      <c r="AD56" s="210"/>
      <c r="AE56" s="210"/>
      <c r="AF56" s="210"/>
      <c r="AG56" s="210"/>
      <c r="AH56" s="210"/>
      <c r="AI56" s="210"/>
      <c r="AJ56" s="210"/>
      <c r="AK56" s="210"/>
      <c r="AL56" s="210"/>
      <c r="AM56" s="210"/>
      <c r="AN56" s="210"/>
      <c r="AO56" s="210"/>
      <c r="AP56" s="210"/>
      <c r="AQ56" s="210"/>
    </row>
    <row r="57">
      <c r="A57" s="223" t="str">
        <f>IFERROR(__xludf.DUMMYFUNCTION("""COMPUTED_VALUE"""),"193548")</f>
        <v>193548</v>
      </c>
      <c r="B57" s="190" t="str">
        <f>IFERROR(__xludf.DUMMYFUNCTION("""COMPUTED_VALUE"""),"NGUYỄN THIÊN ÂN")</f>
        <v>NGUYỄN THIÊN ÂN</v>
      </c>
      <c r="C57" s="223" t="str">
        <f>IFERROR(__xludf.DUMMYFUNCTION("""COMPUTED_VALUE"""),"EL006")</f>
        <v>EL006</v>
      </c>
      <c r="D57" s="223" t="str">
        <f>IFERROR(__xludf.DUMMYFUNCTION("""COMPUTED_VALUE"""),"Dat Nguyen")</f>
        <v>Dat Nguyen</v>
      </c>
      <c r="E57" s="190" t="str">
        <f>IFERROR(__xludf.DUMMYFUNCTION("""COMPUTED_VALUE"""),"Communication 1")</f>
        <v>Communication 1</v>
      </c>
      <c r="F57" s="190" t="str">
        <f>IFERROR(__xludf.DUMMYFUNCTION("""COMPUTED_VALUE"""),"Pre-Intermediate")</f>
        <v>Pre-Intermediate</v>
      </c>
      <c r="G57" s="190" t="str">
        <f>IFERROR(__xludf.DUMMYFUNCTION("""COMPUTED_VALUE"""),"Pre-Intermediate 2")</f>
        <v>Pre-Intermediate 2</v>
      </c>
      <c r="H57" s="219">
        <f>IFERROR(__xludf.DUMMYFUNCTION("""COMPUTED_VALUE"""),45639.41666666667)</f>
        <v>45639.41667</v>
      </c>
      <c r="I57" s="219">
        <f>IFERROR(__xludf.DUMMYFUNCTION("""COMPUTED_VALUE"""),45639.41666666667)</f>
        <v>45639.41667</v>
      </c>
      <c r="J57" s="190">
        <f>IFERROR(__xludf.DUMMYFUNCTION("""COMPUTED_VALUE"""),2.5)</f>
        <v>2.5</v>
      </c>
      <c r="K57" s="190">
        <f>IFERROR(__xludf.DUMMYFUNCTION("""COMPUTED_VALUE"""),3.5)</f>
        <v>3.5</v>
      </c>
      <c r="L57" s="190" t="str">
        <f>IFERROR(__xludf.DUMMYFUNCTION("""COMPUTED_VALUE"""),"QC")</f>
        <v>QC</v>
      </c>
      <c r="M57" s="190" t="str">
        <f>IFERROR(__xludf.DUMMYFUNCTION("""COMPUTED_VALUE"""),"TBU")</f>
        <v>TBU</v>
      </c>
      <c r="N57" s="220">
        <f>IFERROR(__xludf.DUMMYFUNCTION("""COMPUTED_VALUE"""),2.5)</f>
        <v>2.5</v>
      </c>
      <c r="O57" s="220">
        <f>IFERROR(__xludf.DUMMYFUNCTION("""COMPUTED_VALUE"""),3.5)</f>
        <v>3.5</v>
      </c>
      <c r="P57" s="220"/>
      <c r="Q57" s="190">
        <f t="shared" si="1"/>
        <v>1</v>
      </c>
      <c r="R57" s="211" t="s">
        <v>313</v>
      </c>
      <c r="S57" s="210" t="str">
        <f t="shared" si="2"/>
        <v>GSD</v>
      </c>
      <c r="T57" s="210" t="str">
        <f t="shared" si="3"/>
        <v>GSD</v>
      </c>
      <c r="U57" s="210" t="str">
        <f t="shared" si="4"/>
        <v>LBU</v>
      </c>
      <c r="X57" s="210"/>
      <c r="Y57" s="210"/>
      <c r="Z57" s="210"/>
      <c r="AA57" s="210"/>
      <c r="AB57" s="210"/>
      <c r="AC57" s="210"/>
      <c r="AD57" s="210"/>
      <c r="AE57" s="210"/>
      <c r="AF57" s="210"/>
      <c r="AG57" s="210"/>
      <c r="AH57" s="210"/>
      <c r="AI57" s="210"/>
      <c r="AJ57" s="210"/>
      <c r="AK57" s="210"/>
      <c r="AL57" s="210"/>
      <c r="AM57" s="210"/>
      <c r="AN57" s="210"/>
      <c r="AO57" s="210"/>
      <c r="AP57" s="210"/>
      <c r="AQ57" s="210"/>
    </row>
    <row r="58">
      <c r="A58" s="218" t="str">
        <f>IFERROR(__xludf.DUMMYFUNCTION("""COMPUTED_VALUE"""),"247198")</f>
        <v>247198</v>
      </c>
      <c r="B58" s="217" t="str">
        <f>IFERROR(__xludf.DUMMYFUNCTION("""COMPUTED_VALUE"""),"NGUYỄN ĐỨC NHẬT")</f>
        <v>NGUYỄN ĐỨC NHẬT</v>
      </c>
      <c r="C58" s="218" t="str">
        <f>IFERROR(__xludf.DUMMYFUNCTION("""COMPUTED_VALUE"""),"EL007")</f>
        <v>EL007</v>
      </c>
      <c r="D58" s="218" t="str">
        <f>IFERROR(__xludf.DUMMYFUNCTION("""COMPUTED_VALUE"""),"Nhat Nguyen")</f>
        <v>Nhat Nguyen</v>
      </c>
      <c r="E58" s="217" t="str">
        <f>IFERROR(__xludf.DUMMYFUNCTION("""COMPUTED_VALUE"""),"Communication 1")</f>
        <v>Communication 1</v>
      </c>
      <c r="F58" s="190" t="str">
        <f>IFERROR(__xludf.DUMMYFUNCTION("""COMPUTED_VALUE"""),"Pre-Intermediate")</f>
        <v>Pre-Intermediate</v>
      </c>
      <c r="G58" s="190" t="str">
        <f>IFERROR(__xludf.DUMMYFUNCTION("""COMPUTED_VALUE"""),"Pre-Intermediate 2")</f>
        <v>Pre-Intermediate 2</v>
      </c>
      <c r="H58" s="219">
        <f>IFERROR(__xludf.DUMMYFUNCTION("""COMPUTED_VALUE"""),45702.45833333333)</f>
        <v>45702.45833</v>
      </c>
      <c r="I58" s="219">
        <f>IFERROR(__xludf.DUMMYFUNCTION("""COMPUTED_VALUE"""),45702.45833333333)</f>
        <v>45702.45833</v>
      </c>
      <c r="J58" s="190">
        <f>IFERROR(__xludf.DUMMYFUNCTION("""COMPUTED_VALUE"""),2.5)</f>
        <v>2.5</v>
      </c>
      <c r="K58" s="190">
        <f>IFERROR(__xludf.DUMMYFUNCTION("""COMPUTED_VALUE"""),3.5)</f>
        <v>3.5</v>
      </c>
      <c r="L58" s="190" t="str">
        <f>IFERROR(__xludf.DUMMYFUNCTION("""COMPUTED_VALUE"""),"DEV")</f>
        <v>DEV</v>
      </c>
      <c r="M58" s="190" t="str">
        <f>IFERROR(__xludf.DUMMYFUNCTION("""COMPUTED_VALUE"""),"CHORUS")</f>
        <v>CHORUS</v>
      </c>
      <c r="N58" s="220">
        <f>IFERROR(__xludf.DUMMYFUNCTION("""COMPUTED_VALUE"""),2.5)</f>
        <v>2.5</v>
      </c>
      <c r="O58" s="220">
        <f>IFERROR(__xludf.DUMMYFUNCTION("""COMPUTED_VALUE"""),3.5)</f>
        <v>3.5</v>
      </c>
      <c r="P58" s="229"/>
      <c r="Q58" s="190">
        <f t="shared" si="1"/>
        <v>1</v>
      </c>
      <c r="R58" s="211" t="s">
        <v>433</v>
      </c>
      <c r="S58" s="210" t="str">
        <f t="shared" si="2"/>
        <v>GSD</v>
      </c>
      <c r="T58" s="210" t="str">
        <f t="shared" si="3"/>
        <v>GSD</v>
      </c>
      <c r="U58" s="210" t="str">
        <f t="shared" si="4"/>
        <v>LBU</v>
      </c>
      <c r="X58" s="210"/>
      <c r="Y58" s="210"/>
      <c r="Z58" s="210"/>
      <c r="AA58" s="210"/>
      <c r="AB58" s="210"/>
      <c r="AC58" s="210"/>
      <c r="AD58" s="210"/>
      <c r="AE58" s="210"/>
      <c r="AF58" s="210"/>
      <c r="AG58" s="210"/>
      <c r="AH58" s="210"/>
      <c r="AI58" s="210"/>
      <c r="AJ58" s="210"/>
      <c r="AK58" s="210"/>
      <c r="AL58" s="210"/>
      <c r="AM58" s="210"/>
      <c r="AN58" s="210"/>
      <c r="AO58" s="210"/>
      <c r="AP58" s="210"/>
      <c r="AQ58" s="210"/>
    </row>
    <row r="59">
      <c r="A59" s="223" t="str">
        <f>IFERROR(__xludf.DUMMYFUNCTION("""COMPUTED_VALUE"""),"247190")</f>
        <v>247190</v>
      </c>
      <c r="B59" s="190" t="str">
        <f>IFERROR(__xludf.DUMMYFUNCTION("""COMPUTED_VALUE"""),"HUỲNH NGUYÊN KHANG")</f>
        <v>HUỲNH NGUYÊN KHANG</v>
      </c>
      <c r="C59" s="223" t="str">
        <f>IFERROR(__xludf.DUMMYFUNCTION("""COMPUTED_VALUE"""),"EL007")</f>
        <v>EL007</v>
      </c>
      <c r="D59" s="223" t="str">
        <f>IFERROR(__xludf.DUMMYFUNCTION("""COMPUTED_VALUE"""),"Nhat Nguyen")</f>
        <v>Nhat Nguyen</v>
      </c>
      <c r="E59" s="190" t="str">
        <f>IFERROR(__xludf.DUMMYFUNCTION("""COMPUTED_VALUE"""),"Communication 1")</f>
        <v>Communication 1</v>
      </c>
      <c r="F59" s="190" t="str">
        <f>IFERROR(__xludf.DUMMYFUNCTION("""COMPUTED_VALUE"""),"Beginner")</f>
        <v>Beginner</v>
      </c>
      <c r="G59" s="190" t="str">
        <f>IFERROR(__xludf.DUMMYFUNCTION("""COMPUTED_VALUE"""),"Pre-Intermediate 1")</f>
        <v>Pre-Intermediate 1</v>
      </c>
      <c r="H59" s="219">
        <f>IFERROR(__xludf.DUMMYFUNCTION("""COMPUTED_VALUE"""),45702.45833333333)</f>
        <v>45702.45833</v>
      </c>
      <c r="I59" s="219">
        <f>IFERROR(__xludf.DUMMYFUNCTION("""COMPUTED_VALUE"""),45702.45833333333)</f>
        <v>45702.45833</v>
      </c>
      <c r="J59" s="190">
        <f>IFERROR(__xludf.DUMMYFUNCTION("""COMPUTED_VALUE"""),1.0)</f>
        <v>1</v>
      </c>
      <c r="K59" s="190">
        <f>IFERROR(__xludf.DUMMYFUNCTION("""COMPUTED_VALUE"""),3.0)</f>
        <v>3</v>
      </c>
      <c r="L59" s="190" t="str">
        <f>IFERROR(__xludf.DUMMYFUNCTION("""COMPUTED_VALUE"""),"DEV")</f>
        <v>DEV</v>
      </c>
      <c r="M59" s="190" t="str">
        <f>IFERROR(__xludf.DUMMYFUNCTION("""COMPUTED_VALUE"""),"CHORUS")</f>
        <v>CHORUS</v>
      </c>
      <c r="N59" s="220">
        <f>IFERROR(__xludf.DUMMYFUNCTION("""COMPUTED_VALUE"""),1.0)</f>
        <v>1</v>
      </c>
      <c r="O59" s="220">
        <f>IFERROR(__xludf.DUMMYFUNCTION("""COMPUTED_VALUE"""),3.0)</f>
        <v>3</v>
      </c>
      <c r="P59" s="229"/>
      <c r="Q59" s="190">
        <f t="shared" si="1"/>
        <v>1</v>
      </c>
      <c r="R59" s="211" t="s">
        <v>451</v>
      </c>
      <c r="S59" s="210" t="str">
        <f t="shared" si="2"/>
        <v>GSD</v>
      </c>
      <c r="T59" s="210" t="str">
        <f t="shared" si="3"/>
        <v>GSD</v>
      </c>
      <c r="U59" s="210" t="str">
        <f t="shared" si="4"/>
        <v>LBU</v>
      </c>
      <c r="X59" s="210"/>
      <c r="Y59" s="210"/>
      <c r="Z59" s="210"/>
      <c r="AA59" s="210"/>
      <c r="AB59" s="210"/>
      <c r="AC59" s="210"/>
      <c r="AD59" s="210"/>
      <c r="AE59" s="210"/>
      <c r="AF59" s="210"/>
      <c r="AG59" s="210"/>
      <c r="AH59" s="210"/>
      <c r="AI59" s="210"/>
      <c r="AJ59" s="210"/>
      <c r="AK59" s="210"/>
      <c r="AL59" s="210"/>
      <c r="AM59" s="210"/>
      <c r="AN59" s="210"/>
      <c r="AO59" s="210"/>
      <c r="AP59" s="210"/>
      <c r="AQ59" s="210"/>
    </row>
    <row r="60">
      <c r="A60" s="223" t="str">
        <f>IFERROR(__xludf.DUMMYFUNCTION("""COMPUTED_VALUE"""),"203759")</f>
        <v>203759</v>
      </c>
      <c r="B60" s="190" t="str">
        <f>IFERROR(__xludf.DUMMYFUNCTION("""COMPUTED_VALUE"""),"PHAN THẾ AN")</f>
        <v>PHAN THẾ AN</v>
      </c>
      <c r="C60" s="223" t="str">
        <f>IFERROR(__xludf.DUMMYFUNCTION("""COMPUTED_VALUE"""),"EL007")</f>
        <v>EL007</v>
      </c>
      <c r="D60" s="223" t="str">
        <f>IFERROR(__xludf.DUMMYFUNCTION("""COMPUTED_VALUE"""),"Nhat Nguyen")</f>
        <v>Nhat Nguyen</v>
      </c>
      <c r="E60" s="190" t="str">
        <f>IFERROR(__xludf.DUMMYFUNCTION("""COMPUTED_VALUE"""),"Communication 1")</f>
        <v>Communication 1</v>
      </c>
      <c r="F60" s="190" t="str">
        <f>IFERROR(__xludf.DUMMYFUNCTION("""COMPUTED_VALUE"""),"Beginner")</f>
        <v>Beginner</v>
      </c>
      <c r="G60" s="190" t="str">
        <f>IFERROR(__xludf.DUMMYFUNCTION("""COMPUTED_VALUE"""),"Pre-Intermediate 1")</f>
        <v>Pre-Intermediate 1</v>
      </c>
      <c r="H60" s="219">
        <f>IFERROR(__xludf.DUMMYFUNCTION("""COMPUTED_VALUE"""),45702.45833333333)</f>
        <v>45702.45833</v>
      </c>
      <c r="I60" s="219">
        <f>IFERROR(__xludf.DUMMYFUNCTION("""COMPUTED_VALUE"""),45702.45833333333)</f>
        <v>45702.45833</v>
      </c>
      <c r="J60" s="190">
        <f>IFERROR(__xludf.DUMMYFUNCTION("""COMPUTED_VALUE"""),1.0)</f>
        <v>1</v>
      </c>
      <c r="K60" s="190">
        <f>IFERROR(__xludf.DUMMYFUNCTION("""COMPUTED_VALUE"""),3.0)</f>
        <v>3</v>
      </c>
      <c r="L60" s="190" t="str">
        <f>IFERROR(__xludf.DUMMYFUNCTION("""COMPUTED_VALUE"""),"DEV")</f>
        <v>DEV</v>
      </c>
      <c r="M60" s="190" t="str">
        <f>IFERROR(__xludf.DUMMYFUNCTION("""COMPUTED_VALUE"""),"LBU")</f>
        <v>LBU</v>
      </c>
      <c r="N60" s="220">
        <f>IFERROR(__xludf.DUMMYFUNCTION("""COMPUTED_VALUE"""),1.0)</f>
        <v>1</v>
      </c>
      <c r="O60" s="220">
        <f>IFERROR(__xludf.DUMMYFUNCTION("""COMPUTED_VALUE"""),5.0)</f>
        <v>5</v>
      </c>
      <c r="P60" s="220"/>
      <c r="Q60" s="190">
        <f t="shared" si="1"/>
        <v>1</v>
      </c>
      <c r="R60" s="211" t="s">
        <v>466</v>
      </c>
      <c r="S60" s="210" t="str">
        <f t="shared" si="2"/>
        <v>GSD</v>
      </c>
      <c r="T60" s="210" t="str">
        <f t="shared" si="3"/>
        <v>GSD</v>
      </c>
      <c r="U60" s="210" t="str">
        <f t="shared" si="4"/>
        <v>LBU</v>
      </c>
      <c r="X60" s="210"/>
      <c r="Y60" s="210"/>
      <c r="Z60" s="210"/>
      <c r="AA60" s="210"/>
      <c r="AB60" s="210"/>
      <c r="AC60" s="210"/>
      <c r="AD60" s="210"/>
      <c r="AE60" s="210"/>
      <c r="AF60" s="210"/>
      <c r="AG60" s="210"/>
      <c r="AH60" s="210"/>
      <c r="AI60" s="210"/>
      <c r="AJ60" s="210"/>
      <c r="AK60" s="210"/>
      <c r="AL60" s="210"/>
      <c r="AM60" s="210"/>
      <c r="AN60" s="210"/>
      <c r="AO60" s="210"/>
      <c r="AP60" s="210"/>
      <c r="AQ60" s="210"/>
    </row>
    <row r="61">
      <c r="A61" s="223" t="str">
        <f>IFERROR(__xludf.DUMMYFUNCTION("""COMPUTED_VALUE"""),"247191")</f>
        <v>247191</v>
      </c>
      <c r="B61" s="190" t="str">
        <f>IFERROR(__xludf.DUMMYFUNCTION("""COMPUTED_VALUE"""),"TRẦN NGỌC PHƯỚC HOÀNG")</f>
        <v>TRẦN NGỌC PHƯỚC HOÀNG</v>
      </c>
      <c r="C61" s="223" t="str">
        <f>IFERROR(__xludf.DUMMYFUNCTION("""COMPUTED_VALUE"""),"EL007")</f>
        <v>EL007</v>
      </c>
      <c r="D61" s="223" t="str">
        <f>IFERROR(__xludf.DUMMYFUNCTION("""COMPUTED_VALUE"""),"Nhat Nguyen")</f>
        <v>Nhat Nguyen</v>
      </c>
      <c r="E61" s="190" t="str">
        <f>IFERROR(__xludf.DUMMYFUNCTION("""COMPUTED_VALUE"""),"Communication 1")</f>
        <v>Communication 1</v>
      </c>
      <c r="F61" s="190" t="str">
        <f>IFERROR(__xludf.DUMMYFUNCTION("""COMPUTED_VALUE"""),"Beginner")</f>
        <v>Beginner</v>
      </c>
      <c r="G61" s="190" t="str">
        <f>IFERROR(__xludf.DUMMYFUNCTION("""COMPUTED_VALUE"""),"Pre-Intermediate 1")</f>
        <v>Pre-Intermediate 1</v>
      </c>
      <c r="H61" s="219">
        <f>IFERROR(__xludf.DUMMYFUNCTION("""COMPUTED_VALUE"""),45702.45833333333)</f>
        <v>45702.45833</v>
      </c>
      <c r="I61" s="219">
        <f>IFERROR(__xludf.DUMMYFUNCTION("""COMPUTED_VALUE"""),45702.45833333333)</f>
        <v>45702.45833</v>
      </c>
      <c r="J61" s="190">
        <f>IFERROR(__xludf.DUMMYFUNCTION("""COMPUTED_VALUE"""),1.0)</f>
        <v>1</v>
      </c>
      <c r="K61" s="190">
        <f>IFERROR(__xludf.DUMMYFUNCTION("""COMPUTED_VALUE"""),3.0)</f>
        <v>3</v>
      </c>
      <c r="L61" s="190" t="str">
        <f>IFERROR(__xludf.DUMMYFUNCTION("""COMPUTED_VALUE"""),"DEV")</f>
        <v>DEV</v>
      </c>
      <c r="M61" s="190" t="str">
        <f>IFERROR(__xludf.DUMMYFUNCTION("""COMPUTED_VALUE"""),"CHORUS")</f>
        <v>CHORUS</v>
      </c>
      <c r="N61" s="220">
        <f>IFERROR(__xludf.DUMMYFUNCTION("""COMPUTED_VALUE"""),1.0)</f>
        <v>1</v>
      </c>
      <c r="O61" s="220">
        <f>IFERROR(__xludf.DUMMYFUNCTION("""COMPUTED_VALUE"""),3.0)</f>
        <v>3</v>
      </c>
      <c r="P61" s="229"/>
      <c r="Q61" s="190">
        <f t="shared" si="1"/>
        <v>1</v>
      </c>
      <c r="R61" s="211" t="s">
        <v>247</v>
      </c>
      <c r="S61" s="210" t="str">
        <f t="shared" si="2"/>
        <v>GSD</v>
      </c>
      <c r="T61" s="210" t="str">
        <f t="shared" si="3"/>
        <v>GSD</v>
      </c>
      <c r="U61" s="210" t="str">
        <f t="shared" si="4"/>
        <v>LBU</v>
      </c>
      <c r="X61" s="210"/>
      <c r="Y61" s="210"/>
      <c r="Z61" s="210"/>
      <c r="AA61" s="210"/>
      <c r="AB61" s="210"/>
      <c r="AC61" s="210"/>
      <c r="AD61" s="210"/>
      <c r="AE61" s="210"/>
      <c r="AF61" s="210"/>
      <c r="AG61" s="210"/>
      <c r="AH61" s="210"/>
      <c r="AI61" s="210"/>
      <c r="AJ61" s="210"/>
      <c r="AK61" s="210"/>
      <c r="AL61" s="210"/>
      <c r="AM61" s="210"/>
      <c r="AN61" s="210"/>
      <c r="AO61" s="210"/>
      <c r="AP61" s="210"/>
      <c r="AQ61" s="210"/>
    </row>
    <row r="62">
      <c r="A62" s="223" t="str">
        <f>IFERROR(__xludf.DUMMYFUNCTION("""COMPUTED_VALUE"""),"247388")</f>
        <v>247388</v>
      </c>
      <c r="B62" s="190" t="str">
        <f>IFERROR(__xludf.DUMMYFUNCTION("""COMPUTED_VALUE"""),"TRANG KỲ ANH")</f>
        <v>TRANG KỲ ANH</v>
      </c>
      <c r="C62" s="223" t="str">
        <f>IFERROR(__xludf.DUMMYFUNCTION("""COMPUTED_VALUE"""),"EL007")</f>
        <v>EL007</v>
      </c>
      <c r="D62" s="223" t="str">
        <f>IFERROR(__xludf.DUMMYFUNCTION("""COMPUTED_VALUE"""),"Nhat Nguyen")</f>
        <v>Nhat Nguyen</v>
      </c>
      <c r="E62" s="190" t="str">
        <f>IFERROR(__xludf.DUMMYFUNCTION("""COMPUTED_VALUE"""),"Communication 1")</f>
        <v>Communication 1</v>
      </c>
      <c r="F62" s="190" t="str">
        <f>IFERROR(__xludf.DUMMYFUNCTION("""COMPUTED_VALUE"""),"Pre-Intermediate")</f>
        <v>Pre-Intermediate</v>
      </c>
      <c r="G62" s="190" t="str">
        <f>IFERROR(__xludf.DUMMYFUNCTION("""COMPUTED_VALUE"""),"Pre-Intermediate 1")</f>
        <v>Pre-Intermediate 1</v>
      </c>
      <c r="H62" s="219">
        <f>IFERROR(__xludf.DUMMYFUNCTION("""COMPUTED_VALUE"""),45702.45833333333)</f>
        <v>45702.45833</v>
      </c>
      <c r="I62" s="219">
        <f>IFERROR(__xludf.DUMMYFUNCTION("""COMPUTED_VALUE"""),45702.45833333333)</f>
        <v>45702.45833</v>
      </c>
      <c r="J62" s="190">
        <f>IFERROR(__xludf.DUMMYFUNCTION("""COMPUTED_VALUE"""),2.5)</f>
        <v>2.5</v>
      </c>
      <c r="K62" s="190">
        <f>IFERROR(__xludf.DUMMYFUNCTION("""COMPUTED_VALUE"""),3.0)</f>
        <v>3</v>
      </c>
      <c r="L62" s="190" t="str">
        <f>IFERROR(__xludf.DUMMYFUNCTION("""COMPUTED_VALUE"""),"QC")</f>
        <v>QC</v>
      </c>
      <c r="M62" s="190" t="str">
        <f>IFERROR(__xludf.DUMMYFUNCTION("""COMPUTED_VALUE"""),"MOC")</f>
        <v>MOC</v>
      </c>
      <c r="N62" s="220">
        <f>IFERROR(__xludf.DUMMYFUNCTION("""COMPUTED_VALUE"""),2.5)</f>
        <v>2.5</v>
      </c>
      <c r="O62" s="220">
        <f>IFERROR(__xludf.DUMMYFUNCTION("""COMPUTED_VALUE"""),3.0)</f>
        <v>3</v>
      </c>
      <c r="P62" s="220"/>
      <c r="Q62" s="190">
        <f t="shared" si="1"/>
        <v>1</v>
      </c>
      <c r="R62" s="211" t="s">
        <v>627</v>
      </c>
      <c r="S62" s="210" t="str">
        <f t="shared" si="2"/>
        <v>UI/UX</v>
      </c>
      <c r="T62" s="210" t="str">
        <f t="shared" si="3"/>
        <v>UI/UX, Des</v>
      </c>
      <c r="U62" s="210" t="str">
        <f t="shared" si="4"/>
        <v>CHORUS</v>
      </c>
      <c r="X62" s="210"/>
      <c r="Y62" s="210"/>
      <c r="Z62" s="210"/>
      <c r="AA62" s="210"/>
      <c r="AB62" s="210"/>
      <c r="AC62" s="210"/>
      <c r="AD62" s="210"/>
      <c r="AE62" s="210"/>
      <c r="AF62" s="210"/>
      <c r="AG62" s="210"/>
      <c r="AH62" s="210"/>
      <c r="AI62" s="210"/>
      <c r="AJ62" s="210"/>
      <c r="AK62" s="210"/>
      <c r="AL62" s="210"/>
      <c r="AM62" s="210"/>
      <c r="AN62" s="210"/>
      <c r="AO62" s="210"/>
      <c r="AP62" s="210"/>
      <c r="AQ62" s="210"/>
    </row>
    <row r="63">
      <c r="A63" s="218" t="str">
        <f>IFERROR(__xludf.DUMMYFUNCTION("""COMPUTED_VALUE"""),"247198")</f>
        <v>247198</v>
      </c>
      <c r="B63" s="217" t="str">
        <f>IFERROR(__xludf.DUMMYFUNCTION("""COMPUTED_VALUE"""),"NGUYỄN ĐỨC NHẬT")</f>
        <v>NGUYỄN ĐỨC NHẬT</v>
      </c>
      <c r="C63" s="218" t="str">
        <f>IFERROR(__xludf.DUMMYFUNCTION("""COMPUTED_VALUE"""),"EL007")</f>
        <v>EL007</v>
      </c>
      <c r="D63" s="218" t="str">
        <f>IFERROR(__xludf.DUMMYFUNCTION("""COMPUTED_VALUE"""),"Nhat Nguyen")</f>
        <v>Nhat Nguyen</v>
      </c>
      <c r="E63" s="217" t="str">
        <f>IFERROR(__xludf.DUMMYFUNCTION("""COMPUTED_VALUE"""),"Communication 2")</f>
        <v>Communication 2</v>
      </c>
      <c r="F63" s="190" t="str">
        <f>IFERROR(__xludf.DUMMYFUNCTION("""COMPUTED_VALUE"""),"Pre-Intermediate 2")</f>
        <v>Pre-Intermediate 2</v>
      </c>
      <c r="G63" s="190"/>
      <c r="H63" s="219">
        <f>IFERROR(__xludf.DUMMYFUNCTION("""COMPUTED_VALUE"""),45841.58333333333)</f>
        <v>45841.58333</v>
      </c>
      <c r="I63" s="219">
        <f>IFERROR(__xludf.DUMMYFUNCTION("""COMPUTED_VALUE"""),45702.45833333333)</f>
        <v>45702.45833</v>
      </c>
      <c r="J63" s="190">
        <f>IFERROR(__xludf.DUMMYFUNCTION("""COMPUTED_VALUE"""),3.5)</f>
        <v>3.5</v>
      </c>
      <c r="K63" s="190" t="str">
        <f>IFERROR(__xludf.DUMMYFUNCTION("""COMPUTED_VALUE"""),"")</f>
        <v/>
      </c>
      <c r="L63" s="190" t="str">
        <f>IFERROR(__xludf.DUMMYFUNCTION("""COMPUTED_VALUE"""),"DEV")</f>
        <v>DEV</v>
      </c>
      <c r="M63" s="190" t="str">
        <f>IFERROR(__xludf.DUMMYFUNCTION("""COMPUTED_VALUE"""),"CHORUS")</f>
        <v>CHORUS</v>
      </c>
      <c r="N63" s="220">
        <f>IFERROR(__xludf.DUMMYFUNCTION("""COMPUTED_VALUE"""),2.5)</f>
        <v>2.5</v>
      </c>
      <c r="O63" s="220">
        <f>IFERROR(__xludf.DUMMYFUNCTION("""COMPUTED_VALUE"""),3.5)</f>
        <v>3.5</v>
      </c>
      <c r="P63" s="229"/>
      <c r="Q63" s="190">
        <f t="shared" si="1"/>
        <v>1</v>
      </c>
      <c r="R63" s="211" t="s">
        <v>216</v>
      </c>
      <c r="S63" s="210" t="str">
        <f t="shared" si="2"/>
        <v>DEV</v>
      </c>
      <c r="T63" s="210" t="str">
        <f t="shared" si="3"/>
        <v>DEV, TA</v>
      </c>
      <c r="U63" s="210" t="str">
        <f t="shared" si="4"/>
        <v>CHORUS</v>
      </c>
      <c r="X63" s="210"/>
      <c r="Y63" s="210"/>
      <c r="Z63" s="210"/>
      <c r="AA63" s="210"/>
      <c r="AB63" s="210"/>
      <c r="AC63" s="210"/>
      <c r="AD63" s="210"/>
      <c r="AE63" s="210"/>
      <c r="AF63" s="210"/>
      <c r="AG63" s="210"/>
      <c r="AH63" s="210"/>
      <c r="AI63" s="210"/>
      <c r="AJ63" s="210"/>
      <c r="AK63" s="210"/>
      <c r="AL63" s="210"/>
      <c r="AM63" s="210"/>
      <c r="AN63" s="210"/>
      <c r="AO63" s="210"/>
      <c r="AP63" s="210"/>
      <c r="AQ63" s="210"/>
    </row>
    <row r="64">
      <c r="A64" s="223" t="str">
        <f>IFERROR(__xludf.DUMMYFUNCTION("""COMPUTED_VALUE"""),"247389")</f>
        <v>247389</v>
      </c>
      <c r="B64" s="190" t="str">
        <f>IFERROR(__xludf.DUMMYFUNCTION("""COMPUTED_VALUE"""),"ĐINH TRƯƠNG THANH TUYỀN")</f>
        <v>ĐINH TRƯƠNG THANH TUYỀN</v>
      </c>
      <c r="C64" s="223" t="str">
        <f>IFERROR(__xludf.DUMMYFUNCTION("""COMPUTED_VALUE"""),"EL007")</f>
        <v>EL007</v>
      </c>
      <c r="D64" s="223" t="str">
        <f>IFERROR(__xludf.DUMMYFUNCTION("""COMPUTED_VALUE"""),"Nhat Nguyen")</f>
        <v>Nhat Nguyen</v>
      </c>
      <c r="E64" s="190" t="str">
        <f>IFERROR(__xludf.DUMMYFUNCTION("""COMPUTED_VALUE"""),"Communication 2")</f>
        <v>Communication 2</v>
      </c>
      <c r="F64" s="190"/>
      <c r="G64" s="190"/>
      <c r="H64" s="219">
        <f>IFERROR(__xludf.DUMMYFUNCTION("""COMPUTED_VALUE"""),45841.58333333333)</f>
        <v>45841.58333</v>
      </c>
      <c r="I64" s="219">
        <f>IFERROR(__xludf.DUMMYFUNCTION("""COMPUTED_VALUE"""),45638.41666666667)</f>
        <v>45638.41667</v>
      </c>
      <c r="J64" s="190" t="str">
        <f>IFERROR(__xludf.DUMMYFUNCTION("""COMPUTED_VALUE"""),"")</f>
        <v/>
      </c>
      <c r="K64" s="190" t="str">
        <f>IFERROR(__xludf.DUMMYFUNCTION("""COMPUTED_VALUE"""),"")</f>
        <v/>
      </c>
      <c r="L64" s="190" t="str">
        <f>IFERROR(__xludf.DUMMYFUNCTION("""COMPUTED_VALUE"""),"QC")</f>
        <v>QC</v>
      </c>
      <c r="M64" s="190" t="str">
        <f>IFERROR(__xludf.DUMMYFUNCTION("""COMPUTED_VALUE"""),"LBU")</f>
        <v>LBU</v>
      </c>
      <c r="N64" s="220">
        <f>IFERROR(__xludf.DUMMYFUNCTION("""COMPUTED_VALUE"""),1.0)</f>
        <v>1</v>
      </c>
      <c r="O64" s="220">
        <f>IFERROR(__xludf.DUMMYFUNCTION("""COMPUTED_VALUE"""),1.5)</f>
        <v>1.5</v>
      </c>
      <c r="P64" s="220"/>
      <c r="Q64" s="190">
        <f t="shared" si="1"/>
        <v>1</v>
      </c>
      <c r="R64" s="211" t="s">
        <v>232</v>
      </c>
      <c r="S64" s="210" t="str">
        <f t="shared" si="2"/>
        <v>DEV</v>
      </c>
      <c r="T64" s="210" t="str">
        <f t="shared" si="3"/>
        <v>DEV, TA</v>
      </c>
      <c r="U64" s="210" t="str">
        <f t="shared" si="4"/>
        <v>CHORUS</v>
      </c>
      <c r="X64" s="210"/>
      <c r="Y64" s="210"/>
      <c r="Z64" s="210"/>
      <c r="AA64" s="210"/>
      <c r="AB64" s="210"/>
      <c r="AC64" s="210"/>
      <c r="AD64" s="210"/>
      <c r="AE64" s="210"/>
      <c r="AF64" s="210"/>
      <c r="AG64" s="210"/>
      <c r="AH64" s="210"/>
      <c r="AI64" s="210"/>
      <c r="AJ64" s="210"/>
      <c r="AK64" s="210"/>
      <c r="AL64" s="210"/>
      <c r="AM64" s="210"/>
      <c r="AN64" s="210"/>
      <c r="AO64" s="210"/>
      <c r="AP64" s="210"/>
      <c r="AQ64" s="210"/>
    </row>
    <row r="65">
      <c r="A65" s="223" t="str">
        <f>IFERROR(__xludf.DUMMYFUNCTION("""COMPUTED_VALUE"""),"227183")</f>
        <v>227183</v>
      </c>
      <c r="B65" s="190" t="str">
        <f>IFERROR(__xludf.DUMMYFUNCTION("""COMPUTED_VALUE"""),"ĐỖ VŨ GIA LONG")</f>
        <v>ĐỖ VŨ GIA LONG</v>
      </c>
      <c r="C65" s="223" t="str">
        <f>IFERROR(__xludf.DUMMYFUNCTION("""COMPUTED_VALUE"""),"EL007")</f>
        <v>EL007</v>
      </c>
      <c r="D65" s="223" t="str">
        <f>IFERROR(__xludf.DUMMYFUNCTION("""COMPUTED_VALUE"""),"Nhat Nguyen")</f>
        <v>Nhat Nguyen</v>
      </c>
      <c r="E65" s="190" t="str">
        <f>IFERROR(__xludf.DUMMYFUNCTION("""COMPUTED_VALUE"""),"Communication 2")</f>
        <v>Communication 2</v>
      </c>
      <c r="F65" s="190"/>
      <c r="G65" s="190"/>
      <c r="H65" s="219">
        <f>IFERROR(__xludf.DUMMYFUNCTION("""COMPUTED_VALUE"""),45841.58333333333)</f>
        <v>45841.58333</v>
      </c>
      <c r="I65" s="219">
        <f>IFERROR(__xludf.DUMMYFUNCTION("""COMPUTED_VALUE"""),45638.41666666667)</f>
        <v>45638.41667</v>
      </c>
      <c r="J65" s="190" t="str">
        <f>IFERROR(__xludf.DUMMYFUNCTION("""COMPUTED_VALUE"""),"")</f>
        <v/>
      </c>
      <c r="K65" s="190" t="str">
        <f>IFERROR(__xludf.DUMMYFUNCTION("""COMPUTED_VALUE"""),"")</f>
        <v/>
      </c>
      <c r="L65" s="190" t="str">
        <f>IFERROR(__xludf.DUMMYFUNCTION("""COMPUTED_VALUE"""),"DEV")</f>
        <v>DEV</v>
      </c>
      <c r="M65" s="190" t="str">
        <f>IFERROR(__xludf.DUMMYFUNCTION("""COMPUTED_VALUE"""),"TBU")</f>
        <v>TBU</v>
      </c>
      <c r="N65" s="220">
        <f>IFERROR(__xludf.DUMMYFUNCTION("""COMPUTED_VALUE"""),1.0)</f>
        <v>1</v>
      </c>
      <c r="O65" s="220">
        <f>IFERROR(__xludf.DUMMYFUNCTION("""COMPUTED_VALUE"""),3.5)</f>
        <v>3.5</v>
      </c>
      <c r="P65" s="220"/>
      <c r="Q65" s="190">
        <f t="shared" si="1"/>
        <v>1</v>
      </c>
      <c r="R65" s="211" t="s">
        <v>321</v>
      </c>
      <c r="S65" s="210" t="str">
        <f t="shared" si="2"/>
        <v>QC</v>
      </c>
      <c r="T65" s="210" t="str">
        <f t="shared" si="3"/>
        <v>QC</v>
      </c>
      <c r="U65" s="210" t="str">
        <f t="shared" si="4"/>
        <v>CHORUS</v>
      </c>
      <c r="X65" s="210"/>
      <c r="Y65" s="210"/>
      <c r="Z65" s="210"/>
      <c r="AA65" s="210"/>
      <c r="AB65" s="210"/>
      <c r="AC65" s="210"/>
      <c r="AD65" s="210"/>
      <c r="AE65" s="210"/>
      <c r="AF65" s="210"/>
      <c r="AG65" s="210"/>
      <c r="AH65" s="210"/>
      <c r="AI65" s="210"/>
      <c r="AJ65" s="210"/>
      <c r="AK65" s="210"/>
      <c r="AL65" s="210"/>
      <c r="AM65" s="210"/>
      <c r="AN65" s="210"/>
      <c r="AO65" s="210"/>
      <c r="AP65" s="210"/>
      <c r="AQ65" s="210"/>
    </row>
    <row r="66">
      <c r="A66" s="223" t="str">
        <f>IFERROR(__xludf.DUMMYFUNCTION("""COMPUTED_VALUE"""),"247390")</f>
        <v>247390</v>
      </c>
      <c r="B66" s="190" t="str">
        <f>IFERROR(__xludf.DUMMYFUNCTION("""COMPUTED_VALUE"""),"ĐOÀN KHÁNH NGUYÊN")</f>
        <v>ĐOÀN KHÁNH NGUYÊN</v>
      </c>
      <c r="C66" s="223" t="str">
        <f>IFERROR(__xludf.DUMMYFUNCTION("""COMPUTED_VALUE"""),"EL007")</f>
        <v>EL007</v>
      </c>
      <c r="D66" s="223" t="str">
        <f>IFERROR(__xludf.DUMMYFUNCTION("""COMPUTED_VALUE"""),"Nhat Nguyen")</f>
        <v>Nhat Nguyen</v>
      </c>
      <c r="E66" s="190" t="str">
        <f>IFERROR(__xludf.DUMMYFUNCTION("""COMPUTED_VALUE"""),"Communication 2")</f>
        <v>Communication 2</v>
      </c>
      <c r="F66" s="190"/>
      <c r="G66" s="190"/>
      <c r="H66" s="219">
        <f>IFERROR(__xludf.DUMMYFUNCTION("""COMPUTED_VALUE"""),45841.58333333333)</f>
        <v>45841.58333</v>
      </c>
      <c r="I66" s="219">
        <f>IFERROR(__xludf.DUMMYFUNCTION("""COMPUTED_VALUE"""),45638.41666666667)</f>
        <v>45638.41667</v>
      </c>
      <c r="J66" s="190" t="str">
        <f>IFERROR(__xludf.DUMMYFUNCTION("""COMPUTED_VALUE"""),"")</f>
        <v/>
      </c>
      <c r="K66" s="190" t="str">
        <f>IFERROR(__xludf.DUMMYFUNCTION("""COMPUTED_VALUE"""),"")</f>
        <v/>
      </c>
      <c r="L66" s="190" t="str">
        <f>IFERROR(__xludf.DUMMYFUNCTION("""COMPUTED_VALUE"""),"QC")</f>
        <v>QC</v>
      </c>
      <c r="M66" s="190" t="str">
        <f>IFERROR(__xludf.DUMMYFUNCTION("""COMPUTED_VALUE"""),"LBU")</f>
        <v>LBU</v>
      </c>
      <c r="N66" s="220">
        <f>IFERROR(__xludf.DUMMYFUNCTION("""COMPUTED_VALUE"""),1.0)</f>
        <v>1</v>
      </c>
      <c r="O66" s="220">
        <f>IFERROR(__xludf.DUMMYFUNCTION("""COMPUTED_VALUE"""),3.5)</f>
        <v>3.5</v>
      </c>
      <c r="P66" s="220"/>
      <c r="Q66" s="190">
        <f t="shared" si="1"/>
        <v>1</v>
      </c>
      <c r="R66" s="211" t="s">
        <v>689</v>
      </c>
      <c r="S66" s="210" t="str">
        <f t="shared" si="2"/>
        <v>TA</v>
      </c>
      <c r="T66" s="210" t="str">
        <f t="shared" si="3"/>
        <v>DEV, TA</v>
      </c>
      <c r="U66" s="210" t="str">
        <f t="shared" si="4"/>
        <v>CHORUS</v>
      </c>
      <c r="X66" s="210"/>
      <c r="Y66" s="210"/>
      <c r="Z66" s="210"/>
      <c r="AA66" s="210"/>
      <c r="AB66" s="210"/>
      <c r="AC66" s="210"/>
      <c r="AD66" s="210"/>
      <c r="AE66" s="210"/>
      <c r="AF66" s="210"/>
      <c r="AG66" s="210"/>
      <c r="AH66" s="210"/>
      <c r="AI66" s="210"/>
      <c r="AJ66" s="210"/>
      <c r="AK66" s="210"/>
      <c r="AL66" s="210"/>
      <c r="AM66" s="210"/>
      <c r="AN66" s="210"/>
      <c r="AO66" s="210"/>
      <c r="AP66" s="210"/>
      <c r="AQ66" s="210"/>
    </row>
    <row r="67">
      <c r="A67" s="223" t="str">
        <f>IFERROR(__xludf.DUMMYFUNCTION("""COMPUTED_VALUE"""),"247190")</f>
        <v>247190</v>
      </c>
      <c r="B67" s="190" t="str">
        <f>IFERROR(__xludf.DUMMYFUNCTION("""COMPUTED_VALUE"""),"HUỲNH NGUYÊN KHANG")</f>
        <v>HUỲNH NGUYÊN KHANG</v>
      </c>
      <c r="C67" s="223" t="str">
        <f>IFERROR(__xludf.DUMMYFUNCTION("""COMPUTED_VALUE"""),"EL007")</f>
        <v>EL007</v>
      </c>
      <c r="D67" s="223" t="str">
        <f>IFERROR(__xludf.DUMMYFUNCTION("""COMPUTED_VALUE"""),"Nhat Nguyen")</f>
        <v>Nhat Nguyen</v>
      </c>
      <c r="E67" s="190" t="str">
        <f>IFERROR(__xludf.DUMMYFUNCTION("""COMPUTED_VALUE"""),"Communication 2")</f>
        <v>Communication 2</v>
      </c>
      <c r="F67" s="190" t="str">
        <f>IFERROR(__xludf.DUMMYFUNCTION("""COMPUTED_VALUE"""),"Pre-Intermediate 1")</f>
        <v>Pre-Intermediate 1</v>
      </c>
      <c r="G67" s="190"/>
      <c r="H67" s="219">
        <f>IFERROR(__xludf.DUMMYFUNCTION("""COMPUTED_VALUE"""),45841.58333333333)</f>
        <v>45841.58333</v>
      </c>
      <c r="I67" s="219">
        <f>IFERROR(__xludf.DUMMYFUNCTION("""COMPUTED_VALUE"""),45702.45833333333)</f>
        <v>45702.45833</v>
      </c>
      <c r="J67" s="190">
        <f>IFERROR(__xludf.DUMMYFUNCTION("""COMPUTED_VALUE"""),3.0)</f>
        <v>3</v>
      </c>
      <c r="K67" s="190" t="str">
        <f>IFERROR(__xludf.DUMMYFUNCTION("""COMPUTED_VALUE"""),"")</f>
        <v/>
      </c>
      <c r="L67" s="190" t="str">
        <f>IFERROR(__xludf.DUMMYFUNCTION("""COMPUTED_VALUE"""),"DEV")</f>
        <v>DEV</v>
      </c>
      <c r="M67" s="190" t="str">
        <f>IFERROR(__xludf.DUMMYFUNCTION("""COMPUTED_VALUE"""),"CHORUS")</f>
        <v>CHORUS</v>
      </c>
      <c r="N67" s="220">
        <f>IFERROR(__xludf.DUMMYFUNCTION("""COMPUTED_VALUE"""),1.0)</f>
        <v>1</v>
      </c>
      <c r="O67" s="220">
        <f>IFERROR(__xludf.DUMMYFUNCTION("""COMPUTED_VALUE"""),3.0)</f>
        <v>3</v>
      </c>
      <c r="P67" s="229"/>
      <c r="Q67" s="190">
        <f t="shared" si="1"/>
        <v>1</v>
      </c>
      <c r="R67" s="211" t="s">
        <v>504</v>
      </c>
      <c r="S67" s="210" t="str">
        <f t="shared" si="2"/>
        <v>DEV</v>
      </c>
      <c r="T67" s="210" t="str">
        <f t="shared" si="3"/>
        <v>DEV, TA</v>
      </c>
      <c r="U67" s="210" t="str">
        <f t="shared" si="4"/>
        <v>CHORUS</v>
      </c>
      <c r="X67" s="210"/>
      <c r="Y67" s="210"/>
      <c r="Z67" s="210"/>
      <c r="AA67" s="210"/>
      <c r="AB67" s="210"/>
      <c r="AC67" s="210"/>
      <c r="AD67" s="210"/>
      <c r="AE67" s="210"/>
      <c r="AF67" s="210"/>
      <c r="AG67" s="210"/>
      <c r="AH67" s="210"/>
      <c r="AI67" s="210"/>
      <c r="AJ67" s="210"/>
      <c r="AK67" s="210"/>
      <c r="AL67" s="210"/>
      <c r="AM67" s="210"/>
      <c r="AN67" s="210"/>
      <c r="AO67" s="210"/>
      <c r="AP67" s="210"/>
      <c r="AQ67" s="210"/>
    </row>
    <row r="68">
      <c r="A68" s="223" t="str">
        <f>IFERROR(__xludf.DUMMYFUNCTION("""COMPUTED_VALUE"""),"203759")</f>
        <v>203759</v>
      </c>
      <c r="B68" s="190" t="str">
        <f>IFERROR(__xludf.DUMMYFUNCTION("""COMPUTED_VALUE"""),"PHAN THẾ AN")</f>
        <v>PHAN THẾ AN</v>
      </c>
      <c r="C68" s="223" t="str">
        <f>IFERROR(__xludf.DUMMYFUNCTION("""COMPUTED_VALUE"""),"EL007")</f>
        <v>EL007</v>
      </c>
      <c r="D68" s="223" t="str">
        <f>IFERROR(__xludf.DUMMYFUNCTION("""COMPUTED_VALUE"""),"Nhat Nguyen")</f>
        <v>Nhat Nguyen</v>
      </c>
      <c r="E68" s="190" t="str">
        <f>IFERROR(__xludf.DUMMYFUNCTION("""COMPUTED_VALUE"""),"Communication 2")</f>
        <v>Communication 2</v>
      </c>
      <c r="F68" s="190" t="str">
        <f>IFERROR(__xludf.DUMMYFUNCTION("""COMPUTED_VALUE"""),"Pre-Intermediate 1")</f>
        <v>Pre-Intermediate 1</v>
      </c>
      <c r="G68" s="190" t="str">
        <f>IFERROR(__xludf.DUMMYFUNCTION("""COMPUTED_VALUE"""),"Intermediate 1")</f>
        <v>Intermediate 1</v>
      </c>
      <c r="H68" s="219">
        <f>IFERROR(__xludf.DUMMYFUNCTION("""COMPUTED_VALUE"""),45841.58333333333)</f>
        <v>45841.58333</v>
      </c>
      <c r="I68" s="219">
        <f>IFERROR(__xludf.DUMMYFUNCTION("""COMPUTED_VALUE"""),45702.45833333333)</f>
        <v>45702.45833</v>
      </c>
      <c r="J68" s="190">
        <f>IFERROR(__xludf.DUMMYFUNCTION("""COMPUTED_VALUE"""),3.0)</f>
        <v>3</v>
      </c>
      <c r="K68" s="190">
        <f>IFERROR(__xludf.DUMMYFUNCTION("""COMPUTED_VALUE"""),5.0)</f>
        <v>5</v>
      </c>
      <c r="L68" s="190" t="str">
        <f>IFERROR(__xludf.DUMMYFUNCTION("""COMPUTED_VALUE"""),"DEV")</f>
        <v>DEV</v>
      </c>
      <c r="M68" s="190" t="str">
        <f>IFERROR(__xludf.DUMMYFUNCTION("""COMPUTED_VALUE"""),"LBU")</f>
        <v>LBU</v>
      </c>
      <c r="N68" s="220">
        <f>IFERROR(__xludf.DUMMYFUNCTION("""COMPUTED_VALUE"""),1.0)</f>
        <v>1</v>
      </c>
      <c r="O68" s="220">
        <f>IFERROR(__xludf.DUMMYFUNCTION("""COMPUTED_VALUE"""),5.0)</f>
        <v>5</v>
      </c>
      <c r="P68" s="220"/>
      <c r="Q68" s="190">
        <f t="shared" si="1"/>
        <v>1</v>
      </c>
      <c r="R68" s="211" t="s">
        <v>140</v>
      </c>
      <c r="S68" s="210" t="str">
        <f t="shared" si="2"/>
        <v>DEV</v>
      </c>
      <c r="T68" s="210" t="str">
        <f t="shared" si="3"/>
        <v>DEV, TA</v>
      </c>
      <c r="U68" s="210" t="str">
        <f t="shared" si="4"/>
        <v>CHORUS</v>
      </c>
      <c r="X68" s="210"/>
      <c r="Y68" s="210"/>
      <c r="Z68" s="210"/>
      <c r="AA68" s="210"/>
      <c r="AB68" s="210"/>
      <c r="AC68" s="210"/>
      <c r="AD68" s="210"/>
      <c r="AE68" s="210"/>
      <c r="AF68" s="210"/>
      <c r="AG68" s="210"/>
      <c r="AH68" s="210"/>
      <c r="AI68" s="210"/>
      <c r="AJ68" s="210"/>
      <c r="AK68" s="210"/>
      <c r="AL68" s="210"/>
      <c r="AM68" s="210"/>
      <c r="AN68" s="210"/>
      <c r="AO68" s="210"/>
      <c r="AP68" s="210"/>
      <c r="AQ68" s="210"/>
    </row>
    <row r="69">
      <c r="A69" s="223" t="str">
        <f>IFERROR(__xludf.DUMMYFUNCTION("""COMPUTED_VALUE"""),"247191")</f>
        <v>247191</v>
      </c>
      <c r="B69" s="190" t="str">
        <f>IFERROR(__xludf.DUMMYFUNCTION("""COMPUTED_VALUE"""),"TRẦN NGỌC PHƯỚC HOÀNG")</f>
        <v>TRẦN NGỌC PHƯỚC HOÀNG</v>
      </c>
      <c r="C69" s="223" t="str">
        <f>IFERROR(__xludf.DUMMYFUNCTION("""COMPUTED_VALUE"""),"EL007")</f>
        <v>EL007</v>
      </c>
      <c r="D69" s="223" t="str">
        <f>IFERROR(__xludf.DUMMYFUNCTION("""COMPUTED_VALUE"""),"Nhat Nguyen")</f>
        <v>Nhat Nguyen</v>
      </c>
      <c r="E69" s="190" t="str">
        <f>IFERROR(__xludf.DUMMYFUNCTION("""COMPUTED_VALUE"""),"Communication 2")</f>
        <v>Communication 2</v>
      </c>
      <c r="F69" s="190" t="str">
        <f>IFERROR(__xludf.DUMMYFUNCTION("""COMPUTED_VALUE"""),"Pre-Intermediate 1")</f>
        <v>Pre-Intermediate 1</v>
      </c>
      <c r="G69" s="190"/>
      <c r="H69" s="219">
        <f>IFERROR(__xludf.DUMMYFUNCTION("""COMPUTED_VALUE"""),45841.58333333333)</f>
        <v>45841.58333</v>
      </c>
      <c r="I69" s="219">
        <f>IFERROR(__xludf.DUMMYFUNCTION("""COMPUTED_VALUE"""),45702.45833333333)</f>
        <v>45702.45833</v>
      </c>
      <c r="J69" s="190">
        <f>IFERROR(__xludf.DUMMYFUNCTION("""COMPUTED_VALUE"""),3.0)</f>
        <v>3</v>
      </c>
      <c r="K69" s="190" t="str">
        <f>IFERROR(__xludf.DUMMYFUNCTION("""COMPUTED_VALUE"""),"")</f>
        <v/>
      </c>
      <c r="L69" s="190" t="str">
        <f>IFERROR(__xludf.DUMMYFUNCTION("""COMPUTED_VALUE"""),"DEV")</f>
        <v>DEV</v>
      </c>
      <c r="M69" s="190" t="str">
        <f>IFERROR(__xludf.DUMMYFUNCTION("""COMPUTED_VALUE"""),"CHORUS")</f>
        <v>CHORUS</v>
      </c>
      <c r="N69" s="220">
        <f>IFERROR(__xludf.DUMMYFUNCTION("""COMPUTED_VALUE"""),1.0)</f>
        <v>1</v>
      </c>
      <c r="O69" s="220">
        <f>IFERROR(__xludf.DUMMYFUNCTION("""COMPUTED_VALUE"""),3.0)</f>
        <v>3</v>
      </c>
      <c r="P69" s="229"/>
      <c r="Q69" s="190">
        <f t="shared" si="1"/>
        <v>1</v>
      </c>
      <c r="R69" s="211" t="s">
        <v>340</v>
      </c>
      <c r="S69" s="210" t="str">
        <f t="shared" si="2"/>
        <v>DEV</v>
      </c>
      <c r="T69" s="210" t="str">
        <f t="shared" si="3"/>
        <v>DEV, TA</v>
      </c>
      <c r="U69" s="210" t="str">
        <f t="shared" si="4"/>
        <v>CHORUS</v>
      </c>
      <c r="X69" s="210"/>
      <c r="Y69" s="210"/>
      <c r="Z69" s="210"/>
      <c r="AA69" s="210"/>
      <c r="AB69" s="210"/>
      <c r="AC69" s="210"/>
      <c r="AD69" s="210"/>
      <c r="AE69" s="210"/>
      <c r="AF69" s="210"/>
      <c r="AG69" s="210"/>
      <c r="AH69" s="210"/>
      <c r="AI69" s="210"/>
      <c r="AJ69" s="210"/>
      <c r="AK69" s="210"/>
      <c r="AL69" s="210"/>
      <c r="AM69" s="210"/>
      <c r="AN69" s="210"/>
      <c r="AO69" s="210"/>
      <c r="AP69" s="210"/>
      <c r="AQ69" s="210"/>
    </row>
    <row r="70">
      <c r="A70" s="223" t="str">
        <f>IFERROR(__xludf.DUMMYFUNCTION("""COMPUTED_VALUE"""),"213891")</f>
        <v>213891</v>
      </c>
      <c r="B70" s="190" t="str">
        <f>IFERROR(__xludf.DUMMYFUNCTION("""COMPUTED_VALUE"""),"VÕ DUY KIỆT")</f>
        <v>VÕ DUY KIỆT</v>
      </c>
      <c r="C70" s="223" t="str">
        <f>IFERROR(__xludf.DUMMYFUNCTION("""COMPUTED_VALUE"""),"EL007")</f>
        <v>EL007</v>
      </c>
      <c r="D70" s="223" t="str">
        <f>IFERROR(__xludf.DUMMYFUNCTION("""COMPUTED_VALUE"""),"Nhat Nguyen")</f>
        <v>Nhat Nguyen</v>
      </c>
      <c r="E70" s="190" t="str">
        <f>IFERROR(__xludf.DUMMYFUNCTION("""COMPUTED_VALUE"""),"Communication 2")</f>
        <v>Communication 2</v>
      </c>
      <c r="F70" s="190"/>
      <c r="G70" s="190"/>
      <c r="H70" s="219">
        <f>IFERROR(__xludf.DUMMYFUNCTION("""COMPUTED_VALUE"""),45841.58333333333)</f>
        <v>45841.58333</v>
      </c>
      <c r="I70" s="219">
        <f>IFERROR(__xludf.DUMMYFUNCTION("""COMPUTED_VALUE"""),45638.41666666667)</f>
        <v>45638.41667</v>
      </c>
      <c r="J70" s="190" t="str">
        <f>IFERROR(__xludf.DUMMYFUNCTION("""COMPUTED_VALUE"""),"")</f>
        <v/>
      </c>
      <c r="K70" s="190" t="str">
        <f>IFERROR(__xludf.DUMMYFUNCTION("""COMPUTED_VALUE"""),"")</f>
        <v/>
      </c>
      <c r="L70" s="190" t="str">
        <f>IFERROR(__xludf.DUMMYFUNCTION("""COMPUTED_VALUE"""),"DEV")</f>
        <v>DEV</v>
      </c>
      <c r="M70" s="190" t="str">
        <f>IFERROR(__xludf.DUMMYFUNCTION("""COMPUTED_VALUE"""),"TBU")</f>
        <v>TBU</v>
      </c>
      <c r="N70" s="220">
        <f>IFERROR(__xludf.DUMMYFUNCTION("""COMPUTED_VALUE"""),1.0)</f>
        <v>1</v>
      </c>
      <c r="O70" s="220">
        <f>IFERROR(__xludf.DUMMYFUNCTION("""COMPUTED_VALUE"""),3.0)</f>
        <v>3</v>
      </c>
      <c r="P70" s="220"/>
      <c r="Q70" s="190">
        <f t="shared" si="1"/>
        <v>1</v>
      </c>
      <c r="R70" s="211" t="s">
        <v>395</v>
      </c>
      <c r="S70" s="210" t="str">
        <f t="shared" si="2"/>
        <v>QC</v>
      </c>
      <c r="T70" s="210" t="str">
        <f t="shared" si="3"/>
        <v>QC</v>
      </c>
      <c r="U70" s="210" t="str">
        <f t="shared" si="4"/>
        <v>CHORUS</v>
      </c>
      <c r="X70" s="210"/>
      <c r="Y70" s="210"/>
      <c r="Z70" s="210"/>
      <c r="AA70" s="210"/>
      <c r="AB70" s="210"/>
      <c r="AC70" s="210"/>
      <c r="AD70" s="210"/>
      <c r="AE70" s="210"/>
      <c r="AF70" s="210"/>
      <c r="AG70" s="210"/>
      <c r="AH70" s="210"/>
      <c r="AI70" s="210"/>
      <c r="AJ70" s="210"/>
      <c r="AK70" s="210"/>
      <c r="AL70" s="210"/>
      <c r="AM70" s="210"/>
      <c r="AN70" s="210"/>
      <c r="AO70" s="210"/>
      <c r="AP70" s="210"/>
      <c r="AQ70" s="210"/>
    </row>
    <row r="71">
      <c r="A71" s="218" t="str">
        <f>IFERROR(__xludf.DUMMYFUNCTION("""COMPUTED_VALUE"""),"193526")</f>
        <v>193526</v>
      </c>
      <c r="B71" s="217" t="str">
        <f>IFERROR(__xludf.DUMMYFUNCTION("""COMPUTED_VALUE"""),"TRẦN ĐÌNH CHIẾN")</f>
        <v>TRẦN ĐÌNH CHIẾN</v>
      </c>
      <c r="C71" s="218" t="str">
        <f>IFERROR(__xludf.DUMMYFUNCTION("""COMPUTED_VALUE"""),"EL008")</f>
        <v>EL008</v>
      </c>
      <c r="D71" s="218" t="str">
        <f>IFERROR(__xludf.DUMMYFUNCTION("""COMPUTED_VALUE"""),"Hung Nguyen")</f>
        <v>Hung Nguyen</v>
      </c>
      <c r="E71" s="217" t="str">
        <f>IFERROR(__xludf.DUMMYFUNCTION("""COMPUTED_VALUE"""),"Business English")</f>
        <v>Business English</v>
      </c>
      <c r="F71" s="190"/>
      <c r="G71" s="190"/>
      <c r="H71" s="219">
        <f>IFERROR(__xludf.DUMMYFUNCTION("""COMPUTED_VALUE"""),0.0)</f>
        <v>0</v>
      </c>
      <c r="I71" s="219">
        <f>IFERROR(__xludf.DUMMYFUNCTION("""COMPUTED_VALUE"""),45772.58333333333)</f>
        <v>45772.58333</v>
      </c>
      <c r="J71" s="190" t="str">
        <f>IFERROR(__xludf.DUMMYFUNCTION("""COMPUTED_VALUE"""),"")</f>
        <v/>
      </c>
      <c r="K71" s="190" t="str">
        <f>IFERROR(__xludf.DUMMYFUNCTION("""COMPUTED_VALUE"""),"")</f>
        <v/>
      </c>
      <c r="L71" s="190" t="str">
        <f>IFERROR(__xludf.DUMMYFUNCTION("""COMPUTED_VALUE"""),"DEV")</f>
        <v>DEV</v>
      </c>
      <c r="M71" s="190" t="str">
        <f>IFERROR(__xludf.DUMMYFUNCTION("""COMPUTED_VALUE"""),"TBU")</f>
        <v>TBU</v>
      </c>
      <c r="N71" s="220">
        <f>IFERROR(__xludf.DUMMYFUNCTION("""COMPUTED_VALUE"""),1.0)</f>
        <v>1</v>
      </c>
      <c r="O71" s="220">
        <f>IFERROR(__xludf.DUMMYFUNCTION("""COMPUTED_VALUE"""),5.0)</f>
        <v>5</v>
      </c>
      <c r="P71" s="220"/>
      <c r="Q71" s="190">
        <f t="shared" si="1"/>
        <v>1</v>
      </c>
      <c r="R71" s="211" t="s">
        <v>583</v>
      </c>
      <c r="S71" s="210" t="str">
        <f t="shared" si="2"/>
        <v>DEV</v>
      </c>
      <c r="T71" s="210" t="str">
        <f t="shared" si="3"/>
        <v>DEV, TA</v>
      </c>
      <c r="U71" s="210" t="str">
        <f t="shared" si="4"/>
        <v>CHORUS</v>
      </c>
      <c r="X71" s="210"/>
      <c r="Y71" s="210"/>
      <c r="Z71" s="210"/>
      <c r="AA71" s="210"/>
      <c r="AB71" s="210"/>
      <c r="AC71" s="210"/>
      <c r="AD71" s="210"/>
      <c r="AE71" s="210"/>
      <c r="AF71" s="210"/>
      <c r="AG71" s="210"/>
      <c r="AH71" s="210"/>
      <c r="AI71" s="210"/>
      <c r="AJ71" s="210"/>
      <c r="AK71" s="210"/>
      <c r="AL71" s="210"/>
      <c r="AM71" s="210"/>
      <c r="AN71" s="210"/>
      <c r="AO71" s="210"/>
      <c r="AP71" s="210"/>
      <c r="AQ71" s="210"/>
    </row>
    <row r="72">
      <c r="A72" s="223" t="str">
        <f>IFERROR(__xludf.DUMMYFUNCTION("""COMPUTED_VALUE"""),"237117")</f>
        <v>237117</v>
      </c>
      <c r="B72" s="190" t="str">
        <f>IFERROR(__xludf.DUMMYFUNCTION("""COMPUTED_VALUE"""),"HUỲNH TẤN PHÁT")</f>
        <v>HUỲNH TẤN PHÁT</v>
      </c>
      <c r="C72" s="223" t="str">
        <f>IFERROR(__xludf.DUMMYFUNCTION("""COMPUTED_VALUE"""),"EL008")</f>
        <v>EL008</v>
      </c>
      <c r="D72" s="223" t="str">
        <f>IFERROR(__xludf.DUMMYFUNCTION("""COMPUTED_VALUE"""),"Hung Nguyen")</f>
        <v>Hung Nguyen</v>
      </c>
      <c r="E72" s="190" t="str">
        <f>IFERROR(__xludf.DUMMYFUNCTION("""COMPUTED_VALUE"""),"Business English")</f>
        <v>Business English</v>
      </c>
      <c r="F72" s="190"/>
      <c r="G72" s="190"/>
      <c r="H72" s="219">
        <f>IFERROR(__xludf.DUMMYFUNCTION("""COMPUTED_VALUE"""),0.0)</f>
        <v>0</v>
      </c>
      <c r="I72" s="219">
        <f>IFERROR(__xludf.DUMMYFUNCTION("""COMPUTED_VALUE"""),45772.58333333333)</f>
        <v>45772.58333</v>
      </c>
      <c r="J72" s="190" t="str">
        <f>IFERROR(__xludf.DUMMYFUNCTION("""COMPUTED_VALUE"""),"")</f>
        <v/>
      </c>
      <c r="K72" s="190" t="str">
        <f>IFERROR(__xludf.DUMMYFUNCTION("""COMPUTED_VALUE"""),"")</f>
        <v/>
      </c>
      <c r="L72" s="190" t="str">
        <f>IFERROR(__xludf.DUMMYFUNCTION("""COMPUTED_VALUE"""),"DEV")</f>
        <v>DEV</v>
      </c>
      <c r="M72" s="190" t="str">
        <f>IFERROR(__xludf.DUMMYFUNCTION("""COMPUTED_VALUE"""),"TBU")</f>
        <v>TBU</v>
      </c>
      <c r="N72" s="220">
        <f>IFERROR(__xludf.DUMMYFUNCTION("""COMPUTED_VALUE"""),1.0)</f>
        <v>1</v>
      </c>
      <c r="O72" s="220">
        <f>IFERROR(__xludf.DUMMYFUNCTION("""COMPUTED_VALUE"""),5.0)</f>
        <v>5</v>
      </c>
      <c r="P72" s="220"/>
      <c r="Q72" s="190">
        <f t="shared" si="1"/>
        <v>1</v>
      </c>
      <c r="R72" s="211" t="s">
        <v>307</v>
      </c>
      <c r="S72" s="210" t="str">
        <f t="shared" si="2"/>
        <v>DEV</v>
      </c>
      <c r="T72" s="210" t="str">
        <f t="shared" si="3"/>
        <v>DEV, TA</v>
      </c>
      <c r="U72" s="210" t="str">
        <f t="shared" si="4"/>
        <v>CHORUS</v>
      </c>
      <c r="X72" s="210"/>
      <c r="Y72" s="210"/>
      <c r="Z72" s="210"/>
      <c r="AA72" s="210"/>
      <c r="AB72" s="210"/>
      <c r="AC72" s="210"/>
      <c r="AD72" s="210"/>
      <c r="AE72" s="210"/>
      <c r="AF72" s="210"/>
      <c r="AG72" s="210"/>
      <c r="AH72" s="210"/>
      <c r="AI72" s="210"/>
      <c r="AJ72" s="210"/>
      <c r="AK72" s="210"/>
      <c r="AL72" s="210"/>
      <c r="AM72" s="210"/>
      <c r="AN72" s="210"/>
      <c r="AO72" s="210"/>
      <c r="AP72" s="210"/>
      <c r="AQ72" s="210"/>
    </row>
    <row r="73">
      <c r="A73" s="223" t="str">
        <f>IFERROR(__xludf.DUMMYFUNCTION("""COMPUTED_VALUE"""),"203780")</f>
        <v>203780</v>
      </c>
      <c r="B73" s="190" t="str">
        <f>IFERROR(__xludf.DUMMYFUNCTION("""COMPUTED_VALUE"""),"LÊ HOÀNG NGUYỄN")</f>
        <v>LÊ HOÀNG NGUYỄN</v>
      </c>
      <c r="C73" s="223" t="str">
        <f>IFERROR(__xludf.DUMMYFUNCTION("""COMPUTED_VALUE"""),"EL008")</f>
        <v>EL008</v>
      </c>
      <c r="D73" s="223" t="str">
        <f>IFERROR(__xludf.DUMMYFUNCTION("""COMPUTED_VALUE"""),"Hung Nguyen")</f>
        <v>Hung Nguyen</v>
      </c>
      <c r="E73" s="190" t="str">
        <f>IFERROR(__xludf.DUMMYFUNCTION("""COMPUTED_VALUE"""),"Business English")</f>
        <v>Business English</v>
      </c>
      <c r="F73" s="190"/>
      <c r="G73" s="190"/>
      <c r="H73" s="219">
        <f>IFERROR(__xludf.DUMMYFUNCTION("""COMPUTED_VALUE"""),0.0)</f>
        <v>0</v>
      </c>
      <c r="I73" s="219">
        <f>IFERROR(__xludf.DUMMYFUNCTION("""COMPUTED_VALUE"""),45772.58333333333)</f>
        <v>45772.58333</v>
      </c>
      <c r="J73" s="190" t="str">
        <f>IFERROR(__xludf.DUMMYFUNCTION("""COMPUTED_VALUE"""),"")</f>
        <v/>
      </c>
      <c r="K73" s="190" t="str">
        <f>IFERROR(__xludf.DUMMYFUNCTION("""COMPUTED_VALUE"""),"")</f>
        <v/>
      </c>
      <c r="L73" s="190" t="str">
        <f>IFERROR(__xludf.DUMMYFUNCTION("""COMPUTED_VALUE"""),"QC")</f>
        <v>QC</v>
      </c>
      <c r="M73" s="190" t="str">
        <f>IFERROR(__xludf.DUMMYFUNCTION("""COMPUTED_VALUE"""),"TBU")</f>
        <v>TBU</v>
      </c>
      <c r="N73" s="220">
        <f>IFERROR(__xludf.DUMMYFUNCTION("""COMPUTED_VALUE"""),1.0)</f>
        <v>1</v>
      </c>
      <c r="O73" s="220">
        <f>IFERROR(__xludf.DUMMYFUNCTION("""COMPUTED_VALUE"""),4.5)</f>
        <v>4.5</v>
      </c>
      <c r="P73" s="220"/>
      <c r="Q73" s="190">
        <f t="shared" si="1"/>
        <v>1</v>
      </c>
      <c r="R73" s="211" t="s">
        <v>190</v>
      </c>
      <c r="S73" s="210" t="str">
        <f t="shared" si="2"/>
        <v>TA</v>
      </c>
      <c r="T73" s="210" t="str">
        <f t="shared" si="3"/>
        <v>DEV, TA</v>
      </c>
      <c r="U73" s="210" t="str">
        <f t="shared" si="4"/>
        <v>CHORUS</v>
      </c>
      <c r="X73" s="210"/>
      <c r="Y73" s="210"/>
      <c r="Z73" s="210"/>
      <c r="AA73" s="210"/>
      <c r="AB73" s="210"/>
      <c r="AC73" s="210"/>
      <c r="AD73" s="210"/>
      <c r="AE73" s="210"/>
      <c r="AF73" s="210"/>
      <c r="AG73" s="210"/>
      <c r="AH73" s="210"/>
      <c r="AI73" s="210"/>
      <c r="AJ73" s="210"/>
      <c r="AK73" s="210"/>
      <c r="AL73" s="210"/>
      <c r="AM73" s="210"/>
      <c r="AN73" s="210"/>
      <c r="AO73" s="210"/>
      <c r="AP73" s="210"/>
      <c r="AQ73" s="210"/>
    </row>
    <row r="74">
      <c r="A74" s="223" t="str">
        <f>IFERROR(__xludf.DUMMYFUNCTION("""COMPUTED_VALUE"""),"247313")</f>
        <v>247313</v>
      </c>
      <c r="B74" s="190" t="str">
        <f>IFERROR(__xludf.DUMMYFUNCTION("""COMPUTED_VALUE"""),"Nguyễn Hồng Mỹ")</f>
        <v>Nguyễn Hồng Mỹ</v>
      </c>
      <c r="C74" s="223" t="str">
        <f>IFERROR(__xludf.DUMMYFUNCTION("""COMPUTED_VALUE"""),"EL008")</f>
        <v>EL008</v>
      </c>
      <c r="D74" s="223" t="str">
        <f>IFERROR(__xludf.DUMMYFUNCTION("""COMPUTED_VALUE"""),"Hung Nguyen")</f>
        <v>Hung Nguyen</v>
      </c>
      <c r="E74" s="190" t="str">
        <f>IFERROR(__xludf.DUMMYFUNCTION("""COMPUTED_VALUE"""),"Business English")</f>
        <v>Business English</v>
      </c>
      <c r="F74" s="190"/>
      <c r="G74" s="190"/>
      <c r="H74" s="219">
        <f>IFERROR(__xludf.DUMMYFUNCTION("""COMPUTED_VALUE"""),0.0)</f>
        <v>0</v>
      </c>
      <c r="I74" s="219">
        <f>IFERROR(__xludf.DUMMYFUNCTION("""COMPUTED_VALUE"""),45813.45833333333)</f>
        <v>45813.45833</v>
      </c>
      <c r="J74" s="190" t="str">
        <f>IFERROR(__xludf.DUMMYFUNCTION("""COMPUTED_VALUE"""),"")</f>
        <v/>
      </c>
      <c r="K74" s="190" t="str">
        <f>IFERROR(__xludf.DUMMYFUNCTION("""COMPUTED_VALUE"""),"")</f>
        <v/>
      </c>
      <c r="L74" s="190" t="str">
        <f>IFERROR(__xludf.DUMMYFUNCTION("""COMPUTED_VALUE"""),"SM")</f>
        <v>SM</v>
      </c>
      <c r="M74" s="190" t="str">
        <f>IFERROR(__xludf.DUMMYFUNCTION("""COMPUTED_VALUE"""),"TBU")</f>
        <v>TBU</v>
      </c>
      <c r="N74" s="220">
        <f>IFERROR(__xludf.DUMMYFUNCTION("""COMPUTED_VALUE"""),4.5)</f>
        <v>4.5</v>
      </c>
      <c r="O74" s="220">
        <f>IFERROR(__xludf.DUMMYFUNCTION("""COMPUTED_VALUE"""),5.5)</f>
        <v>5.5</v>
      </c>
      <c r="P74" s="220"/>
      <c r="Q74" s="190">
        <f t="shared" si="1"/>
        <v>1</v>
      </c>
      <c r="R74" s="211" t="s">
        <v>198</v>
      </c>
      <c r="S74" s="210" t="str">
        <f t="shared" si="2"/>
        <v>DEV</v>
      </c>
      <c r="T74" s="210" t="str">
        <f t="shared" si="3"/>
        <v>DEV, TA</v>
      </c>
      <c r="U74" s="210" t="str">
        <f t="shared" si="4"/>
        <v>TBU</v>
      </c>
      <c r="X74" s="210"/>
      <c r="Y74" s="210"/>
      <c r="Z74" s="210"/>
      <c r="AA74" s="210"/>
      <c r="AB74" s="210"/>
      <c r="AC74" s="210"/>
      <c r="AD74" s="210"/>
      <c r="AE74" s="210"/>
      <c r="AF74" s="210"/>
      <c r="AG74" s="210"/>
      <c r="AH74" s="210"/>
      <c r="AI74" s="210"/>
      <c r="AJ74" s="210"/>
      <c r="AK74" s="210"/>
      <c r="AL74" s="210"/>
      <c r="AM74" s="210"/>
      <c r="AN74" s="210"/>
      <c r="AO74" s="210"/>
      <c r="AP74" s="210"/>
      <c r="AQ74" s="210"/>
    </row>
    <row r="75">
      <c r="A75" s="223" t="str">
        <f>IFERROR(__xludf.DUMMYFUNCTION("""COMPUTED_VALUE"""),"193523")</f>
        <v>193523</v>
      </c>
      <c r="B75" s="190" t="str">
        <f>IFERROR(__xludf.DUMMYFUNCTION("""COMPUTED_VALUE"""),"PHẠM HỮU TUẤN")</f>
        <v>PHẠM HỮU TUẤN</v>
      </c>
      <c r="C75" s="223" t="str">
        <f>IFERROR(__xludf.DUMMYFUNCTION("""COMPUTED_VALUE"""),"EL008")</f>
        <v>EL008</v>
      </c>
      <c r="D75" s="223" t="str">
        <f>IFERROR(__xludf.DUMMYFUNCTION("""COMPUTED_VALUE"""),"Hung Nguyen")</f>
        <v>Hung Nguyen</v>
      </c>
      <c r="E75" s="190" t="str">
        <f>IFERROR(__xludf.DUMMYFUNCTION("""COMPUTED_VALUE"""),"Business English")</f>
        <v>Business English</v>
      </c>
      <c r="F75" s="190"/>
      <c r="G75" s="190"/>
      <c r="H75" s="219">
        <f>IFERROR(__xludf.DUMMYFUNCTION("""COMPUTED_VALUE"""),0.0)</f>
        <v>0</v>
      </c>
      <c r="I75" s="219">
        <f>IFERROR(__xludf.DUMMYFUNCTION("""COMPUTED_VALUE"""),45772.58333333333)</f>
        <v>45772.58333</v>
      </c>
      <c r="J75" s="190" t="str">
        <f>IFERROR(__xludf.DUMMYFUNCTION("""COMPUTED_VALUE"""),"")</f>
        <v/>
      </c>
      <c r="K75" s="190" t="str">
        <f>IFERROR(__xludf.DUMMYFUNCTION("""COMPUTED_VALUE"""),"")</f>
        <v/>
      </c>
      <c r="L75" s="190" t="str">
        <f>IFERROR(__xludf.DUMMYFUNCTION("""COMPUTED_VALUE"""),"DEV")</f>
        <v>DEV</v>
      </c>
      <c r="M75" s="190" t="str">
        <f>IFERROR(__xludf.DUMMYFUNCTION("""COMPUTED_VALUE"""),"TBU")</f>
        <v>TBU</v>
      </c>
      <c r="N75" s="220">
        <f>IFERROR(__xludf.DUMMYFUNCTION("""COMPUTED_VALUE"""),1.0)</f>
        <v>1</v>
      </c>
      <c r="O75" s="220">
        <f>IFERROR(__xludf.DUMMYFUNCTION("""COMPUTED_VALUE"""),5.0)</f>
        <v>5</v>
      </c>
      <c r="P75" s="220"/>
      <c r="Q75" s="190">
        <f t="shared" si="1"/>
        <v>1</v>
      </c>
      <c r="R75" s="211" t="s">
        <v>237</v>
      </c>
      <c r="S75" s="210" t="str">
        <f t="shared" si="2"/>
        <v>QC</v>
      </c>
      <c r="T75" s="210" t="str">
        <f t="shared" si="3"/>
        <v>QC</v>
      </c>
      <c r="U75" s="210" t="str">
        <f t="shared" si="4"/>
        <v>CHORUS</v>
      </c>
      <c r="X75" s="210"/>
      <c r="Y75" s="210"/>
      <c r="Z75" s="210"/>
      <c r="AA75" s="210"/>
      <c r="AB75" s="210"/>
      <c r="AC75" s="210"/>
      <c r="AD75" s="210"/>
      <c r="AE75" s="210"/>
      <c r="AF75" s="210"/>
      <c r="AG75" s="210"/>
      <c r="AH75" s="210"/>
      <c r="AI75" s="210"/>
      <c r="AJ75" s="210"/>
      <c r="AK75" s="210"/>
      <c r="AL75" s="210"/>
      <c r="AM75" s="210"/>
      <c r="AN75" s="210"/>
      <c r="AO75" s="210"/>
      <c r="AP75" s="210"/>
      <c r="AQ75" s="210"/>
    </row>
    <row r="76">
      <c r="A76" s="223" t="str">
        <f>IFERROR(__xludf.DUMMYFUNCTION("""COMPUTED_VALUE"""),"237161")</f>
        <v>237161</v>
      </c>
      <c r="B76" s="190" t="str">
        <f>IFERROR(__xludf.DUMMYFUNCTION("""COMPUTED_VALUE"""),"TRẦN VĂN HÀ")</f>
        <v>TRẦN VĂN HÀ</v>
      </c>
      <c r="C76" s="223" t="str">
        <f>IFERROR(__xludf.DUMMYFUNCTION("""COMPUTED_VALUE"""),"EL008")</f>
        <v>EL008</v>
      </c>
      <c r="D76" s="223" t="str">
        <f>IFERROR(__xludf.DUMMYFUNCTION("""COMPUTED_VALUE"""),"Hung Nguyen")</f>
        <v>Hung Nguyen</v>
      </c>
      <c r="E76" s="190" t="str">
        <f>IFERROR(__xludf.DUMMYFUNCTION("""COMPUTED_VALUE"""),"Business English")</f>
        <v>Business English</v>
      </c>
      <c r="F76" s="190"/>
      <c r="G76" s="190"/>
      <c r="H76" s="219">
        <f>IFERROR(__xludf.DUMMYFUNCTION("""COMPUTED_VALUE"""),0.0)</f>
        <v>0</v>
      </c>
      <c r="I76" s="219">
        <f>IFERROR(__xludf.DUMMYFUNCTION("""COMPUTED_VALUE"""),45772.58333333333)</f>
        <v>45772.58333</v>
      </c>
      <c r="J76" s="190" t="str">
        <f>IFERROR(__xludf.DUMMYFUNCTION("""COMPUTED_VALUE"""),"")</f>
        <v/>
      </c>
      <c r="K76" s="190" t="str">
        <f>IFERROR(__xludf.DUMMYFUNCTION("""COMPUTED_VALUE"""),"")</f>
        <v/>
      </c>
      <c r="L76" s="190" t="str">
        <f>IFERROR(__xludf.DUMMYFUNCTION("""COMPUTED_VALUE"""),"DEV")</f>
        <v>DEV</v>
      </c>
      <c r="M76" s="190" t="str">
        <f>IFERROR(__xludf.DUMMYFUNCTION("""COMPUTED_VALUE"""),"TBU")</f>
        <v>TBU</v>
      </c>
      <c r="N76" s="220">
        <f>IFERROR(__xludf.DUMMYFUNCTION("""COMPUTED_VALUE"""),1.0)</f>
        <v>1</v>
      </c>
      <c r="O76" s="220">
        <f>IFERROR(__xludf.DUMMYFUNCTION("""COMPUTED_VALUE"""),5.0)</f>
        <v>5</v>
      </c>
      <c r="P76" s="220"/>
      <c r="Q76" s="190">
        <f t="shared" si="1"/>
        <v>1</v>
      </c>
      <c r="R76" s="211" t="s">
        <v>249</v>
      </c>
      <c r="S76" s="210" t="str">
        <f t="shared" si="2"/>
        <v>DEV</v>
      </c>
      <c r="T76" s="210" t="str">
        <f t="shared" si="3"/>
        <v>DEV, TA</v>
      </c>
      <c r="U76" s="210" t="str">
        <f t="shared" si="4"/>
        <v>CHORUS</v>
      </c>
      <c r="X76" s="210"/>
      <c r="Y76" s="210"/>
      <c r="Z76" s="210"/>
      <c r="AA76" s="210"/>
      <c r="AB76" s="210"/>
      <c r="AC76" s="210"/>
      <c r="AD76" s="210"/>
      <c r="AE76" s="210"/>
      <c r="AF76" s="210"/>
      <c r="AG76" s="210"/>
      <c r="AH76" s="210"/>
      <c r="AI76" s="210"/>
      <c r="AJ76" s="210"/>
      <c r="AK76" s="210"/>
      <c r="AL76" s="210"/>
      <c r="AM76" s="210"/>
      <c r="AN76" s="210"/>
      <c r="AO76" s="210"/>
      <c r="AP76" s="210"/>
      <c r="AQ76" s="210"/>
    </row>
    <row r="77">
      <c r="A77" s="218" t="str">
        <f>IFERROR(__xludf.DUMMYFUNCTION("""COMPUTED_VALUE"""),"193526")</f>
        <v>193526</v>
      </c>
      <c r="B77" s="217" t="str">
        <f>IFERROR(__xludf.DUMMYFUNCTION("""COMPUTED_VALUE"""),"TRẦN ĐÌNH CHIẾN")</f>
        <v>TRẦN ĐÌNH CHIẾN</v>
      </c>
      <c r="C77" s="218" t="str">
        <f>IFERROR(__xludf.DUMMYFUNCTION("""COMPUTED_VALUE"""),"EL008")</f>
        <v>EL008</v>
      </c>
      <c r="D77" s="218" t="str">
        <f>IFERROR(__xludf.DUMMYFUNCTION("""COMPUTED_VALUE"""),"Hung Nguyen")</f>
        <v>Hung Nguyen</v>
      </c>
      <c r="E77" s="217" t="str">
        <f>IFERROR(__xludf.DUMMYFUNCTION("""COMPUTED_VALUE"""),"Communication 1")</f>
        <v>Communication 1</v>
      </c>
      <c r="F77" s="190" t="str">
        <f>IFERROR(__xludf.DUMMYFUNCTION("""COMPUTED_VALUE"""),"Beginner")</f>
        <v>Beginner</v>
      </c>
      <c r="G77" s="190" t="str">
        <f>IFERROR(__xludf.DUMMYFUNCTION("""COMPUTED_VALUE"""),"Pre-Intermediate 1")</f>
        <v>Pre-Intermediate 1</v>
      </c>
      <c r="H77" s="219">
        <f>IFERROR(__xludf.DUMMYFUNCTION("""COMPUTED_VALUE"""),45772.58333333333)</f>
        <v>45772.58333</v>
      </c>
      <c r="I77" s="219">
        <f>IFERROR(__xludf.DUMMYFUNCTION("""COMPUTED_VALUE"""),45772.58333333333)</f>
        <v>45772.58333</v>
      </c>
      <c r="J77" s="190">
        <f>IFERROR(__xludf.DUMMYFUNCTION("""COMPUTED_VALUE"""),1.0)</f>
        <v>1</v>
      </c>
      <c r="K77" s="190">
        <f>IFERROR(__xludf.DUMMYFUNCTION("""COMPUTED_VALUE"""),3.0)</f>
        <v>3</v>
      </c>
      <c r="L77" s="190" t="str">
        <f>IFERROR(__xludf.DUMMYFUNCTION("""COMPUTED_VALUE"""),"DEV")</f>
        <v>DEV</v>
      </c>
      <c r="M77" s="190" t="str">
        <f>IFERROR(__xludf.DUMMYFUNCTION("""COMPUTED_VALUE"""),"TBU")</f>
        <v>TBU</v>
      </c>
      <c r="N77" s="220">
        <f>IFERROR(__xludf.DUMMYFUNCTION("""COMPUTED_VALUE"""),1.0)</f>
        <v>1</v>
      </c>
      <c r="O77" s="220">
        <f>IFERROR(__xludf.DUMMYFUNCTION("""COMPUTED_VALUE"""),5.0)</f>
        <v>5</v>
      </c>
      <c r="P77" s="220"/>
      <c r="Q77" s="190">
        <f t="shared" si="1"/>
        <v>1</v>
      </c>
      <c r="R77" s="211" t="s">
        <v>376</v>
      </c>
      <c r="S77" s="210" t="str">
        <f t="shared" si="2"/>
        <v>QC</v>
      </c>
      <c r="T77" s="210" t="str">
        <f t="shared" si="3"/>
        <v>QC</v>
      </c>
      <c r="U77" s="210" t="str">
        <f t="shared" si="4"/>
        <v>CHORUS</v>
      </c>
      <c r="X77" s="210"/>
      <c r="Y77" s="210"/>
      <c r="Z77" s="210"/>
      <c r="AA77" s="210"/>
      <c r="AB77" s="210"/>
      <c r="AC77" s="210"/>
      <c r="AD77" s="210"/>
      <c r="AE77" s="210"/>
      <c r="AF77" s="210"/>
      <c r="AG77" s="210"/>
      <c r="AH77" s="210"/>
      <c r="AI77" s="210"/>
      <c r="AJ77" s="210"/>
      <c r="AK77" s="210"/>
      <c r="AL77" s="210"/>
      <c r="AM77" s="210"/>
      <c r="AN77" s="210"/>
      <c r="AO77" s="210"/>
      <c r="AP77" s="210"/>
      <c r="AQ77" s="210"/>
    </row>
    <row r="78">
      <c r="A78" s="223" t="str">
        <f>IFERROR(__xludf.DUMMYFUNCTION("""COMPUTED_VALUE"""),"237117")</f>
        <v>237117</v>
      </c>
      <c r="B78" s="190" t="str">
        <f>IFERROR(__xludf.DUMMYFUNCTION("""COMPUTED_VALUE"""),"HUỲNH TẤN PHÁT")</f>
        <v>HUỲNH TẤN PHÁT</v>
      </c>
      <c r="C78" s="223" t="str">
        <f>IFERROR(__xludf.DUMMYFUNCTION("""COMPUTED_VALUE"""),"EL008")</f>
        <v>EL008</v>
      </c>
      <c r="D78" s="223" t="str">
        <f>IFERROR(__xludf.DUMMYFUNCTION("""COMPUTED_VALUE"""),"Hung Nguyen")</f>
        <v>Hung Nguyen</v>
      </c>
      <c r="E78" s="190" t="str">
        <f>IFERROR(__xludf.DUMMYFUNCTION("""COMPUTED_VALUE"""),"Communication 1")</f>
        <v>Communication 1</v>
      </c>
      <c r="F78" s="190" t="str">
        <f>IFERROR(__xludf.DUMMYFUNCTION("""COMPUTED_VALUE"""),"Beginner")</f>
        <v>Beginner</v>
      </c>
      <c r="G78" s="190" t="str">
        <f>IFERROR(__xludf.DUMMYFUNCTION("""COMPUTED_VALUE"""),"Beginner 2")</f>
        <v>Beginner 2</v>
      </c>
      <c r="H78" s="219">
        <f>IFERROR(__xludf.DUMMYFUNCTION("""COMPUTED_VALUE"""),45772.58333333333)</f>
        <v>45772.58333</v>
      </c>
      <c r="I78" s="219">
        <f>IFERROR(__xludf.DUMMYFUNCTION("""COMPUTED_VALUE"""),45772.58333333333)</f>
        <v>45772.58333</v>
      </c>
      <c r="J78" s="190">
        <f>IFERROR(__xludf.DUMMYFUNCTION("""COMPUTED_VALUE"""),1.0)</f>
        <v>1</v>
      </c>
      <c r="K78" s="190">
        <f>IFERROR(__xludf.DUMMYFUNCTION("""COMPUTED_VALUE"""),1.5)</f>
        <v>1.5</v>
      </c>
      <c r="L78" s="190" t="str">
        <f>IFERROR(__xludf.DUMMYFUNCTION("""COMPUTED_VALUE"""),"DEV")</f>
        <v>DEV</v>
      </c>
      <c r="M78" s="190" t="str">
        <f>IFERROR(__xludf.DUMMYFUNCTION("""COMPUTED_VALUE"""),"TBU")</f>
        <v>TBU</v>
      </c>
      <c r="N78" s="220">
        <f>IFERROR(__xludf.DUMMYFUNCTION("""COMPUTED_VALUE"""),1.0)</f>
        <v>1</v>
      </c>
      <c r="O78" s="220">
        <f>IFERROR(__xludf.DUMMYFUNCTION("""COMPUTED_VALUE"""),5.0)</f>
        <v>5</v>
      </c>
      <c r="P78" s="220"/>
      <c r="Q78" s="190">
        <f t="shared" si="1"/>
        <v>1</v>
      </c>
      <c r="R78" s="211" t="s">
        <v>387</v>
      </c>
      <c r="S78" s="210" t="str">
        <f t="shared" si="2"/>
        <v>DEV</v>
      </c>
      <c r="T78" s="210" t="str">
        <f t="shared" si="3"/>
        <v>DEV, TA</v>
      </c>
      <c r="U78" s="210" t="str">
        <f t="shared" si="4"/>
        <v>CHORUS</v>
      </c>
      <c r="X78" s="210"/>
      <c r="Y78" s="210"/>
      <c r="Z78" s="210"/>
      <c r="AA78" s="210"/>
      <c r="AB78" s="210"/>
      <c r="AC78" s="210"/>
      <c r="AD78" s="210"/>
      <c r="AE78" s="210"/>
      <c r="AF78" s="210"/>
      <c r="AG78" s="210"/>
      <c r="AH78" s="210"/>
      <c r="AI78" s="210"/>
      <c r="AJ78" s="210"/>
      <c r="AK78" s="210"/>
      <c r="AL78" s="210"/>
      <c r="AM78" s="210"/>
      <c r="AN78" s="210"/>
      <c r="AO78" s="210"/>
      <c r="AP78" s="210"/>
      <c r="AQ78" s="210"/>
    </row>
    <row r="79">
      <c r="A79" s="223" t="str">
        <f>IFERROR(__xludf.DUMMYFUNCTION("""COMPUTED_VALUE"""),"203780")</f>
        <v>203780</v>
      </c>
      <c r="B79" s="190" t="str">
        <f>IFERROR(__xludf.DUMMYFUNCTION("""COMPUTED_VALUE"""),"LÊ HOÀNG NGUYỄN")</f>
        <v>LÊ HOÀNG NGUYỄN</v>
      </c>
      <c r="C79" s="223" t="str">
        <f>IFERROR(__xludf.DUMMYFUNCTION("""COMPUTED_VALUE"""),"EL008")</f>
        <v>EL008</v>
      </c>
      <c r="D79" s="223" t="str">
        <f>IFERROR(__xludf.DUMMYFUNCTION("""COMPUTED_VALUE"""),"Hung Nguyen")</f>
        <v>Hung Nguyen</v>
      </c>
      <c r="E79" s="190" t="str">
        <f>IFERROR(__xludf.DUMMYFUNCTION("""COMPUTED_VALUE"""),"Communication 1")</f>
        <v>Communication 1</v>
      </c>
      <c r="F79" s="190" t="str">
        <f>IFERROR(__xludf.DUMMYFUNCTION("""COMPUTED_VALUE"""),"Beginner")</f>
        <v>Beginner</v>
      </c>
      <c r="G79" s="190" t="str">
        <f>IFERROR(__xludf.DUMMYFUNCTION("""COMPUTED_VALUE"""),"Pre-Intermediate 1")</f>
        <v>Pre-Intermediate 1</v>
      </c>
      <c r="H79" s="219">
        <f>IFERROR(__xludf.DUMMYFUNCTION("""COMPUTED_VALUE"""),45772.58333333333)</f>
        <v>45772.58333</v>
      </c>
      <c r="I79" s="219">
        <f>IFERROR(__xludf.DUMMYFUNCTION("""COMPUTED_VALUE"""),45772.58333333333)</f>
        <v>45772.58333</v>
      </c>
      <c r="J79" s="190">
        <f>IFERROR(__xludf.DUMMYFUNCTION("""COMPUTED_VALUE"""),1.0)</f>
        <v>1</v>
      </c>
      <c r="K79" s="190">
        <f>IFERROR(__xludf.DUMMYFUNCTION("""COMPUTED_VALUE"""),3.0)</f>
        <v>3</v>
      </c>
      <c r="L79" s="190" t="str">
        <f>IFERROR(__xludf.DUMMYFUNCTION("""COMPUTED_VALUE"""),"QC")</f>
        <v>QC</v>
      </c>
      <c r="M79" s="190" t="str">
        <f>IFERROR(__xludf.DUMMYFUNCTION("""COMPUTED_VALUE"""),"TBU")</f>
        <v>TBU</v>
      </c>
      <c r="N79" s="220">
        <f>IFERROR(__xludf.DUMMYFUNCTION("""COMPUTED_VALUE"""),1.0)</f>
        <v>1</v>
      </c>
      <c r="O79" s="220">
        <f>IFERROR(__xludf.DUMMYFUNCTION("""COMPUTED_VALUE"""),4.5)</f>
        <v>4.5</v>
      </c>
      <c r="P79" s="220"/>
      <c r="Q79" s="190">
        <f t="shared" si="1"/>
        <v>1</v>
      </c>
      <c r="R79" s="211" t="s">
        <v>298</v>
      </c>
      <c r="S79" s="210" t="str">
        <f t="shared" si="2"/>
        <v>DEV</v>
      </c>
      <c r="T79" s="210" t="str">
        <f t="shared" si="3"/>
        <v>DEV, TA</v>
      </c>
      <c r="U79" s="210" t="str">
        <f t="shared" si="4"/>
        <v>ONC</v>
      </c>
      <c r="X79" s="210"/>
      <c r="Y79" s="210"/>
      <c r="Z79" s="210"/>
      <c r="AA79" s="210"/>
      <c r="AB79" s="210"/>
      <c r="AC79" s="210"/>
      <c r="AD79" s="210"/>
      <c r="AE79" s="210"/>
      <c r="AF79" s="210"/>
      <c r="AG79" s="210"/>
      <c r="AH79" s="210"/>
      <c r="AI79" s="210"/>
      <c r="AJ79" s="210"/>
      <c r="AK79" s="210"/>
      <c r="AL79" s="210"/>
      <c r="AM79" s="210"/>
      <c r="AN79" s="210"/>
      <c r="AO79" s="210"/>
      <c r="AP79" s="210"/>
      <c r="AQ79" s="210"/>
    </row>
    <row r="80">
      <c r="A80" s="223" t="str">
        <f>IFERROR(__xludf.DUMMYFUNCTION("""COMPUTED_VALUE"""),"193523")</f>
        <v>193523</v>
      </c>
      <c r="B80" s="190" t="str">
        <f>IFERROR(__xludf.DUMMYFUNCTION("""COMPUTED_VALUE"""),"PHẠM HỮU TUẤN")</f>
        <v>PHẠM HỮU TUẤN</v>
      </c>
      <c r="C80" s="223" t="str">
        <f>IFERROR(__xludf.DUMMYFUNCTION("""COMPUTED_VALUE"""),"EL008")</f>
        <v>EL008</v>
      </c>
      <c r="D80" s="223" t="str">
        <f>IFERROR(__xludf.DUMMYFUNCTION("""COMPUTED_VALUE"""),"Hung Nguyen")</f>
        <v>Hung Nguyen</v>
      </c>
      <c r="E80" s="190" t="str">
        <f>IFERROR(__xludf.DUMMYFUNCTION("""COMPUTED_VALUE"""),"Communication 1")</f>
        <v>Communication 1</v>
      </c>
      <c r="F80" s="190" t="str">
        <f>IFERROR(__xludf.DUMMYFUNCTION("""COMPUTED_VALUE"""),"Beginner")</f>
        <v>Beginner</v>
      </c>
      <c r="G80" s="190" t="str">
        <f>IFERROR(__xludf.DUMMYFUNCTION("""COMPUTED_VALUE"""),"Beginner 2")</f>
        <v>Beginner 2</v>
      </c>
      <c r="H80" s="219">
        <f>IFERROR(__xludf.DUMMYFUNCTION("""COMPUTED_VALUE"""),45772.58333333333)</f>
        <v>45772.58333</v>
      </c>
      <c r="I80" s="219">
        <f>IFERROR(__xludf.DUMMYFUNCTION("""COMPUTED_VALUE"""),45772.58333333333)</f>
        <v>45772.58333</v>
      </c>
      <c r="J80" s="190">
        <f>IFERROR(__xludf.DUMMYFUNCTION("""COMPUTED_VALUE"""),1.0)</f>
        <v>1</v>
      </c>
      <c r="K80" s="190">
        <f>IFERROR(__xludf.DUMMYFUNCTION("""COMPUTED_VALUE"""),1.5)</f>
        <v>1.5</v>
      </c>
      <c r="L80" s="190" t="str">
        <f>IFERROR(__xludf.DUMMYFUNCTION("""COMPUTED_VALUE"""),"DEV")</f>
        <v>DEV</v>
      </c>
      <c r="M80" s="190" t="str">
        <f>IFERROR(__xludf.DUMMYFUNCTION("""COMPUTED_VALUE"""),"TBU")</f>
        <v>TBU</v>
      </c>
      <c r="N80" s="220">
        <f>IFERROR(__xludf.DUMMYFUNCTION("""COMPUTED_VALUE"""),1.0)</f>
        <v>1</v>
      </c>
      <c r="O80" s="220">
        <f>IFERROR(__xludf.DUMMYFUNCTION("""COMPUTED_VALUE"""),5.0)</f>
        <v>5</v>
      </c>
      <c r="P80" s="220"/>
      <c r="Q80" s="190">
        <f t="shared" si="1"/>
        <v>1</v>
      </c>
      <c r="R80" s="211" t="s">
        <v>220</v>
      </c>
      <c r="S80" s="210" t="str">
        <f t="shared" si="2"/>
        <v>DEV</v>
      </c>
      <c r="T80" s="210" t="str">
        <f t="shared" si="3"/>
        <v>DEV, TA</v>
      </c>
      <c r="U80" s="210" t="str">
        <f t="shared" si="4"/>
        <v>ONC</v>
      </c>
      <c r="X80" s="210"/>
      <c r="Y80" s="210"/>
      <c r="Z80" s="210"/>
      <c r="AA80" s="210"/>
      <c r="AB80" s="210"/>
      <c r="AC80" s="210"/>
      <c r="AD80" s="210"/>
      <c r="AE80" s="210"/>
      <c r="AF80" s="210"/>
      <c r="AG80" s="210"/>
      <c r="AH80" s="210"/>
      <c r="AI80" s="210"/>
      <c r="AJ80" s="210"/>
      <c r="AK80" s="210"/>
      <c r="AL80" s="210"/>
      <c r="AM80" s="210"/>
      <c r="AN80" s="210"/>
      <c r="AO80" s="210"/>
      <c r="AP80" s="210"/>
      <c r="AQ80" s="210"/>
    </row>
    <row r="81">
      <c r="A81" s="223" t="str">
        <f>IFERROR(__xludf.DUMMYFUNCTION("""COMPUTED_VALUE"""),"237161")</f>
        <v>237161</v>
      </c>
      <c r="B81" s="190" t="str">
        <f>IFERROR(__xludf.DUMMYFUNCTION("""COMPUTED_VALUE"""),"TRẦN VĂN HÀ")</f>
        <v>TRẦN VĂN HÀ</v>
      </c>
      <c r="C81" s="223" t="str">
        <f>IFERROR(__xludf.DUMMYFUNCTION("""COMPUTED_VALUE"""),"EL008")</f>
        <v>EL008</v>
      </c>
      <c r="D81" s="223" t="str">
        <f>IFERROR(__xludf.DUMMYFUNCTION("""COMPUTED_VALUE"""),"Hung Nguyen")</f>
        <v>Hung Nguyen</v>
      </c>
      <c r="E81" s="190" t="str">
        <f>IFERROR(__xludf.DUMMYFUNCTION("""COMPUTED_VALUE"""),"Communication 1")</f>
        <v>Communication 1</v>
      </c>
      <c r="F81" s="190" t="str">
        <f>IFERROR(__xludf.DUMMYFUNCTION("""COMPUTED_VALUE"""),"Beginner")</f>
        <v>Beginner</v>
      </c>
      <c r="G81" s="190" t="str">
        <f>IFERROR(__xludf.DUMMYFUNCTION("""COMPUTED_VALUE"""),"Pre-Intermediate 2")</f>
        <v>Pre-Intermediate 2</v>
      </c>
      <c r="H81" s="219">
        <f>IFERROR(__xludf.DUMMYFUNCTION("""COMPUTED_VALUE"""),45772.58333333333)</f>
        <v>45772.58333</v>
      </c>
      <c r="I81" s="219">
        <f>IFERROR(__xludf.DUMMYFUNCTION("""COMPUTED_VALUE"""),45772.58333333333)</f>
        <v>45772.58333</v>
      </c>
      <c r="J81" s="190">
        <f>IFERROR(__xludf.DUMMYFUNCTION("""COMPUTED_VALUE"""),1.0)</f>
        <v>1</v>
      </c>
      <c r="K81" s="190">
        <f>IFERROR(__xludf.DUMMYFUNCTION("""COMPUTED_VALUE"""),3.5)</f>
        <v>3.5</v>
      </c>
      <c r="L81" s="190" t="str">
        <f>IFERROR(__xludf.DUMMYFUNCTION("""COMPUTED_VALUE"""),"DEV")</f>
        <v>DEV</v>
      </c>
      <c r="M81" s="190" t="str">
        <f>IFERROR(__xludf.DUMMYFUNCTION("""COMPUTED_VALUE"""),"TBU")</f>
        <v>TBU</v>
      </c>
      <c r="N81" s="220">
        <f>IFERROR(__xludf.DUMMYFUNCTION("""COMPUTED_VALUE"""),1.0)</f>
        <v>1</v>
      </c>
      <c r="O81" s="220">
        <f>IFERROR(__xludf.DUMMYFUNCTION("""COMPUTED_VALUE"""),5.0)</f>
        <v>5</v>
      </c>
      <c r="P81" s="220"/>
      <c r="Q81" s="190">
        <f t="shared" si="1"/>
        <v>1</v>
      </c>
      <c r="R81" s="211" t="s">
        <v>234</v>
      </c>
      <c r="S81" s="210" t="str">
        <f t="shared" si="2"/>
        <v>DEV</v>
      </c>
      <c r="T81" s="210" t="str">
        <f t="shared" si="3"/>
        <v>DEV, TA</v>
      </c>
      <c r="U81" s="210" t="str">
        <f t="shared" si="4"/>
        <v>ONC</v>
      </c>
      <c r="X81" s="210"/>
      <c r="Y81" s="210"/>
      <c r="Z81" s="210"/>
      <c r="AA81" s="210"/>
      <c r="AB81" s="210"/>
      <c r="AC81" s="210"/>
      <c r="AD81" s="210"/>
      <c r="AE81" s="210"/>
      <c r="AF81" s="210"/>
      <c r="AG81" s="210"/>
      <c r="AH81" s="210"/>
      <c r="AI81" s="210"/>
      <c r="AJ81" s="210"/>
      <c r="AK81" s="210"/>
      <c r="AL81" s="210"/>
      <c r="AM81" s="210"/>
      <c r="AN81" s="210"/>
      <c r="AO81" s="210"/>
      <c r="AP81" s="210"/>
      <c r="AQ81" s="210"/>
    </row>
    <row r="82">
      <c r="A82" s="218" t="str">
        <f>IFERROR(__xludf.DUMMYFUNCTION("""COMPUTED_VALUE"""),"193526")</f>
        <v>193526</v>
      </c>
      <c r="B82" s="217" t="str">
        <f>IFERROR(__xludf.DUMMYFUNCTION("""COMPUTED_VALUE"""),"TRẦN ĐÌNH CHIẾN")</f>
        <v>TRẦN ĐÌNH CHIẾN</v>
      </c>
      <c r="C82" s="218" t="str">
        <f>IFERROR(__xludf.DUMMYFUNCTION("""COMPUTED_VALUE"""),"EL008")</f>
        <v>EL008</v>
      </c>
      <c r="D82" s="218" t="str">
        <f>IFERROR(__xludf.DUMMYFUNCTION("""COMPUTED_VALUE"""),"Hung Nguyen")</f>
        <v>Hung Nguyen</v>
      </c>
      <c r="E82" s="217" t="str">
        <f>IFERROR(__xludf.DUMMYFUNCTION("""COMPUTED_VALUE"""),"Communication 2")</f>
        <v>Communication 2</v>
      </c>
      <c r="F82" s="190" t="str">
        <f>IFERROR(__xludf.DUMMYFUNCTION("""COMPUTED_VALUE"""),"Pre-Intermediate 1")</f>
        <v>Pre-Intermediate 1</v>
      </c>
      <c r="G82" s="190" t="str">
        <f>IFERROR(__xludf.DUMMYFUNCTION("""COMPUTED_VALUE"""),"Intermediate 1")</f>
        <v>Intermediate 1</v>
      </c>
      <c r="H82" s="219">
        <f>IFERROR(__xludf.DUMMYFUNCTION("""COMPUTED_VALUE"""),45946.45833333333)</f>
        <v>45946.45833</v>
      </c>
      <c r="I82" s="219">
        <f>IFERROR(__xludf.DUMMYFUNCTION("""COMPUTED_VALUE"""),45772.58333333333)</f>
        <v>45772.58333</v>
      </c>
      <c r="J82" s="190">
        <f>IFERROR(__xludf.DUMMYFUNCTION("""COMPUTED_VALUE"""),3.0)</f>
        <v>3</v>
      </c>
      <c r="K82" s="190">
        <f>IFERROR(__xludf.DUMMYFUNCTION("""COMPUTED_VALUE"""),5.0)</f>
        <v>5</v>
      </c>
      <c r="L82" s="190" t="str">
        <f>IFERROR(__xludf.DUMMYFUNCTION("""COMPUTED_VALUE"""),"DEV")</f>
        <v>DEV</v>
      </c>
      <c r="M82" s="190" t="str">
        <f>IFERROR(__xludf.DUMMYFUNCTION("""COMPUTED_VALUE"""),"TBU")</f>
        <v>TBU</v>
      </c>
      <c r="N82" s="220">
        <f>IFERROR(__xludf.DUMMYFUNCTION("""COMPUTED_VALUE"""),1.0)</f>
        <v>1</v>
      </c>
      <c r="O82" s="220">
        <f>IFERROR(__xludf.DUMMYFUNCTION("""COMPUTED_VALUE"""),5.0)</f>
        <v>5</v>
      </c>
      <c r="P82" s="220"/>
      <c r="Q82" s="190">
        <f t="shared" si="1"/>
        <v>1</v>
      </c>
      <c r="R82" s="211" t="s">
        <v>438</v>
      </c>
      <c r="S82" s="210" t="str">
        <f t="shared" si="2"/>
        <v>DEV</v>
      </c>
      <c r="T82" s="210" t="str">
        <f t="shared" si="3"/>
        <v>DEV, TA</v>
      </c>
      <c r="U82" s="210" t="str">
        <f t="shared" si="4"/>
        <v>ONC</v>
      </c>
      <c r="X82" s="210"/>
      <c r="Y82" s="210"/>
      <c r="Z82" s="210"/>
      <c r="AA82" s="210"/>
      <c r="AB82" s="210"/>
      <c r="AC82" s="210"/>
      <c r="AD82" s="210"/>
      <c r="AE82" s="210"/>
      <c r="AF82" s="210"/>
      <c r="AG82" s="210"/>
      <c r="AH82" s="210"/>
      <c r="AI82" s="210"/>
      <c r="AJ82" s="210"/>
      <c r="AK82" s="210"/>
      <c r="AL82" s="210"/>
      <c r="AM82" s="210"/>
      <c r="AN82" s="210"/>
      <c r="AO82" s="210"/>
      <c r="AP82" s="210"/>
      <c r="AQ82" s="210"/>
    </row>
    <row r="83">
      <c r="A83" s="223" t="str">
        <f>IFERROR(__xludf.DUMMYFUNCTION("""COMPUTED_VALUE"""),"237117")</f>
        <v>237117</v>
      </c>
      <c r="B83" s="190" t="str">
        <f>IFERROR(__xludf.DUMMYFUNCTION("""COMPUTED_VALUE"""),"HUỲNH TẤN PHÁT")</f>
        <v>HUỲNH TẤN PHÁT</v>
      </c>
      <c r="C83" s="223" t="str">
        <f>IFERROR(__xludf.DUMMYFUNCTION("""COMPUTED_VALUE"""),"EL008")</f>
        <v>EL008</v>
      </c>
      <c r="D83" s="223" t="str">
        <f>IFERROR(__xludf.DUMMYFUNCTION("""COMPUTED_VALUE"""),"Hung Nguyen")</f>
        <v>Hung Nguyen</v>
      </c>
      <c r="E83" s="190" t="str">
        <f>IFERROR(__xludf.DUMMYFUNCTION("""COMPUTED_VALUE"""),"Communication 2")</f>
        <v>Communication 2</v>
      </c>
      <c r="F83" s="190" t="str">
        <f>IFERROR(__xludf.DUMMYFUNCTION("""COMPUTED_VALUE"""),"Beginner 2")</f>
        <v>Beginner 2</v>
      </c>
      <c r="G83" s="190" t="str">
        <f>IFERROR(__xludf.DUMMYFUNCTION("""COMPUTED_VALUE"""),"Intermediate 1")</f>
        <v>Intermediate 1</v>
      </c>
      <c r="H83" s="219">
        <f>IFERROR(__xludf.DUMMYFUNCTION("""COMPUTED_VALUE"""),45946.45833333333)</f>
        <v>45946.45833</v>
      </c>
      <c r="I83" s="219">
        <f>IFERROR(__xludf.DUMMYFUNCTION("""COMPUTED_VALUE"""),45772.58333333333)</f>
        <v>45772.58333</v>
      </c>
      <c r="J83" s="190">
        <f>IFERROR(__xludf.DUMMYFUNCTION("""COMPUTED_VALUE"""),1.5)</f>
        <v>1.5</v>
      </c>
      <c r="K83" s="190">
        <f>IFERROR(__xludf.DUMMYFUNCTION("""COMPUTED_VALUE"""),5.0)</f>
        <v>5</v>
      </c>
      <c r="L83" s="190" t="str">
        <f>IFERROR(__xludf.DUMMYFUNCTION("""COMPUTED_VALUE"""),"DEV")</f>
        <v>DEV</v>
      </c>
      <c r="M83" s="190" t="str">
        <f>IFERROR(__xludf.DUMMYFUNCTION("""COMPUTED_VALUE"""),"TBU")</f>
        <v>TBU</v>
      </c>
      <c r="N83" s="220">
        <f>IFERROR(__xludf.DUMMYFUNCTION("""COMPUTED_VALUE"""),1.0)</f>
        <v>1</v>
      </c>
      <c r="O83" s="220">
        <f>IFERROR(__xludf.DUMMYFUNCTION("""COMPUTED_VALUE"""),5.0)</f>
        <v>5</v>
      </c>
      <c r="P83" s="220"/>
      <c r="Q83" s="190">
        <f t="shared" si="1"/>
        <v>1</v>
      </c>
      <c r="R83" s="211" t="s">
        <v>599</v>
      </c>
      <c r="S83" s="210" t="str">
        <f t="shared" si="2"/>
        <v>DEV</v>
      </c>
      <c r="T83" s="210" t="str">
        <f t="shared" si="3"/>
        <v>DEV, TA</v>
      </c>
      <c r="U83" s="210" t="str">
        <f t="shared" si="4"/>
        <v>ONC</v>
      </c>
      <c r="X83" s="210"/>
      <c r="Y83" s="210"/>
      <c r="Z83" s="210"/>
      <c r="AA83" s="210"/>
      <c r="AB83" s="210"/>
      <c r="AC83" s="210"/>
      <c r="AD83" s="210"/>
      <c r="AE83" s="210"/>
      <c r="AF83" s="210"/>
      <c r="AG83" s="210"/>
      <c r="AH83" s="210"/>
      <c r="AI83" s="210"/>
      <c r="AJ83" s="210"/>
      <c r="AK83" s="210"/>
      <c r="AL83" s="210"/>
      <c r="AM83" s="210"/>
      <c r="AN83" s="210"/>
      <c r="AO83" s="210"/>
      <c r="AP83" s="210"/>
      <c r="AQ83" s="210"/>
    </row>
    <row r="84">
      <c r="A84" s="223" t="str">
        <f>IFERROR(__xludf.DUMMYFUNCTION("""COMPUTED_VALUE"""),"203780")</f>
        <v>203780</v>
      </c>
      <c r="B84" s="190" t="str">
        <f>IFERROR(__xludf.DUMMYFUNCTION("""COMPUTED_VALUE"""),"LÊ HOÀNG NGUYỄN")</f>
        <v>LÊ HOÀNG NGUYỄN</v>
      </c>
      <c r="C84" s="223" t="str">
        <f>IFERROR(__xludf.DUMMYFUNCTION("""COMPUTED_VALUE"""),"EL008")</f>
        <v>EL008</v>
      </c>
      <c r="D84" s="223" t="str">
        <f>IFERROR(__xludf.DUMMYFUNCTION("""COMPUTED_VALUE"""),"Hung Nguyen")</f>
        <v>Hung Nguyen</v>
      </c>
      <c r="E84" s="190" t="str">
        <f>IFERROR(__xludf.DUMMYFUNCTION("""COMPUTED_VALUE"""),"Communication 2")</f>
        <v>Communication 2</v>
      </c>
      <c r="F84" s="190" t="str">
        <f>IFERROR(__xludf.DUMMYFUNCTION("""COMPUTED_VALUE"""),"Pre-Intermediate 1")</f>
        <v>Pre-Intermediate 1</v>
      </c>
      <c r="G84" s="190" t="str">
        <f>IFERROR(__xludf.DUMMYFUNCTION("""COMPUTED_VALUE"""),"Intermediate")</f>
        <v>Intermediate</v>
      </c>
      <c r="H84" s="219">
        <f>IFERROR(__xludf.DUMMYFUNCTION("""COMPUTED_VALUE"""),45946.45833333333)</f>
        <v>45946.45833</v>
      </c>
      <c r="I84" s="219">
        <f>IFERROR(__xludf.DUMMYFUNCTION("""COMPUTED_VALUE"""),45772.58333333333)</f>
        <v>45772.58333</v>
      </c>
      <c r="J84" s="190">
        <f>IFERROR(__xludf.DUMMYFUNCTION("""COMPUTED_VALUE"""),3.0)</f>
        <v>3</v>
      </c>
      <c r="K84" s="190">
        <f>IFERROR(__xludf.DUMMYFUNCTION("""COMPUTED_VALUE"""),4.5)</f>
        <v>4.5</v>
      </c>
      <c r="L84" s="190" t="str">
        <f>IFERROR(__xludf.DUMMYFUNCTION("""COMPUTED_VALUE"""),"QC")</f>
        <v>QC</v>
      </c>
      <c r="M84" s="190" t="str">
        <f>IFERROR(__xludf.DUMMYFUNCTION("""COMPUTED_VALUE"""),"TBU")</f>
        <v>TBU</v>
      </c>
      <c r="N84" s="220">
        <f>IFERROR(__xludf.DUMMYFUNCTION("""COMPUTED_VALUE"""),1.0)</f>
        <v>1</v>
      </c>
      <c r="O84" s="220">
        <f>IFERROR(__xludf.DUMMYFUNCTION("""COMPUTED_VALUE"""),4.5)</f>
        <v>4.5</v>
      </c>
      <c r="P84" s="220"/>
      <c r="Q84" s="190">
        <f t="shared" si="1"/>
        <v>1</v>
      </c>
      <c r="R84" s="211" t="s">
        <v>611</v>
      </c>
      <c r="S84" s="210" t="str">
        <f t="shared" si="2"/>
        <v>QC</v>
      </c>
      <c r="T84" s="210" t="str">
        <f t="shared" si="3"/>
        <v>QC</v>
      </c>
      <c r="U84" s="210" t="str">
        <f t="shared" si="4"/>
        <v>LBU</v>
      </c>
      <c r="X84" s="210"/>
      <c r="Y84" s="210"/>
      <c r="Z84" s="210"/>
      <c r="AA84" s="210"/>
      <c r="AB84" s="210"/>
      <c r="AC84" s="210"/>
      <c r="AD84" s="210"/>
      <c r="AE84" s="210"/>
      <c r="AF84" s="210"/>
      <c r="AG84" s="210"/>
      <c r="AH84" s="210"/>
      <c r="AI84" s="210"/>
      <c r="AJ84" s="210"/>
      <c r="AK84" s="210"/>
      <c r="AL84" s="210"/>
      <c r="AM84" s="210"/>
      <c r="AN84" s="210"/>
      <c r="AO84" s="210"/>
      <c r="AP84" s="210"/>
      <c r="AQ84" s="210"/>
    </row>
    <row r="85">
      <c r="A85" s="223" t="str">
        <f>IFERROR(__xludf.DUMMYFUNCTION("""COMPUTED_VALUE"""),"193523")</f>
        <v>193523</v>
      </c>
      <c r="B85" s="190" t="str">
        <f>IFERROR(__xludf.DUMMYFUNCTION("""COMPUTED_VALUE"""),"PHẠM HỮU TUẤN")</f>
        <v>PHẠM HỮU TUẤN</v>
      </c>
      <c r="C85" s="223" t="str">
        <f>IFERROR(__xludf.DUMMYFUNCTION("""COMPUTED_VALUE"""),"EL008")</f>
        <v>EL008</v>
      </c>
      <c r="D85" s="223" t="str">
        <f>IFERROR(__xludf.DUMMYFUNCTION("""COMPUTED_VALUE"""),"Hung Nguyen")</f>
        <v>Hung Nguyen</v>
      </c>
      <c r="E85" s="190" t="str">
        <f>IFERROR(__xludf.DUMMYFUNCTION("""COMPUTED_VALUE"""),"Communication 2")</f>
        <v>Communication 2</v>
      </c>
      <c r="F85" s="190" t="str">
        <f>IFERROR(__xludf.DUMMYFUNCTION("""COMPUTED_VALUE"""),"Beginner 2")</f>
        <v>Beginner 2</v>
      </c>
      <c r="G85" s="190" t="str">
        <f>IFERROR(__xludf.DUMMYFUNCTION("""COMPUTED_VALUE"""),"Intermediate 1")</f>
        <v>Intermediate 1</v>
      </c>
      <c r="H85" s="219">
        <f>IFERROR(__xludf.DUMMYFUNCTION("""COMPUTED_VALUE"""),45946.45833333333)</f>
        <v>45946.45833</v>
      </c>
      <c r="I85" s="219">
        <f>IFERROR(__xludf.DUMMYFUNCTION("""COMPUTED_VALUE"""),45772.58333333333)</f>
        <v>45772.58333</v>
      </c>
      <c r="J85" s="190">
        <f>IFERROR(__xludf.DUMMYFUNCTION("""COMPUTED_VALUE"""),1.5)</f>
        <v>1.5</v>
      </c>
      <c r="K85" s="190">
        <f>IFERROR(__xludf.DUMMYFUNCTION("""COMPUTED_VALUE"""),5.0)</f>
        <v>5</v>
      </c>
      <c r="L85" s="190" t="str">
        <f>IFERROR(__xludf.DUMMYFUNCTION("""COMPUTED_VALUE"""),"DEV")</f>
        <v>DEV</v>
      </c>
      <c r="M85" s="190" t="str">
        <f>IFERROR(__xludf.DUMMYFUNCTION("""COMPUTED_VALUE"""),"TBU")</f>
        <v>TBU</v>
      </c>
      <c r="N85" s="220">
        <f>IFERROR(__xludf.DUMMYFUNCTION("""COMPUTED_VALUE"""),1.0)</f>
        <v>1</v>
      </c>
      <c r="O85" s="220">
        <f>IFERROR(__xludf.DUMMYFUNCTION("""COMPUTED_VALUE"""),5.0)</f>
        <v>5</v>
      </c>
      <c r="P85" s="220"/>
      <c r="Q85" s="190">
        <f t="shared" si="1"/>
        <v>1</v>
      </c>
      <c r="R85" s="211" t="s">
        <v>946</v>
      </c>
      <c r="S85" s="210" t="str">
        <f t="shared" si="2"/>
        <v>QC</v>
      </c>
      <c r="T85" s="210" t="str">
        <f t="shared" si="3"/>
        <v>QC</v>
      </c>
      <c r="U85" s="210" t="str">
        <f t="shared" si="4"/>
        <v>LBU</v>
      </c>
      <c r="X85" s="210"/>
      <c r="Y85" s="210"/>
      <c r="Z85" s="210"/>
      <c r="AA85" s="210"/>
      <c r="AB85" s="210"/>
      <c r="AC85" s="210"/>
      <c r="AD85" s="210"/>
      <c r="AE85" s="210"/>
      <c r="AF85" s="210"/>
      <c r="AG85" s="210"/>
      <c r="AH85" s="210"/>
      <c r="AI85" s="210"/>
      <c r="AJ85" s="210"/>
      <c r="AK85" s="210"/>
      <c r="AL85" s="210"/>
      <c r="AM85" s="210"/>
      <c r="AN85" s="210"/>
      <c r="AO85" s="210"/>
      <c r="AP85" s="210"/>
      <c r="AQ85" s="210"/>
    </row>
    <row r="86">
      <c r="A86" s="223" t="str">
        <f>IFERROR(__xludf.DUMMYFUNCTION("""COMPUTED_VALUE"""),"237161")</f>
        <v>237161</v>
      </c>
      <c r="B86" s="190" t="str">
        <f>IFERROR(__xludf.DUMMYFUNCTION("""COMPUTED_VALUE"""),"TRẦN VĂN HÀ")</f>
        <v>TRẦN VĂN HÀ</v>
      </c>
      <c r="C86" s="223" t="str">
        <f>IFERROR(__xludf.DUMMYFUNCTION("""COMPUTED_VALUE"""),"EL008")</f>
        <v>EL008</v>
      </c>
      <c r="D86" s="223" t="str">
        <f>IFERROR(__xludf.DUMMYFUNCTION("""COMPUTED_VALUE"""),"Hung Nguyen")</f>
        <v>Hung Nguyen</v>
      </c>
      <c r="E86" s="190" t="str">
        <f>IFERROR(__xludf.DUMMYFUNCTION("""COMPUTED_VALUE"""),"Communication 2")</f>
        <v>Communication 2</v>
      </c>
      <c r="F86" s="190" t="str">
        <f>IFERROR(__xludf.DUMMYFUNCTION("""COMPUTED_VALUE"""),"Pre-Intermediate 2")</f>
        <v>Pre-Intermediate 2</v>
      </c>
      <c r="G86" s="190" t="str">
        <f>IFERROR(__xludf.DUMMYFUNCTION("""COMPUTED_VALUE"""),"Intermediate 1")</f>
        <v>Intermediate 1</v>
      </c>
      <c r="H86" s="219">
        <f>IFERROR(__xludf.DUMMYFUNCTION("""COMPUTED_VALUE"""),45946.45833333333)</f>
        <v>45946.45833</v>
      </c>
      <c r="I86" s="219">
        <f>IFERROR(__xludf.DUMMYFUNCTION("""COMPUTED_VALUE"""),45772.58333333333)</f>
        <v>45772.58333</v>
      </c>
      <c r="J86" s="190">
        <f>IFERROR(__xludf.DUMMYFUNCTION("""COMPUTED_VALUE"""),3.5)</f>
        <v>3.5</v>
      </c>
      <c r="K86" s="190">
        <f>IFERROR(__xludf.DUMMYFUNCTION("""COMPUTED_VALUE"""),5.0)</f>
        <v>5</v>
      </c>
      <c r="L86" s="190" t="str">
        <f>IFERROR(__xludf.DUMMYFUNCTION("""COMPUTED_VALUE"""),"DEV")</f>
        <v>DEV</v>
      </c>
      <c r="M86" s="190" t="str">
        <f>IFERROR(__xludf.DUMMYFUNCTION("""COMPUTED_VALUE"""),"TBU")</f>
        <v>TBU</v>
      </c>
      <c r="N86" s="220">
        <f>IFERROR(__xludf.DUMMYFUNCTION("""COMPUTED_VALUE"""),1.0)</f>
        <v>1</v>
      </c>
      <c r="O86" s="220">
        <f>IFERROR(__xludf.DUMMYFUNCTION("""COMPUTED_VALUE"""),5.0)</f>
        <v>5</v>
      </c>
      <c r="P86" s="220"/>
      <c r="Q86" s="190">
        <f t="shared" si="1"/>
        <v>1</v>
      </c>
      <c r="R86" s="211" t="s">
        <v>317</v>
      </c>
      <c r="S86" s="210" t="str">
        <f t="shared" si="2"/>
        <v>QC</v>
      </c>
      <c r="T86" s="210" t="str">
        <f t="shared" si="3"/>
        <v>QC</v>
      </c>
      <c r="U86" s="210" t="str">
        <f t="shared" si="4"/>
        <v>ONC</v>
      </c>
      <c r="X86" s="210"/>
      <c r="Y86" s="210"/>
      <c r="Z86" s="210"/>
      <c r="AA86" s="210"/>
      <c r="AB86" s="210"/>
      <c r="AC86" s="210"/>
      <c r="AD86" s="210"/>
      <c r="AE86" s="210"/>
      <c r="AF86" s="210"/>
      <c r="AG86" s="210"/>
      <c r="AH86" s="210"/>
      <c r="AI86" s="210"/>
      <c r="AJ86" s="210"/>
      <c r="AK86" s="210"/>
      <c r="AL86" s="210"/>
      <c r="AM86" s="210"/>
      <c r="AN86" s="210"/>
      <c r="AO86" s="210"/>
      <c r="AP86" s="210"/>
      <c r="AQ86" s="210"/>
    </row>
    <row r="87">
      <c r="A87" s="218" t="str">
        <f>IFERROR(__xludf.DUMMYFUNCTION("""COMPUTED_VALUE"""),"237207")</f>
        <v>237207</v>
      </c>
      <c r="B87" s="217" t="str">
        <f>IFERROR(__xludf.DUMMYFUNCTION("""COMPUTED_VALUE"""),"NGUYỄN THÙY GIANG")</f>
        <v>NGUYỄN THÙY GIANG</v>
      </c>
      <c r="C87" s="218" t="str">
        <f>IFERROR(__xludf.DUMMYFUNCTION("""COMPUTED_VALUE"""),"EL009")</f>
        <v>EL009</v>
      </c>
      <c r="D87" s="218" t="str">
        <f>IFERROR(__xludf.DUMMYFUNCTION("""COMPUTED_VALUE"""),"Huong Le")</f>
        <v>Huong Le</v>
      </c>
      <c r="E87" s="217" t="str">
        <f>IFERROR(__xludf.DUMMYFUNCTION("""COMPUTED_VALUE"""),"Communication 1")</f>
        <v>Communication 1</v>
      </c>
      <c r="F87" s="190" t="str">
        <f>IFERROR(__xludf.DUMMYFUNCTION("""COMPUTED_VALUE"""),"Pre-Intermediate")</f>
        <v>Pre-Intermediate</v>
      </c>
      <c r="G87" s="190" t="str">
        <f>IFERROR(__xludf.DUMMYFUNCTION("""COMPUTED_VALUE"""),"Pre-Intermediate 2")</f>
        <v>Pre-Intermediate 2</v>
      </c>
      <c r="H87" s="219">
        <f>IFERROR(__xludf.DUMMYFUNCTION("""COMPUTED_VALUE"""),45663.58333333333)</f>
        <v>45663.58333</v>
      </c>
      <c r="I87" s="219">
        <f>IFERROR(__xludf.DUMMYFUNCTION("""COMPUTED_VALUE"""),45663.58333333333)</f>
        <v>45663.58333</v>
      </c>
      <c r="J87" s="190">
        <f>IFERROR(__xludf.DUMMYFUNCTION("""COMPUTED_VALUE"""),2.5)</f>
        <v>2.5</v>
      </c>
      <c r="K87" s="190">
        <f>IFERROR(__xludf.DUMMYFUNCTION("""COMPUTED_VALUE"""),3.5)</f>
        <v>3.5</v>
      </c>
      <c r="L87" s="190" t="str">
        <f>IFERROR(__xludf.DUMMYFUNCTION("""COMPUTED_VALUE"""),"GSD")</f>
        <v>GSD</v>
      </c>
      <c r="M87" s="190" t="str">
        <f>IFERROR(__xludf.DUMMYFUNCTION("""COMPUTED_VALUE"""),"ONC")</f>
        <v>ONC</v>
      </c>
      <c r="N87" s="220">
        <f>IFERROR(__xludf.DUMMYFUNCTION("""COMPUTED_VALUE"""),2.5)</f>
        <v>2.5</v>
      </c>
      <c r="O87" s="220">
        <f>IFERROR(__xludf.DUMMYFUNCTION("""COMPUTED_VALUE"""),3.5)</f>
        <v>3.5</v>
      </c>
      <c r="P87" s="229"/>
      <c r="Q87" s="190">
        <f t="shared" si="1"/>
        <v>1</v>
      </c>
      <c r="R87" s="211" t="s">
        <v>342</v>
      </c>
      <c r="S87" s="210" t="str">
        <f t="shared" si="2"/>
        <v>QC</v>
      </c>
      <c r="T87" s="210" t="str">
        <f t="shared" si="3"/>
        <v>QC</v>
      </c>
      <c r="U87" s="210" t="str">
        <f t="shared" si="4"/>
        <v>MOC</v>
      </c>
      <c r="X87" s="210"/>
      <c r="Y87" s="210"/>
      <c r="Z87" s="210"/>
      <c r="AA87" s="210"/>
      <c r="AB87" s="210"/>
      <c r="AC87" s="210"/>
      <c r="AD87" s="210"/>
      <c r="AE87" s="210"/>
      <c r="AF87" s="210"/>
      <c r="AG87" s="210"/>
      <c r="AH87" s="210"/>
      <c r="AI87" s="210"/>
      <c r="AJ87" s="210"/>
      <c r="AK87" s="210"/>
      <c r="AL87" s="210"/>
      <c r="AM87" s="210"/>
      <c r="AN87" s="210"/>
      <c r="AO87" s="210"/>
      <c r="AP87" s="210"/>
      <c r="AQ87" s="210"/>
    </row>
    <row r="88">
      <c r="A88" s="223" t="str">
        <f>IFERROR(__xludf.DUMMYFUNCTION("""COMPUTED_VALUE"""),"173272")</f>
        <v>173272</v>
      </c>
      <c r="B88" s="190" t="str">
        <f>IFERROR(__xludf.DUMMYFUNCTION("""COMPUTED_VALUE"""),"ĐÀO SỸ THỜI")</f>
        <v>ĐÀO SỸ THỜI</v>
      </c>
      <c r="C88" s="223" t="str">
        <f>IFERROR(__xludf.DUMMYFUNCTION("""COMPUTED_VALUE"""),"EL009")</f>
        <v>EL009</v>
      </c>
      <c r="D88" s="223" t="str">
        <f>IFERROR(__xludf.DUMMYFUNCTION("""COMPUTED_VALUE"""),"Huong Le")</f>
        <v>Huong Le</v>
      </c>
      <c r="E88" s="190" t="str">
        <f>IFERROR(__xludf.DUMMYFUNCTION("""COMPUTED_VALUE"""),"Communication 1")</f>
        <v>Communication 1</v>
      </c>
      <c r="F88" s="190" t="str">
        <f>IFERROR(__xludf.DUMMYFUNCTION("""COMPUTED_VALUE"""),"Beginner")</f>
        <v>Beginner</v>
      </c>
      <c r="G88" s="190" t="str">
        <f>IFERROR(__xludf.DUMMYFUNCTION("""COMPUTED_VALUE"""),"Pre-Intermediate 1")</f>
        <v>Pre-Intermediate 1</v>
      </c>
      <c r="H88" s="219">
        <f>IFERROR(__xludf.DUMMYFUNCTION("""COMPUTED_VALUE"""),45663.58333333333)</f>
        <v>45663.58333</v>
      </c>
      <c r="I88" s="219">
        <f>IFERROR(__xludf.DUMMYFUNCTION("""COMPUTED_VALUE"""),45663.58333333333)</f>
        <v>45663.58333</v>
      </c>
      <c r="J88" s="190">
        <f>IFERROR(__xludf.DUMMYFUNCTION("""COMPUTED_VALUE"""),1.0)</f>
        <v>1</v>
      </c>
      <c r="K88" s="190">
        <f>IFERROR(__xludf.DUMMYFUNCTION("""COMPUTED_VALUE"""),3.0)</f>
        <v>3</v>
      </c>
      <c r="L88" s="190" t="str">
        <f>IFERROR(__xludf.DUMMYFUNCTION("""COMPUTED_VALUE"""),"GSD")</f>
        <v>GSD</v>
      </c>
      <c r="M88" s="190" t="str">
        <f>IFERROR(__xludf.DUMMYFUNCTION("""COMPUTED_VALUE"""),"LBU")</f>
        <v>LBU</v>
      </c>
      <c r="N88" s="220">
        <f>IFERROR(__xludf.DUMMYFUNCTION("""COMPUTED_VALUE"""),1.0)</f>
        <v>1</v>
      </c>
      <c r="O88" s="220">
        <f>IFERROR(__xludf.DUMMYFUNCTION("""COMPUTED_VALUE"""),3.0)</f>
        <v>3</v>
      </c>
      <c r="P88" s="220"/>
      <c r="Q88" s="190">
        <f t="shared" si="1"/>
        <v>1</v>
      </c>
      <c r="R88" s="211" t="s">
        <v>370</v>
      </c>
      <c r="S88" s="210" t="str">
        <f t="shared" si="2"/>
        <v>QC</v>
      </c>
      <c r="T88" s="210" t="str">
        <f t="shared" si="3"/>
        <v>QC</v>
      </c>
      <c r="U88" s="210" t="str">
        <f t="shared" si="4"/>
        <v>ONC</v>
      </c>
      <c r="X88" s="210"/>
      <c r="Y88" s="210"/>
      <c r="Z88" s="210"/>
      <c r="AA88" s="210"/>
      <c r="AB88" s="210"/>
      <c r="AC88" s="210"/>
      <c r="AD88" s="210"/>
      <c r="AE88" s="210"/>
      <c r="AF88" s="210"/>
      <c r="AG88" s="210"/>
      <c r="AH88" s="210"/>
      <c r="AI88" s="210"/>
      <c r="AJ88" s="210"/>
      <c r="AK88" s="210"/>
      <c r="AL88" s="210"/>
      <c r="AM88" s="210"/>
      <c r="AN88" s="210"/>
      <c r="AO88" s="210"/>
      <c r="AP88" s="210"/>
      <c r="AQ88" s="210"/>
    </row>
    <row r="89">
      <c r="A89" s="223" t="str">
        <f>IFERROR(__xludf.DUMMYFUNCTION("""COMPUTED_VALUE"""),"237206")</f>
        <v>237206</v>
      </c>
      <c r="B89" s="190" t="str">
        <f>IFERROR(__xludf.DUMMYFUNCTION("""COMPUTED_VALUE"""),"LƯƠNG TRÀ VY")</f>
        <v>LƯƠNG TRÀ VY</v>
      </c>
      <c r="C89" s="223" t="str">
        <f>IFERROR(__xludf.DUMMYFUNCTION("""COMPUTED_VALUE"""),"EL009")</f>
        <v>EL009</v>
      </c>
      <c r="D89" s="223" t="str">
        <f>IFERROR(__xludf.DUMMYFUNCTION("""COMPUTED_VALUE"""),"Huong Le")</f>
        <v>Huong Le</v>
      </c>
      <c r="E89" s="190" t="str">
        <f>IFERROR(__xludf.DUMMYFUNCTION("""COMPUTED_VALUE"""),"Communication 1")</f>
        <v>Communication 1</v>
      </c>
      <c r="F89" s="190" t="str">
        <f>IFERROR(__xludf.DUMMYFUNCTION("""COMPUTED_VALUE"""),"Beginner")</f>
        <v>Beginner</v>
      </c>
      <c r="G89" s="190" t="str">
        <f>IFERROR(__xludf.DUMMYFUNCTION("""COMPUTED_VALUE"""),"Pre-Intermediate 1")</f>
        <v>Pre-Intermediate 1</v>
      </c>
      <c r="H89" s="219">
        <f>IFERROR(__xludf.DUMMYFUNCTION("""COMPUTED_VALUE"""),45663.58333333333)</f>
        <v>45663.58333</v>
      </c>
      <c r="I89" s="219">
        <f>IFERROR(__xludf.DUMMYFUNCTION("""COMPUTED_VALUE"""),45663.58333333333)</f>
        <v>45663.58333</v>
      </c>
      <c r="J89" s="190">
        <f>IFERROR(__xludf.DUMMYFUNCTION("""COMPUTED_VALUE"""),1.0)</f>
        <v>1</v>
      </c>
      <c r="K89" s="190">
        <f>IFERROR(__xludf.DUMMYFUNCTION("""COMPUTED_VALUE"""),3.0)</f>
        <v>3</v>
      </c>
      <c r="L89" s="190" t="str">
        <f>IFERROR(__xludf.DUMMYFUNCTION("""COMPUTED_VALUE"""),"GSD")</f>
        <v>GSD</v>
      </c>
      <c r="M89" s="190" t="str">
        <f>IFERROR(__xludf.DUMMYFUNCTION("""COMPUTED_VALUE"""),"LBU")</f>
        <v>LBU</v>
      </c>
      <c r="N89" s="220">
        <f>IFERROR(__xludf.DUMMYFUNCTION("""COMPUTED_VALUE"""),1.0)</f>
        <v>1</v>
      </c>
      <c r="O89" s="220">
        <f>IFERROR(__xludf.DUMMYFUNCTION("""COMPUTED_VALUE"""),5.0)</f>
        <v>5</v>
      </c>
      <c r="P89" s="220"/>
      <c r="Q89" s="190">
        <f t="shared" si="1"/>
        <v>1</v>
      </c>
      <c r="R89" s="211" t="s">
        <v>717</v>
      </c>
      <c r="S89" s="210" t="str">
        <f t="shared" si="2"/>
        <v>QC</v>
      </c>
      <c r="T89" s="210" t="str">
        <f t="shared" si="3"/>
        <v>QC</v>
      </c>
      <c r="U89" s="210" t="str">
        <f t="shared" si="4"/>
        <v>ONC</v>
      </c>
      <c r="X89" s="210"/>
      <c r="Y89" s="210"/>
      <c r="Z89" s="210"/>
      <c r="AA89" s="210"/>
      <c r="AB89" s="210"/>
      <c r="AC89" s="210"/>
      <c r="AD89" s="210"/>
      <c r="AE89" s="210"/>
      <c r="AF89" s="210"/>
      <c r="AG89" s="210"/>
      <c r="AH89" s="210"/>
      <c r="AI89" s="210"/>
      <c r="AJ89" s="210"/>
      <c r="AK89" s="210"/>
      <c r="AL89" s="210"/>
      <c r="AM89" s="210"/>
      <c r="AN89" s="210"/>
      <c r="AO89" s="210"/>
      <c r="AP89" s="210"/>
      <c r="AQ89" s="210"/>
    </row>
    <row r="90">
      <c r="A90" s="223" t="str">
        <f>IFERROR(__xludf.DUMMYFUNCTION("""COMPUTED_VALUE"""),"203790")</f>
        <v>203790</v>
      </c>
      <c r="B90" s="190" t="str">
        <f>IFERROR(__xludf.DUMMYFUNCTION("""COMPUTED_VALUE"""),"NGUYỄN QUANG TRUNG")</f>
        <v>NGUYỄN QUANG TRUNG</v>
      </c>
      <c r="C90" s="223" t="str">
        <f>IFERROR(__xludf.DUMMYFUNCTION("""COMPUTED_VALUE"""),"EL009")</f>
        <v>EL009</v>
      </c>
      <c r="D90" s="223" t="str">
        <f>IFERROR(__xludf.DUMMYFUNCTION("""COMPUTED_VALUE"""),"Huong Le")</f>
        <v>Huong Le</v>
      </c>
      <c r="E90" s="190" t="str">
        <f>IFERROR(__xludf.DUMMYFUNCTION("""COMPUTED_VALUE"""),"Communication 1")</f>
        <v>Communication 1</v>
      </c>
      <c r="F90" s="190" t="str">
        <f>IFERROR(__xludf.DUMMYFUNCTION("""COMPUTED_VALUE"""),"Pre-Intermediate")</f>
        <v>Pre-Intermediate</v>
      </c>
      <c r="G90" s="190" t="str">
        <f>IFERROR(__xludf.DUMMYFUNCTION("""COMPUTED_VALUE"""),"Pre-Intermediate 1")</f>
        <v>Pre-Intermediate 1</v>
      </c>
      <c r="H90" s="219">
        <f>IFERROR(__xludf.DUMMYFUNCTION("""COMPUTED_VALUE"""),45663.58333333333)</f>
        <v>45663.58333</v>
      </c>
      <c r="I90" s="219">
        <f>IFERROR(__xludf.DUMMYFUNCTION("""COMPUTED_VALUE"""),45663.58333333333)</f>
        <v>45663.58333</v>
      </c>
      <c r="J90" s="190">
        <f>IFERROR(__xludf.DUMMYFUNCTION("""COMPUTED_VALUE"""),2.5)</f>
        <v>2.5</v>
      </c>
      <c r="K90" s="190">
        <f>IFERROR(__xludf.DUMMYFUNCTION("""COMPUTED_VALUE"""),3.0)</f>
        <v>3</v>
      </c>
      <c r="L90" s="190" t="str">
        <f>IFERROR(__xludf.DUMMYFUNCTION("""COMPUTED_VALUE"""),"GSD")</f>
        <v>GSD</v>
      </c>
      <c r="M90" s="190" t="str">
        <f>IFERROR(__xludf.DUMMYFUNCTION("""COMPUTED_VALUE"""),"LBU")</f>
        <v>LBU</v>
      </c>
      <c r="N90" s="220">
        <f>IFERROR(__xludf.DUMMYFUNCTION("""COMPUTED_VALUE"""),2.5)</f>
        <v>2.5</v>
      </c>
      <c r="O90" s="220">
        <f>IFERROR(__xludf.DUMMYFUNCTION("""COMPUTED_VALUE"""),3.5)</f>
        <v>3.5</v>
      </c>
      <c r="P90" s="220"/>
      <c r="Q90" s="190">
        <f t="shared" si="1"/>
        <v>1</v>
      </c>
      <c r="R90" s="211" t="s">
        <v>149</v>
      </c>
      <c r="S90" s="210" t="str">
        <f t="shared" si="2"/>
        <v>QC</v>
      </c>
      <c r="T90" s="210" t="str">
        <f t="shared" si="3"/>
        <v>QC</v>
      </c>
      <c r="U90" s="210" t="str">
        <f t="shared" si="4"/>
        <v>ONC</v>
      </c>
      <c r="X90" s="210"/>
      <c r="Y90" s="210"/>
      <c r="Z90" s="210"/>
      <c r="AA90" s="210"/>
      <c r="AB90" s="210"/>
      <c r="AC90" s="210"/>
      <c r="AD90" s="210"/>
      <c r="AE90" s="210"/>
      <c r="AF90" s="210"/>
      <c r="AG90" s="210"/>
      <c r="AH90" s="210"/>
      <c r="AI90" s="210"/>
      <c r="AJ90" s="210"/>
      <c r="AK90" s="210"/>
      <c r="AL90" s="210"/>
      <c r="AM90" s="210"/>
      <c r="AN90" s="210"/>
      <c r="AO90" s="210"/>
      <c r="AP90" s="210"/>
      <c r="AQ90" s="210"/>
    </row>
    <row r="91">
      <c r="A91" s="223" t="str">
        <f>IFERROR(__xludf.DUMMYFUNCTION("""COMPUTED_VALUE"""),"237158")</f>
        <v>237158</v>
      </c>
      <c r="B91" s="190" t="str">
        <f>IFERROR(__xludf.DUMMYFUNCTION("""COMPUTED_VALUE"""),"NGUYỄN THÀNH PHI")</f>
        <v>NGUYỄN THÀNH PHI</v>
      </c>
      <c r="C91" s="223" t="str">
        <f>IFERROR(__xludf.DUMMYFUNCTION("""COMPUTED_VALUE"""),"EL009")</f>
        <v>EL009</v>
      </c>
      <c r="D91" s="223" t="str">
        <f>IFERROR(__xludf.DUMMYFUNCTION("""COMPUTED_VALUE"""),"Huong Le")</f>
        <v>Huong Le</v>
      </c>
      <c r="E91" s="190" t="str">
        <f>IFERROR(__xludf.DUMMYFUNCTION("""COMPUTED_VALUE"""),"Communication 1")</f>
        <v>Communication 1</v>
      </c>
      <c r="F91" s="190" t="str">
        <f>IFERROR(__xludf.DUMMYFUNCTION("""COMPUTED_VALUE"""),"Beginner")</f>
        <v>Beginner</v>
      </c>
      <c r="G91" s="190" t="str">
        <f>IFERROR(__xludf.DUMMYFUNCTION("""COMPUTED_VALUE"""),"Pre-Intermediate 2")</f>
        <v>Pre-Intermediate 2</v>
      </c>
      <c r="H91" s="219">
        <f>IFERROR(__xludf.DUMMYFUNCTION("""COMPUTED_VALUE"""),45663.58333333333)</f>
        <v>45663.58333</v>
      </c>
      <c r="I91" s="219">
        <f>IFERROR(__xludf.DUMMYFUNCTION("""COMPUTED_VALUE"""),45663.58333333333)</f>
        <v>45663.58333</v>
      </c>
      <c r="J91" s="190">
        <f>IFERROR(__xludf.DUMMYFUNCTION("""COMPUTED_VALUE"""),1.0)</f>
        <v>1</v>
      </c>
      <c r="K91" s="190">
        <f>IFERROR(__xludf.DUMMYFUNCTION("""COMPUTED_VALUE"""),3.5)</f>
        <v>3.5</v>
      </c>
      <c r="L91" s="190" t="str">
        <f>IFERROR(__xludf.DUMMYFUNCTION("""COMPUTED_VALUE"""),"GSD")</f>
        <v>GSD</v>
      </c>
      <c r="M91" s="190" t="str">
        <f>IFERROR(__xludf.DUMMYFUNCTION("""COMPUTED_VALUE"""),"LBU")</f>
        <v>LBU</v>
      </c>
      <c r="N91" s="220">
        <f>IFERROR(__xludf.DUMMYFUNCTION("""COMPUTED_VALUE"""),1.0)</f>
        <v>1</v>
      </c>
      <c r="O91" s="220">
        <f>IFERROR(__xludf.DUMMYFUNCTION("""COMPUTED_VALUE"""),5.5)</f>
        <v>5.5</v>
      </c>
      <c r="P91" s="220"/>
      <c r="Q91" s="190">
        <f t="shared" si="1"/>
        <v>1</v>
      </c>
      <c r="R91" s="211" t="s">
        <v>212</v>
      </c>
      <c r="S91" s="210" t="str">
        <f t="shared" si="2"/>
        <v>QC</v>
      </c>
      <c r="T91" s="210" t="str">
        <f t="shared" si="3"/>
        <v>QC</v>
      </c>
      <c r="U91" s="210" t="str">
        <f t="shared" si="4"/>
        <v>ONC</v>
      </c>
      <c r="X91" s="210"/>
      <c r="Y91" s="210"/>
      <c r="Z91" s="210"/>
      <c r="AA91" s="210"/>
      <c r="AB91" s="210"/>
      <c r="AC91" s="210"/>
      <c r="AD91" s="210"/>
      <c r="AE91" s="210"/>
      <c r="AF91" s="210"/>
      <c r="AG91" s="210"/>
      <c r="AH91" s="210"/>
      <c r="AI91" s="210"/>
      <c r="AJ91" s="210"/>
      <c r="AK91" s="210"/>
      <c r="AL91" s="210"/>
      <c r="AM91" s="210"/>
      <c r="AN91" s="210"/>
      <c r="AO91" s="210"/>
      <c r="AP91" s="210"/>
      <c r="AQ91" s="210"/>
    </row>
    <row r="92">
      <c r="A92" s="223" t="str">
        <f>IFERROR(__xludf.DUMMYFUNCTION("""COMPUTED_VALUE"""),"247043")</f>
        <v>247043</v>
      </c>
      <c r="B92" s="190" t="str">
        <f>IFERROR(__xludf.DUMMYFUNCTION("""COMPUTED_VALUE"""),"NGUYỄN THỊ HỒNG ĐÀO")</f>
        <v>NGUYỄN THỊ HỒNG ĐÀO</v>
      </c>
      <c r="C92" s="223" t="str">
        <f>IFERROR(__xludf.DUMMYFUNCTION("""COMPUTED_VALUE"""),"EL009")</f>
        <v>EL009</v>
      </c>
      <c r="D92" s="223" t="str">
        <f>IFERROR(__xludf.DUMMYFUNCTION("""COMPUTED_VALUE"""),"Huong Le")</f>
        <v>Huong Le</v>
      </c>
      <c r="E92" s="190" t="str">
        <f>IFERROR(__xludf.DUMMYFUNCTION("""COMPUTED_VALUE"""),"Communication 1")</f>
        <v>Communication 1</v>
      </c>
      <c r="F92" s="190" t="str">
        <f>IFERROR(__xludf.DUMMYFUNCTION("""COMPUTED_VALUE"""),"Beginner")</f>
        <v>Beginner</v>
      </c>
      <c r="G92" s="190" t="str">
        <f>IFERROR(__xludf.DUMMYFUNCTION("""COMPUTED_VALUE"""),"Beginner 2")</f>
        <v>Beginner 2</v>
      </c>
      <c r="H92" s="219">
        <f>IFERROR(__xludf.DUMMYFUNCTION("""COMPUTED_VALUE"""),45663.58333333333)</f>
        <v>45663.58333</v>
      </c>
      <c r="I92" s="219">
        <f>IFERROR(__xludf.DUMMYFUNCTION("""COMPUTED_VALUE"""),45663.58333333333)</f>
        <v>45663.58333</v>
      </c>
      <c r="J92" s="190">
        <f>IFERROR(__xludf.DUMMYFUNCTION("""COMPUTED_VALUE"""),1.0)</f>
        <v>1</v>
      </c>
      <c r="K92" s="190">
        <f>IFERROR(__xludf.DUMMYFUNCTION("""COMPUTED_VALUE"""),1.5)</f>
        <v>1.5</v>
      </c>
      <c r="L92" s="190" t="str">
        <f>IFERROR(__xludf.DUMMYFUNCTION("""COMPUTED_VALUE"""),"GSD")</f>
        <v>GSD</v>
      </c>
      <c r="M92" s="190" t="str">
        <f>IFERROR(__xludf.DUMMYFUNCTION("""COMPUTED_VALUE"""),"LBU")</f>
        <v>LBU</v>
      </c>
      <c r="N92" s="220">
        <f>IFERROR(__xludf.DUMMYFUNCTION("""COMPUTED_VALUE"""),1.0)</f>
        <v>1</v>
      </c>
      <c r="O92" s="220">
        <f>IFERROR(__xludf.DUMMYFUNCTION("""COMPUTED_VALUE"""),3.0)</f>
        <v>3</v>
      </c>
      <c r="P92" s="220"/>
      <c r="Q92" s="190">
        <f t="shared" si="1"/>
        <v>1</v>
      </c>
      <c r="R92" s="211" t="s">
        <v>267</v>
      </c>
      <c r="S92" s="210" t="str">
        <f t="shared" si="2"/>
        <v>QC</v>
      </c>
      <c r="T92" s="210" t="str">
        <f t="shared" si="3"/>
        <v>QC</v>
      </c>
      <c r="U92" s="210" t="str">
        <f t="shared" si="4"/>
        <v>ONC</v>
      </c>
      <c r="X92" s="210"/>
      <c r="Y92" s="210"/>
      <c r="Z92" s="210"/>
      <c r="AA92" s="210"/>
      <c r="AB92" s="210"/>
      <c r="AC92" s="210"/>
      <c r="AD92" s="210"/>
      <c r="AE92" s="210"/>
      <c r="AF92" s="210"/>
      <c r="AG92" s="210"/>
      <c r="AH92" s="210"/>
      <c r="AI92" s="210"/>
      <c r="AJ92" s="210"/>
      <c r="AK92" s="210"/>
      <c r="AL92" s="210"/>
      <c r="AM92" s="210"/>
      <c r="AN92" s="210"/>
      <c r="AO92" s="210"/>
      <c r="AP92" s="210"/>
      <c r="AQ92" s="210"/>
    </row>
    <row r="93">
      <c r="A93" s="218" t="str">
        <f>IFERROR(__xludf.DUMMYFUNCTION("""COMPUTED_VALUE"""),"193447")</f>
        <v>193447</v>
      </c>
      <c r="B93" s="217" t="str">
        <f>IFERROR(__xludf.DUMMYFUNCTION("""COMPUTED_VALUE"""),"NGUYỄN ANH ĐỨC")</f>
        <v>NGUYỄN ANH ĐỨC</v>
      </c>
      <c r="C93" s="218" t="str">
        <f>IFERROR(__xludf.DUMMYFUNCTION("""COMPUTED_VALUE"""),"EL009")</f>
        <v>EL009</v>
      </c>
      <c r="D93" s="218" t="str">
        <f>IFERROR(__xludf.DUMMYFUNCTION("""COMPUTED_VALUE"""),"Huong Le")</f>
        <v>Huong Le</v>
      </c>
      <c r="E93" s="217" t="str">
        <f>IFERROR(__xludf.DUMMYFUNCTION("""COMPUTED_VALUE"""),"Communication 2")</f>
        <v>Communication 2</v>
      </c>
      <c r="F93" s="190" t="str">
        <f>IFERROR(__xludf.DUMMYFUNCTION("""COMPUTED_VALUE"""),"Intermediate")</f>
        <v>Intermediate</v>
      </c>
      <c r="G93" s="190" t="str">
        <f>IFERROR(__xludf.DUMMYFUNCTION("""COMPUTED_VALUE"""),"Intermediate 2")</f>
        <v>Intermediate 2</v>
      </c>
      <c r="H93" s="219">
        <f>IFERROR(__xludf.DUMMYFUNCTION("""COMPUTED_VALUE"""),45915.54166666667)</f>
        <v>45915.54167</v>
      </c>
      <c r="I93" s="219">
        <f>IFERROR(__xludf.DUMMYFUNCTION("""COMPUTED_VALUE"""),45637.41666666667)</f>
        <v>45637.41667</v>
      </c>
      <c r="J93" s="190">
        <f>IFERROR(__xludf.DUMMYFUNCTION("""COMPUTED_VALUE"""),4.5)</f>
        <v>4.5</v>
      </c>
      <c r="K93" s="190">
        <f>IFERROR(__xludf.DUMMYFUNCTION("""COMPUTED_VALUE"""),5.5)</f>
        <v>5.5</v>
      </c>
      <c r="L93" s="190" t="str">
        <f>IFERROR(__xludf.DUMMYFUNCTION("""COMPUTED_VALUE"""),"DEV")</f>
        <v>DEV</v>
      </c>
      <c r="M93" s="190" t="str">
        <f>IFERROR(__xludf.DUMMYFUNCTION("""COMPUTED_VALUE"""),"LBU")</f>
        <v>LBU</v>
      </c>
      <c r="N93" s="220">
        <f>IFERROR(__xludf.DUMMYFUNCTION("""COMPUTED_VALUE"""),2.5)</f>
        <v>2.5</v>
      </c>
      <c r="O93" s="220">
        <f>IFERROR(__xludf.DUMMYFUNCTION("""COMPUTED_VALUE"""),5.5)</f>
        <v>5.5</v>
      </c>
      <c r="P93" s="220"/>
      <c r="Q93" s="190">
        <f t="shared" si="1"/>
        <v>1</v>
      </c>
      <c r="R93" s="211" t="s">
        <v>413</v>
      </c>
      <c r="S93" s="210" t="str">
        <f t="shared" si="2"/>
        <v>QC</v>
      </c>
      <c r="T93" s="210" t="str">
        <f t="shared" si="3"/>
        <v>QC</v>
      </c>
      <c r="U93" s="210" t="str">
        <f t="shared" si="4"/>
        <v>ONC</v>
      </c>
      <c r="X93" s="210"/>
      <c r="Y93" s="210"/>
      <c r="Z93" s="210"/>
      <c r="AA93" s="210"/>
      <c r="AB93" s="210"/>
      <c r="AC93" s="210"/>
      <c r="AD93" s="210"/>
      <c r="AE93" s="210"/>
      <c r="AF93" s="210"/>
      <c r="AG93" s="210"/>
      <c r="AH93" s="210"/>
      <c r="AI93" s="210"/>
      <c r="AJ93" s="210"/>
      <c r="AK93" s="210"/>
      <c r="AL93" s="210"/>
      <c r="AM93" s="210"/>
      <c r="AN93" s="210"/>
      <c r="AO93" s="210"/>
      <c r="AP93" s="210"/>
      <c r="AQ93" s="210"/>
    </row>
    <row r="94">
      <c r="A94" s="223" t="str">
        <f>IFERROR(__xludf.DUMMYFUNCTION("""COMPUTED_VALUE"""),"237008")</f>
        <v>237008</v>
      </c>
      <c r="B94" s="190" t="str">
        <f>IFERROR(__xludf.DUMMYFUNCTION("""COMPUTED_VALUE"""),"LẠC MINH HOÀNG")</f>
        <v>LẠC MINH HOÀNG</v>
      </c>
      <c r="C94" s="223" t="str">
        <f>IFERROR(__xludf.DUMMYFUNCTION("""COMPUTED_VALUE"""),"EL009")</f>
        <v>EL009</v>
      </c>
      <c r="D94" s="223" t="str">
        <f>IFERROR(__xludf.DUMMYFUNCTION("""COMPUTED_VALUE"""),"Huong Le")</f>
        <v>Huong Le</v>
      </c>
      <c r="E94" s="190" t="str">
        <f>IFERROR(__xludf.DUMMYFUNCTION("""COMPUTED_VALUE"""),"Communication 2")</f>
        <v>Communication 2</v>
      </c>
      <c r="F94" s="190" t="str">
        <f>IFERROR(__xludf.DUMMYFUNCTION("""COMPUTED_VALUE"""),"Beginner 2")</f>
        <v>Beginner 2</v>
      </c>
      <c r="G94" s="190" t="str">
        <f>IFERROR(__xludf.DUMMYFUNCTION("""COMPUTED_VALUE"""),"Beginner 2")</f>
        <v>Beginner 2</v>
      </c>
      <c r="H94" s="219">
        <f>IFERROR(__xludf.DUMMYFUNCTION("""COMPUTED_VALUE"""),45915.54166666667)</f>
        <v>45915.54167</v>
      </c>
      <c r="I94" s="219">
        <f>IFERROR(__xludf.DUMMYFUNCTION("""COMPUTED_VALUE"""),45715.58333333333)</f>
        <v>45715.58333</v>
      </c>
      <c r="J94" s="190">
        <f>IFERROR(__xludf.DUMMYFUNCTION("""COMPUTED_VALUE"""),1.5)</f>
        <v>1.5</v>
      </c>
      <c r="K94" s="190">
        <f>IFERROR(__xludf.DUMMYFUNCTION("""COMPUTED_VALUE"""),1.5)</f>
        <v>1.5</v>
      </c>
      <c r="L94" s="190" t="str">
        <f>IFERROR(__xludf.DUMMYFUNCTION("""COMPUTED_VALUE"""),"GSD")</f>
        <v>GSD</v>
      </c>
      <c r="M94" s="190" t="str">
        <f>IFERROR(__xludf.DUMMYFUNCTION("""COMPUTED_VALUE"""),"LBU")</f>
        <v>LBU</v>
      </c>
      <c r="N94" s="220">
        <f>IFERROR(__xludf.DUMMYFUNCTION("""COMPUTED_VALUE"""),1.0)</f>
        <v>1</v>
      </c>
      <c r="O94" s="220">
        <f>IFERROR(__xludf.DUMMYFUNCTION("""COMPUTED_VALUE"""),1.5)</f>
        <v>1.5</v>
      </c>
      <c r="P94" s="220"/>
      <c r="Q94" s="190">
        <f t="shared" si="1"/>
        <v>1</v>
      </c>
      <c r="R94" s="211" t="s">
        <v>601</v>
      </c>
      <c r="S94" s="210" t="str">
        <f t="shared" si="2"/>
        <v>QC</v>
      </c>
      <c r="T94" s="210" t="str">
        <f t="shared" si="3"/>
        <v>QC</v>
      </c>
      <c r="U94" s="210" t="str">
        <f t="shared" si="4"/>
        <v>LBU</v>
      </c>
      <c r="X94" s="210"/>
      <c r="Y94" s="210"/>
      <c r="Z94" s="210"/>
      <c r="AA94" s="210"/>
      <c r="AB94" s="210"/>
      <c r="AC94" s="210"/>
      <c r="AD94" s="210"/>
      <c r="AE94" s="210"/>
      <c r="AF94" s="210"/>
      <c r="AG94" s="210"/>
      <c r="AH94" s="210"/>
      <c r="AI94" s="210"/>
      <c r="AJ94" s="210"/>
      <c r="AK94" s="210"/>
      <c r="AL94" s="210"/>
      <c r="AM94" s="210"/>
      <c r="AN94" s="210"/>
      <c r="AO94" s="210"/>
      <c r="AP94" s="210"/>
      <c r="AQ94" s="210"/>
    </row>
    <row r="95">
      <c r="A95" s="223" t="str">
        <f>IFERROR(__xludf.DUMMYFUNCTION("""COMPUTED_VALUE"""),"227160")</f>
        <v>227160</v>
      </c>
      <c r="B95" s="190" t="str">
        <f>IFERROR(__xludf.DUMMYFUNCTION("""COMPUTED_VALUE"""),"LÊ THỊ LAN HƯƠNG")</f>
        <v>LÊ THỊ LAN HƯƠNG</v>
      </c>
      <c r="C95" s="223" t="str">
        <f>IFERROR(__xludf.DUMMYFUNCTION("""COMPUTED_VALUE"""),"EL009")</f>
        <v>EL009</v>
      </c>
      <c r="D95" s="223" t="str">
        <f>IFERROR(__xludf.DUMMYFUNCTION("""COMPUTED_VALUE"""),"Huong Le")</f>
        <v>Huong Le</v>
      </c>
      <c r="E95" s="190" t="str">
        <f>IFERROR(__xludf.DUMMYFUNCTION("""COMPUTED_VALUE"""),"Communication 2")</f>
        <v>Communication 2</v>
      </c>
      <c r="F95" s="190" t="str">
        <f>IFERROR(__xludf.DUMMYFUNCTION("""COMPUTED_VALUE"""),"Beginner 2")</f>
        <v>Beginner 2</v>
      </c>
      <c r="G95" s="190" t="str">
        <f>IFERROR(__xludf.DUMMYFUNCTION("""COMPUTED_VALUE"""),"Pre-Intermediate 1")</f>
        <v>Pre-Intermediate 1</v>
      </c>
      <c r="H95" s="219">
        <f>IFERROR(__xludf.DUMMYFUNCTION("""COMPUTED_VALUE"""),45915.54166666667)</f>
        <v>45915.54167</v>
      </c>
      <c r="I95" s="219">
        <f>IFERROR(__xludf.DUMMYFUNCTION("""COMPUTED_VALUE"""),45637.41666666667)</f>
        <v>45637.41667</v>
      </c>
      <c r="J95" s="190">
        <f>IFERROR(__xludf.DUMMYFUNCTION("""COMPUTED_VALUE"""),1.5)</f>
        <v>1.5</v>
      </c>
      <c r="K95" s="190">
        <f>IFERROR(__xludf.DUMMYFUNCTION("""COMPUTED_VALUE"""),3.0)</f>
        <v>3</v>
      </c>
      <c r="L95" s="190" t="str">
        <f>IFERROR(__xludf.DUMMYFUNCTION("""COMPUTED_VALUE"""),"GSD")</f>
        <v>GSD</v>
      </c>
      <c r="M95" s="190" t="str">
        <f>IFERROR(__xludf.DUMMYFUNCTION("""COMPUTED_VALUE"""),"LBU")</f>
        <v>LBU</v>
      </c>
      <c r="N95" s="220">
        <f>IFERROR(__xludf.DUMMYFUNCTION("""COMPUTED_VALUE"""),1.0)</f>
        <v>1</v>
      </c>
      <c r="O95" s="220">
        <f>IFERROR(__xludf.DUMMYFUNCTION("""COMPUTED_VALUE"""),3.0)</f>
        <v>3</v>
      </c>
      <c r="P95" s="220"/>
      <c r="Q95" s="190">
        <f t="shared" si="1"/>
        <v>1</v>
      </c>
      <c r="R95" s="211" t="s">
        <v>699</v>
      </c>
      <c r="S95" s="210" t="str">
        <f t="shared" si="2"/>
        <v>QC</v>
      </c>
      <c r="T95" s="210" t="str">
        <f t="shared" si="3"/>
        <v>QC</v>
      </c>
      <c r="U95" s="210" t="str">
        <f t="shared" si="4"/>
        <v>LBU</v>
      </c>
      <c r="X95" s="210"/>
      <c r="Y95" s="210"/>
      <c r="Z95" s="210"/>
      <c r="AA95" s="210"/>
      <c r="AB95" s="210"/>
      <c r="AC95" s="210"/>
      <c r="AD95" s="210"/>
      <c r="AE95" s="210"/>
      <c r="AF95" s="210"/>
      <c r="AG95" s="210"/>
      <c r="AH95" s="210"/>
      <c r="AI95" s="210"/>
      <c r="AJ95" s="210"/>
      <c r="AK95" s="210"/>
      <c r="AL95" s="210"/>
      <c r="AM95" s="210"/>
      <c r="AN95" s="210"/>
      <c r="AO95" s="210"/>
      <c r="AP95" s="210"/>
      <c r="AQ95" s="210"/>
    </row>
    <row r="96">
      <c r="A96" s="223" t="str">
        <f>IFERROR(__xludf.DUMMYFUNCTION("""COMPUTED_VALUE"""),"237206")</f>
        <v>237206</v>
      </c>
      <c r="B96" s="190" t="str">
        <f>IFERROR(__xludf.DUMMYFUNCTION("""COMPUTED_VALUE"""),"LƯƠNG TRÀ VY")</f>
        <v>LƯƠNG TRÀ VY</v>
      </c>
      <c r="C96" s="223" t="str">
        <f>IFERROR(__xludf.DUMMYFUNCTION("""COMPUTED_VALUE"""),"EL009")</f>
        <v>EL009</v>
      </c>
      <c r="D96" s="223" t="str">
        <f>IFERROR(__xludf.DUMMYFUNCTION("""COMPUTED_VALUE"""),"Huong Le")</f>
        <v>Huong Le</v>
      </c>
      <c r="E96" s="190" t="str">
        <f>IFERROR(__xludf.DUMMYFUNCTION("""COMPUTED_VALUE"""),"Communication 2")</f>
        <v>Communication 2</v>
      </c>
      <c r="F96" s="190" t="str">
        <f>IFERROR(__xludf.DUMMYFUNCTION("""COMPUTED_VALUE"""),"Pre-Intermediate 1")</f>
        <v>Pre-Intermediate 1</v>
      </c>
      <c r="G96" s="190" t="str">
        <f>IFERROR(__xludf.DUMMYFUNCTION("""COMPUTED_VALUE"""),"Intermediate 1")</f>
        <v>Intermediate 1</v>
      </c>
      <c r="H96" s="219">
        <f>IFERROR(__xludf.DUMMYFUNCTION("""COMPUTED_VALUE"""),45915.54166666667)</f>
        <v>45915.54167</v>
      </c>
      <c r="I96" s="219">
        <f>IFERROR(__xludf.DUMMYFUNCTION("""COMPUTED_VALUE"""),45663.58333333333)</f>
        <v>45663.58333</v>
      </c>
      <c r="J96" s="190">
        <f>IFERROR(__xludf.DUMMYFUNCTION("""COMPUTED_VALUE"""),3.0)</f>
        <v>3</v>
      </c>
      <c r="K96" s="190">
        <f>IFERROR(__xludf.DUMMYFUNCTION("""COMPUTED_VALUE"""),5.0)</f>
        <v>5</v>
      </c>
      <c r="L96" s="190" t="str">
        <f>IFERROR(__xludf.DUMMYFUNCTION("""COMPUTED_VALUE"""),"GSD")</f>
        <v>GSD</v>
      </c>
      <c r="M96" s="190" t="str">
        <f>IFERROR(__xludf.DUMMYFUNCTION("""COMPUTED_VALUE"""),"LBU")</f>
        <v>LBU</v>
      </c>
      <c r="N96" s="220">
        <f>IFERROR(__xludf.DUMMYFUNCTION("""COMPUTED_VALUE"""),1.0)</f>
        <v>1</v>
      </c>
      <c r="O96" s="220">
        <f>IFERROR(__xludf.DUMMYFUNCTION("""COMPUTED_VALUE"""),5.0)</f>
        <v>5</v>
      </c>
      <c r="P96" s="220"/>
      <c r="Q96" s="190">
        <f t="shared" si="1"/>
        <v>1</v>
      </c>
      <c r="R96" s="211" t="s">
        <v>346</v>
      </c>
      <c r="S96" s="210" t="str">
        <f t="shared" si="2"/>
        <v>BA</v>
      </c>
      <c r="T96" s="210" t="str">
        <f t="shared" si="3"/>
        <v>BA, BC</v>
      </c>
      <c r="U96" s="210" t="str">
        <f t="shared" si="4"/>
        <v>TBU</v>
      </c>
      <c r="X96" s="210"/>
      <c r="Y96" s="210"/>
      <c r="Z96" s="210"/>
      <c r="AA96" s="210"/>
      <c r="AB96" s="210"/>
      <c r="AC96" s="210"/>
      <c r="AD96" s="210"/>
      <c r="AE96" s="210"/>
      <c r="AF96" s="210"/>
      <c r="AG96" s="210"/>
      <c r="AH96" s="210"/>
      <c r="AI96" s="210"/>
      <c r="AJ96" s="210"/>
      <c r="AK96" s="210"/>
      <c r="AL96" s="210"/>
      <c r="AM96" s="210"/>
      <c r="AN96" s="210"/>
      <c r="AO96" s="210"/>
      <c r="AP96" s="210"/>
      <c r="AQ96" s="210"/>
    </row>
    <row r="97">
      <c r="A97" s="223" t="str">
        <f>IFERROR(__xludf.DUMMYFUNCTION("""COMPUTED_VALUE"""),"247187")</f>
        <v>247187</v>
      </c>
      <c r="B97" s="190" t="str">
        <f>IFERROR(__xludf.DUMMYFUNCTION("""COMPUTED_VALUE"""),"NGUYỄN MINH THƯ")</f>
        <v>NGUYỄN MINH THƯ</v>
      </c>
      <c r="C97" s="223" t="str">
        <f>IFERROR(__xludf.DUMMYFUNCTION("""COMPUTED_VALUE"""),"EL009")</f>
        <v>EL009</v>
      </c>
      <c r="D97" s="223" t="str">
        <f>IFERROR(__xludf.DUMMYFUNCTION("""COMPUTED_VALUE"""),"Huong Le")</f>
        <v>Huong Le</v>
      </c>
      <c r="E97" s="190" t="str">
        <f>IFERROR(__xludf.DUMMYFUNCTION("""COMPUTED_VALUE"""),"Communication 2")</f>
        <v>Communication 2</v>
      </c>
      <c r="F97" s="190" t="str">
        <f>IFERROR(__xludf.DUMMYFUNCTION("""COMPUTED_VALUE"""),"Beginner 2")</f>
        <v>Beginner 2</v>
      </c>
      <c r="G97" s="190" t="str">
        <f>IFERROR(__xludf.DUMMYFUNCTION("""COMPUTED_VALUE"""),"Intermediate 1")</f>
        <v>Intermediate 1</v>
      </c>
      <c r="H97" s="219">
        <f>IFERROR(__xludf.DUMMYFUNCTION("""COMPUTED_VALUE"""),45915.54166666667)</f>
        <v>45915.54167</v>
      </c>
      <c r="I97" s="219">
        <f>IFERROR(__xludf.DUMMYFUNCTION("""COMPUTED_VALUE"""),45637.41666666667)</f>
        <v>45637.41667</v>
      </c>
      <c r="J97" s="190">
        <f>IFERROR(__xludf.DUMMYFUNCTION("""COMPUTED_VALUE"""),1.5)</f>
        <v>1.5</v>
      </c>
      <c r="K97" s="190">
        <f>IFERROR(__xludf.DUMMYFUNCTION("""COMPUTED_VALUE"""),5.0)</f>
        <v>5</v>
      </c>
      <c r="L97" s="190" t="str">
        <f>IFERROR(__xludf.DUMMYFUNCTION("""COMPUTED_VALUE"""),"GSD")</f>
        <v>GSD</v>
      </c>
      <c r="M97" s="190" t="str">
        <f>IFERROR(__xludf.DUMMYFUNCTION("""COMPUTED_VALUE"""),"LBU")</f>
        <v>LBU</v>
      </c>
      <c r="N97" s="220">
        <f>IFERROR(__xludf.DUMMYFUNCTION("""COMPUTED_VALUE"""),2.5)</f>
        <v>2.5</v>
      </c>
      <c r="O97" s="220">
        <f>IFERROR(__xludf.DUMMYFUNCTION("""COMPUTED_VALUE"""),5.0)</f>
        <v>5</v>
      </c>
      <c r="P97" s="220"/>
      <c r="Q97" s="190">
        <f t="shared" si="1"/>
        <v>1</v>
      </c>
      <c r="R97" s="211" t="s">
        <v>514</v>
      </c>
      <c r="S97" s="210" t="str">
        <f t="shared" si="2"/>
        <v>DEV</v>
      </c>
      <c r="T97" s="210" t="str">
        <f t="shared" si="3"/>
        <v>DEV, TA</v>
      </c>
      <c r="U97" s="210" t="str">
        <f t="shared" si="4"/>
        <v>TBU</v>
      </c>
      <c r="X97" s="210"/>
      <c r="Y97" s="210"/>
      <c r="Z97" s="210"/>
      <c r="AA97" s="210"/>
      <c r="AB97" s="210"/>
      <c r="AC97" s="210"/>
      <c r="AD97" s="210"/>
      <c r="AE97" s="210"/>
      <c r="AF97" s="210"/>
      <c r="AG97" s="210"/>
      <c r="AH97" s="210"/>
      <c r="AI97" s="210"/>
      <c r="AJ97" s="210"/>
      <c r="AK97" s="210"/>
      <c r="AL97" s="210"/>
      <c r="AM97" s="210"/>
      <c r="AN97" s="210"/>
      <c r="AO97" s="210"/>
      <c r="AP97" s="210"/>
      <c r="AQ97" s="210"/>
    </row>
    <row r="98">
      <c r="A98" s="223" t="str">
        <f>IFERROR(__xludf.DUMMYFUNCTION("""COMPUTED_VALUE"""),"237158")</f>
        <v>237158</v>
      </c>
      <c r="B98" s="190" t="str">
        <f>IFERROR(__xludf.DUMMYFUNCTION("""COMPUTED_VALUE"""),"NGUYỄN THÀNH PHI")</f>
        <v>NGUYỄN THÀNH PHI</v>
      </c>
      <c r="C98" s="223" t="str">
        <f>IFERROR(__xludf.DUMMYFUNCTION("""COMPUTED_VALUE"""),"EL009")</f>
        <v>EL009</v>
      </c>
      <c r="D98" s="223" t="str">
        <f>IFERROR(__xludf.DUMMYFUNCTION("""COMPUTED_VALUE"""),"Huong Le")</f>
        <v>Huong Le</v>
      </c>
      <c r="E98" s="190" t="str">
        <f>IFERROR(__xludf.DUMMYFUNCTION("""COMPUTED_VALUE"""),"Communication 2")</f>
        <v>Communication 2</v>
      </c>
      <c r="F98" s="190" t="str">
        <f>IFERROR(__xludf.DUMMYFUNCTION("""COMPUTED_VALUE"""),"Pre-Intermediate 2")</f>
        <v>Pre-Intermediate 2</v>
      </c>
      <c r="G98" s="190" t="str">
        <f>IFERROR(__xludf.DUMMYFUNCTION("""COMPUTED_VALUE"""),"Intermediate 2")</f>
        <v>Intermediate 2</v>
      </c>
      <c r="H98" s="219">
        <f>IFERROR(__xludf.DUMMYFUNCTION("""COMPUTED_VALUE"""),45915.54166666667)</f>
        <v>45915.54167</v>
      </c>
      <c r="I98" s="219">
        <f>IFERROR(__xludf.DUMMYFUNCTION("""COMPUTED_VALUE"""),45663.58333333333)</f>
        <v>45663.58333</v>
      </c>
      <c r="J98" s="190">
        <f>IFERROR(__xludf.DUMMYFUNCTION("""COMPUTED_VALUE"""),3.5)</f>
        <v>3.5</v>
      </c>
      <c r="K98" s="190">
        <f>IFERROR(__xludf.DUMMYFUNCTION("""COMPUTED_VALUE"""),5.5)</f>
        <v>5.5</v>
      </c>
      <c r="L98" s="190" t="str">
        <f>IFERROR(__xludf.DUMMYFUNCTION("""COMPUTED_VALUE"""),"GSD")</f>
        <v>GSD</v>
      </c>
      <c r="M98" s="190" t="str">
        <f>IFERROR(__xludf.DUMMYFUNCTION("""COMPUTED_VALUE"""),"LBU")</f>
        <v>LBU</v>
      </c>
      <c r="N98" s="220">
        <f>IFERROR(__xludf.DUMMYFUNCTION("""COMPUTED_VALUE"""),1.0)</f>
        <v>1</v>
      </c>
      <c r="O98" s="220">
        <f>IFERROR(__xludf.DUMMYFUNCTION("""COMPUTED_VALUE"""),5.5)</f>
        <v>5.5</v>
      </c>
      <c r="P98" s="220"/>
      <c r="Q98" s="190">
        <f t="shared" si="1"/>
        <v>1</v>
      </c>
      <c r="R98" s="211" t="s">
        <v>518</v>
      </c>
      <c r="S98" s="210" t="str">
        <f t="shared" si="2"/>
        <v>DEV</v>
      </c>
      <c r="T98" s="210" t="str">
        <f t="shared" si="3"/>
        <v>DEV, TA</v>
      </c>
      <c r="U98" s="210" t="str">
        <f t="shared" si="4"/>
        <v>TBU</v>
      </c>
      <c r="X98" s="210"/>
      <c r="Y98" s="210"/>
      <c r="Z98" s="210"/>
      <c r="AA98" s="210"/>
      <c r="AB98" s="210"/>
      <c r="AC98" s="210"/>
      <c r="AD98" s="210"/>
      <c r="AE98" s="210"/>
      <c r="AF98" s="210"/>
      <c r="AG98" s="210"/>
      <c r="AH98" s="210"/>
      <c r="AI98" s="210"/>
      <c r="AJ98" s="210"/>
      <c r="AK98" s="210"/>
      <c r="AL98" s="210"/>
      <c r="AM98" s="210"/>
      <c r="AN98" s="210"/>
      <c r="AO98" s="210"/>
      <c r="AP98" s="210"/>
      <c r="AQ98" s="210"/>
    </row>
    <row r="99">
      <c r="A99" s="223" t="str">
        <f>IFERROR(__xludf.DUMMYFUNCTION("""COMPUTED_VALUE"""),"247043")</f>
        <v>247043</v>
      </c>
      <c r="B99" s="190" t="str">
        <f>IFERROR(__xludf.DUMMYFUNCTION("""COMPUTED_VALUE"""),"NGUYỄN THỊ HỒNG ĐÀO")</f>
        <v>NGUYỄN THỊ HỒNG ĐÀO</v>
      </c>
      <c r="C99" s="223" t="str">
        <f>IFERROR(__xludf.DUMMYFUNCTION("""COMPUTED_VALUE"""),"EL009")</f>
        <v>EL009</v>
      </c>
      <c r="D99" s="223" t="str">
        <f>IFERROR(__xludf.DUMMYFUNCTION("""COMPUTED_VALUE"""),"Huong Le")</f>
        <v>Huong Le</v>
      </c>
      <c r="E99" s="190" t="str">
        <f>IFERROR(__xludf.DUMMYFUNCTION("""COMPUTED_VALUE"""),"Communication 2")</f>
        <v>Communication 2</v>
      </c>
      <c r="F99" s="190" t="str">
        <f>IFERROR(__xludf.DUMMYFUNCTION("""COMPUTED_VALUE"""),"Beginner 2")</f>
        <v>Beginner 2</v>
      </c>
      <c r="G99" s="190" t="str">
        <f>IFERROR(__xludf.DUMMYFUNCTION("""COMPUTED_VALUE"""),"Pre-Intermediate 1")</f>
        <v>Pre-Intermediate 1</v>
      </c>
      <c r="H99" s="219">
        <f>IFERROR(__xludf.DUMMYFUNCTION("""COMPUTED_VALUE"""),45915.54166666667)</f>
        <v>45915.54167</v>
      </c>
      <c r="I99" s="219">
        <f>IFERROR(__xludf.DUMMYFUNCTION("""COMPUTED_VALUE"""),45663.58333333333)</f>
        <v>45663.58333</v>
      </c>
      <c r="J99" s="190">
        <f>IFERROR(__xludf.DUMMYFUNCTION("""COMPUTED_VALUE"""),1.5)</f>
        <v>1.5</v>
      </c>
      <c r="K99" s="190">
        <f>IFERROR(__xludf.DUMMYFUNCTION("""COMPUTED_VALUE"""),3.0)</f>
        <v>3</v>
      </c>
      <c r="L99" s="190" t="str">
        <f>IFERROR(__xludf.DUMMYFUNCTION("""COMPUTED_VALUE"""),"GSD")</f>
        <v>GSD</v>
      </c>
      <c r="M99" s="190" t="str">
        <f>IFERROR(__xludf.DUMMYFUNCTION("""COMPUTED_VALUE"""),"LBU")</f>
        <v>LBU</v>
      </c>
      <c r="N99" s="220">
        <f>IFERROR(__xludf.DUMMYFUNCTION("""COMPUTED_VALUE"""),1.0)</f>
        <v>1</v>
      </c>
      <c r="O99" s="220">
        <f>IFERROR(__xludf.DUMMYFUNCTION("""COMPUTED_VALUE"""),3.0)</f>
        <v>3</v>
      </c>
      <c r="P99" s="220"/>
      <c r="Q99" s="190">
        <f t="shared" si="1"/>
        <v>1</v>
      </c>
      <c r="R99" s="211" t="s">
        <v>522</v>
      </c>
      <c r="S99" s="210" t="str">
        <f t="shared" si="2"/>
        <v>DEV</v>
      </c>
      <c r="T99" s="210" t="str">
        <f t="shared" si="3"/>
        <v>DEV, TA</v>
      </c>
      <c r="U99" s="210" t="str">
        <f t="shared" si="4"/>
        <v>TBU</v>
      </c>
      <c r="X99" s="210"/>
      <c r="Y99" s="210"/>
      <c r="Z99" s="210"/>
      <c r="AA99" s="210"/>
      <c r="AB99" s="210"/>
      <c r="AC99" s="210"/>
      <c r="AD99" s="210"/>
      <c r="AE99" s="210"/>
      <c r="AF99" s="210"/>
      <c r="AG99" s="210"/>
      <c r="AH99" s="210"/>
      <c r="AI99" s="210"/>
      <c r="AJ99" s="210"/>
      <c r="AK99" s="210"/>
      <c r="AL99" s="210"/>
      <c r="AM99" s="210"/>
      <c r="AN99" s="210"/>
      <c r="AO99" s="210"/>
      <c r="AP99" s="210"/>
      <c r="AQ99" s="210"/>
    </row>
    <row r="100">
      <c r="A100" s="223" t="str">
        <f>IFERROR(__xludf.DUMMYFUNCTION("""COMPUTED_VALUE"""),"237207")</f>
        <v>237207</v>
      </c>
      <c r="B100" s="190" t="str">
        <f>IFERROR(__xludf.DUMMYFUNCTION("""COMPUTED_VALUE"""),"NGUYỄN THÙY GIANG")</f>
        <v>NGUYỄN THÙY GIANG</v>
      </c>
      <c r="C100" s="223" t="str">
        <f>IFERROR(__xludf.DUMMYFUNCTION("""COMPUTED_VALUE"""),"EL009")</f>
        <v>EL009</v>
      </c>
      <c r="D100" s="223" t="str">
        <f>IFERROR(__xludf.DUMMYFUNCTION("""COMPUTED_VALUE"""),"Huong Le")</f>
        <v>Huong Le</v>
      </c>
      <c r="E100" s="190" t="str">
        <f>IFERROR(__xludf.DUMMYFUNCTION("""COMPUTED_VALUE"""),"Communication 2")</f>
        <v>Communication 2</v>
      </c>
      <c r="F100" s="190" t="str">
        <f>IFERROR(__xludf.DUMMYFUNCTION("""COMPUTED_VALUE"""),"Pre-Intermediate 2")</f>
        <v>Pre-Intermediate 2</v>
      </c>
      <c r="G100" s="190" t="str">
        <f>IFERROR(__xludf.DUMMYFUNCTION("""COMPUTED_VALUE"""),"Pre-Intermediate 2")</f>
        <v>Pre-Intermediate 2</v>
      </c>
      <c r="H100" s="219">
        <f>IFERROR(__xludf.DUMMYFUNCTION("""COMPUTED_VALUE"""),45915.54166666667)</f>
        <v>45915.54167</v>
      </c>
      <c r="I100" s="219">
        <f>IFERROR(__xludf.DUMMYFUNCTION("""COMPUTED_VALUE"""),45663.58333333333)</f>
        <v>45663.58333</v>
      </c>
      <c r="J100" s="190">
        <f>IFERROR(__xludf.DUMMYFUNCTION("""COMPUTED_VALUE"""),3.5)</f>
        <v>3.5</v>
      </c>
      <c r="K100" s="190">
        <f>IFERROR(__xludf.DUMMYFUNCTION("""COMPUTED_VALUE"""),3.5)</f>
        <v>3.5</v>
      </c>
      <c r="L100" s="190" t="str">
        <f>IFERROR(__xludf.DUMMYFUNCTION("""COMPUTED_VALUE"""),"GSD")</f>
        <v>GSD</v>
      </c>
      <c r="M100" s="190" t="str">
        <f>IFERROR(__xludf.DUMMYFUNCTION("""COMPUTED_VALUE"""),"ONC")</f>
        <v>ONC</v>
      </c>
      <c r="N100" s="220">
        <f>IFERROR(__xludf.DUMMYFUNCTION("""COMPUTED_VALUE"""),2.5)</f>
        <v>2.5</v>
      </c>
      <c r="O100" s="220">
        <f>IFERROR(__xludf.DUMMYFUNCTION("""COMPUTED_VALUE"""),3.5)</f>
        <v>3.5</v>
      </c>
      <c r="P100" s="229"/>
      <c r="Q100" s="190">
        <f t="shared" si="1"/>
        <v>1</v>
      </c>
      <c r="R100" s="211" t="s">
        <v>589</v>
      </c>
      <c r="S100" s="210" t="str">
        <f t="shared" si="2"/>
        <v>DEV</v>
      </c>
      <c r="T100" s="210" t="str">
        <f t="shared" si="3"/>
        <v>DEV, TA</v>
      </c>
      <c r="U100" s="210" t="str">
        <f t="shared" si="4"/>
        <v>TBU</v>
      </c>
      <c r="X100" s="210"/>
      <c r="Y100" s="210"/>
      <c r="Z100" s="210"/>
      <c r="AA100" s="210"/>
      <c r="AB100" s="210"/>
      <c r="AC100" s="210"/>
      <c r="AD100" s="210"/>
      <c r="AE100" s="210"/>
      <c r="AF100" s="210"/>
      <c r="AG100" s="210"/>
      <c r="AH100" s="210"/>
      <c r="AI100" s="210"/>
      <c r="AJ100" s="210"/>
      <c r="AK100" s="210"/>
      <c r="AL100" s="210"/>
      <c r="AM100" s="210"/>
      <c r="AN100" s="210"/>
      <c r="AO100" s="210"/>
      <c r="AP100" s="210"/>
      <c r="AQ100" s="210"/>
    </row>
    <row r="101">
      <c r="A101" s="223" t="str">
        <f>IFERROR(__xludf.DUMMYFUNCTION("""COMPUTED_VALUE"""),"227092")</f>
        <v>227092</v>
      </c>
      <c r="B101" s="190" t="str">
        <f>IFERROR(__xludf.DUMMYFUNCTION("""COMPUTED_VALUE"""),"PHẠM THỊ BÍCH THÚY")</f>
        <v>PHẠM THỊ BÍCH THÚY</v>
      </c>
      <c r="C101" s="223" t="str">
        <f>IFERROR(__xludf.DUMMYFUNCTION("""COMPUTED_VALUE"""),"EL009")</f>
        <v>EL009</v>
      </c>
      <c r="D101" s="223" t="str">
        <f>IFERROR(__xludf.DUMMYFUNCTION("""COMPUTED_VALUE"""),"Huong Le")</f>
        <v>Huong Le</v>
      </c>
      <c r="E101" s="190" t="str">
        <f>IFERROR(__xludf.DUMMYFUNCTION("""COMPUTED_VALUE"""),"Communication 2")</f>
        <v>Communication 2</v>
      </c>
      <c r="F101" s="190" t="str">
        <f>IFERROR(__xludf.DUMMYFUNCTION("""COMPUTED_VALUE"""),"Intermediate")</f>
        <v>Intermediate</v>
      </c>
      <c r="G101" s="190" t="str">
        <f>IFERROR(__xludf.DUMMYFUNCTION("""COMPUTED_VALUE"""),"Intermediate 1")</f>
        <v>Intermediate 1</v>
      </c>
      <c r="H101" s="219">
        <f>IFERROR(__xludf.DUMMYFUNCTION("""COMPUTED_VALUE"""),45915.54166666667)</f>
        <v>45915.54167</v>
      </c>
      <c r="I101" s="219">
        <f>IFERROR(__xludf.DUMMYFUNCTION("""COMPUTED_VALUE"""),45637.41666666667)</f>
        <v>45637.41667</v>
      </c>
      <c r="J101" s="190">
        <f>IFERROR(__xludf.DUMMYFUNCTION("""COMPUTED_VALUE"""),4.5)</f>
        <v>4.5</v>
      </c>
      <c r="K101" s="190">
        <f>IFERROR(__xludf.DUMMYFUNCTION("""COMPUTED_VALUE"""),5.0)</f>
        <v>5</v>
      </c>
      <c r="L101" s="190" t="str">
        <f>IFERROR(__xludf.DUMMYFUNCTION("""COMPUTED_VALUE"""),"GSD")</f>
        <v>GSD</v>
      </c>
      <c r="M101" s="190" t="str">
        <f>IFERROR(__xludf.DUMMYFUNCTION("""COMPUTED_VALUE"""),"LBU")</f>
        <v>LBU</v>
      </c>
      <c r="N101" s="220">
        <f>IFERROR(__xludf.DUMMYFUNCTION("""COMPUTED_VALUE"""),4.5)</f>
        <v>4.5</v>
      </c>
      <c r="O101" s="220">
        <f>IFERROR(__xludf.DUMMYFUNCTION("""COMPUTED_VALUE"""),5.0)</f>
        <v>5</v>
      </c>
      <c r="P101" s="220"/>
      <c r="Q101" s="190">
        <f t="shared" si="1"/>
        <v>1</v>
      </c>
      <c r="R101" s="211" t="s">
        <v>645</v>
      </c>
      <c r="S101" s="210" t="str">
        <f t="shared" si="2"/>
        <v>DEV</v>
      </c>
      <c r="T101" s="210" t="str">
        <f t="shared" si="3"/>
        <v>DEV, TA</v>
      </c>
      <c r="U101" s="210" t="str">
        <f t="shared" si="4"/>
        <v>TBU</v>
      </c>
      <c r="X101" s="210"/>
      <c r="Y101" s="210"/>
      <c r="Z101" s="210"/>
      <c r="AA101" s="210"/>
      <c r="AB101" s="210"/>
      <c r="AC101" s="210"/>
      <c r="AD101" s="210"/>
      <c r="AE101" s="210"/>
      <c r="AF101" s="210"/>
      <c r="AG101" s="210"/>
      <c r="AH101" s="210"/>
      <c r="AI101" s="210"/>
      <c r="AJ101" s="210"/>
      <c r="AK101" s="210"/>
      <c r="AL101" s="210"/>
      <c r="AM101" s="210"/>
      <c r="AN101" s="210"/>
      <c r="AO101" s="210"/>
      <c r="AP101" s="210"/>
      <c r="AQ101" s="210"/>
    </row>
    <row r="102">
      <c r="A102" s="218" t="str">
        <f>IFERROR(__xludf.DUMMYFUNCTION("""COMPUTED_VALUE"""),"247260")</f>
        <v>247260</v>
      </c>
      <c r="B102" s="217" t="str">
        <f>IFERROR(__xludf.DUMMYFUNCTION("""COMPUTED_VALUE"""),"TRẦN NHƯ TRÂM ANH")</f>
        <v>TRẦN NHƯ TRÂM ANH</v>
      </c>
      <c r="C102" s="218" t="str">
        <f>IFERROR(__xludf.DUMMYFUNCTION("""COMPUTED_VALUE"""),"EL010")</f>
        <v>EL010</v>
      </c>
      <c r="D102" s="218" t="str">
        <f>IFERROR(__xludf.DUMMYFUNCTION("""COMPUTED_VALUE"""),"Huy Tran 1")</f>
        <v>Huy Tran 1</v>
      </c>
      <c r="E102" s="217" t="str">
        <f>IFERROR(__xludf.DUMMYFUNCTION("""COMPUTED_VALUE"""),"Communication 1")</f>
        <v>Communication 1</v>
      </c>
      <c r="F102" s="190" t="str">
        <f>IFERROR(__xludf.DUMMYFUNCTION("""COMPUTED_VALUE"""),"Beginner")</f>
        <v>Beginner</v>
      </c>
      <c r="G102" s="190" t="str">
        <f>IFERROR(__xludf.DUMMYFUNCTION("""COMPUTED_VALUE"""),"Pre-Intermediate")</f>
        <v>Pre-Intermediate</v>
      </c>
      <c r="H102" s="219">
        <f>IFERROR(__xludf.DUMMYFUNCTION("""COMPUTED_VALUE"""),45644.375)</f>
        <v>45644.375</v>
      </c>
      <c r="I102" s="219">
        <f>IFERROR(__xludf.DUMMYFUNCTION("""COMPUTED_VALUE"""),45644.375)</f>
        <v>45644.375</v>
      </c>
      <c r="J102" s="190">
        <f>IFERROR(__xludf.DUMMYFUNCTION("""COMPUTED_VALUE"""),1.0)</f>
        <v>1</v>
      </c>
      <c r="K102" s="190">
        <f>IFERROR(__xludf.DUMMYFUNCTION("""COMPUTED_VALUE"""),2.5)</f>
        <v>2.5</v>
      </c>
      <c r="L102" s="190" t="str">
        <f>IFERROR(__xludf.DUMMYFUNCTION("""COMPUTED_VALUE"""),"UI/UX")</f>
        <v>UI/UX</v>
      </c>
      <c r="M102" s="190" t="str">
        <f>IFERROR(__xludf.DUMMYFUNCTION("""COMPUTED_VALUE"""),"CHORUS")</f>
        <v>CHORUS</v>
      </c>
      <c r="N102" s="220">
        <f>IFERROR(__xludf.DUMMYFUNCTION("""COMPUTED_VALUE"""),1.0)</f>
        <v>1</v>
      </c>
      <c r="O102" s="220">
        <f>IFERROR(__xludf.DUMMYFUNCTION("""COMPUTED_VALUE"""),2.5)</f>
        <v>2.5</v>
      </c>
      <c r="P102" s="229"/>
      <c r="Q102" s="190">
        <f t="shared" si="1"/>
        <v>1</v>
      </c>
      <c r="R102" s="211" t="s">
        <v>142</v>
      </c>
      <c r="S102" s="210" t="str">
        <f t="shared" si="2"/>
        <v>HR</v>
      </c>
      <c r="T102" s="210" t="str">
        <f t="shared" si="3"/>
        <v>HR, GA, Mgt</v>
      </c>
      <c r="U102" s="210" t="str">
        <f t="shared" si="4"/>
        <v>BSG</v>
      </c>
      <c r="X102" s="210"/>
      <c r="Y102" s="210"/>
      <c r="Z102" s="210"/>
      <c r="AA102" s="210"/>
      <c r="AB102" s="210"/>
      <c r="AC102" s="210"/>
      <c r="AD102" s="210"/>
      <c r="AE102" s="210"/>
      <c r="AF102" s="210"/>
      <c r="AG102" s="210"/>
      <c r="AH102" s="210"/>
      <c r="AI102" s="210"/>
      <c r="AJ102" s="210"/>
      <c r="AK102" s="210"/>
      <c r="AL102" s="210"/>
      <c r="AM102" s="210"/>
      <c r="AN102" s="210"/>
      <c r="AO102" s="210"/>
      <c r="AP102" s="210"/>
      <c r="AQ102" s="210"/>
    </row>
    <row r="103">
      <c r="A103" s="223" t="str">
        <f>IFERROR(__xludf.DUMMYFUNCTION("""COMPUTED_VALUE"""),"247184")</f>
        <v>247184</v>
      </c>
      <c r="B103" s="190" t="str">
        <f>IFERROR(__xludf.DUMMYFUNCTION("""COMPUTED_VALUE"""),"HOÀNG MINH DUY")</f>
        <v>HOÀNG MINH DUY</v>
      </c>
      <c r="C103" s="223" t="str">
        <f>IFERROR(__xludf.DUMMYFUNCTION("""COMPUTED_VALUE"""),"EL010")</f>
        <v>EL010</v>
      </c>
      <c r="D103" s="223" t="str">
        <f>IFERROR(__xludf.DUMMYFUNCTION("""COMPUTED_VALUE"""),"Huy Tran 1")</f>
        <v>Huy Tran 1</v>
      </c>
      <c r="E103" s="190" t="str">
        <f>IFERROR(__xludf.DUMMYFUNCTION("""COMPUTED_VALUE"""),"Communication 1")</f>
        <v>Communication 1</v>
      </c>
      <c r="F103" s="190" t="str">
        <f>IFERROR(__xludf.DUMMYFUNCTION("""COMPUTED_VALUE"""),"Pre-Intermediate")</f>
        <v>Pre-Intermediate</v>
      </c>
      <c r="G103" s="190" t="str">
        <f>IFERROR(__xludf.DUMMYFUNCTION("""COMPUTED_VALUE"""),"Pre-Intermediate")</f>
        <v>Pre-Intermediate</v>
      </c>
      <c r="H103" s="219">
        <f>IFERROR(__xludf.DUMMYFUNCTION("""COMPUTED_VALUE"""),45644.375)</f>
        <v>45644.375</v>
      </c>
      <c r="I103" s="219">
        <f>IFERROR(__xludf.DUMMYFUNCTION("""COMPUTED_VALUE"""),45644.375)</f>
        <v>45644.375</v>
      </c>
      <c r="J103" s="190">
        <f>IFERROR(__xludf.DUMMYFUNCTION("""COMPUTED_VALUE"""),2.5)</f>
        <v>2.5</v>
      </c>
      <c r="K103" s="190">
        <f>IFERROR(__xludf.DUMMYFUNCTION("""COMPUTED_VALUE"""),2.5)</f>
        <v>2.5</v>
      </c>
      <c r="L103" s="190" t="str">
        <f>IFERROR(__xludf.DUMMYFUNCTION("""COMPUTED_VALUE"""),"DEV")</f>
        <v>DEV</v>
      </c>
      <c r="M103" s="190" t="str">
        <f>IFERROR(__xludf.DUMMYFUNCTION("""COMPUTED_VALUE"""),"CHORUS")</f>
        <v>CHORUS</v>
      </c>
      <c r="N103" s="220">
        <f>IFERROR(__xludf.DUMMYFUNCTION("""COMPUTED_VALUE"""),2.5)</f>
        <v>2.5</v>
      </c>
      <c r="O103" s="220">
        <f>IFERROR(__xludf.DUMMYFUNCTION("""COMPUTED_VALUE"""),2.5)</f>
        <v>2.5</v>
      </c>
      <c r="P103" s="229"/>
      <c r="Q103" s="190">
        <f t="shared" si="1"/>
        <v>1</v>
      </c>
      <c r="R103" s="211" t="s">
        <v>204</v>
      </c>
      <c r="S103" s="210" t="str">
        <f t="shared" si="2"/>
        <v>HR</v>
      </c>
      <c r="T103" s="210" t="str">
        <f t="shared" si="3"/>
        <v>HR, GA, Mgt</v>
      </c>
      <c r="U103" s="210" t="str">
        <f t="shared" si="4"/>
        <v>LBU</v>
      </c>
      <c r="X103" s="210"/>
      <c r="Y103" s="210"/>
      <c r="Z103" s="210"/>
      <c r="AA103" s="210"/>
      <c r="AB103" s="210"/>
      <c r="AC103" s="210"/>
      <c r="AD103" s="210"/>
      <c r="AE103" s="210"/>
      <c r="AF103" s="210"/>
      <c r="AG103" s="210"/>
      <c r="AH103" s="210"/>
      <c r="AI103" s="210"/>
      <c r="AJ103" s="210"/>
      <c r="AK103" s="210"/>
      <c r="AL103" s="210"/>
      <c r="AM103" s="210"/>
      <c r="AN103" s="210"/>
      <c r="AO103" s="210"/>
      <c r="AP103" s="210"/>
      <c r="AQ103" s="210"/>
    </row>
    <row r="104">
      <c r="A104" s="223" t="str">
        <f>IFERROR(__xludf.DUMMYFUNCTION("""COMPUTED_VALUE"""),"247161")</f>
        <v>247161</v>
      </c>
      <c r="B104" s="190" t="str">
        <f>IFERROR(__xludf.DUMMYFUNCTION("""COMPUTED_VALUE"""),"HUỲNH NHẬT DUY")</f>
        <v>HUỲNH NHẬT DUY</v>
      </c>
      <c r="C104" s="223" t="str">
        <f>IFERROR(__xludf.DUMMYFUNCTION("""COMPUTED_VALUE"""),"EL010")</f>
        <v>EL010</v>
      </c>
      <c r="D104" s="223" t="str">
        <f>IFERROR(__xludf.DUMMYFUNCTION("""COMPUTED_VALUE"""),"Huy Tran 1")</f>
        <v>Huy Tran 1</v>
      </c>
      <c r="E104" s="190" t="str">
        <f>IFERROR(__xludf.DUMMYFUNCTION("""COMPUTED_VALUE"""),"Communication 1")</f>
        <v>Communication 1</v>
      </c>
      <c r="F104" s="190" t="str">
        <f>IFERROR(__xludf.DUMMYFUNCTION("""COMPUTED_VALUE"""),"Beginner")</f>
        <v>Beginner</v>
      </c>
      <c r="G104" s="190" t="str">
        <f>IFERROR(__xludf.DUMMYFUNCTION("""COMPUTED_VALUE"""),"Pre-Intermediate")</f>
        <v>Pre-Intermediate</v>
      </c>
      <c r="H104" s="219">
        <f>IFERROR(__xludf.DUMMYFUNCTION("""COMPUTED_VALUE"""),45644.375)</f>
        <v>45644.375</v>
      </c>
      <c r="I104" s="219">
        <f>IFERROR(__xludf.DUMMYFUNCTION("""COMPUTED_VALUE"""),45644.375)</f>
        <v>45644.375</v>
      </c>
      <c r="J104" s="190">
        <f>IFERROR(__xludf.DUMMYFUNCTION("""COMPUTED_VALUE"""),1.0)</f>
        <v>1</v>
      </c>
      <c r="K104" s="190">
        <f>IFERROR(__xludf.DUMMYFUNCTION("""COMPUTED_VALUE"""),2.5)</f>
        <v>2.5</v>
      </c>
      <c r="L104" s="190" t="str">
        <f>IFERROR(__xludf.DUMMYFUNCTION("""COMPUTED_VALUE"""),"DEV")</f>
        <v>DEV</v>
      </c>
      <c r="M104" s="190" t="str">
        <f>IFERROR(__xludf.DUMMYFUNCTION("""COMPUTED_VALUE"""),"CHORUS")</f>
        <v>CHORUS</v>
      </c>
      <c r="N104" s="220">
        <f>IFERROR(__xludf.DUMMYFUNCTION("""COMPUTED_VALUE"""),1.0)</f>
        <v>1</v>
      </c>
      <c r="O104" s="220">
        <f>IFERROR(__xludf.DUMMYFUNCTION("""COMPUTED_VALUE"""),2.5)</f>
        <v>2.5</v>
      </c>
      <c r="P104" s="229"/>
      <c r="Q104" s="190">
        <f t="shared" si="1"/>
        <v>1</v>
      </c>
      <c r="R104" s="211" t="s">
        <v>222</v>
      </c>
      <c r="S104" s="210" t="str">
        <f t="shared" si="2"/>
        <v>HR</v>
      </c>
      <c r="T104" s="210" t="str">
        <f t="shared" si="3"/>
        <v>HR, GA, Mgt</v>
      </c>
      <c r="U104" s="210" t="str">
        <f t="shared" si="4"/>
        <v>BSG</v>
      </c>
      <c r="X104" s="210"/>
      <c r="Y104" s="210"/>
      <c r="Z104" s="210"/>
      <c r="AA104" s="210"/>
      <c r="AB104" s="210"/>
      <c r="AC104" s="210"/>
      <c r="AD104" s="210"/>
      <c r="AE104" s="210"/>
      <c r="AF104" s="210"/>
      <c r="AG104" s="210"/>
      <c r="AH104" s="210"/>
      <c r="AI104" s="210"/>
      <c r="AJ104" s="210"/>
      <c r="AK104" s="210"/>
      <c r="AL104" s="210"/>
      <c r="AM104" s="210"/>
      <c r="AN104" s="210"/>
      <c r="AO104" s="210"/>
      <c r="AP104" s="210"/>
      <c r="AQ104" s="210"/>
    </row>
    <row r="105">
      <c r="A105" s="223" t="str">
        <f>IFERROR(__xludf.DUMMYFUNCTION("""COMPUTED_VALUE"""),"247080")</f>
        <v>247080</v>
      </c>
      <c r="B105" s="190" t="str">
        <f>IFERROR(__xludf.DUMMYFUNCTION("""COMPUTED_VALUE"""),"MAI THỊ THÙY TRANG")</f>
        <v>MAI THỊ THÙY TRANG</v>
      </c>
      <c r="C105" s="223" t="str">
        <f>IFERROR(__xludf.DUMMYFUNCTION("""COMPUTED_VALUE"""),"EL010")</f>
        <v>EL010</v>
      </c>
      <c r="D105" s="223" t="str">
        <f>IFERROR(__xludf.DUMMYFUNCTION("""COMPUTED_VALUE"""),"Huy Tran 1")</f>
        <v>Huy Tran 1</v>
      </c>
      <c r="E105" s="190" t="str">
        <f>IFERROR(__xludf.DUMMYFUNCTION("""COMPUTED_VALUE"""),"Communication 1")</f>
        <v>Communication 1</v>
      </c>
      <c r="F105" s="190" t="str">
        <f>IFERROR(__xludf.DUMMYFUNCTION("""COMPUTED_VALUE"""),"Beginner")</f>
        <v>Beginner</v>
      </c>
      <c r="G105" s="190" t="str">
        <f>IFERROR(__xludf.DUMMYFUNCTION("""COMPUTED_VALUE"""),"Pre-Intermediate")</f>
        <v>Pre-Intermediate</v>
      </c>
      <c r="H105" s="219">
        <f>IFERROR(__xludf.DUMMYFUNCTION("""COMPUTED_VALUE"""),45644.375)</f>
        <v>45644.375</v>
      </c>
      <c r="I105" s="219">
        <f>IFERROR(__xludf.DUMMYFUNCTION("""COMPUTED_VALUE"""),45644.375)</f>
        <v>45644.375</v>
      </c>
      <c r="J105" s="190">
        <f>IFERROR(__xludf.DUMMYFUNCTION("""COMPUTED_VALUE"""),1.0)</f>
        <v>1</v>
      </c>
      <c r="K105" s="190">
        <f>IFERROR(__xludf.DUMMYFUNCTION("""COMPUTED_VALUE"""),2.5)</f>
        <v>2.5</v>
      </c>
      <c r="L105" s="190" t="str">
        <f>IFERROR(__xludf.DUMMYFUNCTION("""COMPUTED_VALUE"""),"QC")</f>
        <v>QC</v>
      </c>
      <c r="M105" s="190" t="str">
        <f>IFERROR(__xludf.DUMMYFUNCTION("""COMPUTED_VALUE"""),"CHORUS")</f>
        <v>CHORUS</v>
      </c>
      <c r="N105" s="220">
        <f>IFERROR(__xludf.DUMMYFUNCTION("""COMPUTED_VALUE"""),1.0)</f>
        <v>1</v>
      </c>
      <c r="O105" s="220">
        <f>IFERROR(__xludf.DUMMYFUNCTION("""COMPUTED_VALUE"""),2.5)</f>
        <v>2.5</v>
      </c>
      <c r="P105" s="229"/>
      <c r="Q105" s="190">
        <f t="shared" si="1"/>
        <v>1</v>
      </c>
      <c r="R105" s="211" t="s">
        <v>292</v>
      </c>
      <c r="S105" s="210" t="str">
        <f t="shared" si="2"/>
        <v>HR</v>
      </c>
      <c r="T105" s="210" t="str">
        <f t="shared" si="3"/>
        <v>HR, GA, Mgt</v>
      </c>
      <c r="U105" s="210" t="str">
        <f t="shared" si="4"/>
        <v>BSG</v>
      </c>
      <c r="X105" s="210"/>
      <c r="Y105" s="210"/>
      <c r="Z105" s="210"/>
      <c r="AA105" s="210"/>
      <c r="AB105" s="210"/>
      <c r="AC105" s="210"/>
      <c r="AD105" s="210"/>
      <c r="AE105" s="210"/>
      <c r="AF105" s="210"/>
      <c r="AG105" s="210"/>
      <c r="AH105" s="210"/>
      <c r="AI105" s="210"/>
      <c r="AJ105" s="210"/>
      <c r="AK105" s="210"/>
      <c r="AL105" s="210"/>
      <c r="AM105" s="210"/>
      <c r="AN105" s="210"/>
      <c r="AO105" s="210"/>
      <c r="AP105" s="210"/>
      <c r="AQ105" s="210"/>
    </row>
    <row r="106">
      <c r="A106" s="223" t="str">
        <f>IFERROR(__xludf.DUMMYFUNCTION("""COMPUTED_VALUE"""),"247079")</f>
        <v>247079</v>
      </c>
      <c r="B106" s="190" t="str">
        <f>IFERROR(__xludf.DUMMYFUNCTION("""COMPUTED_VALUE"""),"VÕ CAO TRÍ")</f>
        <v>VÕ CAO TRÍ</v>
      </c>
      <c r="C106" s="223" t="str">
        <f>IFERROR(__xludf.DUMMYFUNCTION("""COMPUTED_VALUE"""),"EL010")</f>
        <v>EL010</v>
      </c>
      <c r="D106" s="223" t="str">
        <f>IFERROR(__xludf.DUMMYFUNCTION("""COMPUTED_VALUE"""),"Huy Tran 1")</f>
        <v>Huy Tran 1</v>
      </c>
      <c r="E106" s="190" t="str">
        <f>IFERROR(__xludf.DUMMYFUNCTION("""COMPUTED_VALUE"""),"Communication 1")</f>
        <v>Communication 1</v>
      </c>
      <c r="F106" s="190" t="str">
        <f>IFERROR(__xludf.DUMMYFUNCTION("""COMPUTED_VALUE"""),"Beginner")</f>
        <v>Beginner</v>
      </c>
      <c r="G106" s="190" t="str">
        <f>IFERROR(__xludf.DUMMYFUNCTION("""COMPUTED_VALUE"""),"Pre-Intermediate")</f>
        <v>Pre-Intermediate</v>
      </c>
      <c r="H106" s="219">
        <f>IFERROR(__xludf.DUMMYFUNCTION("""COMPUTED_VALUE"""),45644.375)</f>
        <v>45644.375</v>
      </c>
      <c r="I106" s="219">
        <f>IFERROR(__xludf.DUMMYFUNCTION("""COMPUTED_VALUE"""),45644.375)</f>
        <v>45644.375</v>
      </c>
      <c r="J106" s="190">
        <f>IFERROR(__xludf.DUMMYFUNCTION("""COMPUTED_VALUE"""),1.0)</f>
        <v>1</v>
      </c>
      <c r="K106" s="190">
        <f>IFERROR(__xludf.DUMMYFUNCTION("""COMPUTED_VALUE"""),2.5)</f>
        <v>2.5</v>
      </c>
      <c r="L106" s="190" t="str">
        <f>IFERROR(__xludf.DUMMYFUNCTION("""COMPUTED_VALUE"""),"TA")</f>
        <v>TA</v>
      </c>
      <c r="M106" s="190" t="str">
        <f>IFERROR(__xludf.DUMMYFUNCTION("""COMPUTED_VALUE"""),"CHORUS")</f>
        <v>CHORUS</v>
      </c>
      <c r="N106" s="220">
        <f>IFERROR(__xludf.DUMMYFUNCTION("""COMPUTED_VALUE"""),1.0)</f>
        <v>1</v>
      </c>
      <c r="O106" s="220">
        <f>IFERROR(__xludf.DUMMYFUNCTION("""COMPUTED_VALUE"""),2.5)</f>
        <v>2.5</v>
      </c>
      <c r="P106" s="229"/>
      <c r="Q106" s="190">
        <f t="shared" si="1"/>
        <v>1</v>
      </c>
      <c r="R106" s="211" t="s">
        <v>348</v>
      </c>
      <c r="S106" s="210" t="str">
        <f t="shared" si="2"/>
        <v>HR</v>
      </c>
      <c r="T106" s="210" t="str">
        <f t="shared" si="3"/>
        <v>HR, GA, Mgt</v>
      </c>
      <c r="U106" s="210" t="str">
        <f t="shared" si="4"/>
        <v>BSG</v>
      </c>
      <c r="X106" s="210"/>
      <c r="Y106" s="210"/>
      <c r="Z106" s="210"/>
      <c r="AA106" s="210"/>
      <c r="AB106" s="210"/>
      <c r="AC106" s="210"/>
      <c r="AD106" s="210"/>
      <c r="AE106" s="210"/>
      <c r="AF106" s="210"/>
      <c r="AG106" s="210"/>
      <c r="AH106" s="210"/>
      <c r="AI106" s="210"/>
      <c r="AJ106" s="210"/>
      <c r="AK106" s="210"/>
      <c r="AL106" s="210"/>
      <c r="AM106" s="210"/>
      <c r="AN106" s="210"/>
      <c r="AO106" s="210"/>
      <c r="AP106" s="210"/>
      <c r="AQ106" s="210"/>
    </row>
    <row r="107">
      <c r="A107" s="218" t="str">
        <f>IFERROR(__xludf.DUMMYFUNCTION("""COMPUTED_VALUE"""),"247207")</f>
        <v>247207</v>
      </c>
      <c r="B107" s="217" t="str">
        <f>IFERROR(__xludf.DUMMYFUNCTION("""COMPUTED_VALUE"""),"NGUYỄN VĂN ĐỨC")</f>
        <v>NGUYỄN VĂN ĐỨC</v>
      </c>
      <c r="C107" s="218" t="str">
        <f>IFERROR(__xludf.DUMMYFUNCTION("""COMPUTED_VALUE"""),"EL010")</f>
        <v>EL010</v>
      </c>
      <c r="D107" s="218" t="str">
        <f>IFERROR(__xludf.DUMMYFUNCTION("""COMPUTED_VALUE"""),"Huy Tran 1")</f>
        <v>Huy Tran 1</v>
      </c>
      <c r="E107" s="217" t="str">
        <f>IFERROR(__xludf.DUMMYFUNCTION("""COMPUTED_VALUE"""),"Communication 2")</f>
        <v>Communication 2</v>
      </c>
      <c r="F107" s="190" t="str">
        <f>IFERROR(__xludf.DUMMYFUNCTION("""COMPUTED_VALUE"""),"Beginner")</f>
        <v>Beginner</v>
      </c>
      <c r="G107" s="190"/>
      <c r="H107" s="219">
        <f>IFERROR(__xludf.DUMMYFUNCTION("""COMPUTED_VALUE"""),45853.375)</f>
        <v>45853.375</v>
      </c>
      <c r="I107" s="219">
        <f>IFERROR(__xludf.DUMMYFUNCTION("""COMPUTED_VALUE"""),45644.375)</f>
        <v>45644.375</v>
      </c>
      <c r="J107" s="190">
        <f>IFERROR(__xludf.DUMMYFUNCTION("""COMPUTED_VALUE"""),1.0)</f>
        <v>1</v>
      </c>
      <c r="K107" s="190" t="str">
        <f>IFERROR(__xludf.DUMMYFUNCTION("""COMPUTED_VALUE"""),"")</f>
        <v/>
      </c>
      <c r="L107" s="190" t="str">
        <f>IFERROR(__xludf.DUMMYFUNCTION("""COMPUTED_VALUE"""),"DEV")</f>
        <v>DEV</v>
      </c>
      <c r="M107" s="190" t="str">
        <f>IFERROR(__xludf.DUMMYFUNCTION("""COMPUTED_VALUE"""),"CHORUS")</f>
        <v>CHORUS</v>
      </c>
      <c r="N107" s="220">
        <f>IFERROR(__xludf.DUMMYFUNCTION("""COMPUTED_VALUE"""),1.0)</f>
        <v>1</v>
      </c>
      <c r="O107" s="220">
        <f>IFERROR(__xludf.DUMMYFUNCTION("""COMPUTED_VALUE"""),1.0)</f>
        <v>1</v>
      </c>
      <c r="P107" s="229"/>
      <c r="Q107" s="190">
        <f t="shared" si="1"/>
        <v>1</v>
      </c>
      <c r="R107" s="211" t="s">
        <v>480</v>
      </c>
      <c r="S107" s="210" t="str">
        <f t="shared" si="2"/>
        <v>HR</v>
      </c>
      <c r="T107" s="210" t="str">
        <f t="shared" si="3"/>
        <v>HR, GA, Mgt</v>
      </c>
      <c r="U107" s="210" t="str">
        <f t="shared" si="4"/>
        <v>BSG</v>
      </c>
      <c r="X107" s="210"/>
      <c r="Y107" s="210"/>
      <c r="Z107" s="210"/>
      <c r="AA107" s="210"/>
      <c r="AB107" s="210"/>
      <c r="AC107" s="210"/>
      <c r="AD107" s="210"/>
      <c r="AE107" s="210"/>
      <c r="AF107" s="210"/>
      <c r="AG107" s="210"/>
      <c r="AH107" s="210"/>
      <c r="AI107" s="210"/>
      <c r="AJ107" s="210"/>
      <c r="AK107" s="210"/>
      <c r="AL107" s="210"/>
      <c r="AM107" s="210"/>
      <c r="AN107" s="210"/>
      <c r="AO107" s="210"/>
      <c r="AP107" s="210"/>
      <c r="AQ107" s="210"/>
    </row>
    <row r="108">
      <c r="A108" s="223" t="str">
        <f>IFERROR(__xludf.DUMMYFUNCTION("""COMPUTED_VALUE"""),"247037")</f>
        <v>247037</v>
      </c>
      <c r="B108" s="190" t="str">
        <f>IFERROR(__xludf.DUMMYFUNCTION("""COMPUTED_VALUE"""),"BÙI HUỲNH TRUNG TÍN")</f>
        <v>BÙI HUỲNH TRUNG TÍN</v>
      </c>
      <c r="C108" s="223" t="str">
        <f>IFERROR(__xludf.DUMMYFUNCTION("""COMPUTED_VALUE"""),"EL010")</f>
        <v>EL010</v>
      </c>
      <c r="D108" s="223" t="str">
        <f>IFERROR(__xludf.DUMMYFUNCTION("""COMPUTED_VALUE"""),"Huy Tran 1")</f>
        <v>Huy Tran 1</v>
      </c>
      <c r="E108" s="190" t="str">
        <f>IFERROR(__xludf.DUMMYFUNCTION("""COMPUTED_VALUE"""),"Communication 2")</f>
        <v>Communication 2</v>
      </c>
      <c r="F108" s="190" t="str">
        <f>IFERROR(__xludf.DUMMYFUNCTION("""COMPUTED_VALUE"""),"Pre-Intermediate")</f>
        <v>Pre-Intermediate</v>
      </c>
      <c r="G108" s="190"/>
      <c r="H108" s="219">
        <f>IFERROR(__xludf.DUMMYFUNCTION("""COMPUTED_VALUE"""),45853.375)</f>
        <v>45853.375</v>
      </c>
      <c r="I108" s="219">
        <f>IFERROR(__xludf.DUMMYFUNCTION("""COMPUTED_VALUE"""),45644.375)</f>
        <v>45644.375</v>
      </c>
      <c r="J108" s="190">
        <f>IFERROR(__xludf.DUMMYFUNCTION("""COMPUTED_VALUE"""),2.5)</f>
        <v>2.5</v>
      </c>
      <c r="K108" s="190" t="str">
        <f>IFERROR(__xludf.DUMMYFUNCTION("""COMPUTED_VALUE"""),"")</f>
        <v/>
      </c>
      <c r="L108" s="190" t="str">
        <f>IFERROR(__xludf.DUMMYFUNCTION("""COMPUTED_VALUE"""),"DEV")</f>
        <v>DEV</v>
      </c>
      <c r="M108" s="190" t="str">
        <f>IFERROR(__xludf.DUMMYFUNCTION("""COMPUTED_VALUE"""),"CHORUS")</f>
        <v>CHORUS</v>
      </c>
      <c r="N108" s="220">
        <f>IFERROR(__xludf.DUMMYFUNCTION("""COMPUTED_VALUE"""),1.0)</f>
        <v>1</v>
      </c>
      <c r="O108" s="220">
        <f>IFERROR(__xludf.DUMMYFUNCTION("""COMPUTED_VALUE"""),2.5)</f>
        <v>2.5</v>
      </c>
      <c r="P108" s="229"/>
      <c r="Q108" s="190">
        <f t="shared" si="1"/>
        <v>1</v>
      </c>
      <c r="R108" s="211" t="s">
        <v>564</v>
      </c>
      <c r="S108" s="210" t="str">
        <f t="shared" si="2"/>
        <v>Admin</v>
      </c>
      <c r="T108" s="210" t="str">
        <f t="shared" si="3"/>
        <v>HR, GA, Mgt</v>
      </c>
      <c r="U108" s="210" t="str">
        <f t="shared" si="4"/>
        <v>BSG</v>
      </c>
      <c r="X108" s="210"/>
      <c r="Y108" s="210"/>
      <c r="Z108" s="210"/>
      <c r="AA108" s="210"/>
      <c r="AB108" s="210"/>
      <c r="AC108" s="210"/>
      <c r="AD108" s="210"/>
      <c r="AE108" s="210"/>
      <c r="AF108" s="210"/>
      <c r="AG108" s="210"/>
      <c r="AH108" s="210"/>
      <c r="AI108" s="210"/>
      <c r="AJ108" s="210"/>
      <c r="AK108" s="210"/>
      <c r="AL108" s="210"/>
      <c r="AM108" s="210"/>
      <c r="AN108" s="210"/>
      <c r="AO108" s="210"/>
      <c r="AP108" s="210"/>
      <c r="AQ108" s="210"/>
    </row>
    <row r="109">
      <c r="A109" s="223" t="str">
        <f>IFERROR(__xludf.DUMMYFUNCTION("""COMPUTED_VALUE"""),"247184")</f>
        <v>247184</v>
      </c>
      <c r="B109" s="190" t="str">
        <f>IFERROR(__xludf.DUMMYFUNCTION("""COMPUTED_VALUE"""),"HOÀNG MINH DUY")</f>
        <v>HOÀNG MINH DUY</v>
      </c>
      <c r="C109" s="223" t="str">
        <f>IFERROR(__xludf.DUMMYFUNCTION("""COMPUTED_VALUE"""),"EL010")</f>
        <v>EL010</v>
      </c>
      <c r="D109" s="223" t="str">
        <f>IFERROR(__xludf.DUMMYFUNCTION("""COMPUTED_VALUE"""),"Huy Tran 1")</f>
        <v>Huy Tran 1</v>
      </c>
      <c r="E109" s="190" t="str">
        <f>IFERROR(__xludf.DUMMYFUNCTION("""COMPUTED_VALUE"""),"Communication 2")</f>
        <v>Communication 2</v>
      </c>
      <c r="F109" s="190" t="str">
        <f>IFERROR(__xludf.DUMMYFUNCTION("""COMPUTED_VALUE"""),"Pre-Intermediate")</f>
        <v>Pre-Intermediate</v>
      </c>
      <c r="G109" s="190"/>
      <c r="H109" s="219">
        <f>IFERROR(__xludf.DUMMYFUNCTION("""COMPUTED_VALUE"""),45853.375)</f>
        <v>45853.375</v>
      </c>
      <c r="I109" s="219">
        <f>IFERROR(__xludf.DUMMYFUNCTION("""COMPUTED_VALUE"""),45644.375)</f>
        <v>45644.375</v>
      </c>
      <c r="J109" s="190">
        <f>IFERROR(__xludf.DUMMYFUNCTION("""COMPUTED_VALUE"""),2.5)</f>
        <v>2.5</v>
      </c>
      <c r="K109" s="190" t="str">
        <f>IFERROR(__xludf.DUMMYFUNCTION("""COMPUTED_VALUE"""),"")</f>
        <v/>
      </c>
      <c r="L109" s="190" t="str">
        <f>IFERROR(__xludf.DUMMYFUNCTION("""COMPUTED_VALUE"""),"DEV")</f>
        <v>DEV</v>
      </c>
      <c r="M109" s="190" t="str">
        <f>IFERROR(__xludf.DUMMYFUNCTION("""COMPUTED_VALUE"""),"CHORUS")</f>
        <v>CHORUS</v>
      </c>
      <c r="N109" s="220">
        <f>IFERROR(__xludf.DUMMYFUNCTION("""COMPUTED_VALUE"""),2.5)</f>
        <v>2.5</v>
      </c>
      <c r="O109" s="220">
        <f>IFERROR(__xludf.DUMMYFUNCTION("""COMPUTED_VALUE"""),2.5)</f>
        <v>2.5</v>
      </c>
      <c r="P109" s="229"/>
      <c r="Q109" s="190">
        <f t="shared" si="1"/>
        <v>1</v>
      </c>
      <c r="R109" s="211" t="s">
        <v>647</v>
      </c>
      <c r="S109" s="210" t="str">
        <f t="shared" si="2"/>
        <v>Admin</v>
      </c>
      <c r="T109" s="210" t="str">
        <f t="shared" si="3"/>
        <v>HR, GA, Mgt</v>
      </c>
      <c r="U109" s="210" t="str">
        <f t="shared" si="4"/>
        <v>BSG</v>
      </c>
      <c r="X109" s="210"/>
      <c r="Y109" s="210"/>
      <c r="Z109" s="210"/>
      <c r="AA109" s="210"/>
      <c r="AB109" s="210"/>
      <c r="AC109" s="210"/>
      <c r="AD109" s="210"/>
      <c r="AE109" s="210"/>
      <c r="AF109" s="210"/>
      <c r="AG109" s="210"/>
      <c r="AH109" s="210"/>
      <c r="AI109" s="210"/>
      <c r="AJ109" s="210"/>
      <c r="AK109" s="210"/>
      <c r="AL109" s="210"/>
      <c r="AM109" s="210"/>
      <c r="AN109" s="210"/>
      <c r="AO109" s="210"/>
      <c r="AP109" s="210"/>
      <c r="AQ109" s="210"/>
    </row>
    <row r="110">
      <c r="A110" s="223" t="str">
        <f>IFERROR(__xludf.DUMMYFUNCTION("""COMPUTED_VALUE"""),"247161")</f>
        <v>247161</v>
      </c>
      <c r="B110" s="190" t="str">
        <f>IFERROR(__xludf.DUMMYFUNCTION("""COMPUTED_VALUE"""),"HUỲNH NHẬT DUY")</f>
        <v>HUỲNH NHẬT DUY</v>
      </c>
      <c r="C110" s="223" t="str">
        <f>IFERROR(__xludf.DUMMYFUNCTION("""COMPUTED_VALUE"""),"EL010")</f>
        <v>EL010</v>
      </c>
      <c r="D110" s="223" t="str">
        <f>IFERROR(__xludf.DUMMYFUNCTION("""COMPUTED_VALUE"""),"Huy Tran 1")</f>
        <v>Huy Tran 1</v>
      </c>
      <c r="E110" s="190" t="str">
        <f>IFERROR(__xludf.DUMMYFUNCTION("""COMPUTED_VALUE"""),"Communication 2")</f>
        <v>Communication 2</v>
      </c>
      <c r="F110" s="190" t="str">
        <f>IFERROR(__xludf.DUMMYFUNCTION("""COMPUTED_VALUE"""),"Pre-Intermediate")</f>
        <v>Pre-Intermediate</v>
      </c>
      <c r="G110" s="190"/>
      <c r="H110" s="219">
        <f>IFERROR(__xludf.DUMMYFUNCTION("""COMPUTED_VALUE"""),45853.375)</f>
        <v>45853.375</v>
      </c>
      <c r="I110" s="219">
        <f>IFERROR(__xludf.DUMMYFUNCTION("""COMPUTED_VALUE"""),45644.375)</f>
        <v>45644.375</v>
      </c>
      <c r="J110" s="190">
        <f>IFERROR(__xludf.DUMMYFUNCTION("""COMPUTED_VALUE"""),2.5)</f>
        <v>2.5</v>
      </c>
      <c r="K110" s="190" t="str">
        <f>IFERROR(__xludf.DUMMYFUNCTION("""COMPUTED_VALUE"""),"")</f>
        <v/>
      </c>
      <c r="L110" s="190" t="str">
        <f>IFERROR(__xludf.DUMMYFUNCTION("""COMPUTED_VALUE"""),"DEV")</f>
        <v>DEV</v>
      </c>
      <c r="M110" s="190" t="str">
        <f>IFERROR(__xludf.DUMMYFUNCTION("""COMPUTED_VALUE"""),"CHORUS")</f>
        <v>CHORUS</v>
      </c>
      <c r="N110" s="220">
        <f>IFERROR(__xludf.DUMMYFUNCTION("""COMPUTED_VALUE"""),1.0)</f>
        <v>1</v>
      </c>
      <c r="O110" s="220">
        <f>IFERROR(__xludf.DUMMYFUNCTION("""COMPUTED_VALUE"""),2.5)</f>
        <v>2.5</v>
      </c>
      <c r="P110" s="229"/>
      <c r="Q110" s="190">
        <f t="shared" si="1"/>
        <v>1</v>
      </c>
      <c r="R110" s="211" t="s">
        <v>556</v>
      </c>
      <c r="S110" s="210" t="str">
        <f t="shared" si="2"/>
        <v>DEV</v>
      </c>
      <c r="T110" s="210" t="str">
        <f t="shared" si="3"/>
        <v>DEV, TA</v>
      </c>
      <c r="U110" s="210" t="str">
        <f t="shared" si="4"/>
        <v>ONC</v>
      </c>
      <c r="X110" s="210"/>
      <c r="Y110" s="210"/>
      <c r="Z110" s="210"/>
      <c r="AA110" s="210"/>
      <c r="AB110" s="210"/>
      <c r="AC110" s="210"/>
      <c r="AD110" s="210"/>
      <c r="AE110" s="210"/>
      <c r="AF110" s="210"/>
      <c r="AG110" s="210"/>
      <c r="AH110" s="210"/>
      <c r="AI110" s="210"/>
      <c r="AJ110" s="210"/>
      <c r="AK110" s="210"/>
      <c r="AL110" s="210"/>
      <c r="AM110" s="210"/>
      <c r="AN110" s="210"/>
      <c r="AO110" s="210"/>
      <c r="AP110" s="210"/>
      <c r="AQ110" s="210"/>
    </row>
    <row r="111">
      <c r="A111" s="223" t="str">
        <f>IFERROR(__xludf.DUMMYFUNCTION("""COMPUTED_VALUE"""),"247080")</f>
        <v>247080</v>
      </c>
      <c r="B111" s="190" t="str">
        <f>IFERROR(__xludf.DUMMYFUNCTION("""COMPUTED_VALUE"""),"MAI THỊ THÙY TRANG")</f>
        <v>MAI THỊ THÙY TRANG</v>
      </c>
      <c r="C111" s="223" t="str">
        <f>IFERROR(__xludf.DUMMYFUNCTION("""COMPUTED_VALUE"""),"EL010")</f>
        <v>EL010</v>
      </c>
      <c r="D111" s="223" t="str">
        <f>IFERROR(__xludf.DUMMYFUNCTION("""COMPUTED_VALUE"""),"Huy Tran 1")</f>
        <v>Huy Tran 1</v>
      </c>
      <c r="E111" s="190" t="str">
        <f>IFERROR(__xludf.DUMMYFUNCTION("""COMPUTED_VALUE"""),"Communication 2")</f>
        <v>Communication 2</v>
      </c>
      <c r="F111" s="190" t="str">
        <f>IFERROR(__xludf.DUMMYFUNCTION("""COMPUTED_VALUE"""),"Pre-Intermediate")</f>
        <v>Pre-Intermediate</v>
      </c>
      <c r="G111" s="190"/>
      <c r="H111" s="219">
        <f>IFERROR(__xludf.DUMMYFUNCTION("""COMPUTED_VALUE"""),45853.375)</f>
        <v>45853.375</v>
      </c>
      <c r="I111" s="219">
        <f>IFERROR(__xludf.DUMMYFUNCTION("""COMPUTED_VALUE"""),45644.375)</f>
        <v>45644.375</v>
      </c>
      <c r="J111" s="190">
        <f>IFERROR(__xludf.DUMMYFUNCTION("""COMPUTED_VALUE"""),2.5)</f>
        <v>2.5</v>
      </c>
      <c r="K111" s="190" t="str">
        <f>IFERROR(__xludf.DUMMYFUNCTION("""COMPUTED_VALUE"""),"")</f>
        <v/>
      </c>
      <c r="L111" s="190" t="str">
        <f>IFERROR(__xludf.DUMMYFUNCTION("""COMPUTED_VALUE"""),"QC")</f>
        <v>QC</v>
      </c>
      <c r="M111" s="190" t="str">
        <f>IFERROR(__xludf.DUMMYFUNCTION("""COMPUTED_VALUE"""),"CHORUS")</f>
        <v>CHORUS</v>
      </c>
      <c r="N111" s="220">
        <f>IFERROR(__xludf.DUMMYFUNCTION("""COMPUTED_VALUE"""),1.0)</f>
        <v>1</v>
      </c>
      <c r="O111" s="220">
        <f>IFERROR(__xludf.DUMMYFUNCTION("""COMPUTED_VALUE"""),2.5)</f>
        <v>2.5</v>
      </c>
      <c r="P111" s="229"/>
      <c r="Q111" s="190">
        <f t="shared" si="1"/>
        <v>1</v>
      </c>
      <c r="R111" s="211" t="s">
        <v>218</v>
      </c>
      <c r="S111" s="210" t="str">
        <f t="shared" si="2"/>
        <v>DEV</v>
      </c>
      <c r="T111" s="210" t="str">
        <f t="shared" si="3"/>
        <v>DEV, TA</v>
      </c>
      <c r="U111" s="210" t="str">
        <f t="shared" si="4"/>
        <v>ONC</v>
      </c>
      <c r="X111" s="210"/>
      <c r="Y111" s="210"/>
      <c r="Z111" s="210"/>
      <c r="AA111" s="210"/>
      <c r="AB111" s="210"/>
      <c r="AC111" s="210"/>
      <c r="AD111" s="210"/>
      <c r="AE111" s="210"/>
      <c r="AF111" s="210"/>
      <c r="AG111" s="210"/>
      <c r="AH111" s="210"/>
      <c r="AI111" s="210"/>
      <c r="AJ111" s="210"/>
      <c r="AK111" s="210"/>
      <c r="AL111" s="210"/>
      <c r="AM111" s="210"/>
      <c r="AN111" s="210"/>
      <c r="AO111" s="210"/>
      <c r="AP111" s="210"/>
      <c r="AQ111" s="210"/>
    </row>
    <row r="112">
      <c r="A112" s="223" t="str">
        <f>IFERROR(__xludf.DUMMYFUNCTION("""COMPUTED_VALUE"""),"247078")</f>
        <v>247078</v>
      </c>
      <c r="B112" s="190" t="str">
        <f>IFERROR(__xludf.DUMMYFUNCTION("""COMPUTED_VALUE"""),"NGUYỄN CÔNG ĐOÀN")</f>
        <v>NGUYỄN CÔNG ĐOÀN</v>
      </c>
      <c r="C112" s="223" t="str">
        <f>IFERROR(__xludf.DUMMYFUNCTION("""COMPUTED_VALUE"""),"EL010")</f>
        <v>EL010</v>
      </c>
      <c r="D112" s="223" t="str">
        <f>IFERROR(__xludf.DUMMYFUNCTION("""COMPUTED_VALUE"""),"Huy Tran 1")</f>
        <v>Huy Tran 1</v>
      </c>
      <c r="E112" s="190" t="str">
        <f>IFERROR(__xludf.DUMMYFUNCTION("""COMPUTED_VALUE"""),"Communication 2")</f>
        <v>Communication 2</v>
      </c>
      <c r="F112" s="190" t="str">
        <f>IFERROR(__xludf.DUMMYFUNCTION("""COMPUTED_VALUE"""),"Pre-Intermediate")</f>
        <v>Pre-Intermediate</v>
      </c>
      <c r="G112" s="190"/>
      <c r="H112" s="219">
        <f>IFERROR(__xludf.DUMMYFUNCTION("""COMPUTED_VALUE"""),45853.375)</f>
        <v>45853.375</v>
      </c>
      <c r="I112" s="219">
        <f>IFERROR(__xludf.DUMMYFUNCTION("""COMPUTED_VALUE"""),45644.375)</f>
        <v>45644.375</v>
      </c>
      <c r="J112" s="190">
        <f>IFERROR(__xludf.DUMMYFUNCTION("""COMPUTED_VALUE"""),2.5)</f>
        <v>2.5</v>
      </c>
      <c r="K112" s="190" t="str">
        <f>IFERROR(__xludf.DUMMYFUNCTION("""COMPUTED_VALUE"""),"")</f>
        <v/>
      </c>
      <c r="L112" s="190" t="str">
        <f>IFERROR(__xludf.DUMMYFUNCTION("""COMPUTED_VALUE"""),"DEV")</f>
        <v>DEV</v>
      </c>
      <c r="M112" s="190" t="str">
        <f>IFERROR(__xludf.DUMMYFUNCTION("""COMPUTED_VALUE"""),"CHORUS")</f>
        <v>CHORUS</v>
      </c>
      <c r="N112" s="220">
        <f>IFERROR(__xludf.DUMMYFUNCTION("""COMPUTED_VALUE"""),1.0)</f>
        <v>1</v>
      </c>
      <c r="O112" s="220">
        <f>IFERROR(__xludf.DUMMYFUNCTION("""COMPUTED_VALUE"""),2.5)</f>
        <v>2.5</v>
      </c>
      <c r="P112" s="229"/>
      <c r="Q112" s="190">
        <f t="shared" si="1"/>
        <v>1</v>
      </c>
      <c r="R112" s="211" t="s">
        <v>374</v>
      </c>
      <c r="S112" s="210" t="str">
        <f t="shared" si="2"/>
        <v>DEV</v>
      </c>
      <c r="T112" s="210" t="str">
        <f t="shared" si="3"/>
        <v>DEV, TA</v>
      </c>
      <c r="U112" s="210" t="str">
        <f t="shared" si="4"/>
        <v>ONC</v>
      </c>
      <c r="X112" s="210"/>
      <c r="Y112" s="210"/>
      <c r="Z112" s="210"/>
      <c r="AA112" s="210"/>
      <c r="AB112" s="210"/>
      <c r="AC112" s="210"/>
      <c r="AD112" s="210"/>
      <c r="AE112" s="210"/>
      <c r="AF112" s="210"/>
      <c r="AG112" s="210"/>
      <c r="AH112" s="210"/>
      <c r="AI112" s="210"/>
      <c r="AJ112" s="210"/>
      <c r="AK112" s="210"/>
      <c r="AL112" s="210"/>
      <c r="AM112" s="210"/>
      <c r="AN112" s="210"/>
      <c r="AO112" s="210"/>
      <c r="AP112" s="210"/>
      <c r="AQ112" s="210"/>
    </row>
    <row r="113">
      <c r="A113" s="223" t="str">
        <f>IFERROR(__xludf.DUMMYFUNCTION("""COMPUTED_VALUE"""),"247106")</f>
        <v>247106</v>
      </c>
      <c r="B113" s="190" t="str">
        <f>IFERROR(__xludf.DUMMYFUNCTION("""COMPUTED_VALUE"""),"NGUYỄN KHÁNH UYÊN")</f>
        <v>NGUYỄN KHÁNH UYÊN</v>
      </c>
      <c r="C113" s="223" t="str">
        <f>IFERROR(__xludf.DUMMYFUNCTION("""COMPUTED_VALUE"""),"EL010")</f>
        <v>EL010</v>
      </c>
      <c r="D113" s="223" t="str">
        <f>IFERROR(__xludf.DUMMYFUNCTION("""COMPUTED_VALUE"""),"Huy Tran 1")</f>
        <v>Huy Tran 1</v>
      </c>
      <c r="E113" s="190" t="str">
        <f>IFERROR(__xludf.DUMMYFUNCTION("""COMPUTED_VALUE"""),"Communication 2")</f>
        <v>Communication 2</v>
      </c>
      <c r="F113" s="190" t="str">
        <f>IFERROR(__xludf.DUMMYFUNCTION("""COMPUTED_VALUE"""),"Pre-Intermediate")</f>
        <v>Pre-Intermediate</v>
      </c>
      <c r="G113" s="190"/>
      <c r="H113" s="219">
        <f>IFERROR(__xludf.DUMMYFUNCTION("""COMPUTED_VALUE"""),45853.375)</f>
        <v>45853.375</v>
      </c>
      <c r="I113" s="219">
        <f>IFERROR(__xludf.DUMMYFUNCTION("""COMPUTED_VALUE"""),45644.375)</f>
        <v>45644.375</v>
      </c>
      <c r="J113" s="190">
        <f>IFERROR(__xludf.DUMMYFUNCTION("""COMPUTED_VALUE"""),2.5)</f>
        <v>2.5</v>
      </c>
      <c r="K113" s="190" t="str">
        <f>IFERROR(__xludf.DUMMYFUNCTION("""COMPUTED_VALUE"""),"")</f>
        <v/>
      </c>
      <c r="L113" s="190" t="str">
        <f>IFERROR(__xludf.DUMMYFUNCTION("""COMPUTED_VALUE"""),"QC")</f>
        <v>QC</v>
      </c>
      <c r="M113" s="190" t="str">
        <f>IFERROR(__xludf.DUMMYFUNCTION("""COMPUTED_VALUE"""),"CHORUS")</f>
        <v>CHORUS</v>
      </c>
      <c r="N113" s="220">
        <f>IFERROR(__xludf.DUMMYFUNCTION("""COMPUTED_VALUE"""),2.5)</f>
        <v>2.5</v>
      </c>
      <c r="O113" s="220">
        <f>IFERROR(__xludf.DUMMYFUNCTION("""COMPUTED_VALUE"""),2.5)</f>
        <v>2.5</v>
      </c>
      <c r="P113" s="229"/>
      <c r="Q113" s="190">
        <f t="shared" si="1"/>
        <v>1</v>
      </c>
      <c r="R113" s="211" t="s">
        <v>643</v>
      </c>
      <c r="S113" s="210" t="str">
        <f t="shared" si="2"/>
        <v>DEV</v>
      </c>
      <c r="T113" s="210" t="str">
        <f t="shared" si="3"/>
        <v>DEV, TA</v>
      </c>
      <c r="U113" s="210" t="str">
        <f t="shared" si="4"/>
        <v>ONC</v>
      </c>
      <c r="X113" s="210"/>
      <c r="Y113" s="210"/>
      <c r="Z113" s="210"/>
      <c r="AA113" s="210"/>
      <c r="AB113" s="210"/>
      <c r="AC113" s="210"/>
      <c r="AD113" s="210"/>
      <c r="AE113" s="210"/>
      <c r="AF113" s="210"/>
      <c r="AG113" s="210"/>
      <c r="AH113" s="210"/>
      <c r="AI113" s="210"/>
      <c r="AJ113" s="210"/>
      <c r="AK113" s="210"/>
      <c r="AL113" s="210"/>
      <c r="AM113" s="210"/>
      <c r="AN113" s="210"/>
      <c r="AO113" s="210"/>
      <c r="AP113" s="210"/>
      <c r="AQ113" s="210"/>
    </row>
    <row r="114">
      <c r="A114" s="223" t="str">
        <f>IFERROR(__xludf.DUMMYFUNCTION("""COMPUTED_VALUE"""),"247038")</f>
        <v>247038</v>
      </c>
      <c r="B114" s="190" t="str">
        <f>IFERROR(__xludf.DUMMYFUNCTION("""COMPUTED_VALUE"""),"TĂNG HOÀNG YẾN")</f>
        <v>TĂNG HOÀNG YẾN</v>
      </c>
      <c r="C114" s="223" t="str">
        <f>IFERROR(__xludf.DUMMYFUNCTION("""COMPUTED_VALUE"""),"EL010")</f>
        <v>EL010</v>
      </c>
      <c r="D114" s="223" t="str">
        <f>IFERROR(__xludf.DUMMYFUNCTION("""COMPUTED_VALUE"""),"Huy Tran 1")</f>
        <v>Huy Tran 1</v>
      </c>
      <c r="E114" s="190" t="str">
        <f>IFERROR(__xludf.DUMMYFUNCTION("""COMPUTED_VALUE"""),"Communication 2")</f>
        <v>Communication 2</v>
      </c>
      <c r="F114" s="190" t="str">
        <f>IFERROR(__xludf.DUMMYFUNCTION("""COMPUTED_VALUE"""),"Intermediate")</f>
        <v>Intermediate</v>
      </c>
      <c r="G114" s="190"/>
      <c r="H114" s="219">
        <f>IFERROR(__xludf.DUMMYFUNCTION("""COMPUTED_VALUE"""),45853.375)</f>
        <v>45853.375</v>
      </c>
      <c r="I114" s="219">
        <f>IFERROR(__xludf.DUMMYFUNCTION("""COMPUTED_VALUE"""),45644.375)</f>
        <v>45644.375</v>
      </c>
      <c r="J114" s="190">
        <f>IFERROR(__xludf.DUMMYFUNCTION("""COMPUTED_VALUE"""),4.5)</f>
        <v>4.5</v>
      </c>
      <c r="K114" s="190" t="str">
        <f>IFERROR(__xludf.DUMMYFUNCTION("""COMPUTED_VALUE"""),"")</f>
        <v/>
      </c>
      <c r="L114" s="190" t="str">
        <f>IFERROR(__xludf.DUMMYFUNCTION("""COMPUTED_VALUE"""),"DEV")</f>
        <v>DEV</v>
      </c>
      <c r="M114" s="190" t="str">
        <f>IFERROR(__xludf.DUMMYFUNCTION("""COMPUTED_VALUE"""),"CHORUS")</f>
        <v>CHORUS</v>
      </c>
      <c r="N114" s="220">
        <f>IFERROR(__xludf.DUMMYFUNCTION("""COMPUTED_VALUE"""),2.5)</f>
        <v>2.5</v>
      </c>
      <c r="O114" s="220">
        <f>IFERROR(__xludf.DUMMYFUNCTION("""COMPUTED_VALUE"""),4.5)</f>
        <v>4.5</v>
      </c>
      <c r="P114" s="229"/>
      <c r="Q114" s="190">
        <f t="shared" si="1"/>
        <v>1</v>
      </c>
      <c r="R114" s="211" t="s">
        <v>323</v>
      </c>
      <c r="S114" s="210" t="str">
        <f t="shared" si="2"/>
        <v>DEV</v>
      </c>
      <c r="T114" s="210" t="str">
        <f t="shared" si="3"/>
        <v>DEV, TA</v>
      </c>
      <c r="U114" s="210" t="str">
        <f t="shared" si="4"/>
        <v>ONC</v>
      </c>
      <c r="X114" s="210"/>
      <c r="Y114" s="210"/>
      <c r="Z114" s="210"/>
      <c r="AA114" s="210"/>
      <c r="AB114" s="210"/>
      <c r="AC114" s="210"/>
      <c r="AD114" s="210"/>
      <c r="AE114" s="210"/>
      <c r="AF114" s="210"/>
      <c r="AG114" s="210"/>
      <c r="AH114" s="210"/>
      <c r="AI114" s="210"/>
      <c r="AJ114" s="210"/>
      <c r="AK114" s="210"/>
      <c r="AL114" s="210"/>
      <c r="AM114" s="210"/>
      <c r="AN114" s="210"/>
      <c r="AO114" s="210"/>
      <c r="AP114" s="210"/>
      <c r="AQ114" s="210"/>
    </row>
    <row r="115">
      <c r="A115" s="218" t="str">
        <f>IFERROR(__xludf.DUMMYFUNCTION("""COMPUTED_VALUE"""),"247106")</f>
        <v>247106</v>
      </c>
      <c r="B115" s="217" t="str">
        <f>IFERROR(__xludf.DUMMYFUNCTION("""COMPUTED_VALUE"""),"NGUYỄN KHÁNH UYÊN")</f>
        <v>NGUYỄN KHÁNH UYÊN</v>
      </c>
      <c r="C115" s="218" t="str">
        <f>IFERROR(__xludf.DUMMYFUNCTION("""COMPUTED_VALUE"""),"EL011")</f>
        <v>EL011</v>
      </c>
      <c r="D115" s="218" t="str">
        <f>IFERROR(__xludf.DUMMYFUNCTION("""COMPUTED_VALUE"""),"Huy Tran 2")</f>
        <v>Huy Tran 2</v>
      </c>
      <c r="E115" s="217" t="str">
        <f>IFERROR(__xludf.DUMMYFUNCTION("""COMPUTED_VALUE"""),"Communication 1")</f>
        <v>Communication 1</v>
      </c>
      <c r="F115" s="190" t="str">
        <f>IFERROR(__xludf.DUMMYFUNCTION("""COMPUTED_VALUE"""),"Pre-Intermediate")</f>
        <v>Pre-Intermediate</v>
      </c>
      <c r="G115" s="190" t="str">
        <f>IFERROR(__xludf.DUMMYFUNCTION("""COMPUTED_VALUE"""),"Pre-Intermediate")</f>
        <v>Pre-Intermediate</v>
      </c>
      <c r="H115" s="219">
        <f>IFERROR(__xludf.DUMMYFUNCTION("""COMPUTED_VALUE"""),45644.375)</f>
        <v>45644.375</v>
      </c>
      <c r="I115" s="219">
        <f>IFERROR(__xludf.DUMMYFUNCTION("""COMPUTED_VALUE"""),45644.375)</f>
        <v>45644.375</v>
      </c>
      <c r="J115" s="190">
        <f>IFERROR(__xludf.DUMMYFUNCTION("""COMPUTED_VALUE"""),2.5)</f>
        <v>2.5</v>
      </c>
      <c r="K115" s="190">
        <f>IFERROR(__xludf.DUMMYFUNCTION("""COMPUTED_VALUE"""),2.5)</f>
        <v>2.5</v>
      </c>
      <c r="L115" s="190" t="str">
        <f>IFERROR(__xludf.DUMMYFUNCTION("""COMPUTED_VALUE"""),"QC")</f>
        <v>QC</v>
      </c>
      <c r="M115" s="190" t="str">
        <f>IFERROR(__xludf.DUMMYFUNCTION("""COMPUTED_VALUE"""),"CHORUS")</f>
        <v>CHORUS</v>
      </c>
      <c r="N115" s="220">
        <f>IFERROR(__xludf.DUMMYFUNCTION("""COMPUTED_VALUE"""),2.5)</f>
        <v>2.5</v>
      </c>
      <c r="O115" s="220">
        <f>IFERROR(__xludf.DUMMYFUNCTION("""COMPUTED_VALUE"""),2.5)</f>
        <v>2.5</v>
      </c>
      <c r="P115" s="229"/>
      <c r="Q115" s="190">
        <f t="shared" si="1"/>
        <v>1</v>
      </c>
      <c r="R115" s="211" t="s">
        <v>639</v>
      </c>
      <c r="S115" s="210" t="str">
        <f t="shared" si="2"/>
        <v>DEV</v>
      </c>
      <c r="T115" s="210" t="str">
        <f t="shared" si="3"/>
        <v>DEV, TA</v>
      </c>
      <c r="U115" s="210" t="str">
        <f t="shared" si="4"/>
        <v>ONC</v>
      </c>
      <c r="X115" s="210"/>
      <c r="Y115" s="210"/>
      <c r="Z115" s="210"/>
      <c r="AA115" s="210"/>
      <c r="AB115" s="210"/>
      <c r="AC115" s="210"/>
      <c r="AD115" s="210"/>
      <c r="AE115" s="210"/>
      <c r="AF115" s="210"/>
      <c r="AG115" s="210"/>
      <c r="AH115" s="210"/>
      <c r="AI115" s="210"/>
      <c r="AJ115" s="210"/>
      <c r="AK115" s="210"/>
      <c r="AL115" s="210"/>
      <c r="AM115" s="210"/>
      <c r="AN115" s="210"/>
      <c r="AO115" s="210"/>
      <c r="AP115" s="210"/>
      <c r="AQ115" s="210"/>
    </row>
    <row r="116">
      <c r="A116" s="223" t="str">
        <f>IFERROR(__xludf.DUMMYFUNCTION("""COMPUTED_VALUE"""),"247037")</f>
        <v>247037</v>
      </c>
      <c r="B116" s="190" t="str">
        <f>IFERROR(__xludf.DUMMYFUNCTION("""COMPUTED_VALUE"""),"BÙI HUỲNH TRUNG TÍN")</f>
        <v>BÙI HUỲNH TRUNG TÍN</v>
      </c>
      <c r="C116" s="223" t="str">
        <f>IFERROR(__xludf.DUMMYFUNCTION("""COMPUTED_VALUE"""),"EL011")</f>
        <v>EL011</v>
      </c>
      <c r="D116" s="223" t="str">
        <f>IFERROR(__xludf.DUMMYFUNCTION("""COMPUTED_VALUE"""),"Huy Tran 2")</f>
        <v>Huy Tran 2</v>
      </c>
      <c r="E116" s="190" t="str">
        <f>IFERROR(__xludf.DUMMYFUNCTION("""COMPUTED_VALUE"""),"Communication 1")</f>
        <v>Communication 1</v>
      </c>
      <c r="F116" s="190" t="str">
        <f>IFERROR(__xludf.DUMMYFUNCTION("""COMPUTED_VALUE"""),"Beginner")</f>
        <v>Beginner</v>
      </c>
      <c r="G116" s="190" t="str">
        <f>IFERROR(__xludf.DUMMYFUNCTION("""COMPUTED_VALUE"""),"Pre-Intermediate")</f>
        <v>Pre-Intermediate</v>
      </c>
      <c r="H116" s="219">
        <f>IFERROR(__xludf.DUMMYFUNCTION("""COMPUTED_VALUE"""),45644.375)</f>
        <v>45644.375</v>
      </c>
      <c r="I116" s="219">
        <f>IFERROR(__xludf.DUMMYFUNCTION("""COMPUTED_VALUE"""),45644.375)</f>
        <v>45644.375</v>
      </c>
      <c r="J116" s="190">
        <f>IFERROR(__xludf.DUMMYFUNCTION("""COMPUTED_VALUE"""),1.0)</f>
        <v>1</v>
      </c>
      <c r="K116" s="190">
        <f>IFERROR(__xludf.DUMMYFUNCTION("""COMPUTED_VALUE"""),2.5)</f>
        <v>2.5</v>
      </c>
      <c r="L116" s="190" t="str">
        <f>IFERROR(__xludf.DUMMYFUNCTION("""COMPUTED_VALUE"""),"DEV")</f>
        <v>DEV</v>
      </c>
      <c r="M116" s="190" t="str">
        <f>IFERROR(__xludf.DUMMYFUNCTION("""COMPUTED_VALUE"""),"CHORUS")</f>
        <v>CHORUS</v>
      </c>
      <c r="N116" s="220">
        <f>IFERROR(__xludf.DUMMYFUNCTION("""COMPUTED_VALUE"""),1.0)</f>
        <v>1</v>
      </c>
      <c r="O116" s="220">
        <f>IFERROR(__xludf.DUMMYFUNCTION("""COMPUTED_VALUE"""),2.5)</f>
        <v>2.5</v>
      </c>
      <c r="P116" s="229"/>
      <c r="Q116" s="190">
        <f t="shared" si="1"/>
        <v>1</v>
      </c>
      <c r="R116" s="211" t="s">
        <v>715</v>
      </c>
      <c r="S116" s="210" t="str">
        <f t="shared" si="2"/>
        <v>DEV</v>
      </c>
      <c r="T116" s="210" t="str">
        <f t="shared" si="3"/>
        <v>DEV, TA</v>
      </c>
      <c r="U116" s="210" t="str">
        <f t="shared" si="4"/>
        <v>ONC</v>
      </c>
      <c r="X116" s="210"/>
      <c r="Y116" s="210"/>
      <c r="Z116" s="210"/>
      <c r="AA116" s="210"/>
      <c r="AB116" s="210"/>
      <c r="AC116" s="210"/>
      <c r="AD116" s="210"/>
      <c r="AE116" s="210"/>
      <c r="AF116" s="210"/>
      <c r="AG116" s="210"/>
      <c r="AH116" s="210"/>
      <c r="AI116" s="210"/>
      <c r="AJ116" s="210"/>
      <c r="AK116" s="210"/>
      <c r="AL116" s="210"/>
      <c r="AM116" s="210"/>
      <c r="AN116" s="210"/>
      <c r="AO116" s="210"/>
      <c r="AP116" s="210"/>
      <c r="AQ116" s="210"/>
    </row>
    <row r="117">
      <c r="A117" s="223" t="str">
        <f>IFERROR(__xludf.DUMMYFUNCTION("""COMPUTED_VALUE"""),"247078")</f>
        <v>247078</v>
      </c>
      <c r="B117" s="190" t="str">
        <f>IFERROR(__xludf.DUMMYFUNCTION("""COMPUTED_VALUE"""),"NGUYỄN CÔNG ĐOÀN")</f>
        <v>NGUYỄN CÔNG ĐOÀN</v>
      </c>
      <c r="C117" s="223" t="str">
        <f>IFERROR(__xludf.DUMMYFUNCTION("""COMPUTED_VALUE"""),"EL011")</f>
        <v>EL011</v>
      </c>
      <c r="D117" s="223" t="str">
        <f>IFERROR(__xludf.DUMMYFUNCTION("""COMPUTED_VALUE"""),"Huy Tran 2")</f>
        <v>Huy Tran 2</v>
      </c>
      <c r="E117" s="190" t="str">
        <f>IFERROR(__xludf.DUMMYFUNCTION("""COMPUTED_VALUE"""),"Communication 1")</f>
        <v>Communication 1</v>
      </c>
      <c r="F117" s="190" t="str">
        <f>IFERROR(__xludf.DUMMYFUNCTION("""COMPUTED_VALUE"""),"Beginner")</f>
        <v>Beginner</v>
      </c>
      <c r="G117" s="190" t="str">
        <f>IFERROR(__xludf.DUMMYFUNCTION("""COMPUTED_VALUE"""),"Pre-Intermediate")</f>
        <v>Pre-Intermediate</v>
      </c>
      <c r="H117" s="219">
        <f>IFERROR(__xludf.DUMMYFUNCTION("""COMPUTED_VALUE"""),45644.375)</f>
        <v>45644.375</v>
      </c>
      <c r="I117" s="219">
        <f>IFERROR(__xludf.DUMMYFUNCTION("""COMPUTED_VALUE"""),45644.375)</f>
        <v>45644.375</v>
      </c>
      <c r="J117" s="190">
        <f>IFERROR(__xludf.DUMMYFUNCTION("""COMPUTED_VALUE"""),1.0)</f>
        <v>1</v>
      </c>
      <c r="K117" s="190">
        <f>IFERROR(__xludf.DUMMYFUNCTION("""COMPUTED_VALUE"""),2.5)</f>
        <v>2.5</v>
      </c>
      <c r="L117" s="190" t="str">
        <f>IFERROR(__xludf.DUMMYFUNCTION("""COMPUTED_VALUE"""),"DEV")</f>
        <v>DEV</v>
      </c>
      <c r="M117" s="190" t="str">
        <f>IFERROR(__xludf.DUMMYFUNCTION("""COMPUTED_VALUE"""),"CHORUS")</f>
        <v>CHORUS</v>
      </c>
      <c r="N117" s="220">
        <f>IFERROR(__xludf.DUMMYFUNCTION("""COMPUTED_VALUE"""),1.0)</f>
        <v>1</v>
      </c>
      <c r="O117" s="220">
        <f>IFERROR(__xludf.DUMMYFUNCTION("""COMPUTED_VALUE"""),2.5)</f>
        <v>2.5</v>
      </c>
      <c r="P117" s="229"/>
      <c r="Q117" s="190">
        <f t="shared" si="1"/>
        <v>1</v>
      </c>
      <c r="R117" s="211" t="s">
        <v>257</v>
      </c>
      <c r="S117" s="210" t="str">
        <f t="shared" si="2"/>
        <v>DEV</v>
      </c>
      <c r="T117" s="210" t="str">
        <f t="shared" si="3"/>
        <v>DEV, TA</v>
      </c>
      <c r="U117" s="210" t="str">
        <f t="shared" si="4"/>
        <v>ONC</v>
      </c>
      <c r="X117" s="210"/>
      <c r="Y117" s="210"/>
      <c r="Z117" s="210"/>
      <c r="AA117" s="210"/>
      <c r="AB117" s="210"/>
      <c r="AC117" s="210"/>
      <c r="AD117" s="210"/>
      <c r="AE117" s="210"/>
      <c r="AF117" s="210"/>
      <c r="AG117" s="210"/>
      <c r="AH117" s="210"/>
      <c r="AI117" s="210"/>
      <c r="AJ117" s="210"/>
      <c r="AK117" s="210"/>
      <c r="AL117" s="210"/>
      <c r="AM117" s="210"/>
      <c r="AN117" s="210"/>
      <c r="AO117" s="210"/>
      <c r="AP117" s="210"/>
      <c r="AQ117" s="210"/>
    </row>
    <row r="118">
      <c r="A118" s="223" t="str">
        <f>IFERROR(__xludf.DUMMYFUNCTION("""COMPUTED_VALUE"""),"247207")</f>
        <v>247207</v>
      </c>
      <c r="B118" s="190" t="str">
        <f>IFERROR(__xludf.DUMMYFUNCTION("""COMPUTED_VALUE"""),"NGUYỄN VĂN ĐỨC")</f>
        <v>NGUYỄN VĂN ĐỨC</v>
      </c>
      <c r="C118" s="223" t="str">
        <f>IFERROR(__xludf.DUMMYFUNCTION("""COMPUTED_VALUE"""),"EL011")</f>
        <v>EL011</v>
      </c>
      <c r="D118" s="223" t="str">
        <f>IFERROR(__xludf.DUMMYFUNCTION("""COMPUTED_VALUE"""),"Huy Tran 2")</f>
        <v>Huy Tran 2</v>
      </c>
      <c r="E118" s="190" t="str">
        <f>IFERROR(__xludf.DUMMYFUNCTION("""COMPUTED_VALUE"""),"Communication 1")</f>
        <v>Communication 1</v>
      </c>
      <c r="F118" s="190" t="str">
        <f>IFERROR(__xludf.DUMMYFUNCTION("""COMPUTED_VALUE"""),"Beginner")</f>
        <v>Beginner</v>
      </c>
      <c r="G118" s="190" t="str">
        <f>IFERROR(__xludf.DUMMYFUNCTION("""COMPUTED_VALUE"""),"Beginner")</f>
        <v>Beginner</v>
      </c>
      <c r="H118" s="219">
        <f>IFERROR(__xludf.DUMMYFUNCTION("""COMPUTED_VALUE"""),45644.375)</f>
        <v>45644.375</v>
      </c>
      <c r="I118" s="219">
        <f>IFERROR(__xludf.DUMMYFUNCTION("""COMPUTED_VALUE"""),45644.375)</f>
        <v>45644.375</v>
      </c>
      <c r="J118" s="190">
        <f>IFERROR(__xludf.DUMMYFUNCTION("""COMPUTED_VALUE"""),1.0)</f>
        <v>1</v>
      </c>
      <c r="K118" s="190">
        <f>IFERROR(__xludf.DUMMYFUNCTION("""COMPUTED_VALUE"""),1.0)</f>
        <v>1</v>
      </c>
      <c r="L118" s="190" t="str">
        <f>IFERROR(__xludf.DUMMYFUNCTION("""COMPUTED_VALUE"""),"DEV")</f>
        <v>DEV</v>
      </c>
      <c r="M118" s="190" t="str">
        <f>IFERROR(__xludf.DUMMYFUNCTION("""COMPUTED_VALUE"""),"CHORUS")</f>
        <v>CHORUS</v>
      </c>
      <c r="N118" s="220">
        <f>IFERROR(__xludf.DUMMYFUNCTION("""COMPUTED_VALUE"""),1.0)</f>
        <v>1</v>
      </c>
      <c r="O118" s="220">
        <f>IFERROR(__xludf.DUMMYFUNCTION("""COMPUTED_VALUE"""),1.0)</f>
        <v>1</v>
      </c>
      <c r="P118" s="229"/>
      <c r="Q118" s="190">
        <f t="shared" si="1"/>
        <v>1</v>
      </c>
      <c r="R118" s="211" t="s">
        <v>311</v>
      </c>
      <c r="S118" s="210" t="str">
        <f t="shared" si="2"/>
        <v>DEV</v>
      </c>
      <c r="T118" s="210" t="str">
        <f t="shared" si="3"/>
        <v>DEV, TA</v>
      </c>
      <c r="U118" s="210" t="str">
        <f t="shared" si="4"/>
        <v>ONC</v>
      </c>
      <c r="X118" s="210"/>
      <c r="Y118" s="210"/>
      <c r="Z118" s="210"/>
      <c r="AA118" s="210"/>
      <c r="AB118" s="210"/>
      <c r="AC118" s="210"/>
      <c r="AD118" s="210"/>
      <c r="AE118" s="210"/>
      <c r="AF118" s="210"/>
      <c r="AG118" s="210"/>
      <c r="AH118" s="210"/>
      <c r="AI118" s="210"/>
      <c r="AJ118" s="210"/>
      <c r="AK118" s="210"/>
      <c r="AL118" s="210"/>
      <c r="AM118" s="210"/>
      <c r="AN118" s="210"/>
      <c r="AO118" s="210"/>
      <c r="AP118" s="210"/>
      <c r="AQ118" s="210"/>
    </row>
    <row r="119">
      <c r="A119" s="223" t="str">
        <f>IFERROR(__xludf.DUMMYFUNCTION("""COMPUTED_VALUE"""),"247038")</f>
        <v>247038</v>
      </c>
      <c r="B119" s="190" t="str">
        <f>IFERROR(__xludf.DUMMYFUNCTION("""COMPUTED_VALUE"""),"TĂNG HOÀNG YẾN")</f>
        <v>TĂNG HOÀNG YẾN</v>
      </c>
      <c r="C119" s="223" t="str">
        <f>IFERROR(__xludf.DUMMYFUNCTION("""COMPUTED_VALUE"""),"EL011")</f>
        <v>EL011</v>
      </c>
      <c r="D119" s="223" t="str">
        <f>IFERROR(__xludf.DUMMYFUNCTION("""COMPUTED_VALUE"""),"Huy Tran 2")</f>
        <v>Huy Tran 2</v>
      </c>
      <c r="E119" s="190" t="str">
        <f>IFERROR(__xludf.DUMMYFUNCTION("""COMPUTED_VALUE"""),"Communication 1")</f>
        <v>Communication 1</v>
      </c>
      <c r="F119" s="190" t="str">
        <f>IFERROR(__xludf.DUMMYFUNCTION("""COMPUTED_VALUE"""),"Pre-Intermediate")</f>
        <v>Pre-Intermediate</v>
      </c>
      <c r="G119" s="190" t="str">
        <f>IFERROR(__xludf.DUMMYFUNCTION("""COMPUTED_VALUE"""),"Intermediate")</f>
        <v>Intermediate</v>
      </c>
      <c r="H119" s="219">
        <f>IFERROR(__xludf.DUMMYFUNCTION("""COMPUTED_VALUE"""),45644.375)</f>
        <v>45644.375</v>
      </c>
      <c r="I119" s="219">
        <f>IFERROR(__xludf.DUMMYFUNCTION("""COMPUTED_VALUE"""),45644.375)</f>
        <v>45644.375</v>
      </c>
      <c r="J119" s="190">
        <f>IFERROR(__xludf.DUMMYFUNCTION("""COMPUTED_VALUE"""),2.5)</f>
        <v>2.5</v>
      </c>
      <c r="K119" s="190">
        <f>IFERROR(__xludf.DUMMYFUNCTION("""COMPUTED_VALUE"""),4.5)</f>
        <v>4.5</v>
      </c>
      <c r="L119" s="190" t="str">
        <f>IFERROR(__xludf.DUMMYFUNCTION("""COMPUTED_VALUE"""),"DEV")</f>
        <v>DEV</v>
      </c>
      <c r="M119" s="190" t="str">
        <f>IFERROR(__xludf.DUMMYFUNCTION("""COMPUTED_VALUE"""),"CHORUS")</f>
        <v>CHORUS</v>
      </c>
      <c r="N119" s="220">
        <f>IFERROR(__xludf.DUMMYFUNCTION("""COMPUTED_VALUE"""),2.5)</f>
        <v>2.5</v>
      </c>
      <c r="O119" s="220">
        <f>IFERROR(__xludf.DUMMYFUNCTION("""COMPUTED_VALUE"""),4.5)</f>
        <v>4.5</v>
      </c>
      <c r="P119" s="229"/>
      <c r="Q119" s="190">
        <f t="shared" si="1"/>
        <v>1</v>
      </c>
      <c r="R119" s="211" t="s">
        <v>403</v>
      </c>
      <c r="S119" s="210" t="str">
        <f t="shared" si="2"/>
        <v>DEV</v>
      </c>
      <c r="T119" s="210" t="str">
        <f t="shared" si="3"/>
        <v>DEV, TA</v>
      </c>
      <c r="U119" s="210" t="str">
        <f t="shared" si="4"/>
        <v>ONC</v>
      </c>
      <c r="X119" s="210"/>
      <c r="Y119" s="210"/>
      <c r="Z119" s="210"/>
      <c r="AA119" s="210"/>
      <c r="AB119" s="210"/>
      <c r="AC119" s="210"/>
      <c r="AD119" s="210"/>
      <c r="AE119" s="210"/>
      <c r="AF119" s="210"/>
      <c r="AG119" s="210"/>
      <c r="AH119" s="210"/>
      <c r="AI119" s="210"/>
      <c r="AJ119" s="210"/>
      <c r="AK119" s="210"/>
      <c r="AL119" s="210"/>
      <c r="AM119" s="210"/>
      <c r="AN119" s="210"/>
      <c r="AO119" s="210"/>
      <c r="AP119" s="210"/>
      <c r="AQ119" s="210"/>
    </row>
    <row r="120">
      <c r="A120" s="218" t="str">
        <f>IFERROR(__xludf.DUMMYFUNCTION("""COMPUTED_VALUE"""),"237169")</f>
        <v>237169</v>
      </c>
      <c r="B120" s="217" t="str">
        <f>IFERROR(__xludf.DUMMYFUNCTION("""COMPUTED_VALUE"""),"LƯƠNG ANH TUẤN")</f>
        <v>LƯƠNG ANH TUẤN</v>
      </c>
      <c r="C120" s="218" t="str">
        <f>IFERROR(__xludf.DUMMYFUNCTION("""COMPUTED_VALUE"""),"EL012")</f>
        <v>EL012</v>
      </c>
      <c r="D120" s="218" t="str">
        <f>IFERROR(__xludf.DUMMYFUNCTION("""COMPUTED_VALUE"""),"Huyen Vo")</f>
        <v>Huyen Vo</v>
      </c>
      <c r="E120" s="217" t="str">
        <f>IFERROR(__xludf.DUMMYFUNCTION("""COMPUTED_VALUE"""),"Communication 1")</f>
        <v>Communication 1</v>
      </c>
      <c r="F120" s="190" t="str">
        <f>IFERROR(__xludf.DUMMYFUNCTION("""COMPUTED_VALUE"""),"Pre-Intermediate")</f>
        <v>Pre-Intermediate</v>
      </c>
      <c r="G120" s="190" t="str">
        <f>IFERROR(__xludf.DUMMYFUNCTION("""COMPUTED_VALUE"""),"Pre-Intermediate 2")</f>
        <v>Pre-Intermediate 2</v>
      </c>
      <c r="H120" s="219">
        <f>IFERROR(__xludf.DUMMYFUNCTION("""COMPUTED_VALUE"""),45646.375)</f>
        <v>45646.375</v>
      </c>
      <c r="I120" s="219">
        <f>IFERROR(__xludf.DUMMYFUNCTION("""COMPUTED_VALUE"""),45646.375)</f>
        <v>45646.375</v>
      </c>
      <c r="J120" s="190">
        <f>IFERROR(__xludf.DUMMYFUNCTION("""COMPUTED_VALUE"""),2.5)</f>
        <v>2.5</v>
      </c>
      <c r="K120" s="190">
        <f>IFERROR(__xludf.DUMMYFUNCTION("""COMPUTED_VALUE"""),3.5)</f>
        <v>3.5</v>
      </c>
      <c r="L120" s="190" t="str">
        <f>IFERROR(__xludf.DUMMYFUNCTION("""COMPUTED_VALUE"""),"DEV")</f>
        <v>DEV</v>
      </c>
      <c r="M120" s="190" t="str">
        <f>IFERROR(__xludf.DUMMYFUNCTION("""COMPUTED_VALUE"""),"CHORUS")</f>
        <v>CHORUS</v>
      </c>
      <c r="N120" s="220">
        <f>IFERROR(__xludf.DUMMYFUNCTION("""COMPUTED_VALUE"""),2.5)</f>
        <v>2.5</v>
      </c>
      <c r="O120" s="220">
        <f>IFERROR(__xludf.DUMMYFUNCTION("""COMPUTED_VALUE"""),3.5)</f>
        <v>3.5</v>
      </c>
      <c r="P120" s="229"/>
      <c r="Q120" s="190">
        <f t="shared" si="1"/>
        <v>1</v>
      </c>
      <c r="R120" s="211" t="s">
        <v>434</v>
      </c>
      <c r="S120" s="210" t="str">
        <f t="shared" si="2"/>
        <v>DEV</v>
      </c>
      <c r="T120" s="210" t="str">
        <f t="shared" si="3"/>
        <v>DEV, TA</v>
      </c>
      <c r="U120" s="210" t="str">
        <f t="shared" si="4"/>
        <v>TBU</v>
      </c>
      <c r="X120" s="210"/>
      <c r="Y120" s="210"/>
      <c r="Z120" s="210"/>
      <c r="AA120" s="210"/>
      <c r="AB120" s="210"/>
      <c r="AC120" s="210"/>
      <c r="AD120" s="210"/>
      <c r="AE120" s="210"/>
      <c r="AF120" s="210"/>
      <c r="AG120" s="210"/>
      <c r="AH120" s="210"/>
      <c r="AI120" s="210"/>
      <c r="AJ120" s="210"/>
      <c r="AK120" s="210"/>
      <c r="AL120" s="210"/>
      <c r="AM120" s="210"/>
      <c r="AN120" s="210"/>
      <c r="AO120" s="210"/>
      <c r="AP120" s="210"/>
      <c r="AQ120" s="210"/>
    </row>
    <row r="121">
      <c r="A121" s="223" t="str">
        <f>IFERROR(__xludf.DUMMYFUNCTION("""COMPUTED_VALUE"""),"237222")</f>
        <v>237222</v>
      </c>
      <c r="B121" s="190" t="str">
        <f>IFERROR(__xludf.DUMMYFUNCTION("""COMPUTED_VALUE"""),"ĐOÀN NHẬT QUANG")</f>
        <v>ĐOÀN NHẬT QUANG</v>
      </c>
      <c r="C121" s="223" t="str">
        <f>IFERROR(__xludf.DUMMYFUNCTION("""COMPUTED_VALUE"""),"EL012")</f>
        <v>EL012</v>
      </c>
      <c r="D121" s="223" t="str">
        <f>IFERROR(__xludf.DUMMYFUNCTION("""COMPUTED_VALUE"""),"Huyen Vo")</f>
        <v>Huyen Vo</v>
      </c>
      <c r="E121" s="190" t="str">
        <f>IFERROR(__xludf.DUMMYFUNCTION("""COMPUTED_VALUE"""),"Communication 1")</f>
        <v>Communication 1</v>
      </c>
      <c r="F121" s="190" t="str">
        <f>IFERROR(__xludf.DUMMYFUNCTION("""COMPUTED_VALUE"""),"Beginner")</f>
        <v>Beginner</v>
      </c>
      <c r="G121" s="190"/>
      <c r="H121" s="219">
        <f>IFERROR(__xludf.DUMMYFUNCTION("""COMPUTED_VALUE"""),45646.375)</f>
        <v>45646.375</v>
      </c>
      <c r="I121" s="219">
        <f>IFERROR(__xludf.DUMMYFUNCTION("""COMPUTED_VALUE"""),45646.375)</f>
        <v>45646.375</v>
      </c>
      <c r="J121" s="190">
        <f>IFERROR(__xludf.DUMMYFUNCTION("""COMPUTED_VALUE"""),1.0)</f>
        <v>1</v>
      </c>
      <c r="K121" s="190" t="str">
        <f>IFERROR(__xludf.DUMMYFUNCTION("""COMPUTED_VALUE"""),"")</f>
        <v/>
      </c>
      <c r="L121" s="190" t="str">
        <f>IFERROR(__xludf.DUMMYFUNCTION("""COMPUTED_VALUE"""),"TA")</f>
        <v>TA</v>
      </c>
      <c r="M121" s="190" t="str">
        <f>IFERROR(__xludf.DUMMYFUNCTION("""COMPUTED_VALUE"""),"CHORUS")</f>
        <v>CHORUS</v>
      </c>
      <c r="N121" s="220">
        <f>IFERROR(__xludf.DUMMYFUNCTION("""COMPUTED_VALUE"""),1.0)</f>
        <v>1</v>
      </c>
      <c r="O121" s="220">
        <f>IFERROR(__xludf.DUMMYFUNCTION("""COMPUTED_VALUE"""),0.0)</f>
        <v>0</v>
      </c>
      <c r="P121" s="229"/>
      <c r="Q121" s="190">
        <f t="shared" si="1"/>
        <v>1</v>
      </c>
      <c r="R121" s="211" t="s">
        <v>192</v>
      </c>
      <c r="S121" s="210" t="str">
        <f t="shared" si="2"/>
        <v>DEV</v>
      </c>
      <c r="T121" s="210" t="str">
        <f t="shared" si="3"/>
        <v>DEV, TA</v>
      </c>
      <c r="U121" s="210" t="str">
        <f t="shared" si="4"/>
        <v>LBU</v>
      </c>
      <c r="X121" s="210"/>
      <c r="Y121" s="210"/>
      <c r="Z121" s="210"/>
      <c r="AA121" s="210"/>
      <c r="AB121" s="210"/>
      <c r="AC121" s="210"/>
      <c r="AD121" s="210"/>
      <c r="AE121" s="210"/>
      <c r="AF121" s="210"/>
      <c r="AG121" s="210"/>
      <c r="AH121" s="210"/>
      <c r="AI121" s="210"/>
      <c r="AJ121" s="210"/>
      <c r="AK121" s="210"/>
      <c r="AL121" s="210"/>
      <c r="AM121" s="210"/>
      <c r="AN121" s="210"/>
      <c r="AO121" s="210"/>
      <c r="AP121" s="210"/>
      <c r="AQ121" s="210"/>
    </row>
    <row r="122">
      <c r="A122" s="223" t="str">
        <f>IFERROR(__xludf.DUMMYFUNCTION("""COMPUTED_VALUE"""),"237227")</f>
        <v>237227</v>
      </c>
      <c r="B122" s="190" t="str">
        <f>IFERROR(__xludf.DUMMYFUNCTION("""COMPUTED_VALUE"""),"DƯƠNG HOÀNG LONG")</f>
        <v>DƯƠNG HOÀNG LONG</v>
      </c>
      <c r="C122" s="223" t="str">
        <f>IFERROR(__xludf.DUMMYFUNCTION("""COMPUTED_VALUE"""),"EL012")</f>
        <v>EL012</v>
      </c>
      <c r="D122" s="223" t="str">
        <f>IFERROR(__xludf.DUMMYFUNCTION("""COMPUTED_VALUE"""),"Huyen Vo")</f>
        <v>Huyen Vo</v>
      </c>
      <c r="E122" s="190" t="str">
        <f>IFERROR(__xludf.DUMMYFUNCTION("""COMPUTED_VALUE"""),"Communication 1")</f>
        <v>Communication 1</v>
      </c>
      <c r="F122" s="190" t="str">
        <f>IFERROR(__xludf.DUMMYFUNCTION("""COMPUTED_VALUE"""),"Pre-Intermediate")</f>
        <v>Pre-Intermediate</v>
      </c>
      <c r="G122" s="190"/>
      <c r="H122" s="219">
        <f>IFERROR(__xludf.DUMMYFUNCTION("""COMPUTED_VALUE"""),45646.375)</f>
        <v>45646.375</v>
      </c>
      <c r="I122" s="219">
        <f>IFERROR(__xludf.DUMMYFUNCTION("""COMPUTED_VALUE"""),45646.375)</f>
        <v>45646.375</v>
      </c>
      <c r="J122" s="190">
        <f>IFERROR(__xludf.DUMMYFUNCTION("""COMPUTED_VALUE"""),2.5)</f>
        <v>2.5</v>
      </c>
      <c r="K122" s="190" t="str">
        <f>IFERROR(__xludf.DUMMYFUNCTION("""COMPUTED_VALUE"""),"")</f>
        <v/>
      </c>
      <c r="L122" s="190" t="str">
        <f>IFERROR(__xludf.DUMMYFUNCTION("""COMPUTED_VALUE"""),"DEV")</f>
        <v>DEV</v>
      </c>
      <c r="M122" s="190" t="str">
        <f>IFERROR(__xludf.DUMMYFUNCTION("""COMPUTED_VALUE"""),"TBU")</f>
        <v>TBU</v>
      </c>
      <c r="N122" s="220">
        <f>IFERROR(__xludf.DUMMYFUNCTION("""COMPUTED_VALUE"""),2.5)</f>
        <v>2.5</v>
      </c>
      <c r="O122" s="220">
        <f>IFERROR(__xludf.DUMMYFUNCTION("""COMPUTED_VALUE"""),0.0)</f>
        <v>0</v>
      </c>
      <c r="P122" s="220"/>
      <c r="Q122" s="190">
        <f t="shared" si="1"/>
        <v>1</v>
      </c>
      <c r="R122" s="211" t="s">
        <v>202</v>
      </c>
      <c r="S122" s="210" t="str">
        <f t="shared" si="2"/>
        <v>DEV</v>
      </c>
      <c r="T122" s="210" t="str">
        <f t="shared" si="3"/>
        <v>DEV, TA</v>
      </c>
      <c r="U122" s="210" t="str">
        <f t="shared" si="4"/>
        <v>TBU</v>
      </c>
      <c r="X122" s="210"/>
      <c r="Y122" s="210"/>
      <c r="Z122" s="210"/>
      <c r="AA122" s="210"/>
      <c r="AB122" s="210"/>
      <c r="AC122" s="210"/>
      <c r="AD122" s="210"/>
      <c r="AE122" s="210"/>
      <c r="AF122" s="210"/>
      <c r="AG122" s="210"/>
      <c r="AH122" s="210"/>
      <c r="AI122" s="210"/>
      <c r="AJ122" s="210"/>
      <c r="AK122" s="210"/>
      <c r="AL122" s="210"/>
      <c r="AM122" s="210"/>
      <c r="AN122" s="210"/>
      <c r="AO122" s="210"/>
      <c r="AP122" s="210"/>
      <c r="AQ122" s="210"/>
    </row>
    <row r="123">
      <c r="A123" s="223" t="str">
        <f>IFERROR(__xludf.DUMMYFUNCTION("""COMPUTED_VALUE"""),"237235")</f>
        <v>237235</v>
      </c>
      <c r="B123" s="190" t="str">
        <f>IFERROR(__xludf.DUMMYFUNCTION("""COMPUTED_VALUE"""),"HUỲNH TẤN LỘC")</f>
        <v>HUỲNH TẤN LỘC</v>
      </c>
      <c r="C123" s="223" t="str">
        <f>IFERROR(__xludf.DUMMYFUNCTION("""COMPUTED_VALUE"""),"EL012")</f>
        <v>EL012</v>
      </c>
      <c r="D123" s="223" t="str">
        <f>IFERROR(__xludf.DUMMYFUNCTION("""COMPUTED_VALUE"""),"Huyen Vo")</f>
        <v>Huyen Vo</v>
      </c>
      <c r="E123" s="190" t="str">
        <f>IFERROR(__xludf.DUMMYFUNCTION("""COMPUTED_VALUE"""),"Communication 1")</f>
        <v>Communication 1</v>
      </c>
      <c r="F123" s="190" t="str">
        <f>IFERROR(__xludf.DUMMYFUNCTION("""COMPUTED_VALUE"""),"Pre-Intermediate")</f>
        <v>Pre-Intermediate</v>
      </c>
      <c r="G123" s="190"/>
      <c r="H123" s="219">
        <f>IFERROR(__xludf.DUMMYFUNCTION("""COMPUTED_VALUE"""),45646.375)</f>
        <v>45646.375</v>
      </c>
      <c r="I123" s="219">
        <f>IFERROR(__xludf.DUMMYFUNCTION("""COMPUTED_VALUE"""),45646.375)</f>
        <v>45646.375</v>
      </c>
      <c r="J123" s="190">
        <f>IFERROR(__xludf.DUMMYFUNCTION("""COMPUTED_VALUE"""),2.5)</f>
        <v>2.5</v>
      </c>
      <c r="K123" s="190" t="str">
        <f>IFERROR(__xludf.DUMMYFUNCTION("""COMPUTED_VALUE"""),"")</f>
        <v/>
      </c>
      <c r="L123" s="190" t="str">
        <f>IFERROR(__xludf.DUMMYFUNCTION("""COMPUTED_VALUE"""),"QC")</f>
        <v>QC</v>
      </c>
      <c r="M123" s="190" t="str">
        <f>IFERROR(__xludf.DUMMYFUNCTION("""COMPUTED_VALUE"""),"CHORUS")</f>
        <v>CHORUS</v>
      </c>
      <c r="N123" s="220">
        <f>IFERROR(__xludf.DUMMYFUNCTION("""COMPUTED_VALUE"""),2.5)</f>
        <v>2.5</v>
      </c>
      <c r="O123" s="220">
        <f>IFERROR(__xludf.DUMMYFUNCTION("""COMPUTED_VALUE"""),0.0)</f>
        <v>0</v>
      </c>
      <c r="P123" s="229"/>
      <c r="Q123" s="190">
        <f t="shared" si="1"/>
        <v>1</v>
      </c>
      <c r="R123" s="211" t="s">
        <v>607</v>
      </c>
      <c r="S123" s="210" t="str">
        <f t="shared" si="2"/>
        <v>DEV</v>
      </c>
      <c r="T123" s="210" t="str">
        <f t="shared" si="3"/>
        <v>DEV, TA</v>
      </c>
      <c r="U123" s="210" t="str">
        <f t="shared" si="4"/>
        <v>CHORUS</v>
      </c>
      <c r="X123" s="210"/>
      <c r="Y123" s="210"/>
      <c r="Z123" s="210"/>
      <c r="AA123" s="210"/>
      <c r="AB123" s="210"/>
      <c r="AC123" s="210"/>
      <c r="AD123" s="210"/>
      <c r="AE123" s="210"/>
      <c r="AF123" s="210"/>
      <c r="AG123" s="210"/>
      <c r="AH123" s="210"/>
      <c r="AI123" s="210"/>
      <c r="AJ123" s="210"/>
      <c r="AK123" s="210"/>
      <c r="AL123" s="210"/>
      <c r="AM123" s="210"/>
      <c r="AN123" s="210"/>
      <c r="AO123" s="210"/>
      <c r="AP123" s="210"/>
      <c r="AQ123" s="210"/>
    </row>
    <row r="124">
      <c r="A124" s="223" t="str">
        <f>IFERROR(__xludf.DUMMYFUNCTION("""COMPUTED_VALUE"""),"237238")</f>
        <v>237238</v>
      </c>
      <c r="B124" s="190" t="str">
        <f>IFERROR(__xludf.DUMMYFUNCTION("""COMPUTED_VALUE"""),"LẠI MINH HIẾU")</f>
        <v>LẠI MINH HIẾU</v>
      </c>
      <c r="C124" s="223" t="str">
        <f>IFERROR(__xludf.DUMMYFUNCTION("""COMPUTED_VALUE"""),"EL012")</f>
        <v>EL012</v>
      </c>
      <c r="D124" s="223" t="str">
        <f>IFERROR(__xludf.DUMMYFUNCTION("""COMPUTED_VALUE"""),"Huyen Vo")</f>
        <v>Huyen Vo</v>
      </c>
      <c r="E124" s="190" t="str">
        <f>IFERROR(__xludf.DUMMYFUNCTION("""COMPUTED_VALUE"""),"Communication 1")</f>
        <v>Communication 1</v>
      </c>
      <c r="F124" s="190" t="str">
        <f>IFERROR(__xludf.DUMMYFUNCTION("""COMPUTED_VALUE"""),"Beginner")</f>
        <v>Beginner</v>
      </c>
      <c r="G124" s="190"/>
      <c r="H124" s="219">
        <f>IFERROR(__xludf.DUMMYFUNCTION("""COMPUTED_VALUE"""),45646.375)</f>
        <v>45646.375</v>
      </c>
      <c r="I124" s="219">
        <f>IFERROR(__xludf.DUMMYFUNCTION("""COMPUTED_VALUE"""),45646.375)</f>
        <v>45646.375</v>
      </c>
      <c r="J124" s="190">
        <f>IFERROR(__xludf.DUMMYFUNCTION("""COMPUTED_VALUE"""),1.0)</f>
        <v>1</v>
      </c>
      <c r="K124" s="190" t="str">
        <f>IFERROR(__xludf.DUMMYFUNCTION("""COMPUTED_VALUE"""),"")</f>
        <v/>
      </c>
      <c r="L124" s="190" t="str">
        <f>IFERROR(__xludf.DUMMYFUNCTION("""COMPUTED_VALUE"""),"DEV")</f>
        <v>DEV</v>
      </c>
      <c r="M124" s="190" t="str">
        <f>IFERROR(__xludf.DUMMYFUNCTION("""COMPUTED_VALUE"""),"CHORUS")</f>
        <v>CHORUS</v>
      </c>
      <c r="N124" s="220">
        <f>IFERROR(__xludf.DUMMYFUNCTION("""COMPUTED_VALUE"""),1.0)</f>
        <v>1</v>
      </c>
      <c r="O124" s="220">
        <f>IFERROR(__xludf.DUMMYFUNCTION("""COMPUTED_VALUE"""),0.0)</f>
        <v>0</v>
      </c>
      <c r="P124" s="229"/>
      <c r="Q124" s="190">
        <f t="shared" si="1"/>
        <v>1</v>
      </c>
      <c r="R124" s="211" t="s">
        <v>631</v>
      </c>
      <c r="S124" s="210" t="str">
        <f t="shared" si="2"/>
        <v>Designer</v>
      </c>
      <c r="T124" s="210" t="str">
        <f t="shared" si="3"/>
        <v>UI/UX, Des</v>
      </c>
      <c r="U124" s="210" t="str">
        <f t="shared" si="4"/>
        <v>LBU</v>
      </c>
      <c r="X124" s="210"/>
      <c r="Y124" s="210"/>
      <c r="Z124" s="210"/>
      <c r="AA124" s="210"/>
      <c r="AB124" s="210"/>
      <c r="AC124" s="210"/>
      <c r="AD124" s="210"/>
      <c r="AE124" s="210"/>
      <c r="AF124" s="210"/>
      <c r="AG124" s="210"/>
      <c r="AH124" s="210"/>
      <c r="AI124" s="210"/>
      <c r="AJ124" s="210"/>
      <c r="AK124" s="210"/>
      <c r="AL124" s="210"/>
      <c r="AM124" s="210"/>
      <c r="AN124" s="210"/>
      <c r="AO124" s="210"/>
      <c r="AP124" s="210"/>
      <c r="AQ124" s="210"/>
    </row>
    <row r="125">
      <c r="A125" s="223" t="str">
        <f>IFERROR(__xludf.DUMMYFUNCTION("""COMPUTED_VALUE"""),"227153")</f>
        <v>227153</v>
      </c>
      <c r="B125" s="190" t="str">
        <f>IFERROR(__xludf.DUMMYFUNCTION("""COMPUTED_VALUE"""),"NGUYỄN HOÀNG HẠ UYÊN")</f>
        <v>NGUYỄN HOÀNG HẠ UYÊN</v>
      </c>
      <c r="C125" s="223" t="str">
        <f>IFERROR(__xludf.DUMMYFUNCTION("""COMPUTED_VALUE"""),"EL012")</f>
        <v>EL012</v>
      </c>
      <c r="D125" s="223" t="str">
        <f>IFERROR(__xludf.DUMMYFUNCTION("""COMPUTED_VALUE"""),"Huyen Vo")</f>
        <v>Huyen Vo</v>
      </c>
      <c r="E125" s="190" t="str">
        <f>IFERROR(__xludf.DUMMYFUNCTION("""COMPUTED_VALUE"""),"Communication 1")</f>
        <v>Communication 1</v>
      </c>
      <c r="F125" s="190" t="str">
        <f>IFERROR(__xludf.DUMMYFUNCTION("""COMPUTED_VALUE"""),"Beginner")</f>
        <v>Beginner</v>
      </c>
      <c r="G125" s="190"/>
      <c r="H125" s="219">
        <f>IFERROR(__xludf.DUMMYFUNCTION("""COMPUTED_VALUE"""),45646.375)</f>
        <v>45646.375</v>
      </c>
      <c r="I125" s="219">
        <f>IFERROR(__xludf.DUMMYFUNCTION("""COMPUTED_VALUE"""),45646.375)</f>
        <v>45646.375</v>
      </c>
      <c r="J125" s="190">
        <f>IFERROR(__xludf.DUMMYFUNCTION("""COMPUTED_VALUE"""),1.0)</f>
        <v>1</v>
      </c>
      <c r="K125" s="190" t="str">
        <f>IFERROR(__xludf.DUMMYFUNCTION("""COMPUTED_VALUE"""),"")</f>
        <v/>
      </c>
      <c r="L125" s="190" t="str">
        <f>IFERROR(__xludf.DUMMYFUNCTION("""COMPUTED_VALUE"""),"QC")</f>
        <v>QC</v>
      </c>
      <c r="M125" s="190" t="str">
        <f>IFERROR(__xludf.DUMMYFUNCTION("""COMPUTED_VALUE"""),"CHORUS")</f>
        <v>CHORUS</v>
      </c>
      <c r="N125" s="220">
        <f>IFERROR(__xludf.DUMMYFUNCTION("""COMPUTED_VALUE"""),1.0)</f>
        <v>1</v>
      </c>
      <c r="O125" s="220">
        <f>IFERROR(__xludf.DUMMYFUNCTION("""COMPUTED_VALUE"""),0.0)</f>
        <v>0</v>
      </c>
      <c r="P125" s="229"/>
      <c r="Q125" s="190">
        <f t="shared" si="1"/>
        <v>1</v>
      </c>
      <c r="R125" s="211" t="s">
        <v>288</v>
      </c>
      <c r="S125" s="210" t="str">
        <f t="shared" si="2"/>
        <v>Designer</v>
      </c>
      <c r="T125" s="210" t="str">
        <f t="shared" si="3"/>
        <v>UI/UX, Des</v>
      </c>
      <c r="U125" s="210" t="str">
        <f t="shared" si="4"/>
        <v>LBU</v>
      </c>
      <c r="X125" s="210"/>
      <c r="Y125" s="210"/>
      <c r="Z125" s="210"/>
      <c r="AA125" s="210"/>
      <c r="AB125" s="210"/>
      <c r="AC125" s="210"/>
      <c r="AD125" s="210"/>
      <c r="AE125" s="210"/>
      <c r="AF125" s="210"/>
      <c r="AG125" s="210"/>
      <c r="AH125" s="210"/>
      <c r="AI125" s="210"/>
      <c r="AJ125" s="210"/>
      <c r="AK125" s="210"/>
      <c r="AL125" s="210"/>
      <c r="AM125" s="210"/>
      <c r="AN125" s="210"/>
      <c r="AO125" s="210"/>
      <c r="AP125" s="210"/>
      <c r="AQ125" s="210"/>
    </row>
    <row r="126">
      <c r="A126" s="223" t="str">
        <f>IFERROR(__xludf.DUMMYFUNCTION("""COMPUTED_VALUE"""),"247379")</f>
        <v>247379</v>
      </c>
      <c r="B126" s="190" t="str">
        <f>IFERROR(__xludf.DUMMYFUNCTION("""COMPUTED_VALUE"""),"NGUYỄN HỮU NGHỊ")</f>
        <v>NGUYỄN HỮU NGHỊ</v>
      </c>
      <c r="C126" s="223" t="str">
        <f>IFERROR(__xludf.DUMMYFUNCTION("""COMPUTED_VALUE"""),"EL012")</f>
        <v>EL012</v>
      </c>
      <c r="D126" s="223" t="str">
        <f>IFERROR(__xludf.DUMMYFUNCTION("""COMPUTED_VALUE"""),"Huyen Vo")</f>
        <v>Huyen Vo</v>
      </c>
      <c r="E126" s="190" t="str">
        <f>IFERROR(__xludf.DUMMYFUNCTION("""COMPUTED_VALUE"""),"Communication 1")</f>
        <v>Communication 1</v>
      </c>
      <c r="F126" s="190" t="str">
        <f>IFERROR(__xludf.DUMMYFUNCTION("""COMPUTED_VALUE"""),"Beginner")</f>
        <v>Beginner</v>
      </c>
      <c r="G126" s="190" t="str">
        <f>IFERROR(__xludf.DUMMYFUNCTION("""COMPUTED_VALUE"""),"Beginner 2")</f>
        <v>Beginner 2</v>
      </c>
      <c r="H126" s="219">
        <f>IFERROR(__xludf.DUMMYFUNCTION("""COMPUTED_VALUE"""),45646.375)</f>
        <v>45646.375</v>
      </c>
      <c r="I126" s="219">
        <f>IFERROR(__xludf.DUMMYFUNCTION("""COMPUTED_VALUE"""),45646.375)</f>
        <v>45646.375</v>
      </c>
      <c r="J126" s="190">
        <f>IFERROR(__xludf.DUMMYFUNCTION("""COMPUTED_VALUE"""),1.0)</f>
        <v>1</v>
      </c>
      <c r="K126" s="190">
        <f>IFERROR(__xludf.DUMMYFUNCTION("""COMPUTED_VALUE"""),1.5)</f>
        <v>1.5</v>
      </c>
      <c r="L126" s="190" t="str">
        <f>IFERROR(__xludf.DUMMYFUNCTION("""COMPUTED_VALUE"""),"DEV")</f>
        <v>DEV</v>
      </c>
      <c r="M126" s="190" t="str">
        <f>IFERROR(__xludf.DUMMYFUNCTION("""COMPUTED_VALUE"""),"CHORUS")</f>
        <v>CHORUS</v>
      </c>
      <c r="N126" s="220">
        <f>IFERROR(__xludf.DUMMYFUNCTION("""COMPUTED_VALUE"""),1.0)</f>
        <v>1</v>
      </c>
      <c r="O126" s="220">
        <f>IFERROR(__xludf.DUMMYFUNCTION("""COMPUTED_VALUE"""),1.5)</f>
        <v>1.5</v>
      </c>
      <c r="P126" s="229"/>
      <c r="Q126" s="190">
        <f t="shared" si="1"/>
        <v>1</v>
      </c>
      <c r="R126" s="211" t="s">
        <v>570</v>
      </c>
      <c r="S126" s="210" t="str">
        <f t="shared" si="2"/>
        <v>Designer</v>
      </c>
      <c r="T126" s="210" t="str">
        <f t="shared" si="3"/>
        <v>UI/UX, Des</v>
      </c>
      <c r="U126" s="210" t="str">
        <f t="shared" si="4"/>
        <v>CHORUS</v>
      </c>
      <c r="X126" s="210"/>
      <c r="Y126" s="210"/>
      <c r="Z126" s="210"/>
      <c r="AA126" s="210"/>
      <c r="AB126" s="210"/>
      <c r="AC126" s="210"/>
      <c r="AD126" s="210"/>
      <c r="AE126" s="210"/>
      <c r="AF126" s="210"/>
      <c r="AG126" s="210"/>
      <c r="AH126" s="210"/>
      <c r="AI126" s="210"/>
      <c r="AJ126" s="210"/>
      <c r="AK126" s="210"/>
      <c r="AL126" s="210"/>
      <c r="AM126" s="210"/>
      <c r="AN126" s="210"/>
      <c r="AO126" s="210"/>
      <c r="AP126" s="210"/>
      <c r="AQ126" s="210"/>
    </row>
    <row r="127">
      <c r="A127" s="218" t="str">
        <f>IFERROR(__xludf.DUMMYFUNCTION("""COMPUTED_VALUE"""),"183422")</f>
        <v>183422</v>
      </c>
      <c r="B127" s="217" t="str">
        <f>IFERROR(__xludf.DUMMYFUNCTION("""COMPUTED_VALUE"""),"LÊ TRẦN XUÂN LÃNH")</f>
        <v>LÊ TRẦN XUÂN LÃNH</v>
      </c>
      <c r="C127" s="218" t="str">
        <f>IFERROR(__xludf.DUMMYFUNCTION("""COMPUTED_VALUE"""),"EL013")</f>
        <v>EL013</v>
      </c>
      <c r="D127" s="218" t="str">
        <f>IFERROR(__xludf.DUMMYFUNCTION("""COMPUTED_VALUE"""),"Lanh Le")</f>
        <v>Lanh Le</v>
      </c>
      <c r="E127" s="217" t="str">
        <f>IFERROR(__xludf.DUMMYFUNCTION("""COMPUTED_VALUE"""),"Communication 1")</f>
        <v>Communication 1</v>
      </c>
      <c r="F127" s="190" t="str">
        <f>IFERROR(__xludf.DUMMYFUNCTION("""COMPUTED_VALUE"""),"Beginner")</f>
        <v>Beginner</v>
      </c>
      <c r="G127" s="190" t="str">
        <f>IFERROR(__xludf.DUMMYFUNCTION("""COMPUTED_VALUE"""),"Pre-Intermediate 1")</f>
        <v>Pre-Intermediate 1</v>
      </c>
      <c r="H127" s="219">
        <f>IFERROR(__xludf.DUMMYFUNCTION("""COMPUTED_VALUE"""),45636.45833333333)</f>
        <v>45636.45833</v>
      </c>
      <c r="I127" s="219">
        <f>IFERROR(__xludf.DUMMYFUNCTION("""COMPUTED_VALUE"""),45636.45833333333)</f>
        <v>45636.45833</v>
      </c>
      <c r="J127" s="190">
        <f>IFERROR(__xludf.DUMMYFUNCTION("""COMPUTED_VALUE"""),1.0)</f>
        <v>1</v>
      </c>
      <c r="K127" s="190">
        <f>IFERROR(__xludf.DUMMYFUNCTION("""COMPUTED_VALUE"""),3.0)</f>
        <v>3</v>
      </c>
      <c r="L127" s="190" t="str">
        <f>IFERROR(__xludf.DUMMYFUNCTION("""COMPUTED_VALUE"""),"DEV")</f>
        <v>DEV</v>
      </c>
      <c r="M127" s="190" t="str">
        <f>IFERROR(__xludf.DUMMYFUNCTION("""COMPUTED_VALUE"""),"ONC")</f>
        <v>ONC</v>
      </c>
      <c r="N127" s="220">
        <f>IFERROR(__xludf.DUMMYFUNCTION("""COMPUTED_VALUE"""),1.0)</f>
        <v>1</v>
      </c>
      <c r="O127" s="220">
        <f>IFERROR(__xludf.DUMMYFUNCTION("""COMPUTED_VALUE"""),3.5)</f>
        <v>3.5</v>
      </c>
      <c r="P127" s="220"/>
      <c r="Q127" s="190">
        <f t="shared" si="1"/>
        <v>1</v>
      </c>
      <c r="R127" s="211" t="s">
        <v>619</v>
      </c>
      <c r="S127" s="210" t="str">
        <f t="shared" si="2"/>
        <v>Designer</v>
      </c>
      <c r="T127" s="210" t="str">
        <f t="shared" si="3"/>
        <v>UI/UX, Des</v>
      </c>
      <c r="U127" s="210" t="str">
        <f t="shared" si="4"/>
        <v>LBU</v>
      </c>
      <c r="X127" s="210"/>
      <c r="Y127" s="210"/>
      <c r="Z127" s="210"/>
      <c r="AA127" s="210"/>
      <c r="AB127" s="210"/>
      <c r="AC127" s="210"/>
      <c r="AD127" s="210"/>
      <c r="AE127" s="210"/>
      <c r="AF127" s="210"/>
      <c r="AG127" s="210"/>
      <c r="AH127" s="210"/>
      <c r="AI127" s="210"/>
      <c r="AJ127" s="210"/>
      <c r="AK127" s="210"/>
      <c r="AL127" s="210"/>
      <c r="AM127" s="210"/>
      <c r="AN127" s="210"/>
      <c r="AO127" s="210"/>
      <c r="AP127" s="210"/>
      <c r="AQ127" s="210"/>
    </row>
    <row r="128">
      <c r="A128" s="223" t="str">
        <f>IFERROR(__xludf.DUMMYFUNCTION("""COMPUTED_VALUE"""),"213893")</f>
        <v>213893</v>
      </c>
      <c r="B128" s="190" t="str">
        <f>IFERROR(__xludf.DUMMYFUNCTION("""COMPUTED_VALUE"""),"HOÀNG NGỌC THẲNG")</f>
        <v>HOÀNG NGỌC THẲNG</v>
      </c>
      <c r="C128" s="223" t="str">
        <f>IFERROR(__xludf.DUMMYFUNCTION("""COMPUTED_VALUE"""),"EL013")</f>
        <v>EL013</v>
      </c>
      <c r="D128" s="223" t="str">
        <f>IFERROR(__xludf.DUMMYFUNCTION("""COMPUTED_VALUE"""),"Lanh Le")</f>
        <v>Lanh Le</v>
      </c>
      <c r="E128" s="190" t="str">
        <f>IFERROR(__xludf.DUMMYFUNCTION("""COMPUTED_VALUE"""),"Communication 1")</f>
        <v>Communication 1</v>
      </c>
      <c r="F128" s="190" t="str">
        <f>IFERROR(__xludf.DUMMYFUNCTION("""COMPUTED_VALUE"""),"Beginner")</f>
        <v>Beginner</v>
      </c>
      <c r="G128" s="190" t="str">
        <f>IFERROR(__xludf.DUMMYFUNCTION("""COMPUTED_VALUE"""),"Beginner 2")</f>
        <v>Beginner 2</v>
      </c>
      <c r="H128" s="219">
        <f>IFERROR(__xludf.DUMMYFUNCTION("""COMPUTED_VALUE"""),45636.45833333333)</f>
        <v>45636.45833</v>
      </c>
      <c r="I128" s="219">
        <f>IFERROR(__xludf.DUMMYFUNCTION("""COMPUTED_VALUE"""),45636.45833333333)</f>
        <v>45636.45833</v>
      </c>
      <c r="J128" s="190">
        <f>IFERROR(__xludf.DUMMYFUNCTION("""COMPUTED_VALUE"""),1.0)</f>
        <v>1</v>
      </c>
      <c r="K128" s="190">
        <f>IFERROR(__xludf.DUMMYFUNCTION("""COMPUTED_VALUE"""),1.5)</f>
        <v>1.5</v>
      </c>
      <c r="L128" s="190" t="str">
        <f>IFERROR(__xludf.DUMMYFUNCTION("""COMPUTED_VALUE"""),"DEV")</f>
        <v>DEV</v>
      </c>
      <c r="M128" s="190" t="str">
        <f>IFERROR(__xludf.DUMMYFUNCTION("""COMPUTED_VALUE"""),"ONC")</f>
        <v>ONC</v>
      </c>
      <c r="N128" s="220">
        <f>IFERROR(__xludf.DUMMYFUNCTION("""COMPUTED_VALUE"""),1.0)</f>
        <v>1</v>
      </c>
      <c r="O128" s="220">
        <f>IFERROR(__xludf.DUMMYFUNCTION("""COMPUTED_VALUE"""),3.0)</f>
        <v>3</v>
      </c>
      <c r="P128" s="220"/>
      <c r="Q128" s="190">
        <f t="shared" si="1"/>
        <v>1</v>
      </c>
      <c r="R128" s="211" t="s">
        <v>635</v>
      </c>
      <c r="S128" s="210" t="str">
        <f t="shared" si="2"/>
        <v>QC</v>
      </c>
      <c r="T128" s="210" t="str">
        <f t="shared" si="3"/>
        <v>QC</v>
      </c>
      <c r="U128" s="210" t="str">
        <f t="shared" si="4"/>
        <v>LBU</v>
      </c>
      <c r="X128" s="210"/>
      <c r="Y128" s="210"/>
      <c r="Z128" s="210"/>
      <c r="AA128" s="210"/>
      <c r="AB128" s="210"/>
      <c r="AC128" s="210"/>
      <c r="AD128" s="210"/>
      <c r="AE128" s="210"/>
      <c r="AF128" s="210"/>
      <c r="AG128" s="210"/>
      <c r="AH128" s="210"/>
      <c r="AI128" s="210"/>
      <c r="AJ128" s="210"/>
      <c r="AK128" s="210"/>
      <c r="AL128" s="210"/>
      <c r="AM128" s="210"/>
      <c r="AN128" s="210"/>
      <c r="AO128" s="210"/>
      <c r="AP128" s="210"/>
      <c r="AQ128" s="210"/>
    </row>
    <row r="129">
      <c r="A129" s="223" t="str">
        <f>IFERROR(__xludf.DUMMYFUNCTION("""COMPUTED_VALUE"""),"227244")</f>
        <v>227244</v>
      </c>
      <c r="B129" s="190" t="str">
        <f>IFERROR(__xludf.DUMMYFUNCTION("""COMPUTED_VALUE"""),"HUỲNH PHÚC TRƯỜNG")</f>
        <v>HUỲNH PHÚC TRƯỜNG</v>
      </c>
      <c r="C129" s="223" t="str">
        <f>IFERROR(__xludf.DUMMYFUNCTION("""COMPUTED_VALUE"""),"EL013")</f>
        <v>EL013</v>
      </c>
      <c r="D129" s="223" t="str">
        <f>IFERROR(__xludf.DUMMYFUNCTION("""COMPUTED_VALUE"""),"Lanh Le")</f>
        <v>Lanh Le</v>
      </c>
      <c r="E129" s="190" t="str">
        <f>IFERROR(__xludf.DUMMYFUNCTION("""COMPUTED_VALUE"""),"Communication 1")</f>
        <v>Communication 1</v>
      </c>
      <c r="F129" s="190" t="str">
        <f>IFERROR(__xludf.DUMMYFUNCTION("""COMPUTED_VALUE"""),"Pre-Intermediate")</f>
        <v>Pre-Intermediate</v>
      </c>
      <c r="G129" s="190" t="str">
        <f>IFERROR(__xludf.DUMMYFUNCTION("""COMPUTED_VALUE"""),"Pre-Intermediate 1")</f>
        <v>Pre-Intermediate 1</v>
      </c>
      <c r="H129" s="219">
        <f>IFERROR(__xludf.DUMMYFUNCTION("""COMPUTED_VALUE"""),45636.45833333333)</f>
        <v>45636.45833</v>
      </c>
      <c r="I129" s="219">
        <f>IFERROR(__xludf.DUMMYFUNCTION("""COMPUTED_VALUE"""),45636.45833333333)</f>
        <v>45636.45833</v>
      </c>
      <c r="J129" s="190">
        <f>IFERROR(__xludf.DUMMYFUNCTION("""COMPUTED_VALUE"""),2.5)</f>
        <v>2.5</v>
      </c>
      <c r="K129" s="190">
        <f>IFERROR(__xludf.DUMMYFUNCTION("""COMPUTED_VALUE"""),3.0)</f>
        <v>3</v>
      </c>
      <c r="L129" s="190" t="str">
        <f>IFERROR(__xludf.DUMMYFUNCTION("""COMPUTED_VALUE"""),"DEV")</f>
        <v>DEV</v>
      </c>
      <c r="M129" s="190" t="str">
        <f>IFERROR(__xludf.DUMMYFUNCTION("""COMPUTED_VALUE"""),"ONC")</f>
        <v>ONC</v>
      </c>
      <c r="N129" s="220">
        <f>IFERROR(__xludf.DUMMYFUNCTION("""COMPUTED_VALUE"""),2.5)</f>
        <v>2.5</v>
      </c>
      <c r="O129" s="220">
        <f>IFERROR(__xludf.DUMMYFUNCTION("""COMPUTED_VALUE"""),3.5)</f>
        <v>3.5</v>
      </c>
      <c r="P129" s="220"/>
      <c r="Q129" s="190">
        <f t="shared" si="1"/>
        <v>1</v>
      </c>
      <c r="R129" s="211" t="s">
        <v>667</v>
      </c>
      <c r="S129" s="210" t="str">
        <f t="shared" si="2"/>
        <v>UI/UX</v>
      </c>
      <c r="T129" s="210" t="str">
        <f t="shared" si="3"/>
        <v>UI/UX, Des</v>
      </c>
      <c r="U129" s="210" t="str">
        <f t="shared" si="4"/>
        <v>CHORUS</v>
      </c>
      <c r="X129" s="210"/>
      <c r="Y129" s="210"/>
      <c r="Z129" s="210"/>
      <c r="AA129" s="210"/>
      <c r="AB129" s="210"/>
      <c r="AC129" s="210"/>
      <c r="AD129" s="210"/>
      <c r="AE129" s="210"/>
      <c r="AF129" s="210"/>
      <c r="AG129" s="210"/>
      <c r="AH129" s="210"/>
      <c r="AI129" s="210"/>
      <c r="AJ129" s="210"/>
      <c r="AK129" s="210"/>
      <c r="AL129" s="210"/>
      <c r="AM129" s="210"/>
      <c r="AN129" s="210"/>
      <c r="AO129" s="210"/>
      <c r="AP129" s="210"/>
      <c r="AQ129" s="210"/>
    </row>
    <row r="130">
      <c r="A130" s="223" t="str">
        <f>IFERROR(__xludf.DUMMYFUNCTION("""COMPUTED_VALUE"""),"213936")</f>
        <v>213936</v>
      </c>
      <c r="B130" s="190" t="str">
        <f>IFERROR(__xludf.DUMMYFUNCTION("""COMPUTED_VALUE"""),"NGUYỄN QUỐC TUẤN")</f>
        <v>NGUYỄN QUỐC TUẤN</v>
      </c>
      <c r="C130" s="223" t="str">
        <f>IFERROR(__xludf.DUMMYFUNCTION("""COMPUTED_VALUE"""),"EL013")</f>
        <v>EL013</v>
      </c>
      <c r="D130" s="223" t="str">
        <f>IFERROR(__xludf.DUMMYFUNCTION("""COMPUTED_VALUE"""),"Lanh Le")</f>
        <v>Lanh Le</v>
      </c>
      <c r="E130" s="190" t="str">
        <f>IFERROR(__xludf.DUMMYFUNCTION("""COMPUTED_VALUE"""),"Communication 1")</f>
        <v>Communication 1</v>
      </c>
      <c r="F130" s="190" t="str">
        <f>IFERROR(__xludf.DUMMYFUNCTION("""COMPUTED_VALUE"""),"Beginner")</f>
        <v>Beginner</v>
      </c>
      <c r="G130" s="190" t="str">
        <f>IFERROR(__xludf.DUMMYFUNCTION("""COMPUTED_VALUE"""),"Beginner 2")</f>
        <v>Beginner 2</v>
      </c>
      <c r="H130" s="219">
        <f>IFERROR(__xludf.DUMMYFUNCTION("""COMPUTED_VALUE"""),45636.45833333333)</f>
        <v>45636.45833</v>
      </c>
      <c r="I130" s="219">
        <f>IFERROR(__xludf.DUMMYFUNCTION("""COMPUTED_VALUE"""),45636.45833333333)</f>
        <v>45636.45833</v>
      </c>
      <c r="J130" s="190">
        <f>IFERROR(__xludf.DUMMYFUNCTION("""COMPUTED_VALUE"""),1.0)</f>
        <v>1</v>
      </c>
      <c r="K130" s="190">
        <f>IFERROR(__xludf.DUMMYFUNCTION("""COMPUTED_VALUE"""),1.5)</f>
        <v>1.5</v>
      </c>
      <c r="L130" s="190" t="str">
        <f>IFERROR(__xludf.DUMMYFUNCTION("""COMPUTED_VALUE"""),"DEV")</f>
        <v>DEV</v>
      </c>
      <c r="M130" s="190" t="str">
        <f>IFERROR(__xludf.DUMMYFUNCTION("""COMPUTED_VALUE"""),"ONC")</f>
        <v>ONC</v>
      </c>
      <c r="N130" s="220">
        <f>IFERROR(__xludf.DUMMYFUNCTION("""COMPUTED_VALUE"""),1.0)</f>
        <v>1</v>
      </c>
      <c r="O130" s="220">
        <f>IFERROR(__xludf.DUMMYFUNCTION("""COMPUTED_VALUE"""),1.5)</f>
        <v>1.5</v>
      </c>
      <c r="P130" s="220"/>
      <c r="Q130" s="190">
        <f t="shared" si="1"/>
        <v>1</v>
      </c>
      <c r="R130" s="211" t="s">
        <v>683</v>
      </c>
      <c r="S130" s="210" t="str">
        <f t="shared" si="2"/>
        <v>DEV</v>
      </c>
      <c r="T130" s="210" t="str">
        <f t="shared" si="3"/>
        <v>DEV, TA</v>
      </c>
      <c r="U130" s="210" t="str">
        <f t="shared" si="4"/>
        <v>POC</v>
      </c>
      <c r="X130" s="210"/>
      <c r="Y130" s="210"/>
      <c r="Z130" s="210"/>
      <c r="AA130" s="210"/>
      <c r="AB130" s="210"/>
      <c r="AC130" s="210"/>
      <c r="AD130" s="210"/>
      <c r="AE130" s="210"/>
      <c r="AF130" s="210"/>
      <c r="AG130" s="210"/>
      <c r="AH130" s="210"/>
      <c r="AI130" s="210"/>
      <c r="AJ130" s="210"/>
      <c r="AK130" s="210"/>
      <c r="AL130" s="210"/>
      <c r="AM130" s="210"/>
      <c r="AN130" s="210"/>
      <c r="AO130" s="210"/>
      <c r="AP130" s="210"/>
      <c r="AQ130" s="210"/>
    </row>
    <row r="131">
      <c r="A131" s="223" t="str">
        <f>IFERROR(__xludf.DUMMYFUNCTION("""COMPUTED_VALUE"""),"193516")</f>
        <v>193516</v>
      </c>
      <c r="B131" s="190" t="str">
        <f>IFERROR(__xludf.DUMMYFUNCTION("""COMPUTED_VALUE"""),"TRẦN ANH DUY")</f>
        <v>TRẦN ANH DUY</v>
      </c>
      <c r="C131" s="223" t="str">
        <f>IFERROR(__xludf.DUMMYFUNCTION("""COMPUTED_VALUE"""),"EL013")</f>
        <v>EL013</v>
      </c>
      <c r="D131" s="223" t="str">
        <f>IFERROR(__xludf.DUMMYFUNCTION("""COMPUTED_VALUE"""),"Lanh Le")</f>
        <v>Lanh Le</v>
      </c>
      <c r="E131" s="190" t="str">
        <f>IFERROR(__xludf.DUMMYFUNCTION("""COMPUTED_VALUE"""),"Communication 1")</f>
        <v>Communication 1</v>
      </c>
      <c r="F131" s="190" t="str">
        <f>IFERROR(__xludf.DUMMYFUNCTION("""COMPUTED_VALUE"""),"Pre-Intermediate")</f>
        <v>Pre-Intermediate</v>
      </c>
      <c r="G131" s="190" t="str">
        <f>IFERROR(__xludf.DUMMYFUNCTION("""COMPUTED_VALUE"""),"Pre-Intermediate 2")</f>
        <v>Pre-Intermediate 2</v>
      </c>
      <c r="H131" s="219">
        <f>IFERROR(__xludf.DUMMYFUNCTION("""COMPUTED_VALUE"""),45636.45833333333)</f>
        <v>45636.45833</v>
      </c>
      <c r="I131" s="219">
        <f>IFERROR(__xludf.DUMMYFUNCTION("""COMPUTED_VALUE"""),45636.45833333333)</f>
        <v>45636.45833</v>
      </c>
      <c r="J131" s="190">
        <f>IFERROR(__xludf.DUMMYFUNCTION("""COMPUTED_VALUE"""),2.5)</f>
        <v>2.5</v>
      </c>
      <c r="K131" s="190">
        <f>IFERROR(__xludf.DUMMYFUNCTION("""COMPUTED_VALUE"""),3.5)</f>
        <v>3.5</v>
      </c>
      <c r="L131" s="190" t="str">
        <f>IFERROR(__xludf.DUMMYFUNCTION("""COMPUTED_VALUE"""),"DEV")</f>
        <v>DEV</v>
      </c>
      <c r="M131" s="190" t="str">
        <f>IFERROR(__xludf.DUMMYFUNCTION("""COMPUTED_VALUE"""),"ONC")</f>
        <v>ONC</v>
      </c>
      <c r="N131" s="220">
        <f>IFERROR(__xludf.DUMMYFUNCTION("""COMPUTED_VALUE"""),2.5)</f>
        <v>2.5</v>
      </c>
      <c r="O131" s="220">
        <f>IFERROR(__xludf.DUMMYFUNCTION("""COMPUTED_VALUE"""),3.5)</f>
        <v>3.5</v>
      </c>
      <c r="P131" s="220"/>
      <c r="Q131" s="190">
        <f t="shared" si="1"/>
        <v>1</v>
      </c>
      <c r="R131" s="211" t="s">
        <v>265</v>
      </c>
      <c r="S131" s="210" t="str">
        <f t="shared" si="2"/>
        <v>DEV</v>
      </c>
      <c r="T131" s="210" t="str">
        <f t="shared" si="3"/>
        <v>DEV, TA</v>
      </c>
      <c r="U131" s="210" t="str">
        <f t="shared" si="4"/>
        <v>POC</v>
      </c>
      <c r="X131" s="210"/>
      <c r="Y131" s="210"/>
      <c r="Z131" s="210"/>
      <c r="AA131" s="210"/>
      <c r="AB131" s="210"/>
      <c r="AC131" s="210"/>
      <c r="AD131" s="210"/>
      <c r="AE131" s="210"/>
      <c r="AF131" s="210"/>
      <c r="AG131" s="210"/>
      <c r="AH131" s="210"/>
      <c r="AI131" s="210"/>
      <c r="AJ131" s="210"/>
      <c r="AK131" s="210"/>
      <c r="AL131" s="210"/>
      <c r="AM131" s="210"/>
      <c r="AN131" s="210"/>
      <c r="AO131" s="210"/>
      <c r="AP131" s="210"/>
      <c r="AQ131" s="210"/>
    </row>
    <row r="132">
      <c r="A132" s="223" t="str">
        <f>IFERROR(__xludf.DUMMYFUNCTION("""COMPUTED_VALUE"""),"247234")</f>
        <v>247234</v>
      </c>
      <c r="B132" s="190" t="str">
        <f>IFERROR(__xludf.DUMMYFUNCTION("""COMPUTED_VALUE"""),"TRẦN DƯƠNG HOÀN MỸ")</f>
        <v>TRẦN DƯƠNG HOÀN MỸ</v>
      </c>
      <c r="C132" s="223" t="str">
        <f>IFERROR(__xludf.DUMMYFUNCTION("""COMPUTED_VALUE"""),"EL013")</f>
        <v>EL013</v>
      </c>
      <c r="D132" s="223" t="str">
        <f>IFERROR(__xludf.DUMMYFUNCTION("""COMPUTED_VALUE"""),"Lanh Le")</f>
        <v>Lanh Le</v>
      </c>
      <c r="E132" s="190" t="str">
        <f>IFERROR(__xludf.DUMMYFUNCTION("""COMPUTED_VALUE"""),"Communication 1")</f>
        <v>Communication 1</v>
      </c>
      <c r="F132" s="190" t="str">
        <f>IFERROR(__xludf.DUMMYFUNCTION("""COMPUTED_VALUE"""),"Beginner")</f>
        <v>Beginner</v>
      </c>
      <c r="G132" s="190" t="str">
        <f>IFERROR(__xludf.DUMMYFUNCTION("""COMPUTED_VALUE"""),"Pre-Intermediate 2")</f>
        <v>Pre-Intermediate 2</v>
      </c>
      <c r="H132" s="219">
        <f>IFERROR(__xludf.DUMMYFUNCTION("""COMPUTED_VALUE"""),45636.45833333333)</f>
        <v>45636.45833</v>
      </c>
      <c r="I132" s="219">
        <f>IFERROR(__xludf.DUMMYFUNCTION("""COMPUTED_VALUE"""),45636.45833333333)</f>
        <v>45636.45833</v>
      </c>
      <c r="J132" s="190">
        <f>IFERROR(__xludf.DUMMYFUNCTION("""COMPUTED_VALUE"""),1.0)</f>
        <v>1</v>
      </c>
      <c r="K132" s="190">
        <f>IFERROR(__xludf.DUMMYFUNCTION("""COMPUTED_VALUE"""),3.5)</f>
        <v>3.5</v>
      </c>
      <c r="L132" s="190" t="str">
        <f>IFERROR(__xludf.DUMMYFUNCTION("""COMPUTED_VALUE"""),"QC")</f>
        <v>QC</v>
      </c>
      <c r="M132" s="190" t="str">
        <f>IFERROR(__xludf.DUMMYFUNCTION("""COMPUTED_VALUE"""),"LBU")</f>
        <v>LBU</v>
      </c>
      <c r="N132" s="220">
        <f>IFERROR(__xludf.DUMMYFUNCTION("""COMPUTED_VALUE"""),1.0)</f>
        <v>1</v>
      </c>
      <c r="O132" s="220">
        <f>IFERROR(__xludf.DUMMYFUNCTION("""COMPUTED_VALUE"""),5.0)</f>
        <v>5</v>
      </c>
      <c r="P132" s="220"/>
      <c r="Q132" s="190">
        <f t="shared" si="1"/>
        <v>1</v>
      </c>
      <c r="R132" s="211" t="s">
        <v>108</v>
      </c>
      <c r="S132" s="210" t="str">
        <f t="shared" si="2"/>
        <v>DEV</v>
      </c>
      <c r="T132" s="210" t="str">
        <f t="shared" si="3"/>
        <v>DEV, TA</v>
      </c>
      <c r="U132" s="210" t="str">
        <f t="shared" si="4"/>
        <v>POC</v>
      </c>
      <c r="X132" s="210"/>
      <c r="Y132" s="210"/>
      <c r="Z132" s="210"/>
      <c r="AA132" s="210"/>
      <c r="AB132" s="210"/>
      <c r="AC132" s="210"/>
      <c r="AD132" s="210"/>
      <c r="AE132" s="210"/>
      <c r="AF132" s="210"/>
      <c r="AG132" s="210"/>
      <c r="AH132" s="210"/>
      <c r="AI132" s="210"/>
      <c r="AJ132" s="210"/>
      <c r="AK132" s="210"/>
      <c r="AL132" s="210"/>
      <c r="AM132" s="210"/>
      <c r="AN132" s="210"/>
      <c r="AO132" s="210"/>
      <c r="AP132" s="210"/>
      <c r="AQ132" s="210"/>
    </row>
    <row r="133">
      <c r="A133" s="218" t="str">
        <f>IFERROR(__xludf.DUMMYFUNCTION("""COMPUTED_VALUE"""),"183422")</f>
        <v>183422</v>
      </c>
      <c r="B133" s="217" t="str">
        <f>IFERROR(__xludf.DUMMYFUNCTION("""COMPUTED_VALUE"""),"LÊ TRẦN XUÂN LÃNH")</f>
        <v>LÊ TRẦN XUÂN LÃNH</v>
      </c>
      <c r="C133" s="218" t="str">
        <f>IFERROR(__xludf.DUMMYFUNCTION("""COMPUTED_VALUE"""),"EL013")</f>
        <v>EL013</v>
      </c>
      <c r="D133" s="218" t="str">
        <f>IFERROR(__xludf.DUMMYFUNCTION("""COMPUTED_VALUE"""),"Lanh Le")</f>
        <v>Lanh Le</v>
      </c>
      <c r="E133" s="217" t="str">
        <f>IFERROR(__xludf.DUMMYFUNCTION("""COMPUTED_VALUE"""),"Communication 2")</f>
        <v>Communication 2</v>
      </c>
      <c r="F133" s="190" t="str">
        <f>IFERROR(__xludf.DUMMYFUNCTION("""COMPUTED_VALUE"""),"Pre-Intermediate 1")</f>
        <v>Pre-Intermediate 1</v>
      </c>
      <c r="G133" s="190" t="str">
        <f>IFERROR(__xludf.DUMMYFUNCTION("""COMPUTED_VALUE"""),"Pre-Intermediate 2")</f>
        <v>Pre-Intermediate 2</v>
      </c>
      <c r="H133" s="219">
        <f>IFERROR(__xludf.DUMMYFUNCTION("""COMPUTED_VALUE"""),45841.375)</f>
        <v>45841.375</v>
      </c>
      <c r="I133" s="219">
        <f>IFERROR(__xludf.DUMMYFUNCTION("""COMPUTED_VALUE"""),45636.45833333333)</f>
        <v>45636.45833</v>
      </c>
      <c r="J133" s="190">
        <f>IFERROR(__xludf.DUMMYFUNCTION("""COMPUTED_VALUE"""),3.0)</f>
        <v>3</v>
      </c>
      <c r="K133" s="190">
        <f>IFERROR(__xludf.DUMMYFUNCTION("""COMPUTED_VALUE"""),3.5)</f>
        <v>3.5</v>
      </c>
      <c r="L133" s="190" t="str">
        <f>IFERROR(__xludf.DUMMYFUNCTION("""COMPUTED_VALUE"""),"DEV")</f>
        <v>DEV</v>
      </c>
      <c r="M133" s="190" t="str">
        <f>IFERROR(__xludf.DUMMYFUNCTION("""COMPUTED_VALUE"""),"ONC")</f>
        <v>ONC</v>
      </c>
      <c r="N133" s="220">
        <f>IFERROR(__xludf.DUMMYFUNCTION("""COMPUTED_VALUE"""),1.0)</f>
        <v>1</v>
      </c>
      <c r="O133" s="220">
        <f>IFERROR(__xludf.DUMMYFUNCTION("""COMPUTED_VALUE"""),3.5)</f>
        <v>3.5</v>
      </c>
      <c r="P133" s="220"/>
      <c r="Q133" s="190">
        <f t="shared" si="1"/>
        <v>1</v>
      </c>
      <c r="R133" s="211" t="s">
        <v>315</v>
      </c>
      <c r="S133" s="210" t="str">
        <f t="shared" si="2"/>
        <v>DEV</v>
      </c>
      <c r="T133" s="210" t="str">
        <f t="shared" si="3"/>
        <v>DEV, TA</v>
      </c>
      <c r="U133" s="210" t="str">
        <f t="shared" si="4"/>
        <v>TBU</v>
      </c>
      <c r="X133" s="210"/>
      <c r="Y133" s="210"/>
      <c r="Z133" s="210"/>
      <c r="AA133" s="210"/>
      <c r="AB133" s="210"/>
      <c r="AC133" s="210"/>
      <c r="AD133" s="210"/>
      <c r="AE133" s="210"/>
      <c r="AF133" s="210"/>
      <c r="AG133" s="210"/>
      <c r="AH133" s="210"/>
      <c r="AI133" s="210"/>
      <c r="AJ133" s="210"/>
      <c r="AK133" s="210"/>
      <c r="AL133" s="210"/>
      <c r="AM133" s="210"/>
      <c r="AN133" s="210"/>
      <c r="AO133" s="210"/>
      <c r="AP133" s="210"/>
      <c r="AQ133" s="210"/>
    </row>
    <row r="134">
      <c r="A134" s="223" t="str">
        <f>IFERROR(__xludf.DUMMYFUNCTION("""COMPUTED_VALUE"""),"213893")</f>
        <v>213893</v>
      </c>
      <c r="B134" s="190" t="str">
        <f>IFERROR(__xludf.DUMMYFUNCTION("""COMPUTED_VALUE"""),"HOÀNG NGỌC THẲNG")</f>
        <v>HOÀNG NGỌC THẲNG</v>
      </c>
      <c r="C134" s="223" t="str">
        <f>IFERROR(__xludf.DUMMYFUNCTION("""COMPUTED_VALUE"""),"EL013")</f>
        <v>EL013</v>
      </c>
      <c r="D134" s="223" t="str">
        <f>IFERROR(__xludf.DUMMYFUNCTION("""COMPUTED_VALUE"""),"Lanh Le")</f>
        <v>Lanh Le</v>
      </c>
      <c r="E134" s="190" t="str">
        <f>IFERROR(__xludf.DUMMYFUNCTION("""COMPUTED_VALUE"""),"Communication 2")</f>
        <v>Communication 2</v>
      </c>
      <c r="F134" s="190" t="str">
        <f>IFERROR(__xludf.DUMMYFUNCTION("""COMPUTED_VALUE"""),"Beginner 2")</f>
        <v>Beginner 2</v>
      </c>
      <c r="G134" s="190" t="str">
        <f>IFERROR(__xludf.DUMMYFUNCTION("""COMPUTED_VALUE"""),"Pre-Intermediate 1")</f>
        <v>Pre-Intermediate 1</v>
      </c>
      <c r="H134" s="219">
        <f>IFERROR(__xludf.DUMMYFUNCTION("""COMPUTED_VALUE"""),45841.375)</f>
        <v>45841.375</v>
      </c>
      <c r="I134" s="219">
        <f>IFERROR(__xludf.DUMMYFUNCTION("""COMPUTED_VALUE"""),45636.45833333333)</f>
        <v>45636.45833</v>
      </c>
      <c r="J134" s="190">
        <f>IFERROR(__xludf.DUMMYFUNCTION("""COMPUTED_VALUE"""),1.5)</f>
        <v>1.5</v>
      </c>
      <c r="K134" s="190">
        <f>IFERROR(__xludf.DUMMYFUNCTION("""COMPUTED_VALUE"""),3.0)</f>
        <v>3</v>
      </c>
      <c r="L134" s="190" t="str">
        <f>IFERROR(__xludf.DUMMYFUNCTION("""COMPUTED_VALUE"""),"DEV")</f>
        <v>DEV</v>
      </c>
      <c r="M134" s="190" t="str">
        <f>IFERROR(__xludf.DUMMYFUNCTION("""COMPUTED_VALUE"""),"ONC")</f>
        <v>ONC</v>
      </c>
      <c r="N134" s="220">
        <f>IFERROR(__xludf.DUMMYFUNCTION("""COMPUTED_VALUE"""),1.0)</f>
        <v>1</v>
      </c>
      <c r="O134" s="220">
        <f>IFERROR(__xludf.DUMMYFUNCTION("""COMPUTED_VALUE"""),3.0)</f>
        <v>3</v>
      </c>
      <c r="P134" s="220"/>
      <c r="Q134" s="190">
        <f t="shared" si="1"/>
        <v>1</v>
      </c>
      <c r="R134" s="211" t="s">
        <v>334</v>
      </c>
      <c r="S134" s="210" t="str">
        <f t="shared" si="2"/>
        <v>DEV</v>
      </c>
      <c r="T134" s="210" t="str">
        <f t="shared" si="3"/>
        <v>DEV, TA</v>
      </c>
      <c r="U134" s="210" t="str">
        <f t="shared" si="4"/>
        <v>TBU</v>
      </c>
      <c r="X134" s="210"/>
      <c r="Y134" s="210"/>
      <c r="Z134" s="210"/>
      <c r="AA134" s="210"/>
      <c r="AB134" s="210"/>
      <c r="AC134" s="210"/>
      <c r="AD134" s="210"/>
      <c r="AE134" s="210"/>
      <c r="AF134" s="210"/>
      <c r="AG134" s="210"/>
      <c r="AH134" s="210"/>
      <c r="AI134" s="210"/>
      <c r="AJ134" s="210"/>
      <c r="AK134" s="210"/>
      <c r="AL134" s="210"/>
      <c r="AM134" s="210"/>
      <c r="AN134" s="210"/>
      <c r="AO134" s="210"/>
      <c r="AP134" s="210"/>
      <c r="AQ134" s="210"/>
    </row>
    <row r="135">
      <c r="A135" s="223" t="str">
        <f>IFERROR(__xludf.DUMMYFUNCTION("""COMPUTED_VALUE"""),"227244")</f>
        <v>227244</v>
      </c>
      <c r="B135" s="190" t="str">
        <f>IFERROR(__xludf.DUMMYFUNCTION("""COMPUTED_VALUE"""),"HUỲNH PHÚC TRƯỜNG")</f>
        <v>HUỲNH PHÚC TRƯỜNG</v>
      </c>
      <c r="C135" s="223" t="str">
        <f>IFERROR(__xludf.DUMMYFUNCTION("""COMPUTED_VALUE"""),"EL013")</f>
        <v>EL013</v>
      </c>
      <c r="D135" s="223" t="str">
        <f>IFERROR(__xludf.DUMMYFUNCTION("""COMPUTED_VALUE"""),"Lanh Le")</f>
        <v>Lanh Le</v>
      </c>
      <c r="E135" s="190" t="str">
        <f>IFERROR(__xludf.DUMMYFUNCTION("""COMPUTED_VALUE"""),"Communication 2")</f>
        <v>Communication 2</v>
      </c>
      <c r="F135" s="190" t="str">
        <f>IFERROR(__xludf.DUMMYFUNCTION("""COMPUTED_VALUE"""),"Pre-Intermediate 1")</f>
        <v>Pre-Intermediate 1</v>
      </c>
      <c r="G135" s="190" t="str">
        <f>IFERROR(__xludf.DUMMYFUNCTION("""COMPUTED_VALUE"""),"Pre-Intermediate 2")</f>
        <v>Pre-Intermediate 2</v>
      </c>
      <c r="H135" s="219">
        <f>IFERROR(__xludf.DUMMYFUNCTION("""COMPUTED_VALUE"""),45841.375)</f>
        <v>45841.375</v>
      </c>
      <c r="I135" s="219">
        <f>IFERROR(__xludf.DUMMYFUNCTION("""COMPUTED_VALUE"""),45636.45833333333)</f>
        <v>45636.45833</v>
      </c>
      <c r="J135" s="190">
        <f>IFERROR(__xludf.DUMMYFUNCTION("""COMPUTED_VALUE"""),3.0)</f>
        <v>3</v>
      </c>
      <c r="K135" s="190">
        <f>IFERROR(__xludf.DUMMYFUNCTION("""COMPUTED_VALUE"""),3.5)</f>
        <v>3.5</v>
      </c>
      <c r="L135" s="190" t="str">
        <f>IFERROR(__xludf.DUMMYFUNCTION("""COMPUTED_VALUE"""),"DEV")</f>
        <v>DEV</v>
      </c>
      <c r="M135" s="190" t="str">
        <f>IFERROR(__xludf.DUMMYFUNCTION("""COMPUTED_VALUE"""),"ONC")</f>
        <v>ONC</v>
      </c>
      <c r="N135" s="220">
        <f>IFERROR(__xludf.DUMMYFUNCTION("""COMPUTED_VALUE"""),2.5)</f>
        <v>2.5</v>
      </c>
      <c r="O135" s="220">
        <f>IFERROR(__xludf.DUMMYFUNCTION("""COMPUTED_VALUE"""),3.5)</f>
        <v>3.5</v>
      </c>
      <c r="P135" s="220"/>
      <c r="Q135" s="190">
        <f t="shared" si="1"/>
        <v>1</v>
      </c>
      <c r="R135" s="211" t="s">
        <v>401</v>
      </c>
      <c r="S135" s="210" t="str">
        <f t="shared" si="2"/>
        <v>DEV</v>
      </c>
      <c r="T135" s="210" t="str">
        <f t="shared" si="3"/>
        <v>DEV, TA</v>
      </c>
      <c r="U135" s="210" t="str">
        <f t="shared" si="4"/>
        <v>POC</v>
      </c>
      <c r="X135" s="210"/>
      <c r="Y135" s="210"/>
      <c r="Z135" s="210"/>
      <c r="AA135" s="210"/>
      <c r="AB135" s="210"/>
      <c r="AC135" s="210"/>
      <c r="AD135" s="210"/>
      <c r="AE135" s="210"/>
      <c r="AF135" s="210"/>
      <c r="AG135" s="210"/>
      <c r="AH135" s="210"/>
      <c r="AI135" s="210"/>
      <c r="AJ135" s="210"/>
      <c r="AK135" s="210"/>
      <c r="AL135" s="210"/>
      <c r="AM135" s="210"/>
      <c r="AN135" s="210"/>
      <c r="AO135" s="210"/>
      <c r="AP135" s="210"/>
      <c r="AQ135" s="210"/>
    </row>
    <row r="136">
      <c r="A136" s="223" t="str">
        <f>IFERROR(__xludf.DUMMYFUNCTION("""COMPUTED_VALUE"""),"213936")</f>
        <v>213936</v>
      </c>
      <c r="B136" s="190" t="str">
        <f>IFERROR(__xludf.DUMMYFUNCTION("""COMPUTED_VALUE"""),"NGUYỄN QUỐC TUẤN")</f>
        <v>NGUYỄN QUỐC TUẤN</v>
      </c>
      <c r="C136" s="223" t="str">
        <f>IFERROR(__xludf.DUMMYFUNCTION("""COMPUTED_VALUE"""),"EL013")</f>
        <v>EL013</v>
      </c>
      <c r="D136" s="223" t="str">
        <f>IFERROR(__xludf.DUMMYFUNCTION("""COMPUTED_VALUE"""),"Lanh Le")</f>
        <v>Lanh Le</v>
      </c>
      <c r="E136" s="190" t="str">
        <f>IFERROR(__xludf.DUMMYFUNCTION("""COMPUTED_VALUE"""),"Communication 2")</f>
        <v>Communication 2</v>
      </c>
      <c r="F136" s="190" t="str">
        <f>IFERROR(__xludf.DUMMYFUNCTION("""COMPUTED_VALUE"""),"Beginner 2")</f>
        <v>Beginner 2</v>
      </c>
      <c r="G136" s="190"/>
      <c r="H136" s="219">
        <f>IFERROR(__xludf.DUMMYFUNCTION("""COMPUTED_VALUE"""),45841.375)</f>
        <v>45841.375</v>
      </c>
      <c r="I136" s="219">
        <f>IFERROR(__xludf.DUMMYFUNCTION("""COMPUTED_VALUE"""),45636.45833333333)</f>
        <v>45636.45833</v>
      </c>
      <c r="J136" s="190">
        <f>IFERROR(__xludf.DUMMYFUNCTION("""COMPUTED_VALUE"""),1.5)</f>
        <v>1.5</v>
      </c>
      <c r="K136" s="190" t="str">
        <f>IFERROR(__xludf.DUMMYFUNCTION("""COMPUTED_VALUE"""),"")</f>
        <v/>
      </c>
      <c r="L136" s="190" t="str">
        <f>IFERROR(__xludf.DUMMYFUNCTION("""COMPUTED_VALUE"""),"DEV")</f>
        <v>DEV</v>
      </c>
      <c r="M136" s="190" t="str">
        <f>IFERROR(__xludf.DUMMYFUNCTION("""COMPUTED_VALUE"""),"ONC")</f>
        <v>ONC</v>
      </c>
      <c r="N136" s="220">
        <f>IFERROR(__xludf.DUMMYFUNCTION("""COMPUTED_VALUE"""),1.0)</f>
        <v>1</v>
      </c>
      <c r="O136" s="220">
        <f>IFERROR(__xludf.DUMMYFUNCTION("""COMPUTED_VALUE"""),1.5)</f>
        <v>1.5</v>
      </c>
      <c r="P136" s="220"/>
      <c r="Q136" s="190">
        <f t="shared" si="1"/>
        <v>1</v>
      </c>
      <c r="R136" s="211" t="s">
        <v>572</v>
      </c>
      <c r="S136" s="210" t="str">
        <f t="shared" si="2"/>
        <v>DEV</v>
      </c>
      <c r="T136" s="210" t="str">
        <f t="shared" si="3"/>
        <v>DEV, TA</v>
      </c>
      <c r="U136" s="210" t="str">
        <f t="shared" si="4"/>
        <v>TBU</v>
      </c>
      <c r="X136" s="210"/>
      <c r="Y136" s="210"/>
      <c r="Z136" s="210"/>
      <c r="AA136" s="210"/>
      <c r="AB136" s="210"/>
      <c r="AC136" s="210"/>
      <c r="AD136" s="210"/>
      <c r="AE136" s="210"/>
      <c r="AF136" s="210"/>
      <c r="AG136" s="210"/>
      <c r="AH136" s="210"/>
      <c r="AI136" s="210"/>
      <c r="AJ136" s="210"/>
      <c r="AK136" s="210"/>
      <c r="AL136" s="210"/>
      <c r="AM136" s="210"/>
      <c r="AN136" s="210"/>
      <c r="AO136" s="210"/>
      <c r="AP136" s="210"/>
      <c r="AQ136" s="210"/>
    </row>
    <row r="137">
      <c r="A137" s="223" t="str">
        <f>IFERROR(__xludf.DUMMYFUNCTION("""COMPUTED_VALUE"""),"193516")</f>
        <v>193516</v>
      </c>
      <c r="B137" s="190" t="str">
        <f>IFERROR(__xludf.DUMMYFUNCTION("""COMPUTED_VALUE"""),"TRẦN ANH DUY")</f>
        <v>TRẦN ANH DUY</v>
      </c>
      <c r="C137" s="223" t="str">
        <f>IFERROR(__xludf.DUMMYFUNCTION("""COMPUTED_VALUE"""),"EL013")</f>
        <v>EL013</v>
      </c>
      <c r="D137" s="223" t="str">
        <f>IFERROR(__xludf.DUMMYFUNCTION("""COMPUTED_VALUE"""),"Lanh Le")</f>
        <v>Lanh Le</v>
      </c>
      <c r="E137" s="190" t="str">
        <f>IFERROR(__xludf.DUMMYFUNCTION("""COMPUTED_VALUE"""),"Communication 2")</f>
        <v>Communication 2</v>
      </c>
      <c r="F137" s="190" t="str">
        <f>IFERROR(__xludf.DUMMYFUNCTION("""COMPUTED_VALUE"""),"Pre-Intermediate 2")</f>
        <v>Pre-Intermediate 2</v>
      </c>
      <c r="G137" s="190" t="str">
        <f>IFERROR(__xludf.DUMMYFUNCTION("""COMPUTED_VALUE"""),"Pre-Intermediate 2")</f>
        <v>Pre-Intermediate 2</v>
      </c>
      <c r="H137" s="219">
        <f>IFERROR(__xludf.DUMMYFUNCTION("""COMPUTED_VALUE"""),45841.375)</f>
        <v>45841.375</v>
      </c>
      <c r="I137" s="219">
        <f>IFERROR(__xludf.DUMMYFUNCTION("""COMPUTED_VALUE"""),45636.45833333333)</f>
        <v>45636.45833</v>
      </c>
      <c r="J137" s="190">
        <f>IFERROR(__xludf.DUMMYFUNCTION("""COMPUTED_VALUE"""),3.5)</f>
        <v>3.5</v>
      </c>
      <c r="K137" s="190">
        <f>IFERROR(__xludf.DUMMYFUNCTION("""COMPUTED_VALUE"""),3.5)</f>
        <v>3.5</v>
      </c>
      <c r="L137" s="190" t="str">
        <f>IFERROR(__xludf.DUMMYFUNCTION("""COMPUTED_VALUE"""),"DEV")</f>
        <v>DEV</v>
      </c>
      <c r="M137" s="190" t="str">
        <f>IFERROR(__xludf.DUMMYFUNCTION("""COMPUTED_VALUE"""),"ONC")</f>
        <v>ONC</v>
      </c>
      <c r="N137" s="220">
        <f>IFERROR(__xludf.DUMMYFUNCTION("""COMPUTED_VALUE"""),2.5)</f>
        <v>2.5</v>
      </c>
      <c r="O137" s="220">
        <f>IFERROR(__xludf.DUMMYFUNCTION("""COMPUTED_VALUE"""),3.5)</f>
        <v>3.5</v>
      </c>
      <c r="P137" s="220"/>
      <c r="Q137" s="190">
        <f t="shared" si="1"/>
        <v>1</v>
      </c>
      <c r="R137" s="211" t="s">
        <v>576</v>
      </c>
      <c r="S137" s="210" t="str">
        <f t="shared" si="2"/>
        <v>DEV</v>
      </c>
      <c r="T137" s="210" t="str">
        <f t="shared" si="3"/>
        <v>DEV, TA</v>
      </c>
      <c r="U137" s="210" t="str">
        <f t="shared" si="4"/>
        <v>POC</v>
      </c>
      <c r="X137" s="210"/>
      <c r="Y137" s="210"/>
      <c r="Z137" s="210"/>
      <c r="AA137" s="210"/>
      <c r="AB137" s="210"/>
      <c r="AC137" s="210"/>
      <c r="AD137" s="210"/>
      <c r="AE137" s="210"/>
      <c r="AF137" s="210"/>
      <c r="AG137" s="210"/>
      <c r="AH137" s="210"/>
      <c r="AI137" s="210"/>
      <c r="AJ137" s="210"/>
      <c r="AK137" s="210"/>
      <c r="AL137" s="210"/>
      <c r="AM137" s="210"/>
      <c r="AN137" s="210"/>
      <c r="AO137" s="210"/>
      <c r="AP137" s="210"/>
      <c r="AQ137" s="210"/>
    </row>
    <row r="138">
      <c r="A138" s="223" t="str">
        <f>IFERROR(__xludf.DUMMYFUNCTION("""COMPUTED_VALUE"""),"247234")</f>
        <v>247234</v>
      </c>
      <c r="B138" s="190" t="str">
        <f>IFERROR(__xludf.DUMMYFUNCTION("""COMPUTED_VALUE"""),"TRẦN DƯƠNG HOÀN MỸ")</f>
        <v>TRẦN DƯƠNG HOÀN MỸ</v>
      </c>
      <c r="C138" s="223" t="str">
        <f>IFERROR(__xludf.DUMMYFUNCTION("""COMPUTED_VALUE"""),"EL013")</f>
        <v>EL013</v>
      </c>
      <c r="D138" s="223" t="str">
        <f>IFERROR(__xludf.DUMMYFUNCTION("""COMPUTED_VALUE"""),"Lanh Le")</f>
        <v>Lanh Le</v>
      </c>
      <c r="E138" s="190" t="str">
        <f>IFERROR(__xludf.DUMMYFUNCTION("""COMPUTED_VALUE"""),"Communication 2")</f>
        <v>Communication 2</v>
      </c>
      <c r="F138" s="190" t="str">
        <f>IFERROR(__xludf.DUMMYFUNCTION("""COMPUTED_VALUE"""),"Pre-Intermediate 2")</f>
        <v>Pre-Intermediate 2</v>
      </c>
      <c r="G138" s="190" t="str">
        <f>IFERROR(__xludf.DUMMYFUNCTION("""COMPUTED_VALUE"""),"Intermediate 1")</f>
        <v>Intermediate 1</v>
      </c>
      <c r="H138" s="219">
        <f>IFERROR(__xludf.DUMMYFUNCTION("""COMPUTED_VALUE"""),45841.375)</f>
        <v>45841.375</v>
      </c>
      <c r="I138" s="219">
        <f>IFERROR(__xludf.DUMMYFUNCTION("""COMPUTED_VALUE"""),45636.45833333333)</f>
        <v>45636.45833</v>
      </c>
      <c r="J138" s="190">
        <f>IFERROR(__xludf.DUMMYFUNCTION("""COMPUTED_VALUE"""),3.5)</f>
        <v>3.5</v>
      </c>
      <c r="K138" s="190">
        <f>IFERROR(__xludf.DUMMYFUNCTION("""COMPUTED_VALUE"""),5.0)</f>
        <v>5</v>
      </c>
      <c r="L138" s="190" t="str">
        <f>IFERROR(__xludf.DUMMYFUNCTION("""COMPUTED_VALUE"""),"QC")</f>
        <v>QC</v>
      </c>
      <c r="M138" s="190" t="str">
        <f>IFERROR(__xludf.DUMMYFUNCTION("""COMPUTED_VALUE"""),"LBU")</f>
        <v>LBU</v>
      </c>
      <c r="N138" s="220">
        <f>IFERROR(__xludf.DUMMYFUNCTION("""COMPUTED_VALUE"""),1.0)</f>
        <v>1</v>
      </c>
      <c r="O138" s="220">
        <f>IFERROR(__xludf.DUMMYFUNCTION("""COMPUTED_VALUE"""),5.0)</f>
        <v>5</v>
      </c>
      <c r="P138" s="220"/>
      <c r="Q138" s="190">
        <f t="shared" si="1"/>
        <v>1</v>
      </c>
      <c r="R138" s="211" t="s">
        <v>309</v>
      </c>
      <c r="S138" s="210" t="str">
        <f t="shared" si="2"/>
        <v>DEV</v>
      </c>
      <c r="T138" s="210" t="str">
        <f t="shared" si="3"/>
        <v>DEV, TA</v>
      </c>
      <c r="U138" s="210" t="str">
        <f t="shared" si="4"/>
        <v>MOC</v>
      </c>
      <c r="X138" s="210"/>
      <c r="Y138" s="210"/>
      <c r="Z138" s="210"/>
      <c r="AA138" s="210"/>
      <c r="AB138" s="210"/>
      <c r="AC138" s="210"/>
      <c r="AD138" s="210"/>
      <c r="AE138" s="210"/>
      <c r="AF138" s="210"/>
      <c r="AG138" s="210"/>
      <c r="AH138" s="210"/>
      <c r="AI138" s="210"/>
      <c r="AJ138" s="210"/>
      <c r="AK138" s="210"/>
      <c r="AL138" s="210"/>
      <c r="AM138" s="210"/>
      <c r="AN138" s="210"/>
      <c r="AO138" s="210"/>
      <c r="AP138" s="210"/>
      <c r="AQ138" s="210"/>
    </row>
    <row r="139">
      <c r="A139" s="218" t="str">
        <f>IFERROR(__xludf.DUMMYFUNCTION("""COMPUTED_VALUE"""),"183422")</f>
        <v>183422</v>
      </c>
      <c r="B139" s="217" t="str">
        <f>IFERROR(__xludf.DUMMYFUNCTION("""COMPUTED_VALUE"""),"LÊ TRẦN XUÂN LÃNH")</f>
        <v>LÊ TRẦN XUÂN LÃNH</v>
      </c>
      <c r="C139" s="218" t="str">
        <f>IFERROR(__xludf.DUMMYFUNCTION("""COMPUTED_VALUE"""),"EL013")</f>
        <v>EL013</v>
      </c>
      <c r="D139" s="218" t="str">
        <f>IFERROR(__xludf.DUMMYFUNCTION("""COMPUTED_VALUE"""),"Lanh Le")</f>
        <v>Lanh Le</v>
      </c>
      <c r="E139" s="217" t="str">
        <f>IFERROR(__xludf.DUMMYFUNCTION("""COMPUTED_VALUE"""),"Communication 3")</f>
        <v>Communication 3</v>
      </c>
      <c r="F139" s="190"/>
      <c r="G139" s="190"/>
      <c r="H139" s="219">
        <f>IFERROR(__xludf.DUMMYFUNCTION("""COMPUTED_VALUE"""),45729.45833333333)</f>
        <v>45729.45833</v>
      </c>
      <c r="I139" s="219">
        <f>IFERROR(__xludf.DUMMYFUNCTION("""COMPUTED_VALUE"""),45636.45833333333)</f>
        <v>45636.45833</v>
      </c>
      <c r="J139" s="190" t="str">
        <f>IFERROR(__xludf.DUMMYFUNCTION("""COMPUTED_VALUE"""),"")</f>
        <v/>
      </c>
      <c r="K139" s="190" t="str">
        <f>IFERROR(__xludf.DUMMYFUNCTION("""COMPUTED_VALUE"""),"")</f>
        <v/>
      </c>
      <c r="L139" s="190" t="str">
        <f>IFERROR(__xludf.DUMMYFUNCTION("""COMPUTED_VALUE"""),"DEV")</f>
        <v>DEV</v>
      </c>
      <c r="M139" s="190" t="str">
        <f>IFERROR(__xludf.DUMMYFUNCTION("""COMPUTED_VALUE"""),"ONC")</f>
        <v>ONC</v>
      </c>
      <c r="N139" s="220">
        <f>IFERROR(__xludf.DUMMYFUNCTION("""COMPUTED_VALUE"""),1.0)</f>
        <v>1</v>
      </c>
      <c r="O139" s="220">
        <f>IFERROR(__xludf.DUMMYFUNCTION("""COMPUTED_VALUE"""),3.5)</f>
        <v>3.5</v>
      </c>
      <c r="P139" s="220"/>
      <c r="Q139" s="190">
        <f t="shared" si="1"/>
        <v>1</v>
      </c>
      <c r="R139" s="211" t="s">
        <v>332</v>
      </c>
      <c r="S139" s="210" t="str">
        <f t="shared" si="2"/>
        <v>DEV</v>
      </c>
      <c r="T139" s="210" t="str">
        <f t="shared" si="3"/>
        <v>DEV, TA</v>
      </c>
      <c r="U139" s="210" t="str">
        <f t="shared" si="4"/>
        <v>MOC</v>
      </c>
      <c r="X139" s="210"/>
      <c r="Y139" s="210"/>
      <c r="Z139" s="210"/>
      <c r="AA139" s="210"/>
      <c r="AB139" s="210"/>
      <c r="AC139" s="210"/>
      <c r="AD139" s="210"/>
      <c r="AE139" s="210"/>
      <c r="AF139" s="210"/>
      <c r="AG139" s="210"/>
      <c r="AH139" s="210"/>
      <c r="AI139" s="210"/>
      <c r="AJ139" s="210"/>
      <c r="AK139" s="210"/>
      <c r="AL139" s="210"/>
      <c r="AM139" s="210"/>
      <c r="AN139" s="210"/>
      <c r="AO139" s="210"/>
      <c r="AP139" s="210"/>
      <c r="AQ139" s="210"/>
    </row>
    <row r="140">
      <c r="A140" s="223" t="str">
        <f>IFERROR(__xludf.DUMMYFUNCTION("""COMPUTED_VALUE"""),"213893")</f>
        <v>213893</v>
      </c>
      <c r="B140" s="190" t="str">
        <f>IFERROR(__xludf.DUMMYFUNCTION("""COMPUTED_VALUE"""),"HOÀNG NGỌC THẲNG")</f>
        <v>HOÀNG NGỌC THẲNG</v>
      </c>
      <c r="C140" s="223" t="str">
        <f>IFERROR(__xludf.DUMMYFUNCTION("""COMPUTED_VALUE"""),"EL013")</f>
        <v>EL013</v>
      </c>
      <c r="D140" s="223" t="str">
        <f>IFERROR(__xludf.DUMMYFUNCTION("""COMPUTED_VALUE"""),"Lanh Le")</f>
        <v>Lanh Le</v>
      </c>
      <c r="E140" s="190" t="str">
        <f>IFERROR(__xludf.DUMMYFUNCTION("""COMPUTED_VALUE"""),"Communication 3")</f>
        <v>Communication 3</v>
      </c>
      <c r="F140" s="190"/>
      <c r="G140" s="190"/>
      <c r="H140" s="219">
        <f>IFERROR(__xludf.DUMMYFUNCTION("""COMPUTED_VALUE"""),45729.45833333333)</f>
        <v>45729.45833</v>
      </c>
      <c r="I140" s="219">
        <f>IFERROR(__xludf.DUMMYFUNCTION("""COMPUTED_VALUE"""),45636.45833333333)</f>
        <v>45636.45833</v>
      </c>
      <c r="J140" s="190" t="str">
        <f>IFERROR(__xludf.DUMMYFUNCTION("""COMPUTED_VALUE"""),"")</f>
        <v/>
      </c>
      <c r="K140" s="190" t="str">
        <f>IFERROR(__xludf.DUMMYFUNCTION("""COMPUTED_VALUE"""),"")</f>
        <v/>
      </c>
      <c r="L140" s="190" t="str">
        <f>IFERROR(__xludf.DUMMYFUNCTION("""COMPUTED_VALUE"""),"DEV")</f>
        <v>DEV</v>
      </c>
      <c r="M140" s="190" t="str">
        <f>IFERROR(__xludf.DUMMYFUNCTION("""COMPUTED_VALUE"""),"ONC")</f>
        <v>ONC</v>
      </c>
      <c r="N140" s="220">
        <f>IFERROR(__xludf.DUMMYFUNCTION("""COMPUTED_VALUE"""),1.0)</f>
        <v>1</v>
      </c>
      <c r="O140" s="220">
        <f>IFERROR(__xludf.DUMMYFUNCTION("""COMPUTED_VALUE"""),3.0)</f>
        <v>3</v>
      </c>
      <c r="P140" s="220"/>
      <c r="Q140" s="190">
        <f t="shared" si="1"/>
        <v>1</v>
      </c>
      <c r="R140" s="211" t="s">
        <v>419</v>
      </c>
      <c r="S140" s="210" t="str">
        <f t="shared" si="2"/>
        <v>DEV</v>
      </c>
      <c r="T140" s="210" t="str">
        <f t="shared" si="3"/>
        <v>DEV, TA</v>
      </c>
      <c r="U140" s="210" t="str">
        <f t="shared" si="4"/>
        <v>LBU</v>
      </c>
      <c r="X140" s="210"/>
      <c r="Y140" s="210"/>
      <c r="Z140" s="210"/>
      <c r="AA140" s="210"/>
      <c r="AB140" s="210"/>
      <c r="AC140" s="210"/>
      <c r="AD140" s="210"/>
      <c r="AE140" s="210"/>
      <c r="AF140" s="210"/>
      <c r="AG140" s="210"/>
      <c r="AH140" s="210"/>
      <c r="AI140" s="210"/>
      <c r="AJ140" s="210"/>
      <c r="AK140" s="210"/>
      <c r="AL140" s="210"/>
      <c r="AM140" s="210"/>
      <c r="AN140" s="210"/>
      <c r="AO140" s="210"/>
      <c r="AP140" s="210"/>
      <c r="AQ140" s="210"/>
    </row>
    <row r="141">
      <c r="A141" s="223" t="str">
        <f>IFERROR(__xludf.DUMMYFUNCTION("""COMPUTED_VALUE"""),"227244")</f>
        <v>227244</v>
      </c>
      <c r="B141" s="190" t="str">
        <f>IFERROR(__xludf.DUMMYFUNCTION("""COMPUTED_VALUE"""),"HUỲNH PHÚC TRƯỜNG")</f>
        <v>HUỲNH PHÚC TRƯỜNG</v>
      </c>
      <c r="C141" s="223" t="str">
        <f>IFERROR(__xludf.DUMMYFUNCTION("""COMPUTED_VALUE"""),"EL013")</f>
        <v>EL013</v>
      </c>
      <c r="D141" s="223" t="str">
        <f>IFERROR(__xludf.DUMMYFUNCTION("""COMPUTED_VALUE"""),"Lanh Le")</f>
        <v>Lanh Le</v>
      </c>
      <c r="E141" s="190" t="str">
        <f>IFERROR(__xludf.DUMMYFUNCTION("""COMPUTED_VALUE"""),"Communication 3")</f>
        <v>Communication 3</v>
      </c>
      <c r="F141" s="190"/>
      <c r="G141" s="190"/>
      <c r="H141" s="219">
        <f>IFERROR(__xludf.DUMMYFUNCTION("""COMPUTED_VALUE"""),45729.45833333333)</f>
        <v>45729.45833</v>
      </c>
      <c r="I141" s="219">
        <f>IFERROR(__xludf.DUMMYFUNCTION("""COMPUTED_VALUE"""),45636.45833333333)</f>
        <v>45636.45833</v>
      </c>
      <c r="J141" s="190" t="str">
        <f>IFERROR(__xludf.DUMMYFUNCTION("""COMPUTED_VALUE"""),"")</f>
        <v/>
      </c>
      <c r="K141" s="190" t="str">
        <f>IFERROR(__xludf.DUMMYFUNCTION("""COMPUTED_VALUE"""),"")</f>
        <v/>
      </c>
      <c r="L141" s="190" t="str">
        <f>IFERROR(__xludf.DUMMYFUNCTION("""COMPUTED_VALUE"""),"DEV")</f>
        <v>DEV</v>
      </c>
      <c r="M141" s="190" t="str">
        <f>IFERROR(__xludf.DUMMYFUNCTION("""COMPUTED_VALUE"""),"ONC")</f>
        <v>ONC</v>
      </c>
      <c r="N141" s="220">
        <f>IFERROR(__xludf.DUMMYFUNCTION("""COMPUTED_VALUE"""),2.5)</f>
        <v>2.5</v>
      </c>
      <c r="O141" s="220">
        <f>IFERROR(__xludf.DUMMYFUNCTION("""COMPUTED_VALUE"""),3.5)</f>
        <v>3.5</v>
      </c>
      <c r="P141" s="220"/>
      <c r="Q141" s="190">
        <f t="shared" si="1"/>
        <v>1</v>
      </c>
      <c r="R141" s="211" t="s">
        <v>562</v>
      </c>
      <c r="S141" s="210" t="str">
        <f t="shared" si="2"/>
        <v>DEV</v>
      </c>
      <c r="T141" s="210" t="str">
        <f t="shared" si="3"/>
        <v>DEV, TA</v>
      </c>
      <c r="U141" s="210" t="str">
        <f t="shared" si="4"/>
        <v>MOC</v>
      </c>
      <c r="X141" s="210"/>
      <c r="Y141" s="210"/>
      <c r="Z141" s="210"/>
      <c r="AA141" s="210"/>
      <c r="AB141" s="210"/>
      <c r="AC141" s="210"/>
      <c r="AD141" s="210"/>
      <c r="AE141" s="210"/>
      <c r="AF141" s="210"/>
      <c r="AG141" s="210"/>
      <c r="AH141" s="210"/>
      <c r="AI141" s="210"/>
      <c r="AJ141" s="210"/>
      <c r="AK141" s="210"/>
      <c r="AL141" s="210"/>
      <c r="AM141" s="210"/>
      <c r="AN141" s="210"/>
      <c r="AO141" s="210"/>
      <c r="AP141" s="210"/>
      <c r="AQ141" s="210"/>
    </row>
    <row r="142">
      <c r="A142" s="223" t="str">
        <f>IFERROR(__xludf.DUMMYFUNCTION("""COMPUTED_VALUE"""),"183427")</f>
        <v>183427</v>
      </c>
      <c r="B142" s="190" t="str">
        <f>IFERROR(__xludf.DUMMYFUNCTION("""COMPUTED_VALUE"""),"PHAN CÔNG TOẠI")</f>
        <v>PHAN CÔNG TOẠI</v>
      </c>
      <c r="C142" s="223" t="str">
        <f>IFERROR(__xludf.DUMMYFUNCTION("""COMPUTED_VALUE"""),"EL013")</f>
        <v>EL013</v>
      </c>
      <c r="D142" s="223" t="str">
        <f>IFERROR(__xludf.DUMMYFUNCTION("""COMPUTED_VALUE"""),"Lanh Le")</f>
        <v>Lanh Le</v>
      </c>
      <c r="E142" s="190" t="str">
        <f>IFERROR(__xludf.DUMMYFUNCTION("""COMPUTED_VALUE"""),"Communication 3")</f>
        <v>Communication 3</v>
      </c>
      <c r="F142" s="190"/>
      <c r="G142" s="190"/>
      <c r="H142" s="219">
        <f>IFERROR(__xludf.DUMMYFUNCTION("""COMPUTED_VALUE"""),45729.45833333333)</f>
        <v>45729.45833</v>
      </c>
      <c r="I142" s="219">
        <f>IFERROR(__xludf.DUMMYFUNCTION("""COMPUTED_VALUE"""),45639.58333333333)</f>
        <v>45639.58333</v>
      </c>
      <c r="J142" s="190" t="str">
        <f>IFERROR(__xludf.DUMMYFUNCTION("""COMPUTED_VALUE"""),"")</f>
        <v/>
      </c>
      <c r="K142" s="190" t="str">
        <f>IFERROR(__xludf.DUMMYFUNCTION("""COMPUTED_VALUE"""),"")</f>
        <v/>
      </c>
      <c r="L142" s="190" t="str">
        <f>IFERROR(__xludf.DUMMYFUNCTION("""COMPUTED_VALUE"""),"DEV")</f>
        <v>DEV</v>
      </c>
      <c r="M142" s="190" t="str">
        <f>IFERROR(__xludf.DUMMYFUNCTION("""COMPUTED_VALUE"""),"ONC")</f>
        <v>ONC</v>
      </c>
      <c r="N142" s="220">
        <f>IFERROR(__xludf.DUMMYFUNCTION("""COMPUTED_VALUE"""),1.0)</f>
        <v>1</v>
      </c>
      <c r="O142" s="220">
        <f>IFERROR(__xludf.DUMMYFUNCTION("""COMPUTED_VALUE"""),5.0)</f>
        <v>5</v>
      </c>
      <c r="P142" s="220"/>
      <c r="Q142" s="190">
        <f t="shared" si="1"/>
        <v>1</v>
      </c>
      <c r="R142" s="211" t="s">
        <v>693</v>
      </c>
      <c r="S142" s="210" t="str">
        <f t="shared" si="2"/>
        <v>DEV</v>
      </c>
      <c r="T142" s="210" t="str">
        <f t="shared" si="3"/>
        <v>DEV, TA</v>
      </c>
      <c r="U142" s="210" t="str">
        <f t="shared" si="4"/>
        <v>MOC</v>
      </c>
      <c r="X142" s="210"/>
      <c r="Y142" s="210"/>
      <c r="Z142" s="210"/>
      <c r="AA142" s="210"/>
      <c r="AB142" s="210"/>
      <c r="AC142" s="210"/>
      <c r="AD142" s="210"/>
      <c r="AE142" s="210"/>
      <c r="AF142" s="210"/>
      <c r="AG142" s="210"/>
      <c r="AH142" s="210"/>
      <c r="AI142" s="210"/>
      <c r="AJ142" s="210"/>
      <c r="AK142" s="210"/>
      <c r="AL142" s="210"/>
      <c r="AM142" s="210"/>
      <c r="AN142" s="210"/>
      <c r="AO142" s="210"/>
      <c r="AP142" s="210"/>
      <c r="AQ142" s="210"/>
    </row>
    <row r="143">
      <c r="A143" s="223" t="str">
        <f>IFERROR(__xludf.DUMMYFUNCTION("""COMPUTED_VALUE"""),"193516")</f>
        <v>193516</v>
      </c>
      <c r="B143" s="190" t="str">
        <f>IFERROR(__xludf.DUMMYFUNCTION("""COMPUTED_VALUE"""),"TRẦN ANH DUY")</f>
        <v>TRẦN ANH DUY</v>
      </c>
      <c r="C143" s="223" t="str">
        <f>IFERROR(__xludf.DUMMYFUNCTION("""COMPUTED_VALUE"""),"EL013")</f>
        <v>EL013</v>
      </c>
      <c r="D143" s="223" t="str">
        <f>IFERROR(__xludf.DUMMYFUNCTION("""COMPUTED_VALUE"""),"Lanh Le")</f>
        <v>Lanh Le</v>
      </c>
      <c r="E143" s="190" t="str">
        <f>IFERROR(__xludf.DUMMYFUNCTION("""COMPUTED_VALUE"""),"Communication 3")</f>
        <v>Communication 3</v>
      </c>
      <c r="F143" s="190"/>
      <c r="G143" s="190"/>
      <c r="H143" s="219">
        <f>IFERROR(__xludf.DUMMYFUNCTION("""COMPUTED_VALUE"""),45729.45833333333)</f>
        <v>45729.45833</v>
      </c>
      <c r="I143" s="219">
        <f>IFERROR(__xludf.DUMMYFUNCTION("""COMPUTED_VALUE"""),45636.45833333333)</f>
        <v>45636.45833</v>
      </c>
      <c r="J143" s="190" t="str">
        <f>IFERROR(__xludf.DUMMYFUNCTION("""COMPUTED_VALUE"""),"")</f>
        <v/>
      </c>
      <c r="K143" s="190" t="str">
        <f>IFERROR(__xludf.DUMMYFUNCTION("""COMPUTED_VALUE"""),"")</f>
        <v/>
      </c>
      <c r="L143" s="190" t="str">
        <f>IFERROR(__xludf.DUMMYFUNCTION("""COMPUTED_VALUE"""),"DEV")</f>
        <v>DEV</v>
      </c>
      <c r="M143" s="190" t="str">
        <f>IFERROR(__xludf.DUMMYFUNCTION("""COMPUTED_VALUE"""),"ONC")</f>
        <v>ONC</v>
      </c>
      <c r="N143" s="220">
        <f>IFERROR(__xludf.DUMMYFUNCTION("""COMPUTED_VALUE"""),2.5)</f>
        <v>2.5</v>
      </c>
      <c r="O143" s="220">
        <f>IFERROR(__xludf.DUMMYFUNCTION("""COMPUTED_VALUE"""),3.5)</f>
        <v>3.5</v>
      </c>
      <c r="P143" s="220"/>
      <c r="Q143" s="190">
        <f t="shared" si="1"/>
        <v>1</v>
      </c>
      <c r="R143" s="211" t="s">
        <v>224</v>
      </c>
      <c r="S143" s="210" t="str">
        <f t="shared" si="2"/>
        <v>DEV</v>
      </c>
      <c r="T143" s="210" t="str">
        <f t="shared" si="3"/>
        <v>DEV, TA</v>
      </c>
      <c r="U143" s="210" t="str">
        <f t="shared" si="4"/>
        <v>LBU</v>
      </c>
      <c r="X143" s="210"/>
      <c r="Y143" s="210"/>
      <c r="Z143" s="210"/>
      <c r="AA143" s="210"/>
      <c r="AB143" s="210"/>
      <c r="AC143" s="210"/>
      <c r="AD143" s="210"/>
      <c r="AE143" s="210"/>
      <c r="AF143" s="210"/>
      <c r="AG143" s="210"/>
      <c r="AH143" s="210"/>
      <c r="AI143" s="210"/>
      <c r="AJ143" s="210"/>
      <c r="AK143" s="210"/>
      <c r="AL143" s="210"/>
      <c r="AM143" s="210"/>
      <c r="AN143" s="210"/>
      <c r="AO143" s="210"/>
      <c r="AP143" s="210"/>
      <c r="AQ143" s="210"/>
    </row>
    <row r="144">
      <c r="A144" s="223" t="str">
        <f>IFERROR(__xludf.DUMMYFUNCTION("""COMPUTED_VALUE"""),"247234")</f>
        <v>247234</v>
      </c>
      <c r="B144" s="190" t="str">
        <f>IFERROR(__xludf.DUMMYFUNCTION("""COMPUTED_VALUE"""),"TRẦN DƯƠNG HOÀN MỸ")</f>
        <v>TRẦN DƯƠNG HOÀN MỸ</v>
      </c>
      <c r="C144" s="223" t="str">
        <f>IFERROR(__xludf.DUMMYFUNCTION("""COMPUTED_VALUE"""),"EL013")</f>
        <v>EL013</v>
      </c>
      <c r="D144" s="223" t="str">
        <f>IFERROR(__xludf.DUMMYFUNCTION("""COMPUTED_VALUE"""),"Lanh Le")</f>
        <v>Lanh Le</v>
      </c>
      <c r="E144" s="190" t="str">
        <f>IFERROR(__xludf.DUMMYFUNCTION("""COMPUTED_VALUE"""),"Communication 3")</f>
        <v>Communication 3</v>
      </c>
      <c r="F144" s="190"/>
      <c r="G144" s="190"/>
      <c r="H144" s="219">
        <f>IFERROR(__xludf.DUMMYFUNCTION("""COMPUTED_VALUE"""),45729.45833333333)</f>
        <v>45729.45833</v>
      </c>
      <c r="I144" s="219">
        <f>IFERROR(__xludf.DUMMYFUNCTION("""COMPUTED_VALUE"""),45636.45833333333)</f>
        <v>45636.45833</v>
      </c>
      <c r="J144" s="190" t="str">
        <f>IFERROR(__xludf.DUMMYFUNCTION("""COMPUTED_VALUE"""),"")</f>
        <v/>
      </c>
      <c r="K144" s="190" t="str">
        <f>IFERROR(__xludf.DUMMYFUNCTION("""COMPUTED_VALUE"""),"")</f>
        <v/>
      </c>
      <c r="L144" s="190" t="str">
        <f>IFERROR(__xludf.DUMMYFUNCTION("""COMPUTED_VALUE"""),"QC")</f>
        <v>QC</v>
      </c>
      <c r="M144" s="190" t="str">
        <f>IFERROR(__xludf.DUMMYFUNCTION("""COMPUTED_VALUE"""),"LBU")</f>
        <v>LBU</v>
      </c>
      <c r="N144" s="220">
        <f>IFERROR(__xludf.DUMMYFUNCTION("""COMPUTED_VALUE"""),1.0)</f>
        <v>1</v>
      </c>
      <c r="O144" s="220">
        <f>IFERROR(__xludf.DUMMYFUNCTION("""COMPUTED_VALUE"""),5.0)</f>
        <v>5</v>
      </c>
      <c r="P144" s="220"/>
      <c r="Q144" s="190">
        <f t="shared" si="1"/>
        <v>1</v>
      </c>
      <c r="R144" s="211" t="s">
        <v>186</v>
      </c>
      <c r="S144" s="210" t="str">
        <f t="shared" si="2"/>
        <v>DEV</v>
      </c>
      <c r="T144" s="210" t="str">
        <f t="shared" si="3"/>
        <v>DEV, TA</v>
      </c>
      <c r="U144" s="210" t="str">
        <f t="shared" si="4"/>
        <v>MOC</v>
      </c>
      <c r="X144" s="210"/>
      <c r="Y144" s="210"/>
      <c r="Z144" s="210"/>
      <c r="AA144" s="210"/>
      <c r="AB144" s="210"/>
      <c r="AC144" s="210"/>
      <c r="AD144" s="210"/>
      <c r="AE144" s="210"/>
      <c r="AF144" s="210"/>
      <c r="AG144" s="210"/>
      <c r="AH144" s="210"/>
      <c r="AI144" s="210"/>
      <c r="AJ144" s="210"/>
      <c r="AK144" s="210"/>
      <c r="AL144" s="210"/>
      <c r="AM144" s="210"/>
      <c r="AN144" s="210"/>
      <c r="AO144" s="210"/>
      <c r="AP144" s="210"/>
      <c r="AQ144" s="210"/>
    </row>
    <row r="145">
      <c r="A145" s="243" t="str">
        <f>IFERROR(__xludf.DUMMYFUNCTION("""COMPUTED_VALUE"""),"213820")</f>
        <v>213820</v>
      </c>
      <c r="B145" s="242" t="str">
        <f>IFERROR(__xludf.DUMMYFUNCTION("""COMPUTED_VALUE"""),"TRẦN THỊ NI NA")</f>
        <v>TRẦN THỊ NI NA</v>
      </c>
      <c r="C145" s="243" t="str">
        <f>IFERROR(__xludf.DUMMYFUNCTION("""COMPUTED_VALUE"""),"EL014")</f>
        <v>EL014</v>
      </c>
      <c r="D145" s="243" t="str">
        <f>IFERROR(__xludf.DUMMYFUNCTION("""COMPUTED_VALUE"""),"Thao Vu 1")</f>
        <v>Thao Vu 1</v>
      </c>
      <c r="E145" s="242" t="str">
        <f>IFERROR(__xludf.DUMMYFUNCTION("""COMPUTED_VALUE"""),"Communication 1")</f>
        <v>Communication 1</v>
      </c>
      <c r="F145" s="190" t="str">
        <f>IFERROR(__xludf.DUMMYFUNCTION("""COMPUTED_VALUE"""),"Beginner")</f>
        <v>Beginner</v>
      </c>
      <c r="G145" s="190" t="str">
        <f>IFERROR(__xludf.DUMMYFUNCTION("""COMPUTED_VALUE"""),"Beginner")</f>
        <v>Beginner</v>
      </c>
      <c r="H145" s="219">
        <f>IFERROR(__xludf.DUMMYFUNCTION("""COMPUTED_VALUE"""),45635.4375)</f>
        <v>45635.4375</v>
      </c>
      <c r="I145" s="219">
        <f>IFERROR(__xludf.DUMMYFUNCTION("""COMPUTED_VALUE"""),45635.4375)</f>
        <v>45635.4375</v>
      </c>
      <c r="J145" s="190">
        <f>IFERROR(__xludf.DUMMYFUNCTION("""COMPUTED_VALUE"""),1.0)</f>
        <v>1</v>
      </c>
      <c r="K145" s="190">
        <f>IFERROR(__xludf.DUMMYFUNCTION("""COMPUTED_VALUE"""),1.0)</f>
        <v>1</v>
      </c>
      <c r="L145" s="190" t="str">
        <f>IFERROR(__xludf.DUMMYFUNCTION("""COMPUTED_VALUE"""),"QC")</f>
        <v>QC</v>
      </c>
      <c r="M145" s="190" t="str">
        <f>IFERROR(__xludf.DUMMYFUNCTION("""COMPUTED_VALUE"""),"LBU")</f>
        <v>LBU</v>
      </c>
      <c r="N145" s="220">
        <f>IFERROR(__xludf.DUMMYFUNCTION("""COMPUTED_VALUE"""),1.0)</f>
        <v>1</v>
      </c>
      <c r="O145" s="220">
        <f>IFERROR(__xludf.DUMMYFUNCTION("""COMPUTED_VALUE"""),1.0)</f>
        <v>1</v>
      </c>
      <c r="P145" s="220"/>
      <c r="Q145" s="190">
        <f t="shared" si="1"/>
        <v>1</v>
      </c>
      <c r="R145" s="211" t="s">
        <v>382</v>
      </c>
      <c r="S145" s="210" t="str">
        <f t="shared" si="2"/>
        <v>DEV</v>
      </c>
      <c r="T145" s="210" t="str">
        <f t="shared" si="3"/>
        <v>DEV, TA</v>
      </c>
      <c r="U145" s="210" t="str">
        <f t="shared" si="4"/>
        <v>MOC</v>
      </c>
      <c r="X145" s="210"/>
      <c r="Y145" s="210"/>
      <c r="Z145" s="210"/>
      <c r="AA145" s="210"/>
      <c r="AB145" s="210"/>
      <c r="AC145" s="210"/>
      <c r="AD145" s="210"/>
      <c r="AE145" s="210"/>
      <c r="AF145" s="210"/>
      <c r="AG145" s="210"/>
      <c r="AH145" s="210"/>
      <c r="AI145" s="210"/>
      <c r="AJ145" s="210"/>
      <c r="AK145" s="210"/>
      <c r="AL145" s="210"/>
      <c r="AM145" s="210"/>
      <c r="AN145" s="210"/>
      <c r="AO145" s="210"/>
      <c r="AP145" s="210"/>
      <c r="AQ145" s="210"/>
    </row>
    <row r="146">
      <c r="A146" s="223" t="str">
        <f>IFERROR(__xludf.DUMMYFUNCTION("""COMPUTED_VALUE"""),"193443")</f>
        <v>193443</v>
      </c>
      <c r="B146" s="190" t="str">
        <f>IFERROR(__xludf.DUMMYFUNCTION("""COMPUTED_VALUE"""),"LÝ THỊ BÉ XÍU")</f>
        <v>LÝ THỊ BÉ XÍU</v>
      </c>
      <c r="C146" s="223" t="str">
        <f>IFERROR(__xludf.DUMMYFUNCTION("""COMPUTED_VALUE"""),"EL014")</f>
        <v>EL014</v>
      </c>
      <c r="D146" s="223" t="str">
        <f>IFERROR(__xludf.DUMMYFUNCTION("""COMPUTED_VALUE"""),"Thao Vu 1")</f>
        <v>Thao Vu 1</v>
      </c>
      <c r="E146" s="190" t="str">
        <f>IFERROR(__xludf.DUMMYFUNCTION("""COMPUTED_VALUE"""),"Communication 1")</f>
        <v>Communication 1</v>
      </c>
      <c r="F146" s="190" t="str">
        <f>IFERROR(__xludf.DUMMYFUNCTION("""COMPUTED_VALUE"""),"Beginner")</f>
        <v>Beginner</v>
      </c>
      <c r="G146" s="190" t="str">
        <f>IFERROR(__xludf.DUMMYFUNCTION("""COMPUTED_VALUE"""),"Beginner")</f>
        <v>Beginner</v>
      </c>
      <c r="H146" s="219">
        <f>IFERROR(__xludf.DUMMYFUNCTION("""COMPUTED_VALUE"""),45635.4375)</f>
        <v>45635.4375</v>
      </c>
      <c r="I146" s="219">
        <f>IFERROR(__xludf.DUMMYFUNCTION("""COMPUTED_VALUE"""),45635.4375)</f>
        <v>45635.4375</v>
      </c>
      <c r="J146" s="190">
        <f>IFERROR(__xludf.DUMMYFUNCTION("""COMPUTED_VALUE"""),1.0)</f>
        <v>1</v>
      </c>
      <c r="K146" s="190">
        <f>IFERROR(__xludf.DUMMYFUNCTION("""COMPUTED_VALUE"""),1.0)</f>
        <v>1</v>
      </c>
      <c r="L146" s="190" t="str">
        <f>IFERROR(__xludf.DUMMYFUNCTION("""COMPUTED_VALUE"""),"QC")</f>
        <v>QC</v>
      </c>
      <c r="M146" s="190" t="str">
        <f>IFERROR(__xludf.DUMMYFUNCTION("""COMPUTED_VALUE"""),"ONC")</f>
        <v>ONC</v>
      </c>
      <c r="N146" s="220">
        <f>IFERROR(__xludf.DUMMYFUNCTION("""COMPUTED_VALUE"""),1.0)</f>
        <v>1</v>
      </c>
      <c r="O146" s="220">
        <f>IFERROR(__xludf.DUMMYFUNCTION("""COMPUTED_VALUE"""),1.0)</f>
        <v>1</v>
      </c>
      <c r="P146" s="220"/>
      <c r="Q146" s="190">
        <f t="shared" si="1"/>
        <v>1</v>
      </c>
      <c r="R146" s="211" t="s">
        <v>425</v>
      </c>
      <c r="S146" s="210" t="str">
        <f t="shared" si="2"/>
        <v>DEV</v>
      </c>
      <c r="T146" s="210" t="str">
        <f t="shared" si="3"/>
        <v>DEV, TA</v>
      </c>
      <c r="U146" s="210" t="str">
        <f t="shared" si="4"/>
        <v>LBU</v>
      </c>
      <c r="X146" s="210"/>
      <c r="Y146" s="210"/>
      <c r="Z146" s="210"/>
      <c r="AA146" s="210"/>
      <c r="AB146" s="210"/>
      <c r="AC146" s="210"/>
      <c r="AD146" s="210"/>
      <c r="AE146" s="210"/>
      <c r="AF146" s="210"/>
      <c r="AG146" s="210"/>
      <c r="AH146" s="210"/>
      <c r="AI146" s="210"/>
      <c r="AJ146" s="210"/>
      <c r="AK146" s="210"/>
      <c r="AL146" s="210"/>
      <c r="AM146" s="210"/>
      <c r="AN146" s="210"/>
      <c r="AO146" s="210"/>
      <c r="AP146" s="210"/>
      <c r="AQ146" s="210"/>
    </row>
    <row r="147">
      <c r="A147" s="223" t="str">
        <f>IFERROR(__xludf.DUMMYFUNCTION("""COMPUTED_VALUE"""),"193451")</f>
        <v>193451</v>
      </c>
      <c r="B147" s="190" t="str">
        <f>IFERROR(__xludf.DUMMYFUNCTION("""COMPUTED_VALUE"""),"NGUYỄN CÔNG HẬU")</f>
        <v>NGUYỄN CÔNG HẬU</v>
      </c>
      <c r="C147" s="223" t="str">
        <f>IFERROR(__xludf.DUMMYFUNCTION("""COMPUTED_VALUE"""),"EL014")</f>
        <v>EL014</v>
      </c>
      <c r="D147" s="223" t="str">
        <f>IFERROR(__xludf.DUMMYFUNCTION("""COMPUTED_VALUE"""),"Thao Vu 1")</f>
        <v>Thao Vu 1</v>
      </c>
      <c r="E147" s="190" t="str">
        <f>IFERROR(__xludf.DUMMYFUNCTION("""COMPUTED_VALUE"""),"Communication 1")</f>
        <v>Communication 1</v>
      </c>
      <c r="F147" s="190" t="str">
        <f>IFERROR(__xludf.DUMMYFUNCTION("""COMPUTED_VALUE"""),"Beginner")</f>
        <v>Beginner</v>
      </c>
      <c r="G147" s="190" t="str">
        <f>IFERROR(__xludf.DUMMYFUNCTION("""COMPUTED_VALUE"""),"Beginner")</f>
        <v>Beginner</v>
      </c>
      <c r="H147" s="219">
        <f>IFERROR(__xludf.DUMMYFUNCTION("""COMPUTED_VALUE"""),45635.4375)</f>
        <v>45635.4375</v>
      </c>
      <c r="I147" s="219">
        <f>IFERROR(__xludf.DUMMYFUNCTION("""COMPUTED_VALUE"""),45635.4375)</f>
        <v>45635.4375</v>
      </c>
      <c r="J147" s="190">
        <f>IFERROR(__xludf.DUMMYFUNCTION("""COMPUTED_VALUE"""),1.0)</f>
        <v>1</v>
      </c>
      <c r="K147" s="190">
        <f>IFERROR(__xludf.DUMMYFUNCTION("""COMPUTED_VALUE"""),1.0)</f>
        <v>1</v>
      </c>
      <c r="L147" s="190" t="str">
        <f>IFERROR(__xludf.DUMMYFUNCTION("""COMPUTED_VALUE"""),"QC")</f>
        <v>QC</v>
      </c>
      <c r="M147" s="190" t="str">
        <f>IFERROR(__xludf.DUMMYFUNCTION("""COMPUTED_VALUE"""),"MOC")</f>
        <v>MOC</v>
      </c>
      <c r="N147" s="220">
        <f>IFERROR(__xludf.DUMMYFUNCTION("""COMPUTED_VALUE"""),1.0)</f>
        <v>1</v>
      </c>
      <c r="O147" s="220">
        <f>IFERROR(__xludf.DUMMYFUNCTION("""COMPUTED_VALUE"""),1.0)</f>
        <v>1</v>
      </c>
      <c r="P147" s="220"/>
      <c r="Q147" s="190">
        <f t="shared" si="1"/>
        <v>1</v>
      </c>
      <c r="R147" s="211" t="s">
        <v>431</v>
      </c>
      <c r="S147" s="210" t="str">
        <f t="shared" si="2"/>
        <v>DEV</v>
      </c>
      <c r="T147" s="210" t="str">
        <f t="shared" si="3"/>
        <v>DEV, TA</v>
      </c>
      <c r="U147" s="210" t="str">
        <f t="shared" si="4"/>
        <v>MOC</v>
      </c>
      <c r="X147" s="210"/>
      <c r="Y147" s="210"/>
      <c r="Z147" s="210"/>
      <c r="AA147" s="210"/>
      <c r="AB147" s="210"/>
      <c r="AC147" s="210"/>
      <c r="AD147" s="210"/>
      <c r="AE147" s="210"/>
      <c r="AF147" s="210"/>
      <c r="AG147" s="210"/>
      <c r="AH147" s="210"/>
      <c r="AI147" s="210"/>
      <c r="AJ147" s="210"/>
      <c r="AK147" s="210"/>
      <c r="AL147" s="210"/>
      <c r="AM147" s="210"/>
      <c r="AN147" s="210"/>
      <c r="AO147" s="210"/>
      <c r="AP147" s="210"/>
      <c r="AQ147" s="210"/>
    </row>
    <row r="148">
      <c r="A148" s="223" t="str">
        <f>IFERROR(__xludf.DUMMYFUNCTION("""COMPUTED_VALUE"""),"193633")</f>
        <v>193633</v>
      </c>
      <c r="B148" s="190" t="str">
        <f>IFERROR(__xludf.DUMMYFUNCTION("""COMPUTED_VALUE"""),"Nguyen Hoai Nam")</f>
        <v>Nguyen Hoai Nam</v>
      </c>
      <c r="C148" s="223" t="str">
        <f>IFERROR(__xludf.DUMMYFUNCTION("""COMPUTED_VALUE"""),"EL014")</f>
        <v>EL014</v>
      </c>
      <c r="D148" s="223" t="str">
        <f>IFERROR(__xludf.DUMMYFUNCTION("""COMPUTED_VALUE"""),"Thao Vu 1")</f>
        <v>Thao Vu 1</v>
      </c>
      <c r="E148" s="190" t="str">
        <f>IFERROR(__xludf.DUMMYFUNCTION("""COMPUTED_VALUE"""),"Communication 1")</f>
        <v>Communication 1</v>
      </c>
      <c r="F148" s="190" t="str">
        <f>IFERROR(__xludf.DUMMYFUNCTION("""COMPUTED_VALUE"""),"Beginner")</f>
        <v>Beginner</v>
      </c>
      <c r="G148" s="190" t="str">
        <f>IFERROR(__xludf.DUMMYFUNCTION("""COMPUTED_VALUE"""),"Beginner")</f>
        <v>Beginner</v>
      </c>
      <c r="H148" s="219">
        <f>IFERROR(__xludf.DUMMYFUNCTION("""COMPUTED_VALUE"""),45635.4375)</f>
        <v>45635.4375</v>
      </c>
      <c r="I148" s="219">
        <f>IFERROR(__xludf.DUMMYFUNCTION("""COMPUTED_VALUE"""),45635.4375)</f>
        <v>45635.4375</v>
      </c>
      <c r="J148" s="190">
        <f>IFERROR(__xludf.DUMMYFUNCTION("""COMPUTED_VALUE"""),1.0)</f>
        <v>1</v>
      </c>
      <c r="K148" s="190">
        <f>IFERROR(__xludf.DUMMYFUNCTION("""COMPUTED_VALUE"""),1.0)</f>
        <v>1</v>
      </c>
      <c r="L148" s="190" t="str">
        <f>IFERROR(__xludf.DUMMYFUNCTION("""COMPUTED_VALUE"""),"QC")</f>
        <v>QC</v>
      </c>
      <c r="M148" s="190" t="str">
        <f>IFERROR(__xludf.DUMMYFUNCTION("""COMPUTED_VALUE"""),"ONC")</f>
        <v>ONC</v>
      </c>
      <c r="N148" s="220">
        <f>IFERROR(__xludf.DUMMYFUNCTION("""COMPUTED_VALUE"""),1.0)</f>
        <v>1</v>
      </c>
      <c r="O148" s="220">
        <f>IFERROR(__xludf.DUMMYFUNCTION("""COMPUTED_VALUE"""),1.0)</f>
        <v>1</v>
      </c>
      <c r="P148" s="220"/>
      <c r="Q148" s="190">
        <f t="shared" si="1"/>
        <v>1</v>
      </c>
      <c r="R148" s="211" t="s">
        <v>453</v>
      </c>
      <c r="S148" s="210" t="str">
        <f t="shared" si="2"/>
        <v>DEV</v>
      </c>
      <c r="T148" s="210" t="str">
        <f t="shared" si="3"/>
        <v>DEV, TA</v>
      </c>
      <c r="U148" s="210" t="str">
        <f t="shared" si="4"/>
        <v>MOC</v>
      </c>
      <c r="X148" s="210"/>
      <c r="Y148" s="210"/>
      <c r="Z148" s="210"/>
      <c r="AA148" s="210"/>
      <c r="AB148" s="210"/>
      <c r="AC148" s="210"/>
      <c r="AD148" s="210"/>
      <c r="AE148" s="210"/>
      <c r="AF148" s="210"/>
      <c r="AG148" s="210"/>
      <c r="AH148" s="210"/>
      <c r="AI148" s="210"/>
      <c r="AJ148" s="210"/>
      <c r="AK148" s="210"/>
      <c r="AL148" s="210"/>
      <c r="AM148" s="210"/>
      <c r="AN148" s="210"/>
      <c r="AO148" s="210"/>
      <c r="AP148" s="210"/>
      <c r="AQ148" s="210"/>
    </row>
    <row r="149">
      <c r="A149" s="223" t="str">
        <f>IFERROR(__xludf.DUMMYFUNCTION("""COMPUTED_VALUE"""),"213938")</f>
        <v>213938</v>
      </c>
      <c r="B149" s="190" t="str">
        <f>IFERROR(__xludf.DUMMYFUNCTION("""COMPUTED_VALUE"""),"VŨ THANH THẢO")</f>
        <v>VŨ THANH THẢO</v>
      </c>
      <c r="C149" s="223" t="str">
        <f>IFERROR(__xludf.DUMMYFUNCTION("""COMPUTED_VALUE"""),"EL014")</f>
        <v>EL014</v>
      </c>
      <c r="D149" s="223" t="str">
        <f>IFERROR(__xludf.DUMMYFUNCTION("""COMPUTED_VALUE"""),"Thao Vu 1")</f>
        <v>Thao Vu 1</v>
      </c>
      <c r="E149" s="190" t="str">
        <f>IFERROR(__xludf.DUMMYFUNCTION("""COMPUTED_VALUE"""),"Communication 1")</f>
        <v>Communication 1</v>
      </c>
      <c r="F149" s="190" t="str">
        <f>IFERROR(__xludf.DUMMYFUNCTION("""COMPUTED_VALUE"""),"Intermediate")</f>
        <v>Intermediate</v>
      </c>
      <c r="G149" s="190" t="str">
        <f>IFERROR(__xludf.DUMMYFUNCTION("""COMPUTED_VALUE"""),"Pre-Intermediate")</f>
        <v>Pre-Intermediate</v>
      </c>
      <c r="H149" s="219">
        <f>IFERROR(__xludf.DUMMYFUNCTION("""COMPUTED_VALUE"""),45635.4375)</f>
        <v>45635.4375</v>
      </c>
      <c r="I149" s="219">
        <f>IFERROR(__xludf.DUMMYFUNCTION("""COMPUTED_VALUE"""),45635.4375)</f>
        <v>45635.4375</v>
      </c>
      <c r="J149" s="190">
        <f>IFERROR(__xludf.DUMMYFUNCTION("""COMPUTED_VALUE"""),4.5)</f>
        <v>4.5</v>
      </c>
      <c r="K149" s="190">
        <f>IFERROR(__xludf.DUMMYFUNCTION("""COMPUTED_VALUE"""),2.5)</f>
        <v>2.5</v>
      </c>
      <c r="L149" s="190" t="str">
        <f>IFERROR(__xludf.DUMMYFUNCTION("""COMPUTED_VALUE"""),"QC")</f>
        <v>QC</v>
      </c>
      <c r="M149" s="190" t="str">
        <f>IFERROR(__xludf.DUMMYFUNCTION("""COMPUTED_VALUE"""),"ONC")</f>
        <v>ONC</v>
      </c>
      <c r="N149" s="220">
        <f>IFERROR(__xludf.DUMMYFUNCTION("""COMPUTED_VALUE"""),4.5)</f>
        <v>4.5</v>
      </c>
      <c r="O149" s="220">
        <f>IFERROR(__xludf.DUMMYFUNCTION("""COMPUTED_VALUE"""),2.5)</f>
        <v>2.5</v>
      </c>
      <c r="P149" s="220"/>
      <c r="Q149" s="190">
        <f t="shared" si="1"/>
        <v>1</v>
      </c>
      <c r="R149" s="211" t="s">
        <v>492</v>
      </c>
      <c r="S149" s="210" t="str">
        <f t="shared" si="2"/>
        <v>DEV</v>
      </c>
      <c r="T149" s="210" t="str">
        <f t="shared" si="3"/>
        <v>DEV, TA</v>
      </c>
      <c r="U149" s="210" t="str">
        <f t="shared" si="4"/>
        <v>LBU</v>
      </c>
      <c r="X149" s="210"/>
      <c r="Y149" s="210"/>
      <c r="Z149" s="210"/>
      <c r="AA149" s="210"/>
      <c r="AB149" s="210"/>
      <c r="AC149" s="210"/>
      <c r="AD149" s="210"/>
      <c r="AE149" s="210"/>
      <c r="AF149" s="210"/>
      <c r="AG149" s="210"/>
      <c r="AH149" s="210"/>
      <c r="AI149" s="210"/>
      <c r="AJ149" s="210"/>
      <c r="AK149" s="210"/>
      <c r="AL149" s="210"/>
      <c r="AM149" s="210"/>
      <c r="AN149" s="210"/>
      <c r="AO149" s="210"/>
      <c r="AP149" s="210"/>
      <c r="AQ149" s="210"/>
    </row>
    <row r="150">
      <c r="A150" s="218" t="str">
        <f>IFERROR(__xludf.DUMMYFUNCTION("""COMPUTED_VALUE"""),"213856")</f>
        <v>213856</v>
      </c>
      <c r="B150" s="217" t="str">
        <f>IFERROR(__xludf.DUMMYFUNCTION("""COMPUTED_VALUE"""),"Chu Thị Lệ Quỳnh")</f>
        <v>Chu Thị Lệ Quỳnh</v>
      </c>
      <c r="C150" s="218" t="str">
        <f>IFERROR(__xludf.DUMMYFUNCTION("""COMPUTED_VALUE"""),"EL015")</f>
        <v>EL015</v>
      </c>
      <c r="D150" s="218" t="str">
        <f>IFERROR(__xludf.DUMMYFUNCTION("""COMPUTED_VALUE"""),"Thao Vu 2")</f>
        <v>Thao Vu 2</v>
      </c>
      <c r="E150" s="217" t="str">
        <f>IFERROR(__xludf.DUMMYFUNCTION("""COMPUTED_VALUE"""),"Communication 1")</f>
        <v>Communication 1</v>
      </c>
      <c r="F150" s="190" t="str">
        <f>IFERROR(__xludf.DUMMYFUNCTION("""COMPUTED_VALUE"""),"Beginner")</f>
        <v>Beginner</v>
      </c>
      <c r="G150" s="190" t="str">
        <f>IFERROR(__xludf.DUMMYFUNCTION("""COMPUTED_VALUE"""),"Pre-Intermediate")</f>
        <v>Pre-Intermediate</v>
      </c>
      <c r="H150" s="219">
        <f>IFERROR(__xludf.DUMMYFUNCTION("""COMPUTED_VALUE"""),45637.375)</f>
        <v>45637.375</v>
      </c>
      <c r="I150" s="219">
        <f>IFERROR(__xludf.DUMMYFUNCTION("""COMPUTED_VALUE"""),45637.375)</f>
        <v>45637.375</v>
      </c>
      <c r="J150" s="190">
        <f>IFERROR(__xludf.DUMMYFUNCTION("""COMPUTED_VALUE"""),1.0)</f>
        <v>1</v>
      </c>
      <c r="K150" s="190">
        <f>IFERROR(__xludf.DUMMYFUNCTION("""COMPUTED_VALUE"""),2.5)</f>
        <v>2.5</v>
      </c>
      <c r="L150" s="190" t="str">
        <f>IFERROR(__xludf.DUMMYFUNCTION("""COMPUTED_VALUE"""),"QC")</f>
        <v>QC</v>
      </c>
      <c r="M150" s="190" t="str">
        <f>IFERROR(__xludf.DUMMYFUNCTION("""COMPUTED_VALUE"""),"ONC")</f>
        <v>ONC</v>
      </c>
      <c r="N150" s="220">
        <f>IFERROR(__xludf.DUMMYFUNCTION("""COMPUTED_VALUE"""),1.0)</f>
        <v>1</v>
      </c>
      <c r="O150" s="220">
        <f>IFERROR(__xludf.DUMMYFUNCTION("""COMPUTED_VALUE"""),2.5)</f>
        <v>2.5</v>
      </c>
      <c r="P150" s="220"/>
      <c r="Q150" s="190">
        <f t="shared" si="1"/>
        <v>1</v>
      </c>
      <c r="R150" s="211" t="s">
        <v>591</v>
      </c>
      <c r="S150" s="210" t="str">
        <f t="shared" si="2"/>
        <v>DEV</v>
      </c>
      <c r="T150" s="210" t="str">
        <f t="shared" si="3"/>
        <v>DEV, TA</v>
      </c>
      <c r="U150" s="210" t="str">
        <f t="shared" si="4"/>
        <v>LBU</v>
      </c>
      <c r="X150" s="210"/>
      <c r="Y150" s="210"/>
      <c r="Z150" s="210"/>
      <c r="AA150" s="210"/>
      <c r="AB150" s="210"/>
      <c r="AC150" s="210"/>
      <c r="AD150" s="210"/>
      <c r="AE150" s="210"/>
      <c r="AF150" s="210"/>
      <c r="AG150" s="210"/>
      <c r="AH150" s="210"/>
      <c r="AI150" s="210"/>
      <c r="AJ150" s="210"/>
      <c r="AK150" s="210"/>
      <c r="AL150" s="210"/>
      <c r="AM150" s="210"/>
      <c r="AN150" s="210"/>
      <c r="AO150" s="210"/>
      <c r="AP150" s="210"/>
      <c r="AQ150" s="210"/>
    </row>
    <row r="151">
      <c r="A151" s="223" t="str">
        <f>IFERROR(__xludf.DUMMYFUNCTION("""COMPUTED_VALUE"""),"227130")</f>
        <v>227130</v>
      </c>
      <c r="B151" s="190" t="str">
        <f>IFERROR(__xludf.DUMMYFUNCTION("""COMPUTED_VALUE"""),"HỒ MẠNH DŨNG")</f>
        <v>HỒ MẠNH DŨNG</v>
      </c>
      <c r="C151" s="223" t="str">
        <f>IFERROR(__xludf.DUMMYFUNCTION("""COMPUTED_VALUE"""),"EL015")</f>
        <v>EL015</v>
      </c>
      <c r="D151" s="223" t="str">
        <f>IFERROR(__xludf.DUMMYFUNCTION("""COMPUTED_VALUE"""),"Thao Vu 2")</f>
        <v>Thao Vu 2</v>
      </c>
      <c r="E151" s="190" t="str">
        <f>IFERROR(__xludf.DUMMYFUNCTION("""COMPUTED_VALUE"""),"Communication 1")</f>
        <v>Communication 1</v>
      </c>
      <c r="F151" s="190" t="str">
        <f>IFERROR(__xludf.DUMMYFUNCTION("""COMPUTED_VALUE"""),"Beginner")</f>
        <v>Beginner</v>
      </c>
      <c r="G151" s="190" t="str">
        <f>IFERROR(__xludf.DUMMYFUNCTION("""COMPUTED_VALUE"""),"Pre-Intermediate")</f>
        <v>Pre-Intermediate</v>
      </c>
      <c r="H151" s="219">
        <f>IFERROR(__xludf.DUMMYFUNCTION("""COMPUTED_VALUE"""),45637.375)</f>
        <v>45637.375</v>
      </c>
      <c r="I151" s="219">
        <f>IFERROR(__xludf.DUMMYFUNCTION("""COMPUTED_VALUE"""),45637.375)</f>
        <v>45637.375</v>
      </c>
      <c r="J151" s="190">
        <f>IFERROR(__xludf.DUMMYFUNCTION("""COMPUTED_VALUE"""),1.0)</f>
        <v>1</v>
      </c>
      <c r="K151" s="190">
        <f>IFERROR(__xludf.DUMMYFUNCTION("""COMPUTED_VALUE"""),2.5)</f>
        <v>2.5</v>
      </c>
      <c r="L151" s="190" t="str">
        <f>IFERROR(__xludf.DUMMYFUNCTION("""COMPUTED_VALUE"""),"QC")</f>
        <v>QC</v>
      </c>
      <c r="M151" s="190" t="str">
        <f>IFERROR(__xludf.DUMMYFUNCTION("""COMPUTED_VALUE"""),"ONC")</f>
        <v>ONC</v>
      </c>
      <c r="N151" s="220">
        <f>IFERROR(__xludf.DUMMYFUNCTION("""COMPUTED_VALUE"""),1.0)</f>
        <v>1</v>
      </c>
      <c r="O151" s="229">
        <f>IFERROR(__xludf.DUMMYFUNCTION("""COMPUTED_VALUE"""),2.5)</f>
        <v>2.5</v>
      </c>
      <c r="P151" s="220"/>
      <c r="Q151" s="190">
        <f t="shared" si="1"/>
        <v>1</v>
      </c>
      <c r="R151" s="211" t="s">
        <v>593</v>
      </c>
      <c r="S151" s="210" t="str">
        <f t="shared" si="2"/>
        <v>DEV</v>
      </c>
      <c r="T151" s="210" t="str">
        <f t="shared" si="3"/>
        <v>DEV, TA</v>
      </c>
      <c r="U151" s="210" t="str">
        <f t="shared" si="4"/>
        <v>MOC</v>
      </c>
      <c r="X151" s="210"/>
      <c r="Y151" s="210"/>
      <c r="Z151" s="210"/>
      <c r="AA151" s="210"/>
      <c r="AB151" s="210"/>
      <c r="AC151" s="210"/>
      <c r="AD151" s="210"/>
      <c r="AE151" s="210"/>
      <c r="AF151" s="210"/>
      <c r="AG151" s="210"/>
      <c r="AH151" s="210"/>
      <c r="AI151" s="210"/>
      <c r="AJ151" s="210"/>
      <c r="AK151" s="210"/>
      <c r="AL151" s="210"/>
      <c r="AM151" s="210"/>
      <c r="AN151" s="210"/>
      <c r="AO151" s="210"/>
      <c r="AP151" s="210"/>
      <c r="AQ151" s="210"/>
    </row>
    <row r="152">
      <c r="A152" s="223" t="str">
        <f>IFERROR(__xludf.DUMMYFUNCTION("""COMPUTED_VALUE"""),"247185")</f>
        <v>247185</v>
      </c>
      <c r="B152" s="190" t="str">
        <f>IFERROR(__xludf.DUMMYFUNCTION("""COMPUTED_VALUE"""),"LÊ MINH DUY")</f>
        <v>LÊ MINH DUY</v>
      </c>
      <c r="C152" s="223" t="str">
        <f>IFERROR(__xludf.DUMMYFUNCTION("""COMPUTED_VALUE"""),"EL015")</f>
        <v>EL015</v>
      </c>
      <c r="D152" s="223" t="str">
        <f>IFERROR(__xludf.DUMMYFUNCTION("""COMPUTED_VALUE"""),"Thao Vu 2")</f>
        <v>Thao Vu 2</v>
      </c>
      <c r="E152" s="190" t="str">
        <f>IFERROR(__xludf.DUMMYFUNCTION("""COMPUTED_VALUE"""),"Communication 1")</f>
        <v>Communication 1</v>
      </c>
      <c r="F152" s="190" t="str">
        <f>IFERROR(__xludf.DUMMYFUNCTION("""COMPUTED_VALUE"""),"Beginner")</f>
        <v>Beginner</v>
      </c>
      <c r="G152" s="190" t="str">
        <f>IFERROR(__xludf.DUMMYFUNCTION("""COMPUTED_VALUE"""),"Pre-Intermediate")</f>
        <v>Pre-Intermediate</v>
      </c>
      <c r="H152" s="219">
        <f>IFERROR(__xludf.DUMMYFUNCTION("""COMPUTED_VALUE"""),45637.375)</f>
        <v>45637.375</v>
      </c>
      <c r="I152" s="219">
        <f>IFERROR(__xludf.DUMMYFUNCTION("""COMPUTED_VALUE"""),45637.375)</f>
        <v>45637.375</v>
      </c>
      <c r="J152" s="190">
        <f>IFERROR(__xludf.DUMMYFUNCTION("""COMPUTED_VALUE"""),1.0)</f>
        <v>1</v>
      </c>
      <c r="K152" s="190">
        <f>IFERROR(__xludf.DUMMYFUNCTION("""COMPUTED_VALUE"""),2.5)</f>
        <v>2.5</v>
      </c>
      <c r="L152" s="190" t="str">
        <f>IFERROR(__xludf.DUMMYFUNCTION("""COMPUTED_VALUE"""),"QC")</f>
        <v>QC</v>
      </c>
      <c r="M152" s="190" t="str">
        <f>IFERROR(__xludf.DUMMYFUNCTION("""COMPUTED_VALUE"""),"ONC")</f>
        <v>ONC</v>
      </c>
      <c r="N152" s="220">
        <f>IFERROR(__xludf.DUMMYFUNCTION("""COMPUTED_VALUE"""),1.0)</f>
        <v>1</v>
      </c>
      <c r="O152" s="220">
        <f>IFERROR(__xludf.DUMMYFUNCTION("""COMPUTED_VALUE"""),2.5)</f>
        <v>2.5</v>
      </c>
      <c r="P152" s="220"/>
      <c r="Q152" s="190">
        <f t="shared" si="1"/>
        <v>1</v>
      </c>
      <c r="R152" s="211" t="s">
        <v>173</v>
      </c>
      <c r="S152" s="210" t="str">
        <f t="shared" si="2"/>
        <v>DEV</v>
      </c>
      <c r="T152" s="210" t="str">
        <f t="shared" si="3"/>
        <v>DEV, TA</v>
      </c>
      <c r="U152" s="210" t="str">
        <f t="shared" si="4"/>
        <v>MOC</v>
      </c>
      <c r="X152" s="210"/>
      <c r="Y152" s="210"/>
      <c r="Z152" s="210"/>
      <c r="AA152" s="210"/>
      <c r="AB152" s="210"/>
      <c r="AC152" s="210"/>
      <c r="AD152" s="210"/>
      <c r="AE152" s="210"/>
      <c r="AF152" s="210"/>
      <c r="AG152" s="210"/>
      <c r="AH152" s="210"/>
      <c r="AI152" s="210"/>
      <c r="AJ152" s="210"/>
      <c r="AK152" s="210"/>
      <c r="AL152" s="210"/>
      <c r="AM152" s="210"/>
      <c r="AN152" s="210"/>
      <c r="AO152" s="210"/>
      <c r="AP152" s="210"/>
      <c r="AQ152" s="210"/>
    </row>
    <row r="153">
      <c r="A153" s="223" t="str">
        <f>IFERROR(__xludf.DUMMYFUNCTION("""COMPUTED_VALUE"""),"227177")</f>
        <v>227177</v>
      </c>
      <c r="B153" s="190" t="str">
        <f>IFERROR(__xludf.DUMMYFUNCTION("""COMPUTED_VALUE"""),"NGUYỄN NGỌC HOÀNG BẢO TRÂN")</f>
        <v>NGUYỄN NGỌC HOÀNG BẢO TRÂN</v>
      </c>
      <c r="C153" s="223" t="str">
        <f>IFERROR(__xludf.DUMMYFUNCTION("""COMPUTED_VALUE"""),"EL015")</f>
        <v>EL015</v>
      </c>
      <c r="D153" s="223" t="str">
        <f>IFERROR(__xludf.DUMMYFUNCTION("""COMPUTED_VALUE"""),"Thao Vu 2")</f>
        <v>Thao Vu 2</v>
      </c>
      <c r="E153" s="190" t="str">
        <f>IFERROR(__xludf.DUMMYFUNCTION("""COMPUTED_VALUE"""),"Communication 1")</f>
        <v>Communication 1</v>
      </c>
      <c r="F153" s="190" t="str">
        <f>IFERROR(__xludf.DUMMYFUNCTION("""COMPUTED_VALUE"""),"Beginner")</f>
        <v>Beginner</v>
      </c>
      <c r="G153" s="190" t="str">
        <f>IFERROR(__xludf.DUMMYFUNCTION("""COMPUTED_VALUE"""),"Pre-Intermediate")</f>
        <v>Pre-Intermediate</v>
      </c>
      <c r="H153" s="219">
        <f>IFERROR(__xludf.DUMMYFUNCTION("""COMPUTED_VALUE"""),45637.375)</f>
        <v>45637.375</v>
      </c>
      <c r="I153" s="219">
        <f>IFERROR(__xludf.DUMMYFUNCTION("""COMPUTED_VALUE"""),45637.375)</f>
        <v>45637.375</v>
      </c>
      <c r="J153" s="190">
        <f>IFERROR(__xludf.DUMMYFUNCTION("""COMPUTED_VALUE"""),1.0)</f>
        <v>1</v>
      </c>
      <c r="K153" s="190">
        <f>IFERROR(__xludf.DUMMYFUNCTION("""COMPUTED_VALUE"""),2.5)</f>
        <v>2.5</v>
      </c>
      <c r="L153" s="190" t="str">
        <f>IFERROR(__xludf.DUMMYFUNCTION("""COMPUTED_VALUE"""),"QC")</f>
        <v>QC</v>
      </c>
      <c r="M153" s="190" t="str">
        <f>IFERROR(__xludf.DUMMYFUNCTION("""COMPUTED_VALUE"""),"ONC")</f>
        <v>ONC</v>
      </c>
      <c r="N153" s="220">
        <f>IFERROR(__xludf.DUMMYFUNCTION("""COMPUTED_VALUE"""),1.0)</f>
        <v>1</v>
      </c>
      <c r="O153" s="220">
        <f>IFERROR(__xludf.DUMMYFUNCTION("""COMPUTED_VALUE"""),2.5)</f>
        <v>2.5</v>
      </c>
      <c r="P153" s="220"/>
      <c r="Q153" s="190">
        <f t="shared" si="1"/>
        <v>1</v>
      </c>
      <c r="R153" s="211" t="s">
        <v>281</v>
      </c>
      <c r="S153" s="210" t="str">
        <f t="shared" si="2"/>
        <v>DEV</v>
      </c>
      <c r="T153" s="210" t="str">
        <f t="shared" si="3"/>
        <v>DEV, TA</v>
      </c>
      <c r="U153" s="210" t="str">
        <f t="shared" si="4"/>
        <v>MOC</v>
      </c>
      <c r="X153" s="210"/>
      <c r="Y153" s="210"/>
      <c r="Z153" s="210"/>
      <c r="AA153" s="210"/>
      <c r="AB153" s="210"/>
      <c r="AC153" s="210"/>
      <c r="AD153" s="210"/>
      <c r="AE153" s="210"/>
      <c r="AF153" s="210"/>
      <c r="AG153" s="210"/>
      <c r="AH153" s="210"/>
      <c r="AI153" s="210"/>
      <c r="AJ153" s="210"/>
      <c r="AK153" s="210"/>
      <c r="AL153" s="210"/>
      <c r="AM153" s="210"/>
      <c r="AN153" s="210"/>
      <c r="AO153" s="210"/>
      <c r="AP153" s="210"/>
      <c r="AQ153" s="210"/>
    </row>
    <row r="154">
      <c r="A154" s="223" t="str">
        <f>IFERROR(__xludf.DUMMYFUNCTION("""COMPUTED_VALUE"""),"247163")</f>
        <v>247163</v>
      </c>
      <c r="B154" s="190" t="str">
        <f>IFERROR(__xludf.DUMMYFUNCTION("""COMPUTED_VALUE"""),"TRẦN ĐÌNH AN")</f>
        <v>TRẦN ĐÌNH AN</v>
      </c>
      <c r="C154" s="223" t="str">
        <f>IFERROR(__xludf.DUMMYFUNCTION("""COMPUTED_VALUE"""),"EL015")</f>
        <v>EL015</v>
      </c>
      <c r="D154" s="223" t="str">
        <f>IFERROR(__xludf.DUMMYFUNCTION("""COMPUTED_VALUE"""),"Thao Vu 2")</f>
        <v>Thao Vu 2</v>
      </c>
      <c r="E154" s="190" t="str">
        <f>IFERROR(__xludf.DUMMYFUNCTION("""COMPUTED_VALUE"""),"Communication 1")</f>
        <v>Communication 1</v>
      </c>
      <c r="F154" s="190" t="str">
        <f>IFERROR(__xludf.DUMMYFUNCTION("""COMPUTED_VALUE"""),"Intermediate")</f>
        <v>Intermediate</v>
      </c>
      <c r="G154" s="190"/>
      <c r="H154" s="219">
        <f>IFERROR(__xludf.DUMMYFUNCTION("""COMPUTED_VALUE"""),45637.375)</f>
        <v>45637.375</v>
      </c>
      <c r="I154" s="219">
        <f>IFERROR(__xludf.DUMMYFUNCTION("""COMPUTED_VALUE"""),45637.375)</f>
        <v>45637.375</v>
      </c>
      <c r="J154" s="190">
        <f>IFERROR(__xludf.DUMMYFUNCTION("""COMPUTED_VALUE"""),4.5)</f>
        <v>4.5</v>
      </c>
      <c r="K154" s="190" t="str">
        <f>IFERROR(__xludf.DUMMYFUNCTION("""COMPUTED_VALUE"""),"")</f>
        <v/>
      </c>
      <c r="L154" s="190" t="str">
        <f>IFERROR(__xludf.DUMMYFUNCTION("""COMPUTED_VALUE"""),"QC")</f>
        <v>QC</v>
      </c>
      <c r="M154" s="190" t="str">
        <f>IFERROR(__xludf.DUMMYFUNCTION("""COMPUTED_VALUE"""),"LBU")</f>
        <v>LBU</v>
      </c>
      <c r="N154" s="220">
        <f>IFERROR(__xludf.DUMMYFUNCTION("""COMPUTED_VALUE"""),4.5)</f>
        <v>4.5</v>
      </c>
      <c r="O154" s="220">
        <f>IFERROR(__xludf.DUMMYFUNCTION("""COMPUTED_VALUE"""),0.0)</f>
        <v>0</v>
      </c>
      <c r="P154" s="229"/>
      <c r="Q154" s="190">
        <f t="shared" si="1"/>
        <v>1</v>
      </c>
      <c r="R154" s="211" t="s">
        <v>336</v>
      </c>
      <c r="S154" s="210" t="str">
        <f t="shared" si="2"/>
        <v>QC</v>
      </c>
      <c r="T154" s="210" t="str">
        <f t="shared" si="3"/>
        <v>QC</v>
      </c>
      <c r="U154" s="210" t="str">
        <f t="shared" si="4"/>
        <v>MOC</v>
      </c>
      <c r="X154" s="210"/>
      <c r="Y154" s="210"/>
      <c r="Z154" s="210"/>
      <c r="AA154" s="210"/>
      <c r="AB154" s="210"/>
      <c r="AC154" s="210"/>
      <c r="AD154" s="210"/>
      <c r="AE154" s="210"/>
      <c r="AF154" s="210"/>
      <c r="AG154" s="210"/>
      <c r="AH154" s="210"/>
      <c r="AI154" s="210"/>
      <c r="AJ154" s="210"/>
      <c r="AK154" s="210"/>
      <c r="AL154" s="210"/>
      <c r="AM154" s="210"/>
      <c r="AN154" s="210"/>
      <c r="AO154" s="210"/>
      <c r="AP154" s="210"/>
      <c r="AQ154" s="210"/>
    </row>
    <row r="155">
      <c r="A155" s="223" t="str">
        <f>IFERROR(__xludf.DUMMYFUNCTION("""COMPUTED_VALUE"""),"247384")</f>
        <v>247384</v>
      </c>
      <c r="B155" s="190" t="str">
        <f>IFERROR(__xludf.DUMMYFUNCTION("""COMPUTED_VALUE"""),"VÕ NGUYỄN DUY ANH")</f>
        <v>VÕ NGUYỄN DUY ANH</v>
      </c>
      <c r="C155" s="223" t="str">
        <f>IFERROR(__xludf.DUMMYFUNCTION("""COMPUTED_VALUE"""),"EL015")</f>
        <v>EL015</v>
      </c>
      <c r="D155" s="223" t="str">
        <f>IFERROR(__xludf.DUMMYFUNCTION("""COMPUTED_VALUE"""),"Thao Vu 2")</f>
        <v>Thao Vu 2</v>
      </c>
      <c r="E155" s="190" t="str">
        <f>IFERROR(__xludf.DUMMYFUNCTION("""COMPUTED_VALUE"""),"Communication 1")</f>
        <v>Communication 1</v>
      </c>
      <c r="F155" s="190" t="str">
        <f>IFERROR(__xludf.DUMMYFUNCTION("""COMPUTED_VALUE"""),"Pre-Intermediate")</f>
        <v>Pre-Intermediate</v>
      </c>
      <c r="G155" s="190" t="str">
        <f>IFERROR(__xludf.DUMMYFUNCTION("""COMPUTED_VALUE"""),"Intermediate")</f>
        <v>Intermediate</v>
      </c>
      <c r="H155" s="219">
        <f>IFERROR(__xludf.DUMMYFUNCTION("""COMPUTED_VALUE"""),45637.375)</f>
        <v>45637.375</v>
      </c>
      <c r="I155" s="219">
        <f>IFERROR(__xludf.DUMMYFUNCTION("""COMPUTED_VALUE"""),45637.375)</f>
        <v>45637.375</v>
      </c>
      <c r="J155" s="190">
        <f>IFERROR(__xludf.DUMMYFUNCTION("""COMPUTED_VALUE"""),2.5)</f>
        <v>2.5</v>
      </c>
      <c r="K155" s="190">
        <f>IFERROR(__xludf.DUMMYFUNCTION("""COMPUTED_VALUE"""),4.5)</f>
        <v>4.5</v>
      </c>
      <c r="L155" s="190" t="str">
        <f>IFERROR(__xludf.DUMMYFUNCTION("""COMPUTED_VALUE"""),"QC")</f>
        <v>QC</v>
      </c>
      <c r="M155" s="190" t="str">
        <f>IFERROR(__xludf.DUMMYFUNCTION("""COMPUTED_VALUE"""),"LBU")</f>
        <v>LBU</v>
      </c>
      <c r="N155" s="220">
        <f>IFERROR(__xludf.DUMMYFUNCTION("""COMPUTED_VALUE"""),2.5)</f>
        <v>2.5</v>
      </c>
      <c r="O155" s="220">
        <f>IFERROR(__xludf.DUMMYFUNCTION("""COMPUTED_VALUE"""),4.5)</f>
        <v>4.5</v>
      </c>
      <c r="P155" s="220"/>
      <c r="Q155" s="190">
        <f t="shared" si="1"/>
        <v>1</v>
      </c>
      <c r="R155" s="211" t="s">
        <v>417</v>
      </c>
      <c r="S155" s="210" t="str">
        <f t="shared" si="2"/>
        <v>QC</v>
      </c>
      <c r="T155" s="210" t="str">
        <f t="shared" si="3"/>
        <v>QC</v>
      </c>
      <c r="U155" s="210" t="str">
        <f t="shared" si="4"/>
        <v>MOC</v>
      </c>
      <c r="X155" s="210"/>
      <c r="Y155" s="210"/>
      <c r="Z155" s="210"/>
      <c r="AA155" s="210"/>
      <c r="AB155" s="210"/>
      <c r="AC155" s="210"/>
      <c r="AD155" s="210"/>
      <c r="AE155" s="210"/>
      <c r="AF155" s="210"/>
      <c r="AG155" s="210"/>
      <c r="AH155" s="210"/>
      <c r="AI155" s="210"/>
      <c r="AJ155" s="210"/>
      <c r="AK155" s="210"/>
      <c r="AL155" s="210"/>
      <c r="AM155" s="210"/>
      <c r="AN155" s="210"/>
      <c r="AO155" s="210"/>
      <c r="AP155" s="210"/>
      <c r="AQ155" s="210"/>
    </row>
    <row r="156">
      <c r="A156" s="218" t="str">
        <f>IFERROR(__xludf.DUMMYFUNCTION("""COMPUTED_VALUE"""),"227177")</f>
        <v>227177</v>
      </c>
      <c r="B156" s="217" t="str">
        <f>IFERROR(__xludf.DUMMYFUNCTION("""COMPUTED_VALUE"""),"NGUYỄN NGỌC HOÀNG BẢO TRÂN")</f>
        <v>NGUYỄN NGỌC HOÀNG BẢO TRÂN</v>
      </c>
      <c r="C156" s="218" t="str">
        <f>IFERROR(__xludf.DUMMYFUNCTION("""COMPUTED_VALUE"""),"EL015")</f>
        <v>EL015</v>
      </c>
      <c r="D156" s="218" t="str">
        <f>IFERROR(__xludf.DUMMYFUNCTION("""COMPUTED_VALUE"""),"Thao Vu 2")</f>
        <v>Thao Vu 2</v>
      </c>
      <c r="E156" s="217" t="str">
        <f>IFERROR(__xludf.DUMMYFUNCTION("""COMPUTED_VALUE"""),"Communication 2")</f>
        <v>Communication 2</v>
      </c>
      <c r="F156" s="190" t="str">
        <f>IFERROR(__xludf.DUMMYFUNCTION("""COMPUTED_VALUE"""),"Pre-Intermediate")</f>
        <v>Pre-Intermediate</v>
      </c>
      <c r="G156" s="190" t="str">
        <f>IFERROR(__xludf.DUMMYFUNCTION("""COMPUTED_VALUE"""),"Pre-Intermediate")</f>
        <v>Pre-Intermediate</v>
      </c>
      <c r="H156" s="219">
        <f>IFERROR(__xludf.DUMMYFUNCTION("""COMPUTED_VALUE"""),45839.375)</f>
        <v>45839.375</v>
      </c>
      <c r="I156" s="219">
        <f>IFERROR(__xludf.DUMMYFUNCTION("""COMPUTED_VALUE"""),45637.375)</f>
        <v>45637.375</v>
      </c>
      <c r="J156" s="190">
        <f>IFERROR(__xludf.DUMMYFUNCTION("""COMPUTED_VALUE"""),2.5)</f>
        <v>2.5</v>
      </c>
      <c r="K156" s="190">
        <f>IFERROR(__xludf.DUMMYFUNCTION("""COMPUTED_VALUE"""),2.5)</f>
        <v>2.5</v>
      </c>
      <c r="L156" s="190" t="str">
        <f>IFERROR(__xludf.DUMMYFUNCTION("""COMPUTED_VALUE"""),"QC")</f>
        <v>QC</v>
      </c>
      <c r="M156" s="190" t="str">
        <f>IFERROR(__xludf.DUMMYFUNCTION("""COMPUTED_VALUE"""),"ONC")</f>
        <v>ONC</v>
      </c>
      <c r="N156" s="220">
        <f>IFERROR(__xludf.DUMMYFUNCTION("""COMPUTED_VALUE"""),1.0)</f>
        <v>1</v>
      </c>
      <c r="O156" s="220">
        <f>IFERROR(__xludf.DUMMYFUNCTION("""COMPUTED_VALUE"""),2.5)</f>
        <v>2.5</v>
      </c>
      <c r="P156" s="220"/>
      <c r="Q156" s="190">
        <f t="shared" si="1"/>
        <v>1</v>
      </c>
      <c r="R156" s="211" t="s">
        <v>587</v>
      </c>
      <c r="S156" s="210" t="str">
        <f t="shared" si="2"/>
        <v>DEV</v>
      </c>
      <c r="T156" s="210" t="str">
        <f t="shared" si="3"/>
        <v>DEV, TA</v>
      </c>
      <c r="U156" s="210" t="str">
        <f t="shared" si="4"/>
        <v>LBU</v>
      </c>
      <c r="X156" s="210"/>
      <c r="Y156" s="210"/>
      <c r="Z156" s="210"/>
      <c r="AA156" s="210"/>
      <c r="AB156" s="210"/>
      <c r="AC156" s="210"/>
      <c r="AD156" s="210"/>
      <c r="AE156" s="210"/>
      <c r="AF156" s="210"/>
      <c r="AG156" s="210"/>
      <c r="AH156" s="210"/>
      <c r="AI156" s="210"/>
      <c r="AJ156" s="210"/>
      <c r="AK156" s="210"/>
      <c r="AL156" s="210"/>
      <c r="AM156" s="210"/>
      <c r="AN156" s="210"/>
      <c r="AO156" s="210"/>
      <c r="AP156" s="210"/>
      <c r="AQ156" s="210"/>
    </row>
    <row r="157">
      <c r="A157" s="223" t="str">
        <f>IFERROR(__xludf.DUMMYFUNCTION("""COMPUTED_VALUE"""),"227130")</f>
        <v>227130</v>
      </c>
      <c r="B157" s="190" t="str">
        <f>IFERROR(__xludf.DUMMYFUNCTION("""COMPUTED_VALUE"""),"HỒ MẠNH DŨNG")</f>
        <v>HỒ MẠNH DŨNG</v>
      </c>
      <c r="C157" s="223" t="str">
        <f>IFERROR(__xludf.DUMMYFUNCTION("""COMPUTED_VALUE"""),"EL015")</f>
        <v>EL015</v>
      </c>
      <c r="D157" s="223" t="str">
        <f>IFERROR(__xludf.DUMMYFUNCTION("""COMPUTED_VALUE"""),"Thao Vu 2")</f>
        <v>Thao Vu 2</v>
      </c>
      <c r="E157" s="190" t="str">
        <f>IFERROR(__xludf.DUMMYFUNCTION("""COMPUTED_VALUE"""),"Communication 2")</f>
        <v>Communication 2</v>
      </c>
      <c r="F157" s="190" t="str">
        <f>IFERROR(__xludf.DUMMYFUNCTION("""COMPUTED_VALUE"""),"Pre-Intermediate")</f>
        <v>Pre-Intermediate</v>
      </c>
      <c r="G157" s="190" t="str">
        <f>IFERROR(__xludf.DUMMYFUNCTION("""COMPUTED_VALUE"""),"Pre-Intermediate")</f>
        <v>Pre-Intermediate</v>
      </c>
      <c r="H157" s="219">
        <f>IFERROR(__xludf.DUMMYFUNCTION("""COMPUTED_VALUE"""),45839.375)</f>
        <v>45839.375</v>
      </c>
      <c r="I157" s="219">
        <f>IFERROR(__xludf.DUMMYFUNCTION("""COMPUTED_VALUE"""),45637.375)</f>
        <v>45637.375</v>
      </c>
      <c r="J157" s="190">
        <f>IFERROR(__xludf.DUMMYFUNCTION("""COMPUTED_VALUE"""),2.5)</f>
        <v>2.5</v>
      </c>
      <c r="K157" s="190">
        <f>IFERROR(__xludf.DUMMYFUNCTION("""COMPUTED_VALUE"""),2.5)</f>
        <v>2.5</v>
      </c>
      <c r="L157" s="190" t="str">
        <f>IFERROR(__xludf.DUMMYFUNCTION("""COMPUTED_VALUE"""),"QC")</f>
        <v>QC</v>
      </c>
      <c r="M157" s="190" t="str">
        <f>IFERROR(__xludf.DUMMYFUNCTION("""COMPUTED_VALUE"""),"ONC")</f>
        <v>ONC</v>
      </c>
      <c r="N157" s="220">
        <f>IFERROR(__xludf.DUMMYFUNCTION("""COMPUTED_VALUE"""),1.0)</f>
        <v>1</v>
      </c>
      <c r="O157" s="229">
        <f>IFERROR(__xludf.DUMMYFUNCTION("""COMPUTED_VALUE"""),2.5)</f>
        <v>2.5</v>
      </c>
      <c r="P157" s="220"/>
      <c r="Q157" s="190">
        <f t="shared" si="1"/>
        <v>1</v>
      </c>
      <c r="R157" s="211" t="s">
        <v>651</v>
      </c>
      <c r="S157" s="210" t="str">
        <f t="shared" si="2"/>
        <v>QC</v>
      </c>
      <c r="T157" s="210" t="str">
        <f t="shared" si="3"/>
        <v>QC</v>
      </c>
      <c r="U157" s="210" t="str">
        <f t="shared" si="4"/>
        <v>LBU</v>
      </c>
      <c r="X157" s="210"/>
      <c r="Y157" s="210"/>
      <c r="Z157" s="210"/>
      <c r="AA157" s="210"/>
      <c r="AB157" s="210"/>
      <c r="AC157" s="210"/>
      <c r="AD157" s="210"/>
      <c r="AE157" s="210"/>
      <c r="AF157" s="210"/>
      <c r="AG157" s="210"/>
      <c r="AH157" s="210"/>
      <c r="AI157" s="210"/>
      <c r="AJ157" s="210"/>
      <c r="AK157" s="210"/>
      <c r="AL157" s="210"/>
      <c r="AM157" s="210"/>
      <c r="AN157" s="210"/>
      <c r="AO157" s="210"/>
      <c r="AP157" s="210"/>
      <c r="AQ157" s="210"/>
    </row>
    <row r="158">
      <c r="A158" s="223" t="str">
        <f>IFERROR(__xludf.DUMMYFUNCTION("""COMPUTED_VALUE"""),"247185")</f>
        <v>247185</v>
      </c>
      <c r="B158" s="190" t="str">
        <f>IFERROR(__xludf.DUMMYFUNCTION("""COMPUTED_VALUE"""),"LÊ MINH DUY")</f>
        <v>LÊ MINH DUY</v>
      </c>
      <c r="C158" s="223" t="str">
        <f>IFERROR(__xludf.DUMMYFUNCTION("""COMPUTED_VALUE"""),"EL015")</f>
        <v>EL015</v>
      </c>
      <c r="D158" s="223" t="str">
        <f>IFERROR(__xludf.DUMMYFUNCTION("""COMPUTED_VALUE"""),"Thao Vu 2")</f>
        <v>Thao Vu 2</v>
      </c>
      <c r="E158" s="190" t="str">
        <f>IFERROR(__xludf.DUMMYFUNCTION("""COMPUTED_VALUE"""),"Communication 2")</f>
        <v>Communication 2</v>
      </c>
      <c r="F158" s="190" t="str">
        <f>IFERROR(__xludf.DUMMYFUNCTION("""COMPUTED_VALUE"""),"Pre-Intermediate")</f>
        <v>Pre-Intermediate</v>
      </c>
      <c r="G158" s="190" t="str">
        <f>IFERROR(__xludf.DUMMYFUNCTION("""COMPUTED_VALUE"""),"Pre-Intermediate")</f>
        <v>Pre-Intermediate</v>
      </c>
      <c r="H158" s="219">
        <f>IFERROR(__xludf.DUMMYFUNCTION("""COMPUTED_VALUE"""),45839.375)</f>
        <v>45839.375</v>
      </c>
      <c r="I158" s="219">
        <f>IFERROR(__xludf.DUMMYFUNCTION("""COMPUTED_VALUE"""),45637.375)</f>
        <v>45637.375</v>
      </c>
      <c r="J158" s="190">
        <f>IFERROR(__xludf.DUMMYFUNCTION("""COMPUTED_VALUE"""),2.5)</f>
        <v>2.5</v>
      </c>
      <c r="K158" s="190">
        <f>IFERROR(__xludf.DUMMYFUNCTION("""COMPUTED_VALUE"""),2.5)</f>
        <v>2.5</v>
      </c>
      <c r="L158" s="190" t="str">
        <f>IFERROR(__xludf.DUMMYFUNCTION("""COMPUTED_VALUE"""),"QC")</f>
        <v>QC</v>
      </c>
      <c r="M158" s="190" t="str">
        <f>IFERROR(__xludf.DUMMYFUNCTION("""COMPUTED_VALUE"""),"ONC")</f>
        <v>ONC</v>
      </c>
      <c r="N158" s="220">
        <f>IFERROR(__xludf.DUMMYFUNCTION("""COMPUTED_VALUE"""),1.0)</f>
        <v>1</v>
      </c>
      <c r="O158" s="220">
        <f>IFERROR(__xludf.DUMMYFUNCTION("""COMPUTED_VALUE"""),2.5)</f>
        <v>2.5</v>
      </c>
      <c r="P158" s="220"/>
      <c r="Q158" s="190">
        <f t="shared" si="1"/>
        <v>1</v>
      </c>
      <c r="R158" s="211" t="s">
        <v>210</v>
      </c>
      <c r="S158" s="210" t="str">
        <f t="shared" si="2"/>
        <v>DEV</v>
      </c>
      <c r="T158" s="210" t="str">
        <f t="shared" si="3"/>
        <v>DEV, TA</v>
      </c>
      <c r="U158" s="210" t="str">
        <f t="shared" si="4"/>
        <v>LBU</v>
      </c>
      <c r="X158" s="210"/>
      <c r="Y158" s="210"/>
      <c r="Z158" s="210"/>
      <c r="AA158" s="210"/>
      <c r="AB158" s="210"/>
      <c r="AC158" s="210"/>
      <c r="AD158" s="210"/>
      <c r="AE158" s="210"/>
      <c r="AF158" s="210"/>
      <c r="AG158" s="210"/>
      <c r="AH158" s="210"/>
      <c r="AI158" s="210"/>
      <c r="AJ158" s="210"/>
      <c r="AK158" s="210"/>
      <c r="AL158" s="210"/>
      <c r="AM158" s="210"/>
      <c r="AN158" s="210"/>
      <c r="AO158" s="210"/>
      <c r="AP158" s="210"/>
      <c r="AQ158" s="210"/>
    </row>
    <row r="159">
      <c r="A159" s="223" t="str">
        <f>IFERROR(__xludf.DUMMYFUNCTION("""COMPUTED_VALUE"""),"247384")</f>
        <v>247384</v>
      </c>
      <c r="B159" s="190" t="str">
        <f>IFERROR(__xludf.DUMMYFUNCTION("""COMPUTED_VALUE"""),"VÕ NGUYỄN DUY ANH")</f>
        <v>VÕ NGUYỄN DUY ANH</v>
      </c>
      <c r="C159" s="223" t="str">
        <f>IFERROR(__xludf.DUMMYFUNCTION("""COMPUTED_VALUE"""),"EL015")</f>
        <v>EL015</v>
      </c>
      <c r="D159" s="223" t="str">
        <f>IFERROR(__xludf.DUMMYFUNCTION("""COMPUTED_VALUE"""),"Thao Vu 2")</f>
        <v>Thao Vu 2</v>
      </c>
      <c r="E159" s="190" t="str">
        <f>IFERROR(__xludf.DUMMYFUNCTION("""COMPUTED_VALUE"""),"Communication 2")</f>
        <v>Communication 2</v>
      </c>
      <c r="F159" s="190" t="str">
        <f>IFERROR(__xludf.DUMMYFUNCTION("""COMPUTED_VALUE"""),"Intermediate")</f>
        <v>Intermediate</v>
      </c>
      <c r="G159" s="190" t="str">
        <f>IFERROR(__xludf.DUMMYFUNCTION("""COMPUTED_VALUE"""),"Intermediate")</f>
        <v>Intermediate</v>
      </c>
      <c r="H159" s="219">
        <f>IFERROR(__xludf.DUMMYFUNCTION("""COMPUTED_VALUE"""),45839.375)</f>
        <v>45839.375</v>
      </c>
      <c r="I159" s="219">
        <f>IFERROR(__xludf.DUMMYFUNCTION("""COMPUTED_VALUE"""),45637.375)</f>
        <v>45637.375</v>
      </c>
      <c r="J159" s="190">
        <f>IFERROR(__xludf.DUMMYFUNCTION("""COMPUTED_VALUE"""),4.5)</f>
        <v>4.5</v>
      </c>
      <c r="K159" s="190">
        <f>IFERROR(__xludf.DUMMYFUNCTION("""COMPUTED_VALUE"""),4.5)</f>
        <v>4.5</v>
      </c>
      <c r="L159" s="190" t="str">
        <f>IFERROR(__xludf.DUMMYFUNCTION("""COMPUTED_VALUE"""),"QC")</f>
        <v>QC</v>
      </c>
      <c r="M159" s="190" t="str">
        <f>IFERROR(__xludf.DUMMYFUNCTION("""COMPUTED_VALUE"""),"LBU")</f>
        <v>LBU</v>
      </c>
      <c r="N159" s="220">
        <f>IFERROR(__xludf.DUMMYFUNCTION("""COMPUTED_VALUE"""),2.5)</f>
        <v>2.5</v>
      </c>
      <c r="O159" s="220">
        <f>IFERROR(__xludf.DUMMYFUNCTION("""COMPUTED_VALUE"""),4.5)</f>
        <v>4.5</v>
      </c>
      <c r="P159" s="220"/>
      <c r="Q159" s="190">
        <f t="shared" si="1"/>
        <v>1</v>
      </c>
      <c r="R159" s="211" t="s">
        <v>440</v>
      </c>
      <c r="S159" s="210" t="str">
        <f t="shared" si="2"/>
        <v>DEV</v>
      </c>
      <c r="T159" s="210" t="str">
        <f t="shared" si="3"/>
        <v>DEV, TA</v>
      </c>
      <c r="U159" s="210" t="str">
        <f t="shared" si="4"/>
        <v>LBU</v>
      </c>
      <c r="X159" s="210"/>
      <c r="Y159" s="210"/>
      <c r="Z159" s="210"/>
      <c r="AA159" s="210"/>
      <c r="AB159" s="210"/>
      <c r="AC159" s="210"/>
      <c r="AD159" s="210"/>
      <c r="AE159" s="210"/>
      <c r="AF159" s="210"/>
      <c r="AG159" s="210"/>
      <c r="AH159" s="210"/>
      <c r="AI159" s="210"/>
      <c r="AJ159" s="210"/>
      <c r="AK159" s="210"/>
      <c r="AL159" s="210"/>
      <c r="AM159" s="210"/>
      <c r="AN159" s="210"/>
      <c r="AO159" s="210"/>
      <c r="AP159" s="210"/>
      <c r="AQ159" s="210"/>
    </row>
    <row r="160">
      <c r="A160" s="218" t="str">
        <f>IFERROR(__xludf.DUMMYFUNCTION("""COMPUTED_VALUE"""),"237237")</f>
        <v>237237</v>
      </c>
      <c r="B160" s="217" t="str">
        <f>IFERROR(__xludf.DUMMYFUNCTION("""COMPUTED_VALUE"""),"NGUYỄN ĐẶNG NGỌC MINH")</f>
        <v>NGUYỄN ĐẶNG NGỌC MINH</v>
      </c>
      <c r="C160" s="218" t="str">
        <f>IFERROR(__xludf.DUMMYFUNCTION("""COMPUTED_VALUE"""),"EL016")</f>
        <v>EL016</v>
      </c>
      <c r="D160" s="218" t="str">
        <f>IFERROR(__xludf.DUMMYFUNCTION("""COMPUTED_VALUE"""),"Minh Nguyen")</f>
        <v>Minh Nguyen</v>
      </c>
      <c r="E160" s="217" t="str">
        <f>IFERROR(__xludf.DUMMYFUNCTION("""COMPUTED_VALUE"""),"Communication 1")</f>
        <v>Communication 1</v>
      </c>
      <c r="F160" s="190"/>
      <c r="G160" s="190"/>
      <c r="H160" s="219">
        <f>IFERROR(__xludf.DUMMYFUNCTION("""COMPUTED_VALUE"""),45693.45833333333)</f>
        <v>45693.45833</v>
      </c>
      <c r="I160" s="219">
        <f>IFERROR(__xludf.DUMMYFUNCTION("""COMPUTED_VALUE"""),45693.45833333333)</f>
        <v>45693.45833</v>
      </c>
      <c r="J160" s="190" t="str">
        <f>IFERROR(__xludf.DUMMYFUNCTION("""COMPUTED_VALUE"""),"")</f>
        <v/>
      </c>
      <c r="K160" s="190" t="str">
        <f>IFERROR(__xludf.DUMMYFUNCTION("""COMPUTED_VALUE"""),"")</f>
        <v/>
      </c>
      <c r="L160" s="190" t="str">
        <f>IFERROR(__xludf.DUMMYFUNCTION("""COMPUTED_VALUE"""),"BA")</f>
        <v>BA</v>
      </c>
      <c r="M160" s="190" t="str">
        <f>IFERROR(__xludf.DUMMYFUNCTION("""COMPUTED_VALUE"""),"TBU")</f>
        <v>TBU</v>
      </c>
      <c r="N160" s="220" t="str">
        <f>IFERROR(__xludf.DUMMYFUNCTION("""COMPUTED_VALUE"""),"")</f>
        <v/>
      </c>
      <c r="O160" s="220">
        <f>IFERROR(__xludf.DUMMYFUNCTION("""COMPUTED_VALUE"""),0.0)</f>
        <v>0</v>
      </c>
      <c r="P160" s="220"/>
      <c r="Q160" s="190">
        <f t="shared" si="1"/>
        <v>1</v>
      </c>
      <c r="R160" s="211" t="s">
        <v>520</v>
      </c>
      <c r="S160" s="210" t="str">
        <f t="shared" si="2"/>
        <v>DEV</v>
      </c>
      <c r="T160" s="210" t="str">
        <f t="shared" si="3"/>
        <v>DEV, TA</v>
      </c>
      <c r="U160" s="210" t="str">
        <f t="shared" si="4"/>
        <v>LBU</v>
      </c>
      <c r="X160" s="210"/>
      <c r="Y160" s="210"/>
      <c r="Z160" s="210"/>
      <c r="AA160" s="210"/>
      <c r="AB160" s="210"/>
      <c r="AC160" s="210"/>
      <c r="AD160" s="210"/>
      <c r="AE160" s="210"/>
      <c r="AF160" s="210"/>
      <c r="AG160" s="210"/>
      <c r="AH160" s="210"/>
      <c r="AI160" s="210"/>
      <c r="AJ160" s="210"/>
      <c r="AK160" s="210"/>
      <c r="AL160" s="210"/>
      <c r="AM160" s="210"/>
      <c r="AN160" s="210"/>
      <c r="AO160" s="210"/>
      <c r="AP160" s="210"/>
      <c r="AQ160" s="210"/>
    </row>
    <row r="161">
      <c r="A161" s="223" t="str">
        <f>IFERROR(__xludf.DUMMYFUNCTION("""COMPUTED_VALUE"""),"213895")</f>
        <v>213895</v>
      </c>
      <c r="B161" s="190" t="str">
        <f>IFERROR(__xludf.DUMMYFUNCTION("""COMPUTED_VALUE"""),"NGUYỄN VĂN THÁI")</f>
        <v>NGUYỄN VĂN THÁI</v>
      </c>
      <c r="C161" s="223" t="str">
        <f>IFERROR(__xludf.DUMMYFUNCTION("""COMPUTED_VALUE"""),"EL016")</f>
        <v>EL016</v>
      </c>
      <c r="D161" s="223" t="str">
        <f>IFERROR(__xludf.DUMMYFUNCTION("""COMPUTED_VALUE"""),"Minh Nguyen")</f>
        <v>Minh Nguyen</v>
      </c>
      <c r="E161" s="190" t="str">
        <f>IFERROR(__xludf.DUMMYFUNCTION("""COMPUTED_VALUE"""),"Communication 1")</f>
        <v>Communication 1</v>
      </c>
      <c r="F161" s="190"/>
      <c r="G161" s="190"/>
      <c r="H161" s="219">
        <f>IFERROR(__xludf.DUMMYFUNCTION("""COMPUTED_VALUE"""),45693.45833333333)</f>
        <v>45693.45833</v>
      </c>
      <c r="I161" s="219">
        <f>IFERROR(__xludf.DUMMYFUNCTION("""COMPUTED_VALUE"""),45693.45833333333)</f>
        <v>45693.45833</v>
      </c>
      <c r="J161" s="190" t="str">
        <f>IFERROR(__xludf.DUMMYFUNCTION("""COMPUTED_VALUE"""),"")</f>
        <v/>
      </c>
      <c r="K161" s="190" t="str">
        <f>IFERROR(__xludf.DUMMYFUNCTION("""COMPUTED_VALUE"""),"")</f>
        <v/>
      </c>
      <c r="L161" s="190" t="str">
        <f>IFERROR(__xludf.DUMMYFUNCTION("""COMPUTED_VALUE"""),"DEV")</f>
        <v>DEV</v>
      </c>
      <c r="M161" s="190" t="str">
        <f>IFERROR(__xludf.DUMMYFUNCTION("""COMPUTED_VALUE"""),"TBU")</f>
        <v>TBU</v>
      </c>
      <c r="N161" s="220" t="str">
        <f>IFERROR(__xludf.DUMMYFUNCTION("""COMPUTED_VALUE"""),"")</f>
        <v/>
      </c>
      <c r="O161" s="220">
        <f>IFERROR(__xludf.DUMMYFUNCTION("""COMPUTED_VALUE"""),0.0)</f>
        <v>0</v>
      </c>
      <c r="P161" s="220"/>
      <c r="Q161" s="190">
        <f t="shared" si="1"/>
        <v>1</v>
      </c>
      <c r="R161" s="211" t="s">
        <v>595</v>
      </c>
      <c r="S161" s="210" t="str">
        <f t="shared" si="2"/>
        <v>DEV</v>
      </c>
      <c r="T161" s="210" t="str">
        <f t="shared" si="3"/>
        <v>DEV, TA</v>
      </c>
      <c r="U161" s="210" t="str">
        <f t="shared" si="4"/>
        <v>LBU</v>
      </c>
      <c r="X161" s="210"/>
      <c r="Y161" s="210"/>
      <c r="Z161" s="210"/>
      <c r="AA161" s="210"/>
      <c r="AB161" s="210"/>
      <c r="AC161" s="210"/>
      <c r="AD161" s="210"/>
      <c r="AE161" s="210"/>
      <c r="AF161" s="210"/>
      <c r="AG161" s="210"/>
      <c r="AH161" s="210"/>
      <c r="AI161" s="210"/>
      <c r="AJ161" s="210"/>
      <c r="AK161" s="210"/>
      <c r="AL161" s="210"/>
      <c r="AM161" s="210"/>
      <c r="AN161" s="210"/>
      <c r="AO161" s="210"/>
      <c r="AP161" s="210"/>
      <c r="AQ161" s="210"/>
    </row>
    <row r="162">
      <c r="A162" s="223" t="str">
        <f>IFERROR(__xludf.DUMMYFUNCTION("""COMPUTED_VALUE"""),"213991")</f>
        <v>213991</v>
      </c>
      <c r="B162" s="190" t="str">
        <f>IFERROR(__xludf.DUMMYFUNCTION("""COMPUTED_VALUE"""),"ÔNG HOÀI THỊNH")</f>
        <v>ÔNG HOÀI THỊNH</v>
      </c>
      <c r="C162" s="223" t="str">
        <f>IFERROR(__xludf.DUMMYFUNCTION("""COMPUTED_VALUE"""),"EL016")</f>
        <v>EL016</v>
      </c>
      <c r="D162" s="223" t="str">
        <f>IFERROR(__xludf.DUMMYFUNCTION("""COMPUTED_VALUE"""),"Minh Nguyen")</f>
        <v>Minh Nguyen</v>
      </c>
      <c r="E162" s="190" t="str">
        <f>IFERROR(__xludf.DUMMYFUNCTION("""COMPUTED_VALUE"""),"Communication 1")</f>
        <v>Communication 1</v>
      </c>
      <c r="F162" s="190"/>
      <c r="G162" s="190"/>
      <c r="H162" s="219">
        <f>IFERROR(__xludf.DUMMYFUNCTION("""COMPUTED_VALUE"""),45693.45833333333)</f>
        <v>45693.45833</v>
      </c>
      <c r="I162" s="219">
        <f>IFERROR(__xludf.DUMMYFUNCTION("""COMPUTED_VALUE"""),45693.45833333333)</f>
        <v>45693.45833</v>
      </c>
      <c r="J162" s="190" t="str">
        <f>IFERROR(__xludf.DUMMYFUNCTION("""COMPUTED_VALUE"""),"")</f>
        <v/>
      </c>
      <c r="K162" s="190" t="str">
        <f>IFERROR(__xludf.DUMMYFUNCTION("""COMPUTED_VALUE"""),"")</f>
        <v/>
      </c>
      <c r="L162" s="190" t="str">
        <f>IFERROR(__xludf.DUMMYFUNCTION("""COMPUTED_VALUE"""),"DEV")</f>
        <v>DEV</v>
      </c>
      <c r="M162" s="190" t="str">
        <f>IFERROR(__xludf.DUMMYFUNCTION("""COMPUTED_VALUE"""),"TBU")</f>
        <v>TBU</v>
      </c>
      <c r="N162" s="220" t="str">
        <f>IFERROR(__xludf.DUMMYFUNCTION("""COMPUTED_VALUE"""),"")</f>
        <v/>
      </c>
      <c r="O162" s="220">
        <f>IFERROR(__xludf.DUMMYFUNCTION("""COMPUTED_VALUE"""),0.0)</f>
        <v>0</v>
      </c>
      <c r="P162" s="220"/>
      <c r="Q162" s="190">
        <f t="shared" si="1"/>
        <v>1</v>
      </c>
      <c r="R162" s="211" t="s">
        <v>615</v>
      </c>
      <c r="S162" s="210" t="str">
        <f t="shared" si="2"/>
        <v>QC</v>
      </c>
      <c r="T162" s="210" t="str">
        <f t="shared" si="3"/>
        <v>QC</v>
      </c>
      <c r="U162" s="210" t="str">
        <f t="shared" si="4"/>
        <v>LBU</v>
      </c>
      <c r="X162" s="210"/>
      <c r="Y162" s="210"/>
      <c r="Z162" s="210"/>
      <c r="AA162" s="210"/>
      <c r="AB162" s="210"/>
      <c r="AC162" s="210"/>
      <c r="AD162" s="210"/>
      <c r="AE162" s="210"/>
      <c r="AF162" s="210"/>
      <c r="AG162" s="210"/>
      <c r="AH162" s="210"/>
      <c r="AI162" s="210"/>
      <c r="AJ162" s="210"/>
      <c r="AK162" s="210"/>
      <c r="AL162" s="210"/>
      <c r="AM162" s="210"/>
      <c r="AN162" s="210"/>
      <c r="AO162" s="210"/>
      <c r="AP162" s="210"/>
      <c r="AQ162" s="210"/>
    </row>
    <row r="163">
      <c r="A163" s="223" t="str">
        <f>IFERROR(__xludf.DUMMYFUNCTION("""COMPUTED_VALUE"""),"247036")</f>
        <v>247036</v>
      </c>
      <c r="B163" s="190" t="str">
        <f>IFERROR(__xludf.DUMMYFUNCTION("""COMPUTED_VALUE"""),"PHẠM HỒ LƯỢNG")</f>
        <v>PHẠM HỒ LƯỢNG</v>
      </c>
      <c r="C163" s="223" t="str">
        <f>IFERROR(__xludf.DUMMYFUNCTION("""COMPUTED_VALUE"""),"EL016")</f>
        <v>EL016</v>
      </c>
      <c r="D163" s="223" t="str">
        <f>IFERROR(__xludf.DUMMYFUNCTION("""COMPUTED_VALUE"""),"Minh Nguyen")</f>
        <v>Minh Nguyen</v>
      </c>
      <c r="E163" s="190" t="str">
        <f>IFERROR(__xludf.DUMMYFUNCTION("""COMPUTED_VALUE"""),"Communication 1")</f>
        <v>Communication 1</v>
      </c>
      <c r="F163" s="190"/>
      <c r="G163" s="190"/>
      <c r="H163" s="219">
        <f>IFERROR(__xludf.DUMMYFUNCTION("""COMPUTED_VALUE"""),45693.45833333333)</f>
        <v>45693.45833</v>
      </c>
      <c r="I163" s="219">
        <f>IFERROR(__xludf.DUMMYFUNCTION("""COMPUTED_VALUE"""),45693.45833333333)</f>
        <v>45693.45833</v>
      </c>
      <c r="J163" s="190" t="str">
        <f>IFERROR(__xludf.DUMMYFUNCTION("""COMPUTED_VALUE"""),"")</f>
        <v/>
      </c>
      <c r="K163" s="190" t="str">
        <f>IFERROR(__xludf.DUMMYFUNCTION("""COMPUTED_VALUE"""),"")</f>
        <v/>
      </c>
      <c r="L163" s="190" t="str">
        <f>IFERROR(__xludf.DUMMYFUNCTION("""COMPUTED_VALUE"""),"DEV")</f>
        <v>DEV</v>
      </c>
      <c r="M163" s="190" t="str">
        <f>IFERROR(__xludf.DUMMYFUNCTION("""COMPUTED_VALUE"""),"TBU")</f>
        <v>TBU</v>
      </c>
      <c r="N163" s="220" t="str">
        <f>IFERROR(__xludf.DUMMYFUNCTION("""COMPUTED_VALUE"""),"")</f>
        <v/>
      </c>
      <c r="O163" s="220">
        <f>IFERROR(__xludf.DUMMYFUNCTION("""COMPUTED_VALUE"""),0.0)</f>
        <v>0</v>
      </c>
      <c r="P163" s="220"/>
      <c r="Q163" s="190">
        <f t="shared" si="1"/>
        <v>1</v>
      </c>
      <c r="R163" s="211" t="s">
        <v>685</v>
      </c>
      <c r="S163" s="210" t="str">
        <f t="shared" si="2"/>
        <v>DEV</v>
      </c>
      <c r="T163" s="210" t="str">
        <f t="shared" si="3"/>
        <v>DEV, TA</v>
      </c>
      <c r="U163" s="210" t="str">
        <f t="shared" si="4"/>
        <v>LBU</v>
      </c>
      <c r="X163" s="210"/>
      <c r="Y163" s="210"/>
      <c r="Z163" s="210"/>
      <c r="AA163" s="210"/>
      <c r="AB163" s="210"/>
      <c r="AC163" s="210"/>
      <c r="AD163" s="210"/>
      <c r="AE163" s="210"/>
      <c r="AF163" s="210"/>
      <c r="AG163" s="210"/>
      <c r="AH163" s="210"/>
      <c r="AI163" s="210"/>
      <c r="AJ163" s="210"/>
      <c r="AK163" s="210"/>
      <c r="AL163" s="210"/>
      <c r="AM163" s="210"/>
      <c r="AN163" s="210"/>
      <c r="AO163" s="210"/>
      <c r="AP163" s="210"/>
      <c r="AQ163" s="210"/>
    </row>
    <row r="164">
      <c r="A164" s="223" t="str">
        <f>IFERROR(__xludf.DUMMYFUNCTION("""COMPUTED_VALUE"""),"247127")</f>
        <v>247127</v>
      </c>
      <c r="B164" s="190" t="str">
        <f>IFERROR(__xludf.DUMMYFUNCTION("""COMPUTED_VALUE"""),"THÁI TRẦN HỒNG PHÚC")</f>
        <v>THÁI TRẦN HỒNG PHÚC</v>
      </c>
      <c r="C164" s="223" t="str">
        <f>IFERROR(__xludf.DUMMYFUNCTION("""COMPUTED_VALUE"""),"EL016")</f>
        <v>EL016</v>
      </c>
      <c r="D164" s="223" t="str">
        <f>IFERROR(__xludf.DUMMYFUNCTION("""COMPUTED_VALUE"""),"Minh Nguyen")</f>
        <v>Minh Nguyen</v>
      </c>
      <c r="E164" s="190" t="str">
        <f>IFERROR(__xludf.DUMMYFUNCTION("""COMPUTED_VALUE"""),"Communication 1")</f>
        <v>Communication 1</v>
      </c>
      <c r="F164" s="190"/>
      <c r="G164" s="190"/>
      <c r="H164" s="219">
        <f>IFERROR(__xludf.DUMMYFUNCTION("""COMPUTED_VALUE"""),45693.45833333333)</f>
        <v>45693.45833</v>
      </c>
      <c r="I164" s="219">
        <f>IFERROR(__xludf.DUMMYFUNCTION("""COMPUTED_VALUE"""),45693.45833333333)</f>
        <v>45693.45833</v>
      </c>
      <c r="J164" s="190" t="str">
        <f>IFERROR(__xludf.DUMMYFUNCTION("""COMPUTED_VALUE"""),"")</f>
        <v/>
      </c>
      <c r="K164" s="190" t="str">
        <f>IFERROR(__xludf.DUMMYFUNCTION("""COMPUTED_VALUE"""),"")</f>
        <v/>
      </c>
      <c r="L164" s="190" t="str">
        <f>IFERROR(__xludf.DUMMYFUNCTION("""COMPUTED_VALUE"""),"DEV")</f>
        <v>DEV</v>
      </c>
      <c r="M164" s="190" t="str">
        <f>IFERROR(__xludf.DUMMYFUNCTION("""COMPUTED_VALUE"""),"TBU")</f>
        <v>TBU</v>
      </c>
      <c r="N164" s="220" t="str">
        <f>IFERROR(__xludf.DUMMYFUNCTION("""COMPUTED_VALUE"""),"")</f>
        <v/>
      </c>
      <c r="O164" s="220">
        <f>IFERROR(__xludf.DUMMYFUNCTION("""COMPUTED_VALUE"""),0.0)</f>
        <v>0</v>
      </c>
      <c r="P164" s="220"/>
      <c r="Q164" s="190">
        <f t="shared" si="1"/>
        <v>1</v>
      </c>
      <c r="R164" s="211" t="s">
        <v>709</v>
      </c>
      <c r="S164" s="210" t="str">
        <f t="shared" si="2"/>
        <v>DEV</v>
      </c>
      <c r="T164" s="210" t="str">
        <f t="shared" si="3"/>
        <v>DEV, TA</v>
      </c>
      <c r="U164" s="210" t="str">
        <f t="shared" si="4"/>
        <v>LBU</v>
      </c>
      <c r="X164" s="210"/>
      <c r="Y164" s="210"/>
      <c r="Z164" s="210"/>
      <c r="AA164" s="210"/>
      <c r="AB164" s="210"/>
      <c r="AC164" s="210"/>
      <c r="AD164" s="210"/>
      <c r="AE164" s="210"/>
      <c r="AF164" s="210"/>
      <c r="AG164" s="210"/>
      <c r="AH164" s="210"/>
      <c r="AI164" s="210"/>
      <c r="AJ164" s="210"/>
      <c r="AK164" s="210"/>
      <c r="AL164" s="210"/>
      <c r="AM164" s="210"/>
      <c r="AN164" s="210"/>
      <c r="AO164" s="210"/>
      <c r="AP164" s="210"/>
      <c r="AQ164" s="210"/>
    </row>
    <row r="165">
      <c r="A165" s="223" t="str">
        <f>IFERROR(__xludf.DUMMYFUNCTION("""COMPUTED_VALUE"""),"247076")</f>
        <v>247076</v>
      </c>
      <c r="B165" s="190" t="str">
        <f>IFERROR(__xludf.DUMMYFUNCTION("""COMPUTED_VALUE"""),"TRẦN THẾ ANH")</f>
        <v>TRẦN THẾ ANH</v>
      </c>
      <c r="C165" s="223" t="str">
        <f>IFERROR(__xludf.DUMMYFUNCTION("""COMPUTED_VALUE"""),"EL016")</f>
        <v>EL016</v>
      </c>
      <c r="D165" s="223" t="str">
        <f>IFERROR(__xludf.DUMMYFUNCTION("""COMPUTED_VALUE"""),"Minh Nguyen")</f>
        <v>Minh Nguyen</v>
      </c>
      <c r="E165" s="190" t="str">
        <f>IFERROR(__xludf.DUMMYFUNCTION("""COMPUTED_VALUE"""),"Communication 1")</f>
        <v>Communication 1</v>
      </c>
      <c r="F165" s="190"/>
      <c r="G165" s="190"/>
      <c r="H165" s="219">
        <f>IFERROR(__xludf.DUMMYFUNCTION("""COMPUTED_VALUE"""),45693.45833333333)</f>
        <v>45693.45833</v>
      </c>
      <c r="I165" s="219">
        <f>IFERROR(__xludf.DUMMYFUNCTION("""COMPUTED_VALUE"""),45693.45833333333)</f>
        <v>45693.45833</v>
      </c>
      <c r="J165" s="190" t="str">
        <f>IFERROR(__xludf.DUMMYFUNCTION("""COMPUTED_VALUE"""),"")</f>
        <v/>
      </c>
      <c r="K165" s="190" t="str">
        <f>IFERROR(__xludf.DUMMYFUNCTION("""COMPUTED_VALUE"""),"")</f>
        <v/>
      </c>
      <c r="L165" s="190" t="str">
        <f>IFERROR(__xludf.DUMMYFUNCTION("""COMPUTED_VALUE"""),"DEV")</f>
        <v>DEV</v>
      </c>
      <c r="M165" s="190" t="str">
        <f>IFERROR(__xludf.DUMMYFUNCTION("""COMPUTED_VALUE"""),"TBU")</f>
        <v>TBU</v>
      </c>
      <c r="N165" s="220" t="str">
        <f>IFERROR(__xludf.DUMMYFUNCTION("""COMPUTED_VALUE"""),"")</f>
        <v/>
      </c>
      <c r="O165" s="220">
        <f>IFERROR(__xludf.DUMMYFUNCTION("""COMPUTED_VALUE"""),0.0)</f>
        <v>0</v>
      </c>
      <c r="P165" s="220"/>
      <c r="Q165" s="190">
        <f t="shared" si="1"/>
        <v>1</v>
      </c>
      <c r="R165" s="211" t="s">
        <v>421</v>
      </c>
      <c r="S165" s="210" t="str">
        <f t="shared" si="2"/>
        <v>GSD</v>
      </c>
      <c r="T165" s="210" t="str">
        <f t="shared" si="3"/>
        <v>GSD</v>
      </c>
      <c r="U165" s="210" t="str">
        <f t="shared" si="4"/>
        <v>LBU</v>
      </c>
      <c r="X165" s="210"/>
      <c r="Y165" s="210"/>
      <c r="Z165" s="210"/>
      <c r="AA165" s="210"/>
      <c r="AB165" s="210"/>
      <c r="AC165" s="210"/>
      <c r="AD165" s="210"/>
      <c r="AE165" s="210"/>
      <c r="AF165" s="210"/>
      <c r="AG165" s="210"/>
      <c r="AH165" s="210"/>
      <c r="AI165" s="210"/>
      <c r="AJ165" s="210"/>
      <c r="AK165" s="210"/>
      <c r="AL165" s="210"/>
      <c r="AM165" s="210"/>
      <c r="AN165" s="210"/>
      <c r="AO165" s="210"/>
      <c r="AP165" s="210"/>
      <c r="AQ165" s="210"/>
    </row>
    <row r="166">
      <c r="A166" s="218" t="str">
        <f>IFERROR(__xludf.DUMMYFUNCTION("""COMPUTED_VALUE"""),"212007")</f>
        <v>212007</v>
      </c>
      <c r="B166" s="217" t="str">
        <f>IFERROR(__xludf.DUMMYFUNCTION("""COMPUTED_VALUE"""),"BÙI MINH NHẬT")</f>
        <v>BÙI MINH NHẬT</v>
      </c>
      <c r="C166" s="218" t="str">
        <f>IFERROR(__xludf.DUMMYFUNCTION("""COMPUTED_VALUE"""),"EL017")</f>
        <v>EL017</v>
      </c>
      <c r="D166" s="218" t="str">
        <f>IFERROR(__xludf.DUMMYFUNCTION("""COMPUTED_VALUE"""),"Nhat Bui")</f>
        <v>Nhat Bui</v>
      </c>
      <c r="E166" s="217" t="str">
        <f>IFERROR(__xludf.DUMMYFUNCTION("""COMPUTED_VALUE"""),"Communication 1")</f>
        <v>Communication 1</v>
      </c>
      <c r="F166" s="190" t="str">
        <f>IFERROR(__xludf.DUMMYFUNCTION("""COMPUTED_VALUE"""),"Pre-Intermediate")</f>
        <v>Pre-Intermediate</v>
      </c>
      <c r="G166" s="190" t="str">
        <f>IFERROR(__xludf.DUMMYFUNCTION("""COMPUTED_VALUE"""),"Pre-Intermediate")</f>
        <v>Pre-Intermediate</v>
      </c>
      <c r="H166" s="219">
        <f>IFERROR(__xludf.DUMMYFUNCTION("""COMPUTED_VALUE"""),45639.45833333333)</f>
        <v>45639.45833</v>
      </c>
      <c r="I166" s="219">
        <f>IFERROR(__xludf.DUMMYFUNCTION("""COMPUTED_VALUE"""),45639.45833333333)</f>
        <v>45639.45833</v>
      </c>
      <c r="J166" s="190">
        <f>IFERROR(__xludf.DUMMYFUNCTION("""COMPUTED_VALUE"""),2.5)</f>
        <v>2.5</v>
      </c>
      <c r="K166" s="190">
        <f>IFERROR(__xludf.DUMMYFUNCTION("""COMPUTED_VALUE"""),2.5)</f>
        <v>2.5</v>
      </c>
      <c r="L166" s="190" t="str">
        <f>IFERROR(__xludf.DUMMYFUNCTION("""COMPUTED_VALUE"""),"HR")</f>
        <v>HR</v>
      </c>
      <c r="M166" s="190" t="str">
        <f>IFERROR(__xludf.DUMMYFUNCTION("""COMPUTED_VALUE"""),"BSG")</f>
        <v>BSG</v>
      </c>
      <c r="N166" s="220">
        <f>IFERROR(__xludf.DUMMYFUNCTION("""COMPUTED_VALUE"""),2.5)</f>
        <v>2.5</v>
      </c>
      <c r="O166" s="229">
        <f>IFERROR(__xludf.DUMMYFUNCTION("""COMPUTED_VALUE"""),2.5)</f>
        <v>2.5</v>
      </c>
      <c r="P166" s="220"/>
      <c r="Q166" s="190">
        <f t="shared" si="1"/>
        <v>1</v>
      </c>
      <c r="R166" s="211" t="s">
        <v>147</v>
      </c>
      <c r="S166" s="210" t="str">
        <f t="shared" si="2"/>
        <v>GSD</v>
      </c>
      <c r="T166" s="210" t="str">
        <f t="shared" si="3"/>
        <v>GSD</v>
      </c>
      <c r="U166" s="210" t="str">
        <f t="shared" si="4"/>
        <v>LBU</v>
      </c>
      <c r="X166" s="210"/>
      <c r="Y166" s="210"/>
      <c r="Z166" s="210"/>
      <c r="AA166" s="210"/>
      <c r="AB166" s="210"/>
      <c r="AC166" s="210"/>
      <c r="AD166" s="210"/>
      <c r="AE166" s="210"/>
      <c r="AF166" s="210"/>
      <c r="AG166" s="210"/>
      <c r="AH166" s="210"/>
      <c r="AI166" s="210"/>
      <c r="AJ166" s="210"/>
      <c r="AK166" s="210"/>
      <c r="AL166" s="210"/>
      <c r="AM166" s="210"/>
      <c r="AN166" s="210"/>
      <c r="AO166" s="210"/>
      <c r="AP166" s="210"/>
      <c r="AQ166" s="210"/>
    </row>
    <row r="167">
      <c r="A167" s="223" t="str">
        <f>IFERROR(__xludf.DUMMYFUNCTION("""COMPUTED_VALUE"""),"242009")</f>
        <v>242009</v>
      </c>
      <c r="B167" s="190" t="str">
        <f>IFERROR(__xludf.DUMMYFUNCTION("""COMPUTED_VALUE"""),"DƯƠNG THỊ HƯƠNG LAN")</f>
        <v>DƯƠNG THỊ HƯƠNG LAN</v>
      </c>
      <c r="C167" s="223" t="str">
        <f>IFERROR(__xludf.DUMMYFUNCTION("""COMPUTED_VALUE"""),"EL017")</f>
        <v>EL017</v>
      </c>
      <c r="D167" s="223" t="str">
        <f>IFERROR(__xludf.DUMMYFUNCTION("""COMPUTED_VALUE"""),"Nhat Bui")</f>
        <v>Nhat Bui</v>
      </c>
      <c r="E167" s="190" t="str">
        <f>IFERROR(__xludf.DUMMYFUNCTION("""COMPUTED_VALUE"""),"Communication 1")</f>
        <v>Communication 1</v>
      </c>
      <c r="F167" s="190"/>
      <c r="G167" s="190"/>
      <c r="H167" s="219">
        <f>IFERROR(__xludf.DUMMYFUNCTION("""COMPUTED_VALUE"""),45639.45833333333)</f>
        <v>45639.45833</v>
      </c>
      <c r="I167" s="219">
        <f>IFERROR(__xludf.DUMMYFUNCTION("""COMPUTED_VALUE"""),45639.45833333333)</f>
        <v>45639.45833</v>
      </c>
      <c r="J167" s="190" t="str">
        <f>IFERROR(__xludf.DUMMYFUNCTION("""COMPUTED_VALUE"""),"")</f>
        <v/>
      </c>
      <c r="K167" s="190" t="str">
        <f>IFERROR(__xludf.DUMMYFUNCTION("""COMPUTED_VALUE"""),"")</f>
        <v/>
      </c>
      <c r="L167" s="190" t="str">
        <f>IFERROR(__xludf.DUMMYFUNCTION("""COMPUTED_VALUE"""),"HR")</f>
        <v>HR</v>
      </c>
      <c r="M167" s="190" t="str">
        <f>IFERROR(__xludf.DUMMYFUNCTION("""COMPUTED_VALUE"""),"LBU")</f>
        <v>LBU</v>
      </c>
      <c r="N167" s="220" t="str">
        <f>IFERROR(__xludf.DUMMYFUNCTION("""COMPUTED_VALUE"""),"")</f>
        <v/>
      </c>
      <c r="O167" s="229">
        <f>IFERROR(__xludf.DUMMYFUNCTION("""COMPUTED_VALUE"""),0.0)</f>
        <v>0</v>
      </c>
      <c r="P167" s="220"/>
      <c r="Q167" s="190">
        <f t="shared" si="1"/>
        <v>1</v>
      </c>
      <c r="R167" s="211" t="s">
        <v>255</v>
      </c>
      <c r="S167" s="210" t="str">
        <f t="shared" si="2"/>
        <v>GSD</v>
      </c>
      <c r="T167" s="210" t="str">
        <f t="shared" si="3"/>
        <v>GSD</v>
      </c>
      <c r="U167" s="210" t="str">
        <f t="shared" si="4"/>
        <v>LBU</v>
      </c>
      <c r="X167" s="210"/>
      <c r="Y167" s="210"/>
      <c r="Z167" s="210"/>
      <c r="AA167" s="210"/>
      <c r="AB167" s="210"/>
      <c r="AC167" s="210"/>
      <c r="AD167" s="210"/>
      <c r="AE167" s="210"/>
      <c r="AF167" s="210"/>
      <c r="AG167" s="210"/>
      <c r="AH167" s="210"/>
      <c r="AI167" s="210"/>
      <c r="AJ167" s="210"/>
      <c r="AK167" s="210"/>
      <c r="AL167" s="210"/>
      <c r="AM167" s="210"/>
      <c r="AN167" s="210"/>
      <c r="AO167" s="210"/>
      <c r="AP167" s="210"/>
      <c r="AQ167" s="210"/>
    </row>
    <row r="168">
      <c r="A168" s="223" t="str">
        <f>IFERROR(__xludf.DUMMYFUNCTION("""COMPUTED_VALUE"""),"232002")</f>
        <v>232002</v>
      </c>
      <c r="B168" s="190" t="str">
        <f>IFERROR(__xludf.DUMMYFUNCTION("""COMPUTED_VALUE"""),"HOÀNG NHƯ QUỲNH")</f>
        <v>HOÀNG NHƯ QUỲNH</v>
      </c>
      <c r="C168" s="223" t="str">
        <f>IFERROR(__xludf.DUMMYFUNCTION("""COMPUTED_VALUE"""),"EL017")</f>
        <v>EL017</v>
      </c>
      <c r="D168" s="223" t="str">
        <f>IFERROR(__xludf.DUMMYFUNCTION("""COMPUTED_VALUE"""),"Nhat Bui")</f>
        <v>Nhat Bui</v>
      </c>
      <c r="E168" s="190" t="str">
        <f>IFERROR(__xludf.DUMMYFUNCTION("""COMPUTED_VALUE"""),"Communication 1")</f>
        <v>Communication 1</v>
      </c>
      <c r="F168" s="190" t="str">
        <f>IFERROR(__xludf.DUMMYFUNCTION("""COMPUTED_VALUE"""),"Beginner")</f>
        <v>Beginner</v>
      </c>
      <c r="G168" s="190" t="str">
        <f>IFERROR(__xludf.DUMMYFUNCTION("""COMPUTED_VALUE"""),"Beginner")</f>
        <v>Beginner</v>
      </c>
      <c r="H168" s="219">
        <f>IFERROR(__xludf.DUMMYFUNCTION("""COMPUTED_VALUE"""),45639.45833333333)</f>
        <v>45639.45833</v>
      </c>
      <c r="I168" s="219">
        <f>IFERROR(__xludf.DUMMYFUNCTION("""COMPUTED_VALUE"""),45639.45833333333)</f>
        <v>45639.45833</v>
      </c>
      <c r="J168" s="190">
        <f>IFERROR(__xludf.DUMMYFUNCTION("""COMPUTED_VALUE"""),1.0)</f>
        <v>1</v>
      </c>
      <c r="K168" s="190">
        <f>IFERROR(__xludf.DUMMYFUNCTION("""COMPUTED_VALUE"""),1.0)</f>
        <v>1</v>
      </c>
      <c r="L168" s="190" t="str">
        <f>IFERROR(__xludf.DUMMYFUNCTION("""COMPUTED_VALUE"""),"HR")</f>
        <v>HR</v>
      </c>
      <c r="M168" s="190" t="str">
        <f>IFERROR(__xludf.DUMMYFUNCTION("""COMPUTED_VALUE"""),"BSG")</f>
        <v>BSG</v>
      </c>
      <c r="N168" s="220">
        <f>IFERROR(__xludf.DUMMYFUNCTION("""COMPUTED_VALUE"""),1.0)</f>
        <v>1</v>
      </c>
      <c r="O168" s="229">
        <f>IFERROR(__xludf.DUMMYFUNCTION("""COMPUTED_VALUE"""),1.0)</f>
        <v>1</v>
      </c>
      <c r="P168" s="220"/>
      <c r="Q168" s="190">
        <f t="shared" si="1"/>
        <v>1</v>
      </c>
      <c r="R168" s="211" t="s">
        <v>273</v>
      </c>
      <c r="S168" s="210" t="str">
        <f t="shared" si="2"/>
        <v>GSD</v>
      </c>
      <c r="T168" s="210" t="str">
        <f t="shared" si="3"/>
        <v>GSD</v>
      </c>
      <c r="U168" s="210" t="str">
        <f t="shared" si="4"/>
        <v>LBU</v>
      </c>
      <c r="X168" s="210"/>
      <c r="Y168" s="210"/>
      <c r="Z168" s="210"/>
      <c r="AA168" s="210"/>
      <c r="AB168" s="210"/>
      <c r="AC168" s="210"/>
      <c r="AD168" s="210"/>
      <c r="AE168" s="210"/>
      <c r="AF168" s="210"/>
      <c r="AG168" s="210"/>
      <c r="AH168" s="210"/>
      <c r="AI168" s="210"/>
      <c r="AJ168" s="210"/>
      <c r="AK168" s="210"/>
      <c r="AL168" s="210"/>
      <c r="AM168" s="210"/>
      <c r="AN168" s="210"/>
      <c r="AO168" s="210"/>
      <c r="AP168" s="210"/>
      <c r="AQ168" s="210"/>
    </row>
    <row r="169">
      <c r="A169" s="223" t="str">
        <f>IFERROR(__xludf.DUMMYFUNCTION("""COMPUTED_VALUE"""),"222010")</f>
        <v>222010</v>
      </c>
      <c r="B169" s="190" t="str">
        <f>IFERROR(__xludf.DUMMYFUNCTION("""COMPUTED_VALUE"""),"LÊ THỊ LAN ANH")</f>
        <v>LÊ THỊ LAN ANH</v>
      </c>
      <c r="C169" s="223" t="str">
        <f>IFERROR(__xludf.DUMMYFUNCTION("""COMPUTED_VALUE"""),"EL017")</f>
        <v>EL017</v>
      </c>
      <c r="D169" s="223" t="str">
        <f>IFERROR(__xludf.DUMMYFUNCTION("""COMPUTED_VALUE"""),"Nhat Bui")</f>
        <v>Nhat Bui</v>
      </c>
      <c r="E169" s="190" t="str">
        <f>IFERROR(__xludf.DUMMYFUNCTION("""COMPUTED_VALUE"""),"Communication 1")</f>
        <v>Communication 1</v>
      </c>
      <c r="F169" s="190" t="str">
        <f>IFERROR(__xludf.DUMMYFUNCTION("""COMPUTED_VALUE"""),"Beginner")</f>
        <v>Beginner</v>
      </c>
      <c r="G169" s="190" t="str">
        <f>IFERROR(__xludf.DUMMYFUNCTION("""COMPUTED_VALUE"""),"Pre-Intermediate")</f>
        <v>Pre-Intermediate</v>
      </c>
      <c r="H169" s="219">
        <f>IFERROR(__xludf.DUMMYFUNCTION("""COMPUTED_VALUE"""),45639.45833333333)</f>
        <v>45639.45833</v>
      </c>
      <c r="I169" s="219">
        <f>IFERROR(__xludf.DUMMYFUNCTION("""COMPUTED_VALUE"""),45639.45833333333)</f>
        <v>45639.45833</v>
      </c>
      <c r="J169" s="190">
        <f>IFERROR(__xludf.DUMMYFUNCTION("""COMPUTED_VALUE"""),1.0)</f>
        <v>1</v>
      </c>
      <c r="K169" s="190">
        <f>IFERROR(__xludf.DUMMYFUNCTION("""COMPUTED_VALUE"""),2.5)</f>
        <v>2.5</v>
      </c>
      <c r="L169" s="190" t="str">
        <f>IFERROR(__xludf.DUMMYFUNCTION("""COMPUTED_VALUE"""),"HR")</f>
        <v>HR</v>
      </c>
      <c r="M169" s="190" t="str">
        <f>IFERROR(__xludf.DUMMYFUNCTION("""COMPUTED_VALUE"""),"BSG")</f>
        <v>BSG</v>
      </c>
      <c r="N169" s="220">
        <f>IFERROR(__xludf.DUMMYFUNCTION("""COMPUTED_VALUE"""),1.0)</f>
        <v>1</v>
      </c>
      <c r="O169" s="229">
        <f>IFERROR(__xludf.DUMMYFUNCTION("""COMPUTED_VALUE"""),2.5)</f>
        <v>2.5</v>
      </c>
      <c r="P169" s="220"/>
      <c r="Q169" s="190">
        <f t="shared" si="1"/>
        <v>1</v>
      </c>
      <c r="R169" s="211" t="s">
        <v>302</v>
      </c>
      <c r="S169" s="210" t="str">
        <f t="shared" si="2"/>
        <v>BA</v>
      </c>
      <c r="T169" s="210" t="str">
        <f t="shared" si="3"/>
        <v>BA, BC</v>
      </c>
      <c r="U169" s="210" t="str">
        <f t="shared" si="4"/>
        <v>LBU</v>
      </c>
      <c r="X169" s="210"/>
      <c r="Y169" s="210"/>
      <c r="Z169" s="210"/>
      <c r="AA169" s="210"/>
      <c r="AB169" s="210"/>
      <c r="AC169" s="210"/>
      <c r="AD169" s="210"/>
      <c r="AE169" s="210"/>
      <c r="AF169" s="210"/>
      <c r="AG169" s="210"/>
      <c r="AH169" s="210"/>
      <c r="AI169" s="210"/>
      <c r="AJ169" s="210"/>
      <c r="AK169" s="210"/>
      <c r="AL169" s="210"/>
      <c r="AM169" s="210"/>
      <c r="AN169" s="210"/>
      <c r="AO169" s="210"/>
      <c r="AP169" s="210"/>
      <c r="AQ169" s="210"/>
    </row>
    <row r="170">
      <c r="A170" s="223" t="str">
        <f>IFERROR(__xludf.DUMMYFUNCTION("""COMPUTED_VALUE"""),"242001")</f>
        <v>242001</v>
      </c>
      <c r="B170" s="190" t="str">
        <f>IFERROR(__xludf.DUMMYFUNCTION("""COMPUTED_VALUE"""),"NGUYỄN ĐẠT THỊNH")</f>
        <v>NGUYỄN ĐẠT THỊNH</v>
      </c>
      <c r="C170" s="223" t="str">
        <f>IFERROR(__xludf.DUMMYFUNCTION("""COMPUTED_VALUE"""),"EL017")</f>
        <v>EL017</v>
      </c>
      <c r="D170" s="223" t="str">
        <f>IFERROR(__xludf.DUMMYFUNCTION("""COMPUTED_VALUE"""),"Nhat Bui")</f>
        <v>Nhat Bui</v>
      </c>
      <c r="E170" s="190" t="str">
        <f>IFERROR(__xludf.DUMMYFUNCTION("""COMPUTED_VALUE"""),"Communication 1")</f>
        <v>Communication 1</v>
      </c>
      <c r="F170" s="190" t="str">
        <f>IFERROR(__xludf.DUMMYFUNCTION("""COMPUTED_VALUE"""),"Pre-Intermediate")</f>
        <v>Pre-Intermediate</v>
      </c>
      <c r="G170" s="190" t="str">
        <f>IFERROR(__xludf.DUMMYFUNCTION("""COMPUTED_VALUE"""),"Intermediate")</f>
        <v>Intermediate</v>
      </c>
      <c r="H170" s="219">
        <f>IFERROR(__xludf.DUMMYFUNCTION("""COMPUTED_VALUE"""),45639.45833333333)</f>
        <v>45639.45833</v>
      </c>
      <c r="I170" s="219">
        <f>IFERROR(__xludf.DUMMYFUNCTION("""COMPUTED_VALUE"""),45639.45833333333)</f>
        <v>45639.45833</v>
      </c>
      <c r="J170" s="190">
        <f>IFERROR(__xludf.DUMMYFUNCTION("""COMPUTED_VALUE"""),2.5)</f>
        <v>2.5</v>
      </c>
      <c r="K170" s="190">
        <f>IFERROR(__xludf.DUMMYFUNCTION("""COMPUTED_VALUE"""),4.5)</f>
        <v>4.5</v>
      </c>
      <c r="L170" s="190" t="str">
        <f>IFERROR(__xludf.DUMMYFUNCTION("""COMPUTED_VALUE"""),"HR")</f>
        <v>HR</v>
      </c>
      <c r="M170" s="190" t="str">
        <f>IFERROR(__xludf.DUMMYFUNCTION("""COMPUTED_VALUE"""),"BSG")</f>
        <v>BSG</v>
      </c>
      <c r="N170" s="220">
        <f>IFERROR(__xludf.DUMMYFUNCTION("""COMPUTED_VALUE"""),2.5)</f>
        <v>2.5</v>
      </c>
      <c r="O170" s="229">
        <f>IFERROR(__xludf.DUMMYFUNCTION("""COMPUTED_VALUE"""),4.5)</f>
        <v>4.5</v>
      </c>
      <c r="P170" s="220"/>
      <c r="Q170" s="190">
        <f t="shared" si="1"/>
        <v>1</v>
      </c>
      <c r="R170" s="211" t="s">
        <v>494</v>
      </c>
      <c r="S170" s="210" t="str">
        <f t="shared" si="2"/>
        <v>GSD</v>
      </c>
      <c r="T170" s="210" t="str">
        <f t="shared" si="3"/>
        <v>GSD</v>
      </c>
      <c r="U170" s="210" t="str">
        <f t="shared" si="4"/>
        <v>LBU</v>
      </c>
      <c r="X170" s="210"/>
      <c r="Y170" s="210"/>
      <c r="Z170" s="210"/>
      <c r="AA170" s="210"/>
      <c r="AB170" s="210"/>
      <c r="AC170" s="210"/>
      <c r="AD170" s="210"/>
      <c r="AE170" s="210"/>
      <c r="AF170" s="210"/>
      <c r="AG170" s="210"/>
      <c r="AH170" s="210"/>
      <c r="AI170" s="210"/>
      <c r="AJ170" s="210"/>
      <c r="AK170" s="210"/>
      <c r="AL170" s="210"/>
      <c r="AM170" s="210"/>
      <c r="AN170" s="210"/>
      <c r="AO170" s="210"/>
      <c r="AP170" s="210"/>
      <c r="AQ170" s="210"/>
    </row>
    <row r="171">
      <c r="A171" s="223" t="str">
        <f>IFERROR(__xludf.DUMMYFUNCTION("""COMPUTED_VALUE"""),"222014")</f>
        <v>222014</v>
      </c>
      <c r="B171" s="190" t="str">
        <f>IFERROR(__xludf.DUMMYFUNCTION("""COMPUTED_VALUE"""),"NGUYỄN THỊ THÙY TRANG")</f>
        <v>NGUYỄN THỊ THÙY TRANG</v>
      </c>
      <c r="C171" s="223" t="str">
        <f>IFERROR(__xludf.DUMMYFUNCTION("""COMPUTED_VALUE"""),"EL017")</f>
        <v>EL017</v>
      </c>
      <c r="D171" s="223" t="str">
        <f>IFERROR(__xludf.DUMMYFUNCTION("""COMPUTED_VALUE"""),"Nhat Bui")</f>
        <v>Nhat Bui</v>
      </c>
      <c r="E171" s="190" t="str">
        <f>IFERROR(__xludf.DUMMYFUNCTION("""COMPUTED_VALUE"""),"Communication 1")</f>
        <v>Communication 1</v>
      </c>
      <c r="F171" s="190" t="str">
        <f>IFERROR(__xludf.DUMMYFUNCTION("""COMPUTED_VALUE"""),"Beginner")</f>
        <v>Beginner</v>
      </c>
      <c r="G171" s="190" t="str">
        <f>IFERROR(__xludf.DUMMYFUNCTION("""COMPUTED_VALUE"""),"Beginner")</f>
        <v>Beginner</v>
      </c>
      <c r="H171" s="219">
        <f>IFERROR(__xludf.DUMMYFUNCTION("""COMPUTED_VALUE"""),45639.45833333333)</f>
        <v>45639.45833</v>
      </c>
      <c r="I171" s="219">
        <f>IFERROR(__xludf.DUMMYFUNCTION("""COMPUTED_VALUE"""),45639.45833333333)</f>
        <v>45639.45833</v>
      </c>
      <c r="J171" s="190">
        <f>IFERROR(__xludf.DUMMYFUNCTION("""COMPUTED_VALUE"""),1.0)</f>
        <v>1</v>
      </c>
      <c r="K171" s="190">
        <f>IFERROR(__xludf.DUMMYFUNCTION("""COMPUTED_VALUE"""),1.0)</f>
        <v>1</v>
      </c>
      <c r="L171" s="190" t="str">
        <f>IFERROR(__xludf.DUMMYFUNCTION("""COMPUTED_VALUE"""),"HR")</f>
        <v>HR</v>
      </c>
      <c r="M171" s="190" t="str">
        <f>IFERROR(__xludf.DUMMYFUNCTION("""COMPUTED_VALUE"""),"BSG")</f>
        <v>BSG</v>
      </c>
      <c r="N171" s="220">
        <f>IFERROR(__xludf.DUMMYFUNCTION("""COMPUTED_VALUE"""),1.0)</f>
        <v>1</v>
      </c>
      <c r="O171" s="229">
        <f>IFERROR(__xludf.DUMMYFUNCTION("""COMPUTED_VALUE"""),1.0)</f>
        <v>1</v>
      </c>
      <c r="P171" s="220"/>
      <c r="Q171" s="190">
        <f t="shared" si="1"/>
        <v>1</v>
      </c>
      <c r="R171" s="211" t="s">
        <v>498</v>
      </c>
      <c r="S171" s="210" t="str">
        <f t="shared" si="2"/>
        <v>GSD</v>
      </c>
      <c r="T171" s="210" t="str">
        <f t="shared" si="3"/>
        <v>GSD</v>
      </c>
      <c r="U171" s="210" t="str">
        <f t="shared" si="4"/>
        <v>LBU</v>
      </c>
      <c r="X171" s="210"/>
      <c r="Y171" s="210"/>
      <c r="Z171" s="210"/>
      <c r="AA171" s="210"/>
      <c r="AB171" s="210"/>
      <c r="AC171" s="210"/>
      <c r="AD171" s="210"/>
      <c r="AE171" s="210"/>
      <c r="AF171" s="210"/>
      <c r="AG171" s="210"/>
      <c r="AH171" s="210"/>
      <c r="AI171" s="210"/>
      <c r="AJ171" s="210"/>
      <c r="AK171" s="210"/>
      <c r="AL171" s="210"/>
      <c r="AM171" s="210"/>
      <c r="AN171" s="210"/>
      <c r="AO171" s="210"/>
      <c r="AP171" s="210"/>
      <c r="AQ171" s="210"/>
    </row>
    <row r="172">
      <c r="A172" s="223" t="str">
        <f>IFERROR(__xludf.DUMMYFUNCTION("""COMPUTED_VALUE"""),"242006")</f>
        <v>242006</v>
      </c>
      <c r="B172" s="190" t="str">
        <f>IFERROR(__xludf.DUMMYFUNCTION("""COMPUTED_VALUE"""),"PHAN LÊ HỒNG LEL")</f>
        <v>PHAN LÊ HỒNG LEL</v>
      </c>
      <c r="C172" s="223" t="str">
        <f>IFERROR(__xludf.DUMMYFUNCTION("""COMPUTED_VALUE"""),"EL017")</f>
        <v>EL017</v>
      </c>
      <c r="D172" s="223" t="str">
        <f>IFERROR(__xludf.DUMMYFUNCTION("""COMPUTED_VALUE"""),"Nhat Bui")</f>
        <v>Nhat Bui</v>
      </c>
      <c r="E172" s="190" t="str">
        <f>IFERROR(__xludf.DUMMYFUNCTION("""COMPUTED_VALUE"""),"Communication 1")</f>
        <v>Communication 1</v>
      </c>
      <c r="F172" s="190" t="str">
        <f>IFERROR(__xludf.DUMMYFUNCTION("""COMPUTED_VALUE"""),"Beginner")</f>
        <v>Beginner</v>
      </c>
      <c r="G172" s="190"/>
      <c r="H172" s="219">
        <f>IFERROR(__xludf.DUMMYFUNCTION("""COMPUTED_VALUE"""),45639.45833333333)</f>
        <v>45639.45833</v>
      </c>
      <c r="I172" s="219">
        <f>IFERROR(__xludf.DUMMYFUNCTION("""COMPUTED_VALUE"""),45639.45833333333)</f>
        <v>45639.45833</v>
      </c>
      <c r="J172" s="190">
        <f>IFERROR(__xludf.DUMMYFUNCTION("""COMPUTED_VALUE"""),1.0)</f>
        <v>1</v>
      </c>
      <c r="K172" s="190" t="str">
        <f>IFERROR(__xludf.DUMMYFUNCTION("""COMPUTED_VALUE"""),"")</f>
        <v/>
      </c>
      <c r="L172" s="190" t="str">
        <f>IFERROR(__xludf.DUMMYFUNCTION("""COMPUTED_VALUE"""),"Admin")</f>
        <v>Admin</v>
      </c>
      <c r="M172" s="190" t="str">
        <f>IFERROR(__xludf.DUMMYFUNCTION("""COMPUTED_VALUE"""),"BSG")</f>
        <v>BSG</v>
      </c>
      <c r="N172" s="220">
        <f>IFERROR(__xludf.DUMMYFUNCTION("""COMPUTED_VALUE"""),1.0)</f>
        <v>1</v>
      </c>
      <c r="O172" s="229">
        <f>IFERROR(__xludf.DUMMYFUNCTION("""COMPUTED_VALUE"""),0.0)</f>
        <v>0</v>
      </c>
      <c r="P172" s="220"/>
      <c r="Q172" s="190">
        <f t="shared" si="1"/>
        <v>1</v>
      </c>
      <c r="R172" s="211" t="s">
        <v>566</v>
      </c>
      <c r="S172" s="210" t="str">
        <f t="shared" si="2"/>
        <v>BA</v>
      </c>
      <c r="T172" s="210" t="str">
        <f t="shared" si="3"/>
        <v>BA, BC</v>
      </c>
      <c r="U172" s="210" t="str">
        <f t="shared" si="4"/>
        <v>LBU</v>
      </c>
      <c r="X172" s="210"/>
      <c r="Y172" s="210"/>
      <c r="Z172" s="210"/>
      <c r="AA172" s="210"/>
      <c r="AB172" s="210"/>
      <c r="AC172" s="210"/>
      <c r="AD172" s="210"/>
      <c r="AE172" s="210"/>
      <c r="AF172" s="210"/>
      <c r="AG172" s="210"/>
      <c r="AH172" s="210"/>
      <c r="AI172" s="210"/>
      <c r="AJ172" s="210"/>
      <c r="AK172" s="210"/>
      <c r="AL172" s="210"/>
      <c r="AM172" s="210"/>
      <c r="AN172" s="210"/>
      <c r="AO172" s="210"/>
      <c r="AP172" s="210"/>
      <c r="AQ172" s="210"/>
    </row>
    <row r="173">
      <c r="A173" s="223" t="str">
        <f>IFERROR(__xludf.DUMMYFUNCTION("""COMPUTED_VALUE"""),"242003")</f>
        <v>242003</v>
      </c>
      <c r="B173" s="190" t="str">
        <f>IFERROR(__xludf.DUMMYFUNCTION("""COMPUTED_VALUE"""),"TRẦN THỊ ÁNH NGUYỆT")</f>
        <v>TRẦN THỊ ÁNH NGUYỆT</v>
      </c>
      <c r="C173" s="223" t="str">
        <f>IFERROR(__xludf.DUMMYFUNCTION("""COMPUTED_VALUE"""),"EL017")</f>
        <v>EL017</v>
      </c>
      <c r="D173" s="223" t="str">
        <f>IFERROR(__xludf.DUMMYFUNCTION("""COMPUTED_VALUE"""),"Nhat Bui")</f>
        <v>Nhat Bui</v>
      </c>
      <c r="E173" s="190" t="str">
        <f>IFERROR(__xludf.DUMMYFUNCTION("""COMPUTED_VALUE"""),"Communication 1")</f>
        <v>Communication 1</v>
      </c>
      <c r="F173" s="190" t="str">
        <f>IFERROR(__xludf.DUMMYFUNCTION("""COMPUTED_VALUE"""),"Beginner")</f>
        <v>Beginner</v>
      </c>
      <c r="G173" s="190"/>
      <c r="H173" s="219">
        <f>IFERROR(__xludf.DUMMYFUNCTION("""COMPUTED_VALUE"""),45639.45833333333)</f>
        <v>45639.45833</v>
      </c>
      <c r="I173" s="219">
        <f>IFERROR(__xludf.DUMMYFUNCTION("""COMPUTED_VALUE"""),45639.45833333333)</f>
        <v>45639.45833</v>
      </c>
      <c r="J173" s="190">
        <f>IFERROR(__xludf.DUMMYFUNCTION("""COMPUTED_VALUE"""),1.0)</f>
        <v>1</v>
      </c>
      <c r="K173" s="190" t="str">
        <f>IFERROR(__xludf.DUMMYFUNCTION("""COMPUTED_VALUE"""),"")</f>
        <v/>
      </c>
      <c r="L173" s="190" t="str">
        <f>IFERROR(__xludf.DUMMYFUNCTION("""COMPUTED_VALUE"""),"Admin")</f>
        <v>Admin</v>
      </c>
      <c r="M173" s="190" t="str">
        <f>IFERROR(__xludf.DUMMYFUNCTION("""COMPUTED_VALUE"""),"BSG")</f>
        <v>BSG</v>
      </c>
      <c r="N173" s="220">
        <f>IFERROR(__xludf.DUMMYFUNCTION("""COMPUTED_VALUE"""),1.0)</f>
        <v>1</v>
      </c>
      <c r="O173" s="229">
        <f>IFERROR(__xludf.DUMMYFUNCTION("""COMPUTED_VALUE"""),0.0)</f>
        <v>0</v>
      </c>
      <c r="P173" s="220"/>
      <c r="Q173" s="190">
        <f t="shared" si="1"/>
        <v>1</v>
      </c>
      <c r="R173" s="211" t="s">
        <v>261</v>
      </c>
      <c r="S173" s="210" t="str">
        <f t="shared" si="2"/>
        <v>Management</v>
      </c>
      <c r="T173" s="210" t="str">
        <f t="shared" si="3"/>
        <v>HR, GA, Mgt</v>
      </c>
      <c r="U173" s="210" t="str">
        <f t="shared" si="4"/>
        <v>CHORUS</v>
      </c>
      <c r="X173" s="210"/>
      <c r="Y173" s="210"/>
      <c r="Z173" s="210"/>
      <c r="AA173" s="210"/>
      <c r="AB173" s="210"/>
      <c r="AC173" s="210"/>
      <c r="AD173" s="210"/>
      <c r="AE173" s="210"/>
      <c r="AF173" s="210"/>
      <c r="AG173" s="210"/>
      <c r="AH173" s="210"/>
      <c r="AI173" s="210"/>
      <c r="AJ173" s="210"/>
      <c r="AK173" s="210"/>
      <c r="AL173" s="210"/>
      <c r="AM173" s="210"/>
      <c r="AN173" s="210"/>
      <c r="AO173" s="210"/>
      <c r="AP173" s="210"/>
      <c r="AQ173" s="210"/>
    </row>
    <row r="174">
      <c r="A174" s="218" t="str">
        <f>IFERROR(__xludf.DUMMYFUNCTION("""COMPUTED_VALUE"""),"183432")</f>
        <v>183432</v>
      </c>
      <c r="B174" s="217" t="str">
        <f>IFERROR(__xludf.DUMMYFUNCTION("""COMPUTED_VALUE"""),"PHAN ĐÌNH MINH NHẬT")</f>
        <v>PHAN ĐÌNH MINH NHẬT</v>
      </c>
      <c r="C174" s="218" t="str">
        <f>IFERROR(__xludf.DUMMYFUNCTION("""COMPUTED_VALUE"""),"EL018")</f>
        <v>EL018</v>
      </c>
      <c r="D174" s="218" t="str">
        <f>IFERROR(__xludf.DUMMYFUNCTION("""COMPUTED_VALUE"""),"Nhat Phan 1")</f>
        <v>Nhat Phan 1</v>
      </c>
      <c r="E174" s="217" t="str">
        <f>IFERROR(__xludf.DUMMYFUNCTION("""COMPUTED_VALUE"""),"Communication 1")</f>
        <v>Communication 1</v>
      </c>
      <c r="F174" s="190" t="str">
        <f>IFERROR(__xludf.DUMMYFUNCTION("""COMPUTED_VALUE"""),"Pre-Intermediate")</f>
        <v>Pre-Intermediate</v>
      </c>
      <c r="G174" s="190" t="str">
        <f>IFERROR(__xludf.DUMMYFUNCTION("""COMPUTED_VALUE"""),"Pre-Intermediate 2")</f>
        <v>Pre-Intermediate 2</v>
      </c>
      <c r="H174" s="219">
        <f>IFERROR(__xludf.DUMMYFUNCTION("""COMPUTED_VALUE"""),45645.41666666667)</f>
        <v>45645.41667</v>
      </c>
      <c r="I174" s="219">
        <f>IFERROR(__xludf.DUMMYFUNCTION("""COMPUTED_VALUE"""),45645.41666666667)</f>
        <v>45645.41667</v>
      </c>
      <c r="J174" s="190">
        <f>IFERROR(__xludf.DUMMYFUNCTION("""COMPUTED_VALUE"""),2.5)</f>
        <v>2.5</v>
      </c>
      <c r="K174" s="190">
        <f>IFERROR(__xludf.DUMMYFUNCTION("""COMPUTED_VALUE"""),3.5)</f>
        <v>3.5</v>
      </c>
      <c r="L174" s="190" t="str">
        <f>IFERROR(__xludf.DUMMYFUNCTION("""COMPUTED_VALUE"""),"DEV")</f>
        <v>DEV</v>
      </c>
      <c r="M174" s="190" t="str">
        <f>IFERROR(__xludf.DUMMYFUNCTION("""COMPUTED_VALUE"""),"ONC")</f>
        <v>ONC</v>
      </c>
      <c r="N174" s="220">
        <f>IFERROR(__xludf.DUMMYFUNCTION("""COMPUTED_VALUE"""),2.5)</f>
        <v>2.5</v>
      </c>
      <c r="O174" s="220">
        <f>IFERROR(__xludf.DUMMYFUNCTION("""COMPUTED_VALUE"""),3.5)</f>
        <v>3.5</v>
      </c>
      <c r="P174" s="220"/>
      <c r="Q174" s="190">
        <f t="shared" si="1"/>
        <v>1</v>
      </c>
      <c r="R174" s="211" t="s">
        <v>182</v>
      </c>
      <c r="S174" s="210" t="str">
        <f t="shared" si="2"/>
        <v>QC</v>
      </c>
      <c r="T174" s="210" t="str">
        <f t="shared" si="3"/>
        <v>QC</v>
      </c>
      <c r="U174" s="210" t="str">
        <f t="shared" si="4"/>
        <v>CHORUS</v>
      </c>
      <c r="X174" s="210"/>
      <c r="Y174" s="210"/>
      <c r="Z174" s="210"/>
      <c r="AA174" s="210"/>
      <c r="AB174" s="210"/>
      <c r="AC174" s="210"/>
      <c r="AD174" s="210"/>
      <c r="AE174" s="210"/>
      <c r="AF174" s="210"/>
      <c r="AG174" s="210"/>
      <c r="AH174" s="210"/>
      <c r="AI174" s="210"/>
      <c r="AJ174" s="210"/>
      <c r="AK174" s="210"/>
      <c r="AL174" s="210"/>
      <c r="AM174" s="210"/>
      <c r="AN174" s="210"/>
      <c r="AO174" s="210"/>
      <c r="AP174" s="210"/>
      <c r="AQ174" s="210"/>
    </row>
    <row r="175">
      <c r="A175" s="223" t="str">
        <f>IFERROR(__xludf.DUMMYFUNCTION("""COMPUTED_VALUE"""),"227023")</f>
        <v>227023</v>
      </c>
      <c r="B175" s="190" t="str">
        <f>IFERROR(__xludf.DUMMYFUNCTION("""COMPUTED_VALUE"""),"HOÀNG NAM VƯƠNG")</f>
        <v>HOÀNG NAM VƯƠNG</v>
      </c>
      <c r="C175" s="223" t="str">
        <f>IFERROR(__xludf.DUMMYFUNCTION("""COMPUTED_VALUE"""),"EL018")</f>
        <v>EL018</v>
      </c>
      <c r="D175" s="223" t="str">
        <f>IFERROR(__xludf.DUMMYFUNCTION("""COMPUTED_VALUE"""),"Nhat Phan 1")</f>
        <v>Nhat Phan 1</v>
      </c>
      <c r="E175" s="190" t="str">
        <f>IFERROR(__xludf.DUMMYFUNCTION("""COMPUTED_VALUE"""),"Communication 1")</f>
        <v>Communication 1</v>
      </c>
      <c r="F175" s="190" t="str">
        <f>IFERROR(__xludf.DUMMYFUNCTION("""COMPUTED_VALUE"""),"Beginner")</f>
        <v>Beginner</v>
      </c>
      <c r="G175" s="190" t="str">
        <f>IFERROR(__xludf.DUMMYFUNCTION("""COMPUTED_VALUE"""),"Pre-Intermediate 2")</f>
        <v>Pre-Intermediate 2</v>
      </c>
      <c r="H175" s="219">
        <f>IFERROR(__xludf.DUMMYFUNCTION("""COMPUTED_VALUE"""),45645.41666666667)</f>
        <v>45645.41667</v>
      </c>
      <c r="I175" s="219">
        <f>IFERROR(__xludf.DUMMYFUNCTION("""COMPUTED_VALUE"""),45645.41666666667)</f>
        <v>45645.41667</v>
      </c>
      <c r="J175" s="190">
        <f>IFERROR(__xludf.DUMMYFUNCTION("""COMPUTED_VALUE"""),1.0)</f>
        <v>1</v>
      </c>
      <c r="K175" s="190">
        <f>IFERROR(__xludf.DUMMYFUNCTION("""COMPUTED_VALUE"""),3.5)</f>
        <v>3.5</v>
      </c>
      <c r="L175" s="190" t="str">
        <f>IFERROR(__xludf.DUMMYFUNCTION("""COMPUTED_VALUE"""),"DEV")</f>
        <v>DEV</v>
      </c>
      <c r="M175" s="190" t="str">
        <f>IFERROR(__xludf.DUMMYFUNCTION("""COMPUTED_VALUE"""),"ONC")</f>
        <v>ONC</v>
      </c>
      <c r="N175" s="220">
        <f>IFERROR(__xludf.DUMMYFUNCTION("""COMPUTED_VALUE"""),1.0)</f>
        <v>1</v>
      </c>
      <c r="O175" s="220">
        <f>IFERROR(__xludf.DUMMYFUNCTION("""COMPUTED_VALUE"""),3.5)</f>
        <v>3.5</v>
      </c>
      <c r="P175" s="220"/>
      <c r="Q175" s="190">
        <f t="shared" si="1"/>
        <v>1</v>
      </c>
      <c r="R175" s="211" t="s">
        <v>259</v>
      </c>
      <c r="S175" s="210" t="str">
        <f t="shared" si="2"/>
        <v>UI/UX</v>
      </c>
      <c r="T175" s="210" t="str">
        <f t="shared" si="3"/>
        <v>UI/UX, Des</v>
      </c>
      <c r="U175" s="210" t="str">
        <f t="shared" si="4"/>
        <v>CHORUS</v>
      </c>
      <c r="X175" s="210"/>
      <c r="Y175" s="210"/>
      <c r="Z175" s="210"/>
      <c r="AA175" s="210"/>
      <c r="AB175" s="210"/>
      <c r="AC175" s="210"/>
      <c r="AD175" s="210"/>
      <c r="AE175" s="210"/>
      <c r="AF175" s="210"/>
      <c r="AG175" s="210"/>
      <c r="AH175" s="210"/>
      <c r="AI175" s="210"/>
      <c r="AJ175" s="210"/>
      <c r="AK175" s="210"/>
      <c r="AL175" s="210"/>
      <c r="AM175" s="210"/>
      <c r="AN175" s="210"/>
      <c r="AO175" s="210"/>
      <c r="AP175" s="210"/>
      <c r="AQ175" s="210"/>
    </row>
    <row r="176">
      <c r="A176" s="223" t="str">
        <f>IFERROR(__xludf.DUMMYFUNCTION("""COMPUTED_VALUE"""),"183440")</f>
        <v>183440</v>
      </c>
      <c r="B176" s="190" t="str">
        <f>IFERROR(__xludf.DUMMYFUNCTION("""COMPUTED_VALUE"""),"NGUYỄN HOÀNG GIANG")</f>
        <v>NGUYỄN HOÀNG GIANG</v>
      </c>
      <c r="C176" s="223" t="str">
        <f>IFERROR(__xludf.DUMMYFUNCTION("""COMPUTED_VALUE"""),"EL018")</f>
        <v>EL018</v>
      </c>
      <c r="D176" s="223" t="str">
        <f>IFERROR(__xludf.DUMMYFUNCTION("""COMPUTED_VALUE"""),"Nhat Phan 1")</f>
        <v>Nhat Phan 1</v>
      </c>
      <c r="E176" s="190" t="str">
        <f>IFERROR(__xludf.DUMMYFUNCTION("""COMPUTED_VALUE"""),"Communication 1")</f>
        <v>Communication 1</v>
      </c>
      <c r="F176" s="190"/>
      <c r="G176" s="190"/>
      <c r="H176" s="219">
        <f>IFERROR(__xludf.DUMMYFUNCTION("""COMPUTED_VALUE"""),45645.41666666667)</f>
        <v>45645.41667</v>
      </c>
      <c r="I176" s="219">
        <f>IFERROR(__xludf.DUMMYFUNCTION("""COMPUTED_VALUE"""),45645.41666666667)</f>
        <v>45645.41667</v>
      </c>
      <c r="J176" s="190" t="str">
        <f>IFERROR(__xludf.DUMMYFUNCTION("""COMPUTED_VALUE"""),"")</f>
        <v/>
      </c>
      <c r="K176" s="190" t="str">
        <f>IFERROR(__xludf.DUMMYFUNCTION("""COMPUTED_VALUE"""),"")</f>
        <v/>
      </c>
      <c r="L176" s="190" t="str">
        <f>IFERROR(__xludf.DUMMYFUNCTION("""COMPUTED_VALUE"""),"DEV")</f>
        <v>DEV</v>
      </c>
      <c r="M176" s="190" t="str">
        <f>IFERROR(__xludf.DUMMYFUNCTION("""COMPUTED_VALUE"""),"ONC")</f>
        <v>ONC</v>
      </c>
      <c r="N176" s="220" t="str">
        <f>IFERROR(__xludf.DUMMYFUNCTION("""COMPUTED_VALUE"""),"")</f>
        <v/>
      </c>
      <c r="O176" s="220">
        <f>IFERROR(__xludf.DUMMYFUNCTION("""COMPUTED_VALUE"""),0.0)</f>
        <v>0</v>
      </c>
      <c r="P176" s="220"/>
      <c r="Q176" s="190">
        <f t="shared" si="1"/>
        <v>1</v>
      </c>
      <c r="R176" s="211" t="s">
        <v>423</v>
      </c>
      <c r="S176" s="210" t="str">
        <f t="shared" si="2"/>
        <v>DEV</v>
      </c>
      <c r="T176" s="210" t="str">
        <f t="shared" si="3"/>
        <v>DEV, TA</v>
      </c>
      <c r="U176" s="210" t="str">
        <f t="shared" si="4"/>
        <v>CHORUS</v>
      </c>
      <c r="X176" s="210"/>
      <c r="Y176" s="210"/>
      <c r="Z176" s="210"/>
      <c r="AA176" s="210"/>
      <c r="AB176" s="210"/>
      <c r="AC176" s="210"/>
      <c r="AD176" s="210"/>
      <c r="AE176" s="210"/>
      <c r="AF176" s="210"/>
      <c r="AG176" s="210"/>
      <c r="AH176" s="210"/>
      <c r="AI176" s="210"/>
      <c r="AJ176" s="210"/>
      <c r="AK176" s="210"/>
      <c r="AL176" s="210"/>
      <c r="AM176" s="210"/>
      <c r="AN176" s="210"/>
      <c r="AO176" s="210"/>
      <c r="AP176" s="210"/>
      <c r="AQ176" s="210"/>
    </row>
    <row r="177">
      <c r="A177" s="223" t="str">
        <f>IFERROR(__xludf.DUMMYFUNCTION("""COMPUTED_VALUE"""),"183400")</f>
        <v>183400</v>
      </c>
      <c r="B177" s="190" t="str">
        <f>IFERROR(__xludf.DUMMYFUNCTION("""COMPUTED_VALUE"""),"TRẦN THANH HIẾU")</f>
        <v>TRẦN THANH HIẾU</v>
      </c>
      <c r="C177" s="223" t="str">
        <f>IFERROR(__xludf.DUMMYFUNCTION("""COMPUTED_VALUE"""),"EL018")</f>
        <v>EL018</v>
      </c>
      <c r="D177" s="223" t="str">
        <f>IFERROR(__xludf.DUMMYFUNCTION("""COMPUTED_VALUE"""),"Nhat Phan 1")</f>
        <v>Nhat Phan 1</v>
      </c>
      <c r="E177" s="190" t="str">
        <f>IFERROR(__xludf.DUMMYFUNCTION("""COMPUTED_VALUE"""),"Communication 1")</f>
        <v>Communication 1</v>
      </c>
      <c r="F177" s="190" t="str">
        <f>IFERROR(__xludf.DUMMYFUNCTION("""COMPUTED_VALUE"""),"Beginner")</f>
        <v>Beginner</v>
      </c>
      <c r="G177" s="190" t="str">
        <f>IFERROR(__xludf.DUMMYFUNCTION("""COMPUTED_VALUE"""),"Pre-Intermediate 1")</f>
        <v>Pre-Intermediate 1</v>
      </c>
      <c r="H177" s="219">
        <f>IFERROR(__xludf.DUMMYFUNCTION("""COMPUTED_VALUE"""),45645.41666666667)</f>
        <v>45645.41667</v>
      </c>
      <c r="I177" s="219">
        <f>IFERROR(__xludf.DUMMYFUNCTION("""COMPUTED_VALUE"""),45645.41666666667)</f>
        <v>45645.41667</v>
      </c>
      <c r="J177" s="190">
        <f>IFERROR(__xludf.DUMMYFUNCTION("""COMPUTED_VALUE"""),1.0)</f>
        <v>1</v>
      </c>
      <c r="K177" s="190">
        <f>IFERROR(__xludf.DUMMYFUNCTION("""COMPUTED_VALUE"""),3.0)</f>
        <v>3</v>
      </c>
      <c r="L177" s="190" t="str">
        <f>IFERROR(__xludf.DUMMYFUNCTION("""COMPUTED_VALUE"""),"DEV")</f>
        <v>DEV</v>
      </c>
      <c r="M177" s="190" t="str">
        <f>IFERROR(__xludf.DUMMYFUNCTION("""COMPUTED_VALUE"""),"ONC")</f>
        <v>ONC</v>
      </c>
      <c r="N177" s="220">
        <f>IFERROR(__xludf.DUMMYFUNCTION("""COMPUTED_VALUE"""),1.0)</f>
        <v>1</v>
      </c>
      <c r="O177" s="220">
        <f>IFERROR(__xludf.DUMMYFUNCTION("""COMPUTED_VALUE"""),3.0)</f>
        <v>3</v>
      </c>
      <c r="P177" s="220"/>
      <c r="Q177" s="190">
        <f t="shared" si="1"/>
        <v>1</v>
      </c>
      <c r="R177" s="211" t="s">
        <v>711</v>
      </c>
      <c r="S177" s="210" t="str">
        <f t="shared" si="2"/>
        <v>PPO</v>
      </c>
      <c r="T177" s="210" t="str">
        <f t="shared" si="3"/>
        <v>PPO, SM, IM </v>
      </c>
      <c r="U177" s="210" t="str">
        <f t="shared" si="4"/>
        <v>CHORUS</v>
      </c>
      <c r="X177" s="210"/>
      <c r="Y177" s="210"/>
      <c r="Z177" s="210"/>
      <c r="AA177" s="210"/>
      <c r="AB177" s="210"/>
      <c r="AC177" s="210"/>
      <c r="AD177" s="210"/>
      <c r="AE177" s="210"/>
      <c r="AF177" s="210"/>
      <c r="AG177" s="210"/>
      <c r="AH177" s="210"/>
      <c r="AI177" s="210"/>
      <c r="AJ177" s="210"/>
      <c r="AK177" s="210"/>
      <c r="AL177" s="210"/>
      <c r="AM177" s="210"/>
      <c r="AN177" s="210"/>
      <c r="AO177" s="210"/>
      <c r="AP177" s="210"/>
      <c r="AQ177" s="210"/>
    </row>
    <row r="178">
      <c r="A178" s="218" t="str">
        <f>IFERROR(__xludf.DUMMYFUNCTION("""COMPUTED_VALUE"""),"183432")</f>
        <v>183432</v>
      </c>
      <c r="B178" s="217" t="str">
        <f>IFERROR(__xludf.DUMMYFUNCTION("""COMPUTED_VALUE"""),"PHAN ĐÌNH MINH NHẬT")</f>
        <v>PHAN ĐÌNH MINH NHẬT</v>
      </c>
      <c r="C178" s="218" t="str">
        <f>IFERROR(__xludf.DUMMYFUNCTION("""COMPUTED_VALUE"""),"EL018")</f>
        <v>EL018</v>
      </c>
      <c r="D178" s="218" t="str">
        <f>IFERROR(__xludf.DUMMYFUNCTION("""COMPUTED_VALUE"""),"Nhat Phan 1")</f>
        <v>Nhat Phan 1</v>
      </c>
      <c r="E178" s="217" t="str">
        <f>IFERROR(__xludf.DUMMYFUNCTION("""COMPUTED_VALUE"""),"Communication 2")</f>
        <v>Communication 2</v>
      </c>
      <c r="F178" s="190" t="str">
        <f>IFERROR(__xludf.DUMMYFUNCTION("""COMPUTED_VALUE"""),"Pre-Intermediate 2")</f>
        <v>Pre-Intermediate 2</v>
      </c>
      <c r="G178" s="190"/>
      <c r="H178" s="219">
        <f>IFERROR(__xludf.DUMMYFUNCTION("""COMPUTED_VALUE"""),45887.375)</f>
        <v>45887.375</v>
      </c>
      <c r="I178" s="219">
        <f>IFERROR(__xludf.DUMMYFUNCTION("""COMPUTED_VALUE"""),45645.41666666667)</f>
        <v>45645.41667</v>
      </c>
      <c r="J178" s="190">
        <f>IFERROR(__xludf.DUMMYFUNCTION("""COMPUTED_VALUE"""),3.5)</f>
        <v>3.5</v>
      </c>
      <c r="K178" s="190" t="str">
        <f>IFERROR(__xludf.DUMMYFUNCTION("""COMPUTED_VALUE"""),"")</f>
        <v/>
      </c>
      <c r="L178" s="190" t="str">
        <f>IFERROR(__xludf.DUMMYFUNCTION("""COMPUTED_VALUE"""),"DEV")</f>
        <v>DEV</v>
      </c>
      <c r="M178" s="190" t="str">
        <f>IFERROR(__xludf.DUMMYFUNCTION("""COMPUTED_VALUE"""),"ONC")</f>
        <v>ONC</v>
      </c>
      <c r="N178" s="220">
        <f>IFERROR(__xludf.DUMMYFUNCTION("""COMPUTED_VALUE"""),2.5)</f>
        <v>2.5</v>
      </c>
      <c r="O178" s="220">
        <f>IFERROR(__xludf.DUMMYFUNCTION("""COMPUTED_VALUE"""),3.5)</f>
        <v>3.5</v>
      </c>
      <c r="P178" s="220"/>
      <c r="Q178" s="190">
        <f t="shared" si="1"/>
        <v>1</v>
      </c>
      <c r="R178" s="211" t="s">
        <v>713</v>
      </c>
      <c r="S178" s="210" t="str">
        <f t="shared" si="2"/>
        <v>DEV</v>
      </c>
      <c r="T178" s="210" t="str">
        <f t="shared" si="3"/>
        <v>DEV, TA</v>
      </c>
      <c r="U178" s="210" t="str">
        <f t="shared" si="4"/>
        <v>CHORUS</v>
      </c>
      <c r="X178" s="210"/>
      <c r="Y178" s="210"/>
      <c r="Z178" s="210"/>
      <c r="AA178" s="210"/>
      <c r="AB178" s="210"/>
      <c r="AC178" s="210"/>
      <c r="AD178" s="210"/>
      <c r="AE178" s="210"/>
      <c r="AF178" s="210"/>
      <c r="AG178" s="210"/>
      <c r="AH178" s="210"/>
      <c r="AI178" s="210"/>
      <c r="AJ178" s="210"/>
      <c r="AK178" s="210"/>
      <c r="AL178" s="210"/>
      <c r="AM178" s="210"/>
      <c r="AN178" s="210"/>
      <c r="AO178" s="210"/>
      <c r="AP178" s="210"/>
      <c r="AQ178" s="210"/>
    </row>
    <row r="179">
      <c r="A179" s="223" t="str">
        <f>IFERROR(__xludf.DUMMYFUNCTION("""COMPUTED_VALUE"""),"227023")</f>
        <v>227023</v>
      </c>
      <c r="B179" s="190" t="str">
        <f>IFERROR(__xludf.DUMMYFUNCTION("""COMPUTED_VALUE"""),"HOÀNG NAM VƯƠNG")</f>
        <v>HOÀNG NAM VƯƠNG</v>
      </c>
      <c r="C179" s="223" t="str">
        <f>IFERROR(__xludf.DUMMYFUNCTION("""COMPUTED_VALUE"""),"EL018")</f>
        <v>EL018</v>
      </c>
      <c r="D179" s="223" t="str">
        <f>IFERROR(__xludf.DUMMYFUNCTION("""COMPUTED_VALUE"""),"Nhat Phan 1")</f>
        <v>Nhat Phan 1</v>
      </c>
      <c r="E179" s="190" t="str">
        <f>IFERROR(__xludf.DUMMYFUNCTION("""COMPUTED_VALUE"""),"Communication 2")</f>
        <v>Communication 2</v>
      </c>
      <c r="F179" s="190" t="str">
        <f>IFERROR(__xludf.DUMMYFUNCTION("""COMPUTED_VALUE"""),"Beginner")</f>
        <v>Beginner</v>
      </c>
      <c r="G179" s="190"/>
      <c r="H179" s="219">
        <f>IFERROR(__xludf.DUMMYFUNCTION("""COMPUTED_VALUE"""),45887.375)</f>
        <v>45887.375</v>
      </c>
      <c r="I179" s="219">
        <f>IFERROR(__xludf.DUMMYFUNCTION("""COMPUTED_VALUE"""),45645.41666666667)</f>
        <v>45645.41667</v>
      </c>
      <c r="J179" s="190">
        <f>IFERROR(__xludf.DUMMYFUNCTION("""COMPUTED_VALUE"""),1.0)</f>
        <v>1</v>
      </c>
      <c r="K179" s="190" t="str">
        <f>IFERROR(__xludf.DUMMYFUNCTION("""COMPUTED_VALUE"""),"")</f>
        <v/>
      </c>
      <c r="L179" s="190" t="str">
        <f>IFERROR(__xludf.DUMMYFUNCTION("""COMPUTED_VALUE"""),"DEV")</f>
        <v>DEV</v>
      </c>
      <c r="M179" s="190" t="str">
        <f>IFERROR(__xludf.DUMMYFUNCTION("""COMPUTED_VALUE"""),"ONC")</f>
        <v>ONC</v>
      </c>
      <c r="N179" s="220">
        <f>IFERROR(__xludf.DUMMYFUNCTION("""COMPUTED_VALUE"""),1.0)</f>
        <v>1</v>
      </c>
      <c r="O179" s="220">
        <f>IFERROR(__xludf.DUMMYFUNCTION("""COMPUTED_VALUE"""),3.5)</f>
        <v>3.5</v>
      </c>
      <c r="P179" s="220"/>
      <c r="Q179" s="190">
        <f t="shared" si="1"/>
        <v>1</v>
      </c>
      <c r="R179" s="211" t="s">
        <v>549</v>
      </c>
      <c r="S179" s="210" t="str">
        <f t="shared" si="2"/>
        <v>DEV</v>
      </c>
      <c r="T179" s="210" t="str">
        <f t="shared" si="3"/>
        <v>DEV, TA</v>
      </c>
      <c r="U179" s="210" t="str">
        <f t="shared" si="4"/>
        <v>CHORUS</v>
      </c>
      <c r="X179" s="210"/>
      <c r="Y179" s="210"/>
      <c r="Z179" s="210"/>
      <c r="AA179" s="210"/>
      <c r="AB179" s="210"/>
      <c r="AC179" s="210"/>
      <c r="AD179" s="210"/>
      <c r="AE179" s="210"/>
      <c r="AF179" s="210"/>
      <c r="AG179" s="210"/>
      <c r="AH179" s="210"/>
      <c r="AI179" s="210"/>
      <c r="AJ179" s="210"/>
      <c r="AK179" s="210"/>
      <c r="AL179" s="210"/>
      <c r="AM179" s="210"/>
      <c r="AN179" s="210"/>
      <c r="AO179" s="210"/>
      <c r="AP179" s="210"/>
      <c r="AQ179" s="210"/>
    </row>
    <row r="180">
      <c r="A180" s="223" t="str">
        <f>IFERROR(__xludf.DUMMYFUNCTION("""COMPUTED_VALUE"""),"247357")</f>
        <v>247357</v>
      </c>
      <c r="B180" s="190" t="str">
        <f>IFERROR(__xludf.DUMMYFUNCTION("""COMPUTED_VALUE"""),"NGÔ MINH HIẾU")</f>
        <v>NGÔ MINH HIẾU</v>
      </c>
      <c r="C180" s="223" t="str">
        <f>IFERROR(__xludf.DUMMYFUNCTION("""COMPUTED_VALUE"""),"EL018")</f>
        <v>EL018</v>
      </c>
      <c r="D180" s="223" t="str">
        <f>IFERROR(__xludf.DUMMYFUNCTION("""COMPUTED_VALUE"""),"Nhat Phan 1")</f>
        <v>Nhat Phan 1</v>
      </c>
      <c r="E180" s="190" t="str">
        <f>IFERROR(__xludf.DUMMYFUNCTION("""COMPUTED_VALUE"""),"Communication 2")</f>
        <v>Communication 2</v>
      </c>
      <c r="F180" s="190" t="str">
        <f>IFERROR(__xludf.DUMMYFUNCTION("""COMPUTED_VALUE"""),"Beginner")</f>
        <v>Beginner</v>
      </c>
      <c r="G180" s="190"/>
      <c r="H180" s="219">
        <f>IFERROR(__xludf.DUMMYFUNCTION("""COMPUTED_VALUE"""),45887.375)</f>
        <v>45887.375</v>
      </c>
      <c r="I180" s="219">
        <f>IFERROR(__xludf.DUMMYFUNCTION("""COMPUTED_VALUE"""),45663.41666666667)</f>
        <v>45663.41667</v>
      </c>
      <c r="J180" s="190">
        <f>IFERROR(__xludf.DUMMYFUNCTION("""COMPUTED_VALUE"""),1.0)</f>
        <v>1</v>
      </c>
      <c r="K180" s="190" t="str">
        <f>IFERROR(__xludf.DUMMYFUNCTION("""COMPUTED_VALUE"""),"")</f>
        <v/>
      </c>
      <c r="L180" s="190" t="str">
        <f>IFERROR(__xludf.DUMMYFUNCTION("""COMPUTED_VALUE"""),"DEV")</f>
        <v>DEV</v>
      </c>
      <c r="M180" s="190" t="str">
        <f>IFERROR(__xludf.DUMMYFUNCTION("""COMPUTED_VALUE"""),"ONC")</f>
        <v>ONC</v>
      </c>
      <c r="N180" s="220">
        <f>IFERROR(__xludf.DUMMYFUNCTION("""COMPUTED_VALUE"""),1.0)</f>
        <v>1</v>
      </c>
      <c r="O180" s="220">
        <f>IFERROR(__xludf.DUMMYFUNCTION("""COMPUTED_VALUE"""),1.0)</f>
        <v>1</v>
      </c>
      <c r="P180" s="220"/>
      <c r="Q180" s="190">
        <f t="shared" si="1"/>
        <v>1</v>
      </c>
      <c r="R180" s="211" t="s">
        <v>200</v>
      </c>
      <c r="S180" s="210" t="str">
        <f t="shared" si="2"/>
        <v>DEV</v>
      </c>
      <c r="T180" s="210" t="str">
        <f t="shared" si="3"/>
        <v>DEV, TA</v>
      </c>
      <c r="U180" s="210" t="str">
        <f t="shared" si="4"/>
        <v>CHORUS</v>
      </c>
      <c r="X180" s="210"/>
      <c r="Y180" s="210"/>
      <c r="Z180" s="210"/>
      <c r="AA180" s="210"/>
      <c r="AB180" s="210"/>
      <c r="AC180" s="210"/>
      <c r="AD180" s="210"/>
      <c r="AE180" s="210"/>
      <c r="AF180" s="210"/>
      <c r="AG180" s="210"/>
      <c r="AH180" s="210"/>
      <c r="AI180" s="210"/>
      <c r="AJ180" s="210"/>
      <c r="AK180" s="210"/>
      <c r="AL180" s="210"/>
      <c r="AM180" s="210"/>
      <c r="AN180" s="210"/>
      <c r="AO180" s="210"/>
      <c r="AP180" s="210"/>
      <c r="AQ180" s="210"/>
    </row>
    <row r="181">
      <c r="A181" s="223" t="str">
        <f>IFERROR(__xludf.DUMMYFUNCTION("""COMPUTED_VALUE"""),"227024")</f>
        <v>227024</v>
      </c>
      <c r="B181" s="190" t="str">
        <f>IFERROR(__xludf.DUMMYFUNCTION("""COMPUTED_VALUE"""),"TRẦN QUỐC VIỆT")</f>
        <v>TRẦN QUỐC VIỆT</v>
      </c>
      <c r="C181" s="223" t="str">
        <f>IFERROR(__xludf.DUMMYFUNCTION("""COMPUTED_VALUE"""),"EL018")</f>
        <v>EL018</v>
      </c>
      <c r="D181" s="223" t="str">
        <f>IFERROR(__xludf.DUMMYFUNCTION("""COMPUTED_VALUE"""),"Nhat Phan 1")</f>
        <v>Nhat Phan 1</v>
      </c>
      <c r="E181" s="190" t="str">
        <f>IFERROR(__xludf.DUMMYFUNCTION("""COMPUTED_VALUE"""),"Communication 2")</f>
        <v>Communication 2</v>
      </c>
      <c r="F181" s="190" t="str">
        <f>IFERROR(__xludf.DUMMYFUNCTION("""COMPUTED_VALUE"""),"Pre-Intermediate")</f>
        <v>Pre-Intermediate</v>
      </c>
      <c r="G181" s="190"/>
      <c r="H181" s="219">
        <f>IFERROR(__xludf.DUMMYFUNCTION("""COMPUTED_VALUE"""),45887.375)</f>
        <v>45887.375</v>
      </c>
      <c r="I181" s="219">
        <f>IFERROR(__xludf.DUMMYFUNCTION("""COMPUTED_VALUE"""),45663.41666666667)</f>
        <v>45663.41667</v>
      </c>
      <c r="J181" s="190">
        <f>IFERROR(__xludf.DUMMYFUNCTION("""COMPUTED_VALUE"""),2.5)</f>
        <v>2.5</v>
      </c>
      <c r="K181" s="190" t="str">
        <f>IFERROR(__xludf.DUMMYFUNCTION("""COMPUTED_VALUE"""),"")</f>
        <v/>
      </c>
      <c r="L181" s="190" t="str">
        <f>IFERROR(__xludf.DUMMYFUNCTION("""COMPUTED_VALUE"""),"DEV")</f>
        <v>DEV</v>
      </c>
      <c r="M181" s="190" t="str">
        <f>IFERROR(__xludf.DUMMYFUNCTION("""COMPUTED_VALUE"""),"ONC")</f>
        <v>ONC</v>
      </c>
      <c r="N181" s="220">
        <f>IFERROR(__xludf.DUMMYFUNCTION("""COMPUTED_VALUE"""),1.0)</f>
        <v>1</v>
      </c>
      <c r="O181" s="220">
        <f>IFERROR(__xludf.DUMMYFUNCTION("""COMPUTED_VALUE"""),2.5)</f>
        <v>2.5</v>
      </c>
      <c r="P181" s="220"/>
      <c r="Q181" s="190">
        <f t="shared" si="1"/>
        <v>1</v>
      </c>
      <c r="R181" s="211" t="s">
        <v>214</v>
      </c>
      <c r="S181" s="210" t="str">
        <f t="shared" si="2"/>
        <v>DEV</v>
      </c>
      <c r="T181" s="210" t="str">
        <f t="shared" si="3"/>
        <v>DEV, TA</v>
      </c>
      <c r="U181" s="210" t="str">
        <f t="shared" si="4"/>
        <v>CHORUS</v>
      </c>
      <c r="X181" s="210"/>
      <c r="Y181" s="210"/>
      <c r="Z181" s="210"/>
      <c r="AA181" s="210"/>
      <c r="AB181" s="210"/>
      <c r="AC181" s="210"/>
      <c r="AD181" s="210"/>
      <c r="AE181" s="210"/>
      <c r="AF181" s="210"/>
      <c r="AG181" s="210"/>
      <c r="AH181" s="210"/>
      <c r="AI181" s="210"/>
      <c r="AJ181" s="210"/>
      <c r="AK181" s="210"/>
      <c r="AL181" s="210"/>
      <c r="AM181" s="210"/>
      <c r="AN181" s="210"/>
      <c r="AO181" s="210"/>
      <c r="AP181" s="210"/>
      <c r="AQ181" s="210"/>
    </row>
    <row r="182">
      <c r="A182" s="223" t="str">
        <f>IFERROR(__xludf.DUMMYFUNCTION("""COMPUTED_VALUE"""),"183400")</f>
        <v>183400</v>
      </c>
      <c r="B182" s="190" t="str">
        <f>IFERROR(__xludf.DUMMYFUNCTION("""COMPUTED_VALUE"""),"TRẦN THANH HIẾU")</f>
        <v>TRẦN THANH HIẾU</v>
      </c>
      <c r="C182" s="223" t="str">
        <f>IFERROR(__xludf.DUMMYFUNCTION("""COMPUTED_VALUE"""),"EL018")</f>
        <v>EL018</v>
      </c>
      <c r="D182" s="223" t="str">
        <f>IFERROR(__xludf.DUMMYFUNCTION("""COMPUTED_VALUE"""),"Nhat Phan 1")</f>
        <v>Nhat Phan 1</v>
      </c>
      <c r="E182" s="190" t="str">
        <f>IFERROR(__xludf.DUMMYFUNCTION("""COMPUTED_VALUE"""),"Communication 2")</f>
        <v>Communication 2</v>
      </c>
      <c r="F182" s="190" t="str">
        <f>IFERROR(__xludf.DUMMYFUNCTION("""COMPUTED_VALUE"""),"Pre-Intermediate 1")</f>
        <v>Pre-Intermediate 1</v>
      </c>
      <c r="G182" s="190"/>
      <c r="H182" s="219">
        <f>IFERROR(__xludf.DUMMYFUNCTION("""COMPUTED_VALUE"""),45887.375)</f>
        <v>45887.375</v>
      </c>
      <c r="I182" s="219">
        <f>IFERROR(__xludf.DUMMYFUNCTION("""COMPUTED_VALUE"""),45645.41666666667)</f>
        <v>45645.41667</v>
      </c>
      <c r="J182" s="190">
        <f>IFERROR(__xludf.DUMMYFUNCTION("""COMPUTED_VALUE"""),3.0)</f>
        <v>3</v>
      </c>
      <c r="K182" s="190" t="str">
        <f>IFERROR(__xludf.DUMMYFUNCTION("""COMPUTED_VALUE"""),"")</f>
        <v/>
      </c>
      <c r="L182" s="190" t="str">
        <f>IFERROR(__xludf.DUMMYFUNCTION("""COMPUTED_VALUE"""),"DEV")</f>
        <v>DEV</v>
      </c>
      <c r="M182" s="190" t="str">
        <f>IFERROR(__xludf.DUMMYFUNCTION("""COMPUTED_VALUE"""),"ONC")</f>
        <v>ONC</v>
      </c>
      <c r="N182" s="220">
        <f>IFERROR(__xludf.DUMMYFUNCTION("""COMPUTED_VALUE"""),1.0)</f>
        <v>1</v>
      </c>
      <c r="O182" s="220">
        <f>IFERROR(__xludf.DUMMYFUNCTION("""COMPUTED_VALUE"""),3.0)</f>
        <v>3</v>
      </c>
      <c r="P182" s="220"/>
      <c r="Q182" s="190">
        <f t="shared" si="1"/>
        <v>1</v>
      </c>
      <c r="R182" s="211" t="s">
        <v>436</v>
      </c>
      <c r="S182" s="210" t="str">
        <f t="shared" si="2"/>
        <v>DEV</v>
      </c>
      <c r="T182" s="210" t="str">
        <f t="shared" si="3"/>
        <v>DEV, TA</v>
      </c>
      <c r="U182" s="210" t="str">
        <f t="shared" si="4"/>
        <v>CHORUS</v>
      </c>
      <c r="X182" s="210"/>
      <c r="Y182" s="210"/>
      <c r="Z182" s="210"/>
      <c r="AA182" s="210"/>
      <c r="AB182" s="210"/>
      <c r="AC182" s="210"/>
      <c r="AD182" s="210"/>
      <c r="AE182" s="210"/>
      <c r="AF182" s="210"/>
      <c r="AG182" s="210"/>
      <c r="AH182" s="210"/>
      <c r="AI182" s="210"/>
      <c r="AJ182" s="210"/>
      <c r="AK182" s="210"/>
      <c r="AL182" s="210"/>
      <c r="AM182" s="210"/>
      <c r="AN182" s="210"/>
      <c r="AO182" s="210"/>
      <c r="AP182" s="210"/>
      <c r="AQ182" s="210"/>
    </row>
    <row r="183">
      <c r="A183" s="223" t="str">
        <f>IFERROR(__xludf.DUMMYFUNCTION("""COMPUTED_VALUE"""),"227032")</f>
        <v>227032</v>
      </c>
      <c r="B183" s="190" t="str">
        <f>IFERROR(__xludf.DUMMYFUNCTION("""COMPUTED_VALUE"""),"VŨ NHẬT MINH TRƯỜNG")</f>
        <v>VŨ NHẬT MINH TRƯỜNG</v>
      </c>
      <c r="C183" s="223" t="str">
        <f>IFERROR(__xludf.DUMMYFUNCTION("""COMPUTED_VALUE"""),"EL018")</f>
        <v>EL018</v>
      </c>
      <c r="D183" s="223" t="str">
        <f>IFERROR(__xludf.DUMMYFUNCTION("""COMPUTED_VALUE"""),"Nhat Phan 1")</f>
        <v>Nhat Phan 1</v>
      </c>
      <c r="E183" s="190" t="str">
        <f>IFERROR(__xludf.DUMMYFUNCTION("""COMPUTED_VALUE"""),"Communication 2")</f>
        <v>Communication 2</v>
      </c>
      <c r="F183" s="190" t="str">
        <f>IFERROR(__xludf.DUMMYFUNCTION("""COMPUTED_VALUE"""),"Pre-Intermediate")</f>
        <v>Pre-Intermediate</v>
      </c>
      <c r="G183" s="190"/>
      <c r="H183" s="219">
        <f>IFERROR(__xludf.DUMMYFUNCTION("""COMPUTED_VALUE"""),45887.375)</f>
        <v>45887.375</v>
      </c>
      <c r="I183" s="219">
        <f>IFERROR(__xludf.DUMMYFUNCTION("""COMPUTED_VALUE"""),45663.41666666667)</f>
        <v>45663.41667</v>
      </c>
      <c r="J183" s="190">
        <f>IFERROR(__xludf.DUMMYFUNCTION("""COMPUTED_VALUE"""),2.5)</f>
        <v>2.5</v>
      </c>
      <c r="K183" s="190" t="str">
        <f>IFERROR(__xludf.DUMMYFUNCTION("""COMPUTED_VALUE"""),"")</f>
        <v/>
      </c>
      <c r="L183" s="190" t="str">
        <f>IFERROR(__xludf.DUMMYFUNCTION("""COMPUTED_VALUE"""),"DEV")</f>
        <v>DEV</v>
      </c>
      <c r="M183" s="190" t="str">
        <f>IFERROR(__xludf.DUMMYFUNCTION("""COMPUTED_VALUE"""),"ONC")</f>
        <v>ONC</v>
      </c>
      <c r="N183" s="220">
        <f>IFERROR(__xludf.DUMMYFUNCTION("""COMPUTED_VALUE"""),2.5)</f>
        <v>2.5</v>
      </c>
      <c r="O183" s="220">
        <f>IFERROR(__xludf.DUMMYFUNCTION("""COMPUTED_VALUE"""),2.5)</f>
        <v>2.5</v>
      </c>
      <c r="P183" s="220"/>
      <c r="Q183" s="190">
        <f t="shared" si="1"/>
        <v>1</v>
      </c>
      <c r="R183" s="211" t="s">
        <v>476</v>
      </c>
      <c r="S183" s="210" t="str">
        <f t="shared" si="2"/>
        <v>DEV</v>
      </c>
      <c r="T183" s="210" t="str">
        <f t="shared" si="3"/>
        <v>DEV, TA</v>
      </c>
      <c r="U183" s="210" t="str">
        <f t="shared" si="4"/>
        <v>CHORUS</v>
      </c>
      <c r="X183" s="210"/>
      <c r="Y183" s="210"/>
      <c r="Z183" s="210"/>
      <c r="AA183" s="210"/>
      <c r="AB183" s="210"/>
      <c r="AC183" s="210"/>
      <c r="AD183" s="210"/>
      <c r="AE183" s="210"/>
      <c r="AF183" s="210"/>
      <c r="AG183" s="210"/>
      <c r="AH183" s="210"/>
      <c r="AI183" s="210"/>
      <c r="AJ183" s="210"/>
      <c r="AK183" s="210"/>
      <c r="AL183" s="210"/>
      <c r="AM183" s="210"/>
      <c r="AN183" s="210"/>
      <c r="AO183" s="210"/>
      <c r="AP183" s="210"/>
      <c r="AQ183" s="210"/>
    </row>
    <row r="184">
      <c r="A184" s="218" t="str">
        <f>IFERROR(__xludf.DUMMYFUNCTION("""COMPUTED_VALUE"""),"173286")</f>
        <v>173286</v>
      </c>
      <c r="B184" s="217" t="str">
        <f>IFERROR(__xludf.DUMMYFUNCTION("""COMPUTED_VALUE"""),"LÊ ANH TIẾN")</f>
        <v>LÊ ANH TIẾN</v>
      </c>
      <c r="C184" s="218" t="str">
        <f>IFERROR(__xludf.DUMMYFUNCTION("""COMPUTED_VALUE"""),"EL019")</f>
        <v>EL019</v>
      </c>
      <c r="D184" s="218" t="str">
        <f>IFERROR(__xludf.DUMMYFUNCTION("""COMPUTED_VALUE"""),"Nhat Phan 2")</f>
        <v>Nhat Phan 2</v>
      </c>
      <c r="E184" s="217" t="str">
        <f>IFERROR(__xludf.DUMMYFUNCTION("""COMPUTED_VALUE"""),"Communication 1")</f>
        <v>Communication 1</v>
      </c>
      <c r="F184" s="190" t="str">
        <f>IFERROR(__xludf.DUMMYFUNCTION("""COMPUTED_VALUE"""),"Pre-Intermediate")</f>
        <v>Pre-Intermediate</v>
      </c>
      <c r="G184" s="190" t="str">
        <f>IFERROR(__xludf.DUMMYFUNCTION("""COMPUTED_VALUE"""),"Intermediate")</f>
        <v>Intermediate</v>
      </c>
      <c r="H184" s="219">
        <f>IFERROR(__xludf.DUMMYFUNCTION("""COMPUTED_VALUE"""),45663.41666666667)</f>
        <v>45663.41667</v>
      </c>
      <c r="I184" s="219">
        <f>IFERROR(__xludf.DUMMYFUNCTION("""COMPUTED_VALUE"""),45663.41666666667)</f>
        <v>45663.41667</v>
      </c>
      <c r="J184" s="190">
        <f>IFERROR(__xludf.DUMMYFUNCTION("""COMPUTED_VALUE"""),2.5)</f>
        <v>2.5</v>
      </c>
      <c r="K184" s="190">
        <f>IFERROR(__xludf.DUMMYFUNCTION("""COMPUTED_VALUE"""),4.5)</f>
        <v>4.5</v>
      </c>
      <c r="L184" s="190" t="str">
        <f>IFERROR(__xludf.DUMMYFUNCTION("""COMPUTED_VALUE"""),"DEV")</f>
        <v>DEV</v>
      </c>
      <c r="M184" s="190" t="str">
        <f>IFERROR(__xludf.DUMMYFUNCTION("""COMPUTED_VALUE"""),"ONC")</f>
        <v>ONC</v>
      </c>
      <c r="N184" s="220">
        <f>IFERROR(__xludf.DUMMYFUNCTION("""COMPUTED_VALUE"""),2.5)</f>
        <v>2.5</v>
      </c>
      <c r="O184" s="220">
        <f>IFERROR(__xludf.DUMMYFUNCTION("""COMPUTED_VALUE"""),4.5)</f>
        <v>4.5</v>
      </c>
      <c r="P184" s="220"/>
      <c r="Q184" s="190">
        <f t="shared" si="1"/>
        <v>1</v>
      </c>
      <c r="R184" s="211" t="s">
        <v>488</v>
      </c>
      <c r="S184" s="210" t="str">
        <f t="shared" si="2"/>
        <v>QC</v>
      </c>
      <c r="T184" s="210" t="str">
        <f t="shared" si="3"/>
        <v>QC</v>
      </c>
      <c r="U184" s="210" t="str">
        <f t="shared" si="4"/>
        <v>CHORUS</v>
      </c>
      <c r="X184" s="210"/>
      <c r="Y184" s="210"/>
      <c r="Z184" s="210"/>
      <c r="AA184" s="210"/>
      <c r="AB184" s="210"/>
      <c r="AC184" s="210"/>
      <c r="AD184" s="210"/>
      <c r="AE184" s="210"/>
      <c r="AF184" s="210"/>
      <c r="AG184" s="210"/>
      <c r="AH184" s="210"/>
      <c r="AI184" s="210"/>
      <c r="AJ184" s="210"/>
      <c r="AK184" s="210"/>
      <c r="AL184" s="210"/>
      <c r="AM184" s="210"/>
      <c r="AN184" s="210"/>
      <c r="AO184" s="210"/>
      <c r="AP184" s="210"/>
      <c r="AQ184" s="210"/>
    </row>
    <row r="185">
      <c r="A185" s="223" t="str">
        <f>IFERROR(__xludf.DUMMYFUNCTION("""COMPUTED_VALUE"""),"193519")</f>
        <v>193519</v>
      </c>
      <c r="B185" s="190" t="str">
        <f>IFERROR(__xludf.DUMMYFUNCTION("""COMPUTED_VALUE"""),"LƯƠNG MINH QUÂN")</f>
        <v>LƯƠNG MINH QUÂN</v>
      </c>
      <c r="C185" s="223" t="str">
        <f>IFERROR(__xludf.DUMMYFUNCTION("""COMPUTED_VALUE"""),"EL019")</f>
        <v>EL019</v>
      </c>
      <c r="D185" s="223" t="str">
        <f>IFERROR(__xludf.DUMMYFUNCTION("""COMPUTED_VALUE"""),"Nhat Phan 2")</f>
        <v>Nhat Phan 2</v>
      </c>
      <c r="E185" s="190" t="str">
        <f>IFERROR(__xludf.DUMMYFUNCTION("""COMPUTED_VALUE"""),"Communication 1")</f>
        <v>Communication 1</v>
      </c>
      <c r="F185" s="190" t="str">
        <f>IFERROR(__xludf.DUMMYFUNCTION("""COMPUTED_VALUE"""),"Beginner")</f>
        <v>Beginner</v>
      </c>
      <c r="G185" s="190" t="str">
        <f>IFERROR(__xludf.DUMMYFUNCTION("""COMPUTED_VALUE"""),"Beginner")</f>
        <v>Beginner</v>
      </c>
      <c r="H185" s="219">
        <f>IFERROR(__xludf.DUMMYFUNCTION("""COMPUTED_VALUE"""),45663.41666666667)</f>
        <v>45663.41667</v>
      </c>
      <c r="I185" s="219">
        <f>IFERROR(__xludf.DUMMYFUNCTION("""COMPUTED_VALUE"""),45663.41666666667)</f>
        <v>45663.41667</v>
      </c>
      <c r="J185" s="190">
        <f>IFERROR(__xludf.DUMMYFUNCTION("""COMPUTED_VALUE"""),1.0)</f>
        <v>1</v>
      </c>
      <c r="K185" s="190">
        <f>IFERROR(__xludf.DUMMYFUNCTION("""COMPUTED_VALUE"""),1.0)</f>
        <v>1</v>
      </c>
      <c r="L185" s="190" t="str">
        <f>IFERROR(__xludf.DUMMYFUNCTION("""COMPUTED_VALUE"""),"DEV")</f>
        <v>DEV</v>
      </c>
      <c r="M185" s="190" t="str">
        <f>IFERROR(__xludf.DUMMYFUNCTION("""COMPUTED_VALUE"""),"ONC")</f>
        <v>ONC</v>
      </c>
      <c r="N185" s="220">
        <f>IFERROR(__xludf.DUMMYFUNCTION("""COMPUTED_VALUE"""),1.0)</f>
        <v>1</v>
      </c>
      <c r="O185" s="220">
        <f>IFERROR(__xludf.DUMMYFUNCTION("""COMPUTED_VALUE"""),1.0)</f>
        <v>1</v>
      </c>
      <c r="P185" s="220"/>
      <c r="Q185" s="190">
        <f t="shared" si="1"/>
        <v>1</v>
      </c>
      <c r="R185" s="211" t="s">
        <v>661</v>
      </c>
      <c r="S185" s="210" t="str">
        <f t="shared" si="2"/>
        <v>SM</v>
      </c>
      <c r="T185" s="210" t="str">
        <f t="shared" si="3"/>
        <v>PPO, SM, IM </v>
      </c>
      <c r="U185" s="210" t="str">
        <f t="shared" si="4"/>
        <v>CHORUS</v>
      </c>
      <c r="X185" s="210"/>
      <c r="Y185" s="210"/>
      <c r="Z185" s="210"/>
      <c r="AA185" s="210"/>
      <c r="AB185" s="210"/>
      <c r="AC185" s="210"/>
      <c r="AD185" s="210"/>
      <c r="AE185" s="210"/>
      <c r="AF185" s="210"/>
      <c r="AG185" s="210"/>
      <c r="AH185" s="210"/>
      <c r="AI185" s="210"/>
      <c r="AJ185" s="210"/>
      <c r="AK185" s="210"/>
      <c r="AL185" s="210"/>
      <c r="AM185" s="210"/>
      <c r="AN185" s="210"/>
      <c r="AO185" s="210"/>
      <c r="AP185" s="210"/>
      <c r="AQ185" s="210"/>
    </row>
    <row r="186">
      <c r="A186" s="223" t="str">
        <f>IFERROR(__xludf.DUMMYFUNCTION("""COMPUTED_VALUE"""),"247357")</f>
        <v>247357</v>
      </c>
      <c r="B186" s="190" t="str">
        <f>IFERROR(__xludf.DUMMYFUNCTION("""COMPUTED_VALUE"""),"NGÔ MINH HIẾU")</f>
        <v>NGÔ MINH HIẾU</v>
      </c>
      <c r="C186" s="223" t="str">
        <f>IFERROR(__xludf.DUMMYFUNCTION("""COMPUTED_VALUE"""),"EL019")</f>
        <v>EL019</v>
      </c>
      <c r="D186" s="223" t="str">
        <f>IFERROR(__xludf.DUMMYFUNCTION("""COMPUTED_VALUE"""),"Nhat Phan 2")</f>
        <v>Nhat Phan 2</v>
      </c>
      <c r="E186" s="190" t="str">
        <f>IFERROR(__xludf.DUMMYFUNCTION("""COMPUTED_VALUE"""),"Communication 1")</f>
        <v>Communication 1</v>
      </c>
      <c r="F186" s="190" t="str">
        <f>IFERROR(__xludf.DUMMYFUNCTION("""COMPUTED_VALUE"""),"Beginner")</f>
        <v>Beginner</v>
      </c>
      <c r="G186" s="190" t="str">
        <f>IFERROR(__xludf.DUMMYFUNCTION("""COMPUTED_VALUE"""),"Beginner")</f>
        <v>Beginner</v>
      </c>
      <c r="H186" s="219">
        <f>IFERROR(__xludf.DUMMYFUNCTION("""COMPUTED_VALUE"""),45663.41666666667)</f>
        <v>45663.41667</v>
      </c>
      <c r="I186" s="219">
        <f>IFERROR(__xludf.DUMMYFUNCTION("""COMPUTED_VALUE"""),45663.41666666667)</f>
        <v>45663.41667</v>
      </c>
      <c r="J186" s="190">
        <f>IFERROR(__xludf.DUMMYFUNCTION("""COMPUTED_VALUE"""),1.0)</f>
        <v>1</v>
      </c>
      <c r="K186" s="190">
        <f>IFERROR(__xludf.DUMMYFUNCTION("""COMPUTED_VALUE"""),1.0)</f>
        <v>1</v>
      </c>
      <c r="L186" s="190" t="str">
        <f>IFERROR(__xludf.DUMMYFUNCTION("""COMPUTED_VALUE"""),"DEV")</f>
        <v>DEV</v>
      </c>
      <c r="M186" s="190" t="str">
        <f>IFERROR(__xludf.DUMMYFUNCTION("""COMPUTED_VALUE"""),"ONC")</f>
        <v>ONC</v>
      </c>
      <c r="N186" s="220">
        <f>IFERROR(__xludf.DUMMYFUNCTION("""COMPUTED_VALUE"""),1.0)</f>
        <v>1</v>
      </c>
      <c r="O186" s="220">
        <f>IFERROR(__xludf.DUMMYFUNCTION("""COMPUTED_VALUE"""),1.0)</f>
        <v>1</v>
      </c>
      <c r="P186" s="220"/>
      <c r="Q186" s="190">
        <f t="shared" si="1"/>
        <v>1</v>
      </c>
      <c r="R186" s="211" t="s">
        <v>157</v>
      </c>
      <c r="S186" s="210" t="str">
        <f t="shared" si="2"/>
        <v>QC</v>
      </c>
      <c r="T186" s="210" t="str">
        <f t="shared" si="3"/>
        <v>QC</v>
      </c>
      <c r="U186" s="210" t="str">
        <f t="shared" si="4"/>
        <v>CHORUS</v>
      </c>
      <c r="X186" s="210"/>
      <c r="Y186" s="210"/>
      <c r="Z186" s="210"/>
      <c r="AA186" s="210"/>
      <c r="AB186" s="210"/>
      <c r="AC186" s="210"/>
      <c r="AD186" s="210"/>
      <c r="AE186" s="210"/>
      <c r="AF186" s="210"/>
      <c r="AG186" s="210"/>
      <c r="AH186" s="210"/>
      <c r="AI186" s="210"/>
      <c r="AJ186" s="210"/>
      <c r="AK186" s="210"/>
      <c r="AL186" s="210"/>
      <c r="AM186" s="210"/>
      <c r="AN186" s="210"/>
      <c r="AO186" s="210"/>
      <c r="AP186" s="210"/>
      <c r="AQ186" s="210"/>
    </row>
    <row r="187">
      <c r="A187" s="223" t="str">
        <f>IFERROR(__xludf.DUMMYFUNCTION("""COMPUTED_VALUE"""),"213810")</f>
        <v>213810</v>
      </c>
      <c r="B187" s="190" t="str">
        <f>IFERROR(__xludf.DUMMYFUNCTION("""COMPUTED_VALUE"""),"NGUYỄN MINH DUY")</f>
        <v>NGUYỄN MINH DUY</v>
      </c>
      <c r="C187" s="223" t="str">
        <f>IFERROR(__xludf.DUMMYFUNCTION("""COMPUTED_VALUE"""),"EL019")</f>
        <v>EL019</v>
      </c>
      <c r="D187" s="223" t="str">
        <f>IFERROR(__xludf.DUMMYFUNCTION("""COMPUTED_VALUE"""),"Nhat Phan 2")</f>
        <v>Nhat Phan 2</v>
      </c>
      <c r="E187" s="190" t="str">
        <f>IFERROR(__xludf.DUMMYFUNCTION("""COMPUTED_VALUE"""),"Communication 1")</f>
        <v>Communication 1</v>
      </c>
      <c r="F187" s="190" t="str">
        <f>IFERROR(__xludf.DUMMYFUNCTION("""COMPUTED_VALUE"""),"Pre-Intermediate")</f>
        <v>Pre-Intermediate</v>
      </c>
      <c r="G187" s="190" t="str">
        <f>IFERROR(__xludf.DUMMYFUNCTION("""COMPUTED_VALUE"""),"Intermediate")</f>
        <v>Intermediate</v>
      </c>
      <c r="H187" s="219">
        <f>IFERROR(__xludf.DUMMYFUNCTION("""COMPUTED_VALUE"""),45663.41666666667)</f>
        <v>45663.41667</v>
      </c>
      <c r="I187" s="219">
        <f>IFERROR(__xludf.DUMMYFUNCTION("""COMPUTED_VALUE"""),45663.41666666667)</f>
        <v>45663.41667</v>
      </c>
      <c r="J187" s="190">
        <f>IFERROR(__xludf.DUMMYFUNCTION("""COMPUTED_VALUE"""),2.5)</f>
        <v>2.5</v>
      </c>
      <c r="K187" s="190">
        <f>IFERROR(__xludf.DUMMYFUNCTION("""COMPUTED_VALUE"""),4.5)</f>
        <v>4.5</v>
      </c>
      <c r="L187" s="190" t="str">
        <f>IFERROR(__xludf.DUMMYFUNCTION("""COMPUTED_VALUE"""),"DEV")</f>
        <v>DEV</v>
      </c>
      <c r="M187" s="190" t="str">
        <f>IFERROR(__xludf.DUMMYFUNCTION("""COMPUTED_VALUE"""),"ONC")</f>
        <v>ONC</v>
      </c>
      <c r="N187" s="220">
        <f>IFERROR(__xludf.DUMMYFUNCTION("""COMPUTED_VALUE"""),2.5)</f>
        <v>2.5</v>
      </c>
      <c r="O187" s="220">
        <f>IFERROR(__xludf.DUMMYFUNCTION("""COMPUTED_VALUE"""),4.5)</f>
        <v>4.5</v>
      </c>
      <c r="P187" s="220"/>
      <c r="Q187" s="190">
        <f t="shared" si="1"/>
        <v>1</v>
      </c>
      <c r="R187" s="211" t="s">
        <v>194</v>
      </c>
      <c r="S187" s="210" t="str">
        <f t="shared" si="2"/>
        <v>DEV</v>
      </c>
      <c r="T187" s="210" t="str">
        <f t="shared" si="3"/>
        <v>DEV, TA</v>
      </c>
      <c r="U187" s="210" t="str">
        <f t="shared" si="4"/>
        <v>CHORUS</v>
      </c>
      <c r="X187" s="210"/>
      <c r="Y187" s="210"/>
      <c r="Z187" s="210"/>
      <c r="AA187" s="210"/>
      <c r="AB187" s="210"/>
      <c r="AC187" s="210"/>
      <c r="AD187" s="210"/>
      <c r="AE187" s="210"/>
      <c r="AF187" s="210"/>
      <c r="AG187" s="210"/>
      <c r="AH187" s="210"/>
      <c r="AI187" s="210"/>
      <c r="AJ187" s="210"/>
      <c r="AK187" s="210"/>
      <c r="AL187" s="210"/>
      <c r="AM187" s="210"/>
      <c r="AN187" s="210"/>
      <c r="AO187" s="210"/>
      <c r="AP187" s="210"/>
      <c r="AQ187" s="210"/>
    </row>
    <row r="188">
      <c r="A188" s="223" t="str">
        <f>IFERROR(__xludf.DUMMYFUNCTION("""COMPUTED_VALUE"""),"227024")</f>
        <v>227024</v>
      </c>
      <c r="B188" s="190" t="str">
        <f>IFERROR(__xludf.DUMMYFUNCTION("""COMPUTED_VALUE"""),"TRẦN QUỐC VIỆT")</f>
        <v>TRẦN QUỐC VIỆT</v>
      </c>
      <c r="C188" s="223" t="str">
        <f>IFERROR(__xludf.DUMMYFUNCTION("""COMPUTED_VALUE"""),"EL019")</f>
        <v>EL019</v>
      </c>
      <c r="D188" s="223" t="str">
        <f>IFERROR(__xludf.DUMMYFUNCTION("""COMPUTED_VALUE"""),"Nhat Phan 2")</f>
        <v>Nhat Phan 2</v>
      </c>
      <c r="E188" s="190" t="str">
        <f>IFERROR(__xludf.DUMMYFUNCTION("""COMPUTED_VALUE"""),"Communication 1")</f>
        <v>Communication 1</v>
      </c>
      <c r="F188" s="190" t="str">
        <f>IFERROR(__xludf.DUMMYFUNCTION("""COMPUTED_VALUE"""),"Beginner")</f>
        <v>Beginner</v>
      </c>
      <c r="G188" s="190" t="str">
        <f>IFERROR(__xludf.DUMMYFUNCTION("""COMPUTED_VALUE"""),"Pre-Intermediate")</f>
        <v>Pre-Intermediate</v>
      </c>
      <c r="H188" s="219">
        <f>IFERROR(__xludf.DUMMYFUNCTION("""COMPUTED_VALUE"""),45663.41666666667)</f>
        <v>45663.41667</v>
      </c>
      <c r="I188" s="219">
        <f>IFERROR(__xludf.DUMMYFUNCTION("""COMPUTED_VALUE"""),45663.41666666667)</f>
        <v>45663.41667</v>
      </c>
      <c r="J188" s="190">
        <f>IFERROR(__xludf.DUMMYFUNCTION("""COMPUTED_VALUE"""),1.0)</f>
        <v>1</v>
      </c>
      <c r="K188" s="190">
        <f>IFERROR(__xludf.DUMMYFUNCTION("""COMPUTED_VALUE"""),2.5)</f>
        <v>2.5</v>
      </c>
      <c r="L188" s="190" t="str">
        <f>IFERROR(__xludf.DUMMYFUNCTION("""COMPUTED_VALUE"""),"DEV")</f>
        <v>DEV</v>
      </c>
      <c r="M188" s="190" t="str">
        <f>IFERROR(__xludf.DUMMYFUNCTION("""COMPUTED_VALUE"""),"ONC")</f>
        <v>ONC</v>
      </c>
      <c r="N188" s="220">
        <f>IFERROR(__xludf.DUMMYFUNCTION("""COMPUTED_VALUE"""),1.0)</f>
        <v>1</v>
      </c>
      <c r="O188" s="220">
        <f>IFERROR(__xludf.DUMMYFUNCTION("""COMPUTED_VALUE"""),2.5)</f>
        <v>2.5</v>
      </c>
      <c r="P188" s="220"/>
      <c r="Q188" s="190">
        <f t="shared" si="1"/>
        <v>1</v>
      </c>
      <c r="R188" s="211" t="s">
        <v>457</v>
      </c>
      <c r="S188" s="210" t="str">
        <f t="shared" si="2"/>
        <v>QC</v>
      </c>
      <c r="T188" s="210" t="str">
        <f t="shared" si="3"/>
        <v>QC</v>
      </c>
      <c r="U188" s="210" t="str">
        <f t="shared" si="4"/>
        <v>CHORUS</v>
      </c>
      <c r="X188" s="210"/>
      <c r="Y188" s="210"/>
      <c r="Z188" s="210"/>
      <c r="AA188" s="210"/>
      <c r="AB188" s="210"/>
      <c r="AC188" s="210"/>
      <c r="AD188" s="210"/>
      <c r="AE188" s="210"/>
      <c r="AF188" s="210"/>
      <c r="AG188" s="210"/>
      <c r="AH188" s="210"/>
      <c r="AI188" s="210"/>
      <c r="AJ188" s="210"/>
      <c r="AK188" s="210"/>
      <c r="AL188" s="210"/>
      <c r="AM188" s="210"/>
      <c r="AN188" s="210"/>
      <c r="AO188" s="210"/>
      <c r="AP188" s="210"/>
      <c r="AQ188" s="210"/>
    </row>
    <row r="189">
      <c r="A189" s="223" t="str">
        <f>IFERROR(__xludf.DUMMYFUNCTION("""COMPUTED_VALUE"""),"227032")</f>
        <v>227032</v>
      </c>
      <c r="B189" s="190" t="str">
        <f>IFERROR(__xludf.DUMMYFUNCTION("""COMPUTED_VALUE"""),"VŨ NHẬT MINH TRƯỜNG")</f>
        <v>VŨ NHẬT MINH TRƯỜNG</v>
      </c>
      <c r="C189" s="223" t="str">
        <f>IFERROR(__xludf.DUMMYFUNCTION("""COMPUTED_VALUE"""),"EL019")</f>
        <v>EL019</v>
      </c>
      <c r="D189" s="223" t="str">
        <f>IFERROR(__xludf.DUMMYFUNCTION("""COMPUTED_VALUE"""),"Nhat Phan 2")</f>
        <v>Nhat Phan 2</v>
      </c>
      <c r="E189" s="190" t="str">
        <f>IFERROR(__xludf.DUMMYFUNCTION("""COMPUTED_VALUE"""),"Communication 1")</f>
        <v>Communication 1</v>
      </c>
      <c r="F189" s="190" t="str">
        <f>IFERROR(__xludf.DUMMYFUNCTION("""COMPUTED_VALUE"""),"Pre-Intermediate")</f>
        <v>Pre-Intermediate</v>
      </c>
      <c r="G189" s="190" t="str">
        <f>IFERROR(__xludf.DUMMYFUNCTION("""COMPUTED_VALUE"""),"Pre-Intermediate")</f>
        <v>Pre-Intermediate</v>
      </c>
      <c r="H189" s="219">
        <f>IFERROR(__xludf.DUMMYFUNCTION("""COMPUTED_VALUE"""),45663.41666666667)</f>
        <v>45663.41667</v>
      </c>
      <c r="I189" s="219">
        <f>IFERROR(__xludf.DUMMYFUNCTION("""COMPUTED_VALUE"""),45663.41666666667)</f>
        <v>45663.41667</v>
      </c>
      <c r="J189" s="190">
        <f>IFERROR(__xludf.DUMMYFUNCTION("""COMPUTED_VALUE"""),2.5)</f>
        <v>2.5</v>
      </c>
      <c r="K189" s="190">
        <f>IFERROR(__xludf.DUMMYFUNCTION("""COMPUTED_VALUE"""),2.5)</f>
        <v>2.5</v>
      </c>
      <c r="L189" s="190" t="str">
        <f>IFERROR(__xludf.DUMMYFUNCTION("""COMPUTED_VALUE"""),"DEV")</f>
        <v>DEV</v>
      </c>
      <c r="M189" s="190" t="str">
        <f>IFERROR(__xludf.DUMMYFUNCTION("""COMPUTED_VALUE"""),"ONC")</f>
        <v>ONC</v>
      </c>
      <c r="N189" s="220">
        <f>IFERROR(__xludf.DUMMYFUNCTION("""COMPUTED_VALUE"""),2.5)</f>
        <v>2.5</v>
      </c>
      <c r="O189" s="220">
        <f>IFERROR(__xludf.DUMMYFUNCTION("""COMPUTED_VALUE"""),2.5)</f>
        <v>2.5</v>
      </c>
      <c r="P189" s="220"/>
      <c r="Q189" s="190">
        <f t="shared" si="1"/>
        <v>1</v>
      </c>
      <c r="R189" s="211" t="s">
        <v>541</v>
      </c>
      <c r="S189" s="210" t="str">
        <f t="shared" si="2"/>
        <v>SM</v>
      </c>
      <c r="T189" s="210" t="str">
        <f t="shared" si="3"/>
        <v>PPO, SM, IM </v>
      </c>
      <c r="U189" s="210" t="str">
        <f t="shared" si="4"/>
        <v>CHORUS</v>
      </c>
      <c r="X189" s="210"/>
      <c r="Y189" s="210"/>
      <c r="Z189" s="210"/>
      <c r="AA189" s="210"/>
      <c r="AB189" s="210"/>
      <c r="AC189" s="210"/>
      <c r="AD189" s="210"/>
      <c r="AE189" s="210"/>
      <c r="AF189" s="210"/>
      <c r="AG189" s="210"/>
      <c r="AH189" s="210"/>
      <c r="AI189" s="210"/>
      <c r="AJ189" s="210"/>
      <c r="AK189" s="210"/>
      <c r="AL189" s="210"/>
      <c r="AM189" s="210"/>
      <c r="AN189" s="210"/>
      <c r="AO189" s="210"/>
      <c r="AP189" s="210"/>
      <c r="AQ189" s="210"/>
    </row>
    <row r="190">
      <c r="A190" s="218" t="str">
        <f>IFERROR(__xludf.DUMMYFUNCTION("""COMPUTED_VALUE"""),"213974")</f>
        <v>213974</v>
      </c>
      <c r="B190" s="217" t="str">
        <f>IFERROR(__xludf.DUMMYFUNCTION("""COMPUTED_VALUE"""),"NGUYỄN QUÍ EM")</f>
        <v>NGUYỄN QUÍ EM</v>
      </c>
      <c r="C190" s="218" t="str">
        <f>IFERROR(__xludf.DUMMYFUNCTION("""COMPUTED_VALUE"""),"EL020")</f>
        <v>EL020</v>
      </c>
      <c r="D190" s="218" t="str">
        <f>IFERROR(__xludf.DUMMYFUNCTION("""COMPUTED_VALUE"""),"Qui Em")</f>
        <v>Qui Em</v>
      </c>
      <c r="E190" s="217" t="str">
        <f>IFERROR(__xludf.DUMMYFUNCTION("""COMPUTED_VALUE"""),"Communication 1")</f>
        <v>Communication 1</v>
      </c>
      <c r="F190" s="190" t="str">
        <f>IFERROR(__xludf.DUMMYFUNCTION("""COMPUTED_VALUE"""),"Beginner")</f>
        <v>Beginner</v>
      </c>
      <c r="G190" s="190" t="str">
        <f>IFERROR(__xludf.DUMMYFUNCTION("""COMPUTED_VALUE"""),"Pre-Intermediate 2")</f>
        <v>Pre-Intermediate 2</v>
      </c>
      <c r="H190" s="219">
        <f>IFERROR(__xludf.DUMMYFUNCTION("""COMPUTED_VALUE"""),45638.41666666667)</f>
        <v>45638.41667</v>
      </c>
      <c r="I190" s="219">
        <f>IFERROR(__xludf.DUMMYFUNCTION("""COMPUTED_VALUE"""),45638.41666666667)</f>
        <v>45638.41667</v>
      </c>
      <c r="J190" s="190">
        <f>IFERROR(__xludf.DUMMYFUNCTION("""COMPUTED_VALUE"""),1.0)</f>
        <v>1</v>
      </c>
      <c r="K190" s="190">
        <f>IFERROR(__xludf.DUMMYFUNCTION("""COMPUTED_VALUE"""),3.5)</f>
        <v>3.5</v>
      </c>
      <c r="L190" s="190" t="str">
        <f>IFERROR(__xludf.DUMMYFUNCTION("""COMPUTED_VALUE"""),"DEV")</f>
        <v>DEV</v>
      </c>
      <c r="M190" s="190" t="str">
        <f>IFERROR(__xludf.DUMMYFUNCTION("""COMPUTED_VALUE"""),"TBU")</f>
        <v>TBU</v>
      </c>
      <c r="N190" s="220">
        <f>IFERROR(__xludf.DUMMYFUNCTION("""COMPUTED_VALUE"""),1.0)</f>
        <v>1</v>
      </c>
      <c r="O190" s="220">
        <f>IFERROR(__xludf.DUMMYFUNCTION("""COMPUTED_VALUE"""),3.5)</f>
        <v>3.5</v>
      </c>
      <c r="P190" s="220"/>
      <c r="Q190" s="190">
        <f t="shared" si="1"/>
        <v>1</v>
      </c>
      <c r="R190" s="211" t="s">
        <v>703</v>
      </c>
      <c r="S190" s="210" t="str">
        <f t="shared" si="2"/>
        <v>DEV</v>
      </c>
      <c r="T190" s="210" t="str">
        <f t="shared" si="3"/>
        <v>DEV, TA</v>
      </c>
      <c r="U190" s="210" t="str">
        <f t="shared" si="4"/>
        <v>CHORUS</v>
      </c>
      <c r="X190" s="210"/>
      <c r="Y190" s="210"/>
      <c r="Z190" s="210"/>
      <c r="AA190" s="210"/>
      <c r="AB190" s="210"/>
      <c r="AC190" s="210"/>
      <c r="AD190" s="210"/>
      <c r="AE190" s="210"/>
      <c r="AF190" s="210"/>
      <c r="AG190" s="210"/>
      <c r="AH190" s="210"/>
      <c r="AI190" s="210"/>
      <c r="AJ190" s="210"/>
      <c r="AK190" s="210"/>
      <c r="AL190" s="210"/>
      <c r="AM190" s="210"/>
      <c r="AN190" s="210"/>
      <c r="AO190" s="210"/>
      <c r="AP190" s="210"/>
      <c r="AQ190" s="210"/>
    </row>
    <row r="191">
      <c r="A191" s="223" t="str">
        <f>IFERROR(__xludf.DUMMYFUNCTION("""COMPUTED_VALUE"""),"247389")</f>
        <v>247389</v>
      </c>
      <c r="B191" s="190" t="str">
        <f>IFERROR(__xludf.DUMMYFUNCTION("""COMPUTED_VALUE"""),"ĐINH TRƯƠNG THANH TUYỀN")</f>
        <v>ĐINH TRƯƠNG THANH TUYỀN</v>
      </c>
      <c r="C191" s="223" t="str">
        <f>IFERROR(__xludf.DUMMYFUNCTION("""COMPUTED_VALUE"""),"EL020")</f>
        <v>EL020</v>
      </c>
      <c r="D191" s="223" t="str">
        <f>IFERROR(__xludf.DUMMYFUNCTION("""COMPUTED_VALUE"""),"Qui Em")</f>
        <v>Qui Em</v>
      </c>
      <c r="E191" s="190" t="str">
        <f>IFERROR(__xludf.DUMMYFUNCTION("""COMPUTED_VALUE"""),"Communication 1")</f>
        <v>Communication 1</v>
      </c>
      <c r="F191" s="190" t="str">
        <f>IFERROR(__xludf.DUMMYFUNCTION("""COMPUTED_VALUE"""),"Beginner")</f>
        <v>Beginner</v>
      </c>
      <c r="G191" s="190" t="str">
        <f>IFERROR(__xludf.DUMMYFUNCTION("""COMPUTED_VALUE"""),"Beginner 2")</f>
        <v>Beginner 2</v>
      </c>
      <c r="H191" s="219">
        <f>IFERROR(__xludf.DUMMYFUNCTION("""COMPUTED_VALUE"""),45638.41666666667)</f>
        <v>45638.41667</v>
      </c>
      <c r="I191" s="219">
        <f>IFERROR(__xludf.DUMMYFUNCTION("""COMPUTED_VALUE"""),45638.41666666667)</f>
        <v>45638.41667</v>
      </c>
      <c r="J191" s="190">
        <f>IFERROR(__xludf.DUMMYFUNCTION("""COMPUTED_VALUE"""),1.0)</f>
        <v>1</v>
      </c>
      <c r="K191" s="190">
        <f>IFERROR(__xludf.DUMMYFUNCTION("""COMPUTED_VALUE"""),1.5)</f>
        <v>1.5</v>
      </c>
      <c r="L191" s="190" t="str">
        <f>IFERROR(__xludf.DUMMYFUNCTION("""COMPUTED_VALUE"""),"QC")</f>
        <v>QC</v>
      </c>
      <c r="M191" s="190" t="str">
        <f>IFERROR(__xludf.DUMMYFUNCTION("""COMPUTED_VALUE"""),"LBU")</f>
        <v>LBU</v>
      </c>
      <c r="N191" s="220">
        <f>IFERROR(__xludf.DUMMYFUNCTION("""COMPUTED_VALUE"""),1.0)</f>
        <v>1</v>
      </c>
      <c r="O191" s="220">
        <f>IFERROR(__xludf.DUMMYFUNCTION("""COMPUTED_VALUE"""),1.5)</f>
        <v>1.5</v>
      </c>
      <c r="P191" s="220"/>
      <c r="Q191" s="190">
        <f t="shared" si="1"/>
        <v>1</v>
      </c>
      <c r="R191" s="211" t="s">
        <v>707</v>
      </c>
      <c r="S191" s="210" t="str">
        <f t="shared" si="2"/>
        <v>SM</v>
      </c>
      <c r="T191" s="210" t="str">
        <f t="shared" si="3"/>
        <v>PPO, SM, IM </v>
      </c>
      <c r="U191" s="210" t="str">
        <f t="shared" si="4"/>
        <v>CHORUS</v>
      </c>
      <c r="X191" s="210"/>
      <c r="Y191" s="210"/>
      <c r="Z191" s="210"/>
      <c r="AA191" s="210"/>
      <c r="AB191" s="210"/>
      <c r="AC191" s="210"/>
      <c r="AD191" s="210"/>
      <c r="AE191" s="210"/>
      <c r="AF191" s="210"/>
      <c r="AG191" s="210"/>
      <c r="AH191" s="210"/>
      <c r="AI191" s="210"/>
      <c r="AJ191" s="210"/>
      <c r="AK191" s="210"/>
      <c r="AL191" s="210"/>
      <c r="AM191" s="210"/>
      <c r="AN191" s="210"/>
      <c r="AO191" s="210"/>
      <c r="AP191" s="210"/>
      <c r="AQ191" s="210"/>
    </row>
    <row r="192">
      <c r="A192" s="223" t="str">
        <f>IFERROR(__xludf.DUMMYFUNCTION("""COMPUTED_VALUE"""),"227183")</f>
        <v>227183</v>
      </c>
      <c r="B192" s="190" t="str">
        <f>IFERROR(__xludf.DUMMYFUNCTION("""COMPUTED_VALUE"""),"ĐỖ VŨ GIA LONG")</f>
        <v>ĐỖ VŨ GIA LONG</v>
      </c>
      <c r="C192" s="223" t="str">
        <f>IFERROR(__xludf.DUMMYFUNCTION("""COMPUTED_VALUE"""),"EL020")</f>
        <v>EL020</v>
      </c>
      <c r="D192" s="223" t="str">
        <f>IFERROR(__xludf.DUMMYFUNCTION("""COMPUTED_VALUE"""),"Qui Em")</f>
        <v>Qui Em</v>
      </c>
      <c r="E192" s="190" t="str">
        <f>IFERROR(__xludf.DUMMYFUNCTION("""COMPUTED_VALUE"""),"Communication 1")</f>
        <v>Communication 1</v>
      </c>
      <c r="F192" s="190" t="str">
        <f>IFERROR(__xludf.DUMMYFUNCTION("""COMPUTED_VALUE"""),"Beginner")</f>
        <v>Beginner</v>
      </c>
      <c r="G192" s="190" t="str">
        <f>IFERROR(__xludf.DUMMYFUNCTION("""COMPUTED_VALUE"""),"Pre-Intermediate 2")</f>
        <v>Pre-Intermediate 2</v>
      </c>
      <c r="H192" s="219">
        <f>IFERROR(__xludf.DUMMYFUNCTION("""COMPUTED_VALUE"""),45638.41666666667)</f>
        <v>45638.41667</v>
      </c>
      <c r="I192" s="219">
        <f>IFERROR(__xludf.DUMMYFUNCTION("""COMPUTED_VALUE"""),45638.41666666667)</f>
        <v>45638.41667</v>
      </c>
      <c r="J192" s="190">
        <f>IFERROR(__xludf.DUMMYFUNCTION("""COMPUTED_VALUE"""),1.0)</f>
        <v>1</v>
      </c>
      <c r="K192" s="190">
        <f>IFERROR(__xludf.DUMMYFUNCTION("""COMPUTED_VALUE"""),3.5)</f>
        <v>3.5</v>
      </c>
      <c r="L192" s="190" t="str">
        <f>IFERROR(__xludf.DUMMYFUNCTION("""COMPUTED_VALUE"""),"DEV")</f>
        <v>DEV</v>
      </c>
      <c r="M192" s="190" t="str">
        <f>IFERROR(__xludf.DUMMYFUNCTION("""COMPUTED_VALUE"""),"TBU")</f>
        <v>TBU</v>
      </c>
      <c r="N192" s="220">
        <f>IFERROR(__xludf.DUMMYFUNCTION("""COMPUTED_VALUE"""),1.0)</f>
        <v>1</v>
      </c>
      <c r="O192" s="220">
        <f>IFERROR(__xludf.DUMMYFUNCTION("""COMPUTED_VALUE"""),3.5)</f>
        <v>3.5</v>
      </c>
      <c r="P192" s="220"/>
      <c r="Q192" s="190">
        <f t="shared" si="1"/>
        <v>1</v>
      </c>
      <c r="R192" s="211" t="s">
        <v>512</v>
      </c>
      <c r="S192" s="210" t="str">
        <f t="shared" si="2"/>
        <v>DEV</v>
      </c>
      <c r="T192" s="210" t="str">
        <f t="shared" si="3"/>
        <v>DEV, TA</v>
      </c>
      <c r="U192" s="210" t="str">
        <f t="shared" si="4"/>
        <v>MOC</v>
      </c>
      <c r="X192" s="210"/>
      <c r="Y192" s="210"/>
      <c r="Z192" s="210"/>
      <c r="AA192" s="210"/>
      <c r="AB192" s="210"/>
      <c r="AC192" s="210"/>
      <c r="AD192" s="210"/>
      <c r="AE192" s="210"/>
      <c r="AF192" s="210"/>
      <c r="AG192" s="210"/>
      <c r="AH192" s="210"/>
      <c r="AI192" s="210"/>
      <c r="AJ192" s="210"/>
      <c r="AK192" s="210"/>
      <c r="AL192" s="210"/>
      <c r="AM192" s="210"/>
      <c r="AN192" s="210"/>
      <c r="AO192" s="210"/>
      <c r="AP192" s="210"/>
      <c r="AQ192" s="210"/>
    </row>
    <row r="193">
      <c r="A193" s="223" t="str">
        <f>IFERROR(__xludf.DUMMYFUNCTION("""COMPUTED_VALUE"""),"247390")</f>
        <v>247390</v>
      </c>
      <c r="B193" s="190" t="str">
        <f>IFERROR(__xludf.DUMMYFUNCTION("""COMPUTED_VALUE"""),"ĐOÀN KHÁNH NGUYÊN")</f>
        <v>ĐOÀN KHÁNH NGUYÊN</v>
      </c>
      <c r="C193" s="223" t="str">
        <f>IFERROR(__xludf.DUMMYFUNCTION("""COMPUTED_VALUE"""),"EL020")</f>
        <v>EL020</v>
      </c>
      <c r="D193" s="223" t="str">
        <f>IFERROR(__xludf.DUMMYFUNCTION("""COMPUTED_VALUE"""),"Qui Em")</f>
        <v>Qui Em</v>
      </c>
      <c r="E193" s="190" t="str">
        <f>IFERROR(__xludf.DUMMYFUNCTION("""COMPUTED_VALUE"""),"Communication 1")</f>
        <v>Communication 1</v>
      </c>
      <c r="F193" s="190" t="str">
        <f>IFERROR(__xludf.DUMMYFUNCTION("""COMPUTED_VALUE"""),"Beginner")</f>
        <v>Beginner</v>
      </c>
      <c r="G193" s="190" t="str">
        <f>IFERROR(__xludf.DUMMYFUNCTION("""COMPUTED_VALUE"""),"Pre-Intermediate 2")</f>
        <v>Pre-Intermediate 2</v>
      </c>
      <c r="H193" s="219">
        <f>IFERROR(__xludf.DUMMYFUNCTION("""COMPUTED_VALUE"""),45638.41666666667)</f>
        <v>45638.41667</v>
      </c>
      <c r="I193" s="219">
        <f>IFERROR(__xludf.DUMMYFUNCTION("""COMPUTED_VALUE"""),45638.41666666667)</f>
        <v>45638.41667</v>
      </c>
      <c r="J193" s="190">
        <f>IFERROR(__xludf.DUMMYFUNCTION("""COMPUTED_VALUE"""),1.0)</f>
        <v>1</v>
      </c>
      <c r="K193" s="190">
        <f>IFERROR(__xludf.DUMMYFUNCTION("""COMPUTED_VALUE"""),3.5)</f>
        <v>3.5</v>
      </c>
      <c r="L193" s="190" t="str">
        <f>IFERROR(__xludf.DUMMYFUNCTION("""COMPUTED_VALUE"""),"QC")</f>
        <v>QC</v>
      </c>
      <c r="M193" s="190" t="str">
        <f>IFERROR(__xludf.DUMMYFUNCTION("""COMPUTED_VALUE"""),"LBU")</f>
        <v>LBU</v>
      </c>
      <c r="N193" s="220">
        <f>IFERROR(__xludf.DUMMYFUNCTION("""COMPUTED_VALUE"""),1.0)</f>
        <v>1</v>
      </c>
      <c r="O193" s="220">
        <f>IFERROR(__xludf.DUMMYFUNCTION("""COMPUTED_VALUE"""),3.5)</f>
        <v>3.5</v>
      </c>
      <c r="P193" s="220"/>
      <c r="Q193" s="190">
        <f t="shared" si="1"/>
        <v>1</v>
      </c>
      <c r="R193" s="211" t="s">
        <v>524</v>
      </c>
      <c r="S193" s="210" t="str">
        <f t="shared" si="2"/>
        <v>DEV</v>
      </c>
      <c r="T193" s="210" t="str">
        <f t="shared" si="3"/>
        <v>DEV, TA</v>
      </c>
      <c r="U193" s="210" t="str">
        <f t="shared" si="4"/>
        <v>MOC</v>
      </c>
      <c r="X193" s="210"/>
      <c r="Y193" s="210"/>
      <c r="Z193" s="210"/>
      <c r="AA193" s="210"/>
      <c r="AB193" s="210"/>
      <c r="AC193" s="210"/>
      <c r="AD193" s="210"/>
      <c r="AE193" s="210"/>
      <c r="AF193" s="210"/>
      <c r="AG193" s="210"/>
      <c r="AH193" s="210"/>
      <c r="AI193" s="210"/>
      <c r="AJ193" s="210"/>
      <c r="AK193" s="210"/>
      <c r="AL193" s="210"/>
      <c r="AM193" s="210"/>
      <c r="AN193" s="210"/>
      <c r="AO193" s="210"/>
      <c r="AP193" s="210"/>
      <c r="AQ193" s="210"/>
    </row>
    <row r="194">
      <c r="A194" s="223" t="str">
        <f>IFERROR(__xludf.DUMMYFUNCTION("""COMPUTED_VALUE"""),"213954")</f>
        <v>213954</v>
      </c>
      <c r="B194" s="190" t="str">
        <f>IFERROR(__xludf.DUMMYFUNCTION("""COMPUTED_VALUE"""),"ĐOÀN QUANG TUẤN")</f>
        <v>ĐOÀN QUANG TUẤN</v>
      </c>
      <c r="C194" s="223" t="str">
        <f>IFERROR(__xludf.DUMMYFUNCTION("""COMPUTED_VALUE"""),"EL020")</f>
        <v>EL020</v>
      </c>
      <c r="D194" s="223" t="str">
        <f>IFERROR(__xludf.DUMMYFUNCTION("""COMPUTED_VALUE"""),"Qui Em")</f>
        <v>Qui Em</v>
      </c>
      <c r="E194" s="190" t="str">
        <f>IFERROR(__xludf.DUMMYFUNCTION("""COMPUTED_VALUE"""),"Communication 1")</f>
        <v>Communication 1</v>
      </c>
      <c r="F194" s="190" t="str">
        <f>IFERROR(__xludf.DUMMYFUNCTION("""COMPUTED_VALUE"""),"Beginner")</f>
        <v>Beginner</v>
      </c>
      <c r="G194" s="190" t="str">
        <f>IFERROR(__xludf.DUMMYFUNCTION("""COMPUTED_VALUE"""),"Pre-Intermediate 1")</f>
        <v>Pre-Intermediate 1</v>
      </c>
      <c r="H194" s="219">
        <f>IFERROR(__xludf.DUMMYFUNCTION("""COMPUTED_VALUE"""),45638.41666666667)</f>
        <v>45638.41667</v>
      </c>
      <c r="I194" s="219">
        <f>IFERROR(__xludf.DUMMYFUNCTION("""COMPUTED_VALUE"""),45638.41666666667)</f>
        <v>45638.41667</v>
      </c>
      <c r="J194" s="190">
        <f>IFERROR(__xludf.DUMMYFUNCTION("""COMPUTED_VALUE"""),1.0)</f>
        <v>1</v>
      </c>
      <c r="K194" s="190">
        <f>IFERROR(__xludf.DUMMYFUNCTION("""COMPUTED_VALUE"""),3.0)</f>
        <v>3</v>
      </c>
      <c r="L194" s="190" t="str">
        <f>IFERROR(__xludf.DUMMYFUNCTION("""COMPUTED_VALUE"""),"DEV")</f>
        <v>DEV</v>
      </c>
      <c r="M194" s="190" t="str">
        <f>IFERROR(__xludf.DUMMYFUNCTION("""COMPUTED_VALUE"""),"LBU")</f>
        <v>LBU</v>
      </c>
      <c r="N194" s="220">
        <f>IFERROR(__xludf.DUMMYFUNCTION("""COMPUTED_VALUE"""),1.0)</f>
        <v>1</v>
      </c>
      <c r="O194" s="220">
        <f>IFERROR(__xludf.DUMMYFUNCTION("""COMPUTED_VALUE"""),3.0)</f>
        <v>3</v>
      </c>
      <c r="P194" s="220"/>
      <c r="Q194" s="190">
        <f t="shared" si="1"/>
        <v>1</v>
      </c>
      <c r="R194" s="211" t="s">
        <v>530</v>
      </c>
      <c r="S194" s="210" t="str">
        <f t="shared" si="2"/>
        <v>DEV</v>
      </c>
      <c r="T194" s="210" t="str">
        <f t="shared" si="3"/>
        <v>DEV, TA</v>
      </c>
      <c r="U194" s="210" t="str">
        <f t="shared" si="4"/>
        <v>MOC</v>
      </c>
      <c r="X194" s="210"/>
      <c r="Y194" s="210"/>
      <c r="Z194" s="210"/>
      <c r="AA194" s="210"/>
      <c r="AB194" s="210"/>
      <c r="AC194" s="210"/>
      <c r="AD194" s="210"/>
      <c r="AE194" s="210"/>
      <c r="AF194" s="210"/>
      <c r="AG194" s="210"/>
      <c r="AH194" s="210"/>
      <c r="AI194" s="210"/>
      <c r="AJ194" s="210"/>
      <c r="AK194" s="210"/>
      <c r="AL194" s="210"/>
      <c r="AM194" s="210"/>
      <c r="AN194" s="210"/>
      <c r="AO194" s="210"/>
      <c r="AP194" s="210"/>
      <c r="AQ194" s="210"/>
    </row>
    <row r="195">
      <c r="A195" s="223" t="str">
        <f>IFERROR(__xludf.DUMMYFUNCTION("""COMPUTED_VALUE"""),"193579")</f>
        <v>193579</v>
      </c>
      <c r="B195" s="190" t="str">
        <f>IFERROR(__xludf.DUMMYFUNCTION("""COMPUTED_VALUE"""),"ĐƯỜNG QUANG HUY")</f>
        <v>ĐƯỜNG QUANG HUY</v>
      </c>
      <c r="C195" s="223" t="str">
        <f>IFERROR(__xludf.DUMMYFUNCTION("""COMPUTED_VALUE"""),"EL020")</f>
        <v>EL020</v>
      </c>
      <c r="D195" s="223" t="str">
        <f>IFERROR(__xludf.DUMMYFUNCTION("""COMPUTED_VALUE"""),"Qui Em")</f>
        <v>Qui Em</v>
      </c>
      <c r="E195" s="190" t="str">
        <f>IFERROR(__xludf.DUMMYFUNCTION("""COMPUTED_VALUE"""),"Communication 1")</f>
        <v>Communication 1</v>
      </c>
      <c r="F195" s="190" t="str">
        <f>IFERROR(__xludf.DUMMYFUNCTION("""COMPUTED_VALUE"""),"Intermediate")</f>
        <v>Intermediate</v>
      </c>
      <c r="G195" s="190" t="str">
        <f>IFERROR(__xludf.DUMMYFUNCTION("""COMPUTED_VALUE"""),"Intermediate")</f>
        <v>Intermediate</v>
      </c>
      <c r="H195" s="219">
        <f>IFERROR(__xludf.DUMMYFUNCTION("""COMPUTED_VALUE"""),45638.41666666667)</f>
        <v>45638.41667</v>
      </c>
      <c r="I195" s="219">
        <f>IFERROR(__xludf.DUMMYFUNCTION("""COMPUTED_VALUE"""),45638.41666666667)</f>
        <v>45638.41667</v>
      </c>
      <c r="J195" s="190">
        <f>IFERROR(__xludf.DUMMYFUNCTION("""COMPUTED_VALUE"""),4.5)</f>
        <v>4.5</v>
      </c>
      <c r="K195" s="190">
        <f>IFERROR(__xludf.DUMMYFUNCTION("""COMPUTED_VALUE"""),4.5)</f>
        <v>4.5</v>
      </c>
      <c r="L195" s="190" t="str">
        <f>IFERROR(__xludf.DUMMYFUNCTION("""COMPUTED_VALUE"""),"DEV")</f>
        <v>DEV</v>
      </c>
      <c r="M195" s="190" t="str">
        <f>IFERROR(__xludf.DUMMYFUNCTION("""COMPUTED_VALUE"""),"TBU")</f>
        <v>TBU</v>
      </c>
      <c r="N195" s="220">
        <f>IFERROR(__xludf.DUMMYFUNCTION("""COMPUTED_VALUE"""),4.5)</f>
        <v>4.5</v>
      </c>
      <c r="O195" s="220">
        <f>IFERROR(__xludf.DUMMYFUNCTION("""COMPUTED_VALUE"""),4.5)</f>
        <v>4.5</v>
      </c>
      <c r="P195" s="220"/>
      <c r="Q195" s="190">
        <f t="shared" si="1"/>
        <v>1</v>
      </c>
      <c r="R195" s="211" t="s">
        <v>621</v>
      </c>
      <c r="S195" s="210" t="str">
        <f t="shared" si="2"/>
        <v>DEV</v>
      </c>
      <c r="T195" s="210" t="str">
        <f t="shared" si="3"/>
        <v>DEV, TA</v>
      </c>
      <c r="U195" s="210" t="str">
        <f t="shared" si="4"/>
        <v>MOC</v>
      </c>
      <c r="X195" s="210"/>
      <c r="Y195" s="210"/>
      <c r="Z195" s="210"/>
      <c r="AA195" s="210"/>
      <c r="AB195" s="210"/>
      <c r="AC195" s="210"/>
      <c r="AD195" s="210"/>
      <c r="AE195" s="210"/>
      <c r="AF195" s="210"/>
      <c r="AG195" s="210"/>
      <c r="AH195" s="210"/>
      <c r="AI195" s="210"/>
      <c r="AJ195" s="210"/>
      <c r="AK195" s="210"/>
      <c r="AL195" s="210"/>
      <c r="AM195" s="210"/>
      <c r="AN195" s="210"/>
      <c r="AO195" s="210"/>
      <c r="AP195" s="210"/>
      <c r="AQ195" s="210"/>
    </row>
    <row r="196">
      <c r="A196" s="223" t="str">
        <f>IFERROR(__xludf.DUMMYFUNCTION("""COMPUTED_VALUE"""),"227112")</f>
        <v>227112</v>
      </c>
      <c r="B196" s="190" t="str">
        <f>IFERROR(__xludf.DUMMYFUNCTION("""COMPUTED_VALUE"""),"TRẦN ĐỨC NAM")</f>
        <v>TRẦN ĐỨC NAM</v>
      </c>
      <c r="C196" s="223" t="str">
        <f>IFERROR(__xludf.DUMMYFUNCTION("""COMPUTED_VALUE"""),"EL020")</f>
        <v>EL020</v>
      </c>
      <c r="D196" s="223" t="str">
        <f>IFERROR(__xludf.DUMMYFUNCTION("""COMPUTED_VALUE"""),"Qui Em")</f>
        <v>Qui Em</v>
      </c>
      <c r="E196" s="190" t="str">
        <f>IFERROR(__xludf.DUMMYFUNCTION("""COMPUTED_VALUE"""),"Communication 1")</f>
        <v>Communication 1</v>
      </c>
      <c r="F196" s="190" t="str">
        <f>IFERROR(__xludf.DUMMYFUNCTION("""COMPUTED_VALUE"""),"Beginner")</f>
        <v>Beginner</v>
      </c>
      <c r="G196" s="190" t="str">
        <f>IFERROR(__xludf.DUMMYFUNCTION("""COMPUTED_VALUE"""),"Pre-Intermediate 2")</f>
        <v>Pre-Intermediate 2</v>
      </c>
      <c r="H196" s="219">
        <f>IFERROR(__xludf.DUMMYFUNCTION("""COMPUTED_VALUE"""),45638.41666666667)</f>
        <v>45638.41667</v>
      </c>
      <c r="I196" s="219">
        <f>IFERROR(__xludf.DUMMYFUNCTION("""COMPUTED_VALUE"""),45638.41666666667)</f>
        <v>45638.41667</v>
      </c>
      <c r="J196" s="190">
        <f>IFERROR(__xludf.DUMMYFUNCTION("""COMPUTED_VALUE"""),1.0)</f>
        <v>1</v>
      </c>
      <c r="K196" s="190">
        <f>IFERROR(__xludf.DUMMYFUNCTION("""COMPUTED_VALUE"""),3.5)</f>
        <v>3.5</v>
      </c>
      <c r="L196" s="190" t="str">
        <f>IFERROR(__xludf.DUMMYFUNCTION("""COMPUTED_VALUE"""),"DEV")</f>
        <v>DEV</v>
      </c>
      <c r="M196" s="190" t="str">
        <f>IFERROR(__xludf.DUMMYFUNCTION("""COMPUTED_VALUE"""),"CHORUS")</f>
        <v>CHORUS</v>
      </c>
      <c r="N196" s="220">
        <f>IFERROR(__xludf.DUMMYFUNCTION("""COMPUTED_VALUE"""),1.0)</f>
        <v>1</v>
      </c>
      <c r="O196" s="220">
        <f>IFERROR(__xludf.DUMMYFUNCTION("""COMPUTED_VALUE"""),3.5)</f>
        <v>3.5</v>
      </c>
      <c r="P196" s="220"/>
      <c r="Q196" s="190">
        <f t="shared" si="1"/>
        <v>1</v>
      </c>
      <c r="R196" s="211" t="s">
        <v>526</v>
      </c>
      <c r="S196" s="210" t="str">
        <f t="shared" si="2"/>
        <v>DEV</v>
      </c>
      <c r="T196" s="210" t="str">
        <f t="shared" si="3"/>
        <v>DEV, TA</v>
      </c>
      <c r="U196" s="210" t="str">
        <f t="shared" si="4"/>
        <v>MOC</v>
      </c>
      <c r="X196" s="210"/>
      <c r="Y196" s="210"/>
      <c r="Z196" s="210"/>
      <c r="AA196" s="210"/>
      <c r="AB196" s="210"/>
      <c r="AC196" s="210"/>
      <c r="AD196" s="210"/>
      <c r="AE196" s="210"/>
      <c r="AF196" s="210"/>
      <c r="AG196" s="210"/>
      <c r="AH196" s="210"/>
      <c r="AI196" s="210"/>
      <c r="AJ196" s="210"/>
      <c r="AK196" s="210"/>
      <c r="AL196" s="210"/>
      <c r="AM196" s="210"/>
      <c r="AN196" s="210"/>
      <c r="AO196" s="210"/>
      <c r="AP196" s="210"/>
      <c r="AQ196" s="210"/>
    </row>
    <row r="197">
      <c r="A197" s="223" t="str">
        <f>IFERROR(__xludf.DUMMYFUNCTION("""COMPUTED_VALUE"""),"213891")</f>
        <v>213891</v>
      </c>
      <c r="B197" s="190" t="str">
        <f>IFERROR(__xludf.DUMMYFUNCTION("""COMPUTED_VALUE"""),"VÕ DUY KIỆT")</f>
        <v>VÕ DUY KIỆT</v>
      </c>
      <c r="C197" s="223" t="str">
        <f>IFERROR(__xludf.DUMMYFUNCTION("""COMPUTED_VALUE"""),"EL020")</f>
        <v>EL020</v>
      </c>
      <c r="D197" s="223" t="str">
        <f>IFERROR(__xludf.DUMMYFUNCTION("""COMPUTED_VALUE"""),"Qui Em")</f>
        <v>Qui Em</v>
      </c>
      <c r="E197" s="190" t="str">
        <f>IFERROR(__xludf.DUMMYFUNCTION("""COMPUTED_VALUE"""),"Communication 1")</f>
        <v>Communication 1</v>
      </c>
      <c r="F197" s="190" t="str">
        <f>IFERROR(__xludf.DUMMYFUNCTION("""COMPUTED_VALUE"""),"Beginner")</f>
        <v>Beginner</v>
      </c>
      <c r="G197" s="190" t="str">
        <f>IFERROR(__xludf.DUMMYFUNCTION("""COMPUTED_VALUE"""),"Pre-Intermediate 1")</f>
        <v>Pre-Intermediate 1</v>
      </c>
      <c r="H197" s="219">
        <f>IFERROR(__xludf.DUMMYFUNCTION("""COMPUTED_VALUE"""),45638.41666666667)</f>
        <v>45638.41667</v>
      </c>
      <c r="I197" s="219">
        <f>IFERROR(__xludf.DUMMYFUNCTION("""COMPUTED_VALUE"""),45638.41666666667)</f>
        <v>45638.41667</v>
      </c>
      <c r="J197" s="190">
        <f>IFERROR(__xludf.DUMMYFUNCTION("""COMPUTED_VALUE"""),1.0)</f>
        <v>1</v>
      </c>
      <c r="K197" s="190">
        <f>IFERROR(__xludf.DUMMYFUNCTION("""COMPUTED_VALUE"""),3.0)</f>
        <v>3</v>
      </c>
      <c r="L197" s="190" t="str">
        <f>IFERROR(__xludf.DUMMYFUNCTION("""COMPUTED_VALUE"""),"DEV")</f>
        <v>DEV</v>
      </c>
      <c r="M197" s="190" t="str">
        <f>IFERROR(__xludf.DUMMYFUNCTION("""COMPUTED_VALUE"""),"TBU")</f>
        <v>TBU</v>
      </c>
      <c r="N197" s="220">
        <f>IFERROR(__xludf.DUMMYFUNCTION("""COMPUTED_VALUE"""),1.0)</f>
        <v>1</v>
      </c>
      <c r="O197" s="220">
        <f>IFERROR(__xludf.DUMMYFUNCTION("""COMPUTED_VALUE"""),3.0)</f>
        <v>3</v>
      </c>
      <c r="P197" s="220"/>
      <c r="Q197" s="190">
        <f t="shared" si="1"/>
        <v>1</v>
      </c>
      <c r="R197" s="211" t="s">
        <v>271</v>
      </c>
      <c r="S197" s="210" t="str">
        <f t="shared" si="2"/>
        <v>DEV</v>
      </c>
      <c r="T197" s="210" t="str">
        <f t="shared" si="3"/>
        <v>DEV, TA</v>
      </c>
      <c r="U197" s="210" t="str">
        <f t="shared" si="4"/>
        <v>TBU</v>
      </c>
      <c r="X197" s="210"/>
      <c r="Y197" s="210"/>
      <c r="Z197" s="210"/>
      <c r="AA197" s="210"/>
      <c r="AB197" s="210"/>
      <c r="AC197" s="210"/>
      <c r="AD197" s="210"/>
      <c r="AE197" s="210"/>
      <c r="AF197" s="210"/>
      <c r="AG197" s="210"/>
      <c r="AH197" s="210"/>
      <c r="AI197" s="210"/>
      <c r="AJ197" s="210"/>
      <c r="AK197" s="210"/>
      <c r="AL197" s="210"/>
      <c r="AM197" s="210"/>
      <c r="AN197" s="210"/>
      <c r="AO197" s="210"/>
      <c r="AP197" s="210"/>
      <c r="AQ197" s="210"/>
    </row>
    <row r="198">
      <c r="A198" s="218" t="str">
        <f>IFERROR(__xludf.DUMMYFUNCTION("""COMPUTED_VALUE"""),"213974")</f>
        <v>213974</v>
      </c>
      <c r="B198" s="217" t="str">
        <f>IFERROR(__xludf.DUMMYFUNCTION("""COMPUTED_VALUE"""),"NGUYỄN QUÍ EM")</f>
        <v>NGUYỄN QUÍ EM</v>
      </c>
      <c r="C198" s="218" t="str">
        <f>IFERROR(__xludf.DUMMYFUNCTION("""COMPUTED_VALUE"""),"EL020")</f>
        <v>EL020</v>
      </c>
      <c r="D198" s="218" t="str">
        <f>IFERROR(__xludf.DUMMYFUNCTION("""COMPUTED_VALUE"""),"Qui Em")</f>
        <v>Qui Em</v>
      </c>
      <c r="E198" s="217" t="str">
        <f>IFERROR(__xludf.DUMMYFUNCTION("""COMPUTED_VALUE"""),"Communication 2")</f>
        <v>Communication 2</v>
      </c>
      <c r="F198" s="190" t="str">
        <f>IFERROR(__xludf.DUMMYFUNCTION("""COMPUTED_VALUE"""),"Pre-Intermediate 2")</f>
        <v>Pre-Intermediate 2</v>
      </c>
      <c r="G198" s="190"/>
      <c r="H198" s="219">
        <f>IFERROR(__xludf.DUMMYFUNCTION("""COMPUTED_VALUE"""),45841.58333333333)</f>
        <v>45841.58333</v>
      </c>
      <c r="I198" s="219">
        <f>IFERROR(__xludf.DUMMYFUNCTION("""COMPUTED_VALUE"""),45638.41666666667)</f>
        <v>45638.41667</v>
      </c>
      <c r="J198" s="190">
        <f>IFERROR(__xludf.DUMMYFUNCTION("""COMPUTED_VALUE"""),3.5)</f>
        <v>3.5</v>
      </c>
      <c r="K198" s="190" t="str">
        <f>IFERROR(__xludf.DUMMYFUNCTION("""COMPUTED_VALUE"""),"")</f>
        <v/>
      </c>
      <c r="L198" s="190" t="str">
        <f>IFERROR(__xludf.DUMMYFUNCTION("""COMPUTED_VALUE"""),"DEV")</f>
        <v>DEV</v>
      </c>
      <c r="M198" s="190" t="str">
        <f>IFERROR(__xludf.DUMMYFUNCTION("""COMPUTED_VALUE"""),"TBU")</f>
        <v>TBU</v>
      </c>
      <c r="N198" s="220">
        <f>IFERROR(__xludf.DUMMYFUNCTION("""COMPUTED_VALUE"""),1.0)</f>
        <v>1</v>
      </c>
      <c r="O198" s="220">
        <f>IFERROR(__xludf.DUMMYFUNCTION("""COMPUTED_VALUE"""),3.5)</f>
        <v>3.5</v>
      </c>
      <c r="P198" s="220"/>
      <c r="Q198" s="190">
        <f t="shared" si="1"/>
        <v>1</v>
      </c>
      <c r="R198" s="211" t="s">
        <v>279</v>
      </c>
      <c r="S198" s="210" t="str">
        <f t="shared" si="2"/>
        <v>DEV</v>
      </c>
      <c r="T198" s="210" t="str">
        <f t="shared" si="3"/>
        <v>DEV, TA</v>
      </c>
      <c r="U198" s="210" t="str">
        <f t="shared" si="4"/>
        <v>MOC</v>
      </c>
      <c r="X198" s="210"/>
      <c r="Y198" s="210"/>
      <c r="Z198" s="210"/>
      <c r="AA198" s="210"/>
      <c r="AB198" s="210"/>
      <c r="AC198" s="210"/>
      <c r="AD198" s="210"/>
      <c r="AE198" s="210"/>
      <c r="AF198" s="210"/>
      <c r="AG198" s="210"/>
      <c r="AH198" s="210"/>
      <c r="AI198" s="210"/>
      <c r="AJ198" s="210"/>
      <c r="AK198" s="210"/>
      <c r="AL198" s="210"/>
      <c r="AM198" s="210"/>
      <c r="AN198" s="210"/>
      <c r="AO198" s="210"/>
      <c r="AP198" s="210"/>
      <c r="AQ198" s="210"/>
    </row>
    <row r="199">
      <c r="A199" s="223" t="str">
        <f>IFERROR(__xludf.DUMMYFUNCTION("""COMPUTED_VALUE"""),"247389")</f>
        <v>247389</v>
      </c>
      <c r="B199" s="190" t="str">
        <f>IFERROR(__xludf.DUMMYFUNCTION("""COMPUTED_VALUE"""),"ĐINH TRƯƠNG THANH TUYỀN")</f>
        <v>ĐINH TRƯƠNG THANH TUYỀN</v>
      </c>
      <c r="C199" s="223" t="str">
        <f>IFERROR(__xludf.DUMMYFUNCTION("""COMPUTED_VALUE"""),"EL020")</f>
        <v>EL020</v>
      </c>
      <c r="D199" s="223" t="str">
        <f>IFERROR(__xludf.DUMMYFUNCTION("""COMPUTED_VALUE"""),"Qui Em")</f>
        <v>Qui Em</v>
      </c>
      <c r="E199" s="190" t="str">
        <f>IFERROR(__xludf.DUMMYFUNCTION("""COMPUTED_VALUE"""),"Communication 2")</f>
        <v>Communication 2</v>
      </c>
      <c r="F199" s="190" t="str">
        <f>IFERROR(__xludf.DUMMYFUNCTION("""COMPUTED_VALUE"""),"Beginner 2")</f>
        <v>Beginner 2</v>
      </c>
      <c r="G199" s="190" t="str">
        <f>IFERROR(__xludf.DUMMYFUNCTION("""COMPUTED_VALUE"""),"Beginner 2")</f>
        <v>Beginner 2</v>
      </c>
      <c r="H199" s="219">
        <f>IFERROR(__xludf.DUMMYFUNCTION("""COMPUTED_VALUE"""),45841.58333333333)</f>
        <v>45841.58333</v>
      </c>
      <c r="I199" s="219">
        <f>IFERROR(__xludf.DUMMYFUNCTION("""COMPUTED_VALUE"""),45638.41666666667)</f>
        <v>45638.41667</v>
      </c>
      <c r="J199" s="190">
        <f>IFERROR(__xludf.DUMMYFUNCTION("""COMPUTED_VALUE"""),1.5)</f>
        <v>1.5</v>
      </c>
      <c r="K199" s="190">
        <f>IFERROR(__xludf.DUMMYFUNCTION("""COMPUTED_VALUE"""),1.5)</f>
        <v>1.5</v>
      </c>
      <c r="L199" s="190" t="str">
        <f>IFERROR(__xludf.DUMMYFUNCTION("""COMPUTED_VALUE"""),"QC")</f>
        <v>QC</v>
      </c>
      <c r="M199" s="190" t="str">
        <f>IFERROR(__xludf.DUMMYFUNCTION("""COMPUTED_VALUE"""),"LBU")</f>
        <v>LBU</v>
      </c>
      <c r="N199" s="220">
        <f>IFERROR(__xludf.DUMMYFUNCTION("""COMPUTED_VALUE"""),1.0)</f>
        <v>1</v>
      </c>
      <c r="O199" s="220">
        <f>IFERROR(__xludf.DUMMYFUNCTION("""COMPUTED_VALUE"""),1.5)</f>
        <v>1.5</v>
      </c>
      <c r="P199" s="220"/>
      <c r="Q199" s="190">
        <f t="shared" si="1"/>
        <v>1</v>
      </c>
      <c r="R199" s="211" t="s">
        <v>300</v>
      </c>
      <c r="S199" s="210" t="str">
        <f t="shared" si="2"/>
        <v>DEV</v>
      </c>
      <c r="T199" s="210" t="str">
        <f t="shared" si="3"/>
        <v>DEV, TA</v>
      </c>
      <c r="U199" s="210" t="str">
        <f t="shared" si="4"/>
        <v>MOC</v>
      </c>
      <c r="X199" s="210"/>
      <c r="Y199" s="210"/>
      <c r="Z199" s="210"/>
      <c r="AA199" s="210"/>
      <c r="AB199" s="210"/>
      <c r="AC199" s="210"/>
      <c r="AD199" s="210"/>
      <c r="AE199" s="210"/>
      <c r="AF199" s="210"/>
      <c r="AG199" s="210"/>
      <c r="AH199" s="210"/>
      <c r="AI199" s="210"/>
      <c r="AJ199" s="210"/>
      <c r="AK199" s="210"/>
      <c r="AL199" s="210"/>
      <c r="AM199" s="210"/>
      <c r="AN199" s="210"/>
      <c r="AO199" s="210"/>
      <c r="AP199" s="210"/>
      <c r="AQ199" s="210"/>
    </row>
    <row r="200">
      <c r="A200" s="223" t="str">
        <f>IFERROR(__xludf.DUMMYFUNCTION("""COMPUTED_VALUE"""),"227183")</f>
        <v>227183</v>
      </c>
      <c r="B200" s="190" t="str">
        <f>IFERROR(__xludf.DUMMYFUNCTION("""COMPUTED_VALUE"""),"ĐỖ VŨ GIA LONG")</f>
        <v>ĐỖ VŨ GIA LONG</v>
      </c>
      <c r="C200" s="223" t="str">
        <f>IFERROR(__xludf.DUMMYFUNCTION("""COMPUTED_VALUE"""),"EL020")</f>
        <v>EL020</v>
      </c>
      <c r="D200" s="223" t="str">
        <f>IFERROR(__xludf.DUMMYFUNCTION("""COMPUTED_VALUE"""),"Qui Em")</f>
        <v>Qui Em</v>
      </c>
      <c r="E200" s="190" t="str">
        <f>IFERROR(__xludf.DUMMYFUNCTION("""COMPUTED_VALUE"""),"Communication 2")</f>
        <v>Communication 2</v>
      </c>
      <c r="F200" s="190" t="str">
        <f>IFERROR(__xludf.DUMMYFUNCTION("""COMPUTED_VALUE"""),"Pre-Intermediate 2")</f>
        <v>Pre-Intermediate 2</v>
      </c>
      <c r="G200" s="190"/>
      <c r="H200" s="219">
        <f>IFERROR(__xludf.DUMMYFUNCTION("""COMPUTED_VALUE"""),45841.58333333333)</f>
        <v>45841.58333</v>
      </c>
      <c r="I200" s="219">
        <f>IFERROR(__xludf.DUMMYFUNCTION("""COMPUTED_VALUE"""),45638.41666666667)</f>
        <v>45638.41667</v>
      </c>
      <c r="J200" s="190">
        <f>IFERROR(__xludf.DUMMYFUNCTION("""COMPUTED_VALUE"""),3.5)</f>
        <v>3.5</v>
      </c>
      <c r="K200" s="190" t="str">
        <f>IFERROR(__xludf.DUMMYFUNCTION("""COMPUTED_VALUE"""),"")</f>
        <v/>
      </c>
      <c r="L200" s="190" t="str">
        <f>IFERROR(__xludf.DUMMYFUNCTION("""COMPUTED_VALUE"""),"DEV")</f>
        <v>DEV</v>
      </c>
      <c r="M200" s="190" t="str">
        <f>IFERROR(__xludf.DUMMYFUNCTION("""COMPUTED_VALUE"""),"TBU")</f>
        <v>TBU</v>
      </c>
      <c r="N200" s="220">
        <f>IFERROR(__xludf.DUMMYFUNCTION("""COMPUTED_VALUE"""),1.0)</f>
        <v>1</v>
      </c>
      <c r="O200" s="220">
        <f>IFERROR(__xludf.DUMMYFUNCTION("""COMPUTED_VALUE"""),3.5)</f>
        <v>3.5</v>
      </c>
      <c r="P200" s="220"/>
      <c r="Q200" s="190">
        <f t="shared" si="1"/>
        <v>1</v>
      </c>
      <c r="R200" s="211" t="s">
        <v>350</v>
      </c>
      <c r="S200" s="210" t="str">
        <f t="shared" si="2"/>
        <v>DEV</v>
      </c>
      <c r="T200" s="210" t="str">
        <f t="shared" si="3"/>
        <v>DEV, TA</v>
      </c>
      <c r="U200" s="210" t="str">
        <f t="shared" si="4"/>
        <v>MOC</v>
      </c>
      <c r="X200" s="210"/>
      <c r="Y200" s="210"/>
      <c r="Z200" s="210"/>
      <c r="AA200" s="210"/>
      <c r="AB200" s="210"/>
      <c r="AC200" s="210"/>
      <c r="AD200" s="210"/>
      <c r="AE200" s="210"/>
      <c r="AF200" s="210"/>
      <c r="AG200" s="210"/>
      <c r="AH200" s="210"/>
      <c r="AI200" s="210"/>
      <c r="AJ200" s="210"/>
      <c r="AK200" s="210"/>
      <c r="AL200" s="210"/>
      <c r="AM200" s="210"/>
      <c r="AN200" s="210"/>
      <c r="AO200" s="210"/>
      <c r="AP200" s="210"/>
      <c r="AQ200" s="210"/>
    </row>
    <row r="201">
      <c r="A201" s="223" t="str">
        <f>IFERROR(__xludf.DUMMYFUNCTION("""COMPUTED_VALUE"""),"247390")</f>
        <v>247390</v>
      </c>
      <c r="B201" s="190" t="str">
        <f>IFERROR(__xludf.DUMMYFUNCTION("""COMPUTED_VALUE"""),"ĐOÀN KHÁNH NGUYÊN")</f>
        <v>ĐOÀN KHÁNH NGUYÊN</v>
      </c>
      <c r="C201" s="223" t="str">
        <f>IFERROR(__xludf.DUMMYFUNCTION("""COMPUTED_VALUE"""),"EL020")</f>
        <v>EL020</v>
      </c>
      <c r="D201" s="223" t="str">
        <f>IFERROR(__xludf.DUMMYFUNCTION("""COMPUTED_VALUE"""),"Qui Em")</f>
        <v>Qui Em</v>
      </c>
      <c r="E201" s="190" t="str">
        <f>IFERROR(__xludf.DUMMYFUNCTION("""COMPUTED_VALUE"""),"Communication 2")</f>
        <v>Communication 2</v>
      </c>
      <c r="F201" s="190" t="str">
        <f>IFERROR(__xludf.DUMMYFUNCTION("""COMPUTED_VALUE"""),"Pre-Intermediate 2")</f>
        <v>Pre-Intermediate 2</v>
      </c>
      <c r="G201" s="190"/>
      <c r="H201" s="219">
        <f>IFERROR(__xludf.DUMMYFUNCTION("""COMPUTED_VALUE"""),45841.58333333333)</f>
        <v>45841.58333</v>
      </c>
      <c r="I201" s="219">
        <f>IFERROR(__xludf.DUMMYFUNCTION("""COMPUTED_VALUE"""),45638.41666666667)</f>
        <v>45638.41667</v>
      </c>
      <c r="J201" s="190">
        <f>IFERROR(__xludf.DUMMYFUNCTION("""COMPUTED_VALUE"""),3.5)</f>
        <v>3.5</v>
      </c>
      <c r="K201" s="190" t="str">
        <f>IFERROR(__xludf.DUMMYFUNCTION("""COMPUTED_VALUE"""),"")</f>
        <v/>
      </c>
      <c r="L201" s="190" t="str">
        <f>IFERROR(__xludf.DUMMYFUNCTION("""COMPUTED_VALUE"""),"QC")</f>
        <v>QC</v>
      </c>
      <c r="M201" s="190" t="str">
        <f>IFERROR(__xludf.DUMMYFUNCTION("""COMPUTED_VALUE"""),"LBU")</f>
        <v>LBU</v>
      </c>
      <c r="N201" s="220">
        <f>IFERROR(__xludf.DUMMYFUNCTION("""COMPUTED_VALUE"""),1.0)</f>
        <v>1</v>
      </c>
      <c r="O201" s="220">
        <f>IFERROR(__xludf.DUMMYFUNCTION("""COMPUTED_VALUE"""),3.5)</f>
        <v>3.5</v>
      </c>
      <c r="P201" s="220"/>
      <c r="Q201" s="190">
        <f t="shared" si="1"/>
        <v>1</v>
      </c>
      <c r="R201" s="211" t="s">
        <v>208</v>
      </c>
      <c r="S201" s="210" t="str">
        <f t="shared" si="2"/>
        <v>DEV</v>
      </c>
      <c r="T201" s="210" t="str">
        <f t="shared" si="3"/>
        <v>DEV, TA</v>
      </c>
      <c r="U201" s="210" t="str">
        <f t="shared" si="4"/>
        <v>MOC</v>
      </c>
      <c r="X201" s="210"/>
      <c r="Y201" s="210"/>
      <c r="Z201" s="210"/>
      <c r="AA201" s="210"/>
      <c r="AB201" s="210"/>
      <c r="AC201" s="210"/>
      <c r="AD201" s="210"/>
      <c r="AE201" s="210"/>
      <c r="AF201" s="210"/>
      <c r="AG201" s="210"/>
      <c r="AH201" s="210"/>
      <c r="AI201" s="210"/>
      <c r="AJ201" s="210"/>
      <c r="AK201" s="210"/>
      <c r="AL201" s="210"/>
      <c r="AM201" s="210"/>
      <c r="AN201" s="210"/>
      <c r="AO201" s="210"/>
      <c r="AP201" s="210"/>
      <c r="AQ201" s="210"/>
    </row>
    <row r="202">
      <c r="A202" s="223" t="str">
        <f>IFERROR(__xludf.DUMMYFUNCTION("""COMPUTED_VALUE"""),"213891")</f>
        <v>213891</v>
      </c>
      <c r="B202" s="190" t="str">
        <f>IFERROR(__xludf.DUMMYFUNCTION("""COMPUTED_VALUE"""),"VÕ DUY KIỆT")</f>
        <v>VÕ DUY KIỆT</v>
      </c>
      <c r="C202" s="223" t="str">
        <f>IFERROR(__xludf.DUMMYFUNCTION("""COMPUTED_VALUE"""),"EL020")</f>
        <v>EL020</v>
      </c>
      <c r="D202" s="223" t="str">
        <f>IFERROR(__xludf.DUMMYFUNCTION("""COMPUTED_VALUE"""),"Qui Em")</f>
        <v>Qui Em</v>
      </c>
      <c r="E202" s="190" t="str">
        <f>IFERROR(__xludf.DUMMYFUNCTION("""COMPUTED_VALUE"""),"Communication 2")</f>
        <v>Communication 2</v>
      </c>
      <c r="F202" s="190" t="str">
        <f>IFERROR(__xludf.DUMMYFUNCTION("""COMPUTED_VALUE"""),"Pre-Intermediate 2")</f>
        <v>Pre-Intermediate 2</v>
      </c>
      <c r="G202" s="190"/>
      <c r="H202" s="219">
        <f>IFERROR(__xludf.DUMMYFUNCTION("""COMPUTED_VALUE"""),45841.58333333333)</f>
        <v>45841.58333</v>
      </c>
      <c r="I202" s="219">
        <f>IFERROR(__xludf.DUMMYFUNCTION("""COMPUTED_VALUE"""),45638.41666666667)</f>
        <v>45638.41667</v>
      </c>
      <c r="J202" s="190">
        <f>IFERROR(__xludf.DUMMYFUNCTION("""COMPUTED_VALUE"""),3.5)</f>
        <v>3.5</v>
      </c>
      <c r="K202" s="190" t="str">
        <f>IFERROR(__xludf.DUMMYFUNCTION("""COMPUTED_VALUE"""),"")</f>
        <v/>
      </c>
      <c r="L202" s="190" t="str">
        <f>IFERROR(__xludf.DUMMYFUNCTION("""COMPUTED_VALUE"""),"DEV")</f>
        <v>DEV</v>
      </c>
      <c r="M202" s="190" t="str">
        <f>IFERROR(__xludf.DUMMYFUNCTION("""COMPUTED_VALUE"""),"TBU")</f>
        <v>TBU</v>
      </c>
      <c r="N202" s="220">
        <f>IFERROR(__xludf.DUMMYFUNCTION("""COMPUTED_VALUE"""),1.0)</f>
        <v>1</v>
      </c>
      <c r="O202" s="220">
        <f>IFERROR(__xludf.DUMMYFUNCTION("""COMPUTED_VALUE"""),3.0)</f>
        <v>3</v>
      </c>
      <c r="P202" s="220"/>
      <c r="Q202" s="190">
        <f t="shared" si="1"/>
        <v>1</v>
      </c>
      <c r="R202" s="211" t="s">
        <v>243</v>
      </c>
      <c r="S202" s="210" t="str">
        <f t="shared" si="2"/>
        <v>DEV</v>
      </c>
      <c r="T202" s="210" t="str">
        <f t="shared" si="3"/>
        <v>DEV, TA</v>
      </c>
      <c r="U202" s="210" t="str">
        <f t="shared" si="4"/>
        <v>MOC</v>
      </c>
      <c r="X202" s="210"/>
      <c r="Y202" s="210"/>
      <c r="Z202" s="210"/>
      <c r="AA202" s="210"/>
      <c r="AB202" s="210"/>
      <c r="AC202" s="210"/>
      <c r="AD202" s="210"/>
      <c r="AE202" s="210"/>
      <c r="AF202" s="210"/>
      <c r="AG202" s="210"/>
      <c r="AH202" s="210"/>
      <c r="AI202" s="210"/>
      <c r="AJ202" s="210"/>
      <c r="AK202" s="210"/>
      <c r="AL202" s="210"/>
      <c r="AM202" s="210"/>
      <c r="AN202" s="210"/>
      <c r="AO202" s="210"/>
      <c r="AP202" s="210"/>
      <c r="AQ202" s="210"/>
    </row>
    <row r="203">
      <c r="A203" s="218" t="str">
        <f>IFERROR(__xludf.DUMMYFUNCTION("""COMPUTED_VALUE"""),"247377")</f>
        <v>247377</v>
      </c>
      <c r="B203" s="217" t="str">
        <f>IFERROR(__xludf.DUMMYFUNCTION("""COMPUTED_VALUE"""),"TRẦN NHỰT TÂN")</f>
        <v>TRẦN NHỰT TÂN</v>
      </c>
      <c r="C203" s="218" t="str">
        <f>IFERROR(__xludf.DUMMYFUNCTION("""COMPUTED_VALUE"""),"EL021")</f>
        <v>EL021</v>
      </c>
      <c r="D203" s="218" t="str">
        <f>IFERROR(__xludf.DUMMYFUNCTION("""COMPUTED_VALUE"""),"Tan Tran")</f>
        <v>Tan Tran</v>
      </c>
      <c r="E203" s="217" t="str">
        <f>IFERROR(__xludf.DUMMYFUNCTION("""COMPUTED_VALUE"""),"Business English")</f>
        <v>Business English</v>
      </c>
      <c r="F203" s="190" t="str">
        <f>IFERROR(__xludf.DUMMYFUNCTION("""COMPUTED_VALUE"""),"Intermediate")</f>
        <v>Intermediate</v>
      </c>
      <c r="G203" s="190" t="str">
        <f>IFERROR(__xludf.DUMMYFUNCTION("""COMPUTED_VALUE"""),"Upper-Intermediate")</f>
        <v>Upper-Intermediate</v>
      </c>
      <c r="H203" s="219">
        <f>IFERROR(__xludf.DUMMYFUNCTION("""COMPUTED_VALUE"""),45713.58333333333)</f>
        <v>45713.58333</v>
      </c>
      <c r="I203" s="219">
        <f>IFERROR(__xludf.DUMMYFUNCTION("""COMPUTED_VALUE"""),45713.58333333333)</f>
        <v>45713.58333</v>
      </c>
      <c r="J203" s="190">
        <f>IFERROR(__xludf.DUMMYFUNCTION("""COMPUTED_VALUE"""),4.5)</f>
        <v>4.5</v>
      </c>
      <c r="K203" s="190">
        <f>IFERROR(__xludf.DUMMYFUNCTION("""COMPUTED_VALUE"""),6.0)</f>
        <v>6</v>
      </c>
      <c r="L203" s="190" t="str">
        <f>IFERROR(__xludf.DUMMYFUNCTION("""COMPUTED_VALUE"""),"Designer")</f>
        <v>Designer</v>
      </c>
      <c r="M203" s="190" t="str">
        <f>IFERROR(__xludf.DUMMYFUNCTION("""COMPUTED_VALUE"""),"LBU")</f>
        <v>LBU</v>
      </c>
      <c r="N203" s="220">
        <f>IFERROR(__xludf.DUMMYFUNCTION("""COMPUTED_VALUE"""),4.5)</f>
        <v>4.5</v>
      </c>
      <c r="O203" s="220">
        <f>IFERROR(__xludf.DUMMYFUNCTION("""COMPUTED_VALUE"""),6.0)</f>
        <v>6</v>
      </c>
      <c r="P203" s="220"/>
      <c r="Q203" s="190">
        <f t="shared" si="1"/>
        <v>1</v>
      </c>
      <c r="R203" s="211" t="s">
        <v>305</v>
      </c>
      <c r="S203" s="210" t="str">
        <f t="shared" si="2"/>
        <v>DEV</v>
      </c>
      <c r="T203" s="210" t="str">
        <f t="shared" si="3"/>
        <v>DEV, TA</v>
      </c>
      <c r="U203" s="210" t="str">
        <f t="shared" si="4"/>
        <v>MOC</v>
      </c>
      <c r="X203" s="210"/>
      <c r="Y203" s="210"/>
      <c r="Z203" s="210"/>
      <c r="AA203" s="210"/>
      <c r="AB203" s="210"/>
      <c r="AC203" s="210"/>
      <c r="AD203" s="210"/>
      <c r="AE203" s="210"/>
      <c r="AF203" s="210"/>
      <c r="AG203" s="210"/>
      <c r="AH203" s="210"/>
      <c r="AI203" s="210"/>
      <c r="AJ203" s="210"/>
      <c r="AK203" s="210"/>
      <c r="AL203" s="210"/>
      <c r="AM203" s="210"/>
      <c r="AN203" s="210"/>
      <c r="AO203" s="210"/>
      <c r="AP203" s="210"/>
      <c r="AQ203" s="210"/>
    </row>
    <row r="204">
      <c r="A204" s="223" t="str">
        <f>IFERROR(__xludf.DUMMYFUNCTION("""COMPUTED_VALUE"""),"237056")</f>
        <v>237056</v>
      </c>
      <c r="B204" s="190" t="str">
        <f>IFERROR(__xludf.DUMMYFUNCTION("""COMPUTED_VALUE"""),"LÊ THỊ DIỄM QUYÊN")</f>
        <v>LÊ THỊ DIỄM QUYÊN</v>
      </c>
      <c r="C204" s="223" t="str">
        <f>IFERROR(__xludf.DUMMYFUNCTION("""COMPUTED_VALUE"""),"EL021")</f>
        <v>EL021</v>
      </c>
      <c r="D204" s="223" t="str">
        <f>IFERROR(__xludf.DUMMYFUNCTION("""COMPUTED_VALUE"""),"Tan Tran")</f>
        <v>Tan Tran</v>
      </c>
      <c r="E204" s="190" t="str">
        <f>IFERROR(__xludf.DUMMYFUNCTION("""COMPUTED_VALUE"""),"Business English")</f>
        <v>Business English</v>
      </c>
      <c r="F204" s="190" t="str">
        <f>IFERROR(__xludf.DUMMYFUNCTION("""COMPUTED_VALUE"""),"Intermediate")</f>
        <v>Intermediate</v>
      </c>
      <c r="G204" s="190" t="str">
        <f>IFERROR(__xludf.DUMMYFUNCTION("""COMPUTED_VALUE"""),"Upper-Intermediate")</f>
        <v>Upper-Intermediate</v>
      </c>
      <c r="H204" s="219">
        <f>IFERROR(__xludf.DUMMYFUNCTION("""COMPUTED_VALUE"""),45713.58333333333)</f>
        <v>45713.58333</v>
      </c>
      <c r="I204" s="219">
        <f>IFERROR(__xludf.DUMMYFUNCTION("""COMPUTED_VALUE"""),45713.58333333333)</f>
        <v>45713.58333</v>
      </c>
      <c r="J204" s="190">
        <f>IFERROR(__xludf.DUMMYFUNCTION("""COMPUTED_VALUE"""),4.5)</f>
        <v>4.5</v>
      </c>
      <c r="K204" s="190">
        <f>IFERROR(__xludf.DUMMYFUNCTION("""COMPUTED_VALUE"""),6.0)</f>
        <v>6</v>
      </c>
      <c r="L204" s="190" t="str">
        <f>IFERROR(__xludf.DUMMYFUNCTION("""COMPUTED_VALUE"""),"Designer")</f>
        <v>Designer</v>
      </c>
      <c r="M204" s="190" t="str">
        <f>IFERROR(__xludf.DUMMYFUNCTION("""COMPUTED_VALUE"""),"LBU")</f>
        <v>LBU</v>
      </c>
      <c r="N204" s="220">
        <f>IFERROR(__xludf.DUMMYFUNCTION("""COMPUTED_VALUE"""),4.5)</f>
        <v>4.5</v>
      </c>
      <c r="O204" s="220">
        <f>IFERROR(__xludf.DUMMYFUNCTION("""COMPUTED_VALUE"""),6.0)</f>
        <v>6</v>
      </c>
      <c r="P204" s="220"/>
      <c r="Q204" s="190">
        <f t="shared" si="1"/>
        <v>1</v>
      </c>
      <c r="R204" s="211" t="s">
        <v>442</v>
      </c>
      <c r="S204" s="210" t="str">
        <f t="shared" si="2"/>
        <v>DEV</v>
      </c>
      <c r="T204" s="210" t="str">
        <f t="shared" si="3"/>
        <v>DEV, TA</v>
      </c>
      <c r="U204" s="210" t="str">
        <f t="shared" si="4"/>
        <v>MOC</v>
      </c>
      <c r="X204" s="210"/>
      <c r="Y204" s="210"/>
      <c r="Z204" s="210"/>
      <c r="AA204" s="210"/>
      <c r="AB204" s="210"/>
      <c r="AC204" s="210"/>
      <c r="AD204" s="210"/>
      <c r="AE204" s="210"/>
      <c r="AF204" s="210"/>
      <c r="AG204" s="210"/>
      <c r="AH204" s="210"/>
      <c r="AI204" s="210"/>
      <c r="AJ204" s="210"/>
      <c r="AK204" s="210"/>
      <c r="AL204" s="210"/>
      <c r="AM204" s="210"/>
      <c r="AN204" s="210"/>
      <c r="AO204" s="210"/>
      <c r="AP204" s="210"/>
      <c r="AQ204" s="210"/>
    </row>
    <row r="205">
      <c r="A205" s="223" t="str">
        <f>IFERROR(__xludf.DUMMYFUNCTION("""COMPUTED_VALUE"""),"242001")</f>
        <v>242001</v>
      </c>
      <c r="B205" s="190" t="str">
        <f>IFERROR(__xludf.DUMMYFUNCTION("""COMPUTED_VALUE"""),"NGUYỄN ĐẠT THỊNH")</f>
        <v>NGUYỄN ĐẠT THỊNH</v>
      </c>
      <c r="C205" s="223" t="str">
        <f>IFERROR(__xludf.DUMMYFUNCTION("""COMPUTED_VALUE"""),"EL021")</f>
        <v>EL021</v>
      </c>
      <c r="D205" s="223" t="str">
        <f>IFERROR(__xludf.DUMMYFUNCTION("""COMPUTED_VALUE"""),"Tan Tran")</f>
        <v>Tan Tran</v>
      </c>
      <c r="E205" s="190" t="str">
        <f>IFERROR(__xludf.DUMMYFUNCTION("""COMPUTED_VALUE"""),"Business English")</f>
        <v>Business English</v>
      </c>
      <c r="F205" s="190" t="str">
        <f>IFERROR(__xludf.DUMMYFUNCTION("""COMPUTED_VALUE"""),"Intermediate")</f>
        <v>Intermediate</v>
      </c>
      <c r="G205" s="190"/>
      <c r="H205" s="219">
        <f>IFERROR(__xludf.DUMMYFUNCTION("""COMPUTED_VALUE"""),45713.58333333333)</f>
        <v>45713.58333</v>
      </c>
      <c r="I205" s="219">
        <f>IFERROR(__xludf.DUMMYFUNCTION("""COMPUTED_VALUE"""),45639.45833333333)</f>
        <v>45639.45833</v>
      </c>
      <c r="J205" s="190">
        <f>IFERROR(__xludf.DUMMYFUNCTION("""COMPUTED_VALUE"""),4.5)</f>
        <v>4.5</v>
      </c>
      <c r="K205" s="190" t="str">
        <f>IFERROR(__xludf.DUMMYFUNCTION("""COMPUTED_VALUE"""),"")</f>
        <v/>
      </c>
      <c r="L205" s="190" t="str">
        <f>IFERROR(__xludf.DUMMYFUNCTION("""COMPUTED_VALUE"""),"-")</f>
        <v>-</v>
      </c>
      <c r="M205" s="190" t="str">
        <f>IFERROR(__xludf.DUMMYFUNCTION("""COMPUTED_VALUE"""),"BSG")</f>
        <v>BSG</v>
      </c>
      <c r="N205" s="220">
        <f>IFERROR(__xludf.DUMMYFUNCTION("""COMPUTED_VALUE"""),2.5)</f>
        <v>2.5</v>
      </c>
      <c r="O205" s="220">
        <f>IFERROR(__xludf.DUMMYFUNCTION("""COMPUTED_VALUE"""),4.5)</f>
        <v>4.5</v>
      </c>
      <c r="P205" s="220"/>
      <c r="Q205" s="190">
        <f t="shared" si="1"/>
        <v>1</v>
      </c>
      <c r="R205" s="211" t="s">
        <v>633</v>
      </c>
      <c r="S205" s="210" t="str">
        <f t="shared" si="2"/>
        <v>DEV</v>
      </c>
      <c r="T205" s="210" t="str">
        <f t="shared" si="3"/>
        <v>DEV, TA</v>
      </c>
      <c r="U205" s="210" t="str">
        <f t="shared" si="4"/>
        <v>MOC</v>
      </c>
      <c r="X205" s="210"/>
      <c r="Y205" s="210"/>
      <c r="Z205" s="210"/>
      <c r="AA205" s="210"/>
      <c r="AB205" s="210"/>
      <c r="AC205" s="210"/>
      <c r="AD205" s="210"/>
      <c r="AE205" s="210"/>
      <c r="AF205" s="210"/>
      <c r="AG205" s="210"/>
      <c r="AH205" s="210"/>
      <c r="AI205" s="210"/>
      <c r="AJ205" s="210"/>
      <c r="AK205" s="210"/>
      <c r="AL205" s="210"/>
      <c r="AM205" s="210"/>
      <c r="AN205" s="210"/>
      <c r="AO205" s="210"/>
      <c r="AP205" s="210"/>
      <c r="AQ205" s="210"/>
    </row>
    <row r="206">
      <c r="A206" s="223" t="str">
        <f>IFERROR(__xludf.DUMMYFUNCTION("""COMPUTED_VALUE"""),"247183")</f>
        <v>247183</v>
      </c>
      <c r="B206" s="190" t="str">
        <f>IFERROR(__xludf.DUMMYFUNCTION("""COMPUTED_VALUE"""),"PHAN THU THẢO")</f>
        <v>PHAN THU THẢO</v>
      </c>
      <c r="C206" s="223" t="str">
        <f>IFERROR(__xludf.DUMMYFUNCTION("""COMPUTED_VALUE"""),"EL021")</f>
        <v>EL021</v>
      </c>
      <c r="D206" s="223" t="str">
        <f>IFERROR(__xludf.DUMMYFUNCTION("""COMPUTED_VALUE"""),"Tan Tran")</f>
        <v>Tan Tran</v>
      </c>
      <c r="E206" s="190" t="str">
        <f>IFERROR(__xludf.DUMMYFUNCTION("""COMPUTED_VALUE"""),"Business English")</f>
        <v>Business English</v>
      </c>
      <c r="F206" s="190" t="str">
        <f>IFERROR(__xludf.DUMMYFUNCTION("""COMPUTED_VALUE"""),"Intermediate")</f>
        <v>Intermediate</v>
      </c>
      <c r="G206" s="190" t="str">
        <f>IFERROR(__xludf.DUMMYFUNCTION("""COMPUTED_VALUE"""),"Upper-Intermediate")</f>
        <v>Upper-Intermediate</v>
      </c>
      <c r="H206" s="219">
        <f>IFERROR(__xludf.DUMMYFUNCTION("""COMPUTED_VALUE"""),45713.58333333333)</f>
        <v>45713.58333</v>
      </c>
      <c r="I206" s="219">
        <f>IFERROR(__xludf.DUMMYFUNCTION("""COMPUTED_VALUE"""),45713.58333333333)</f>
        <v>45713.58333</v>
      </c>
      <c r="J206" s="190">
        <f>IFERROR(__xludf.DUMMYFUNCTION("""COMPUTED_VALUE"""),4.5)</f>
        <v>4.5</v>
      </c>
      <c r="K206" s="190">
        <f>IFERROR(__xludf.DUMMYFUNCTION("""COMPUTED_VALUE"""),6.0)</f>
        <v>6</v>
      </c>
      <c r="L206" s="190" t="str">
        <f>IFERROR(__xludf.DUMMYFUNCTION("""COMPUTED_VALUE"""),"Designer")</f>
        <v>Designer</v>
      </c>
      <c r="M206" s="190" t="str">
        <f>IFERROR(__xludf.DUMMYFUNCTION("""COMPUTED_VALUE"""),"CHORUS")</f>
        <v>CHORUS</v>
      </c>
      <c r="N206" s="220">
        <f>IFERROR(__xludf.DUMMYFUNCTION("""COMPUTED_VALUE"""),4.5)</f>
        <v>4.5</v>
      </c>
      <c r="O206" s="220">
        <f>IFERROR(__xludf.DUMMYFUNCTION("""COMPUTED_VALUE"""),6.0)</f>
        <v>6</v>
      </c>
      <c r="P206" s="220"/>
      <c r="Q206" s="190">
        <f t="shared" si="1"/>
        <v>1</v>
      </c>
      <c r="R206" s="211" t="s">
        <v>641</v>
      </c>
      <c r="S206" s="210" t="str">
        <f t="shared" si="2"/>
        <v>DEV</v>
      </c>
      <c r="T206" s="210" t="str">
        <f t="shared" si="3"/>
        <v>DEV, TA</v>
      </c>
      <c r="U206" s="210" t="str">
        <f t="shared" si="4"/>
        <v>MOC</v>
      </c>
      <c r="X206" s="210"/>
      <c r="Y206" s="210"/>
      <c r="Z206" s="210"/>
      <c r="AA206" s="210"/>
      <c r="AB206" s="210"/>
      <c r="AC206" s="210"/>
      <c r="AD206" s="210"/>
      <c r="AE206" s="210"/>
      <c r="AF206" s="210"/>
      <c r="AG206" s="210"/>
      <c r="AH206" s="210"/>
      <c r="AI206" s="210"/>
      <c r="AJ206" s="210"/>
      <c r="AK206" s="210"/>
      <c r="AL206" s="210"/>
      <c r="AM206" s="210"/>
      <c r="AN206" s="210"/>
      <c r="AO206" s="210"/>
      <c r="AP206" s="210"/>
      <c r="AQ206" s="210"/>
    </row>
    <row r="207">
      <c r="A207" s="223" t="str">
        <f>IFERROR(__xludf.DUMMYFUNCTION("""COMPUTED_VALUE"""),"237230")</f>
        <v>237230</v>
      </c>
      <c r="B207" s="190" t="str">
        <f>IFERROR(__xludf.DUMMYFUNCTION("""COMPUTED_VALUE"""),"TRẦN KIM HẰNG")</f>
        <v>TRẦN KIM HẰNG</v>
      </c>
      <c r="C207" s="223" t="str">
        <f>IFERROR(__xludf.DUMMYFUNCTION("""COMPUTED_VALUE"""),"EL021")</f>
        <v>EL021</v>
      </c>
      <c r="D207" s="223" t="str">
        <f>IFERROR(__xludf.DUMMYFUNCTION("""COMPUTED_VALUE"""),"Tan Tran")</f>
        <v>Tan Tran</v>
      </c>
      <c r="E207" s="190" t="str">
        <f>IFERROR(__xludf.DUMMYFUNCTION("""COMPUTED_VALUE"""),"Business English")</f>
        <v>Business English</v>
      </c>
      <c r="F207" s="190" t="str">
        <f>IFERROR(__xludf.DUMMYFUNCTION("""COMPUTED_VALUE"""),"Intermediate")</f>
        <v>Intermediate</v>
      </c>
      <c r="G207" s="190" t="str">
        <f>IFERROR(__xludf.DUMMYFUNCTION("""COMPUTED_VALUE"""),"Upper-Intermediate")</f>
        <v>Upper-Intermediate</v>
      </c>
      <c r="H207" s="219">
        <f>IFERROR(__xludf.DUMMYFUNCTION("""COMPUTED_VALUE"""),45713.58333333333)</f>
        <v>45713.58333</v>
      </c>
      <c r="I207" s="219">
        <f>IFERROR(__xludf.DUMMYFUNCTION("""COMPUTED_VALUE"""),45713.58333333333)</f>
        <v>45713.58333</v>
      </c>
      <c r="J207" s="190">
        <f>IFERROR(__xludf.DUMMYFUNCTION("""COMPUTED_VALUE"""),4.5)</f>
        <v>4.5</v>
      </c>
      <c r="K207" s="190">
        <f>IFERROR(__xludf.DUMMYFUNCTION("""COMPUTED_VALUE"""),6.0)</f>
        <v>6</v>
      </c>
      <c r="L207" s="190" t="str">
        <f>IFERROR(__xludf.DUMMYFUNCTION("""COMPUTED_VALUE"""),"Designer")</f>
        <v>Designer</v>
      </c>
      <c r="M207" s="190" t="str">
        <f>IFERROR(__xludf.DUMMYFUNCTION("""COMPUTED_VALUE"""),"LBU")</f>
        <v>LBU</v>
      </c>
      <c r="N207" s="220">
        <f>IFERROR(__xludf.DUMMYFUNCTION("""COMPUTED_VALUE"""),4.5)</f>
        <v>4.5</v>
      </c>
      <c r="O207" s="220">
        <f>IFERROR(__xludf.DUMMYFUNCTION("""COMPUTED_VALUE"""),6.0)</f>
        <v>6</v>
      </c>
      <c r="P207" s="220"/>
      <c r="Q207" s="190">
        <f t="shared" si="1"/>
        <v>1</v>
      </c>
      <c r="R207" s="211" t="s">
        <v>671</v>
      </c>
      <c r="S207" s="210" t="str">
        <f t="shared" si="2"/>
        <v>DEV</v>
      </c>
      <c r="T207" s="210" t="str">
        <f t="shared" si="3"/>
        <v>DEV, TA</v>
      </c>
      <c r="U207" s="210" t="str">
        <f t="shared" si="4"/>
        <v>MOC</v>
      </c>
      <c r="X207" s="210"/>
      <c r="Y207" s="210"/>
      <c r="Z207" s="210"/>
      <c r="AA207" s="210"/>
      <c r="AB207" s="210"/>
      <c r="AC207" s="210"/>
      <c r="AD207" s="210"/>
      <c r="AE207" s="210"/>
      <c r="AF207" s="210"/>
      <c r="AG207" s="210"/>
      <c r="AH207" s="210"/>
      <c r="AI207" s="210"/>
      <c r="AJ207" s="210"/>
      <c r="AK207" s="210"/>
      <c r="AL207" s="210"/>
      <c r="AM207" s="210"/>
      <c r="AN207" s="210"/>
      <c r="AO207" s="210"/>
      <c r="AP207" s="210"/>
      <c r="AQ207" s="210"/>
    </row>
    <row r="208">
      <c r="A208" s="223" t="str">
        <f>IFERROR(__xludf.DUMMYFUNCTION("""COMPUTED_VALUE"""),"247412")</f>
        <v>247412</v>
      </c>
      <c r="B208" s="190" t="str">
        <f>IFERROR(__xludf.DUMMYFUNCTION("""COMPUTED_VALUE"""),"TRẦN QUANG TỐNG")</f>
        <v>TRẦN QUANG TỐNG</v>
      </c>
      <c r="C208" s="223" t="str">
        <f>IFERROR(__xludf.DUMMYFUNCTION("""COMPUTED_VALUE"""),"EL021")</f>
        <v>EL021</v>
      </c>
      <c r="D208" s="223" t="str">
        <f>IFERROR(__xludf.DUMMYFUNCTION("""COMPUTED_VALUE"""),"Tan Tran")</f>
        <v>Tan Tran</v>
      </c>
      <c r="E208" s="190" t="str">
        <f>IFERROR(__xludf.DUMMYFUNCTION("""COMPUTED_VALUE"""),"Business English")</f>
        <v>Business English</v>
      </c>
      <c r="F208" s="190" t="str">
        <f>IFERROR(__xludf.DUMMYFUNCTION("""COMPUTED_VALUE"""),"Intermediate")</f>
        <v>Intermediate</v>
      </c>
      <c r="G208" s="190" t="str">
        <f>IFERROR(__xludf.DUMMYFUNCTION("""COMPUTED_VALUE"""),"Upper-Intermediate")</f>
        <v>Upper-Intermediate</v>
      </c>
      <c r="H208" s="219">
        <f>IFERROR(__xludf.DUMMYFUNCTION("""COMPUTED_VALUE"""),45713.58333333333)</f>
        <v>45713.58333</v>
      </c>
      <c r="I208" s="219">
        <f>IFERROR(__xludf.DUMMYFUNCTION("""COMPUTED_VALUE"""),45713.58333333333)</f>
        <v>45713.58333</v>
      </c>
      <c r="J208" s="190">
        <f>IFERROR(__xludf.DUMMYFUNCTION("""COMPUTED_VALUE"""),4.5)</f>
        <v>4.5</v>
      </c>
      <c r="K208" s="190">
        <f>IFERROR(__xludf.DUMMYFUNCTION("""COMPUTED_VALUE"""),6.0)</f>
        <v>6</v>
      </c>
      <c r="L208" s="190" t="str">
        <f>IFERROR(__xludf.DUMMYFUNCTION("""COMPUTED_VALUE"""),"QC")</f>
        <v>QC</v>
      </c>
      <c r="M208" s="190" t="str">
        <f>IFERROR(__xludf.DUMMYFUNCTION("""COMPUTED_VALUE"""),"LBU")</f>
        <v>LBU</v>
      </c>
      <c r="N208" s="220">
        <f>IFERROR(__xludf.DUMMYFUNCTION("""COMPUTED_VALUE"""),4.5)</f>
        <v>4.5</v>
      </c>
      <c r="O208" s="220">
        <f>IFERROR(__xludf.DUMMYFUNCTION("""COMPUTED_VALUE"""),6.0)</f>
        <v>6</v>
      </c>
      <c r="P208" s="220"/>
      <c r="Q208" s="190">
        <f t="shared" si="1"/>
        <v>1</v>
      </c>
      <c r="R208" s="211" t="s">
        <v>241</v>
      </c>
      <c r="S208" s="210" t="str">
        <f t="shared" si="2"/>
        <v>QC</v>
      </c>
      <c r="T208" s="210" t="str">
        <f t="shared" si="3"/>
        <v>QC</v>
      </c>
      <c r="U208" s="210" t="str">
        <f t="shared" si="4"/>
        <v>MOC</v>
      </c>
      <c r="X208" s="210"/>
      <c r="Y208" s="210"/>
      <c r="Z208" s="210"/>
      <c r="AA208" s="210"/>
      <c r="AB208" s="210"/>
      <c r="AC208" s="210"/>
      <c r="AD208" s="210"/>
      <c r="AE208" s="210"/>
      <c r="AF208" s="210"/>
      <c r="AG208" s="210"/>
      <c r="AH208" s="210"/>
      <c r="AI208" s="210"/>
      <c r="AJ208" s="210"/>
      <c r="AK208" s="210"/>
      <c r="AL208" s="210"/>
      <c r="AM208" s="210"/>
      <c r="AN208" s="210"/>
      <c r="AO208" s="210"/>
      <c r="AP208" s="210"/>
      <c r="AQ208" s="210"/>
    </row>
    <row r="209">
      <c r="A209" s="223" t="str">
        <f>IFERROR(__xludf.DUMMYFUNCTION("""COMPUTED_VALUE"""),"247358")</f>
        <v>247358</v>
      </c>
      <c r="B209" s="190" t="str">
        <f>IFERROR(__xludf.DUMMYFUNCTION("""COMPUTED_VALUE"""),"TRẦN VĨNH PHÚC")</f>
        <v>TRẦN VĨNH PHÚC</v>
      </c>
      <c r="C209" s="223" t="str">
        <f>IFERROR(__xludf.DUMMYFUNCTION("""COMPUTED_VALUE"""),"EL021")</f>
        <v>EL021</v>
      </c>
      <c r="D209" s="223" t="str">
        <f>IFERROR(__xludf.DUMMYFUNCTION("""COMPUTED_VALUE"""),"Tan Tran")</f>
        <v>Tan Tran</v>
      </c>
      <c r="E209" s="190" t="str">
        <f>IFERROR(__xludf.DUMMYFUNCTION("""COMPUTED_VALUE"""),"Business English")</f>
        <v>Business English</v>
      </c>
      <c r="F209" s="190" t="str">
        <f>IFERROR(__xludf.DUMMYFUNCTION("""COMPUTED_VALUE"""),"Intermediate")</f>
        <v>Intermediate</v>
      </c>
      <c r="G209" s="190" t="str">
        <f>IFERROR(__xludf.DUMMYFUNCTION("""COMPUTED_VALUE"""),"Upper-Intermediate")</f>
        <v>Upper-Intermediate</v>
      </c>
      <c r="H209" s="219">
        <f>IFERROR(__xludf.DUMMYFUNCTION("""COMPUTED_VALUE"""),45713.58333333333)</f>
        <v>45713.58333</v>
      </c>
      <c r="I209" s="219">
        <f>IFERROR(__xludf.DUMMYFUNCTION("""COMPUTED_VALUE"""),45713.58333333333)</f>
        <v>45713.58333</v>
      </c>
      <c r="J209" s="190">
        <f>IFERROR(__xludf.DUMMYFUNCTION("""COMPUTED_VALUE"""),4.5)</f>
        <v>4.5</v>
      </c>
      <c r="K209" s="190">
        <f>IFERROR(__xludf.DUMMYFUNCTION("""COMPUTED_VALUE"""),6.0)</f>
        <v>6</v>
      </c>
      <c r="L209" s="190" t="str">
        <f>IFERROR(__xludf.DUMMYFUNCTION("""COMPUTED_VALUE"""),"UI/UX")</f>
        <v>UI/UX</v>
      </c>
      <c r="M209" s="190" t="str">
        <f>IFERROR(__xludf.DUMMYFUNCTION("""COMPUTED_VALUE"""),"CHORUS")</f>
        <v>CHORUS</v>
      </c>
      <c r="N209" s="220">
        <f>IFERROR(__xludf.DUMMYFUNCTION("""COMPUTED_VALUE"""),4.5)</f>
        <v>4.5</v>
      </c>
      <c r="O209" s="220">
        <f>IFERROR(__xludf.DUMMYFUNCTION("""COMPUTED_VALUE"""),6.0)</f>
        <v>6</v>
      </c>
      <c r="P209" s="220"/>
      <c r="Q209" s="190">
        <f t="shared" si="1"/>
        <v>1</v>
      </c>
      <c r="R209" s="211" t="s">
        <v>463</v>
      </c>
      <c r="S209" s="210" t="str">
        <f t="shared" si="2"/>
        <v>QC</v>
      </c>
      <c r="T209" s="210" t="str">
        <f t="shared" si="3"/>
        <v>QC</v>
      </c>
      <c r="U209" s="210" t="str">
        <f t="shared" si="4"/>
        <v>MOC</v>
      </c>
      <c r="X209" s="210"/>
      <c r="Y209" s="210"/>
      <c r="Z209" s="210"/>
      <c r="AA209" s="210"/>
      <c r="AB209" s="210"/>
      <c r="AC209" s="210"/>
      <c r="AD209" s="210"/>
      <c r="AE209" s="210"/>
      <c r="AF209" s="210"/>
      <c r="AG209" s="210"/>
      <c r="AH209" s="210"/>
      <c r="AI209" s="210"/>
      <c r="AJ209" s="210"/>
      <c r="AK209" s="210"/>
      <c r="AL209" s="210"/>
      <c r="AM209" s="210"/>
      <c r="AN209" s="210"/>
      <c r="AO209" s="210"/>
      <c r="AP209" s="210"/>
      <c r="AQ209" s="210"/>
    </row>
    <row r="210">
      <c r="A210" s="218" t="str">
        <f>IFERROR(__xludf.DUMMYFUNCTION("""COMPUTED_VALUE"""),"183340")</f>
        <v>183340</v>
      </c>
      <c r="B210" s="217" t="str">
        <f>IFERROR(__xludf.DUMMYFUNCTION("""COMPUTED_VALUE"""),"TRƯƠNG TRUNG THIÊN")</f>
        <v>TRƯƠNG TRUNG THIÊN</v>
      </c>
      <c r="C210" s="218" t="str">
        <f>IFERROR(__xludf.DUMMYFUNCTION("""COMPUTED_VALUE"""),"EL022")</f>
        <v>EL022</v>
      </c>
      <c r="D210" s="218" t="str">
        <f>IFERROR(__xludf.DUMMYFUNCTION("""COMPUTED_VALUE"""),"Thien Truong")</f>
        <v>Thien Truong</v>
      </c>
      <c r="E210" s="217" t="str">
        <f>IFERROR(__xludf.DUMMYFUNCTION("""COMPUTED_VALUE"""),"Communication 1")</f>
        <v>Communication 1</v>
      </c>
      <c r="F210" s="190" t="str">
        <f>IFERROR(__xludf.DUMMYFUNCTION("""COMPUTED_VALUE"""),"Beginner")</f>
        <v>Beginner</v>
      </c>
      <c r="G210" s="190" t="str">
        <f>IFERROR(__xludf.DUMMYFUNCTION("""COMPUTED_VALUE"""),"Pre-Intermediate 1")</f>
        <v>Pre-Intermediate 1</v>
      </c>
      <c r="H210" s="219">
        <f>IFERROR(__xludf.DUMMYFUNCTION("""COMPUTED_VALUE"""),45670.54166666667)</f>
        <v>45670.54167</v>
      </c>
      <c r="I210" s="219">
        <f>IFERROR(__xludf.DUMMYFUNCTION("""COMPUTED_VALUE"""),45670.54166666667)</f>
        <v>45670.54167</v>
      </c>
      <c r="J210" s="190">
        <f>IFERROR(__xludf.DUMMYFUNCTION("""COMPUTED_VALUE"""),1.0)</f>
        <v>1</v>
      </c>
      <c r="K210" s="190">
        <f>IFERROR(__xludf.DUMMYFUNCTION("""COMPUTED_VALUE"""),3.0)</f>
        <v>3</v>
      </c>
      <c r="L210" s="190" t="str">
        <f>IFERROR(__xludf.DUMMYFUNCTION("""COMPUTED_VALUE"""),"DEV")</f>
        <v>DEV</v>
      </c>
      <c r="M210" s="190" t="str">
        <f>IFERROR(__xludf.DUMMYFUNCTION("""COMPUTED_VALUE"""),"POC")</f>
        <v>POC</v>
      </c>
      <c r="N210" s="220">
        <f>IFERROR(__xludf.DUMMYFUNCTION("""COMPUTED_VALUE"""),1.0)</f>
        <v>1</v>
      </c>
      <c r="O210" s="220">
        <f>IFERROR(__xludf.DUMMYFUNCTION("""COMPUTED_VALUE"""),3.5)</f>
        <v>3.5</v>
      </c>
      <c r="P210" s="220"/>
      <c r="Q210" s="190">
        <f t="shared" si="1"/>
        <v>1</v>
      </c>
      <c r="R210" s="211" t="s">
        <v>649</v>
      </c>
      <c r="S210" s="210" t="str">
        <f t="shared" si="2"/>
        <v>GSD</v>
      </c>
      <c r="T210" s="210" t="str">
        <f t="shared" si="3"/>
        <v>GSD</v>
      </c>
      <c r="U210" s="210" t="str">
        <f t="shared" si="4"/>
        <v>MOC</v>
      </c>
      <c r="X210" s="210"/>
      <c r="Y210" s="210"/>
      <c r="Z210" s="210"/>
      <c r="AA210" s="210"/>
      <c r="AB210" s="210"/>
      <c r="AC210" s="210"/>
      <c r="AD210" s="210"/>
      <c r="AE210" s="210"/>
      <c r="AF210" s="210"/>
      <c r="AG210" s="210"/>
      <c r="AH210" s="210"/>
      <c r="AI210" s="210"/>
      <c r="AJ210" s="210"/>
      <c r="AK210" s="210"/>
      <c r="AL210" s="210"/>
      <c r="AM210" s="210"/>
      <c r="AN210" s="210"/>
      <c r="AO210" s="210"/>
      <c r="AP210" s="210"/>
      <c r="AQ210" s="210"/>
    </row>
    <row r="211">
      <c r="A211" s="223" t="str">
        <f>IFERROR(__xludf.DUMMYFUNCTION("""COMPUTED_VALUE"""),"193534")</f>
        <v>193534</v>
      </c>
      <c r="B211" s="190" t="str">
        <f>IFERROR(__xludf.DUMMYFUNCTION("""COMPUTED_VALUE"""),"LÊ HỒNG QUÂN")</f>
        <v>LÊ HỒNG QUÂN</v>
      </c>
      <c r="C211" s="223" t="str">
        <f>IFERROR(__xludf.DUMMYFUNCTION("""COMPUTED_VALUE"""),"EL022")</f>
        <v>EL022</v>
      </c>
      <c r="D211" s="223" t="str">
        <f>IFERROR(__xludf.DUMMYFUNCTION("""COMPUTED_VALUE"""),"Thien Truong")</f>
        <v>Thien Truong</v>
      </c>
      <c r="E211" s="190" t="str">
        <f>IFERROR(__xludf.DUMMYFUNCTION("""COMPUTED_VALUE"""),"Communication 1")</f>
        <v>Communication 1</v>
      </c>
      <c r="F211" s="190" t="str">
        <f>IFERROR(__xludf.DUMMYFUNCTION("""COMPUTED_VALUE"""),"Beginner")</f>
        <v>Beginner</v>
      </c>
      <c r="G211" s="190" t="str">
        <f>IFERROR(__xludf.DUMMYFUNCTION("""COMPUTED_VALUE"""),"Pre-Intermediate 1")</f>
        <v>Pre-Intermediate 1</v>
      </c>
      <c r="H211" s="219">
        <f>IFERROR(__xludf.DUMMYFUNCTION("""COMPUTED_VALUE"""),45670.54166666667)</f>
        <v>45670.54167</v>
      </c>
      <c r="I211" s="219">
        <f>IFERROR(__xludf.DUMMYFUNCTION("""COMPUTED_VALUE"""),45670.54166666667)</f>
        <v>45670.54167</v>
      </c>
      <c r="J211" s="190">
        <f>IFERROR(__xludf.DUMMYFUNCTION("""COMPUTED_VALUE"""),1.0)</f>
        <v>1</v>
      </c>
      <c r="K211" s="190">
        <f>IFERROR(__xludf.DUMMYFUNCTION("""COMPUTED_VALUE"""),3.0)</f>
        <v>3</v>
      </c>
      <c r="L211" s="190" t="str">
        <f>IFERROR(__xludf.DUMMYFUNCTION("""COMPUTED_VALUE"""),"DEV")</f>
        <v>DEV</v>
      </c>
      <c r="M211" s="190" t="str">
        <f>IFERROR(__xludf.DUMMYFUNCTION("""COMPUTED_VALUE"""),"POC")</f>
        <v>POC</v>
      </c>
      <c r="N211" s="220">
        <f>IFERROR(__xludf.DUMMYFUNCTION("""COMPUTED_VALUE"""),1.0)</f>
        <v>1</v>
      </c>
      <c r="O211" s="220">
        <f>IFERROR(__xludf.DUMMYFUNCTION("""COMPUTED_VALUE"""),3.5)</f>
        <v>3.5</v>
      </c>
      <c r="P211" s="220"/>
      <c r="Q211" s="190">
        <f t="shared" si="1"/>
        <v>1</v>
      </c>
      <c r="R211" s="211" t="s">
        <v>253</v>
      </c>
      <c r="S211" s="210" t="str">
        <f t="shared" si="2"/>
        <v>GSD</v>
      </c>
      <c r="T211" s="210" t="str">
        <f t="shared" si="3"/>
        <v>GSD</v>
      </c>
      <c r="U211" s="210" t="str">
        <f t="shared" si="4"/>
        <v>MOC</v>
      </c>
      <c r="X211" s="210"/>
      <c r="Y211" s="210"/>
      <c r="Z211" s="210"/>
      <c r="AA211" s="210"/>
      <c r="AB211" s="210"/>
      <c r="AC211" s="210"/>
      <c r="AD211" s="210"/>
      <c r="AE211" s="210"/>
      <c r="AF211" s="210"/>
      <c r="AG211" s="210"/>
      <c r="AH211" s="210"/>
      <c r="AI211" s="210"/>
      <c r="AJ211" s="210"/>
      <c r="AK211" s="210"/>
      <c r="AL211" s="210"/>
      <c r="AM211" s="210"/>
      <c r="AN211" s="210"/>
      <c r="AO211" s="210"/>
      <c r="AP211" s="210"/>
      <c r="AQ211" s="210"/>
    </row>
    <row r="212">
      <c r="A212" s="223" t="str">
        <f>IFERROR(__xludf.DUMMYFUNCTION("""COMPUTED_VALUE"""),"227047")</f>
        <v>227047</v>
      </c>
      <c r="B212" s="190" t="str">
        <f>IFERROR(__xludf.DUMMYFUNCTION("""COMPUTED_VALUE"""),"LÊ THANH SƠN")</f>
        <v>LÊ THANH SƠN</v>
      </c>
      <c r="C212" s="223" t="str">
        <f>IFERROR(__xludf.DUMMYFUNCTION("""COMPUTED_VALUE"""),"EL022")</f>
        <v>EL022</v>
      </c>
      <c r="D212" s="223" t="str">
        <f>IFERROR(__xludf.DUMMYFUNCTION("""COMPUTED_VALUE"""),"Thien Truong")</f>
        <v>Thien Truong</v>
      </c>
      <c r="E212" s="190" t="str">
        <f>IFERROR(__xludf.DUMMYFUNCTION("""COMPUTED_VALUE"""),"Communication 1")</f>
        <v>Communication 1</v>
      </c>
      <c r="F212" s="190" t="str">
        <f>IFERROR(__xludf.DUMMYFUNCTION("""COMPUTED_VALUE"""),"Beginner")</f>
        <v>Beginner</v>
      </c>
      <c r="G212" s="190" t="str">
        <f>IFERROR(__xludf.DUMMYFUNCTION("""COMPUTED_VALUE"""),"Pre-Intermediate 1")</f>
        <v>Pre-Intermediate 1</v>
      </c>
      <c r="H212" s="219">
        <f>IFERROR(__xludf.DUMMYFUNCTION("""COMPUTED_VALUE"""),45670.54166666667)</f>
        <v>45670.54167</v>
      </c>
      <c r="I212" s="219">
        <f>IFERROR(__xludf.DUMMYFUNCTION("""COMPUTED_VALUE"""),45670.54166666667)</f>
        <v>45670.54167</v>
      </c>
      <c r="J212" s="190">
        <f>IFERROR(__xludf.DUMMYFUNCTION("""COMPUTED_VALUE"""),1.0)</f>
        <v>1</v>
      </c>
      <c r="K212" s="190">
        <f>IFERROR(__xludf.DUMMYFUNCTION("""COMPUTED_VALUE"""),3.0)</f>
        <v>3</v>
      </c>
      <c r="L212" s="190" t="str">
        <f>IFERROR(__xludf.DUMMYFUNCTION("""COMPUTED_VALUE"""),"DEV")</f>
        <v>DEV</v>
      </c>
      <c r="M212" s="190" t="str">
        <f>IFERROR(__xludf.DUMMYFUNCTION("""COMPUTED_VALUE"""),"POC")</f>
        <v>POC</v>
      </c>
      <c r="N212" s="220">
        <f>IFERROR(__xludf.DUMMYFUNCTION("""COMPUTED_VALUE"""),1.0)</f>
        <v>1</v>
      </c>
      <c r="O212" s="220">
        <f>IFERROR(__xludf.DUMMYFUNCTION("""COMPUTED_VALUE"""),3.5)</f>
        <v>3.5</v>
      </c>
      <c r="P212" s="220"/>
      <c r="Q212" s="190">
        <f t="shared" si="1"/>
        <v>1</v>
      </c>
      <c r="R212" s="211" t="s">
        <v>447</v>
      </c>
      <c r="S212" s="210" t="str">
        <f t="shared" si="2"/>
        <v>GSD</v>
      </c>
      <c r="T212" s="210" t="str">
        <f t="shared" si="3"/>
        <v>GSD</v>
      </c>
      <c r="U212" s="210" t="str">
        <f t="shared" si="4"/>
        <v>MOC</v>
      </c>
      <c r="X212" s="210"/>
      <c r="Y212" s="210"/>
      <c r="Z212" s="210"/>
      <c r="AA212" s="210"/>
      <c r="AB212" s="210"/>
      <c r="AC212" s="210"/>
      <c r="AD212" s="210"/>
      <c r="AE212" s="210"/>
      <c r="AF212" s="210"/>
      <c r="AG212" s="210"/>
      <c r="AH212" s="210"/>
      <c r="AI212" s="210"/>
      <c r="AJ212" s="210"/>
      <c r="AK212" s="210"/>
      <c r="AL212" s="210"/>
      <c r="AM212" s="210"/>
      <c r="AN212" s="210"/>
      <c r="AO212" s="210"/>
      <c r="AP212" s="210"/>
      <c r="AQ212" s="210"/>
    </row>
    <row r="213">
      <c r="A213" s="223" t="str">
        <f>IFERROR(__xludf.DUMMYFUNCTION("""COMPUTED_VALUE"""),"133051")</f>
        <v>133051</v>
      </c>
      <c r="B213" s="190" t="str">
        <f>IFERROR(__xludf.DUMMYFUNCTION("""COMPUTED_VALUE"""),"LÝ KHÁNH LONG")</f>
        <v>LÝ KHÁNH LONG</v>
      </c>
      <c r="C213" s="223" t="str">
        <f>IFERROR(__xludf.DUMMYFUNCTION("""COMPUTED_VALUE"""),"EL022")</f>
        <v>EL022</v>
      </c>
      <c r="D213" s="223" t="str">
        <f>IFERROR(__xludf.DUMMYFUNCTION("""COMPUTED_VALUE"""),"Thien Truong")</f>
        <v>Thien Truong</v>
      </c>
      <c r="E213" s="190" t="str">
        <f>IFERROR(__xludf.DUMMYFUNCTION("""COMPUTED_VALUE"""),"Communication 1")</f>
        <v>Communication 1</v>
      </c>
      <c r="F213" s="190" t="str">
        <f>IFERROR(__xludf.DUMMYFUNCTION("""COMPUTED_VALUE"""),"Beginner")</f>
        <v>Beginner</v>
      </c>
      <c r="G213" s="190" t="str">
        <f>IFERROR(__xludf.DUMMYFUNCTION("""COMPUTED_VALUE"""),"Beginner 2")</f>
        <v>Beginner 2</v>
      </c>
      <c r="H213" s="219">
        <f>IFERROR(__xludf.DUMMYFUNCTION("""COMPUTED_VALUE"""),45670.54166666667)</f>
        <v>45670.54167</v>
      </c>
      <c r="I213" s="219">
        <f>IFERROR(__xludf.DUMMYFUNCTION("""COMPUTED_VALUE"""),45670.54166666667)</f>
        <v>45670.54167</v>
      </c>
      <c r="J213" s="190">
        <f>IFERROR(__xludf.DUMMYFUNCTION("""COMPUTED_VALUE"""),1.0)</f>
        <v>1</v>
      </c>
      <c r="K213" s="190">
        <f>IFERROR(__xludf.DUMMYFUNCTION("""COMPUTED_VALUE"""),1.5)</f>
        <v>1.5</v>
      </c>
      <c r="L213" s="190" t="str">
        <f>IFERROR(__xludf.DUMMYFUNCTION("""COMPUTED_VALUE"""),"DEV")</f>
        <v>DEV</v>
      </c>
      <c r="M213" s="190" t="str">
        <f>IFERROR(__xludf.DUMMYFUNCTION("""COMPUTED_VALUE"""),"TBU")</f>
        <v>TBU</v>
      </c>
      <c r="N213" s="220">
        <f>IFERROR(__xludf.DUMMYFUNCTION("""COMPUTED_VALUE"""),1.0)</f>
        <v>1</v>
      </c>
      <c r="O213" s="220">
        <f>IFERROR(__xludf.DUMMYFUNCTION("""COMPUTED_VALUE"""),1.5)</f>
        <v>1.5</v>
      </c>
      <c r="P213" s="220"/>
      <c r="Q213" s="190">
        <f t="shared" si="1"/>
        <v>1</v>
      </c>
      <c r="R213" s="211" t="s">
        <v>486</v>
      </c>
      <c r="S213" s="210" t="str">
        <f t="shared" si="2"/>
        <v>GSD</v>
      </c>
      <c r="T213" s="210" t="str">
        <f t="shared" si="3"/>
        <v>GSD</v>
      </c>
      <c r="U213" s="210" t="str">
        <f t="shared" si="4"/>
        <v>MOC</v>
      </c>
      <c r="X213" s="210"/>
      <c r="Y213" s="210"/>
      <c r="Z213" s="210"/>
      <c r="AA213" s="210"/>
      <c r="AB213" s="210"/>
      <c r="AC213" s="210"/>
      <c r="AD213" s="210"/>
      <c r="AE213" s="210"/>
      <c r="AF213" s="210"/>
      <c r="AG213" s="210"/>
      <c r="AH213" s="210"/>
      <c r="AI213" s="210"/>
      <c r="AJ213" s="210"/>
      <c r="AK213" s="210"/>
      <c r="AL213" s="210"/>
      <c r="AM213" s="210"/>
      <c r="AN213" s="210"/>
      <c r="AO213" s="210"/>
      <c r="AP213" s="210"/>
      <c r="AQ213" s="210"/>
    </row>
    <row r="214">
      <c r="A214" s="223" t="str">
        <f>IFERROR(__xludf.DUMMYFUNCTION("""COMPUTED_VALUE"""),"227080")</f>
        <v>227080</v>
      </c>
      <c r="B214" s="190" t="str">
        <f>IFERROR(__xludf.DUMMYFUNCTION("""COMPUTED_VALUE"""),"NGUYỄN BÁ PHI NHẬT")</f>
        <v>NGUYỄN BÁ PHI NHẬT</v>
      </c>
      <c r="C214" s="223" t="str">
        <f>IFERROR(__xludf.DUMMYFUNCTION("""COMPUTED_VALUE"""),"EL022")</f>
        <v>EL022</v>
      </c>
      <c r="D214" s="223" t="str">
        <f>IFERROR(__xludf.DUMMYFUNCTION("""COMPUTED_VALUE"""),"Thien Truong")</f>
        <v>Thien Truong</v>
      </c>
      <c r="E214" s="190" t="str">
        <f>IFERROR(__xludf.DUMMYFUNCTION("""COMPUTED_VALUE"""),"Communication 1")</f>
        <v>Communication 1</v>
      </c>
      <c r="F214" s="190" t="str">
        <f>IFERROR(__xludf.DUMMYFUNCTION("""COMPUTED_VALUE"""),"Pre-Intermediate")</f>
        <v>Pre-Intermediate</v>
      </c>
      <c r="G214" s="190" t="str">
        <f>IFERROR(__xludf.DUMMYFUNCTION("""COMPUTED_VALUE"""),"Intermediate")</f>
        <v>Intermediate</v>
      </c>
      <c r="H214" s="219">
        <f>IFERROR(__xludf.DUMMYFUNCTION("""COMPUTED_VALUE"""),45670.54166666667)</f>
        <v>45670.54167</v>
      </c>
      <c r="I214" s="219">
        <f>IFERROR(__xludf.DUMMYFUNCTION("""COMPUTED_VALUE"""),45670.54166666667)</f>
        <v>45670.54167</v>
      </c>
      <c r="J214" s="190">
        <f>IFERROR(__xludf.DUMMYFUNCTION("""COMPUTED_VALUE"""),2.5)</f>
        <v>2.5</v>
      </c>
      <c r="K214" s="190">
        <f>IFERROR(__xludf.DUMMYFUNCTION("""COMPUTED_VALUE"""),4.5)</f>
        <v>4.5</v>
      </c>
      <c r="L214" s="190" t="str">
        <f>IFERROR(__xludf.DUMMYFUNCTION("""COMPUTED_VALUE"""),"DEV")</f>
        <v>DEV</v>
      </c>
      <c r="M214" s="190" t="str">
        <f>IFERROR(__xludf.DUMMYFUNCTION("""COMPUTED_VALUE"""),"TBU")</f>
        <v>TBU</v>
      </c>
      <c r="N214" s="220">
        <f>IFERROR(__xludf.DUMMYFUNCTION("""COMPUTED_VALUE"""),2.5)</f>
        <v>2.5</v>
      </c>
      <c r="O214" s="220">
        <f>IFERROR(__xludf.DUMMYFUNCTION("""COMPUTED_VALUE"""),4.5)</f>
        <v>4.5</v>
      </c>
      <c r="P214" s="220"/>
      <c r="Q214" s="190">
        <f t="shared" si="1"/>
        <v>1</v>
      </c>
      <c r="R214" s="211" t="s">
        <v>508</v>
      </c>
      <c r="S214" s="210" t="str">
        <f t="shared" si="2"/>
        <v>GSD</v>
      </c>
      <c r="T214" s="210" t="str">
        <f t="shared" si="3"/>
        <v>GSD</v>
      </c>
      <c r="U214" s="210" t="str">
        <f t="shared" si="4"/>
        <v>MOC</v>
      </c>
      <c r="X214" s="210"/>
      <c r="Y214" s="210"/>
      <c r="Z214" s="210"/>
      <c r="AA214" s="210"/>
      <c r="AB214" s="210"/>
      <c r="AC214" s="210"/>
      <c r="AD214" s="210"/>
      <c r="AE214" s="210"/>
      <c r="AF214" s="210"/>
      <c r="AG214" s="210"/>
      <c r="AH214" s="210"/>
      <c r="AI214" s="210"/>
      <c r="AJ214" s="210"/>
      <c r="AK214" s="210"/>
      <c r="AL214" s="210"/>
      <c r="AM214" s="210"/>
      <c r="AN214" s="210"/>
      <c r="AO214" s="210"/>
      <c r="AP214" s="210"/>
      <c r="AQ214" s="210"/>
    </row>
    <row r="215">
      <c r="A215" s="223" t="str">
        <f>IFERROR(__xludf.DUMMYFUNCTION("""COMPUTED_VALUE"""),"227048")</f>
        <v>227048</v>
      </c>
      <c r="B215" s="190" t="str">
        <f>IFERROR(__xludf.DUMMYFUNCTION("""COMPUTED_VALUE"""),"NGUYỄN LÝ KHÁNH HUY")</f>
        <v>NGUYỄN LÝ KHÁNH HUY</v>
      </c>
      <c r="C215" s="223" t="str">
        <f>IFERROR(__xludf.DUMMYFUNCTION("""COMPUTED_VALUE"""),"EL022")</f>
        <v>EL022</v>
      </c>
      <c r="D215" s="223" t="str">
        <f>IFERROR(__xludf.DUMMYFUNCTION("""COMPUTED_VALUE"""),"Thien Truong")</f>
        <v>Thien Truong</v>
      </c>
      <c r="E215" s="190" t="str">
        <f>IFERROR(__xludf.DUMMYFUNCTION("""COMPUTED_VALUE"""),"Communication 1")</f>
        <v>Communication 1</v>
      </c>
      <c r="F215" s="190" t="str">
        <f>IFERROR(__xludf.DUMMYFUNCTION("""COMPUTED_VALUE"""),"Beginner")</f>
        <v>Beginner</v>
      </c>
      <c r="G215" s="190" t="str">
        <f>IFERROR(__xludf.DUMMYFUNCTION("""COMPUTED_VALUE"""),"Pre-Intermediate 2")</f>
        <v>Pre-Intermediate 2</v>
      </c>
      <c r="H215" s="219">
        <f>IFERROR(__xludf.DUMMYFUNCTION("""COMPUTED_VALUE"""),45670.54166666667)</f>
        <v>45670.54167</v>
      </c>
      <c r="I215" s="219">
        <f>IFERROR(__xludf.DUMMYFUNCTION("""COMPUTED_VALUE"""),45670.54166666667)</f>
        <v>45670.54167</v>
      </c>
      <c r="J215" s="190">
        <f>IFERROR(__xludf.DUMMYFUNCTION("""COMPUTED_VALUE"""),1.0)</f>
        <v>1</v>
      </c>
      <c r="K215" s="190">
        <f>IFERROR(__xludf.DUMMYFUNCTION("""COMPUTED_VALUE"""),3.5)</f>
        <v>3.5</v>
      </c>
      <c r="L215" s="190" t="str">
        <f>IFERROR(__xludf.DUMMYFUNCTION("""COMPUTED_VALUE"""),"DEV")</f>
        <v>DEV</v>
      </c>
      <c r="M215" s="190" t="str">
        <f>IFERROR(__xludf.DUMMYFUNCTION("""COMPUTED_VALUE"""),"POC")</f>
        <v>POC</v>
      </c>
      <c r="N215" s="220">
        <f>IFERROR(__xludf.DUMMYFUNCTION("""COMPUTED_VALUE"""),1.0)</f>
        <v>1</v>
      </c>
      <c r="O215" s="220">
        <f>IFERROR(__xludf.DUMMYFUNCTION("""COMPUTED_VALUE"""),4.0)</f>
        <v>4</v>
      </c>
      <c r="P215" s="220"/>
      <c r="Q215" s="190">
        <f t="shared" si="1"/>
        <v>1</v>
      </c>
      <c r="R215" s="211" t="s">
        <v>597</v>
      </c>
      <c r="S215" s="210" t="str">
        <f t="shared" si="2"/>
        <v>GSD</v>
      </c>
      <c r="T215" s="210" t="str">
        <f t="shared" si="3"/>
        <v>GSD</v>
      </c>
      <c r="U215" s="210" t="str">
        <f t="shared" si="4"/>
        <v>MOC</v>
      </c>
      <c r="X215" s="210"/>
      <c r="Y215" s="210"/>
      <c r="Z215" s="210"/>
      <c r="AA215" s="210"/>
      <c r="AB215" s="210"/>
      <c r="AC215" s="210"/>
      <c r="AD215" s="210"/>
      <c r="AE215" s="210"/>
      <c r="AF215" s="210"/>
      <c r="AG215" s="210"/>
      <c r="AH215" s="210"/>
      <c r="AI215" s="210"/>
      <c r="AJ215" s="210"/>
      <c r="AK215" s="210"/>
      <c r="AL215" s="210"/>
      <c r="AM215" s="210"/>
      <c r="AN215" s="210"/>
      <c r="AO215" s="210"/>
      <c r="AP215" s="210"/>
      <c r="AQ215" s="210"/>
    </row>
    <row r="216">
      <c r="A216" s="223" t="str">
        <f>IFERROR(__xludf.DUMMYFUNCTION("""COMPUTED_VALUE"""),"227064")</f>
        <v>227064</v>
      </c>
      <c r="B216" s="190" t="str">
        <f>IFERROR(__xludf.DUMMYFUNCTION("""COMPUTED_VALUE"""),"PHÙNG ĐÌNH HUY")</f>
        <v>PHÙNG ĐÌNH HUY</v>
      </c>
      <c r="C216" s="223" t="str">
        <f>IFERROR(__xludf.DUMMYFUNCTION("""COMPUTED_VALUE"""),"EL022")</f>
        <v>EL022</v>
      </c>
      <c r="D216" s="223" t="str">
        <f>IFERROR(__xludf.DUMMYFUNCTION("""COMPUTED_VALUE"""),"Thien Truong")</f>
        <v>Thien Truong</v>
      </c>
      <c r="E216" s="190" t="str">
        <f>IFERROR(__xludf.DUMMYFUNCTION("""COMPUTED_VALUE"""),"Communication 1")</f>
        <v>Communication 1</v>
      </c>
      <c r="F216" s="190" t="str">
        <f>IFERROR(__xludf.DUMMYFUNCTION("""COMPUTED_VALUE"""),"Beginner")</f>
        <v>Beginner</v>
      </c>
      <c r="G216" s="190" t="str">
        <f>IFERROR(__xludf.DUMMYFUNCTION("""COMPUTED_VALUE"""),"Pre-Intermediate 1")</f>
        <v>Pre-Intermediate 1</v>
      </c>
      <c r="H216" s="219">
        <f>IFERROR(__xludf.DUMMYFUNCTION("""COMPUTED_VALUE"""),45670.54166666667)</f>
        <v>45670.54167</v>
      </c>
      <c r="I216" s="219">
        <f>IFERROR(__xludf.DUMMYFUNCTION("""COMPUTED_VALUE"""),45670.54166666667)</f>
        <v>45670.54167</v>
      </c>
      <c r="J216" s="190">
        <f>IFERROR(__xludf.DUMMYFUNCTION("""COMPUTED_VALUE"""),1.0)</f>
        <v>1</v>
      </c>
      <c r="K216" s="190">
        <f>IFERROR(__xludf.DUMMYFUNCTION("""COMPUTED_VALUE"""),3.0)</f>
        <v>3</v>
      </c>
      <c r="L216" s="190" t="str">
        <f>IFERROR(__xludf.DUMMYFUNCTION("""COMPUTED_VALUE"""),"DEV")</f>
        <v>DEV</v>
      </c>
      <c r="M216" s="190" t="str">
        <f>IFERROR(__xludf.DUMMYFUNCTION("""COMPUTED_VALUE"""),"TBU")</f>
        <v>TBU</v>
      </c>
      <c r="N216" s="220">
        <f>IFERROR(__xludf.DUMMYFUNCTION("""COMPUTED_VALUE"""),1.0)</f>
        <v>1</v>
      </c>
      <c r="O216" s="220">
        <f>IFERROR(__xludf.DUMMYFUNCTION("""COMPUTED_VALUE"""),3.0)</f>
        <v>3</v>
      </c>
      <c r="P216" s="220"/>
      <c r="Q216" s="190">
        <f t="shared" si="1"/>
        <v>1</v>
      </c>
      <c r="R216" s="211" t="s">
        <v>623</v>
      </c>
      <c r="S216" s="210" t="str">
        <f t="shared" si="2"/>
        <v>GSD</v>
      </c>
      <c r="T216" s="210" t="str">
        <f t="shared" si="3"/>
        <v>GSD</v>
      </c>
      <c r="U216" s="210" t="str">
        <f t="shared" si="4"/>
        <v>MOC</v>
      </c>
      <c r="X216" s="210"/>
      <c r="Y216" s="210"/>
      <c r="Z216" s="210"/>
      <c r="AA216" s="210"/>
      <c r="AB216" s="210"/>
      <c r="AC216" s="210"/>
      <c r="AD216" s="210"/>
      <c r="AE216" s="210"/>
      <c r="AF216" s="210"/>
      <c r="AG216" s="210"/>
      <c r="AH216" s="210"/>
      <c r="AI216" s="210"/>
      <c r="AJ216" s="210"/>
      <c r="AK216" s="210"/>
      <c r="AL216" s="210"/>
      <c r="AM216" s="210"/>
      <c r="AN216" s="210"/>
      <c r="AO216" s="210"/>
      <c r="AP216" s="210"/>
      <c r="AQ216" s="210"/>
    </row>
    <row r="217">
      <c r="A217" s="223" t="str">
        <f>IFERROR(__xludf.DUMMYFUNCTION("""COMPUTED_VALUE"""),"203693")</f>
        <v>203693</v>
      </c>
      <c r="B217" s="190" t="str">
        <f>IFERROR(__xludf.DUMMYFUNCTION("""COMPUTED_VALUE"""),"QUÁCH NHẬT TRUNG")</f>
        <v>QUÁCH NHẬT TRUNG</v>
      </c>
      <c r="C217" s="223" t="str">
        <f>IFERROR(__xludf.DUMMYFUNCTION("""COMPUTED_VALUE"""),"EL022")</f>
        <v>EL022</v>
      </c>
      <c r="D217" s="223" t="str">
        <f>IFERROR(__xludf.DUMMYFUNCTION("""COMPUTED_VALUE"""),"Thien Truong")</f>
        <v>Thien Truong</v>
      </c>
      <c r="E217" s="190" t="str">
        <f>IFERROR(__xludf.DUMMYFUNCTION("""COMPUTED_VALUE"""),"Communication 1")</f>
        <v>Communication 1</v>
      </c>
      <c r="F217" s="190" t="str">
        <f>IFERROR(__xludf.DUMMYFUNCTION("""COMPUTED_VALUE"""),"Pre-Intermediate")</f>
        <v>Pre-Intermediate</v>
      </c>
      <c r="G217" s="190" t="str">
        <f>IFERROR(__xludf.DUMMYFUNCTION("""COMPUTED_VALUE"""),"Pre-Intermediate 2")</f>
        <v>Pre-Intermediate 2</v>
      </c>
      <c r="H217" s="219">
        <f>IFERROR(__xludf.DUMMYFUNCTION("""COMPUTED_VALUE"""),45670.54166666667)</f>
        <v>45670.54167</v>
      </c>
      <c r="I217" s="219">
        <f>IFERROR(__xludf.DUMMYFUNCTION("""COMPUTED_VALUE"""),45670.54166666667)</f>
        <v>45670.54167</v>
      </c>
      <c r="J217" s="190">
        <f>IFERROR(__xludf.DUMMYFUNCTION("""COMPUTED_VALUE"""),2.5)</f>
        <v>2.5</v>
      </c>
      <c r="K217" s="190">
        <f>IFERROR(__xludf.DUMMYFUNCTION("""COMPUTED_VALUE"""),3.5)</f>
        <v>3.5</v>
      </c>
      <c r="L217" s="190" t="str">
        <f>IFERROR(__xludf.DUMMYFUNCTION("""COMPUTED_VALUE"""),"DEV")</f>
        <v>DEV</v>
      </c>
      <c r="M217" s="190" t="str">
        <f>IFERROR(__xludf.DUMMYFUNCTION("""COMPUTED_VALUE"""),"POC")</f>
        <v>POC</v>
      </c>
      <c r="N217" s="220">
        <f>IFERROR(__xludf.DUMMYFUNCTION("""COMPUTED_VALUE"""),2.5)</f>
        <v>2.5</v>
      </c>
      <c r="O217" s="220">
        <f>IFERROR(__xludf.DUMMYFUNCTION("""COMPUTED_VALUE"""),3.5)</f>
        <v>3.5</v>
      </c>
      <c r="P217" s="220"/>
      <c r="Q217" s="190">
        <f t="shared" si="1"/>
        <v>1</v>
      </c>
      <c r="R217" s="211" t="s">
        <v>472</v>
      </c>
      <c r="S217" s="210" t="str">
        <f t="shared" si="2"/>
        <v>QC</v>
      </c>
      <c r="T217" s="210" t="str">
        <f t="shared" si="3"/>
        <v>QC</v>
      </c>
      <c r="U217" s="210" t="str">
        <f t="shared" si="4"/>
        <v>LBU</v>
      </c>
      <c r="X217" s="210"/>
      <c r="Y217" s="210"/>
      <c r="Z217" s="210"/>
      <c r="AA217" s="210"/>
      <c r="AB217" s="210"/>
      <c r="AC217" s="210"/>
      <c r="AD217" s="210"/>
      <c r="AE217" s="210"/>
      <c r="AF217" s="210"/>
      <c r="AG217" s="210"/>
      <c r="AH217" s="210"/>
      <c r="AI217" s="210"/>
      <c r="AJ217" s="210"/>
      <c r="AK217" s="210"/>
      <c r="AL217" s="210"/>
      <c r="AM217" s="210"/>
      <c r="AN217" s="210"/>
      <c r="AO217" s="210"/>
      <c r="AP217" s="210"/>
      <c r="AQ217" s="210"/>
    </row>
    <row r="218">
      <c r="A218" s="218" t="str">
        <f>IFERROR(__xludf.DUMMYFUNCTION("""COMPUTED_VALUE"""),"183340")</f>
        <v>183340</v>
      </c>
      <c r="B218" s="217" t="str">
        <f>IFERROR(__xludf.DUMMYFUNCTION("""COMPUTED_VALUE"""),"TRƯƠNG TRUNG THIÊN")</f>
        <v>TRƯƠNG TRUNG THIÊN</v>
      </c>
      <c r="C218" s="218" t="str">
        <f>IFERROR(__xludf.DUMMYFUNCTION("""COMPUTED_VALUE"""),"EL022")</f>
        <v>EL022</v>
      </c>
      <c r="D218" s="218" t="str">
        <f>IFERROR(__xludf.DUMMYFUNCTION("""COMPUTED_VALUE"""),"Thien Truong")</f>
        <v>Thien Truong</v>
      </c>
      <c r="E218" s="217" t="str">
        <f>IFERROR(__xludf.DUMMYFUNCTION("""COMPUTED_VALUE"""),"Communication 2")</f>
        <v>Communication 2</v>
      </c>
      <c r="F218" s="190" t="str">
        <f>IFERROR(__xludf.DUMMYFUNCTION("""COMPUTED_VALUE"""),"Pre-Intermediate 1")</f>
        <v>Pre-Intermediate 1</v>
      </c>
      <c r="G218" s="190" t="str">
        <f>IFERROR(__xludf.DUMMYFUNCTION("""COMPUTED_VALUE"""),"Pre-Intermediate 2")</f>
        <v>Pre-Intermediate 2</v>
      </c>
      <c r="H218" s="219">
        <f>IFERROR(__xludf.DUMMYFUNCTION("""COMPUTED_VALUE"""),45866.54166666667)</f>
        <v>45866.54167</v>
      </c>
      <c r="I218" s="219">
        <f>IFERROR(__xludf.DUMMYFUNCTION("""COMPUTED_VALUE"""),45670.54166666667)</f>
        <v>45670.54167</v>
      </c>
      <c r="J218" s="190">
        <f>IFERROR(__xludf.DUMMYFUNCTION("""COMPUTED_VALUE"""),3.0)</f>
        <v>3</v>
      </c>
      <c r="K218" s="190">
        <f>IFERROR(__xludf.DUMMYFUNCTION("""COMPUTED_VALUE"""),3.5)</f>
        <v>3.5</v>
      </c>
      <c r="L218" s="190" t="str">
        <f>IFERROR(__xludf.DUMMYFUNCTION("""COMPUTED_VALUE"""),"DEV")</f>
        <v>DEV</v>
      </c>
      <c r="M218" s="190" t="str">
        <f>IFERROR(__xludf.DUMMYFUNCTION("""COMPUTED_VALUE"""),"POC")</f>
        <v>POC</v>
      </c>
      <c r="N218" s="220">
        <f>IFERROR(__xludf.DUMMYFUNCTION("""COMPUTED_VALUE"""),1.0)</f>
        <v>1</v>
      </c>
      <c r="O218" s="220">
        <f>IFERROR(__xludf.DUMMYFUNCTION("""COMPUTED_VALUE"""),3.5)</f>
        <v>3.5</v>
      </c>
      <c r="P218" s="220"/>
      <c r="Q218" s="190">
        <f t="shared" si="1"/>
        <v>1</v>
      </c>
      <c r="R218" s="211" t="s">
        <v>397</v>
      </c>
      <c r="S218" s="210" t="str">
        <f t="shared" si="2"/>
        <v>BC</v>
      </c>
      <c r="T218" s="210" t="str">
        <f t="shared" si="3"/>
        <v>BA, BC</v>
      </c>
      <c r="U218" s="210" t="str">
        <f t="shared" si="4"/>
        <v>MOC</v>
      </c>
      <c r="X218" s="210"/>
      <c r="Y218" s="210"/>
      <c r="Z218" s="210"/>
      <c r="AA218" s="210"/>
      <c r="AB218" s="210"/>
      <c r="AC218" s="210"/>
      <c r="AD218" s="210"/>
      <c r="AE218" s="210"/>
      <c r="AF218" s="210"/>
      <c r="AG218" s="210"/>
      <c r="AH218" s="210"/>
      <c r="AI218" s="210"/>
      <c r="AJ218" s="210"/>
      <c r="AK218" s="210"/>
      <c r="AL218" s="210"/>
      <c r="AM218" s="210"/>
      <c r="AN218" s="210"/>
      <c r="AO218" s="210"/>
      <c r="AP218" s="210"/>
      <c r="AQ218" s="210"/>
    </row>
    <row r="219">
      <c r="A219" s="223" t="str">
        <f>IFERROR(__xludf.DUMMYFUNCTION("""COMPUTED_VALUE"""),"193534")</f>
        <v>193534</v>
      </c>
      <c r="B219" s="190" t="str">
        <f>IFERROR(__xludf.DUMMYFUNCTION("""COMPUTED_VALUE"""),"LÊ HỒNG QUÂN")</f>
        <v>LÊ HỒNG QUÂN</v>
      </c>
      <c r="C219" s="223" t="str">
        <f>IFERROR(__xludf.DUMMYFUNCTION("""COMPUTED_VALUE"""),"EL022")</f>
        <v>EL022</v>
      </c>
      <c r="D219" s="223" t="str">
        <f>IFERROR(__xludf.DUMMYFUNCTION("""COMPUTED_VALUE"""),"Thien Truong")</f>
        <v>Thien Truong</v>
      </c>
      <c r="E219" s="190" t="str">
        <f>IFERROR(__xludf.DUMMYFUNCTION("""COMPUTED_VALUE"""),"Communication 2")</f>
        <v>Communication 2</v>
      </c>
      <c r="F219" s="190" t="str">
        <f>IFERROR(__xludf.DUMMYFUNCTION("""COMPUTED_VALUE"""),"Pre-Intermediate 1")</f>
        <v>Pre-Intermediate 1</v>
      </c>
      <c r="G219" s="190" t="str">
        <f>IFERROR(__xludf.DUMMYFUNCTION("""COMPUTED_VALUE"""),"Pre-Intermediate 2")</f>
        <v>Pre-Intermediate 2</v>
      </c>
      <c r="H219" s="219">
        <f>IFERROR(__xludf.DUMMYFUNCTION("""COMPUTED_VALUE"""),45866.54166666667)</f>
        <v>45866.54167</v>
      </c>
      <c r="I219" s="219">
        <f>IFERROR(__xludf.DUMMYFUNCTION("""COMPUTED_VALUE"""),45670.54166666667)</f>
        <v>45670.54167</v>
      </c>
      <c r="J219" s="190">
        <f>IFERROR(__xludf.DUMMYFUNCTION("""COMPUTED_VALUE"""),3.0)</f>
        <v>3</v>
      </c>
      <c r="K219" s="190">
        <f>IFERROR(__xludf.DUMMYFUNCTION("""COMPUTED_VALUE"""),3.5)</f>
        <v>3.5</v>
      </c>
      <c r="L219" s="190" t="str">
        <f>IFERROR(__xludf.DUMMYFUNCTION("""COMPUTED_VALUE"""),"DEV")</f>
        <v>DEV</v>
      </c>
      <c r="M219" s="190" t="str">
        <f>IFERROR(__xludf.DUMMYFUNCTION("""COMPUTED_VALUE"""),"POC")</f>
        <v>POC</v>
      </c>
      <c r="N219" s="220">
        <f>IFERROR(__xludf.DUMMYFUNCTION("""COMPUTED_VALUE"""),1.0)</f>
        <v>1</v>
      </c>
      <c r="O219" s="220">
        <f>IFERROR(__xludf.DUMMYFUNCTION("""COMPUTED_VALUE"""),3.5)</f>
        <v>3.5</v>
      </c>
      <c r="P219" s="220"/>
      <c r="Q219" s="190">
        <f t="shared" si="1"/>
        <v>1</v>
      </c>
      <c r="R219" s="211" t="s">
        <v>136</v>
      </c>
      <c r="S219" s="210" t="str">
        <f t="shared" si="2"/>
        <v>DEV</v>
      </c>
      <c r="T219" s="210" t="str">
        <f t="shared" si="3"/>
        <v>DEV, TA</v>
      </c>
      <c r="U219" s="210" t="str">
        <f t="shared" si="4"/>
        <v>MOC</v>
      </c>
      <c r="X219" s="210"/>
      <c r="Y219" s="210"/>
      <c r="Z219" s="210"/>
      <c r="AA219" s="210"/>
      <c r="AB219" s="210"/>
      <c r="AC219" s="210"/>
      <c r="AD219" s="210"/>
      <c r="AE219" s="210"/>
      <c r="AF219" s="210"/>
      <c r="AG219" s="210"/>
      <c r="AH219" s="210"/>
      <c r="AI219" s="210"/>
      <c r="AJ219" s="210"/>
      <c r="AK219" s="210"/>
      <c r="AL219" s="210"/>
      <c r="AM219" s="210"/>
      <c r="AN219" s="210"/>
      <c r="AO219" s="210"/>
      <c r="AP219" s="210"/>
      <c r="AQ219" s="210"/>
    </row>
    <row r="220">
      <c r="A220" s="223" t="str">
        <f>IFERROR(__xludf.DUMMYFUNCTION("""COMPUTED_VALUE"""),"227047")</f>
        <v>227047</v>
      </c>
      <c r="B220" s="190" t="str">
        <f>IFERROR(__xludf.DUMMYFUNCTION("""COMPUTED_VALUE"""),"LÊ THANH SƠN")</f>
        <v>LÊ THANH SƠN</v>
      </c>
      <c r="C220" s="223" t="str">
        <f>IFERROR(__xludf.DUMMYFUNCTION("""COMPUTED_VALUE"""),"EL022")</f>
        <v>EL022</v>
      </c>
      <c r="D220" s="223" t="str">
        <f>IFERROR(__xludf.DUMMYFUNCTION("""COMPUTED_VALUE"""),"Thien Truong")</f>
        <v>Thien Truong</v>
      </c>
      <c r="E220" s="190" t="str">
        <f>IFERROR(__xludf.DUMMYFUNCTION("""COMPUTED_VALUE"""),"Communication 2")</f>
        <v>Communication 2</v>
      </c>
      <c r="F220" s="190" t="str">
        <f>IFERROR(__xludf.DUMMYFUNCTION("""COMPUTED_VALUE"""),"Pre-Intermediate 1")</f>
        <v>Pre-Intermediate 1</v>
      </c>
      <c r="G220" s="190" t="str">
        <f>IFERROR(__xludf.DUMMYFUNCTION("""COMPUTED_VALUE"""),"Pre-Intermediate 2")</f>
        <v>Pre-Intermediate 2</v>
      </c>
      <c r="H220" s="219">
        <f>IFERROR(__xludf.DUMMYFUNCTION("""COMPUTED_VALUE"""),45866.54166666667)</f>
        <v>45866.54167</v>
      </c>
      <c r="I220" s="219">
        <f>IFERROR(__xludf.DUMMYFUNCTION("""COMPUTED_VALUE"""),45670.54166666667)</f>
        <v>45670.54167</v>
      </c>
      <c r="J220" s="190">
        <f>IFERROR(__xludf.DUMMYFUNCTION("""COMPUTED_VALUE"""),3.0)</f>
        <v>3</v>
      </c>
      <c r="K220" s="190">
        <f>IFERROR(__xludf.DUMMYFUNCTION("""COMPUTED_VALUE"""),3.5)</f>
        <v>3.5</v>
      </c>
      <c r="L220" s="190" t="str">
        <f>IFERROR(__xludf.DUMMYFUNCTION("""COMPUTED_VALUE"""),"DEV")</f>
        <v>DEV</v>
      </c>
      <c r="M220" s="190" t="str">
        <f>IFERROR(__xludf.DUMMYFUNCTION("""COMPUTED_VALUE"""),"POC")</f>
        <v>POC</v>
      </c>
      <c r="N220" s="220">
        <f>IFERROR(__xludf.DUMMYFUNCTION("""COMPUTED_VALUE"""),1.0)</f>
        <v>1</v>
      </c>
      <c r="O220" s="220">
        <f>IFERROR(__xludf.DUMMYFUNCTION("""COMPUTED_VALUE"""),3.5)</f>
        <v>3.5</v>
      </c>
      <c r="P220" s="220"/>
      <c r="Q220" s="190">
        <f t="shared" si="1"/>
        <v>1</v>
      </c>
      <c r="R220" s="211" t="s">
        <v>165</v>
      </c>
      <c r="S220" s="210" t="str">
        <f t="shared" si="2"/>
        <v>DEV</v>
      </c>
      <c r="T220" s="210" t="str">
        <f t="shared" si="3"/>
        <v>DEV, TA</v>
      </c>
      <c r="U220" s="210" t="str">
        <f t="shared" si="4"/>
        <v>MOC</v>
      </c>
      <c r="X220" s="210"/>
      <c r="Y220" s="210"/>
      <c r="Z220" s="210"/>
      <c r="AA220" s="210"/>
      <c r="AB220" s="210"/>
      <c r="AC220" s="210"/>
      <c r="AD220" s="210"/>
      <c r="AE220" s="210"/>
      <c r="AF220" s="210"/>
      <c r="AG220" s="210"/>
      <c r="AH220" s="210"/>
      <c r="AI220" s="210"/>
      <c r="AJ220" s="210"/>
      <c r="AK220" s="210"/>
      <c r="AL220" s="210"/>
      <c r="AM220" s="210"/>
      <c r="AN220" s="210"/>
      <c r="AO220" s="210"/>
      <c r="AP220" s="210"/>
      <c r="AQ220" s="210"/>
    </row>
    <row r="221">
      <c r="A221" s="223" t="str">
        <f>IFERROR(__xludf.DUMMYFUNCTION("""COMPUTED_VALUE"""),"133051")</f>
        <v>133051</v>
      </c>
      <c r="B221" s="190" t="str">
        <f>IFERROR(__xludf.DUMMYFUNCTION("""COMPUTED_VALUE"""),"LÝ KHÁNH LONG")</f>
        <v>LÝ KHÁNH LONG</v>
      </c>
      <c r="C221" s="223" t="str">
        <f>IFERROR(__xludf.DUMMYFUNCTION("""COMPUTED_VALUE"""),"EL022")</f>
        <v>EL022</v>
      </c>
      <c r="D221" s="223" t="str">
        <f>IFERROR(__xludf.DUMMYFUNCTION("""COMPUTED_VALUE"""),"Thien Truong")</f>
        <v>Thien Truong</v>
      </c>
      <c r="E221" s="190" t="str">
        <f>IFERROR(__xludf.DUMMYFUNCTION("""COMPUTED_VALUE"""),"Communication 2")</f>
        <v>Communication 2</v>
      </c>
      <c r="F221" s="190" t="str">
        <f>IFERROR(__xludf.DUMMYFUNCTION("""COMPUTED_VALUE"""),"Beginner 2")</f>
        <v>Beginner 2</v>
      </c>
      <c r="G221" s="190" t="str">
        <f>IFERROR(__xludf.DUMMYFUNCTION("""COMPUTED_VALUE"""),"Beginner 2")</f>
        <v>Beginner 2</v>
      </c>
      <c r="H221" s="219">
        <f>IFERROR(__xludf.DUMMYFUNCTION("""COMPUTED_VALUE"""),45866.54166666667)</f>
        <v>45866.54167</v>
      </c>
      <c r="I221" s="219">
        <f>IFERROR(__xludf.DUMMYFUNCTION("""COMPUTED_VALUE"""),45670.54166666667)</f>
        <v>45670.54167</v>
      </c>
      <c r="J221" s="190">
        <f>IFERROR(__xludf.DUMMYFUNCTION("""COMPUTED_VALUE"""),1.5)</f>
        <v>1.5</v>
      </c>
      <c r="K221" s="190">
        <f>IFERROR(__xludf.DUMMYFUNCTION("""COMPUTED_VALUE"""),1.5)</f>
        <v>1.5</v>
      </c>
      <c r="L221" s="190" t="str">
        <f>IFERROR(__xludf.DUMMYFUNCTION("""COMPUTED_VALUE"""),"DEV")</f>
        <v>DEV</v>
      </c>
      <c r="M221" s="190" t="str">
        <f>IFERROR(__xludf.DUMMYFUNCTION("""COMPUTED_VALUE"""),"TBU")</f>
        <v>TBU</v>
      </c>
      <c r="N221" s="220">
        <f>IFERROR(__xludf.DUMMYFUNCTION("""COMPUTED_VALUE"""),1.0)</f>
        <v>1</v>
      </c>
      <c r="O221" s="220">
        <f>IFERROR(__xludf.DUMMYFUNCTION("""COMPUTED_VALUE"""),1.5)</f>
        <v>1.5</v>
      </c>
      <c r="P221" s="220"/>
      <c r="Q221" s="190">
        <f t="shared" si="1"/>
        <v>1</v>
      </c>
      <c r="R221" s="211" t="s">
        <v>275</v>
      </c>
      <c r="S221" s="210" t="str">
        <f t="shared" si="2"/>
        <v>DEV</v>
      </c>
      <c r="T221" s="210" t="str">
        <f t="shared" si="3"/>
        <v>DEV, TA</v>
      </c>
      <c r="U221" s="210" t="str">
        <f t="shared" si="4"/>
        <v>MOC</v>
      </c>
      <c r="X221" s="210"/>
      <c r="Y221" s="210"/>
      <c r="Z221" s="210"/>
      <c r="AA221" s="210"/>
      <c r="AB221" s="210"/>
      <c r="AC221" s="210"/>
      <c r="AD221" s="210"/>
      <c r="AE221" s="210"/>
      <c r="AF221" s="210"/>
      <c r="AG221" s="210"/>
      <c r="AH221" s="210"/>
      <c r="AI221" s="210"/>
      <c r="AJ221" s="210"/>
      <c r="AK221" s="210"/>
      <c r="AL221" s="210"/>
      <c r="AM221" s="210"/>
      <c r="AN221" s="210"/>
      <c r="AO221" s="210"/>
      <c r="AP221" s="210"/>
      <c r="AQ221" s="210"/>
    </row>
    <row r="222">
      <c r="A222" s="223" t="str">
        <f>IFERROR(__xludf.DUMMYFUNCTION("""COMPUTED_VALUE"""),"227080")</f>
        <v>227080</v>
      </c>
      <c r="B222" s="190" t="str">
        <f>IFERROR(__xludf.DUMMYFUNCTION("""COMPUTED_VALUE"""),"NGUYỄN BÁ PHI NHẬT")</f>
        <v>NGUYỄN BÁ PHI NHẬT</v>
      </c>
      <c r="C222" s="223" t="str">
        <f>IFERROR(__xludf.DUMMYFUNCTION("""COMPUTED_VALUE"""),"EL022")</f>
        <v>EL022</v>
      </c>
      <c r="D222" s="223" t="str">
        <f>IFERROR(__xludf.DUMMYFUNCTION("""COMPUTED_VALUE"""),"Thien Truong")</f>
        <v>Thien Truong</v>
      </c>
      <c r="E222" s="190" t="str">
        <f>IFERROR(__xludf.DUMMYFUNCTION("""COMPUTED_VALUE"""),"Communication 2")</f>
        <v>Communication 2</v>
      </c>
      <c r="F222" s="190" t="str">
        <f>IFERROR(__xludf.DUMMYFUNCTION("""COMPUTED_VALUE"""),"Intermediate")</f>
        <v>Intermediate</v>
      </c>
      <c r="G222" s="190"/>
      <c r="H222" s="219">
        <f>IFERROR(__xludf.DUMMYFUNCTION("""COMPUTED_VALUE"""),45866.54166666667)</f>
        <v>45866.54167</v>
      </c>
      <c r="I222" s="219">
        <f>IFERROR(__xludf.DUMMYFUNCTION("""COMPUTED_VALUE"""),45670.54166666667)</f>
        <v>45670.54167</v>
      </c>
      <c r="J222" s="190">
        <f>IFERROR(__xludf.DUMMYFUNCTION("""COMPUTED_VALUE"""),4.5)</f>
        <v>4.5</v>
      </c>
      <c r="K222" s="190" t="str">
        <f>IFERROR(__xludf.DUMMYFUNCTION("""COMPUTED_VALUE"""),"")</f>
        <v/>
      </c>
      <c r="L222" s="190" t="str">
        <f>IFERROR(__xludf.DUMMYFUNCTION("""COMPUTED_VALUE"""),"DEV")</f>
        <v>DEV</v>
      </c>
      <c r="M222" s="190" t="str">
        <f>IFERROR(__xludf.DUMMYFUNCTION("""COMPUTED_VALUE"""),"TBU")</f>
        <v>TBU</v>
      </c>
      <c r="N222" s="220">
        <f>IFERROR(__xludf.DUMMYFUNCTION("""COMPUTED_VALUE"""),2.5)</f>
        <v>2.5</v>
      </c>
      <c r="O222" s="220">
        <f>IFERROR(__xludf.DUMMYFUNCTION("""COMPUTED_VALUE"""),4.5)</f>
        <v>4.5</v>
      </c>
      <c r="P222" s="220"/>
      <c r="Q222" s="190">
        <f t="shared" si="1"/>
        <v>1</v>
      </c>
      <c r="R222" s="211" t="s">
        <v>681</v>
      </c>
      <c r="S222" s="210" t="str">
        <f t="shared" si="2"/>
        <v>DEV</v>
      </c>
      <c r="T222" s="210" t="str">
        <f t="shared" si="3"/>
        <v>DEV, TA</v>
      </c>
      <c r="U222" s="210" t="str">
        <f t="shared" si="4"/>
        <v>MOC</v>
      </c>
      <c r="X222" s="210"/>
      <c r="Y222" s="210"/>
      <c r="Z222" s="210"/>
      <c r="AA222" s="210"/>
      <c r="AB222" s="210"/>
      <c r="AC222" s="210"/>
      <c r="AD222" s="210"/>
      <c r="AE222" s="210"/>
      <c r="AF222" s="210"/>
      <c r="AG222" s="210"/>
      <c r="AH222" s="210"/>
      <c r="AI222" s="210"/>
      <c r="AJ222" s="210"/>
      <c r="AK222" s="210"/>
      <c r="AL222" s="210"/>
      <c r="AM222" s="210"/>
      <c r="AN222" s="210"/>
      <c r="AO222" s="210"/>
      <c r="AP222" s="210"/>
      <c r="AQ222" s="210"/>
    </row>
    <row r="223">
      <c r="A223" s="223" t="str">
        <f>IFERROR(__xludf.DUMMYFUNCTION("""COMPUTED_VALUE"""),"227048")</f>
        <v>227048</v>
      </c>
      <c r="B223" s="190" t="str">
        <f>IFERROR(__xludf.DUMMYFUNCTION("""COMPUTED_VALUE"""),"NGUYỄN LÝ KHÁNH HUY")</f>
        <v>NGUYỄN LÝ KHÁNH HUY</v>
      </c>
      <c r="C223" s="223" t="str">
        <f>IFERROR(__xludf.DUMMYFUNCTION("""COMPUTED_VALUE"""),"EL022")</f>
        <v>EL022</v>
      </c>
      <c r="D223" s="223" t="str">
        <f>IFERROR(__xludf.DUMMYFUNCTION("""COMPUTED_VALUE"""),"Thien Truong")</f>
        <v>Thien Truong</v>
      </c>
      <c r="E223" s="190" t="str">
        <f>IFERROR(__xludf.DUMMYFUNCTION("""COMPUTED_VALUE"""),"Communication 2")</f>
        <v>Communication 2</v>
      </c>
      <c r="F223" s="190" t="str">
        <f>IFERROR(__xludf.DUMMYFUNCTION("""COMPUTED_VALUE"""),"Pre-Intermediate 2")</f>
        <v>Pre-Intermediate 2</v>
      </c>
      <c r="G223" s="190" t="str">
        <f>IFERROR(__xludf.DUMMYFUNCTION("""COMPUTED_VALUE"""),"Pre-Intermediate 3")</f>
        <v>Pre-Intermediate 3</v>
      </c>
      <c r="H223" s="219">
        <f>IFERROR(__xludf.DUMMYFUNCTION("""COMPUTED_VALUE"""),45866.54166666667)</f>
        <v>45866.54167</v>
      </c>
      <c r="I223" s="219">
        <f>IFERROR(__xludf.DUMMYFUNCTION("""COMPUTED_VALUE"""),45670.54166666667)</f>
        <v>45670.54167</v>
      </c>
      <c r="J223" s="190">
        <f>IFERROR(__xludf.DUMMYFUNCTION("""COMPUTED_VALUE"""),3.5)</f>
        <v>3.5</v>
      </c>
      <c r="K223" s="190">
        <f>IFERROR(__xludf.DUMMYFUNCTION("""COMPUTED_VALUE"""),4.0)</f>
        <v>4</v>
      </c>
      <c r="L223" s="190" t="str">
        <f>IFERROR(__xludf.DUMMYFUNCTION("""COMPUTED_VALUE"""),"DEV")</f>
        <v>DEV</v>
      </c>
      <c r="M223" s="190" t="str">
        <f>IFERROR(__xludf.DUMMYFUNCTION("""COMPUTED_VALUE"""),"POC")</f>
        <v>POC</v>
      </c>
      <c r="N223" s="220">
        <f>IFERROR(__xludf.DUMMYFUNCTION("""COMPUTED_VALUE"""),1.0)</f>
        <v>1</v>
      </c>
      <c r="O223" s="220">
        <f>IFERROR(__xludf.DUMMYFUNCTION("""COMPUTED_VALUE"""),4.0)</f>
        <v>4</v>
      </c>
      <c r="P223" s="220"/>
      <c r="Q223" s="190">
        <f t="shared" si="1"/>
        <v>1</v>
      </c>
      <c r="R223" s="211" t="s">
        <v>719</v>
      </c>
      <c r="S223" s="210" t="str">
        <f t="shared" si="2"/>
        <v>BC</v>
      </c>
      <c r="T223" s="210" t="str">
        <f t="shared" si="3"/>
        <v>BA, BC</v>
      </c>
      <c r="U223" s="210" t="str">
        <f t="shared" si="4"/>
        <v>MOC</v>
      </c>
      <c r="X223" s="210"/>
      <c r="Y223" s="210"/>
      <c r="Z223" s="210"/>
      <c r="AA223" s="210"/>
      <c r="AB223" s="210"/>
      <c r="AC223" s="210"/>
      <c r="AD223" s="210"/>
      <c r="AE223" s="210"/>
      <c r="AF223" s="210"/>
      <c r="AG223" s="210"/>
      <c r="AH223" s="210"/>
      <c r="AI223" s="210"/>
      <c r="AJ223" s="210"/>
      <c r="AK223" s="210"/>
      <c r="AL223" s="210"/>
      <c r="AM223" s="210"/>
      <c r="AN223" s="210"/>
      <c r="AO223" s="210"/>
      <c r="AP223" s="210"/>
      <c r="AQ223" s="210"/>
    </row>
    <row r="224">
      <c r="A224" s="223" t="str">
        <f>IFERROR(__xludf.DUMMYFUNCTION("""COMPUTED_VALUE"""),"227064")</f>
        <v>227064</v>
      </c>
      <c r="B224" s="190" t="str">
        <f>IFERROR(__xludf.DUMMYFUNCTION("""COMPUTED_VALUE"""),"PHÙNG ĐÌNH HUY")</f>
        <v>PHÙNG ĐÌNH HUY</v>
      </c>
      <c r="C224" s="223" t="str">
        <f>IFERROR(__xludf.DUMMYFUNCTION("""COMPUTED_VALUE"""),"EL022")</f>
        <v>EL022</v>
      </c>
      <c r="D224" s="223" t="str">
        <f>IFERROR(__xludf.DUMMYFUNCTION("""COMPUTED_VALUE"""),"Thien Truong")</f>
        <v>Thien Truong</v>
      </c>
      <c r="E224" s="190" t="str">
        <f>IFERROR(__xludf.DUMMYFUNCTION("""COMPUTED_VALUE"""),"Communication 2")</f>
        <v>Communication 2</v>
      </c>
      <c r="F224" s="190" t="str">
        <f>IFERROR(__xludf.DUMMYFUNCTION("""COMPUTED_VALUE"""),"Pre-Intermediate 1")</f>
        <v>Pre-Intermediate 1</v>
      </c>
      <c r="G224" s="190" t="str">
        <f>IFERROR(__xludf.DUMMYFUNCTION("""COMPUTED_VALUE"""),"Pre-Intermediate 1")</f>
        <v>Pre-Intermediate 1</v>
      </c>
      <c r="H224" s="219">
        <f>IFERROR(__xludf.DUMMYFUNCTION("""COMPUTED_VALUE"""),45866.54166666667)</f>
        <v>45866.54167</v>
      </c>
      <c r="I224" s="219">
        <f>IFERROR(__xludf.DUMMYFUNCTION("""COMPUTED_VALUE"""),45670.54166666667)</f>
        <v>45670.54167</v>
      </c>
      <c r="J224" s="190">
        <f>IFERROR(__xludf.DUMMYFUNCTION("""COMPUTED_VALUE"""),3.0)</f>
        <v>3</v>
      </c>
      <c r="K224" s="190">
        <f>IFERROR(__xludf.DUMMYFUNCTION("""COMPUTED_VALUE"""),3.0)</f>
        <v>3</v>
      </c>
      <c r="L224" s="190" t="str">
        <f>IFERROR(__xludf.DUMMYFUNCTION("""COMPUTED_VALUE"""),"DEV")</f>
        <v>DEV</v>
      </c>
      <c r="M224" s="190" t="str">
        <f>IFERROR(__xludf.DUMMYFUNCTION("""COMPUTED_VALUE"""),"TBU")</f>
        <v>TBU</v>
      </c>
      <c r="N224" s="220">
        <f>IFERROR(__xludf.DUMMYFUNCTION("""COMPUTED_VALUE"""),1.0)</f>
        <v>1</v>
      </c>
      <c r="O224" s="220">
        <f>IFERROR(__xludf.DUMMYFUNCTION("""COMPUTED_VALUE"""),3.0)</f>
        <v>3</v>
      </c>
      <c r="P224" s="220"/>
      <c r="Q224" s="190">
        <f t="shared" si="1"/>
        <v>1</v>
      </c>
      <c r="R224" s="211" t="s">
        <v>407</v>
      </c>
      <c r="S224" s="210" t="str">
        <f t="shared" si="2"/>
        <v>DEV</v>
      </c>
      <c r="T224" s="210" t="str">
        <f t="shared" si="3"/>
        <v>DEV, TA</v>
      </c>
      <c r="U224" s="210" t="str">
        <f t="shared" si="4"/>
        <v>MOC</v>
      </c>
      <c r="X224" s="210"/>
      <c r="Y224" s="210"/>
      <c r="Z224" s="210"/>
      <c r="AA224" s="210"/>
      <c r="AB224" s="210"/>
      <c r="AC224" s="210"/>
      <c r="AD224" s="210"/>
      <c r="AE224" s="210"/>
      <c r="AF224" s="210"/>
      <c r="AG224" s="210"/>
      <c r="AH224" s="210"/>
      <c r="AI224" s="210"/>
      <c r="AJ224" s="210"/>
      <c r="AK224" s="210"/>
      <c r="AL224" s="210"/>
      <c r="AM224" s="210"/>
      <c r="AN224" s="210"/>
      <c r="AO224" s="210"/>
      <c r="AP224" s="210"/>
      <c r="AQ224" s="210"/>
    </row>
    <row r="225">
      <c r="A225" s="223" t="str">
        <f>IFERROR(__xludf.DUMMYFUNCTION("""COMPUTED_VALUE"""),"203693")</f>
        <v>203693</v>
      </c>
      <c r="B225" s="190" t="str">
        <f>IFERROR(__xludf.DUMMYFUNCTION("""COMPUTED_VALUE"""),"QUÁCH NHẬT TRUNG")</f>
        <v>QUÁCH NHẬT TRUNG</v>
      </c>
      <c r="C225" s="223" t="str">
        <f>IFERROR(__xludf.DUMMYFUNCTION("""COMPUTED_VALUE"""),"EL022")</f>
        <v>EL022</v>
      </c>
      <c r="D225" s="223" t="str">
        <f>IFERROR(__xludf.DUMMYFUNCTION("""COMPUTED_VALUE"""),"Thien Truong")</f>
        <v>Thien Truong</v>
      </c>
      <c r="E225" s="190" t="str">
        <f>IFERROR(__xludf.DUMMYFUNCTION("""COMPUTED_VALUE"""),"Communication 2")</f>
        <v>Communication 2</v>
      </c>
      <c r="F225" s="190" t="str">
        <f>IFERROR(__xludf.DUMMYFUNCTION("""COMPUTED_VALUE"""),"Pre-Intermediate 2")</f>
        <v>Pre-Intermediate 2</v>
      </c>
      <c r="G225" s="190" t="str">
        <f>IFERROR(__xludf.DUMMYFUNCTION("""COMPUTED_VALUE"""),"Pre-Intermediate 2")</f>
        <v>Pre-Intermediate 2</v>
      </c>
      <c r="H225" s="219">
        <f>IFERROR(__xludf.DUMMYFUNCTION("""COMPUTED_VALUE"""),45866.54166666667)</f>
        <v>45866.54167</v>
      </c>
      <c r="I225" s="219">
        <f>IFERROR(__xludf.DUMMYFUNCTION("""COMPUTED_VALUE"""),45670.54166666667)</f>
        <v>45670.54167</v>
      </c>
      <c r="J225" s="190">
        <f>IFERROR(__xludf.DUMMYFUNCTION("""COMPUTED_VALUE"""),3.5)</f>
        <v>3.5</v>
      </c>
      <c r="K225" s="190">
        <f>IFERROR(__xludf.DUMMYFUNCTION("""COMPUTED_VALUE"""),3.5)</f>
        <v>3.5</v>
      </c>
      <c r="L225" s="190" t="str">
        <f>IFERROR(__xludf.DUMMYFUNCTION("""COMPUTED_VALUE"""),"DEV")</f>
        <v>DEV</v>
      </c>
      <c r="M225" s="190" t="str">
        <f>IFERROR(__xludf.DUMMYFUNCTION("""COMPUTED_VALUE"""),"POC")</f>
        <v>POC</v>
      </c>
      <c r="N225" s="220">
        <f>IFERROR(__xludf.DUMMYFUNCTION("""COMPUTED_VALUE"""),2.5)</f>
        <v>2.5</v>
      </c>
      <c r="O225" s="220">
        <f>IFERROR(__xludf.DUMMYFUNCTION("""COMPUTED_VALUE"""),3.5)</f>
        <v>3.5</v>
      </c>
      <c r="P225" s="220"/>
      <c r="Q225" s="190">
        <f t="shared" si="1"/>
        <v>1</v>
      </c>
      <c r="R225" s="211" t="s">
        <v>153</v>
      </c>
      <c r="S225" s="210" t="str">
        <f t="shared" si="2"/>
        <v>DEV</v>
      </c>
      <c r="T225" s="210" t="str">
        <f t="shared" si="3"/>
        <v>DEV, TA</v>
      </c>
      <c r="U225" s="210" t="str">
        <f t="shared" si="4"/>
        <v>MOC</v>
      </c>
      <c r="X225" s="210"/>
      <c r="Y225" s="210"/>
      <c r="Z225" s="210"/>
      <c r="AA225" s="210"/>
      <c r="AB225" s="210"/>
      <c r="AC225" s="210"/>
      <c r="AD225" s="210"/>
      <c r="AE225" s="210"/>
      <c r="AF225" s="210"/>
      <c r="AG225" s="210"/>
      <c r="AH225" s="210"/>
      <c r="AI225" s="210"/>
      <c r="AJ225" s="210"/>
      <c r="AK225" s="210"/>
      <c r="AL225" s="210"/>
      <c r="AM225" s="210"/>
      <c r="AN225" s="210"/>
      <c r="AO225" s="210"/>
      <c r="AP225" s="210"/>
      <c r="AQ225" s="210"/>
    </row>
    <row r="226">
      <c r="A226" s="218" t="str">
        <f>IFERROR(__xludf.DUMMYFUNCTION("""COMPUTED_VALUE"""),"183340")</f>
        <v>183340</v>
      </c>
      <c r="B226" s="217" t="str">
        <f>IFERROR(__xludf.DUMMYFUNCTION("""COMPUTED_VALUE"""),"TRƯƠNG TRUNG THIÊN")</f>
        <v>TRƯƠNG TRUNG THIÊN</v>
      </c>
      <c r="C226" s="218" t="str">
        <f>IFERROR(__xludf.DUMMYFUNCTION("""COMPUTED_VALUE"""),"EL022")</f>
        <v>EL022</v>
      </c>
      <c r="D226" s="218" t="str">
        <f>IFERROR(__xludf.DUMMYFUNCTION("""COMPUTED_VALUE"""),"Thien Truong")</f>
        <v>Thien Truong</v>
      </c>
      <c r="E226" s="217" t="str">
        <f>IFERROR(__xludf.DUMMYFUNCTION("""COMPUTED_VALUE"""),"Communication 3")</f>
        <v>Communication 3</v>
      </c>
      <c r="F226" s="190"/>
      <c r="G226" s="190"/>
      <c r="H226" s="219">
        <f>IFERROR(__xludf.DUMMYFUNCTION("""COMPUTED_VALUE"""),46084.58333333333)</f>
        <v>46084.58333</v>
      </c>
      <c r="I226" s="219">
        <f>IFERROR(__xludf.DUMMYFUNCTION("""COMPUTED_VALUE"""),45670.54166666667)</f>
        <v>45670.54167</v>
      </c>
      <c r="J226" s="190" t="str">
        <f>IFERROR(__xludf.DUMMYFUNCTION("""COMPUTED_VALUE"""),"")</f>
        <v/>
      </c>
      <c r="K226" s="190" t="str">
        <f>IFERROR(__xludf.DUMMYFUNCTION("""COMPUTED_VALUE"""),"")</f>
        <v/>
      </c>
      <c r="L226" s="190" t="str">
        <f>IFERROR(__xludf.DUMMYFUNCTION("""COMPUTED_VALUE"""),"DEV")</f>
        <v>DEV</v>
      </c>
      <c r="M226" s="190" t="str">
        <f>IFERROR(__xludf.DUMMYFUNCTION("""COMPUTED_VALUE"""),"POC")</f>
        <v>POC</v>
      </c>
      <c r="N226" s="220">
        <f>IFERROR(__xludf.DUMMYFUNCTION("""COMPUTED_VALUE"""),1.0)</f>
        <v>1</v>
      </c>
      <c r="O226" s="220">
        <f>IFERROR(__xludf.DUMMYFUNCTION("""COMPUTED_VALUE"""),3.5)</f>
        <v>3.5</v>
      </c>
      <c r="P226" s="220"/>
      <c r="Q226" s="190">
        <f t="shared" si="1"/>
        <v>1</v>
      </c>
      <c r="R226" s="211" t="s">
        <v>277</v>
      </c>
      <c r="S226" s="210" t="str">
        <f t="shared" si="2"/>
        <v>DEV</v>
      </c>
      <c r="T226" s="210" t="str">
        <f t="shared" si="3"/>
        <v>DEV, TA</v>
      </c>
      <c r="U226" s="210" t="str">
        <f t="shared" si="4"/>
        <v>MOC</v>
      </c>
      <c r="X226" s="210"/>
      <c r="Y226" s="210"/>
      <c r="Z226" s="210"/>
      <c r="AA226" s="210"/>
      <c r="AB226" s="210"/>
      <c r="AC226" s="210"/>
      <c r="AD226" s="210"/>
      <c r="AE226" s="210"/>
      <c r="AF226" s="210"/>
      <c r="AG226" s="210"/>
      <c r="AH226" s="210"/>
      <c r="AI226" s="210"/>
      <c r="AJ226" s="210"/>
      <c r="AK226" s="210"/>
      <c r="AL226" s="210"/>
      <c r="AM226" s="210"/>
      <c r="AN226" s="210"/>
      <c r="AO226" s="210"/>
      <c r="AP226" s="210"/>
      <c r="AQ226" s="210"/>
    </row>
    <row r="227">
      <c r="A227" s="223" t="str">
        <f>IFERROR(__xludf.DUMMYFUNCTION("""COMPUTED_VALUE"""),"193534")</f>
        <v>193534</v>
      </c>
      <c r="B227" s="190" t="str">
        <f>IFERROR(__xludf.DUMMYFUNCTION("""COMPUTED_VALUE"""),"LÊ HỒNG QUÂN")</f>
        <v>LÊ HỒNG QUÂN</v>
      </c>
      <c r="C227" s="223" t="str">
        <f>IFERROR(__xludf.DUMMYFUNCTION("""COMPUTED_VALUE"""),"EL022")</f>
        <v>EL022</v>
      </c>
      <c r="D227" s="223" t="str">
        <f>IFERROR(__xludf.DUMMYFUNCTION("""COMPUTED_VALUE"""),"Thien Truong")</f>
        <v>Thien Truong</v>
      </c>
      <c r="E227" s="190" t="str">
        <f>IFERROR(__xludf.DUMMYFUNCTION("""COMPUTED_VALUE"""),"Communication 3")</f>
        <v>Communication 3</v>
      </c>
      <c r="F227" s="190"/>
      <c r="G227" s="190"/>
      <c r="H227" s="219">
        <f>IFERROR(__xludf.DUMMYFUNCTION("""COMPUTED_VALUE"""),46084.58333333333)</f>
        <v>46084.58333</v>
      </c>
      <c r="I227" s="219">
        <f>IFERROR(__xludf.DUMMYFUNCTION("""COMPUTED_VALUE"""),45670.54166666667)</f>
        <v>45670.54167</v>
      </c>
      <c r="J227" s="190" t="str">
        <f>IFERROR(__xludf.DUMMYFUNCTION("""COMPUTED_VALUE"""),"")</f>
        <v/>
      </c>
      <c r="K227" s="190" t="str">
        <f>IFERROR(__xludf.DUMMYFUNCTION("""COMPUTED_VALUE"""),"")</f>
        <v/>
      </c>
      <c r="L227" s="190" t="str">
        <f>IFERROR(__xludf.DUMMYFUNCTION("""COMPUTED_VALUE"""),"DEV")</f>
        <v>DEV</v>
      </c>
      <c r="M227" s="190" t="str">
        <f>IFERROR(__xludf.DUMMYFUNCTION("""COMPUTED_VALUE"""),"POC")</f>
        <v>POC</v>
      </c>
      <c r="N227" s="220">
        <f>IFERROR(__xludf.DUMMYFUNCTION("""COMPUTED_VALUE"""),1.0)</f>
        <v>1</v>
      </c>
      <c r="O227" s="220">
        <f>IFERROR(__xludf.DUMMYFUNCTION("""COMPUTED_VALUE"""),3.5)</f>
        <v>3.5</v>
      </c>
      <c r="P227" s="220"/>
      <c r="Q227" s="190">
        <f t="shared" si="1"/>
        <v>1</v>
      </c>
      <c r="R227" s="211" t="s">
        <v>355</v>
      </c>
      <c r="S227" s="210" t="str">
        <f t="shared" si="2"/>
        <v>DEV</v>
      </c>
      <c r="T227" s="210" t="str">
        <f t="shared" si="3"/>
        <v>DEV, TA</v>
      </c>
      <c r="U227" s="210" t="str">
        <f t="shared" si="4"/>
        <v>MOC</v>
      </c>
      <c r="X227" s="210"/>
      <c r="Y227" s="210"/>
      <c r="Z227" s="210"/>
      <c r="AA227" s="210"/>
      <c r="AB227" s="210"/>
      <c r="AC227" s="210"/>
      <c r="AD227" s="210"/>
      <c r="AE227" s="210"/>
      <c r="AF227" s="210"/>
      <c r="AG227" s="210"/>
      <c r="AH227" s="210"/>
      <c r="AI227" s="210"/>
      <c r="AJ227" s="210"/>
      <c r="AK227" s="210"/>
      <c r="AL227" s="210"/>
      <c r="AM227" s="210"/>
      <c r="AN227" s="210"/>
      <c r="AO227" s="210"/>
      <c r="AP227" s="210"/>
      <c r="AQ227" s="210"/>
    </row>
    <row r="228">
      <c r="A228" s="223" t="str">
        <f>IFERROR(__xludf.DUMMYFUNCTION("""COMPUTED_VALUE"""),"227047")</f>
        <v>227047</v>
      </c>
      <c r="B228" s="190" t="str">
        <f>IFERROR(__xludf.DUMMYFUNCTION("""COMPUTED_VALUE"""),"LÊ THANH SƠN")</f>
        <v>LÊ THANH SƠN</v>
      </c>
      <c r="C228" s="223" t="str">
        <f>IFERROR(__xludf.DUMMYFUNCTION("""COMPUTED_VALUE"""),"EL022")</f>
        <v>EL022</v>
      </c>
      <c r="D228" s="223" t="str">
        <f>IFERROR(__xludf.DUMMYFUNCTION("""COMPUTED_VALUE"""),"Thien Truong")</f>
        <v>Thien Truong</v>
      </c>
      <c r="E228" s="190" t="str">
        <f>IFERROR(__xludf.DUMMYFUNCTION("""COMPUTED_VALUE"""),"Communication 3")</f>
        <v>Communication 3</v>
      </c>
      <c r="F228" s="190"/>
      <c r="G228" s="190"/>
      <c r="H228" s="219">
        <f>IFERROR(__xludf.DUMMYFUNCTION("""COMPUTED_VALUE"""),46084.58333333333)</f>
        <v>46084.58333</v>
      </c>
      <c r="I228" s="219">
        <f>IFERROR(__xludf.DUMMYFUNCTION("""COMPUTED_VALUE"""),45670.54166666667)</f>
        <v>45670.54167</v>
      </c>
      <c r="J228" s="190" t="str">
        <f>IFERROR(__xludf.DUMMYFUNCTION("""COMPUTED_VALUE"""),"")</f>
        <v/>
      </c>
      <c r="K228" s="190" t="str">
        <f>IFERROR(__xludf.DUMMYFUNCTION("""COMPUTED_VALUE"""),"")</f>
        <v/>
      </c>
      <c r="L228" s="190" t="str">
        <f>IFERROR(__xludf.DUMMYFUNCTION("""COMPUTED_VALUE"""),"DEV")</f>
        <v>DEV</v>
      </c>
      <c r="M228" s="190" t="str">
        <f>IFERROR(__xludf.DUMMYFUNCTION("""COMPUTED_VALUE"""),"POC")</f>
        <v>POC</v>
      </c>
      <c r="N228" s="220">
        <f>IFERROR(__xludf.DUMMYFUNCTION("""COMPUTED_VALUE"""),1.0)</f>
        <v>1</v>
      </c>
      <c r="O228" s="220">
        <f>IFERROR(__xludf.DUMMYFUNCTION("""COMPUTED_VALUE"""),3.5)</f>
        <v>3.5</v>
      </c>
      <c r="P228" s="220"/>
      <c r="Q228" s="190">
        <f t="shared" si="1"/>
        <v>1</v>
      </c>
      <c r="R228" s="211" t="s">
        <v>429</v>
      </c>
      <c r="S228" s="210" t="str">
        <f t="shared" si="2"/>
        <v>TA</v>
      </c>
      <c r="T228" s="210" t="str">
        <f t="shared" si="3"/>
        <v>DEV, TA</v>
      </c>
      <c r="U228" s="210" t="str">
        <f t="shared" si="4"/>
        <v>MOC</v>
      </c>
      <c r="X228" s="210"/>
      <c r="Y228" s="210"/>
      <c r="Z228" s="210"/>
      <c r="AA228" s="210"/>
      <c r="AB228" s="210"/>
      <c r="AC228" s="210"/>
      <c r="AD228" s="210"/>
      <c r="AE228" s="210"/>
      <c r="AF228" s="210"/>
      <c r="AG228" s="210"/>
      <c r="AH228" s="210"/>
      <c r="AI228" s="210"/>
      <c r="AJ228" s="210"/>
      <c r="AK228" s="210"/>
      <c r="AL228" s="210"/>
      <c r="AM228" s="210"/>
      <c r="AN228" s="210"/>
      <c r="AO228" s="210"/>
      <c r="AP228" s="210"/>
      <c r="AQ228" s="210"/>
    </row>
    <row r="229">
      <c r="A229" s="223" t="str">
        <f>IFERROR(__xludf.DUMMYFUNCTION("""COMPUTED_VALUE"""),"173230")</f>
        <v>173230</v>
      </c>
      <c r="B229" s="190" t="str">
        <f>IFERROR(__xludf.DUMMYFUNCTION("""COMPUTED_VALUE"""),"LÊ THỊ THU HIỀN")</f>
        <v>LÊ THỊ THU HIỀN</v>
      </c>
      <c r="C229" s="223" t="str">
        <f>IFERROR(__xludf.DUMMYFUNCTION("""COMPUTED_VALUE"""),"EL022")</f>
        <v>EL022</v>
      </c>
      <c r="D229" s="223" t="str">
        <f>IFERROR(__xludf.DUMMYFUNCTION("""COMPUTED_VALUE"""),"Thien Truong")</f>
        <v>Thien Truong</v>
      </c>
      <c r="E229" s="190" t="str">
        <f>IFERROR(__xludf.DUMMYFUNCTION("""COMPUTED_VALUE"""),"Communication 3")</f>
        <v>Communication 3</v>
      </c>
      <c r="F229" s="190"/>
      <c r="G229" s="190"/>
      <c r="H229" s="219">
        <f>IFERROR(__xludf.DUMMYFUNCTION("""COMPUTED_VALUE"""),46084.58333333333)</f>
        <v>46084.58333</v>
      </c>
      <c r="I229" s="219">
        <f>IFERROR(__xludf.DUMMYFUNCTION("""COMPUTED_VALUE"""),45700.41666666667)</f>
        <v>45700.41667</v>
      </c>
      <c r="J229" s="190" t="str">
        <f>IFERROR(__xludf.DUMMYFUNCTION("""COMPUTED_VALUE"""),"")</f>
        <v/>
      </c>
      <c r="K229" s="190" t="str">
        <f>IFERROR(__xludf.DUMMYFUNCTION("""COMPUTED_VALUE"""),"")</f>
        <v/>
      </c>
      <c r="L229" s="190" t="str">
        <f>IFERROR(__xludf.DUMMYFUNCTION("""COMPUTED_VALUE"""),"QC")</f>
        <v>QC</v>
      </c>
      <c r="M229" s="190" t="str">
        <f>IFERROR(__xludf.DUMMYFUNCTION("""COMPUTED_VALUE"""),"POC")</f>
        <v>POC</v>
      </c>
      <c r="N229" s="220">
        <f>IFERROR(__xludf.DUMMYFUNCTION("""COMPUTED_VALUE"""),1.0)</f>
        <v>1</v>
      </c>
      <c r="O229" s="220">
        <f>IFERROR(__xludf.DUMMYFUNCTION("""COMPUTED_VALUE"""),3.5)</f>
        <v>3.5</v>
      </c>
      <c r="P229" s="220"/>
      <c r="Q229" s="190">
        <f t="shared" si="1"/>
        <v>1</v>
      </c>
      <c r="R229" s="211" t="s">
        <v>538</v>
      </c>
      <c r="S229" s="210" t="str">
        <f t="shared" si="2"/>
        <v>DEV</v>
      </c>
      <c r="T229" s="210" t="str">
        <f t="shared" si="3"/>
        <v>DEV, TA</v>
      </c>
      <c r="U229" s="210" t="str">
        <f t="shared" si="4"/>
        <v>MOC</v>
      </c>
      <c r="X229" s="210"/>
      <c r="Y229" s="210"/>
      <c r="Z229" s="210"/>
      <c r="AA229" s="210"/>
      <c r="AB229" s="210"/>
      <c r="AC229" s="210"/>
      <c r="AD229" s="210"/>
      <c r="AE229" s="210"/>
      <c r="AF229" s="210"/>
      <c r="AG229" s="210"/>
      <c r="AH229" s="210"/>
      <c r="AI229" s="210"/>
      <c r="AJ229" s="210"/>
      <c r="AK229" s="210"/>
      <c r="AL229" s="210"/>
      <c r="AM229" s="210"/>
      <c r="AN229" s="210"/>
      <c r="AO229" s="210"/>
      <c r="AP229" s="210"/>
      <c r="AQ229" s="210"/>
    </row>
    <row r="230">
      <c r="A230" s="223" t="str">
        <f>IFERROR(__xludf.DUMMYFUNCTION("""COMPUTED_VALUE"""),"133051")</f>
        <v>133051</v>
      </c>
      <c r="B230" s="190" t="str">
        <f>IFERROR(__xludf.DUMMYFUNCTION("""COMPUTED_VALUE"""),"LÝ KHÁNH LONG")</f>
        <v>LÝ KHÁNH LONG</v>
      </c>
      <c r="C230" s="223" t="str">
        <f>IFERROR(__xludf.DUMMYFUNCTION("""COMPUTED_VALUE"""),"EL022")</f>
        <v>EL022</v>
      </c>
      <c r="D230" s="223" t="str">
        <f>IFERROR(__xludf.DUMMYFUNCTION("""COMPUTED_VALUE"""),"Thien Truong")</f>
        <v>Thien Truong</v>
      </c>
      <c r="E230" s="190" t="str">
        <f>IFERROR(__xludf.DUMMYFUNCTION("""COMPUTED_VALUE"""),"Communication 3")</f>
        <v>Communication 3</v>
      </c>
      <c r="F230" s="190"/>
      <c r="G230" s="190"/>
      <c r="H230" s="219">
        <f>IFERROR(__xludf.DUMMYFUNCTION("""COMPUTED_VALUE"""),46084.58333333333)</f>
        <v>46084.58333</v>
      </c>
      <c r="I230" s="219">
        <f>IFERROR(__xludf.DUMMYFUNCTION("""COMPUTED_VALUE"""),45670.54166666667)</f>
        <v>45670.54167</v>
      </c>
      <c r="J230" s="190" t="str">
        <f>IFERROR(__xludf.DUMMYFUNCTION("""COMPUTED_VALUE"""),"")</f>
        <v/>
      </c>
      <c r="K230" s="190" t="str">
        <f>IFERROR(__xludf.DUMMYFUNCTION("""COMPUTED_VALUE"""),"")</f>
        <v/>
      </c>
      <c r="L230" s="190" t="str">
        <f>IFERROR(__xludf.DUMMYFUNCTION("""COMPUTED_VALUE"""),"DEV")</f>
        <v>DEV</v>
      </c>
      <c r="M230" s="190" t="str">
        <f>IFERROR(__xludf.DUMMYFUNCTION("""COMPUTED_VALUE"""),"TBU")</f>
        <v>TBU</v>
      </c>
      <c r="N230" s="220">
        <f>IFERROR(__xludf.DUMMYFUNCTION("""COMPUTED_VALUE"""),1.0)</f>
        <v>1</v>
      </c>
      <c r="O230" s="220">
        <f>IFERROR(__xludf.DUMMYFUNCTION("""COMPUTED_VALUE"""),1.5)</f>
        <v>1.5</v>
      </c>
      <c r="P230" s="220"/>
      <c r="Q230" s="190">
        <f t="shared" si="1"/>
        <v>1</v>
      </c>
      <c r="R230" s="211" t="s">
        <v>629</v>
      </c>
      <c r="S230" s="210" t="str">
        <f t="shared" si="2"/>
        <v>DEV</v>
      </c>
      <c r="T230" s="210" t="str">
        <f t="shared" si="3"/>
        <v>DEV, TA</v>
      </c>
      <c r="U230" s="210" t="str">
        <f t="shared" si="4"/>
        <v>MOC</v>
      </c>
      <c r="X230" s="210"/>
      <c r="Y230" s="210"/>
      <c r="Z230" s="210"/>
      <c r="AA230" s="210"/>
      <c r="AB230" s="210"/>
      <c r="AC230" s="210"/>
      <c r="AD230" s="210"/>
      <c r="AE230" s="210"/>
      <c r="AF230" s="210"/>
      <c r="AG230" s="210"/>
      <c r="AH230" s="210"/>
      <c r="AI230" s="210"/>
      <c r="AJ230" s="210"/>
      <c r="AK230" s="210"/>
      <c r="AL230" s="210"/>
      <c r="AM230" s="210"/>
      <c r="AN230" s="210"/>
      <c r="AO230" s="210"/>
      <c r="AP230" s="210"/>
      <c r="AQ230" s="210"/>
    </row>
    <row r="231">
      <c r="A231" s="223" t="str">
        <f>IFERROR(__xludf.DUMMYFUNCTION("""COMPUTED_VALUE"""),"143079")</f>
        <v>143079</v>
      </c>
      <c r="B231" s="190" t="str">
        <f>IFERROR(__xludf.DUMMYFUNCTION("""COMPUTED_VALUE"""),"LÝ THỊ DIỄM MY")</f>
        <v>LÝ THỊ DIỄM MY</v>
      </c>
      <c r="C231" s="223" t="str">
        <f>IFERROR(__xludf.DUMMYFUNCTION("""COMPUTED_VALUE"""),"EL022")</f>
        <v>EL022</v>
      </c>
      <c r="D231" s="223" t="str">
        <f>IFERROR(__xludf.DUMMYFUNCTION("""COMPUTED_VALUE"""),"Thien Truong")</f>
        <v>Thien Truong</v>
      </c>
      <c r="E231" s="190" t="str">
        <f>IFERROR(__xludf.DUMMYFUNCTION("""COMPUTED_VALUE"""),"Communication 3")</f>
        <v>Communication 3</v>
      </c>
      <c r="F231" s="190"/>
      <c r="G231" s="190"/>
      <c r="H231" s="219">
        <f>IFERROR(__xludf.DUMMYFUNCTION("""COMPUTED_VALUE"""),46084.58333333333)</f>
        <v>46084.58333</v>
      </c>
      <c r="I231" s="219">
        <f>IFERROR(__xludf.DUMMYFUNCTION("""COMPUTED_VALUE"""),45700.41666666667)</f>
        <v>45700.41667</v>
      </c>
      <c r="J231" s="190" t="str">
        <f>IFERROR(__xludf.DUMMYFUNCTION("""COMPUTED_VALUE"""),"")</f>
        <v/>
      </c>
      <c r="K231" s="190" t="str">
        <f>IFERROR(__xludf.DUMMYFUNCTION("""COMPUTED_VALUE"""),"")</f>
        <v/>
      </c>
      <c r="L231" s="190" t="str">
        <f>IFERROR(__xludf.DUMMYFUNCTION("""COMPUTED_VALUE"""),"QC")</f>
        <v>QC</v>
      </c>
      <c r="M231" s="190" t="str">
        <f>IFERROR(__xludf.DUMMYFUNCTION("""COMPUTED_VALUE"""),"POC")</f>
        <v>POC</v>
      </c>
      <c r="N231" s="220">
        <f>IFERROR(__xludf.DUMMYFUNCTION("""COMPUTED_VALUE"""),1.0)</f>
        <v>1</v>
      </c>
      <c r="O231" s="220">
        <f>IFERROR(__xludf.DUMMYFUNCTION("""COMPUTED_VALUE"""),2.0)</f>
        <v>2</v>
      </c>
      <c r="P231" s="220"/>
      <c r="Q231" s="190">
        <f t="shared" si="1"/>
        <v>1</v>
      </c>
      <c r="R231" s="211" t="s">
        <v>679</v>
      </c>
      <c r="S231" s="210" t="str">
        <f t="shared" si="2"/>
        <v>DEV</v>
      </c>
      <c r="T231" s="210" t="str">
        <f t="shared" si="3"/>
        <v>DEV, TA</v>
      </c>
      <c r="U231" s="210" t="str">
        <f t="shared" si="4"/>
        <v>MOC</v>
      </c>
      <c r="X231" s="210"/>
      <c r="Y231" s="210"/>
      <c r="Z231" s="210"/>
      <c r="AA231" s="210"/>
      <c r="AB231" s="210"/>
      <c r="AC231" s="210"/>
      <c r="AD231" s="210"/>
      <c r="AE231" s="210"/>
      <c r="AF231" s="210"/>
      <c r="AG231" s="210"/>
      <c r="AH231" s="210"/>
      <c r="AI231" s="210"/>
      <c r="AJ231" s="210"/>
      <c r="AK231" s="210"/>
      <c r="AL231" s="210"/>
      <c r="AM231" s="210"/>
      <c r="AN231" s="210"/>
      <c r="AO231" s="210"/>
      <c r="AP231" s="210"/>
      <c r="AQ231" s="210"/>
    </row>
    <row r="232">
      <c r="A232" s="223" t="str">
        <f>IFERROR(__xludf.DUMMYFUNCTION("""COMPUTED_VALUE"""),"227048")</f>
        <v>227048</v>
      </c>
      <c r="B232" s="190" t="str">
        <f>IFERROR(__xludf.DUMMYFUNCTION("""COMPUTED_VALUE"""),"NGUYỄN LÝ KHÁNH HUY")</f>
        <v>NGUYỄN LÝ KHÁNH HUY</v>
      </c>
      <c r="C232" s="223" t="str">
        <f>IFERROR(__xludf.DUMMYFUNCTION("""COMPUTED_VALUE"""),"EL022")</f>
        <v>EL022</v>
      </c>
      <c r="D232" s="223" t="str">
        <f>IFERROR(__xludf.DUMMYFUNCTION("""COMPUTED_VALUE"""),"Thien Truong")</f>
        <v>Thien Truong</v>
      </c>
      <c r="E232" s="190" t="str">
        <f>IFERROR(__xludf.DUMMYFUNCTION("""COMPUTED_VALUE"""),"Communication 3")</f>
        <v>Communication 3</v>
      </c>
      <c r="F232" s="190"/>
      <c r="G232" s="190"/>
      <c r="H232" s="219">
        <f>IFERROR(__xludf.DUMMYFUNCTION("""COMPUTED_VALUE"""),46084.58333333333)</f>
        <v>46084.58333</v>
      </c>
      <c r="I232" s="219">
        <f>IFERROR(__xludf.DUMMYFUNCTION("""COMPUTED_VALUE"""),45670.54166666667)</f>
        <v>45670.54167</v>
      </c>
      <c r="J232" s="190" t="str">
        <f>IFERROR(__xludf.DUMMYFUNCTION("""COMPUTED_VALUE"""),"")</f>
        <v/>
      </c>
      <c r="K232" s="190" t="str">
        <f>IFERROR(__xludf.DUMMYFUNCTION("""COMPUTED_VALUE"""),"")</f>
        <v/>
      </c>
      <c r="L232" s="190" t="str">
        <f>IFERROR(__xludf.DUMMYFUNCTION("""COMPUTED_VALUE"""),"DEV")</f>
        <v>DEV</v>
      </c>
      <c r="M232" s="190" t="str">
        <f>IFERROR(__xludf.DUMMYFUNCTION("""COMPUTED_VALUE"""),"POC")</f>
        <v>POC</v>
      </c>
      <c r="N232" s="220">
        <f>IFERROR(__xludf.DUMMYFUNCTION("""COMPUTED_VALUE"""),1.0)</f>
        <v>1</v>
      </c>
      <c r="O232" s="220">
        <f>IFERROR(__xludf.DUMMYFUNCTION("""COMPUTED_VALUE"""),4.0)</f>
        <v>4</v>
      </c>
      <c r="P232" s="220"/>
      <c r="Q232" s="190">
        <f t="shared" si="1"/>
        <v>1</v>
      </c>
      <c r="R232" s="211" t="s">
        <v>691</v>
      </c>
      <c r="S232" s="210" t="str">
        <f t="shared" si="2"/>
        <v>DEV</v>
      </c>
      <c r="T232" s="210" t="str">
        <f t="shared" si="3"/>
        <v>DEV, TA</v>
      </c>
      <c r="U232" s="210" t="str">
        <f t="shared" si="4"/>
        <v>MOC</v>
      </c>
      <c r="X232" s="210"/>
      <c r="Y232" s="210"/>
      <c r="Z232" s="210"/>
      <c r="AA232" s="210"/>
      <c r="AB232" s="210"/>
      <c r="AC232" s="210"/>
      <c r="AD232" s="210"/>
      <c r="AE232" s="210"/>
      <c r="AF232" s="210"/>
      <c r="AG232" s="210"/>
      <c r="AH232" s="210"/>
      <c r="AI232" s="210"/>
      <c r="AJ232" s="210"/>
      <c r="AK232" s="210"/>
      <c r="AL232" s="210"/>
      <c r="AM232" s="210"/>
      <c r="AN232" s="210"/>
      <c r="AO232" s="210"/>
      <c r="AP232" s="210"/>
      <c r="AQ232" s="210"/>
    </row>
    <row r="233">
      <c r="A233" s="223" t="str">
        <f>IFERROR(__xludf.DUMMYFUNCTION("""COMPUTED_VALUE"""),"227122")</f>
        <v>227122</v>
      </c>
      <c r="B233" s="190" t="str">
        <f>IFERROR(__xludf.DUMMYFUNCTION("""COMPUTED_VALUE"""),"NGUYỄN THỊ NGỌC DUNG")</f>
        <v>NGUYỄN THỊ NGỌC DUNG</v>
      </c>
      <c r="C233" s="223" t="str">
        <f>IFERROR(__xludf.DUMMYFUNCTION("""COMPUTED_VALUE"""),"EL022")</f>
        <v>EL022</v>
      </c>
      <c r="D233" s="223" t="str">
        <f>IFERROR(__xludf.DUMMYFUNCTION("""COMPUTED_VALUE"""),"Thien Truong")</f>
        <v>Thien Truong</v>
      </c>
      <c r="E233" s="190" t="str">
        <f>IFERROR(__xludf.DUMMYFUNCTION("""COMPUTED_VALUE"""),"Communication 3")</f>
        <v>Communication 3</v>
      </c>
      <c r="F233" s="190"/>
      <c r="G233" s="190"/>
      <c r="H233" s="219">
        <f>IFERROR(__xludf.DUMMYFUNCTION("""COMPUTED_VALUE"""),46084.58333333333)</f>
        <v>46084.58333</v>
      </c>
      <c r="I233" s="219">
        <f>IFERROR(__xludf.DUMMYFUNCTION("""COMPUTED_VALUE"""),45700.41666666667)</f>
        <v>45700.41667</v>
      </c>
      <c r="J233" s="190" t="str">
        <f>IFERROR(__xludf.DUMMYFUNCTION("""COMPUTED_VALUE"""),"")</f>
        <v/>
      </c>
      <c r="K233" s="190" t="str">
        <f>IFERROR(__xludf.DUMMYFUNCTION("""COMPUTED_VALUE"""),"")</f>
        <v/>
      </c>
      <c r="L233" s="190" t="str">
        <f>IFERROR(__xludf.DUMMYFUNCTION("""COMPUTED_VALUE"""),"QC")</f>
        <v>QC</v>
      </c>
      <c r="M233" s="190" t="str">
        <f>IFERROR(__xludf.DUMMYFUNCTION("""COMPUTED_VALUE"""),"POC")</f>
        <v>POC</v>
      </c>
      <c r="N233" s="220">
        <f>IFERROR(__xludf.DUMMYFUNCTION("""COMPUTED_VALUE"""),1.0)</f>
        <v>1</v>
      </c>
      <c r="O233" s="220">
        <f>IFERROR(__xludf.DUMMYFUNCTION("""COMPUTED_VALUE"""),3.5)</f>
        <v>3.5</v>
      </c>
      <c r="P233" s="220"/>
      <c r="Q233" s="190">
        <f t="shared" si="1"/>
        <v>1</v>
      </c>
      <c r="R233" s="211" t="s">
        <v>389</v>
      </c>
      <c r="S233" s="210" t="str">
        <f t="shared" si="2"/>
        <v>BA</v>
      </c>
      <c r="T233" s="210" t="str">
        <f t="shared" si="3"/>
        <v>BA, BC</v>
      </c>
      <c r="U233" s="210" t="str">
        <f t="shared" si="4"/>
        <v>TBU</v>
      </c>
      <c r="X233" s="210"/>
      <c r="Y233" s="210"/>
      <c r="Z233" s="210"/>
      <c r="AA233" s="210"/>
      <c r="AB233" s="210"/>
      <c r="AC233" s="210"/>
      <c r="AD233" s="210"/>
      <c r="AE233" s="210"/>
      <c r="AF233" s="210"/>
      <c r="AG233" s="210"/>
      <c r="AH233" s="210"/>
      <c r="AI233" s="210"/>
      <c r="AJ233" s="210"/>
      <c r="AK233" s="210"/>
      <c r="AL233" s="210"/>
      <c r="AM233" s="210"/>
      <c r="AN233" s="210"/>
      <c r="AO233" s="210"/>
      <c r="AP233" s="210"/>
      <c r="AQ233" s="210"/>
    </row>
    <row r="234">
      <c r="A234" s="218" t="str">
        <f>IFERROR(__xludf.DUMMYFUNCTION("""COMPUTED_VALUE"""),"163188")</f>
        <v>163188</v>
      </c>
      <c r="B234" s="217" t="str">
        <f>IFERROR(__xludf.DUMMYFUNCTION("""COMPUTED_VALUE"""),"LƯƠNG CÔNG KỲ")</f>
        <v>LƯƠNG CÔNG KỲ</v>
      </c>
      <c r="C234" s="218" t="str">
        <f>IFERROR(__xludf.DUMMYFUNCTION("""COMPUTED_VALUE"""),"EL023")</f>
        <v>EL023</v>
      </c>
      <c r="D234" s="218" t="str">
        <f>IFERROR(__xludf.DUMMYFUNCTION("""COMPUTED_VALUE"""),"Ky Luong")</f>
        <v>Ky Luong</v>
      </c>
      <c r="E234" s="217" t="str">
        <f>IFERROR(__xludf.DUMMYFUNCTION("""COMPUTED_VALUE"""),"Communication 1")</f>
        <v>Communication 1</v>
      </c>
      <c r="F234" s="190" t="str">
        <f>IFERROR(__xludf.DUMMYFUNCTION("""COMPUTED_VALUE"""),"Beginner")</f>
        <v>Beginner</v>
      </c>
      <c r="G234" s="190" t="str">
        <f>IFERROR(__xludf.DUMMYFUNCTION("""COMPUTED_VALUE"""),"Beginner 2")</f>
        <v>Beginner 2</v>
      </c>
      <c r="H234" s="219">
        <f>IFERROR(__xludf.DUMMYFUNCTION("""COMPUTED_VALUE"""),45765.375)</f>
        <v>45765.375</v>
      </c>
      <c r="I234" s="219">
        <f>IFERROR(__xludf.DUMMYFUNCTION("""COMPUTED_VALUE"""),45765.375)</f>
        <v>45765.375</v>
      </c>
      <c r="J234" s="190">
        <f>IFERROR(__xludf.DUMMYFUNCTION("""COMPUTED_VALUE"""),1.0)</f>
        <v>1</v>
      </c>
      <c r="K234" s="190">
        <f>IFERROR(__xludf.DUMMYFUNCTION("""COMPUTED_VALUE"""),1.5)</f>
        <v>1.5</v>
      </c>
      <c r="L234" s="190" t="str">
        <f>IFERROR(__xludf.DUMMYFUNCTION("""COMPUTED_VALUE"""),"DEV")</f>
        <v>DEV</v>
      </c>
      <c r="M234" s="190" t="str">
        <f>IFERROR(__xludf.DUMMYFUNCTION("""COMPUTED_VALUE"""),"MOC")</f>
        <v>MOC</v>
      </c>
      <c r="N234" s="220">
        <f>IFERROR(__xludf.DUMMYFUNCTION("""COMPUTED_VALUE"""),1.0)</f>
        <v>1</v>
      </c>
      <c r="O234" s="220">
        <f>IFERROR(__xludf.DUMMYFUNCTION("""COMPUTED_VALUE"""),5.0)</f>
        <v>5</v>
      </c>
      <c r="P234" s="220"/>
      <c r="Q234" s="190">
        <f t="shared" si="1"/>
        <v>1</v>
      </c>
      <c r="R234" s="211" t="s">
        <v>637</v>
      </c>
      <c r="S234" s="210" t="str">
        <f t="shared" si="2"/>
        <v>DEV</v>
      </c>
      <c r="T234" s="210" t="str">
        <f t="shared" si="3"/>
        <v>DEV, TA</v>
      </c>
      <c r="U234" s="210" t="str">
        <f t="shared" si="4"/>
        <v>TBU</v>
      </c>
      <c r="X234" s="210"/>
      <c r="Y234" s="210"/>
      <c r="Z234" s="210"/>
      <c r="AA234" s="210"/>
      <c r="AB234" s="210"/>
      <c r="AC234" s="210"/>
      <c r="AD234" s="210"/>
      <c r="AE234" s="210"/>
      <c r="AF234" s="210"/>
      <c r="AG234" s="210"/>
      <c r="AH234" s="210"/>
      <c r="AI234" s="210"/>
      <c r="AJ234" s="210"/>
      <c r="AK234" s="210"/>
      <c r="AL234" s="210"/>
      <c r="AM234" s="210"/>
      <c r="AN234" s="210"/>
      <c r="AO234" s="210"/>
      <c r="AP234" s="210"/>
      <c r="AQ234" s="210"/>
    </row>
    <row r="235">
      <c r="A235" s="223" t="str">
        <f>IFERROR(__xludf.DUMMYFUNCTION("""COMPUTED_VALUE"""),"237157")</f>
        <v>237157</v>
      </c>
      <c r="B235" s="190" t="str">
        <f>IFERROR(__xludf.DUMMYFUNCTION("""COMPUTED_VALUE"""),"NGUYỄN BÁ NGỌC")</f>
        <v>NGUYỄN BÁ NGỌC</v>
      </c>
      <c r="C235" s="223" t="str">
        <f>IFERROR(__xludf.DUMMYFUNCTION("""COMPUTED_VALUE"""),"EL023")</f>
        <v>EL023</v>
      </c>
      <c r="D235" s="223" t="str">
        <f>IFERROR(__xludf.DUMMYFUNCTION("""COMPUTED_VALUE"""),"Ky Luong")</f>
        <v>Ky Luong</v>
      </c>
      <c r="E235" s="190" t="str">
        <f>IFERROR(__xludf.DUMMYFUNCTION("""COMPUTED_VALUE"""),"Communication 1")</f>
        <v>Communication 1</v>
      </c>
      <c r="F235" s="190" t="str">
        <f>IFERROR(__xludf.DUMMYFUNCTION("""COMPUTED_VALUE"""),"Beginner")</f>
        <v>Beginner</v>
      </c>
      <c r="G235" s="190" t="str">
        <f>IFERROR(__xludf.DUMMYFUNCTION("""COMPUTED_VALUE"""),"Pre-Intermediate 1")</f>
        <v>Pre-Intermediate 1</v>
      </c>
      <c r="H235" s="219">
        <f>IFERROR(__xludf.DUMMYFUNCTION("""COMPUTED_VALUE"""),45765.375)</f>
        <v>45765.375</v>
      </c>
      <c r="I235" s="219">
        <f>IFERROR(__xludf.DUMMYFUNCTION("""COMPUTED_VALUE"""),45765.375)</f>
        <v>45765.375</v>
      </c>
      <c r="J235" s="190">
        <f>IFERROR(__xludf.DUMMYFUNCTION("""COMPUTED_VALUE"""),1.0)</f>
        <v>1</v>
      </c>
      <c r="K235" s="190">
        <f>IFERROR(__xludf.DUMMYFUNCTION("""COMPUTED_VALUE"""),3.0)</f>
        <v>3</v>
      </c>
      <c r="L235" s="190" t="str">
        <f>IFERROR(__xludf.DUMMYFUNCTION("""COMPUTED_VALUE"""),"DEV")</f>
        <v>DEV</v>
      </c>
      <c r="M235" s="190" t="str">
        <f>IFERROR(__xludf.DUMMYFUNCTION("""COMPUTED_VALUE"""),"MOC")</f>
        <v>MOC</v>
      </c>
      <c r="N235" s="220">
        <f>IFERROR(__xludf.DUMMYFUNCTION("""COMPUTED_VALUE"""),1.0)</f>
        <v>1</v>
      </c>
      <c r="O235" s="220">
        <f>IFERROR(__xludf.DUMMYFUNCTION("""COMPUTED_VALUE"""),5.0)</f>
        <v>5</v>
      </c>
      <c r="P235" s="220"/>
      <c r="Q235" s="190">
        <f t="shared" si="1"/>
        <v>1</v>
      </c>
      <c r="R235" s="211" t="s">
        <v>663</v>
      </c>
      <c r="S235" s="210" t="str">
        <f t="shared" si="2"/>
        <v>DEV</v>
      </c>
      <c r="T235" s="210" t="str">
        <f t="shared" si="3"/>
        <v>DEV, TA</v>
      </c>
      <c r="U235" s="210" t="str">
        <f t="shared" si="4"/>
        <v>TBU</v>
      </c>
      <c r="X235" s="210"/>
      <c r="Y235" s="210"/>
      <c r="Z235" s="210"/>
      <c r="AA235" s="210"/>
      <c r="AB235" s="210"/>
      <c r="AC235" s="210"/>
      <c r="AD235" s="210"/>
      <c r="AE235" s="210"/>
      <c r="AF235" s="210"/>
      <c r="AG235" s="210"/>
      <c r="AH235" s="210"/>
      <c r="AI235" s="210"/>
      <c r="AJ235" s="210"/>
      <c r="AK235" s="210"/>
      <c r="AL235" s="210"/>
      <c r="AM235" s="210"/>
      <c r="AN235" s="210"/>
      <c r="AO235" s="210"/>
      <c r="AP235" s="210"/>
      <c r="AQ235" s="210"/>
    </row>
    <row r="236">
      <c r="A236" s="223" t="str">
        <f>IFERROR(__xludf.DUMMYFUNCTION("""COMPUTED_VALUE"""),"227035")</f>
        <v>227035</v>
      </c>
      <c r="B236" s="190" t="str">
        <f>IFERROR(__xludf.DUMMYFUNCTION("""COMPUTED_VALUE"""),"NGUYỄN NHẬT HÀO")</f>
        <v>NGUYỄN NHẬT HÀO</v>
      </c>
      <c r="C236" s="223" t="str">
        <f>IFERROR(__xludf.DUMMYFUNCTION("""COMPUTED_VALUE"""),"EL023")</f>
        <v>EL023</v>
      </c>
      <c r="D236" s="223" t="str">
        <f>IFERROR(__xludf.DUMMYFUNCTION("""COMPUTED_VALUE"""),"Ky Luong")</f>
        <v>Ky Luong</v>
      </c>
      <c r="E236" s="190" t="str">
        <f>IFERROR(__xludf.DUMMYFUNCTION("""COMPUTED_VALUE"""),"Communication 1")</f>
        <v>Communication 1</v>
      </c>
      <c r="F236" s="190" t="str">
        <f>IFERROR(__xludf.DUMMYFUNCTION("""COMPUTED_VALUE"""),"Beginner")</f>
        <v>Beginner</v>
      </c>
      <c r="G236" s="190" t="str">
        <f>IFERROR(__xludf.DUMMYFUNCTION("""COMPUTED_VALUE"""),"Beginner")</f>
        <v>Beginner</v>
      </c>
      <c r="H236" s="219">
        <f>IFERROR(__xludf.DUMMYFUNCTION("""COMPUTED_VALUE"""),45765.375)</f>
        <v>45765.375</v>
      </c>
      <c r="I236" s="219">
        <f>IFERROR(__xludf.DUMMYFUNCTION("""COMPUTED_VALUE"""),45765.375)</f>
        <v>45765.375</v>
      </c>
      <c r="J236" s="190">
        <f>IFERROR(__xludf.DUMMYFUNCTION("""COMPUTED_VALUE"""),1.0)</f>
        <v>1</v>
      </c>
      <c r="K236" s="190">
        <f>IFERROR(__xludf.DUMMYFUNCTION("""COMPUTED_VALUE"""),1.0)</f>
        <v>1</v>
      </c>
      <c r="L236" s="190" t="str">
        <f>IFERROR(__xludf.DUMMYFUNCTION("""COMPUTED_VALUE"""),"DEV")</f>
        <v>DEV</v>
      </c>
      <c r="M236" s="190" t="str">
        <f>IFERROR(__xludf.DUMMYFUNCTION("""COMPUTED_VALUE"""),"LBU")</f>
        <v>LBU</v>
      </c>
      <c r="N236" s="220">
        <f>IFERROR(__xludf.DUMMYFUNCTION("""COMPUTED_VALUE"""),1.0)</f>
        <v>1</v>
      </c>
      <c r="O236" s="220">
        <f>IFERROR(__xludf.DUMMYFUNCTION("""COMPUTED_VALUE"""),3.0)</f>
        <v>3</v>
      </c>
      <c r="P236" s="220"/>
      <c r="Q236" s="190">
        <f t="shared" si="1"/>
        <v>1</v>
      </c>
      <c r="R236" s="211" t="s">
        <v>669</v>
      </c>
      <c r="S236" s="210" t="str">
        <f t="shared" si="2"/>
        <v>Management</v>
      </c>
      <c r="T236" s="210" t="str">
        <f t="shared" si="3"/>
        <v>HR, GA, Mgt</v>
      </c>
      <c r="U236" s="210" t="str">
        <f t="shared" si="4"/>
        <v>ONC</v>
      </c>
      <c r="X236" s="210"/>
      <c r="Y236" s="210"/>
      <c r="Z236" s="210"/>
      <c r="AA236" s="210"/>
      <c r="AB236" s="210"/>
      <c r="AC236" s="210"/>
      <c r="AD236" s="210"/>
      <c r="AE236" s="210"/>
      <c r="AF236" s="210"/>
      <c r="AG236" s="210"/>
      <c r="AH236" s="210"/>
      <c r="AI236" s="210"/>
      <c r="AJ236" s="210"/>
      <c r="AK236" s="210"/>
      <c r="AL236" s="210"/>
      <c r="AM236" s="210"/>
      <c r="AN236" s="210"/>
      <c r="AO236" s="210"/>
      <c r="AP236" s="210"/>
      <c r="AQ236" s="210"/>
    </row>
    <row r="237">
      <c r="A237" s="223" t="str">
        <f>IFERROR(__xludf.DUMMYFUNCTION("""COMPUTED_VALUE"""),"247203")</f>
        <v>247203</v>
      </c>
      <c r="B237" s="190" t="str">
        <f>IFERROR(__xludf.DUMMYFUNCTION("""COMPUTED_VALUE"""),"PHAN HUY NHÂN")</f>
        <v>PHAN HUY NHÂN</v>
      </c>
      <c r="C237" s="223" t="str">
        <f>IFERROR(__xludf.DUMMYFUNCTION("""COMPUTED_VALUE"""),"EL023")</f>
        <v>EL023</v>
      </c>
      <c r="D237" s="223" t="str">
        <f>IFERROR(__xludf.DUMMYFUNCTION("""COMPUTED_VALUE"""),"Ky Luong")</f>
        <v>Ky Luong</v>
      </c>
      <c r="E237" s="190" t="str">
        <f>IFERROR(__xludf.DUMMYFUNCTION("""COMPUTED_VALUE"""),"Communication 1")</f>
        <v>Communication 1</v>
      </c>
      <c r="F237" s="190" t="str">
        <f>IFERROR(__xludf.DUMMYFUNCTION("""COMPUTED_VALUE"""),"Beginner")</f>
        <v>Beginner</v>
      </c>
      <c r="G237" s="190" t="str">
        <f>IFERROR(__xludf.DUMMYFUNCTION("""COMPUTED_VALUE"""),"Pre-Intermediate 1")</f>
        <v>Pre-Intermediate 1</v>
      </c>
      <c r="H237" s="219">
        <f>IFERROR(__xludf.DUMMYFUNCTION("""COMPUTED_VALUE"""),45765.375)</f>
        <v>45765.375</v>
      </c>
      <c r="I237" s="219">
        <f>IFERROR(__xludf.DUMMYFUNCTION("""COMPUTED_VALUE"""),45765.375)</f>
        <v>45765.375</v>
      </c>
      <c r="J237" s="190">
        <f>IFERROR(__xludf.DUMMYFUNCTION("""COMPUTED_VALUE"""),1.0)</f>
        <v>1</v>
      </c>
      <c r="K237" s="190">
        <f>IFERROR(__xludf.DUMMYFUNCTION("""COMPUTED_VALUE"""),3.0)</f>
        <v>3</v>
      </c>
      <c r="L237" s="190" t="str">
        <f>IFERROR(__xludf.DUMMYFUNCTION("""COMPUTED_VALUE"""),"DEV")</f>
        <v>DEV</v>
      </c>
      <c r="M237" s="190" t="str">
        <f>IFERROR(__xludf.DUMMYFUNCTION("""COMPUTED_VALUE"""),"MOC")</f>
        <v>MOC</v>
      </c>
      <c r="N237" s="220">
        <f>IFERROR(__xludf.DUMMYFUNCTION("""COMPUTED_VALUE"""),1.0)</f>
        <v>1</v>
      </c>
      <c r="O237" s="220">
        <f>IFERROR(__xludf.DUMMYFUNCTION("""COMPUTED_VALUE"""),3.5)</f>
        <v>3.5</v>
      </c>
      <c r="P237" s="220"/>
      <c r="Q237" s="190">
        <f t="shared" si="1"/>
        <v>1</v>
      </c>
      <c r="R237" s="211" t="s">
        <v>574</v>
      </c>
      <c r="S237" s="210" t="str">
        <f t="shared" si="2"/>
        <v>GSD</v>
      </c>
      <c r="T237" s="210" t="str">
        <f t="shared" si="3"/>
        <v>GSD</v>
      </c>
      <c r="U237" s="210" t="str">
        <f t="shared" si="4"/>
        <v>TBU</v>
      </c>
      <c r="X237" s="210"/>
      <c r="Y237" s="210"/>
      <c r="Z237" s="210"/>
      <c r="AA237" s="210"/>
      <c r="AB237" s="210"/>
      <c r="AC237" s="210"/>
      <c r="AD237" s="210"/>
      <c r="AE237" s="210"/>
      <c r="AF237" s="210"/>
      <c r="AG237" s="210"/>
      <c r="AH237" s="210"/>
      <c r="AI237" s="210"/>
      <c r="AJ237" s="210"/>
      <c r="AK237" s="210"/>
      <c r="AL237" s="210"/>
      <c r="AM237" s="210"/>
      <c r="AN237" s="210"/>
      <c r="AO237" s="210"/>
      <c r="AP237" s="210"/>
      <c r="AQ237" s="210"/>
    </row>
    <row r="238">
      <c r="A238" s="223" t="str">
        <f>IFERROR(__xludf.DUMMYFUNCTION("""COMPUTED_VALUE"""),"237196")</f>
        <v>237196</v>
      </c>
      <c r="B238" s="190" t="str">
        <f>IFERROR(__xludf.DUMMYFUNCTION("""COMPUTED_VALUE"""),"VÕ CHÍ THIỆN")</f>
        <v>VÕ CHÍ THIỆN</v>
      </c>
      <c r="C238" s="223" t="str">
        <f>IFERROR(__xludf.DUMMYFUNCTION("""COMPUTED_VALUE"""),"EL023")</f>
        <v>EL023</v>
      </c>
      <c r="D238" s="223" t="str">
        <f>IFERROR(__xludf.DUMMYFUNCTION("""COMPUTED_VALUE"""),"Ky Luong")</f>
        <v>Ky Luong</v>
      </c>
      <c r="E238" s="190" t="str">
        <f>IFERROR(__xludf.DUMMYFUNCTION("""COMPUTED_VALUE"""),"Communication 1")</f>
        <v>Communication 1</v>
      </c>
      <c r="F238" s="190" t="str">
        <f>IFERROR(__xludf.DUMMYFUNCTION("""COMPUTED_VALUE"""),"Beginner")</f>
        <v>Beginner</v>
      </c>
      <c r="G238" s="190" t="str">
        <f>IFERROR(__xludf.DUMMYFUNCTION("""COMPUTED_VALUE"""),"Pre-Intermediate 1")</f>
        <v>Pre-Intermediate 1</v>
      </c>
      <c r="H238" s="219">
        <f>IFERROR(__xludf.DUMMYFUNCTION("""COMPUTED_VALUE"""),45765.375)</f>
        <v>45765.375</v>
      </c>
      <c r="I238" s="219">
        <f>IFERROR(__xludf.DUMMYFUNCTION("""COMPUTED_VALUE"""),45765.375)</f>
        <v>45765.375</v>
      </c>
      <c r="J238" s="190">
        <f>IFERROR(__xludf.DUMMYFUNCTION("""COMPUTED_VALUE"""),1.0)</f>
        <v>1</v>
      </c>
      <c r="K238" s="190">
        <f>IFERROR(__xludf.DUMMYFUNCTION("""COMPUTED_VALUE"""),3.0)</f>
        <v>3</v>
      </c>
      <c r="L238" s="190" t="str">
        <f>IFERROR(__xludf.DUMMYFUNCTION("""COMPUTED_VALUE"""),"DEV")</f>
        <v>DEV</v>
      </c>
      <c r="M238" s="190" t="str">
        <f>IFERROR(__xludf.DUMMYFUNCTION("""COMPUTED_VALUE"""),"MOC")</f>
        <v>MOC</v>
      </c>
      <c r="N238" s="220">
        <f>IFERROR(__xludf.DUMMYFUNCTION("""COMPUTED_VALUE"""),1.0)</f>
        <v>1</v>
      </c>
      <c r="O238" s="220">
        <f>IFERROR(__xludf.DUMMYFUNCTION("""COMPUTED_VALUE"""),3.5)</f>
        <v>3.5</v>
      </c>
      <c r="P238" s="220"/>
      <c r="Q238" s="190">
        <f t="shared" si="1"/>
        <v>1</v>
      </c>
      <c r="R238" s="211" t="s">
        <v>545</v>
      </c>
      <c r="S238" s="210" t="str">
        <f t="shared" si="2"/>
        <v>GSD</v>
      </c>
      <c r="T238" s="210" t="str">
        <f t="shared" si="3"/>
        <v>GSD</v>
      </c>
      <c r="U238" s="210" t="str">
        <f t="shared" si="4"/>
        <v>POC</v>
      </c>
      <c r="X238" s="210"/>
      <c r="Y238" s="210"/>
      <c r="Z238" s="210"/>
      <c r="AA238" s="210"/>
      <c r="AB238" s="210"/>
      <c r="AC238" s="210"/>
      <c r="AD238" s="210"/>
      <c r="AE238" s="210"/>
      <c r="AF238" s="210"/>
      <c r="AG238" s="210"/>
      <c r="AH238" s="210"/>
      <c r="AI238" s="210"/>
      <c r="AJ238" s="210"/>
      <c r="AK238" s="210"/>
      <c r="AL238" s="210"/>
      <c r="AM238" s="210"/>
      <c r="AN238" s="210"/>
      <c r="AO238" s="210"/>
      <c r="AP238" s="210"/>
      <c r="AQ238" s="210"/>
    </row>
    <row r="239">
      <c r="A239" s="218" t="str">
        <f>IFERROR(__xludf.DUMMYFUNCTION("""COMPUTED_VALUE"""),"213901")</f>
        <v>213901</v>
      </c>
      <c r="B239" s="217" t="str">
        <f>IFERROR(__xludf.DUMMYFUNCTION("""COMPUTED_VALUE"""),"HOÀNG TIẾN DŨNG")</f>
        <v>HOÀNG TIẾN DŨNG</v>
      </c>
      <c r="C239" s="218" t="str">
        <f>IFERROR(__xludf.DUMMYFUNCTION("""COMPUTED_VALUE"""),"EL024")</f>
        <v>EL024</v>
      </c>
      <c r="D239" s="218" t="str">
        <f>IFERROR(__xludf.DUMMYFUNCTION("""COMPUTED_VALUE"""),"Dung Hoang")</f>
        <v>Dung Hoang</v>
      </c>
      <c r="E239" s="217" t="str">
        <f>IFERROR(__xludf.DUMMYFUNCTION("""COMPUTED_VALUE"""),"Foundation")</f>
        <v>Foundation</v>
      </c>
      <c r="F239" s="190" t="str">
        <f>IFERROR(__xludf.DUMMYFUNCTION("""COMPUTED_VALUE"""),"Beginner")</f>
        <v>Beginner</v>
      </c>
      <c r="G239" s="190" t="str">
        <f>IFERROR(__xludf.DUMMYFUNCTION("""COMPUTED_VALUE"""),"Beginner")</f>
        <v>Beginner</v>
      </c>
      <c r="H239" s="219">
        <f>IFERROR(__xludf.DUMMYFUNCTION("""COMPUTED_VALUE"""),45818.375)</f>
        <v>45818.375</v>
      </c>
      <c r="I239" s="219">
        <f>IFERROR(__xludf.DUMMYFUNCTION("""COMPUTED_VALUE"""),45813.375)</f>
        <v>45813.375</v>
      </c>
      <c r="J239" s="190">
        <f>IFERROR(__xludf.DUMMYFUNCTION("""COMPUTED_VALUE"""),1.0)</f>
        <v>1</v>
      </c>
      <c r="K239" s="190">
        <f>IFERROR(__xludf.DUMMYFUNCTION("""COMPUTED_VALUE"""),1.0)</f>
        <v>1</v>
      </c>
      <c r="L239" s="190" t="str">
        <f>IFERROR(__xludf.DUMMYFUNCTION("""COMPUTED_VALUE"""),"DEV")</f>
        <v>DEV</v>
      </c>
      <c r="M239" s="190" t="str">
        <f>IFERROR(__xludf.DUMMYFUNCTION("""COMPUTED_VALUE"""),"LBU")</f>
        <v>LBU</v>
      </c>
      <c r="N239" s="220">
        <f>IFERROR(__xludf.DUMMYFUNCTION("""COMPUTED_VALUE"""),1.0)</f>
        <v>1</v>
      </c>
      <c r="O239" s="220">
        <f>IFERROR(__xludf.DUMMYFUNCTION("""COMPUTED_VALUE"""),3.0)</f>
        <v>3</v>
      </c>
      <c r="P239" s="220"/>
      <c r="Q239" s="190">
        <f t="shared" si="1"/>
        <v>1</v>
      </c>
      <c r="R239" s="211" t="s">
        <v>558</v>
      </c>
      <c r="S239" s="210" t="str">
        <f t="shared" si="2"/>
        <v>GSD</v>
      </c>
      <c r="T239" s="210" t="str">
        <f t="shared" si="3"/>
        <v>GSD</v>
      </c>
      <c r="U239" s="210" t="str">
        <f t="shared" si="4"/>
        <v>POC</v>
      </c>
      <c r="X239" s="210"/>
      <c r="Y239" s="210"/>
      <c r="Z239" s="210"/>
      <c r="AA239" s="210"/>
      <c r="AB239" s="210"/>
      <c r="AC239" s="210"/>
      <c r="AD239" s="210"/>
      <c r="AE239" s="210"/>
      <c r="AF239" s="210"/>
      <c r="AG239" s="210"/>
      <c r="AH239" s="210"/>
      <c r="AI239" s="210"/>
      <c r="AJ239" s="210"/>
      <c r="AK239" s="210"/>
      <c r="AL239" s="210"/>
      <c r="AM239" s="210"/>
      <c r="AN239" s="210"/>
      <c r="AO239" s="210"/>
      <c r="AP239" s="210"/>
      <c r="AQ239" s="210"/>
    </row>
    <row r="240">
      <c r="A240" s="223" t="str">
        <f>IFERROR(__xludf.DUMMYFUNCTION("""COMPUTED_VALUE"""),"213835")</f>
        <v>213835</v>
      </c>
      <c r="B240" s="190" t="str">
        <f>IFERROR(__xludf.DUMMYFUNCTION("""COMPUTED_VALUE"""),"ĐOÀN ANH MINH")</f>
        <v>ĐOÀN ANH MINH</v>
      </c>
      <c r="C240" s="223" t="str">
        <f>IFERROR(__xludf.DUMMYFUNCTION("""COMPUTED_VALUE"""),"EL024")</f>
        <v>EL024</v>
      </c>
      <c r="D240" s="223" t="str">
        <f>IFERROR(__xludf.DUMMYFUNCTION("""COMPUTED_VALUE"""),"Dung Hoang")</f>
        <v>Dung Hoang</v>
      </c>
      <c r="E240" s="190" t="str">
        <f>IFERROR(__xludf.DUMMYFUNCTION("""COMPUTED_VALUE"""),"Foundation")</f>
        <v>Foundation</v>
      </c>
      <c r="F240" s="190" t="str">
        <f>IFERROR(__xludf.DUMMYFUNCTION("""COMPUTED_VALUE"""),"Beginner")</f>
        <v>Beginner</v>
      </c>
      <c r="G240" s="190" t="str">
        <f>IFERROR(__xludf.DUMMYFUNCTION("""COMPUTED_VALUE"""),"Beginner")</f>
        <v>Beginner</v>
      </c>
      <c r="H240" s="219">
        <f>IFERROR(__xludf.DUMMYFUNCTION("""COMPUTED_VALUE"""),45818.375)</f>
        <v>45818.375</v>
      </c>
      <c r="I240" s="219">
        <f>IFERROR(__xludf.DUMMYFUNCTION("""COMPUTED_VALUE"""),45813.375)</f>
        <v>45813.375</v>
      </c>
      <c r="J240" s="190">
        <f>IFERROR(__xludf.DUMMYFUNCTION("""COMPUTED_VALUE"""),1.0)</f>
        <v>1</v>
      </c>
      <c r="K240" s="190">
        <f>IFERROR(__xludf.DUMMYFUNCTION("""COMPUTED_VALUE"""),1.0)</f>
        <v>1</v>
      </c>
      <c r="L240" s="190" t="str">
        <f>IFERROR(__xludf.DUMMYFUNCTION("""COMPUTED_VALUE"""),"DEV")</f>
        <v>DEV</v>
      </c>
      <c r="M240" s="190" t="str">
        <f>IFERROR(__xludf.DUMMYFUNCTION("""COMPUTED_VALUE"""),"MOC")</f>
        <v>MOC</v>
      </c>
      <c r="N240" s="220">
        <f>IFERROR(__xludf.DUMMYFUNCTION("""COMPUTED_VALUE"""),1.0)</f>
        <v>1</v>
      </c>
      <c r="O240" s="220">
        <f>IFERROR(__xludf.DUMMYFUNCTION("""COMPUTED_VALUE"""),3.5)</f>
        <v>3.5</v>
      </c>
      <c r="P240" s="220"/>
      <c r="Q240" s="190">
        <f t="shared" si="1"/>
        <v>1</v>
      </c>
      <c r="R240" s="211" t="s">
        <v>161</v>
      </c>
      <c r="S240" s="210" t="str">
        <f t="shared" si="2"/>
        <v>DEV</v>
      </c>
      <c r="T240" s="210" t="str">
        <f t="shared" si="3"/>
        <v>DEV, TA</v>
      </c>
      <c r="U240" s="210" t="str">
        <f t="shared" si="4"/>
        <v>MOC</v>
      </c>
      <c r="X240" s="210"/>
      <c r="Y240" s="210"/>
      <c r="Z240" s="210"/>
      <c r="AA240" s="210"/>
      <c r="AB240" s="210"/>
      <c r="AC240" s="210"/>
      <c r="AD240" s="210"/>
      <c r="AE240" s="210"/>
      <c r="AF240" s="210"/>
      <c r="AG240" s="210"/>
      <c r="AH240" s="210"/>
      <c r="AI240" s="210"/>
      <c r="AJ240" s="210"/>
      <c r="AK240" s="210"/>
      <c r="AL240" s="210"/>
      <c r="AM240" s="210"/>
      <c r="AN240" s="210"/>
      <c r="AO240" s="210"/>
      <c r="AP240" s="210"/>
      <c r="AQ240" s="210"/>
    </row>
    <row r="241">
      <c r="A241" s="223" t="str">
        <f>IFERROR(__xludf.DUMMYFUNCTION("""COMPUTED_VALUE"""),"227081")</f>
        <v>227081</v>
      </c>
      <c r="B241" s="190" t="str">
        <f>IFERROR(__xludf.DUMMYFUNCTION("""COMPUTED_VALUE"""),"NGUYỄN HOÀNG PHÚC")</f>
        <v>NGUYỄN HOÀNG PHÚC</v>
      </c>
      <c r="C241" s="223" t="str">
        <f>IFERROR(__xludf.DUMMYFUNCTION("""COMPUTED_VALUE"""),"EL024")</f>
        <v>EL024</v>
      </c>
      <c r="D241" s="223" t="str">
        <f>IFERROR(__xludf.DUMMYFUNCTION("""COMPUTED_VALUE"""),"Dung Hoang")</f>
        <v>Dung Hoang</v>
      </c>
      <c r="E241" s="190" t="str">
        <f>IFERROR(__xludf.DUMMYFUNCTION("""COMPUTED_VALUE"""),"Foundation")</f>
        <v>Foundation</v>
      </c>
      <c r="F241" s="190" t="str">
        <f>IFERROR(__xludf.DUMMYFUNCTION("""COMPUTED_VALUE"""),"Beginner")</f>
        <v>Beginner</v>
      </c>
      <c r="G241" s="190" t="str">
        <f>IFERROR(__xludf.DUMMYFUNCTION("""COMPUTED_VALUE"""),"Beginner")</f>
        <v>Beginner</v>
      </c>
      <c r="H241" s="219">
        <f>IFERROR(__xludf.DUMMYFUNCTION("""COMPUTED_VALUE"""),45818.375)</f>
        <v>45818.375</v>
      </c>
      <c r="I241" s="219">
        <f>IFERROR(__xludf.DUMMYFUNCTION("""COMPUTED_VALUE"""),45813.375)</f>
        <v>45813.375</v>
      </c>
      <c r="J241" s="190">
        <f>IFERROR(__xludf.DUMMYFUNCTION("""COMPUTED_VALUE"""),1.0)</f>
        <v>1</v>
      </c>
      <c r="K241" s="190">
        <f>IFERROR(__xludf.DUMMYFUNCTION("""COMPUTED_VALUE"""),1.0)</f>
        <v>1</v>
      </c>
      <c r="L241" s="190" t="str">
        <f>IFERROR(__xludf.DUMMYFUNCTION("""COMPUTED_VALUE"""),"DEV")</f>
        <v>DEV</v>
      </c>
      <c r="M241" s="190" t="str">
        <f>IFERROR(__xludf.DUMMYFUNCTION("""COMPUTED_VALUE"""),"MOC")</f>
        <v>MOC</v>
      </c>
      <c r="N241" s="220">
        <f>IFERROR(__xludf.DUMMYFUNCTION("""COMPUTED_VALUE"""),1.0)</f>
        <v>1</v>
      </c>
      <c r="O241" s="220">
        <f>IFERROR(__xludf.DUMMYFUNCTION("""COMPUTED_VALUE"""),3.0)</f>
        <v>3</v>
      </c>
      <c r="P241" s="220"/>
      <c r="Q241" s="190">
        <f t="shared" si="1"/>
        <v>1</v>
      </c>
      <c r="R241" s="211" t="s">
        <v>290</v>
      </c>
      <c r="S241" s="210" t="str">
        <f t="shared" si="2"/>
        <v>GSD</v>
      </c>
      <c r="T241" s="210" t="str">
        <f t="shared" si="3"/>
        <v>GSD</v>
      </c>
      <c r="U241" s="210" t="str">
        <f t="shared" si="4"/>
        <v>POC</v>
      </c>
      <c r="X241" s="210"/>
      <c r="Y241" s="210"/>
      <c r="Z241" s="210"/>
      <c r="AA241" s="210"/>
      <c r="AB241" s="210"/>
      <c r="AC241" s="210"/>
      <c r="AD241" s="210"/>
      <c r="AE241" s="210"/>
      <c r="AF241" s="210"/>
      <c r="AG241" s="210"/>
      <c r="AH241" s="210"/>
      <c r="AI241" s="210"/>
      <c r="AJ241" s="210"/>
      <c r="AK241" s="210"/>
      <c r="AL241" s="210"/>
      <c r="AM241" s="210"/>
      <c r="AN241" s="210"/>
      <c r="AO241" s="210"/>
      <c r="AP241" s="210"/>
      <c r="AQ241" s="210"/>
    </row>
    <row r="242">
      <c r="A242" s="223" t="str">
        <f>IFERROR(__xludf.DUMMYFUNCTION("""COMPUTED_VALUE"""),"247332")</f>
        <v>247332</v>
      </c>
      <c r="B242" s="190" t="str">
        <f>IFERROR(__xludf.DUMMYFUNCTION("""COMPUTED_VALUE"""),"NGUYỄN PHÚC THANH TOÀN")</f>
        <v>NGUYỄN PHÚC THANH TOÀN</v>
      </c>
      <c r="C242" s="223" t="str">
        <f>IFERROR(__xludf.DUMMYFUNCTION("""COMPUTED_VALUE"""),"EL024")</f>
        <v>EL024</v>
      </c>
      <c r="D242" s="223" t="str">
        <f>IFERROR(__xludf.DUMMYFUNCTION("""COMPUTED_VALUE"""),"Dung Hoang")</f>
        <v>Dung Hoang</v>
      </c>
      <c r="E242" s="190" t="str">
        <f>IFERROR(__xludf.DUMMYFUNCTION("""COMPUTED_VALUE"""),"Foundation")</f>
        <v>Foundation</v>
      </c>
      <c r="F242" s="190" t="str">
        <f>IFERROR(__xludf.DUMMYFUNCTION("""COMPUTED_VALUE"""),"Beginner")</f>
        <v>Beginner</v>
      </c>
      <c r="G242" s="190" t="str">
        <f>IFERROR(__xludf.DUMMYFUNCTION("""COMPUTED_VALUE"""),"Beginner")</f>
        <v>Beginner</v>
      </c>
      <c r="H242" s="219">
        <f>IFERROR(__xludf.DUMMYFUNCTION("""COMPUTED_VALUE"""),45818.375)</f>
        <v>45818.375</v>
      </c>
      <c r="I242" s="219">
        <f>IFERROR(__xludf.DUMMYFUNCTION("""COMPUTED_VALUE"""),45813.375)</f>
        <v>45813.375</v>
      </c>
      <c r="J242" s="190">
        <f>IFERROR(__xludf.DUMMYFUNCTION("""COMPUTED_VALUE"""),1.0)</f>
        <v>1</v>
      </c>
      <c r="K242" s="190">
        <f>IFERROR(__xludf.DUMMYFUNCTION("""COMPUTED_VALUE"""),1.0)</f>
        <v>1</v>
      </c>
      <c r="L242" s="190" t="str">
        <f>IFERROR(__xludf.DUMMYFUNCTION("""COMPUTED_VALUE"""),"DEV")</f>
        <v>DEV</v>
      </c>
      <c r="M242" s="190" t="str">
        <f>IFERROR(__xludf.DUMMYFUNCTION("""COMPUTED_VALUE"""),"LBU")</f>
        <v>LBU</v>
      </c>
      <c r="N242" s="220">
        <f>IFERROR(__xludf.DUMMYFUNCTION("""COMPUTED_VALUE"""),1.0)</f>
        <v>1</v>
      </c>
      <c r="O242" s="220">
        <f>IFERROR(__xludf.DUMMYFUNCTION("""COMPUTED_VALUE"""),3.5)</f>
        <v>3.5</v>
      </c>
      <c r="P242" s="220"/>
      <c r="Q242" s="190">
        <f t="shared" si="1"/>
        <v>1</v>
      </c>
      <c r="R242" s="211" t="s">
        <v>391</v>
      </c>
      <c r="S242" s="210" t="str">
        <f t="shared" si="2"/>
        <v>GSD</v>
      </c>
      <c r="T242" s="210" t="str">
        <f t="shared" si="3"/>
        <v>GSD</v>
      </c>
      <c r="U242" s="210" t="str">
        <f t="shared" si="4"/>
        <v>CHORUS</v>
      </c>
      <c r="X242" s="210"/>
      <c r="Y242" s="210"/>
      <c r="Z242" s="210"/>
      <c r="AA242" s="210"/>
      <c r="AB242" s="210"/>
      <c r="AC242" s="210"/>
      <c r="AD242" s="210"/>
      <c r="AE242" s="210"/>
      <c r="AF242" s="210"/>
      <c r="AG242" s="210"/>
      <c r="AH242" s="210"/>
      <c r="AI242" s="210"/>
      <c r="AJ242" s="210"/>
      <c r="AK242" s="210"/>
      <c r="AL242" s="210"/>
      <c r="AM242" s="210"/>
      <c r="AN242" s="210"/>
      <c r="AO242" s="210"/>
      <c r="AP242" s="210"/>
      <c r="AQ242" s="210"/>
    </row>
    <row r="243">
      <c r="A243" s="223" t="str">
        <f>IFERROR(__xludf.DUMMYFUNCTION("""COMPUTED_VALUE"""),"193613")</f>
        <v>193613</v>
      </c>
      <c r="B243" s="190" t="str">
        <f>IFERROR(__xludf.DUMMYFUNCTION("""COMPUTED_VALUE"""),"NGUYỄN QUANG TRUNG")</f>
        <v>NGUYỄN QUANG TRUNG</v>
      </c>
      <c r="C243" s="223" t="str">
        <f>IFERROR(__xludf.DUMMYFUNCTION("""COMPUTED_VALUE"""),"EL024")</f>
        <v>EL024</v>
      </c>
      <c r="D243" s="223" t="str">
        <f>IFERROR(__xludf.DUMMYFUNCTION("""COMPUTED_VALUE"""),"Dung Hoang")</f>
        <v>Dung Hoang</v>
      </c>
      <c r="E243" s="190" t="str">
        <f>IFERROR(__xludf.DUMMYFUNCTION("""COMPUTED_VALUE"""),"Foundation")</f>
        <v>Foundation</v>
      </c>
      <c r="F243" s="190" t="str">
        <f>IFERROR(__xludf.DUMMYFUNCTION("""COMPUTED_VALUE"""),"Beginner")</f>
        <v>Beginner</v>
      </c>
      <c r="G243" s="190" t="str">
        <f>IFERROR(__xludf.DUMMYFUNCTION("""COMPUTED_VALUE"""),"Beginner")</f>
        <v>Beginner</v>
      </c>
      <c r="H243" s="219">
        <f>IFERROR(__xludf.DUMMYFUNCTION("""COMPUTED_VALUE"""),45818.375)</f>
        <v>45818.375</v>
      </c>
      <c r="I243" s="219">
        <f>IFERROR(__xludf.DUMMYFUNCTION("""COMPUTED_VALUE"""),45813.375)</f>
        <v>45813.375</v>
      </c>
      <c r="J243" s="190">
        <f>IFERROR(__xludf.DUMMYFUNCTION("""COMPUTED_VALUE"""),1.0)</f>
        <v>1</v>
      </c>
      <c r="K243" s="190">
        <f>IFERROR(__xludf.DUMMYFUNCTION("""COMPUTED_VALUE"""),1.0)</f>
        <v>1</v>
      </c>
      <c r="L243" s="190" t="str">
        <f>IFERROR(__xludf.DUMMYFUNCTION("""COMPUTED_VALUE"""),"DEV")</f>
        <v>DEV</v>
      </c>
      <c r="M243" s="190" t="str">
        <f>IFERROR(__xludf.DUMMYFUNCTION("""COMPUTED_VALUE"""),"MOC")</f>
        <v>MOC</v>
      </c>
      <c r="N243" s="220">
        <f>IFERROR(__xludf.DUMMYFUNCTION("""COMPUTED_VALUE"""),1.0)</f>
        <v>1</v>
      </c>
      <c r="O243" s="220">
        <f>IFERROR(__xludf.DUMMYFUNCTION("""COMPUTED_VALUE"""),5.0)</f>
        <v>5</v>
      </c>
      <c r="P243" s="220"/>
      <c r="Q243" s="190">
        <f t="shared" si="1"/>
        <v>1</v>
      </c>
      <c r="R243" s="211" t="s">
        <v>468</v>
      </c>
      <c r="S243" s="210" t="str">
        <f t="shared" si="2"/>
        <v>GSD</v>
      </c>
      <c r="T243" s="210" t="str">
        <f t="shared" si="3"/>
        <v>GSD</v>
      </c>
      <c r="U243" s="210" t="str">
        <f t="shared" si="4"/>
        <v>POC</v>
      </c>
      <c r="X243" s="210"/>
      <c r="Y243" s="210"/>
      <c r="Z243" s="210"/>
      <c r="AA243" s="210"/>
      <c r="AB243" s="210"/>
      <c r="AC243" s="210"/>
      <c r="AD243" s="210"/>
      <c r="AE243" s="210"/>
      <c r="AF243" s="210"/>
      <c r="AG243" s="210"/>
      <c r="AH243" s="210"/>
      <c r="AI243" s="210"/>
      <c r="AJ243" s="210"/>
      <c r="AK243" s="210"/>
      <c r="AL243" s="210"/>
      <c r="AM243" s="210"/>
      <c r="AN243" s="210"/>
      <c r="AO243" s="210"/>
      <c r="AP243" s="210"/>
      <c r="AQ243" s="210"/>
    </row>
    <row r="244">
      <c r="A244" s="223" t="str">
        <f>IFERROR(__xludf.DUMMYFUNCTION("""COMPUTED_VALUE"""),"247097")</f>
        <v>247097</v>
      </c>
      <c r="B244" s="190" t="str">
        <f>IFERROR(__xludf.DUMMYFUNCTION("""COMPUTED_VALUE"""),"NGUYỄN THÀNH PHƯỚC")</f>
        <v>NGUYỄN THÀNH PHƯỚC</v>
      </c>
      <c r="C244" s="223" t="str">
        <f>IFERROR(__xludf.DUMMYFUNCTION("""COMPUTED_VALUE"""),"EL024")</f>
        <v>EL024</v>
      </c>
      <c r="D244" s="223" t="str">
        <f>IFERROR(__xludf.DUMMYFUNCTION("""COMPUTED_VALUE"""),"Dung Hoang")</f>
        <v>Dung Hoang</v>
      </c>
      <c r="E244" s="190" t="str">
        <f>IFERROR(__xludf.DUMMYFUNCTION("""COMPUTED_VALUE"""),"Foundation")</f>
        <v>Foundation</v>
      </c>
      <c r="F244" s="190" t="str">
        <f>IFERROR(__xludf.DUMMYFUNCTION("""COMPUTED_VALUE"""),"Beginner")</f>
        <v>Beginner</v>
      </c>
      <c r="G244" s="190" t="str">
        <f>IFERROR(__xludf.DUMMYFUNCTION("""COMPUTED_VALUE"""),"Beginner")</f>
        <v>Beginner</v>
      </c>
      <c r="H244" s="219">
        <f>IFERROR(__xludf.DUMMYFUNCTION("""COMPUTED_VALUE"""),45818.375)</f>
        <v>45818.375</v>
      </c>
      <c r="I244" s="219">
        <f>IFERROR(__xludf.DUMMYFUNCTION("""COMPUTED_VALUE"""),45813.375)</f>
        <v>45813.375</v>
      </c>
      <c r="J244" s="190">
        <f>IFERROR(__xludf.DUMMYFUNCTION("""COMPUTED_VALUE"""),1.0)</f>
        <v>1</v>
      </c>
      <c r="K244" s="190">
        <f>IFERROR(__xludf.DUMMYFUNCTION("""COMPUTED_VALUE"""),1.0)</f>
        <v>1</v>
      </c>
      <c r="L244" s="190" t="str">
        <f>IFERROR(__xludf.DUMMYFUNCTION("""COMPUTED_VALUE"""),"DEV")</f>
        <v>DEV</v>
      </c>
      <c r="M244" s="190" t="str">
        <f>IFERROR(__xludf.DUMMYFUNCTION("""COMPUTED_VALUE"""),"MOC")</f>
        <v>MOC</v>
      </c>
      <c r="N244" s="220">
        <f>IFERROR(__xludf.DUMMYFUNCTION("""COMPUTED_VALUE"""),1.0)</f>
        <v>1</v>
      </c>
      <c r="O244" s="220">
        <f>IFERROR(__xludf.DUMMYFUNCTION("""COMPUTED_VALUE"""),3.0)</f>
        <v>3</v>
      </c>
      <c r="P244" s="220"/>
      <c r="Q244" s="190">
        <f t="shared" si="1"/>
        <v>1</v>
      </c>
      <c r="R244" s="211" t="s">
        <v>516</v>
      </c>
      <c r="S244" s="210" t="str">
        <f t="shared" si="2"/>
        <v>GSD</v>
      </c>
      <c r="T244" s="210" t="str">
        <f t="shared" si="3"/>
        <v>GSD</v>
      </c>
      <c r="U244" s="210" t="str">
        <f t="shared" si="4"/>
        <v>POC</v>
      </c>
      <c r="X244" s="210"/>
      <c r="Y244" s="210"/>
      <c r="Z244" s="210"/>
      <c r="AA244" s="210"/>
      <c r="AB244" s="210"/>
      <c r="AC244" s="210"/>
      <c r="AD244" s="210"/>
      <c r="AE244" s="210"/>
      <c r="AF244" s="210"/>
      <c r="AG244" s="210"/>
      <c r="AH244" s="210"/>
      <c r="AI244" s="210"/>
      <c r="AJ244" s="210"/>
      <c r="AK244" s="210"/>
      <c r="AL244" s="210"/>
      <c r="AM244" s="210"/>
      <c r="AN244" s="210"/>
      <c r="AO244" s="210"/>
      <c r="AP244" s="210"/>
      <c r="AQ244" s="210"/>
    </row>
    <row r="245">
      <c r="A245" s="218" t="str">
        <f>IFERROR(__xludf.DUMMYFUNCTION("""COMPUTED_VALUE"""),"213901")</f>
        <v>213901</v>
      </c>
      <c r="B245" s="217" t="str">
        <f>IFERROR(__xludf.DUMMYFUNCTION("""COMPUTED_VALUE"""),"HOÀNG TIẾN DŨNG")</f>
        <v>HOÀNG TIẾN DŨNG</v>
      </c>
      <c r="C245" s="218" t="str">
        <f>IFERROR(__xludf.DUMMYFUNCTION("""COMPUTED_VALUE"""),"EL024")</f>
        <v>EL024</v>
      </c>
      <c r="D245" s="218" t="str">
        <f>IFERROR(__xludf.DUMMYFUNCTION("""COMPUTED_VALUE"""),"Dung Hoang")</f>
        <v>Dung Hoang</v>
      </c>
      <c r="E245" s="217" t="str">
        <f>IFERROR(__xludf.DUMMYFUNCTION("""COMPUTED_VALUE"""),"Communication 1")</f>
        <v>Communication 1</v>
      </c>
      <c r="F245" s="190" t="str">
        <f>IFERROR(__xludf.DUMMYFUNCTION("""COMPUTED_VALUE"""),"Beginner")</f>
        <v>Beginner</v>
      </c>
      <c r="G245" s="190" t="str">
        <f>IFERROR(__xludf.DUMMYFUNCTION("""COMPUTED_VALUE"""),"Pre-Intermediate 1")</f>
        <v>Pre-Intermediate 1</v>
      </c>
      <c r="H245" s="219">
        <f>IFERROR(__xludf.DUMMYFUNCTION("""COMPUTED_VALUE"""),45813.375)</f>
        <v>45813.375</v>
      </c>
      <c r="I245" s="219">
        <f>IFERROR(__xludf.DUMMYFUNCTION("""COMPUTED_VALUE"""),45813.375)</f>
        <v>45813.375</v>
      </c>
      <c r="J245" s="190">
        <f>IFERROR(__xludf.DUMMYFUNCTION("""COMPUTED_VALUE"""),1.0)</f>
        <v>1</v>
      </c>
      <c r="K245" s="190">
        <f>IFERROR(__xludf.DUMMYFUNCTION("""COMPUTED_VALUE"""),3.0)</f>
        <v>3</v>
      </c>
      <c r="L245" s="190" t="str">
        <f>IFERROR(__xludf.DUMMYFUNCTION("""COMPUTED_VALUE"""),"DEV")</f>
        <v>DEV</v>
      </c>
      <c r="M245" s="190" t="str">
        <f>IFERROR(__xludf.DUMMYFUNCTION("""COMPUTED_VALUE"""),"LBU")</f>
        <v>LBU</v>
      </c>
      <c r="N245" s="220">
        <f>IFERROR(__xludf.DUMMYFUNCTION("""COMPUTED_VALUE"""),1.0)</f>
        <v>1</v>
      </c>
      <c r="O245" s="220">
        <f>IFERROR(__xludf.DUMMYFUNCTION("""COMPUTED_VALUE"""),3.0)</f>
        <v>3</v>
      </c>
      <c r="P245" s="220"/>
      <c r="Q245" s="190">
        <f t="shared" si="1"/>
        <v>1</v>
      </c>
      <c r="R245" s="211" t="s">
        <v>363</v>
      </c>
      <c r="S245" s="210" t="str">
        <f t="shared" si="2"/>
        <v>GSD</v>
      </c>
      <c r="T245" s="210" t="str">
        <f t="shared" si="3"/>
        <v>GSD</v>
      </c>
      <c r="U245" s="210" t="str">
        <f t="shared" si="4"/>
        <v>POC</v>
      </c>
      <c r="X245" s="210"/>
      <c r="Y245" s="210"/>
      <c r="Z245" s="210"/>
      <c r="AA245" s="210"/>
      <c r="AB245" s="210"/>
      <c r="AC245" s="210"/>
      <c r="AD245" s="210"/>
      <c r="AE245" s="210"/>
      <c r="AF245" s="210"/>
      <c r="AG245" s="210"/>
      <c r="AH245" s="210"/>
      <c r="AI245" s="210"/>
      <c r="AJ245" s="210"/>
      <c r="AK245" s="210"/>
      <c r="AL245" s="210"/>
      <c r="AM245" s="210"/>
      <c r="AN245" s="210"/>
      <c r="AO245" s="210"/>
      <c r="AP245" s="210"/>
      <c r="AQ245" s="210"/>
    </row>
    <row r="246">
      <c r="A246" s="223" t="str">
        <f>IFERROR(__xludf.DUMMYFUNCTION("""COMPUTED_VALUE"""),"213835")</f>
        <v>213835</v>
      </c>
      <c r="B246" s="190" t="str">
        <f>IFERROR(__xludf.DUMMYFUNCTION("""COMPUTED_VALUE"""),"ĐOÀN ANH MINH")</f>
        <v>ĐOÀN ANH MINH</v>
      </c>
      <c r="C246" s="223" t="str">
        <f>IFERROR(__xludf.DUMMYFUNCTION("""COMPUTED_VALUE"""),"EL024")</f>
        <v>EL024</v>
      </c>
      <c r="D246" s="223" t="str">
        <f>IFERROR(__xludf.DUMMYFUNCTION("""COMPUTED_VALUE"""),"Dung Hoang")</f>
        <v>Dung Hoang</v>
      </c>
      <c r="E246" s="190" t="str">
        <f>IFERROR(__xludf.DUMMYFUNCTION("""COMPUTED_VALUE"""),"Communication 1")</f>
        <v>Communication 1</v>
      </c>
      <c r="F246" s="190" t="str">
        <f>IFERROR(__xludf.DUMMYFUNCTION("""COMPUTED_VALUE"""),"Beginner")</f>
        <v>Beginner</v>
      </c>
      <c r="G246" s="190" t="str">
        <f>IFERROR(__xludf.DUMMYFUNCTION("""COMPUTED_VALUE"""),"Pre-Intermediate 2")</f>
        <v>Pre-Intermediate 2</v>
      </c>
      <c r="H246" s="219">
        <f>IFERROR(__xludf.DUMMYFUNCTION("""COMPUTED_VALUE"""),45813.375)</f>
        <v>45813.375</v>
      </c>
      <c r="I246" s="219">
        <f>IFERROR(__xludf.DUMMYFUNCTION("""COMPUTED_VALUE"""),45813.375)</f>
        <v>45813.375</v>
      </c>
      <c r="J246" s="190">
        <f>IFERROR(__xludf.DUMMYFUNCTION("""COMPUTED_VALUE"""),1.0)</f>
        <v>1</v>
      </c>
      <c r="K246" s="190">
        <f>IFERROR(__xludf.DUMMYFUNCTION("""COMPUTED_VALUE"""),3.5)</f>
        <v>3.5</v>
      </c>
      <c r="L246" s="190" t="str">
        <f>IFERROR(__xludf.DUMMYFUNCTION("""COMPUTED_VALUE"""),"DEV")</f>
        <v>DEV</v>
      </c>
      <c r="M246" s="190" t="str">
        <f>IFERROR(__xludf.DUMMYFUNCTION("""COMPUTED_VALUE"""),"MOC")</f>
        <v>MOC</v>
      </c>
      <c r="N246" s="220">
        <f>IFERROR(__xludf.DUMMYFUNCTION("""COMPUTED_VALUE"""),1.0)</f>
        <v>1</v>
      </c>
      <c r="O246" s="220">
        <f>IFERROR(__xludf.DUMMYFUNCTION("""COMPUTED_VALUE"""),3.5)</f>
        <v>3.5</v>
      </c>
      <c r="P246" s="220"/>
      <c r="Q246" s="190">
        <f t="shared" si="1"/>
        <v>1</v>
      </c>
      <c r="R246" s="211" t="s">
        <v>251</v>
      </c>
      <c r="S246" s="210" t="str">
        <f t="shared" si="2"/>
        <v>GSD</v>
      </c>
      <c r="T246" s="210" t="str">
        <f t="shared" si="3"/>
        <v>GSD</v>
      </c>
      <c r="U246" s="210" t="str">
        <f t="shared" si="4"/>
        <v>POC</v>
      </c>
      <c r="X246" s="210"/>
      <c r="Y246" s="210"/>
      <c r="Z246" s="210"/>
      <c r="AA246" s="210"/>
      <c r="AB246" s="210"/>
      <c r="AC246" s="210"/>
      <c r="AD246" s="210"/>
      <c r="AE246" s="210"/>
      <c r="AF246" s="210"/>
      <c r="AG246" s="210"/>
      <c r="AH246" s="210"/>
      <c r="AI246" s="210"/>
      <c r="AJ246" s="210"/>
      <c r="AK246" s="210"/>
      <c r="AL246" s="210"/>
      <c r="AM246" s="210"/>
      <c r="AN246" s="210"/>
      <c r="AO246" s="210"/>
      <c r="AP246" s="210"/>
      <c r="AQ246" s="210"/>
    </row>
    <row r="247">
      <c r="A247" s="223" t="str">
        <f>IFERROR(__xludf.DUMMYFUNCTION("""COMPUTED_VALUE"""),"227081")</f>
        <v>227081</v>
      </c>
      <c r="B247" s="190" t="str">
        <f>IFERROR(__xludf.DUMMYFUNCTION("""COMPUTED_VALUE"""),"NGUYỄN HOÀNG PHÚC")</f>
        <v>NGUYỄN HOÀNG PHÚC</v>
      </c>
      <c r="C247" s="223" t="str">
        <f>IFERROR(__xludf.DUMMYFUNCTION("""COMPUTED_VALUE"""),"EL024")</f>
        <v>EL024</v>
      </c>
      <c r="D247" s="223" t="str">
        <f>IFERROR(__xludf.DUMMYFUNCTION("""COMPUTED_VALUE"""),"Dung Hoang")</f>
        <v>Dung Hoang</v>
      </c>
      <c r="E247" s="190" t="str">
        <f>IFERROR(__xludf.DUMMYFUNCTION("""COMPUTED_VALUE"""),"Communication 1")</f>
        <v>Communication 1</v>
      </c>
      <c r="F247" s="190" t="str">
        <f>IFERROR(__xludf.DUMMYFUNCTION("""COMPUTED_VALUE"""),"Beginner")</f>
        <v>Beginner</v>
      </c>
      <c r="G247" s="190" t="str">
        <f>IFERROR(__xludf.DUMMYFUNCTION("""COMPUTED_VALUE"""),"Pre-Intermediate 1")</f>
        <v>Pre-Intermediate 1</v>
      </c>
      <c r="H247" s="219">
        <f>IFERROR(__xludf.DUMMYFUNCTION("""COMPUTED_VALUE"""),45813.375)</f>
        <v>45813.375</v>
      </c>
      <c r="I247" s="219">
        <f>IFERROR(__xludf.DUMMYFUNCTION("""COMPUTED_VALUE"""),45813.375)</f>
        <v>45813.375</v>
      </c>
      <c r="J247" s="190">
        <f>IFERROR(__xludf.DUMMYFUNCTION("""COMPUTED_VALUE"""),1.0)</f>
        <v>1</v>
      </c>
      <c r="K247" s="190">
        <f>IFERROR(__xludf.DUMMYFUNCTION("""COMPUTED_VALUE"""),3.0)</f>
        <v>3</v>
      </c>
      <c r="L247" s="190" t="str">
        <f>IFERROR(__xludf.DUMMYFUNCTION("""COMPUTED_VALUE"""),"DEV")</f>
        <v>DEV</v>
      </c>
      <c r="M247" s="190" t="str">
        <f>IFERROR(__xludf.DUMMYFUNCTION("""COMPUTED_VALUE"""),"MOC")</f>
        <v>MOC</v>
      </c>
      <c r="N247" s="220">
        <f>IFERROR(__xludf.DUMMYFUNCTION("""COMPUTED_VALUE"""),1.0)</f>
        <v>1</v>
      </c>
      <c r="O247" s="220">
        <f>IFERROR(__xludf.DUMMYFUNCTION("""COMPUTED_VALUE"""),3.0)</f>
        <v>3</v>
      </c>
      <c r="P247" s="220"/>
      <c r="Q247" s="190">
        <f t="shared" si="1"/>
        <v>1</v>
      </c>
      <c r="R247" s="211" t="s">
        <v>338</v>
      </c>
      <c r="S247" s="210" t="str">
        <f t="shared" si="2"/>
        <v>GSD</v>
      </c>
      <c r="T247" s="210" t="str">
        <f t="shared" si="3"/>
        <v>GSD</v>
      </c>
      <c r="U247" s="210" t="str">
        <f t="shared" si="4"/>
        <v>TBU</v>
      </c>
      <c r="X247" s="210"/>
      <c r="Y247" s="210"/>
      <c r="Z247" s="210"/>
      <c r="AA247" s="210"/>
      <c r="AB247" s="210"/>
      <c r="AC247" s="210"/>
      <c r="AD247" s="210"/>
      <c r="AE247" s="210"/>
      <c r="AF247" s="210"/>
      <c r="AG247" s="210"/>
      <c r="AH247" s="210"/>
      <c r="AI247" s="210"/>
      <c r="AJ247" s="210"/>
      <c r="AK247" s="210"/>
      <c r="AL247" s="210"/>
      <c r="AM247" s="210"/>
      <c r="AN247" s="210"/>
      <c r="AO247" s="210"/>
      <c r="AP247" s="210"/>
      <c r="AQ247" s="210"/>
    </row>
    <row r="248">
      <c r="A248" s="223" t="str">
        <f>IFERROR(__xludf.DUMMYFUNCTION("""COMPUTED_VALUE"""),"247332")</f>
        <v>247332</v>
      </c>
      <c r="B248" s="190" t="str">
        <f>IFERROR(__xludf.DUMMYFUNCTION("""COMPUTED_VALUE"""),"NGUYỄN PHÚC THANH TOÀN")</f>
        <v>NGUYỄN PHÚC THANH TOÀN</v>
      </c>
      <c r="C248" s="223" t="str">
        <f>IFERROR(__xludf.DUMMYFUNCTION("""COMPUTED_VALUE"""),"EL024")</f>
        <v>EL024</v>
      </c>
      <c r="D248" s="223" t="str">
        <f>IFERROR(__xludf.DUMMYFUNCTION("""COMPUTED_VALUE"""),"Dung Hoang")</f>
        <v>Dung Hoang</v>
      </c>
      <c r="E248" s="190" t="str">
        <f>IFERROR(__xludf.DUMMYFUNCTION("""COMPUTED_VALUE"""),"Communication 1")</f>
        <v>Communication 1</v>
      </c>
      <c r="F248" s="190" t="str">
        <f>IFERROR(__xludf.DUMMYFUNCTION("""COMPUTED_VALUE"""),"Beginner")</f>
        <v>Beginner</v>
      </c>
      <c r="G248" s="190" t="str">
        <f>IFERROR(__xludf.DUMMYFUNCTION("""COMPUTED_VALUE"""),"Pre-Intermediate 2")</f>
        <v>Pre-Intermediate 2</v>
      </c>
      <c r="H248" s="219">
        <f>IFERROR(__xludf.DUMMYFUNCTION("""COMPUTED_VALUE"""),45813.375)</f>
        <v>45813.375</v>
      </c>
      <c r="I248" s="219">
        <f>IFERROR(__xludf.DUMMYFUNCTION("""COMPUTED_VALUE"""),45813.375)</f>
        <v>45813.375</v>
      </c>
      <c r="J248" s="190">
        <f>IFERROR(__xludf.DUMMYFUNCTION("""COMPUTED_VALUE"""),1.0)</f>
        <v>1</v>
      </c>
      <c r="K248" s="190">
        <f>IFERROR(__xludf.DUMMYFUNCTION("""COMPUTED_VALUE"""),3.5)</f>
        <v>3.5</v>
      </c>
      <c r="L248" s="190" t="str">
        <f>IFERROR(__xludf.DUMMYFUNCTION("""COMPUTED_VALUE"""),"DEV")</f>
        <v>DEV</v>
      </c>
      <c r="M248" s="190" t="str">
        <f>IFERROR(__xludf.DUMMYFUNCTION("""COMPUTED_VALUE"""),"LBU")</f>
        <v>LBU</v>
      </c>
      <c r="N248" s="220">
        <f>IFERROR(__xludf.DUMMYFUNCTION("""COMPUTED_VALUE"""),1.0)</f>
        <v>1</v>
      </c>
      <c r="O248" s="220">
        <f>IFERROR(__xludf.DUMMYFUNCTION("""COMPUTED_VALUE"""),3.5)</f>
        <v>3.5</v>
      </c>
      <c r="P248" s="220"/>
      <c r="Q248" s="190">
        <f t="shared" si="1"/>
        <v>1</v>
      </c>
      <c r="R248" s="211" t="s">
        <v>379</v>
      </c>
      <c r="S248" s="210" t="str">
        <f t="shared" si="2"/>
        <v>GSD</v>
      </c>
      <c r="T248" s="210" t="str">
        <f t="shared" si="3"/>
        <v>GSD</v>
      </c>
      <c r="U248" s="210" t="str">
        <f t="shared" si="4"/>
        <v>TBU</v>
      </c>
      <c r="X248" s="210"/>
      <c r="Y248" s="210"/>
      <c r="Z248" s="210"/>
      <c r="AA248" s="210"/>
      <c r="AB248" s="210"/>
      <c r="AC248" s="210"/>
      <c r="AD248" s="210"/>
      <c r="AE248" s="210"/>
      <c r="AF248" s="210"/>
      <c r="AG248" s="210"/>
      <c r="AH248" s="210"/>
      <c r="AI248" s="210"/>
      <c r="AJ248" s="210"/>
      <c r="AK248" s="210"/>
      <c r="AL248" s="210"/>
      <c r="AM248" s="210"/>
      <c r="AN248" s="210"/>
      <c r="AO248" s="210"/>
      <c r="AP248" s="210"/>
      <c r="AQ248" s="210"/>
    </row>
    <row r="249">
      <c r="A249" s="223" t="str">
        <f>IFERROR(__xludf.DUMMYFUNCTION("""COMPUTED_VALUE"""),"193613")</f>
        <v>193613</v>
      </c>
      <c r="B249" s="190" t="str">
        <f>IFERROR(__xludf.DUMMYFUNCTION("""COMPUTED_VALUE"""),"NGUYỄN QUANG TRUNG")</f>
        <v>NGUYỄN QUANG TRUNG</v>
      </c>
      <c r="C249" s="223" t="str">
        <f>IFERROR(__xludf.DUMMYFUNCTION("""COMPUTED_VALUE"""),"EL024")</f>
        <v>EL024</v>
      </c>
      <c r="D249" s="223" t="str">
        <f>IFERROR(__xludf.DUMMYFUNCTION("""COMPUTED_VALUE"""),"Dung Hoang")</f>
        <v>Dung Hoang</v>
      </c>
      <c r="E249" s="190" t="str">
        <f>IFERROR(__xludf.DUMMYFUNCTION("""COMPUTED_VALUE"""),"Communication 1")</f>
        <v>Communication 1</v>
      </c>
      <c r="F249" s="190" t="str">
        <f>IFERROR(__xludf.DUMMYFUNCTION("""COMPUTED_VALUE"""),"Beginner")</f>
        <v>Beginner</v>
      </c>
      <c r="G249" s="190" t="str">
        <f>IFERROR(__xludf.DUMMYFUNCTION("""COMPUTED_VALUE"""),"Intermediate 1")</f>
        <v>Intermediate 1</v>
      </c>
      <c r="H249" s="219">
        <f>IFERROR(__xludf.DUMMYFUNCTION("""COMPUTED_VALUE"""),45813.375)</f>
        <v>45813.375</v>
      </c>
      <c r="I249" s="219">
        <f>IFERROR(__xludf.DUMMYFUNCTION("""COMPUTED_VALUE"""),45813.375)</f>
        <v>45813.375</v>
      </c>
      <c r="J249" s="190">
        <f>IFERROR(__xludf.DUMMYFUNCTION("""COMPUTED_VALUE"""),1.0)</f>
        <v>1</v>
      </c>
      <c r="K249" s="190">
        <f>IFERROR(__xludf.DUMMYFUNCTION("""COMPUTED_VALUE"""),5.0)</f>
        <v>5</v>
      </c>
      <c r="L249" s="190" t="str">
        <f>IFERROR(__xludf.DUMMYFUNCTION("""COMPUTED_VALUE"""),"DEV")</f>
        <v>DEV</v>
      </c>
      <c r="M249" s="190" t="str">
        <f>IFERROR(__xludf.DUMMYFUNCTION("""COMPUTED_VALUE"""),"MOC")</f>
        <v>MOC</v>
      </c>
      <c r="N249" s="220">
        <f>IFERROR(__xludf.DUMMYFUNCTION("""COMPUTED_VALUE"""),1.0)</f>
        <v>1</v>
      </c>
      <c r="O249" s="220">
        <f>IFERROR(__xludf.DUMMYFUNCTION("""COMPUTED_VALUE"""),5.0)</f>
        <v>5</v>
      </c>
      <c r="P249" s="220"/>
      <c r="Q249" s="190">
        <f t="shared" si="1"/>
        <v>1</v>
      </c>
      <c r="R249" s="211" t="s">
        <v>449</v>
      </c>
      <c r="S249" s="210" t="str">
        <f t="shared" si="2"/>
        <v>GSD</v>
      </c>
      <c r="T249" s="210" t="str">
        <f t="shared" si="3"/>
        <v>GSD</v>
      </c>
      <c r="U249" s="210" t="str">
        <f t="shared" si="4"/>
        <v>POC</v>
      </c>
      <c r="X249" s="210"/>
      <c r="Y249" s="210"/>
      <c r="Z249" s="210"/>
      <c r="AA249" s="210"/>
      <c r="AB249" s="210"/>
      <c r="AC249" s="210"/>
      <c r="AD249" s="210"/>
      <c r="AE249" s="210"/>
      <c r="AF249" s="210"/>
      <c r="AG249" s="210"/>
      <c r="AH249" s="210"/>
      <c r="AI249" s="210"/>
      <c r="AJ249" s="210"/>
      <c r="AK249" s="210"/>
      <c r="AL249" s="210"/>
      <c r="AM249" s="210"/>
      <c r="AN249" s="210"/>
      <c r="AO249" s="210"/>
      <c r="AP249" s="210"/>
      <c r="AQ249" s="210"/>
    </row>
    <row r="250">
      <c r="A250" s="223" t="str">
        <f>IFERROR(__xludf.DUMMYFUNCTION("""COMPUTED_VALUE"""),"247097")</f>
        <v>247097</v>
      </c>
      <c r="B250" s="190" t="str">
        <f>IFERROR(__xludf.DUMMYFUNCTION("""COMPUTED_VALUE"""),"NGUYỄN THÀNH PHƯỚC")</f>
        <v>NGUYỄN THÀNH PHƯỚC</v>
      </c>
      <c r="C250" s="223" t="str">
        <f>IFERROR(__xludf.DUMMYFUNCTION("""COMPUTED_VALUE"""),"EL024")</f>
        <v>EL024</v>
      </c>
      <c r="D250" s="223" t="str">
        <f>IFERROR(__xludf.DUMMYFUNCTION("""COMPUTED_VALUE"""),"Dung Hoang")</f>
        <v>Dung Hoang</v>
      </c>
      <c r="E250" s="190" t="str">
        <f>IFERROR(__xludf.DUMMYFUNCTION("""COMPUTED_VALUE"""),"Communication 1")</f>
        <v>Communication 1</v>
      </c>
      <c r="F250" s="190" t="str">
        <f>IFERROR(__xludf.DUMMYFUNCTION("""COMPUTED_VALUE"""),"Beginner")</f>
        <v>Beginner</v>
      </c>
      <c r="G250" s="190" t="str">
        <f>IFERROR(__xludf.DUMMYFUNCTION("""COMPUTED_VALUE"""),"Pre-Intermediate 1")</f>
        <v>Pre-Intermediate 1</v>
      </c>
      <c r="H250" s="219">
        <f>IFERROR(__xludf.DUMMYFUNCTION("""COMPUTED_VALUE"""),45813.375)</f>
        <v>45813.375</v>
      </c>
      <c r="I250" s="219">
        <f>IFERROR(__xludf.DUMMYFUNCTION("""COMPUTED_VALUE"""),45813.375)</f>
        <v>45813.375</v>
      </c>
      <c r="J250" s="190">
        <f>IFERROR(__xludf.DUMMYFUNCTION("""COMPUTED_VALUE"""),1.0)</f>
        <v>1</v>
      </c>
      <c r="K250" s="190">
        <f>IFERROR(__xludf.DUMMYFUNCTION("""COMPUTED_VALUE"""),3.0)</f>
        <v>3</v>
      </c>
      <c r="L250" s="190" t="str">
        <f>IFERROR(__xludf.DUMMYFUNCTION("""COMPUTED_VALUE"""),"DEV")</f>
        <v>DEV</v>
      </c>
      <c r="M250" s="190" t="str">
        <f>IFERROR(__xludf.DUMMYFUNCTION("""COMPUTED_VALUE"""),"MOC")</f>
        <v>MOC</v>
      </c>
      <c r="N250" s="220">
        <f>IFERROR(__xludf.DUMMYFUNCTION("""COMPUTED_VALUE"""),1.0)</f>
        <v>1</v>
      </c>
      <c r="O250" s="220">
        <f>IFERROR(__xludf.DUMMYFUNCTION("""COMPUTED_VALUE"""),3.0)</f>
        <v>3</v>
      </c>
      <c r="P250" s="220"/>
      <c r="Q250" s="190">
        <f t="shared" si="1"/>
        <v>1</v>
      </c>
      <c r="R250" s="211" t="s">
        <v>455</v>
      </c>
      <c r="S250" s="210" t="str">
        <f t="shared" si="2"/>
        <v>GSD</v>
      </c>
      <c r="T250" s="210" t="str">
        <f t="shared" si="3"/>
        <v>GSD</v>
      </c>
      <c r="U250" s="210" t="str">
        <f t="shared" si="4"/>
        <v>POC</v>
      </c>
      <c r="X250" s="210"/>
      <c r="Y250" s="210"/>
      <c r="Z250" s="210"/>
      <c r="AA250" s="210"/>
      <c r="AB250" s="210"/>
      <c r="AC250" s="210"/>
      <c r="AD250" s="210"/>
      <c r="AE250" s="210"/>
      <c r="AF250" s="210"/>
      <c r="AG250" s="210"/>
      <c r="AH250" s="210"/>
      <c r="AI250" s="210"/>
      <c r="AJ250" s="210"/>
      <c r="AK250" s="210"/>
      <c r="AL250" s="210"/>
      <c r="AM250" s="210"/>
      <c r="AN250" s="210"/>
      <c r="AO250" s="210"/>
      <c r="AP250" s="210"/>
      <c r="AQ250" s="210"/>
    </row>
    <row r="251">
      <c r="A251" s="223" t="str">
        <f>IFERROR(__xludf.DUMMYFUNCTION("""COMPUTED_VALUE"""),"247085")</f>
        <v>247085</v>
      </c>
      <c r="B251" s="190" t="str">
        <f>IFERROR(__xludf.DUMMYFUNCTION("""COMPUTED_VALUE"""),"NGUYỄN TRẦN NGỌC HƯNG")</f>
        <v>NGUYỄN TRẦN NGỌC HƯNG</v>
      </c>
      <c r="C251" s="223" t="str">
        <f>IFERROR(__xludf.DUMMYFUNCTION("""COMPUTED_VALUE"""),"EL024")</f>
        <v>EL024</v>
      </c>
      <c r="D251" s="223" t="str">
        <f>IFERROR(__xludf.DUMMYFUNCTION("""COMPUTED_VALUE"""),"Dung Hoang")</f>
        <v>Dung Hoang</v>
      </c>
      <c r="E251" s="190" t="str">
        <f>IFERROR(__xludf.DUMMYFUNCTION("""COMPUTED_VALUE"""),"Communication 1")</f>
        <v>Communication 1</v>
      </c>
      <c r="F251" s="190"/>
      <c r="G251" s="190"/>
      <c r="H251" s="219">
        <f>IFERROR(__xludf.DUMMYFUNCTION("""COMPUTED_VALUE"""),45813.375)</f>
        <v>45813.375</v>
      </c>
      <c r="I251" s="219">
        <f>IFERROR(__xludf.DUMMYFUNCTION("""COMPUTED_VALUE"""),45813.375)</f>
        <v>45813.375</v>
      </c>
      <c r="J251" s="190" t="str">
        <f>IFERROR(__xludf.DUMMYFUNCTION("""COMPUTED_VALUE"""),"")</f>
        <v/>
      </c>
      <c r="K251" s="190" t="str">
        <f>IFERROR(__xludf.DUMMYFUNCTION("""COMPUTED_VALUE"""),"")</f>
        <v/>
      </c>
      <c r="L251" s="190" t="str">
        <f>IFERROR(__xludf.DUMMYFUNCTION("""COMPUTED_VALUE"""),"DEV")</f>
        <v>DEV</v>
      </c>
      <c r="M251" s="190" t="str">
        <f>IFERROR(__xludf.DUMMYFUNCTION("""COMPUTED_VALUE"""),"LBU")</f>
        <v>LBU</v>
      </c>
      <c r="N251" s="220" t="str">
        <f>IFERROR(__xludf.DUMMYFUNCTION("""COMPUTED_VALUE"""),"")</f>
        <v/>
      </c>
      <c r="O251" s="220">
        <f>IFERROR(__xludf.DUMMYFUNCTION("""COMPUTED_VALUE"""),0.0)</f>
        <v>0</v>
      </c>
      <c r="P251" s="220"/>
      <c r="Q251" s="190">
        <f t="shared" si="1"/>
        <v>1</v>
      </c>
      <c r="R251" s="211" t="s">
        <v>490</v>
      </c>
      <c r="S251" s="210" t="str">
        <f t="shared" si="2"/>
        <v>GSD</v>
      </c>
      <c r="T251" s="210" t="str">
        <f t="shared" si="3"/>
        <v>GSD</v>
      </c>
      <c r="U251" s="210" t="str">
        <f t="shared" si="4"/>
        <v>TBU</v>
      </c>
      <c r="X251" s="210"/>
      <c r="Y251" s="210"/>
      <c r="Z251" s="210"/>
      <c r="AA251" s="210"/>
      <c r="AB251" s="210"/>
      <c r="AC251" s="210"/>
      <c r="AD251" s="210"/>
      <c r="AE251" s="210"/>
      <c r="AF251" s="210"/>
      <c r="AG251" s="210"/>
      <c r="AH251" s="210"/>
      <c r="AI251" s="210"/>
      <c r="AJ251" s="210"/>
      <c r="AK251" s="210"/>
      <c r="AL251" s="210"/>
      <c r="AM251" s="210"/>
      <c r="AN251" s="210"/>
      <c r="AO251" s="210"/>
      <c r="AP251" s="210"/>
      <c r="AQ251" s="210"/>
    </row>
    <row r="252">
      <c r="A252" s="223" t="str">
        <f>IFERROR(__xludf.DUMMYFUNCTION("""COMPUTED_VALUE"""),"247086")</f>
        <v>247086</v>
      </c>
      <c r="B252" s="190" t="str">
        <f>IFERROR(__xludf.DUMMYFUNCTION("""COMPUTED_VALUE"""),"THỚI PHI LONG")</f>
        <v>THỚI PHI LONG</v>
      </c>
      <c r="C252" s="223" t="str">
        <f>IFERROR(__xludf.DUMMYFUNCTION("""COMPUTED_VALUE"""),"EL024")</f>
        <v>EL024</v>
      </c>
      <c r="D252" s="223" t="str">
        <f>IFERROR(__xludf.DUMMYFUNCTION("""COMPUTED_VALUE"""),"Dung Hoang")</f>
        <v>Dung Hoang</v>
      </c>
      <c r="E252" s="190" t="str">
        <f>IFERROR(__xludf.DUMMYFUNCTION("""COMPUTED_VALUE"""),"Communication 1")</f>
        <v>Communication 1</v>
      </c>
      <c r="F252" s="190"/>
      <c r="G252" s="190"/>
      <c r="H252" s="219">
        <f>IFERROR(__xludf.DUMMYFUNCTION("""COMPUTED_VALUE"""),45813.375)</f>
        <v>45813.375</v>
      </c>
      <c r="I252" s="219">
        <f>IFERROR(__xludf.DUMMYFUNCTION("""COMPUTED_VALUE"""),45813.375)</f>
        <v>45813.375</v>
      </c>
      <c r="J252" s="190" t="str">
        <f>IFERROR(__xludf.DUMMYFUNCTION("""COMPUTED_VALUE"""),"")</f>
        <v/>
      </c>
      <c r="K252" s="190" t="str">
        <f>IFERROR(__xludf.DUMMYFUNCTION("""COMPUTED_VALUE"""),"")</f>
        <v/>
      </c>
      <c r="L252" s="190" t="str">
        <f>IFERROR(__xludf.DUMMYFUNCTION("""COMPUTED_VALUE"""),"DEV")</f>
        <v>DEV</v>
      </c>
      <c r="M252" s="190" t="str">
        <f>IFERROR(__xludf.DUMMYFUNCTION("""COMPUTED_VALUE"""),"LBU")</f>
        <v>LBU</v>
      </c>
      <c r="N252" s="220" t="str">
        <f>IFERROR(__xludf.DUMMYFUNCTION("""COMPUTED_VALUE"""),"")</f>
        <v/>
      </c>
      <c r="O252" s="220">
        <f>IFERROR(__xludf.DUMMYFUNCTION("""COMPUTED_VALUE"""),0.0)</f>
        <v>0</v>
      </c>
      <c r="P252" s="229"/>
      <c r="Q252" s="190">
        <f t="shared" si="1"/>
        <v>1</v>
      </c>
      <c r="R252" s="211" t="s">
        <v>500</v>
      </c>
      <c r="S252" s="210" t="str">
        <f t="shared" si="2"/>
        <v>BA</v>
      </c>
      <c r="T252" s="210" t="str">
        <f t="shared" si="3"/>
        <v>BA, BC</v>
      </c>
      <c r="U252" s="210" t="str">
        <f t="shared" si="4"/>
        <v>POC</v>
      </c>
      <c r="X252" s="210"/>
      <c r="Y252" s="210"/>
      <c r="Z252" s="210"/>
      <c r="AA252" s="210"/>
      <c r="AB252" s="210"/>
      <c r="AC252" s="210"/>
      <c r="AD252" s="210"/>
      <c r="AE252" s="210"/>
      <c r="AF252" s="210"/>
      <c r="AG252" s="210"/>
      <c r="AH252" s="210"/>
      <c r="AI252" s="210"/>
      <c r="AJ252" s="210"/>
      <c r="AK252" s="210"/>
      <c r="AL252" s="210"/>
      <c r="AM252" s="210"/>
      <c r="AN252" s="210"/>
      <c r="AO252" s="210"/>
      <c r="AP252" s="210"/>
      <c r="AQ252" s="210"/>
    </row>
    <row r="253">
      <c r="A253" s="218" t="str">
        <f>IFERROR(__xludf.DUMMYFUNCTION("""COMPUTED_VALUE"""),"213901")</f>
        <v>213901</v>
      </c>
      <c r="B253" s="217" t="str">
        <f>IFERROR(__xludf.DUMMYFUNCTION("""COMPUTED_VALUE"""),"HOÀNG TIẾN DŨNG")</f>
        <v>HOÀNG TIẾN DŨNG</v>
      </c>
      <c r="C253" s="218" t="str">
        <f>IFERROR(__xludf.DUMMYFUNCTION("""COMPUTED_VALUE"""),"EL024")</f>
        <v>EL024</v>
      </c>
      <c r="D253" s="218" t="str">
        <f>IFERROR(__xludf.DUMMYFUNCTION("""COMPUTED_VALUE"""),"Dung Hoang")</f>
        <v>Dung Hoang</v>
      </c>
      <c r="E253" s="217" t="str">
        <f>IFERROR(__xludf.DUMMYFUNCTION("""COMPUTED_VALUE"""),"Communication 2")</f>
        <v>Communication 2</v>
      </c>
      <c r="F253" s="190"/>
      <c r="G253" s="190"/>
      <c r="H253" s="219">
        <f>IFERROR(__xludf.DUMMYFUNCTION("""COMPUTED_VALUE"""),46106.41666666667)</f>
        <v>46106.41667</v>
      </c>
      <c r="I253" s="219">
        <f>IFERROR(__xludf.DUMMYFUNCTION("""COMPUTED_VALUE"""),45813.375)</f>
        <v>45813.375</v>
      </c>
      <c r="J253" s="190" t="str">
        <f>IFERROR(__xludf.DUMMYFUNCTION("""COMPUTED_VALUE"""),"")</f>
        <v/>
      </c>
      <c r="K253" s="190" t="str">
        <f>IFERROR(__xludf.DUMMYFUNCTION("""COMPUTED_VALUE"""),"")</f>
        <v/>
      </c>
      <c r="L253" s="190" t="str">
        <f>IFERROR(__xludf.DUMMYFUNCTION("""COMPUTED_VALUE"""),"DEV")</f>
        <v>DEV</v>
      </c>
      <c r="M253" s="190" t="str">
        <f>IFERROR(__xludf.DUMMYFUNCTION("""COMPUTED_VALUE"""),"LBU")</f>
        <v>LBU</v>
      </c>
      <c r="N253" s="220">
        <f>IFERROR(__xludf.DUMMYFUNCTION("""COMPUTED_VALUE"""),1.0)</f>
        <v>1</v>
      </c>
      <c r="O253" s="220">
        <f>IFERROR(__xludf.DUMMYFUNCTION("""COMPUTED_VALUE"""),3.0)</f>
        <v>3</v>
      </c>
      <c r="P253" s="220"/>
      <c r="Q253" s="190">
        <f t="shared" si="1"/>
        <v>1</v>
      </c>
      <c r="R253" s="211" t="s">
        <v>551</v>
      </c>
      <c r="S253" s="210" t="str">
        <f t="shared" si="2"/>
        <v>GSD</v>
      </c>
      <c r="T253" s="210" t="str">
        <f t="shared" si="3"/>
        <v>GSD</v>
      </c>
      <c r="U253" s="210" t="str">
        <f t="shared" si="4"/>
        <v>TBU</v>
      </c>
      <c r="X253" s="210"/>
      <c r="Y253" s="210"/>
      <c r="Z253" s="210"/>
      <c r="AA253" s="210"/>
      <c r="AB253" s="210"/>
      <c r="AC253" s="210"/>
      <c r="AD253" s="210"/>
      <c r="AE253" s="210"/>
      <c r="AF253" s="210"/>
      <c r="AG253" s="210"/>
      <c r="AH253" s="210"/>
      <c r="AI253" s="210"/>
      <c r="AJ253" s="210"/>
      <c r="AK253" s="210"/>
      <c r="AL253" s="210"/>
      <c r="AM253" s="210"/>
      <c r="AN253" s="210"/>
      <c r="AO253" s="210"/>
      <c r="AP253" s="210"/>
      <c r="AQ253" s="210"/>
    </row>
    <row r="254">
      <c r="A254" s="223" t="str">
        <f>IFERROR(__xludf.DUMMYFUNCTION("""COMPUTED_VALUE"""),"213835")</f>
        <v>213835</v>
      </c>
      <c r="B254" s="190" t="str">
        <f>IFERROR(__xludf.DUMMYFUNCTION("""COMPUTED_VALUE"""),"ĐOÀN ANH MINH")</f>
        <v>ĐOÀN ANH MINH</v>
      </c>
      <c r="C254" s="223" t="str">
        <f>IFERROR(__xludf.DUMMYFUNCTION("""COMPUTED_VALUE"""),"EL024")</f>
        <v>EL024</v>
      </c>
      <c r="D254" s="223" t="str">
        <f>IFERROR(__xludf.DUMMYFUNCTION("""COMPUTED_VALUE"""),"Dung Hoang")</f>
        <v>Dung Hoang</v>
      </c>
      <c r="E254" s="190" t="str">
        <f>IFERROR(__xludf.DUMMYFUNCTION("""COMPUTED_VALUE"""),"Communication 2")</f>
        <v>Communication 2</v>
      </c>
      <c r="F254" s="190"/>
      <c r="G254" s="190"/>
      <c r="H254" s="219">
        <f>IFERROR(__xludf.DUMMYFUNCTION("""COMPUTED_VALUE"""),46106.41666666667)</f>
        <v>46106.41667</v>
      </c>
      <c r="I254" s="219">
        <f>IFERROR(__xludf.DUMMYFUNCTION("""COMPUTED_VALUE"""),45813.375)</f>
        <v>45813.375</v>
      </c>
      <c r="J254" s="190" t="str">
        <f>IFERROR(__xludf.DUMMYFUNCTION("""COMPUTED_VALUE"""),"")</f>
        <v/>
      </c>
      <c r="K254" s="190" t="str">
        <f>IFERROR(__xludf.DUMMYFUNCTION("""COMPUTED_VALUE"""),"")</f>
        <v/>
      </c>
      <c r="L254" s="190" t="str">
        <f>IFERROR(__xludf.DUMMYFUNCTION("""COMPUTED_VALUE"""),"DEV")</f>
        <v>DEV</v>
      </c>
      <c r="M254" s="190" t="str">
        <f>IFERROR(__xludf.DUMMYFUNCTION("""COMPUTED_VALUE"""),"MOC")</f>
        <v>MOC</v>
      </c>
      <c r="N254" s="220">
        <f>IFERROR(__xludf.DUMMYFUNCTION("""COMPUTED_VALUE"""),1.0)</f>
        <v>1</v>
      </c>
      <c r="O254" s="220">
        <f>IFERROR(__xludf.DUMMYFUNCTION("""COMPUTED_VALUE"""),3.5)</f>
        <v>3.5</v>
      </c>
      <c r="P254" s="220"/>
      <c r="Q254" s="190">
        <f t="shared" si="1"/>
        <v>1</v>
      </c>
      <c r="R254" s="211" t="s">
        <v>609</v>
      </c>
      <c r="S254" s="210" t="str">
        <f t="shared" si="2"/>
        <v>GSD</v>
      </c>
      <c r="T254" s="210" t="str">
        <f t="shared" si="3"/>
        <v>GSD</v>
      </c>
      <c r="U254" s="210" t="str">
        <f t="shared" si="4"/>
        <v>POC</v>
      </c>
      <c r="X254" s="210"/>
      <c r="Y254" s="210"/>
      <c r="Z254" s="210"/>
      <c r="AA254" s="210"/>
      <c r="AB254" s="210"/>
      <c r="AC254" s="210"/>
      <c r="AD254" s="210"/>
      <c r="AE254" s="210"/>
      <c r="AF254" s="210"/>
      <c r="AG254" s="210"/>
      <c r="AH254" s="210"/>
      <c r="AI254" s="210"/>
      <c r="AJ254" s="210"/>
      <c r="AK254" s="210"/>
      <c r="AL254" s="210"/>
      <c r="AM254" s="210"/>
      <c r="AN254" s="210"/>
      <c r="AO254" s="210"/>
      <c r="AP254" s="210"/>
      <c r="AQ254" s="210"/>
    </row>
    <row r="255">
      <c r="A255" s="223" t="str">
        <f>IFERROR(__xludf.DUMMYFUNCTION("""COMPUTED_VALUE"""),"227081")</f>
        <v>227081</v>
      </c>
      <c r="B255" s="190" t="str">
        <f>IFERROR(__xludf.DUMMYFUNCTION("""COMPUTED_VALUE"""),"NGUYỄN HOÀNG PHÚC")</f>
        <v>NGUYỄN HOÀNG PHÚC</v>
      </c>
      <c r="C255" s="223" t="str">
        <f>IFERROR(__xludf.DUMMYFUNCTION("""COMPUTED_VALUE"""),"EL024")</f>
        <v>EL024</v>
      </c>
      <c r="D255" s="223" t="str">
        <f>IFERROR(__xludf.DUMMYFUNCTION("""COMPUTED_VALUE"""),"Dung Hoang")</f>
        <v>Dung Hoang</v>
      </c>
      <c r="E255" s="190" t="str">
        <f>IFERROR(__xludf.DUMMYFUNCTION("""COMPUTED_VALUE"""),"Communication 2")</f>
        <v>Communication 2</v>
      </c>
      <c r="F255" s="190"/>
      <c r="G255" s="190"/>
      <c r="H255" s="219">
        <f>IFERROR(__xludf.DUMMYFUNCTION("""COMPUTED_VALUE"""),46106.41666666667)</f>
        <v>46106.41667</v>
      </c>
      <c r="I255" s="219">
        <f>IFERROR(__xludf.DUMMYFUNCTION("""COMPUTED_VALUE"""),45813.375)</f>
        <v>45813.375</v>
      </c>
      <c r="J255" s="190" t="str">
        <f>IFERROR(__xludf.DUMMYFUNCTION("""COMPUTED_VALUE"""),"")</f>
        <v/>
      </c>
      <c r="K255" s="190" t="str">
        <f>IFERROR(__xludf.DUMMYFUNCTION("""COMPUTED_VALUE"""),"")</f>
        <v/>
      </c>
      <c r="L255" s="190" t="str">
        <f>IFERROR(__xludf.DUMMYFUNCTION("""COMPUTED_VALUE"""),"DEV")</f>
        <v>DEV</v>
      </c>
      <c r="M255" s="190" t="str">
        <f>IFERROR(__xludf.DUMMYFUNCTION("""COMPUTED_VALUE"""),"MOC")</f>
        <v>MOC</v>
      </c>
      <c r="N255" s="220">
        <f>IFERROR(__xludf.DUMMYFUNCTION("""COMPUTED_VALUE"""),1.0)</f>
        <v>1</v>
      </c>
      <c r="O255" s="220">
        <f>IFERROR(__xludf.DUMMYFUNCTION("""COMPUTED_VALUE"""),3.0)</f>
        <v>3</v>
      </c>
      <c r="P255" s="220"/>
      <c r="Q255" s="190">
        <f t="shared" si="1"/>
        <v>1</v>
      </c>
      <c r="R255" s="211" t="s">
        <v>206</v>
      </c>
      <c r="S255" s="210" t="str">
        <f t="shared" si="2"/>
        <v>GSD</v>
      </c>
      <c r="T255" s="210" t="str">
        <f t="shared" si="3"/>
        <v>GSD</v>
      </c>
      <c r="U255" s="210" t="str">
        <f t="shared" si="4"/>
        <v>POC</v>
      </c>
      <c r="X255" s="210"/>
      <c r="Y255" s="210"/>
      <c r="Z255" s="210"/>
      <c r="AA255" s="210"/>
      <c r="AB255" s="210"/>
      <c r="AC255" s="210"/>
      <c r="AD255" s="210"/>
      <c r="AE255" s="210"/>
      <c r="AF255" s="210"/>
      <c r="AG255" s="210"/>
      <c r="AH255" s="210"/>
      <c r="AI255" s="210"/>
      <c r="AJ255" s="210"/>
      <c r="AK255" s="210"/>
      <c r="AL255" s="210"/>
      <c r="AM255" s="210"/>
      <c r="AN255" s="210"/>
      <c r="AO255" s="210"/>
      <c r="AP255" s="210"/>
      <c r="AQ255" s="210"/>
    </row>
    <row r="256">
      <c r="A256" s="223" t="str">
        <f>IFERROR(__xludf.DUMMYFUNCTION("""COMPUTED_VALUE"""),"247332")</f>
        <v>247332</v>
      </c>
      <c r="B256" s="190" t="str">
        <f>IFERROR(__xludf.DUMMYFUNCTION("""COMPUTED_VALUE"""),"NGUYỄN PHÚC THANH TOÀN")</f>
        <v>NGUYỄN PHÚC THANH TOÀN</v>
      </c>
      <c r="C256" s="223" t="str">
        <f>IFERROR(__xludf.DUMMYFUNCTION("""COMPUTED_VALUE"""),"EL024")</f>
        <v>EL024</v>
      </c>
      <c r="D256" s="223" t="str">
        <f>IFERROR(__xludf.DUMMYFUNCTION("""COMPUTED_VALUE"""),"Dung Hoang")</f>
        <v>Dung Hoang</v>
      </c>
      <c r="E256" s="190" t="str">
        <f>IFERROR(__xludf.DUMMYFUNCTION("""COMPUTED_VALUE"""),"Communication 2")</f>
        <v>Communication 2</v>
      </c>
      <c r="F256" s="190"/>
      <c r="G256" s="190"/>
      <c r="H256" s="219">
        <f>IFERROR(__xludf.DUMMYFUNCTION("""COMPUTED_VALUE"""),46106.41666666667)</f>
        <v>46106.41667</v>
      </c>
      <c r="I256" s="219">
        <f>IFERROR(__xludf.DUMMYFUNCTION("""COMPUTED_VALUE"""),45813.375)</f>
        <v>45813.375</v>
      </c>
      <c r="J256" s="190" t="str">
        <f>IFERROR(__xludf.DUMMYFUNCTION("""COMPUTED_VALUE"""),"")</f>
        <v/>
      </c>
      <c r="K256" s="190" t="str">
        <f>IFERROR(__xludf.DUMMYFUNCTION("""COMPUTED_VALUE"""),"")</f>
        <v/>
      </c>
      <c r="L256" s="190" t="str">
        <f>IFERROR(__xludf.DUMMYFUNCTION("""COMPUTED_VALUE"""),"DEV")</f>
        <v>DEV</v>
      </c>
      <c r="M256" s="190" t="str">
        <f>IFERROR(__xludf.DUMMYFUNCTION("""COMPUTED_VALUE"""),"LBU")</f>
        <v>LBU</v>
      </c>
      <c r="N256" s="220">
        <f>IFERROR(__xludf.DUMMYFUNCTION("""COMPUTED_VALUE"""),1.0)</f>
        <v>1</v>
      </c>
      <c r="O256" s="220">
        <f>IFERROR(__xludf.DUMMYFUNCTION("""COMPUTED_VALUE"""),3.5)</f>
        <v>3.5</v>
      </c>
      <c r="P256" s="220"/>
      <c r="Q256" s="190">
        <f t="shared" si="1"/>
        <v>1</v>
      </c>
      <c r="R256" s="211" t="s">
        <v>372</v>
      </c>
      <c r="S256" s="210" t="str">
        <f t="shared" si="2"/>
        <v>GSD</v>
      </c>
      <c r="T256" s="210" t="str">
        <f t="shared" si="3"/>
        <v>GSD</v>
      </c>
      <c r="U256" s="210" t="str">
        <f t="shared" si="4"/>
        <v>POC</v>
      </c>
      <c r="X256" s="210"/>
      <c r="Y256" s="210"/>
      <c r="Z256" s="210"/>
      <c r="AA256" s="210"/>
      <c r="AB256" s="210"/>
      <c r="AC256" s="210"/>
      <c r="AD256" s="210"/>
      <c r="AE256" s="210"/>
      <c r="AF256" s="210"/>
      <c r="AG256" s="210"/>
      <c r="AH256" s="210"/>
      <c r="AI256" s="210"/>
      <c r="AJ256" s="210"/>
      <c r="AK256" s="210"/>
      <c r="AL256" s="210"/>
      <c r="AM256" s="210"/>
      <c r="AN256" s="210"/>
      <c r="AO256" s="210"/>
      <c r="AP256" s="210"/>
      <c r="AQ256" s="210"/>
    </row>
    <row r="257">
      <c r="A257" s="223" t="str">
        <f>IFERROR(__xludf.DUMMYFUNCTION("""COMPUTED_VALUE"""),"193613")</f>
        <v>193613</v>
      </c>
      <c r="B257" s="190" t="str">
        <f>IFERROR(__xludf.DUMMYFUNCTION("""COMPUTED_VALUE"""),"NGUYỄN QUANG TRUNG")</f>
        <v>NGUYỄN QUANG TRUNG</v>
      </c>
      <c r="C257" s="223" t="str">
        <f>IFERROR(__xludf.DUMMYFUNCTION("""COMPUTED_VALUE"""),"EL024")</f>
        <v>EL024</v>
      </c>
      <c r="D257" s="223" t="str">
        <f>IFERROR(__xludf.DUMMYFUNCTION("""COMPUTED_VALUE"""),"Dung Hoang")</f>
        <v>Dung Hoang</v>
      </c>
      <c r="E257" s="190" t="str">
        <f>IFERROR(__xludf.DUMMYFUNCTION("""COMPUTED_VALUE"""),"Communication 2")</f>
        <v>Communication 2</v>
      </c>
      <c r="F257" s="190"/>
      <c r="G257" s="190"/>
      <c r="H257" s="219">
        <f>IFERROR(__xludf.DUMMYFUNCTION("""COMPUTED_VALUE"""),46106.41666666667)</f>
        <v>46106.41667</v>
      </c>
      <c r="I257" s="219">
        <f>IFERROR(__xludf.DUMMYFUNCTION("""COMPUTED_VALUE"""),45813.375)</f>
        <v>45813.375</v>
      </c>
      <c r="J257" s="190" t="str">
        <f>IFERROR(__xludf.DUMMYFUNCTION("""COMPUTED_VALUE"""),"")</f>
        <v/>
      </c>
      <c r="K257" s="190" t="str">
        <f>IFERROR(__xludf.DUMMYFUNCTION("""COMPUTED_VALUE"""),"")</f>
        <v/>
      </c>
      <c r="L257" s="190" t="str">
        <f>IFERROR(__xludf.DUMMYFUNCTION("""COMPUTED_VALUE"""),"DEV")</f>
        <v>DEV</v>
      </c>
      <c r="M257" s="190" t="str">
        <f>IFERROR(__xludf.DUMMYFUNCTION("""COMPUTED_VALUE"""),"MOC")</f>
        <v>MOC</v>
      </c>
      <c r="N257" s="220">
        <f>IFERROR(__xludf.DUMMYFUNCTION("""COMPUTED_VALUE"""),1.0)</f>
        <v>1</v>
      </c>
      <c r="O257" s="220">
        <f>IFERROR(__xludf.DUMMYFUNCTION("""COMPUTED_VALUE"""),5.0)</f>
        <v>5</v>
      </c>
      <c r="P257" s="220"/>
      <c r="Q257" s="190">
        <f t="shared" si="1"/>
        <v>1</v>
      </c>
      <c r="R257" s="211" t="s">
        <v>459</v>
      </c>
      <c r="S257" s="210" t="str">
        <f t="shared" si="2"/>
        <v>GSD</v>
      </c>
      <c r="T257" s="210" t="str">
        <f t="shared" si="3"/>
        <v>GSD</v>
      </c>
      <c r="U257" s="210" t="str">
        <f t="shared" si="4"/>
        <v>POC</v>
      </c>
      <c r="X257" s="210"/>
      <c r="Y257" s="210"/>
      <c r="Z257" s="210"/>
      <c r="AA257" s="210"/>
      <c r="AB257" s="210"/>
      <c r="AC257" s="210"/>
      <c r="AD257" s="210"/>
      <c r="AE257" s="210"/>
      <c r="AF257" s="210"/>
      <c r="AG257" s="210"/>
      <c r="AH257" s="210"/>
      <c r="AI257" s="210"/>
      <c r="AJ257" s="210"/>
      <c r="AK257" s="210"/>
      <c r="AL257" s="210"/>
      <c r="AM257" s="210"/>
      <c r="AN257" s="210"/>
      <c r="AO257" s="210"/>
      <c r="AP257" s="210"/>
      <c r="AQ257" s="210"/>
    </row>
    <row r="258">
      <c r="A258" s="223" t="str">
        <f>IFERROR(__xludf.DUMMYFUNCTION("""COMPUTED_VALUE"""),"247097")</f>
        <v>247097</v>
      </c>
      <c r="B258" s="190" t="str">
        <f>IFERROR(__xludf.DUMMYFUNCTION("""COMPUTED_VALUE"""),"NGUYỄN THÀNH PHƯỚC")</f>
        <v>NGUYỄN THÀNH PHƯỚC</v>
      </c>
      <c r="C258" s="223" t="str">
        <f>IFERROR(__xludf.DUMMYFUNCTION("""COMPUTED_VALUE"""),"EL024")</f>
        <v>EL024</v>
      </c>
      <c r="D258" s="223" t="str">
        <f>IFERROR(__xludf.DUMMYFUNCTION("""COMPUTED_VALUE"""),"Dung Hoang")</f>
        <v>Dung Hoang</v>
      </c>
      <c r="E258" s="190" t="str">
        <f>IFERROR(__xludf.DUMMYFUNCTION("""COMPUTED_VALUE"""),"Communication 2")</f>
        <v>Communication 2</v>
      </c>
      <c r="F258" s="190"/>
      <c r="G258" s="190"/>
      <c r="H258" s="219">
        <f>IFERROR(__xludf.DUMMYFUNCTION("""COMPUTED_VALUE"""),46106.41666666667)</f>
        <v>46106.41667</v>
      </c>
      <c r="I258" s="219">
        <f>IFERROR(__xludf.DUMMYFUNCTION("""COMPUTED_VALUE"""),45813.375)</f>
        <v>45813.375</v>
      </c>
      <c r="J258" s="190" t="str">
        <f>IFERROR(__xludf.DUMMYFUNCTION("""COMPUTED_VALUE"""),"")</f>
        <v/>
      </c>
      <c r="K258" s="190" t="str">
        <f>IFERROR(__xludf.DUMMYFUNCTION("""COMPUTED_VALUE"""),"")</f>
        <v/>
      </c>
      <c r="L258" s="190" t="str">
        <f>IFERROR(__xludf.DUMMYFUNCTION("""COMPUTED_VALUE"""),"DEV")</f>
        <v>DEV</v>
      </c>
      <c r="M258" s="190" t="str">
        <f>IFERROR(__xludf.DUMMYFUNCTION("""COMPUTED_VALUE"""),"MOC")</f>
        <v>MOC</v>
      </c>
      <c r="N258" s="220">
        <f>IFERROR(__xludf.DUMMYFUNCTION("""COMPUTED_VALUE"""),1.0)</f>
        <v>1</v>
      </c>
      <c r="O258" s="220">
        <f>IFERROR(__xludf.DUMMYFUNCTION("""COMPUTED_VALUE"""),3.0)</f>
        <v>3</v>
      </c>
      <c r="P258" s="220"/>
      <c r="Q258" s="190">
        <f t="shared" si="1"/>
        <v>1</v>
      </c>
      <c r="R258" s="211" t="s">
        <v>536</v>
      </c>
      <c r="S258" s="210" t="str">
        <f t="shared" si="2"/>
        <v>GSD</v>
      </c>
      <c r="T258" s="210" t="str">
        <f t="shared" si="3"/>
        <v>GSD</v>
      </c>
      <c r="U258" s="210" t="str">
        <f t="shared" si="4"/>
        <v>POC</v>
      </c>
      <c r="X258" s="210"/>
      <c r="Y258" s="210"/>
      <c r="Z258" s="210"/>
      <c r="AA258" s="210"/>
      <c r="AB258" s="210"/>
      <c r="AC258" s="210"/>
      <c r="AD258" s="210"/>
      <c r="AE258" s="210"/>
      <c r="AF258" s="210"/>
      <c r="AG258" s="210"/>
      <c r="AH258" s="210"/>
      <c r="AI258" s="210"/>
      <c r="AJ258" s="210"/>
      <c r="AK258" s="210"/>
      <c r="AL258" s="210"/>
      <c r="AM258" s="210"/>
      <c r="AN258" s="210"/>
      <c r="AO258" s="210"/>
      <c r="AP258" s="210"/>
      <c r="AQ258" s="210"/>
    </row>
    <row r="259">
      <c r="A259" s="223" t="str">
        <f>IFERROR(__xludf.DUMMYFUNCTION("""COMPUTED_VALUE"""),"247085")</f>
        <v>247085</v>
      </c>
      <c r="B259" s="190" t="str">
        <f>IFERROR(__xludf.DUMMYFUNCTION("""COMPUTED_VALUE"""),"NGUYỄN TRẦN NGỌC HƯNG")</f>
        <v>NGUYỄN TRẦN NGỌC HƯNG</v>
      </c>
      <c r="C259" s="223" t="str">
        <f>IFERROR(__xludf.DUMMYFUNCTION("""COMPUTED_VALUE"""),"EL024")</f>
        <v>EL024</v>
      </c>
      <c r="D259" s="223" t="str">
        <f>IFERROR(__xludf.DUMMYFUNCTION("""COMPUTED_VALUE"""),"Dung Hoang")</f>
        <v>Dung Hoang</v>
      </c>
      <c r="E259" s="190" t="str">
        <f>IFERROR(__xludf.DUMMYFUNCTION("""COMPUTED_VALUE"""),"Communication 2")</f>
        <v>Communication 2</v>
      </c>
      <c r="F259" s="190"/>
      <c r="G259" s="190"/>
      <c r="H259" s="219">
        <f>IFERROR(__xludf.DUMMYFUNCTION("""COMPUTED_VALUE"""),46106.41666666667)</f>
        <v>46106.41667</v>
      </c>
      <c r="I259" s="219">
        <f>IFERROR(__xludf.DUMMYFUNCTION("""COMPUTED_VALUE"""),45813.375)</f>
        <v>45813.375</v>
      </c>
      <c r="J259" s="190" t="str">
        <f>IFERROR(__xludf.DUMMYFUNCTION("""COMPUTED_VALUE"""),"")</f>
        <v/>
      </c>
      <c r="K259" s="190" t="str">
        <f>IFERROR(__xludf.DUMMYFUNCTION("""COMPUTED_VALUE"""),"")</f>
        <v/>
      </c>
      <c r="L259" s="190" t="str">
        <f>IFERROR(__xludf.DUMMYFUNCTION("""COMPUTED_VALUE"""),"DEV")</f>
        <v>DEV</v>
      </c>
      <c r="M259" s="190" t="str">
        <f>IFERROR(__xludf.DUMMYFUNCTION("""COMPUTED_VALUE"""),"LBU")</f>
        <v>LBU</v>
      </c>
      <c r="N259" s="220" t="str">
        <f>IFERROR(__xludf.DUMMYFUNCTION("""COMPUTED_VALUE"""),"")</f>
        <v/>
      </c>
      <c r="O259" s="220">
        <f>IFERROR(__xludf.DUMMYFUNCTION("""COMPUTED_VALUE"""),0.0)</f>
        <v>0</v>
      </c>
      <c r="P259" s="220"/>
      <c r="Q259" s="190">
        <f t="shared" si="1"/>
        <v>1</v>
      </c>
      <c r="R259" s="211" t="s">
        <v>405</v>
      </c>
      <c r="S259" s="210" t="str">
        <f t="shared" si="2"/>
        <v>GSD</v>
      </c>
      <c r="T259" s="210" t="str">
        <f t="shared" si="3"/>
        <v>GSD</v>
      </c>
      <c r="U259" s="210" t="str">
        <f t="shared" si="4"/>
        <v>TBU</v>
      </c>
      <c r="X259" s="210"/>
      <c r="Y259" s="210"/>
      <c r="Z259" s="210"/>
      <c r="AA259" s="210"/>
      <c r="AB259" s="210"/>
      <c r="AC259" s="210"/>
      <c r="AD259" s="210"/>
      <c r="AE259" s="210"/>
      <c r="AF259" s="210"/>
      <c r="AG259" s="210"/>
      <c r="AH259" s="210"/>
      <c r="AI259" s="210"/>
      <c r="AJ259" s="210"/>
      <c r="AK259" s="210"/>
      <c r="AL259" s="210"/>
      <c r="AM259" s="210"/>
      <c r="AN259" s="210"/>
      <c r="AO259" s="210"/>
      <c r="AP259" s="210"/>
      <c r="AQ259" s="210"/>
    </row>
    <row r="260">
      <c r="A260" s="223" t="str">
        <f>IFERROR(__xludf.DUMMYFUNCTION("""COMPUTED_VALUE"""),"247086")</f>
        <v>247086</v>
      </c>
      <c r="B260" s="190" t="str">
        <f>IFERROR(__xludf.DUMMYFUNCTION("""COMPUTED_VALUE"""),"THỚI PHI LONG")</f>
        <v>THỚI PHI LONG</v>
      </c>
      <c r="C260" s="223" t="str">
        <f>IFERROR(__xludf.DUMMYFUNCTION("""COMPUTED_VALUE"""),"EL024")</f>
        <v>EL024</v>
      </c>
      <c r="D260" s="223" t="str">
        <f>IFERROR(__xludf.DUMMYFUNCTION("""COMPUTED_VALUE"""),"Dung Hoang")</f>
        <v>Dung Hoang</v>
      </c>
      <c r="E260" s="190" t="str">
        <f>IFERROR(__xludf.DUMMYFUNCTION("""COMPUTED_VALUE"""),"Communication 2")</f>
        <v>Communication 2</v>
      </c>
      <c r="F260" s="190"/>
      <c r="G260" s="190"/>
      <c r="H260" s="219">
        <f>IFERROR(__xludf.DUMMYFUNCTION("""COMPUTED_VALUE"""),46106.41666666667)</f>
        <v>46106.41667</v>
      </c>
      <c r="I260" s="219">
        <f>IFERROR(__xludf.DUMMYFUNCTION("""COMPUTED_VALUE"""),45813.375)</f>
        <v>45813.375</v>
      </c>
      <c r="J260" s="190" t="str">
        <f>IFERROR(__xludf.DUMMYFUNCTION("""COMPUTED_VALUE"""),"")</f>
        <v/>
      </c>
      <c r="K260" s="190" t="str">
        <f>IFERROR(__xludf.DUMMYFUNCTION("""COMPUTED_VALUE"""),"")</f>
        <v/>
      </c>
      <c r="L260" s="190" t="str">
        <f>IFERROR(__xludf.DUMMYFUNCTION("""COMPUTED_VALUE"""),"DEV")</f>
        <v>DEV</v>
      </c>
      <c r="M260" s="190" t="str">
        <f>IFERROR(__xludf.DUMMYFUNCTION("""COMPUTED_VALUE"""),"LBU")</f>
        <v>LBU</v>
      </c>
      <c r="N260" s="220" t="str">
        <f>IFERROR(__xludf.DUMMYFUNCTION("""COMPUTED_VALUE"""),"")</f>
        <v/>
      </c>
      <c r="O260" s="220">
        <f>IFERROR(__xludf.DUMMYFUNCTION("""COMPUTED_VALUE"""),0.0)</f>
        <v>0</v>
      </c>
      <c r="P260" s="229"/>
      <c r="Q260" s="190">
        <f t="shared" si="1"/>
        <v>1</v>
      </c>
      <c r="R260" s="211" t="s">
        <v>269</v>
      </c>
      <c r="S260" s="210" t="str">
        <f t="shared" si="2"/>
        <v>DEV</v>
      </c>
      <c r="T260" s="210" t="str">
        <f t="shared" si="3"/>
        <v>DEV, TA</v>
      </c>
      <c r="U260" s="210" t="str">
        <f t="shared" si="4"/>
        <v>MOC</v>
      </c>
      <c r="X260" s="210"/>
      <c r="Y260" s="210"/>
      <c r="Z260" s="210"/>
      <c r="AA260" s="210"/>
      <c r="AB260" s="210"/>
      <c r="AC260" s="210"/>
      <c r="AD260" s="210"/>
      <c r="AE260" s="210"/>
      <c r="AF260" s="210"/>
      <c r="AG260" s="210"/>
      <c r="AH260" s="210"/>
      <c r="AI260" s="210"/>
      <c r="AJ260" s="210"/>
      <c r="AK260" s="210"/>
      <c r="AL260" s="210"/>
      <c r="AM260" s="210"/>
      <c r="AN260" s="210"/>
      <c r="AO260" s="210"/>
      <c r="AP260" s="210"/>
      <c r="AQ260" s="210"/>
    </row>
    <row r="261">
      <c r="A261" s="223" t="str">
        <f>IFERROR(__xludf.DUMMYFUNCTION("""COMPUTED_VALUE"""),"213876")</f>
        <v>213876</v>
      </c>
      <c r="B261" s="190" t="str">
        <f>IFERROR(__xludf.DUMMYFUNCTION("""COMPUTED_VALUE"""),"TÔ DIỆP THIÊN ANH")</f>
        <v>TÔ DIỆP THIÊN ANH</v>
      </c>
      <c r="C261" s="223" t="str">
        <f>IFERROR(__xludf.DUMMYFUNCTION("""COMPUTED_VALUE"""),"EL025")</f>
        <v>EL025</v>
      </c>
      <c r="D261" s="223" t="str">
        <f>IFERROR(__xludf.DUMMYFUNCTION("""COMPUTED_VALUE"""),"Anh To")</f>
        <v>Anh To</v>
      </c>
      <c r="E261" s="190" t="str">
        <f>IFERROR(__xludf.DUMMYFUNCTION("""COMPUTED_VALUE"""),"Communication 1")</f>
        <v>Communication 1</v>
      </c>
      <c r="F261" s="190" t="str">
        <f>IFERROR(__xludf.DUMMYFUNCTION("""COMPUTED_VALUE"""),"Beginner")</f>
        <v>Beginner</v>
      </c>
      <c r="G261" s="190" t="str">
        <f>IFERROR(__xludf.DUMMYFUNCTION("""COMPUTED_VALUE"""),"Beginner 2")</f>
        <v>Beginner 2</v>
      </c>
      <c r="H261" s="219">
        <f>IFERROR(__xludf.DUMMYFUNCTION("""COMPUTED_VALUE"""),45761.41666666667)</f>
        <v>45761.41667</v>
      </c>
      <c r="I261" s="219">
        <f>IFERROR(__xludf.DUMMYFUNCTION("""COMPUTED_VALUE"""),45761.41666666667)</f>
        <v>45761.41667</v>
      </c>
      <c r="J261" s="190">
        <f>IFERROR(__xludf.DUMMYFUNCTION("""COMPUTED_VALUE"""),1.0)</f>
        <v>1</v>
      </c>
      <c r="K261" s="190">
        <f>IFERROR(__xludf.DUMMYFUNCTION("""COMPUTED_VALUE"""),1.5)</f>
        <v>1.5</v>
      </c>
      <c r="L261" s="190" t="str">
        <f>IFERROR(__xludf.DUMMYFUNCTION("""COMPUTED_VALUE"""),"DEV")</f>
        <v>DEV</v>
      </c>
      <c r="M261" s="190" t="str">
        <f>IFERROR(__xludf.DUMMYFUNCTION("""COMPUTED_VALUE"""),"MOC")</f>
        <v>MOC</v>
      </c>
      <c r="N261" s="220">
        <f>IFERROR(__xludf.DUMMYFUNCTION("""COMPUTED_VALUE"""),1.0)</f>
        <v>1</v>
      </c>
      <c r="O261" s="220">
        <f>IFERROR(__xludf.DUMMYFUNCTION("""COMPUTED_VALUE"""),1.5)</f>
        <v>1.5</v>
      </c>
      <c r="P261" s="220"/>
      <c r="Q261" s="190">
        <f t="shared" si="1"/>
        <v>1</v>
      </c>
      <c r="R261" s="211" t="s">
        <v>361</v>
      </c>
      <c r="S261" s="210" t="str">
        <f t="shared" si="2"/>
        <v>GSD</v>
      </c>
      <c r="T261" s="210" t="str">
        <f t="shared" si="3"/>
        <v>GSD</v>
      </c>
      <c r="U261" s="210" t="str">
        <f t="shared" si="4"/>
        <v>POC</v>
      </c>
      <c r="X261" s="210"/>
      <c r="Y261" s="210"/>
      <c r="Z261" s="210"/>
      <c r="AA261" s="210"/>
      <c r="AB261" s="210"/>
      <c r="AC261" s="210"/>
      <c r="AD261" s="210"/>
      <c r="AE261" s="210"/>
      <c r="AF261" s="210"/>
      <c r="AG261" s="210"/>
      <c r="AH261" s="210"/>
      <c r="AI261" s="210"/>
      <c r="AJ261" s="210"/>
      <c r="AK261" s="210"/>
      <c r="AL261" s="210"/>
      <c r="AM261" s="210"/>
      <c r="AN261" s="210"/>
      <c r="AO261" s="210"/>
      <c r="AP261" s="210"/>
      <c r="AQ261" s="210"/>
    </row>
    <row r="262">
      <c r="A262" s="223" t="str">
        <f>IFERROR(__xludf.DUMMYFUNCTION("""COMPUTED_VALUE"""),"203765")</f>
        <v>203765</v>
      </c>
      <c r="B262" s="190" t="str">
        <f>IFERROR(__xludf.DUMMYFUNCTION("""COMPUTED_VALUE"""),"ĐỖ GIA KHÁNH")</f>
        <v>ĐỖ GIA KHÁNH</v>
      </c>
      <c r="C262" s="223" t="str">
        <f>IFERROR(__xludf.DUMMYFUNCTION("""COMPUTED_VALUE"""),"EL025")</f>
        <v>EL025</v>
      </c>
      <c r="D262" s="223" t="str">
        <f>IFERROR(__xludf.DUMMYFUNCTION("""COMPUTED_VALUE"""),"Anh To")</f>
        <v>Anh To</v>
      </c>
      <c r="E262" s="190" t="str">
        <f>IFERROR(__xludf.DUMMYFUNCTION("""COMPUTED_VALUE"""),"Communication 1")</f>
        <v>Communication 1</v>
      </c>
      <c r="F262" s="190" t="str">
        <f>IFERROR(__xludf.DUMMYFUNCTION("""COMPUTED_VALUE"""),"Beginner")</f>
        <v>Beginner</v>
      </c>
      <c r="G262" s="190" t="str">
        <f>IFERROR(__xludf.DUMMYFUNCTION("""COMPUTED_VALUE"""),"Pre-Intermediate 1")</f>
        <v>Pre-Intermediate 1</v>
      </c>
      <c r="H262" s="219">
        <f>IFERROR(__xludf.DUMMYFUNCTION("""COMPUTED_VALUE"""),45761.41666666667)</f>
        <v>45761.41667</v>
      </c>
      <c r="I262" s="219">
        <f>IFERROR(__xludf.DUMMYFUNCTION("""COMPUTED_VALUE"""),45761.41666666667)</f>
        <v>45761.41667</v>
      </c>
      <c r="J262" s="190">
        <f>IFERROR(__xludf.DUMMYFUNCTION("""COMPUTED_VALUE"""),1.0)</f>
        <v>1</v>
      </c>
      <c r="K262" s="190">
        <f>IFERROR(__xludf.DUMMYFUNCTION("""COMPUTED_VALUE"""),3.0)</f>
        <v>3</v>
      </c>
      <c r="L262" s="190" t="str">
        <f>IFERROR(__xludf.DUMMYFUNCTION("""COMPUTED_VALUE"""),"DEV")</f>
        <v>DEV</v>
      </c>
      <c r="M262" s="190" t="str">
        <f>IFERROR(__xludf.DUMMYFUNCTION("""COMPUTED_VALUE"""),"MOC")</f>
        <v>MOC</v>
      </c>
      <c r="N262" s="220">
        <f>IFERROR(__xludf.DUMMYFUNCTION("""COMPUTED_VALUE"""),1.0)</f>
        <v>1</v>
      </c>
      <c r="O262" s="220">
        <f>IFERROR(__xludf.DUMMYFUNCTION("""COMPUTED_VALUE"""),3.0)</f>
        <v>3</v>
      </c>
      <c r="P262" s="220"/>
      <c r="Q262" s="190">
        <f t="shared" si="1"/>
        <v>1</v>
      </c>
      <c r="R262" s="211" t="s">
        <v>385</v>
      </c>
      <c r="S262" s="210" t="str">
        <f t="shared" si="2"/>
        <v>GSD</v>
      </c>
      <c r="T262" s="210" t="str">
        <f t="shared" si="3"/>
        <v>GSD</v>
      </c>
      <c r="U262" s="210" t="str">
        <f t="shared" si="4"/>
        <v>LBU</v>
      </c>
      <c r="X262" s="210"/>
      <c r="Y262" s="210"/>
      <c r="Z262" s="210"/>
      <c r="AA262" s="210"/>
      <c r="AB262" s="210"/>
      <c r="AC262" s="210"/>
      <c r="AD262" s="210"/>
      <c r="AE262" s="210"/>
      <c r="AF262" s="210"/>
      <c r="AG262" s="210"/>
      <c r="AH262" s="210"/>
      <c r="AI262" s="210"/>
      <c r="AJ262" s="210"/>
      <c r="AK262" s="210"/>
      <c r="AL262" s="210"/>
      <c r="AM262" s="210"/>
      <c r="AN262" s="210"/>
      <c r="AO262" s="210"/>
      <c r="AP262" s="210"/>
      <c r="AQ262" s="210"/>
    </row>
    <row r="263">
      <c r="A263" s="223" t="str">
        <f>IFERROR(__xludf.DUMMYFUNCTION("""COMPUTED_VALUE"""),"247225")</f>
        <v>247225</v>
      </c>
      <c r="B263" s="190" t="str">
        <f>IFERROR(__xludf.DUMMYFUNCTION("""COMPUTED_VALUE"""),"LÊ PHƯỚC THIỆN")</f>
        <v>LÊ PHƯỚC THIỆN</v>
      </c>
      <c r="C263" s="223" t="str">
        <f>IFERROR(__xludf.DUMMYFUNCTION("""COMPUTED_VALUE"""),"EL025")</f>
        <v>EL025</v>
      </c>
      <c r="D263" s="223" t="str">
        <f>IFERROR(__xludf.DUMMYFUNCTION("""COMPUTED_VALUE"""),"Anh To")</f>
        <v>Anh To</v>
      </c>
      <c r="E263" s="190" t="str">
        <f>IFERROR(__xludf.DUMMYFUNCTION("""COMPUTED_VALUE"""),"Communication 1")</f>
        <v>Communication 1</v>
      </c>
      <c r="F263" s="190" t="str">
        <f>IFERROR(__xludf.DUMMYFUNCTION("""COMPUTED_VALUE"""),"Beginner")</f>
        <v>Beginner</v>
      </c>
      <c r="G263" s="190" t="str">
        <f>IFERROR(__xludf.DUMMYFUNCTION("""COMPUTED_VALUE"""),"Pre-Intermediate 1")</f>
        <v>Pre-Intermediate 1</v>
      </c>
      <c r="H263" s="219">
        <f>IFERROR(__xludf.DUMMYFUNCTION("""COMPUTED_VALUE"""),45761.41666666667)</f>
        <v>45761.41667</v>
      </c>
      <c r="I263" s="219">
        <f>IFERROR(__xludf.DUMMYFUNCTION("""COMPUTED_VALUE"""),45761.41666666667)</f>
        <v>45761.41667</v>
      </c>
      <c r="J263" s="190">
        <f>IFERROR(__xludf.DUMMYFUNCTION("""COMPUTED_VALUE"""),1.0)</f>
        <v>1</v>
      </c>
      <c r="K263" s="190">
        <f>IFERROR(__xludf.DUMMYFUNCTION("""COMPUTED_VALUE"""),3.0)</f>
        <v>3</v>
      </c>
      <c r="L263" s="190" t="str">
        <f>IFERROR(__xludf.DUMMYFUNCTION("""COMPUTED_VALUE"""),"DEV")</f>
        <v>DEV</v>
      </c>
      <c r="M263" s="190" t="str">
        <f>IFERROR(__xludf.DUMMYFUNCTION("""COMPUTED_VALUE"""),"MOC")</f>
        <v>MOC</v>
      </c>
      <c r="N263" s="220">
        <f>IFERROR(__xludf.DUMMYFUNCTION("""COMPUTED_VALUE"""),1.0)</f>
        <v>1</v>
      </c>
      <c r="O263" s="220">
        <f>IFERROR(__xludf.DUMMYFUNCTION("""COMPUTED_VALUE"""),3.0)</f>
        <v>3</v>
      </c>
      <c r="P263" s="220"/>
      <c r="Q263" s="190">
        <f t="shared" si="1"/>
        <v>1</v>
      </c>
      <c r="R263" s="211" t="s">
        <v>470</v>
      </c>
      <c r="S263" s="210" t="str">
        <f t="shared" si="2"/>
        <v>GSD</v>
      </c>
      <c r="T263" s="210" t="str">
        <f t="shared" si="3"/>
        <v>GSD</v>
      </c>
      <c r="U263" s="210" t="str">
        <f t="shared" si="4"/>
        <v>TBU</v>
      </c>
      <c r="X263" s="210"/>
      <c r="Y263" s="210"/>
      <c r="Z263" s="210"/>
      <c r="AA263" s="210"/>
      <c r="AB263" s="210"/>
      <c r="AC263" s="210"/>
      <c r="AD263" s="210"/>
      <c r="AE263" s="210"/>
      <c r="AF263" s="210"/>
      <c r="AG263" s="210"/>
      <c r="AH263" s="210"/>
      <c r="AI263" s="210"/>
      <c r="AJ263" s="210"/>
      <c r="AK263" s="210"/>
      <c r="AL263" s="210"/>
      <c r="AM263" s="210"/>
      <c r="AN263" s="210"/>
      <c r="AO263" s="210"/>
      <c r="AP263" s="210"/>
      <c r="AQ263" s="210"/>
    </row>
    <row r="264">
      <c r="A264" s="223" t="str">
        <f>IFERROR(__xludf.DUMMYFUNCTION("""COMPUTED_VALUE"""),"247378")</f>
        <v>247378</v>
      </c>
      <c r="B264" s="190" t="str">
        <f>IFERROR(__xludf.DUMMYFUNCTION("""COMPUTED_VALUE"""),"NGUYỄN BẢO ĐẠT")</f>
        <v>NGUYỄN BẢO ĐẠT</v>
      </c>
      <c r="C264" s="223" t="str">
        <f>IFERROR(__xludf.DUMMYFUNCTION("""COMPUTED_VALUE"""),"EL025")</f>
        <v>EL025</v>
      </c>
      <c r="D264" s="223" t="str">
        <f>IFERROR(__xludf.DUMMYFUNCTION("""COMPUTED_VALUE"""),"Anh To")</f>
        <v>Anh To</v>
      </c>
      <c r="E264" s="190" t="str">
        <f>IFERROR(__xludf.DUMMYFUNCTION("""COMPUTED_VALUE"""),"Communication 1")</f>
        <v>Communication 1</v>
      </c>
      <c r="F264" s="190" t="str">
        <f>IFERROR(__xludf.DUMMYFUNCTION("""COMPUTED_VALUE"""),"Beginner")</f>
        <v>Beginner</v>
      </c>
      <c r="G264" s="190" t="str">
        <f>IFERROR(__xludf.DUMMYFUNCTION("""COMPUTED_VALUE"""),"Pre-Intermediate 2")</f>
        <v>Pre-Intermediate 2</v>
      </c>
      <c r="H264" s="219">
        <f>IFERROR(__xludf.DUMMYFUNCTION("""COMPUTED_VALUE"""),45761.41666666667)</f>
        <v>45761.41667</v>
      </c>
      <c r="I264" s="219">
        <f>IFERROR(__xludf.DUMMYFUNCTION("""COMPUTED_VALUE"""),45761.41666666667)</f>
        <v>45761.41667</v>
      </c>
      <c r="J264" s="190">
        <f>IFERROR(__xludf.DUMMYFUNCTION("""COMPUTED_VALUE"""),1.0)</f>
        <v>1</v>
      </c>
      <c r="K264" s="190">
        <f>IFERROR(__xludf.DUMMYFUNCTION("""COMPUTED_VALUE"""),3.5)</f>
        <v>3.5</v>
      </c>
      <c r="L264" s="190" t="str">
        <f>IFERROR(__xludf.DUMMYFUNCTION("""COMPUTED_VALUE"""),"QC")</f>
        <v>QC</v>
      </c>
      <c r="M264" s="190" t="str">
        <f>IFERROR(__xludf.DUMMYFUNCTION("""COMPUTED_VALUE"""),"MOC")</f>
        <v>MOC</v>
      </c>
      <c r="N264" s="220">
        <f>IFERROR(__xludf.DUMMYFUNCTION("""COMPUTED_VALUE"""),1.0)</f>
        <v>1</v>
      </c>
      <c r="O264" s="220">
        <f>IFERROR(__xludf.DUMMYFUNCTION("""COMPUTED_VALUE"""),3.5)</f>
        <v>3.5</v>
      </c>
      <c r="P264" s="220"/>
      <c r="Q264" s="190">
        <f t="shared" si="1"/>
        <v>1</v>
      </c>
      <c r="R264" s="211" t="s">
        <v>532</v>
      </c>
      <c r="S264" s="210" t="str">
        <f t="shared" si="2"/>
        <v>GSD</v>
      </c>
      <c r="T264" s="210" t="str">
        <f t="shared" si="3"/>
        <v>GSD</v>
      </c>
      <c r="U264" s="210" t="str">
        <f t="shared" si="4"/>
        <v>TBU</v>
      </c>
      <c r="X264" s="210"/>
      <c r="Y264" s="210"/>
      <c r="Z264" s="210"/>
      <c r="AA264" s="210"/>
      <c r="AB264" s="210"/>
      <c r="AC264" s="210"/>
      <c r="AD264" s="210"/>
      <c r="AE264" s="210"/>
      <c r="AF264" s="210"/>
      <c r="AG264" s="210"/>
      <c r="AH264" s="210"/>
      <c r="AI264" s="210"/>
      <c r="AJ264" s="210"/>
      <c r="AK264" s="210"/>
      <c r="AL264" s="210"/>
      <c r="AM264" s="210"/>
      <c r="AN264" s="210"/>
      <c r="AO264" s="210"/>
      <c r="AP264" s="210"/>
      <c r="AQ264" s="210"/>
    </row>
    <row r="265">
      <c r="A265" s="223" t="str">
        <f>IFERROR(__xludf.DUMMYFUNCTION("""COMPUTED_VALUE"""),"213947")</f>
        <v>213947</v>
      </c>
      <c r="B265" s="190" t="str">
        <f>IFERROR(__xludf.DUMMYFUNCTION("""COMPUTED_VALUE"""),"NGUYỄN NGỌC PHƯƠNG NHI")</f>
        <v>NGUYỄN NGỌC PHƯƠNG NHI</v>
      </c>
      <c r="C265" s="223" t="str">
        <f>IFERROR(__xludf.DUMMYFUNCTION("""COMPUTED_VALUE"""),"EL025")</f>
        <v>EL025</v>
      </c>
      <c r="D265" s="223" t="str">
        <f>IFERROR(__xludf.DUMMYFUNCTION("""COMPUTED_VALUE"""),"Anh To")</f>
        <v>Anh To</v>
      </c>
      <c r="E265" s="190" t="str">
        <f>IFERROR(__xludf.DUMMYFUNCTION("""COMPUTED_VALUE"""),"Communication 1")</f>
        <v>Communication 1</v>
      </c>
      <c r="F265" s="190" t="str">
        <f>IFERROR(__xludf.DUMMYFUNCTION("""COMPUTED_VALUE"""),"Beginner")</f>
        <v>Beginner</v>
      </c>
      <c r="G265" s="190" t="str">
        <f>IFERROR(__xludf.DUMMYFUNCTION("""COMPUTED_VALUE"""),"Beginner 2")</f>
        <v>Beginner 2</v>
      </c>
      <c r="H265" s="219">
        <f>IFERROR(__xludf.DUMMYFUNCTION("""COMPUTED_VALUE"""),45761.41666666667)</f>
        <v>45761.41667</v>
      </c>
      <c r="I265" s="219">
        <f>IFERROR(__xludf.DUMMYFUNCTION("""COMPUTED_VALUE"""),45761.41666666667)</f>
        <v>45761.41667</v>
      </c>
      <c r="J265" s="190">
        <f>IFERROR(__xludf.DUMMYFUNCTION("""COMPUTED_VALUE"""),1.0)</f>
        <v>1</v>
      </c>
      <c r="K265" s="190">
        <f>IFERROR(__xludf.DUMMYFUNCTION("""COMPUTED_VALUE"""),1.5)</f>
        <v>1.5</v>
      </c>
      <c r="L265" s="190" t="str">
        <f>IFERROR(__xludf.DUMMYFUNCTION("""COMPUTED_VALUE"""),"QC")</f>
        <v>QC</v>
      </c>
      <c r="M265" s="190" t="str">
        <f>IFERROR(__xludf.DUMMYFUNCTION("""COMPUTED_VALUE"""),"MOC")</f>
        <v>MOC</v>
      </c>
      <c r="N265" s="220">
        <f>IFERROR(__xludf.DUMMYFUNCTION("""COMPUTED_VALUE"""),1.0)</f>
        <v>1</v>
      </c>
      <c r="O265" s="220">
        <f>IFERROR(__xludf.DUMMYFUNCTION("""COMPUTED_VALUE"""),1.5)</f>
        <v>1.5</v>
      </c>
      <c r="P265" s="220"/>
      <c r="Q265" s="190">
        <f t="shared" si="1"/>
        <v>1</v>
      </c>
      <c r="R265" s="211" t="s">
        <v>502</v>
      </c>
      <c r="S265" s="210" t="str">
        <f t="shared" si="2"/>
        <v>GSD</v>
      </c>
      <c r="T265" s="210" t="str">
        <f t="shared" si="3"/>
        <v>GSD</v>
      </c>
      <c r="U265" s="210" t="str">
        <f t="shared" si="4"/>
        <v>LBU</v>
      </c>
      <c r="X265" s="210"/>
      <c r="Y265" s="210"/>
      <c r="Z265" s="210"/>
      <c r="AA265" s="210"/>
      <c r="AB265" s="210"/>
      <c r="AC265" s="210"/>
      <c r="AD265" s="210"/>
      <c r="AE265" s="210"/>
      <c r="AF265" s="210"/>
      <c r="AG265" s="210"/>
      <c r="AH265" s="210"/>
      <c r="AI265" s="210"/>
      <c r="AJ265" s="210"/>
      <c r="AK265" s="210"/>
      <c r="AL265" s="210"/>
      <c r="AM265" s="210"/>
      <c r="AN265" s="210"/>
      <c r="AO265" s="210"/>
      <c r="AP265" s="210"/>
      <c r="AQ265" s="210"/>
    </row>
    <row r="266">
      <c r="A266" s="223" t="str">
        <f>IFERROR(__xludf.DUMMYFUNCTION("""COMPUTED_VALUE"""),"247245")</f>
        <v>247245</v>
      </c>
      <c r="B266" s="190" t="str">
        <f>IFERROR(__xludf.DUMMYFUNCTION("""COMPUTED_VALUE"""),"THÁI NHẬT TÂN")</f>
        <v>THÁI NHẬT TÂN</v>
      </c>
      <c r="C266" s="223" t="str">
        <f>IFERROR(__xludf.DUMMYFUNCTION("""COMPUTED_VALUE"""),"EL025")</f>
        <v>EL025</v>
      </c>
      <c r="D266" s="223" t="str">
        <f>IFERROR(__xludf.DUMMYFUNCTION("""COMPUTED_VALUE"""),"Anh To")</f>
        <v>Anh To</v>
      </c>
      <c r="E266" s="190" t="str">
        <f>IFERROR(__xludf.DUMMYFUNCTION("""COMPUTED_VALUE"""),"Communication 1")</f>
        <v>Communication 1</v>
      </c>
      <c r="F266" s="190" t="str">
        <f>IFERROR(__xludf.DUMMYFUNCTION("""COMPUTED_VALUE"""),"Beginner")</f>
        <v>Beginner</v>
      </c>
      <c r="G266" s="190" t="str">
        <f>IFERROR(__xludf.DUMMYFUNCTION("""COMPUTED_VALUE"""),"Pre-Intermediate 1")</f>
        <v>Pre-Intermediate 1</v>
      </c>
      <c r="H266" s="219">
        <f>IFERROR(__xludf.DUMMYFUNCTION("""COMPUTED_VALUE"""),45761.41666666667)</f>
        <v>45761.41667</v>
      </c>
      <c r="I266" s="219">
        <f>IFERROR(__xludf.DUMMYFUNCTION("""COMPUTED_VALUE"""),45761.41666666667)</f>
        <v>45761.41667</v>
      </c>
      <c r="J266" s="190">
        <f>IFERROR(__xludf.DUMMYFUNCTION("""COMPUTED_VALUE"""),1.0)</f>
        <v>1</v>
      </c>
      <c r="K266" s="190">
        <f>IFERROR(__xludf.DUMMYFUNCTION("""COMPUTED_VALUE"""),3.0)</f>
        <v>3</v>
      </c>
      <c r="L266" s="190" t="str">
        <f>IFERROR(__xludf.DUMMYFUNCTION("""COMPUTED_VALUE"""),"DEV")</f>
        <v>DEV</v>
      </c>
      <c r="M266" s="190" t="str">
        <f>IFERROR(__xludf.DUMMYFUNCTION("""COMPUTED_VALUE"""),"LBU")</f>
        <v>LBU</v>
      </c>
      <c r="N266" s="220">
        <f>IFERROR(__xludf.DUMMYFUNCTION("""COMPUTED_VALUE"""),1.0)</f>
        <v>1</v>
      </c>
      <c r="O266" s="220">
        <f>IFERROR(__xludf.DUMMYFUNCTION("""COMPUTED_VALUE"""),3.0)</f>
        <v>3</v>
      </c>
      <c r="P266" s="220"/>
      <c r="Q266" s="190">
        <f t="shared" si="1"/>
        <v>1</v>
      </c>
      <c r="R266" s="211" t="s">
        <v>427</v>
      </c>
      <c r="S266" s="210" t="str">
        <f t="shared" si="2"/>
        <v>GSD</v>
      </c>
      <c r="T266" s="210" t="str">
        <f t="shared" si="3"/>
        <v>GSD</v>
      </c>
      <c r="U266" s="210" t="str">
        <f t="shared" si="4"/>
        <v>LBU</v>
      </c>
      <c r="X266" s="210"/>
      <c r="Y266" s="210"/>
      <c r="Z266" s="210"/>
      <c r="AA266" s="210"/>
      <c r="AB266" s="210"/>
      <c r="AC266" s="210"/>
      <c r="AD266" s="210"/>
      <c r="AE266" s="210"/>
      <c r="AF266" s="210"/>
      <c r="AG266" s="210"/>
      <c r="AH266" s="210"/>
      <c r="AI266" s="210"/>
      <c r="AJ266" s="210"/>
      <c r="AK266" s="210"/>
      <c r="AL266" s="210"/>
      <c r="AM266" s="210"/>
      <c r="AN266" s="210"/>
      <c r="AO266" s="210"/>
      <c r="AP266" s="210"/>
      <c r="AQ266" s="210"/>
    </row>
    <row r="267">
      <c r="A267" s="223" t="str">
        <f>IFERROR(__xludf.DUMMYFUNCTION("""COMPUTED_VALUE"""),"213876")</f>
        <v>213876</v>
      </c>
      <c r="B267" s="190" t="str">
        <f>IFERROR(__xludf.DUMMYFUNCTION("""COMPUTED_VALUE"""),"TÔ DIỆP THIÊN ANH")</f>
        <v>TÔ DIỆP THIÊN ANH</v>
      </c>
      <c r="C267" s="223" t="str">
        <f>IFERROR(__xludf.DUMMYFUNCTION("""COMPUTED_VALUE"""),"EL025")</f>
        <v>EL025</v>
      </c>
      <c r="D267" s="223" t="str">
        <f>IFERROR(__xludf.DUMMYFUNCTION("""COMPUTED_VALUE"""),"Anh To")</f>
        <v>Anh To</v>
      </c>
      <c r="E267" s="190" t="str">
        <f>IFERROR(__xludf.DUMMYFUNCTION("""COMPUTED_VALUE"""),"Communication 2")</f>
        <v>Communication 2</v>
      </c>
      <c r="F267" s="190" t="str">
        <f>IFERROR(__xludf.DUMMYFUNCTION("""COMPUTED_VALUE"""),"Beginner 2")</f>
        <v>Beginner 2</v>
      </c>
      <c r="G267" s="190"/>
      <c r="H267" s="219">
        <f>IFERROR(__xludf.DUMMYFUNCTION("""COMPUTED_VALUE"""),45922.41666666667)</f>
        <v>45922.41667</v>
      </c>
      <c r="I267" s="219">
        <f>IFERROR(__xludf.DUMMYFUNCTION("""COMPUTED_VALUE"""),45761.41666666667)</f>
        <v>45761.41667</v>
      </c>
      <c r="J267" s="190">
        <f>IFERROR(__xludf.DUMMYFUNCTION("""COMPUTED_VALUE"""),1.5)</f>
        <v>1.5</v>
      </c>
      <c r="K267" s="190" t="str">
        <f>IFERROR(__xludf.DUMMYFUNCTION("""COMPUTED_VALUE"""),"")</f>
        <v/>
      </c>
      <c r="L267" s="190" t="str">
        <f>IFERROR(__xludf.DUMMYFUNCTION("""COMPUTED_VALUE"""),"DEV")</f>
        <v>DEV</v>
      </c>
      <c r="M267" s="190" t="str">
        <f>IFERROR(__xludf.DUMMYFUNCTION("""COMPUTED_VALUE"""),"MOC")</f>
        <v>MOC</v>
      </c>
      <c r="N267" s="220">
        <f>IFERROR(__xludf.DUMMYFUNCTION("""COMPUTED_VALUE"""),1.0)</f>
        <v>1</v>
      </c>
      <c r="O267" s="220">
        <f>IFERROR(__xludf.DUMMYFUNCTION("""COMPUTED_VALUE"""),1.5)</f>
        <v>1.5</v>
      </c>
      <c r="P267" s="220"/>
      <c r="Q267" s="190">
        <f t="shared" si="1"/>
        <v>1</v>
      </c>
      <c r="R267" s="211" t="s">
        <v>655</v>
      </c>
      <c r="S267" s="210" t="str">
        <f t="shared" si="2"/>
        <v>GSD</v>
      </c>
      <c r="T267" s="210" t="str">
        <f t="shared" si="3"/>
        <v>GSD</v>
      </c>
      <c r="U267" s="210" t="str">
        <f t="shared" si="4"/>
        <v>LBU</v>
      </c>
      <c r="X267" s="210"/>
      <c r="Y267" s="210"/>
      <c r="Z267" s="210"/>
      <c r="AA267" s="210"/>
      <c r="AB267" s="210"/>
      <c r="AC267" s="210"/>
      <c r="AD267" s="210"/>
      <c r="AE267" s="210"/>
      <c r="AF267" s="210"/>
      <c r="AG267" s="210"/>
      <c r="AH267" s="210"/>
      <c r="AI267" s="210"/>
      <c r="AJ267" s="210"/>
      <c r="AK267" s="210"/>
      <c r="AL267" s="210"/>
      <c r="AM267" s="210"/>
      <c r="AN267" s="210"/>
      <c r="AO267" s="210"/>
      <c r="AP267" s="210"/>
      <c r="AQ267" s="210"/>
    </row>
    <row r="268">
      <c r="A268" s="223" t="str">
        <f>IFERROR(__xludf.DUMMYFUNCTION("""COMPUTED_VALUE"""),"203765")</f>
        <v>203765</v>
      </c>
      <c r="B268" s="190" t="str">
        <f>IFERROR(__xludf.DUMMYFUNCTION("""COMPUTED_VALUE"""),"ĐỖ GIA KHÁNH")</f>
        <v>ĐỖ GIA KHÁNH</v>
      </c>
      <c r="C268" s="223" t="str">
        <f>IFERROR(__xludf.DUMMYFUNCTION("""COMPUTED_VALUE"""),"EL025")</f>
        <v>EL025</v>
      </c>
      <c r="D268" s="223" t="str">
        <f>IFERROR(__xludf.DUMMYFUNCTION("""COMPUTED_VALUE"""),"Anh To")</f>
        <v>Anh To</v>
      </c>
      <c r="E268" s="190" t="str">
        <f>IFERROR(__xludf.DUMMYFUNCTION("""COMPUTED_VALUE"""),"Communication 2")</f>
        <v>Communication 2</v>
      </c>
      <c r="F268" s="190" t="str">
        <f>IFERROR(__xludf.DUMMYFUNCTION("""COMPUTED_VALUE"""),"Pre-Intermediate 1")</f>
        <v>Pre-Intermediate 1</v>
      </c>
      <c r="G268" s="190"/>
      <c r="H268" s="219">
        <f>IFERROR(__xludf.DUMMYFUNCTION("""COMPUTED_VALUE"""),45922.41666666667)</f>
        <v>45922.41667</v>
      </c>
      <c r="I268" s="219">
        <f>IFERROR(__xludf.DUMMYFUNCTION("""COMPUTED_VALUE"""),45761.41666666667)</f>
        <v>45761.41667</v>
      </c>
      <c r="J268" s="190">
        <f>IFERROR(__xludf.DUMMYFUNCTION("""COMPUTED_VALUE"""),3.0)</f>
        <v>3</v>
      </c>
      <c r="K268" s="190" t="str">
        <f>IFERROR(__xludf.DUMMYFUNCTION("""COMPUTED_VALUE"""),"")</f>
        <v/>
      </c>
      <c r="L268" s="190" t="str">
        <f>IFERROR(__xludf.DUMMYFUNCTION("""COMPUTED_VALUE"""),"DEV")</f>
        <v>DEV</v>
      </c>
      <c r="M268" s="190" t="str">
        <f>IFERROR(__xludf.DUMMYFUNCTION("""COMPUTED_VALUE"""),"MOC")</f>
        <v>MOC</v>
      </c>
      <c r="N268" s="220">
        <f>IFERROR(__xludf.DUMMYFUNCTION("""COMPUTED_VALUE"""),1.0)</f>
        <v>1</v>
      </c>
      <c r="O268" s="220">
        <f>IFERROR(__xludf.DUMMYFUNCTION("""COMPUTED_VALUE"""),3.0)</f>
        <v>3</v>
      </c>
      <c r="P268" s="220"/>
      <c r="Q268" s="190">
        <f t="shared" si="1"/>
        <v>1</v>
      </c>
      <c r="R268" s="211" t="s">
        <v>705</v>
      </c>
      <c r="S268" s="210" t="str">
        <f t="shared" si="2"/>
        <v>BC</v>
      </c>
      <c r="T268" s="210" t="str">
        <f t="shared" si="3"/>
        <v>BA, BC</v>
      </c>
      <c r="U268" s="210" t="str">
        <f t="shared" si="4"/>
        <v>LBU</v>
      </c>
      <c r="X268" s="210"/>
      <c r="Y268" s="210"/>
      <c r="Z268" s="210"/>
      <c r="AA268" s="210"/>
      <c r="AB268" s="210"/>
      <c r="AC268" s="210"/>
      <c r="AD268" s="210"/>
      <c r="AE268" s="210"/>
      <c r="AF268" s="210"/>
      <c r="AG268" s="210"/>
      <c r="AH268" s="210"/>
      <c r="AI268" s="210"/>
      <c r="AJ268" s="210"/>
      <c r="AK268" s="210"/>
      <c r="AL268" s="210"/>
      <c r="AM268" s="210"/>
      <c r="AN268" s="210"/>
      <c r="AO268" s="210"/>
      <c r="AP268" s="210"/>
      <c r="AQ268" s="210"/>
    </row>
    <row r="269">
      <c r="A269" s="223" t="str">
        <f>IFERROR(__xludf.DUMMYFUNCTION("""COMPUTED_VALUE"""),"247225")</f>
        <v>247225</v>
      </c>
      <c r="B269" s="190" t="str">
        <f>IFERROR(__xludf.DUMMYFUNCTION("""COMPUTED_VALUE"""),"LÊ PHƯỚC THIỆN")</f>
        <v>LÊ PHƯỚC THIỆN</v>
      </c>
      <c r="C269" s="223" t="str">
        <f>IFERROR(__xludf.DUMMYFUNCTION("""COMPUTED_VALUE"""),"EL025")</f>
        <v>EL025</v>
      </c>
      <c r="D269" s="223" t="str">
        <f>IFERROR(__xludf.DUMMYFUNCTION("""COMPUTED_VALUE"""),"Anh To")</f>
        <v>Anh To</v>
      </c>
      <c r="E269" s="190" t="str">
        <f>IFERROR(__xludf.DUMMYFUNCTION("""COMPUTED_VALUE"""),"Communication 2")</f>
        <v>Communication 2</v>
      </c>
      <c r="F269" s="190" t="str">
        <f>IFERROR(__xludf.DUMMYFUNCTION("""COMPUTED_VALUE"""),"Pre-Intermediate 1")</f>
        <v>Pre-Intermediate 1</v>
      </c>
      <c r="G269" s="190"/>
      <c r="H269" s="219">
        <f>IFERROR(__xludf.DUMMYFUNCTION("""COMPUTED_VALUE"""),45922.41666666667)</f>
        <v>45922.41667</v>
      </c>
      <c r="I269" s="219">
        <f>IFERROR(__xludf.DUMMYFUNCTION("""COMPUTED_VALUE"""),45761.41666666667)</f>
        <v>45761.41667</v>
      </c>
      <c r="J269" s="190">
        <f>IFERROR(__xludf.DUMMYFUNCTION("""COMPUTED_VALUE"""),3.0)</f>
        <v>3</v>
      </c>
      <c r="K269" s="190" t="str">
        <f>IFERROR(__xludf.DUMMYFUNCTION("""COMPUTED_VALUE"""),"")</f>
        <v/>
      </c>
      <c r="L269" s="190" t="str">
        <f>IFERROR(__xludf.DUMMYFUNCTION("""COMPUTED_VALUE"""),"DEV")</f>
        <v>DEV</v>
      </c>
      <c r="M269" s="190" t="str">
        <f>IFERROR(__xludf.DUMMYFUNCTION("""COMPUTED_VALUE"""),"MOC")</f>
        <v>MOC</v>
      </c>
      <c r="N269" s="220">
        <f>IFERROR(__xludf.DUMMYFUNCTION("""COMPUTED_VALUE"""),1.0)</f>
        <v>1</v>
      </c>
      <c r="O269" s="220">
        <f>IFERROR(__xludf.DUMMYFUNCTION("""COMPUTED_VALUE"""),3.0)</f>
        <v>3</v>
      </c>
      <c r="P269" s="220"/>
      <c r="Q269" s="190">
        <f t="shared" si="1"/>
        <v>1</v>
      </c>
      <c r="R269" s="211" t="s">
        <v>581</v>
      </c>
      <c r="S269" s="210" t="str">
        <f t="shared" si="2"/>
        <v>DEV</v>
      </c>
      <c r="T269" s="210" t="str">
        <f t="shared" si="3"/>
        <v>DEV, TA</v>
      </c>
      <c r="U269" s="210" t="str">
        <f t="shared" si="4"/>
        <v>ONC</v>
      </c>
      <c r="X269" s="210"/>
      <c r="Y269" s="210"/>
      <c r="Z269" s="210"/>
      <c r="AA269" s="210"/>
      <c r="AB269" s="210"/>
      <c r="AC269" s="210"/>
      <c r="AD269" s="210"/>
      <c r="AE269" s="210"/>
      <c r="AF269" s="210"/>
      <c r="AG269" s="210"/>
      <c r="AH269" s="210"/>
      <c r="AI269" s="210"/>
      <c r="AJ269" s="210"/>
      <c r="AK269" s="210"/>
      <c r="AL269" s="210"/>
      <c r="AM269" s="210"/>
      <c r="AN269" s="210"/>
      <c r="AO269" s="210"/>
      <c r="AP269" s="210"/>
      <c r="AQ269" s="210"/>
    </row>
    <row r="270">
      <c r="A270" s="223" t="str">
        <f>IFERROR(__xludf.DUMMYFUNCTION("""COMPUTED_VALUE"""),"247378")</f>
        <v>247378</v>
      </c>
      <c r="B270" s="190" t="str">
        <f>IFERROR(__xludf.DUMMYFUNCTION("""COMPUTED_VALUE"""),"NGUYỄN BẢO ĐẠT")</f>
        <v>NGUYỄN BẢO ĐẠT</v>
      </c>
      <c r="C270" s="223" t="str">
        <f>IFERROR(__xludf.DUMMYFUNCTION("""COMPUTED_VALUE"""),"EL025")</f>
        <v>EL025</v>
      </c>
      <c r="D270" s="223" t="str">
        <f>IFERROR(__xludf.DUMMYFUNCTION("""COMPUTED_VALUE"""),"Anh To")</f>
        <v>Anh To</v>
      </c>
      <c r="E270" s="190" t="str">
        <f>IFERROR(__xludf.DUMMYFUNCTION("""COMPUTED_VALUE"""),"Communication 2")</f>
        <v>Communication 2</v>
      </c>
      <c r="F270" s="190" t="str">
        <f>IFERROR(__xludf.DUMMYFUNCTION("""COMPUTED_VALUE"""),"Pre-Intermediate 2")</f>
        <v>Pre-Intermediate 2</v>
      </c>
      <c r="G270" s="190"/>
      <c r="H270" s="219">
        <f>IFERROR(__xludf.DUMMYFUNCTION("""COMPUTED_VALUE"""),45922.41666666667)</f>
        <v>45922.41667</v>
      </c>
      <c r="I270" s="219">
        <f>IFERROR(__xludf.DUMMYFUNCTION("""COMPUTED_VALUE"""),45761.41666666667)</f>
        <v>45761.41667</v>
      </c>
      <c r="J270" s="190">
        <f>IFERROR(__xludf.DUMMYFUNCTION("""COMPUTED_VALUE"""),3.5)</f>
        <v>3.5</v>
      </c>
      <c r="K270" s="190" t="str">
        <f>IFERROR(__xludf.DUMMYFUNCTION("""COMPUTED_VALUE"""),"")</f>
        <v/>
      </c>
      <c r="L270" s="190" t="str">
        <f>IFERROR(__xludf.DUMMYFUNCTION("""COMPUTED_VALUE"""),"QC")</f>
        <v>QC</v>
      </c>
      <c r="M270" s="190" t="str">
        <f>IFERROR(__xludf.DUMMYFUNCTION("""COMPUTED_VALUE"""),"MOC")</f>
        <v>MOC</v>
      </c>
      <c r="N270" s="220">
        <f>IFERROR(__xludf.DUMMYFUNCTION("""COMPUTED_VALUE"""),1.0)</f>
        <v>1</v>
      </c>
      <c r="O270" s="220">
        <f>IFERROR(__xludf.DUMMYFUNCTION("""COMPUTED_VALUE"""),3.5)</f>
        <v>3.5</v>
      </c>
      <c r="P270" s="220"/>
      <c r="Q270" s="190">
        <f t="shared" si="1"/>
        <v>1</v>
      </c>
      <c r="R270" s="211" t="s">
        <v>344</v>
      </c>
      <c r="S270" s="210" t="str">
        <f t="shared" si="2"/>
        <v>DEV</v>
      </c>
      <c r="T270" s="210" t="str">
        <f t="shared" si="3"/>
        <v>DEV, TA</v>
      </c>
      <c r="U270" s="210" t="str">
        <f t="shared" si="4"/>
        <v>ONC</v>
      </c>
      <c r="X270" s="210"/>
      <c r="Y270" s="210"/>
      <c r="Z270" s="210"/>
      <c r="AA270" s="210"/>
      <c r="AB270" s="210"/>
      <c r="AC270" s="210"/>
      <c r="AD270" s="210"/>
      <c r="AE270" s="210"/>
      <c r="AF270" s="210"/>
      <c r="AG270" s="210"/>
      <c r="AH270" s="210"/>
      <c r="AI270" s="210"/>
      <c r="AJ270" s="210"/>
      <c r="AK270" s="210"/>
      <c r="AL270" s="210"/>
      <c r="AM270" s="210"/>
      <c r="AN270" s="210"/>
      <c r="AO270" s="210"/>
      <c r="AP270" s="210"/>
      <c r="AQ270" s="210"/>
    </row>
    <row r="271">
      <c r="A271" s="223" t="str">
        <f>IFERROR(__xludf.DUMMYFUNCTION("""COMPUTED_VALUE"""),"213947")</f>
        <v>213947</v>
      </c>
      <c r="B271" s="190" t="str">
        <f>IFERROR(__xludf.DUMMYFUNCTION("""COMPUTED_VALUE"""),"NGUYỄN NGỌC PHƯƠNG NHI")</f>
        <v>NGUYỄN NGỌC PHƯƠNG NHI</v>
      </c>
      <c r="C271" s="223" t="str">
        <f>IFERROR(__xludf.DUMMYFUNCTION("""COMPUTED_VALUE"""),"EL025")</f>
        <v>EL025</v>
      </c>
      <c r="D271" s="223" t="str">
        <f>IFERROR(__xludf.DUMMYFUNCTION("""COMPUTED_VALUE"""),"Anh To")</f>
        <v>Anh To</v>
      </c>
      <c r="E271" s="190" t="str">
        <f>IFERROR(__xludf.DUMMYFUNCTION("""COMPUTED_VALUE"""),"Communication 2")</f>
        <v>Communication 2</v>
      </c>
      <c r="F271" s="190" t="str">
        <f>IFERROR(__xludf.DUMMYFUNCTION("""COMPUTED_VALUE"""),"Beginner 2")</f>
        <v>Beginner 2</v>
      </c>
      <c r="G271" s="190"/>
      <c r="H271" s="219">
        <f>IFERROR(__xludf.DUMMYFUNCTION("""COMPUTED_VALUE"""),45922.41666666667)</f>
        <v>45922.41667</v>
      </c>
      <c r="I271" s="219">
        <f>IFERROR(__xludf.DUMMYFUNCTION("""COMPUTED_VALUE"""),45761.41666666667)</f>
        <v>45761.41667</v>
      </c>
      <c r="J271" s="190">
        <f>IFERROR(__xludf.DUMMYFUNCTION("""COMPUTED_VALUE"""),1.5)</f>
        <v>1.5</v>
      </c>
      <c r="K271" s="190" t="str">
        <f>IFERROR(__xludf.DUMMYFUNCTION("""COMPUTED_VALUE"""),"")</f>
        <v/>
      </c>
      <c r="L271" s="190" t="str">
        <f>IFERROR(__xludf.DUMMYFUNCTION("""COMPUTED_VALUE"""),"QC")</f>
        <v>QC</v>
      </c>
      <c r="M271" s="190" t="str">
        <f>IFERROR(__xludf.DUMMYFUNCTION("""COMPUTED_VALUE"""),"MOC")</f>
        <v>MOC</v>
      </c>
      <c r="N271" s="220">
        <f>IFERROR(__xludf.DUMMYFUNCTION("""COMPUTED_VALUE"""),1.0)</f>
        <v>1</v>
      </c>
      <c r="O271" s="220">
        <f>IFERROR(__xludf.DUMMYFUNCTION("""COMPUTED_VALUE"""),1.5)</f>
        <v>1.5</v>
      </c>
      <c r="P271" s="220"/>
      <c r="Q271" s="190">
        <f t="shared" si="1"/>
        <v>1</v>
      </c>
      <c r="R271" s="211" t="s">
        <v>368</v>
      </c>
      <c r="S271" s="210" t="str">
        <f t="shared" si="2"/>
        <v>DEV</v>
      </c>
      <c r="T271" s="210" t="str">
        <f t="shared" si="3"/>
        <v>DEV, TA</v>
      </c>
      <c r="U271" s="210" t="str">
        <f t="shared" si="4"/>
        <v>ONC</v>
      </c>
      <c r="X271" s="210"/>
      <c r="Y271" s="210"/>
      <c r="Z271" s="210"/>
      <c r="AA271" s="210"/>
      <c r="AB271" s="210"/>
      <c r="AC271" s="210"/>
      <c r="AD271" s="210"/>
      <c r="AE271" s="210"/>
      <c r="AF271" s="210"/>
      <c r="AG271" s="210"/>
      <c r="AH271" s="210"/>
      <c r="AI271" s="210"/>
      <c r="AJ271" s="210"/>
      <c r="AK271" s="210"/>
      <c r="AL271" s="210"/>
      <c r="AM271" s="210"/>
      <c r="AN271" s="210"/>
      <c r="AO271" s="210"/>
      <c r="AP271" s="210"/>
      <c r="AQ271" s="210"/>
    </row>
    <row r="272">
      <c r="A272" s="223" t="str">
        <f>IFERROR(__xludf.DUMMYFUNCTION("""COMPUTED_VALUE"""),"247245")</f>
        <v>247245</v>
      </c>
      <c r="B272" s="190" t="str">
        <f>IFERROR(__xludf.DUMMYFUNCTION("""COMPUTED_VALUE"""),"THÁI NHẬT TÂN")</f>
        <v>THÁI NHẬT TÂN</v>
      </c>
      <c r="C272" s="223" t="str">
        <f>IFERROR(__xludf.DUMMYFUNCTION("""COMPUTED_VALUE"""),"EL025")</f>
        <v>EL025</v>
      </c>
      <c r="D272" s="223" t="str">
        <f>IFERROR(__xludf.DUMMYFUNCTION("""COMPUTED_VALUE"""),"Anh To")</f>
        <v>Anh To</v>
      </c>
      <c r="E272" s="190" t="str">
        <f>IFERROR(__xludf.DUMMYFUNCTION("""COMPUTED_VALUE"""),"Communication 2")</f>
        <v>Communication 2</v>
      </c>
      <c r="F272" s="190" t="str">
        <f>IFERROR(__xludf.DUMMYFUNCTION("""COMPUTED_VALUE"""),"Pre-Intermediate 1")</f>
        <v>Pre-Intermediate 1</v>
      </c>
      <c r="G272" s="190"/>
      <c r="H272" s="219">
        <f>IFERROR(__xludf.DUMMYFUNCTION("""COMPUTED_VALUE"""),45922.41666666667)</f>
        <v>45922.41667</v>
      </c>
      <c r="I272" s="219">
        <f>IFERROR(__xludf.DUMMYFUNCTION("""COMPUTED_VALUE"""),45761.41666666667)</f>
        <v>45761.41667</v>
      </c>
      <c r="J272" s="190">
        <f>IFERROR(__xludf.DUMMYFUNCTION("""COMPUTED_VALUE"""),3.0)</f>
        <v>3</v>
      </c>
      <c r="K272" s="190" t="str">
        <f>IFERROR(__xludf.DUMMYFUNCTION("""COMPUTED_VALUE"""),"")</f>
        <v/>
      </c>
      <c r="L272" s="190" t="str">
        <f>IFERROR(__xludf.DUMMYFUNCTION("""COMPUTED_VALUE"""),"DEV")</f>
        <v>DEV</v>
      </c>
      <c r="M272" s="190" t="str">
        <f>IFERROR(__xludf.DUMMYFUNCTION("""COMPUTED_VALUE"""),"LBU")</f>
        <v>LBU</v>
      </c>
      <c r="N272" s="220">
        <f>IFERROR(__xludf.DUMMYFUNCTION("""COMPUTED_VALUE"""),1.0)</f>
        <v>1</v>
      </c>
      <c r="O272" s="220">
        <f>IFERROR(__xludf.DUMMYFUNCTION("""COMPUTED_VALUE"""),3.0)</f>
        <v>3</v>
      </c>
      <c r="P272" s="220"/>
      <c r="Q272" s="190">
        <f t="shared" si="1"/>
        <v>1</v>
      </c>
      <c r="R272" s="211" t="s">
        <v>543</v>
      </c>
      <c r="S272" s="210" t="str">
        <f t="shared" si="2"/>
        <v>DEV</v>
      </c>
      <c r="T272" s="210" t="str">
        <f t="shared" si="3"/>
        <v>DEV, TA</v>
      </c>
      <c r="U272" s="210" t="str">
        <f t="shared" si="4"/>
        <v>ONC</v>
      </c>
      <c r="X272" s="210"/>
      <c r="Y272" s="210"/>
      <c r="Z272" s="210"/>
      <c r="AA272" s="210"/>
      <c r="AB272" s="210"/>
      <c r="AC272" s="210"/>
      <c r="AD272" s="210"/>
      <c r="AE272" s="210"/>
      <c r="AF272" s="210"/>
      <c r="AG272" s="210"/>
      <c r="AH272" s="210"/>
      <c r="AI272" s="210"/>
      <c r="AJ272" s="210"/>
      <c r="AK272" s="210"/>
      <c r="AL272" s="210"/>
      <c r="AM272" s="210"/>
      <c r="AN272" s="210"/>
      <c r="AO272" s="210"/>
      <c r="AP272" s="210"/>
      <c r="AQ272" s="210"/>
    </row>
    <row r="273">
      <c r="A273" s="223" t="str">
        <f>IFERROR(__xludf.DUMMYFUNCTION("""COMPUTED_VALUE"""),"227144")</f>
        <v>227144</v>
      </c>
      <c r="B273" s="190" t="str">
        <f>IFERROR(__xludf.DUMMYFUNCTION("""COMPUTED_VALUE"""),"TRẦN THỊ HOÀN MỸ")</f>
        <v>TRẦN THỊ HOÀN MỸ</v>
      </c>
      <c r="C273" s="223" t="str">
        <f>IFERROR(__xludf.DUMMYFUNCTION("""COMPUTED_VALUE"""),"EL026")</f>
        <v>EL026</v>
      </c>
      <c r="D273" s="223" t="str">
        <f>IFERROR(__xludf.DUMMYFUNCTION("""COMPUTED_VALUE"""),"My Tran")</f>
        <v>My Tran</v>
      </c>
      <c r="E273" s="190" t="str">
        <f>IFERROR(__xludf.DUMMYFUNCTION("""COMPUTED_VALUE"""),"Communication 1")</f>
        <v>Communication 1</v>
      </c>
      <c r="F273" s="190" t="str">
        <f>IFERROR(__xludf.DUMMYFUNCTION("""COMPUTED_VALUE"""),"Beginner")</f>
        <v>Beginner</v>
      </c>
      <c r="G273" s="190" t="str">
        <f>IFERROR(__xludf.DUMMYFUNCTION("""COMPUTED_VALUE"""),"Pre-Intermediate 1")</f>
        <v>Pre-Intermediate 1</v>
      </c>
      <c r="H273" s="219">
        <f>IFERROR(__xludf.DUMMYFUNCTION("""COMPUTED_VALUE"""),45763.54166666667)</f>
        <v>45763.54167</v>
      </c>
      <c r="I273" s="219">
        <f>IFERROR(__xludf.DUMMYFUNCTION("""COMPUTED_VALUE"""),45763.54166666667)</f>
        <v>45763.54167</v>
      </c>
      <c r="J273" s="190">
        <f>IFERROR(__xludf.DUMMYFUNCTION("""COMPUTED_VALUE"""),1.0)</f>
        <v>1</v>
      </c>
      <c r="K273" s="190">
        <f>IFERROR(__xludf.DUMMYFUNCTION("""COMPUTED_VALUE"""),3.0)</f>
        <v>3</v>
      </c>
      <c r="L273" s="190" t="str">
        <f>IFERROR(__xludf.DUMMYFUNCTION("""COMPUTED_VALUE"""),"QC")</f>
        <v>QC</v>
      </c>
      <c r="M273" s="190" t="str">
        <f>IFERROR(__xludf.DUMMYFUNCTION("""COMPUTED_VALUE"""),"LBU")</f>
        <v>LBU</v>
      </c>
      <c r="N273" s="220">
        <f>IFERROR(__xludf.DUMMYFUNCTION("""COMPUTED_VALUE"""),1.0)</f>
        <v>1</v>
      </c>
      <c r="O273" s="220">
        <f>IFERROR(__xludf.DUMMYFUNCTION("""COMPUTED_VALUE"""),3.0)</f>
        <v>3</v>
      </c>
      <c r="P273" s="220"/>
      <c r="Q273" s="190">
        <f t="shared" si="1"/>
        <v>1</v>
      </c>
      <c r="R273" s="211" t="s">
        <v>579</v>
      </c>
      <c r="S273" s="210" t="str">
        <f t="shared" si="2"/>
        <v>DEV</v>
      </c>
      <c r="T273" s="210" t="str">
        <f t="shared" si="3"/>
        <v>DEV, TA</v>
      </c>
      <c r="U273" s="231" t="s">
        <v>923</v>
      </c>
      <c r="X273" s="210"/>
      <c r="Y273" s="210"/>
      <c r="Z273" s="210"/>
      <c r="AA273" s="210"/>
      <c r="AB273" s="210"/>
      <c r="AC273" s="210"/>
      <c r="AD273" s="210"/>
      <c r="AE273" s="210"/>
      <c r="AF273" s="210"/>
      <c r="AG273" s="210"/>
      <c r="AH273" s="210"/>
      <c r="AI273" s="210"/>
      <c r="AJ273" s="210"/>
      <c r="AK273" s="210"/>
      <c r="AL273" s="210"/>
      <c r="AM273" s="210"/>
      <c r="AN273" s="210"/>
      <c r="AO273" s="210"/>
      <c r="AP273" s="210"/>
      <c r="AQ273" s="210"/>
    </row>
    <row r="274">
      <c r="A274" s="218" t="str">
        <f>IFERROR(__xludf.DUMMYFUNCTION("""COMPUTED_VALUE"""),"247359")</f>
        <v>247359</v>
      </c>
      <c r="B274" s="217" t="str">
        <f>IFERROR(__xludf.DUMMYFUNCTION("""COMPUTED_VALUE"""),"HỒ HUỲNH THÔNG")</f>
        <v>HỒ HUỲNH THÔNG</v>
      </c>
      <c r="C274" s="218" t="str">
        <f>IFERROR(__xludf.DUMMYFUNCTION("""COMPUTED_VALUE"""),"EL026")</f>
        <v>EL026</v>
      </c>
      <c r="D274" s="218" t="str">
        <f>IFERROR(__xludf.DUMMYFUNCTION("""COMPUTED_VALUE"""),"My Tran")</f>
        <v>My Tran</v>
      </c>
      <c r="E274" s="217" t="str">
        <f>IFERROR(__xludf.DUMMYFUNCTION("""COMPUTED_VALUE"""),"Communication 1")</f>
        <v>Communication 1</v>
      </c>
      <c r="F274" s="190" t="str">
        <f>IFERROR(__xludf.DUMMYFUNCTION("""COMPUTED_VALUE"""),"Pre-Intermediate")</f>
        <v>Pre-Intermediate</v>
      </c>
      <c r="G274" s="190" t="str">
        <f>IFERROR(__xludf.DUMMYFUNCTION("""COMPUTED_VALUE"""),"Pre-Intermediate 1")</f>
        <v>Pre-Intermediate 1</v>
      </c>
      <c r="H274" s="219">
        <f>IFERROR(__xludf.DUMMYFUNCTION("""COMPUTED_VALUE"""),45763.54166666667)</f>
        <v>45763.54167</v>
      </c>
      <c r="I274" s="219">
        <f>IFERROR(__xludf.DUMMYFUNCTION("""COMPUTED_VALUE"""),45763.54166666667)</f>
        <v>45763.54167</v>
      </c>
      <c r="J274" s="190">
        <f>IFERROR(__xludf.DUMMYFUNCTION("""COMPUTED_VALUE"""),2.5)</f>
        <v>2.5</v>
      </c>
      <c r="K274" s="190">
        <f>IFERROR(__xludf.DUMMYFUNCTION("""COMPUTED_VALUE"""),3.0)</f>
        <v>3</v>
      </c>
      <c r="L274" s="190" t="str">
        <f>IFERROR(__xludf.DUMMYFUNCTION("""COMPUTED_VALUE"""),"DEV")</f>
        <v>DEV</v>
      </c>
      <c r="M274" s="190" t="str">
        <f>IFERROR(__xludf.DUMMYFUNCTION("""COMPUTED_VALUE"""),"LBU")</f>
        <v>LBU</v>
      </c>
      <c r="N274" s="220">
        <f>IFERROR(__xludf.DUMMYFUNCTION("""COMPUTED_VALUE"""),2.5)</f>
        <v>2.5</v>
      </c>
      <c r="O274" s="220">
        <f>IFERROR(__xludf.DUMMYFUNCTION("""COMPUTED_VALUE"""),3.0)</f>
        <v>3</v>
      </c>
      <c r="P274" s="220"/>
      <c r="Q274" s="190">
        <f t="shared" si="1"/>
        <v>1</v>
      </c>
      <c r="R274" s="211" t="s">
        <v>613</v>
      </c>
      <c r="S274" s="210" t="str">
        <f t="shared" si="2"/>
        <v>DEV</v>
      </c>
      <c r="T274" s="210" t="str">
        <f t="shared" si="3"/>
        <v>DEV, TA</v>
      </c>
      <c r="U274" s="210" t="str">
        <f t="shared" ref="U274:U324" si="5">VLOOKUP(R274,$A$2:$P1581,13,0)</f>
        <v>ONC</v>
      </c>
      <c r="X274" s="210"/>
      <c r="Y274" s="210"/>
      <c r="Z274" s="210"/>
      <c r="AA274" s="210"/>
      <c r="AB274" s="210"/>
      <c r="AC274" s="210"/>
      <c r="AD274" s="210"/>
      <c r="AE274" s="210"/>
      <c r="AF274" s="210"/>
      <c r="AG274" s="210"/>
      <c r="AH274" s="210"/>
      <c r="AI274" s="210"/>
      <c r="AJ274" s="210"/>
      <c r="AK274" s="210"/>
      <c r="AL274" s="210"/>
      <c r="AM274" s="210"/>
      <c r="AN274" s="210"/>
      <c r="AO274" s="210"/>
      <c r="AP274" s="210"/>
      <c r="AQ274" s="210"/>
    </row>
    <row r="275">
      <c r="A275" s="223" t="str">
        <f>IFERROR(__xludf.DUMMYFUNCTION("""COMPUTED_VALUE"""),"237061")</f>
        <v>237061</v>
      </c>
      <c r="B275" s="190" t="str">
        <f>IFERROR(__xludf.DUMMYFUNCTION("""COMPUTED_VALUE"""),"NGUYỄN TẤN HUY")</f>
        <v>NGUYỄN TẤN HUY</v>
      </c>
      <c r="C275" s="223" t="str">
        <f>IFERROR(__xludf.DUMMYFUNCTION("""COMPUTED_VALUE"""),"EL026")</f>
        <v>EL026</v>
      </c>
      <c r="D275" s="223" t="str">
        <f>IFERROR(__xludf.DUMMYFUNCTION("""COMPUTED_VALUE"""),"My Tran")</f>
        <v>My Tran</v>
      </c>
      <c r="E275" s="190" t="str">
        <f>IFERROR(__xludf.DUMMYFUNCTION("""COMPUTED_VALUE"""),"Communication 1")</f>
        <v>Communication 1</v>
      </c>
      <c r="F275" s="190" t="str">
        <f>IFERROR(__xludf.DUMMYFUNCTION("""COMPUTED_VALUE"""),"Beginner")</f>
        <v>Beginner</v>
      </c>
      <c r="G275" s="190" t="str">
        <f>IFERROR(__xludf.DUMMYFUNCTION("""COMPUTED_VALUE"""),"Beginner")</f>
        <v>Beginner</v>
      </c>
      <c r="H275" s="219">
        <f>IFERROR(__xludf.DUMMYFUNCTION("""COMPUTED_VALUE"""),45763.54166666667)</f>
        <v>45763.54167</v>
      </c>
      <c r="I275" s="219">
        <f>IFERROR(__xludf.DUMMYFUNCTION("""COMPUTED_VALUE"""),45763.54166666667)</f>
        <v>45763.54167</v>
      </c>
      <c r="J275" s="190">
        <f>IFERROR(__xludf.DUMMYFUNCTION("""COMPUTED_VALUE"""),1.0)</f>
        <v>1</v>
      </c>
      <c r="K275" s="190">
        <f>IFERROR(__xludf.DUMMYFUNCTION("""COMPUTED_VALUE"""),1.0)</f>
        <v>1</v>
      </c>
      <c r="L275" s="190" t="str">
        <f>IFERROR(__xludf.DUMMYFUNCTION("""COMPUTED_VALUE"""),"DEV")</f>
        <v>DEV</v>
      </c>
      <c r="M275" s="190" t="str">
        <f>IFERROR(__xludf.DUMMYFUNCTION("""COMPUTED_VALUE"""),"LBU")</f>
        <v>LBU</v>
      </c>
      <c r="N275" s="220">
        <f>IFERROR(__xludf.DUMMYFUNCTION("""COMPUTED_VALUE"""),1.0)</f>
        <v>1</v>
      </c>
      <c r="O275" s="220">
        <f>IFERROR(__xludf.DUMMYFUNCTION("""COMPUTED_VALUE"""),1.5)</f>
        <v>1.5</v>
      </c>
      <c r="P275" s="220"/>
      <c r="Q275" s="190">
        <f t="shared" si="1"/>
        <v>1</v>
      </c>
      <c r="R275" s="211" t="s">
        <v>954</v>
      </c>
      <c r="S275" s="210" t="str">
        <f t="shared" si="2"/>
        <v>DEV</v>
      </c>
      <c r="T275" s="210" t="str">
        <f t="shared" si="3"/>
        <v>DEV, TA</v>
      </c>
      <c r="U275" s="210" t="str">
        <f t="shared" si="5"/>
        <v>ONC</v>
      </c>
      <c r="X275" s="210"/>
      <c r="Y275" s="210"/>
      <c r="Z275" s="210"/>
      <c r="AA275" s="210"/>
      <c r="AB275" s="210"/>
      <c r="AC275" s="210"/>
      <c r="AD275" s="210"/>
      <c r="AE275" s="210"/>
      <c r="AF275" s="210"/>
      <c r="AG275" s="210"/>
      <c r="AH275" s="210"/>
      <c r="AI275" s="210"/>
      <c r="AJ275" s="210"/>
      <c r="AK275" s="210"/>
      <c r="AL275" s="210"/>
      <c r="AM275" s="210"/>
      <c r="AN275" s="210"/>
      <c r="AO275" s="210"/>
      <c r="AP275" s="210"/>
      <c r="AQ275" s="210"/>
    </row>
    <row r="276">
      <c r="A276" s="223" t="str">
        <f>IFERROR(__xludf.DUMMYFUNCTION("""COMPUTED_VALUE"""),"227008")</f>
        <v>227008</v>
      </c>
      <c r="B276" s="190" t="str">
        <f>IFERROR(__xludf.DUMMYFUNCTION("""COMPUTED_VALUE"""),"PHẠM ĐỨC ÁO")</f>
        <v>PHẠM ĐỨC ÁO</v>
      </c>
      <c r="C276" s="223" t="str">
        <f>IFERROR(__xludf.DUMMYFUNCTION("""COMPUTED_VALUE"""),"EL026")</f>
        <v>EL026</v>
      </c>
      <c r="D276" s="223" t="str">
        <f>IFERROR(__xludf.DUMMYFUNCTION("""COMPUTED_VALUE"""),"My Tran")</f>
        <v>My Tran</v>
      </c>
      <c r="E276" s="190" t="str">
        <f>IFERROR(__xludf.DUMMYFUNCTION("""COMPUTED_VALUE"""),"Communication 1")</f>
        <v>Communication 1</v>
      </c>
      <c r="F276" s="190" t="str">
        <f>IFERROR(__xludf.DUMMYFUNCTION("""COMPUTED_VALUE"""),"Beginner")</f>
        <v>Beginner</v>
      </c>
      <c r="G276" s="190" t="str">
        <f>IFERROR(__xludf.DUMMYFUNCTION("""COMPUTED_VALUE"""),"Beginner")</f>
        <v>Beginner</v>
      </c>
      <c r="H276" s="219">
        <f>IFERROR(__xludf.DUMMYFUNCTION("""COMPUTED_VALUE"""),45763.54166666667)</f>
        <v>45763.54167</v>
      </c>
      <c r="I276" s="219">
        <f>IFERROR(__xludf.DUMMYFUNCTION("""COMPUTED_VALUE"""),45763.54166666667)</f>
        <v>45763.54167</v>
      </c>
      <c r="J276" s="190">
        <f>IFERROR(__xludf.DUMMYFUNCTION("""COMPUTED_VALUE"""),1.0)</f>
        <v>1</v>
      </c>
      <c r="K276" s="190">
        <f>IFERROR(__xludf.DUMMYFUNCTION("""COMPUTED_VALUE"""),1.0)</f>
        <v>1</v>
      </c>
      <c r="L276" s="190" t="str">
        <f>IFERROR(__xludf.DUMMYFUNCTION("""COMPUTED_VALUE"""),"DEV")</f>
        <v>DEV</v>
      </c>
      <c r="M276" s="190" t="str">
        <f>IFERROR(__xludf.DUMMYFUNCTION("""COMPUTED_VALUE"""),"LBU")</f>
        <v>LBU</v>
      </c>
      <c r="N276" s="220">
        <f>IFERROR(__xludf.DUMMYFUNCTION("""COMPUTED_VALUE"""),1.0)</f>
        <v>1</v>
      </c>
      <c r="O276" s="220">
        <f>IFERROR(__xludf.DUMMYFUNCTION("""COMPUTED_VALUE"""),1.0)</f>
        <v>1</v>
      </c>
      <c r="P276" s="220"/>
      <c r="Q276" s="190">
        <f t="shared" si="1"/>
        <v>1</v>
      </c>
      <c r="R276" s="211" t="s">
        <v>725</v>
      </c>
      <c r="S276" s="210" t="str">
        <f t="shared" si="2"/>
        <v>DEV</v>
      </c>
      <c r="T276" s="210" t="str">
        <f t="shared" si="3"/>
        <v>DEV, TA</v>
      </c>
      <c r="U276" s="210" t="str">
        <f t="shared" si="5"/>
        <v>ONC</v>
      </c>
      <c r="X276" s="210"/>
      <c r="Y276" s="210"/>
      <c r="Z276" s="210"/>
      <c r="AA276" s="210"/>
      <c r="AB276" s="210"/>
      <c r="AC276" s="210"/>
      <c r="AD276" s="210"/>
      <c r="AE276" s="210"/>
      <c r="AF276" s="210"/>
      <c r="AG276" s="210"/>
      <c r="AH276" s="210"/>
      <c r="AI276" s="210"/>
      <c r="AJ276" s="210"/>
      <c r="AK276" s="210"/>
      <c r="AL276" s="210"/>
      <c r="AM276" s="210"/>
      <c r="AN276" s="210"/>
      <c r="AO276" s="210"/>
      <c r="AP276" s="210"/>
      <c r="AQ276" s="210"/>
    </row>
    <row r="277">
      <c r="A277" s="223" t="str">
        <f>IFERROR(__xludf.DUMMYFUNCTION("""COMPUTED_VALUE"""),"227069")</f>
        <v>227069</v>
      </c>
      <c r="B277" s="190" t="str">
        <f>IFERROR(__xludf.DUMMYFUNCTION("""COMPUTED_VALUE"""),"TÔ PHƯỚC THÁI")</f>
        <v>TÔ PHƯỚC THÁI</v>
      </c>
      <c r="C277" s="223" t="str">
        <f>IFERROR(__xludf.DUMMYFUNCTION("""COMPUTED_VALUE"""),"EL026")</f>
        <v>EL026</v>
      </c>
      <c r="D277" s="223" t="str">
        <f>IFERROR(__xludf.DUMMYFUNCTION("""COMPUTED_VALUE"""),"My Tran")</f>
        <v>My Tran</v>
      </c>
      <c r="E277" s="190" t="str">
        <f>IFERROR(__xludf.DUMMYFUNCTION("""COMPUTED_VALUE"""),"Communication 1")</f>
        <v>Communication 1</v>
      </c>
      <c r="F277" s="190" t="str">
        <f>IFERROR(__xludf.DUMMYFUNCTION("""COMPUTED_VALUE"""),"Beginner")</f>
        <v>Beginner</v>
      </c>
      <c r="G277" s="190" t="str">
        <f>IFERROR(__xludf.DUMMYFUNCTION("""COMPUTED_VALUE"""),"Beginner")</f>
        <v>Beginner</v>
      </c>
      <c r="H277" s="219">
        <f>IFERROR(__xludf.DUMMYFUNCTION("""COMPUTED_VALUE"""),45763.54166666667)</f>
        <v>45763.54167</v>
      </c>
      <c r="I277" s="219">
        <f>IFERROR(__xludf.DUMMYFUNCTION("""COMPUTED_VALUE"""),45763.54166666667)</f>
        <v>45763.54167</v>
      </c>
      <c r="J277" s="190">
        <f>IFERROR(__xludf.DUMMYFUNCTION("""COMPUTED_VALUE"""),1.0)</f>
        <v>1</v>
      </c>
      <c r="K277" s="190">
        <f>IFERROR(__xludf.DUMMYFUNCTION("""COMPUTED_VALUE"""),1.0)</f>
        <v>1</v>
      </c>
      <c r="L277" s="190" t="str">
        <f>IFERROR(__xludf.DUMMYFUNCTION("""COMPUTED_VALUE"""),"DEV")</f>
        <v>DEV</v>
      </c>
      <c r="M277" s="190" t="str">
        <f>IFERROR(__xludf.DUMMYFUNCTION("""COMPUTED_VALUE"""),"LBU")</f>
        <v>LBU</v>
      </c>
      <c r="N277" s="220">
        <f>IFERROR(__xludf.DUMMYFUNCTION("""COMPUTED_VALUE"""),1.0)</f>
        <v>1</v>
      </c>
      <c r="O277" s="220">
        <f>IFERROR(__xludf.DUMMYFUNCTION("""COMPUTED_VALUE"""),1.0)</f>
        <v>1</v>
      </c>
      <c r="P277" s="220"/>
      <c r="Q277" s="190">
        <f t="shared" si="1"/>
        <v>1</v>
      </c>
      <c r="R277" s="211" t="s">
        <v>727</v>
      </c>
      <c r="S277" s="210" t="str">
        <f t="shared" si="2"/>
        <v>DEV</v>
      </c>
      <c r="T277" s="210" t="str">
        <f t="shared" si="3"/>
        <v>DEV, TA</v>
      </c>
      <c r="U277" s="210" t="str">
        <f t="shared" si="5"/>
        <v>ONC</v>
      </c>
      <c r="X277" s="210"/>
      <c r="Y277" s="210"/>
      <c r="Z277" s="210"/>
      <c r="AA277" s="210"/>
      <c r="AB277" s="210"/>
      <c r="AC277" s="210"/>
      <c r="AD277" s="210"/>
      <c r="AE277" s="210"/>
      <c r="AF277" s="210"/>
      <c r="AG277" s="210"/>
      <c r="AH277" s="210"/>
      <c r="AI277" s="210"/>
      <c r="AJ277" s="210"/>
      <c r="AK277" s="210"/>
      <c r="AL277" s="210"/>
      <c r="AM277" s="210"/>
      <c r="AN277" s="210"/>
      <c r="AO277" s="210"/>
      <c r="AP277" s="210"/>
      <c r="AQ277" s="210"/>
    </row>
    <row r="278">
      <c r="A278" s="223" t="str">
        <f>IFERROR(__xludf.DUMMYFUNCTION("""COMPUTED_VALUE"""),"237246")</f>
        <v>237246</v>
      </c>
      <c r="B278" s="190" t="str">
        <f>IFERROR(__xludf.DUMMYFUNCTION("""COMPUTED_VALUE"""),"TRẦN HƯƠNG QUỲNH")</f>
        <v>TRẦN HƯƠNG QUỲNH</v>
      </c>
      <c r="C278" s="223" t="str">
        <f>IFERROR(__xludf.DUMMYFUNCTION("""COMPUTED_VALUE"""),"EL026")</f>
        <v>EL026</v>
      </c>
      <c r="D278" s="223" t="str">
        <f>IFERROR(__xludf.DUMMYFUNCTION("""COMPUTED_VALUE"""),"My Tran")</f>
        <v>My Tran</v>
      </c>
      <c r="E278" s="190" t="str">
        <f>IFERROR(__xludf.DUMMYFUNCTION("""COMPUTED_VALUE"""),"Communication 1")</f>
        <v>Communication 1</v>
      </c>
      <c r="F278" s="190" t="str">
        <f>IFERROR(__xludf.DUMMYFUNCTION("""COMPUTED_VALUE"""),"Beginner")</f>
        <v>Beginner</v>
      </c>
      <c r="G278" s="190" t="str">
        <f>IFERROR(__xludf.DUMMYFUNCTION("""COMPUTED_VALUE"""),"Pre-Intermediate 2")</f>
        <v>Pre-Intermediate 2</v>
      </c>
      <c r="H278" s="219">
        <f>IFERROR(__xludf.DUMMYFUNCTION("""COMPUTED_VALUE"""),45763.54166666667)</f>
        <v>45763.54167</v>
      </c>
      <c r="I278" s="219">
        <f>IFERROR(__xludf.DUMMYFUNCTION("""COMPUTED_VALUE"""),45763.54166666667)</f>
        <v>45763.54167</v>
      </c>
      <c r="J278" s="190">
        <f>IFERROR(__xludf.DUMMYFUNCTION("""COMPUTED_VALUE"""),1.0)</f>
        <v>1</v>
      </c>
      <c r="K278" s="190">
        <f>IFERROR(__xludf.DUMMYFUNCTION("""COMPUTED_VALUE"""),3.5)</f>
        <v>3.5</v>
      </c>
      <c r="L278" s="190" t="str">
        <f>IFERROR(__xludf.DUMMYFUNCTION("""COMPUTED_VALUE"""),"QC")</f>
        <v>QC</v>
      </c>
      <c r="M278" s="190" t="str">
        <f>IFERROR(__xludf.DUMMYFUNCTION("""COMPUTED_VALUE"""),"LBU")</f>
        <v>LBU</v>
      </c>
      <c r="N278" s="220">
        <f>IFERROR(__xludf.DUMMYFUNCTION("""COMPUTED_VALUE"""),1.0)</f>
        <v>1</v>
      </c>
      <c r="O278" s="220">
        <f>IFERROR(__xludf.DUMMYFUNCTION("""COMPUTED_VALUE"""),3.5)</f>
        <v>3.5</v>
      </c>
      <c r="P278" s="220"/>
      <c r="Q278" s="190">
        <f t="shared" si="1"/>
        <v>1</v>
      </c>
      <c r="R278" s="211" t="s">
        <v>729</v>
      </c>
      <c r="S278" s="210" t="str">
        <f t="shared" si="2"/>
        <v>DEV</v>
      </c>
      <c r="T278" s="210" t="str">
        <f t="shared" si="3"/>
        <v>DEV, TA</v>
      </c>
      <c r="U278" s="210" t="str">
        <f t="shared" si="5"/>
        <v>ONC</v>
      </c>
      <c r="X278" s="210"/>
      <c r="Y278" s="210"/>
      <c r="Z278" s="210"/>
      <c r="AA278" s="210"/>
      <c r="AB278" s="210"/>
      <c r="AC278" s="210"/>
      <c r="AD278" s="210"/>
      <c r="AE278" s="210"/>
      <c r="AF278" s="210"/>
      <c r="AG278" s="210"/>
      <c r="AH278" s="210"/>
      <c r="AI278" s="210"/>
      <c r="AJ278" s="210"/>
      <c r="AK278" s="210"/>
      <c r="AL278" s="210"/>
      <c r="AM278" s="210"/>
      <c r="AN278" s="210"/>
      <c r="AO278" s="210"/>
      <c r="AP278" s="210"/>
      <c r="AQ278" s="210"/>
    </row>
    <row r="279">
      <c r="A279" s="223" t="str">
        <f>IFERROR(__xludf.DUMMYFUNCTION("""COMPUTED_VALUE"""),"237245")</f>
        <v>237245</v>
      </c>
      <c r="B279" s="190" t="str">
        <f>IFERROR(__xludf.DUMMYFUNCTION("""COMPUTED_VALUE"""),"TỪ NGUYỄN MINH NHẬT")</f>
        <v>TỪ NGUYỄN MINH NHẬT</v>
      </c>
      <c r="C279" s="223" t="str">
        <f>IFERROR(__xludf.DUMMYFUNCTION("""COMPUTED_VALUE"""),"EL026")</f>
        <v>EL026</v>
      </c>
      <c r="D279" s="223" t="str">
        <f>IFERROR(__xludf.DUMMYFUNCTION("""COMPUTED_VALUE"""),"My Tran")</f>
        <v>My Tran</v>
      </c>
      <c r="E279" s="190" t="str">
        <f>IFERROR(__xludf.DUMMYFUNCTION("""COMPUTED_VALUE"""),"Communication 1")</f>
        <v>Communication 1</v>
      </c>
      <c r="F279" s="190" t="str">
        <f>IFERROR(__xludf.DUMMYFUNCTION("""COMPUTED_VALUE"""),"Beginner")</f>
        <v>Beginner</v>
      </c>
      <c r="G279" s="190" t="str">
        <f>IFERROR(__xludf.DUMMYFUNCTION("""COMPUTED_VALUE"""),"Beginner")</f>
        <v>Beginner</v>
      </c>
      <c r="H279" s="219">
        <f>IFERROR(__xludf.DUMMYFUNCTION("""COMPUTED_VALUE"""),45763.54166666667)</f>
        <v>45763.54167</v>
      </c>
      <c r="I279" s="219">
        <f>IFERROR(__xludf.DUMMYFUNCTION("""COMPUTED_VALUE"""),45763.54166666667)</f>
        <v>45763.54167</v>
      </c>
      <c r="J279" s="190">
        <f>IFERROR(__xludf.DUMMYFUNCTION("""COMPUTED_VALUE"""),1.0)</f>
        <v>1</v>
      </c>
      <c r="K279" s="190">
        <f>IFERROR(__xludf.DUMMYFUNCTION("""COMPUTED_VALUE"""),1.0)</f>
        <v>1</v>
      </c>
      <c r="L279" s="190" t="str">
        <f>IFERROR(__xludf.DUMMYFUNCTION("""COMPUTED_VALUE"""),"DEV")</f>
        <v>DEV</v>
      </c>
      <c r="M279" s="190" t="str">
        <f>IFERROR(__xludf.DUMMYFUNCTION("""COMPUTED_VALUE"""),"LBU")</f>
        <v>LBU</v>
      </c>
      <c r="N279" s="220">
        <f>IFERROR(__xludf.DUMMYFUNCTION("""COMPUTED_VALUE"""),1.0)</f>
        <v>1</v>
      </c>
      <c r="O279" s="220">
        <f>IFERROR(__xludf.DUMMYFUNCTION("""COMPUTED_VALUE"""),1.5)</f>
        <v>1.5</v>
      </c>
      <c r="P279" s="220"/>
      <c r="Q279" s="190">
        <f t="shared" si="1"/>
        <v>1</v>
      </c>
      <c r="R279" s="211" t="s">
        <v>731</v>
      </c>
      <c r="S279" s="210" t="str">
        <f t="shared" si="2"/>
        <v>DEV</v>
      </c>
      <c r="T279" s="210" t="str">
        <f t="shared" si="3"/>
        <v>DEV, TA</v>
      </c>
      <c r="U279" s="210" t="str">
        <f t="shared" si="5"/>
        <v>ONC</v>
      </c>
      <c r="X279" s="210"/>
      <c r="Y279" s="210"/>
      <c r="Z279" s="210"/>
      <c r="AA279" s="210"/>
      <c r="AB279" s="210"/>
      <c r="AC279" s="210"/>
      <c r="AD279" s="210"/>
      <c r="AE279" s="210"/>
      <c r="AF279" s="210"/>
      <c r="AG279" s="210"/>
      <c r="AH279" s="210"/>
      <c r="AI279" s="210"/>
      <c r="AJ279" s="210"/>
      <c r="AK279" s="210"/>
      <c r="AL279" s="210"/>
      <c r="AM279" s="210"/>
      <c r="AN279" s="210"/>
      <c r="AO279" s="210"/>
      <c r="AP279" s="210"/>
      <c r="AQ279" s="210"/>
    </row>
    <row r="280">
      <c r="A280" s="223" t="str">
        <f>IFERROR(__xludf.DUMMYFUNCTION("""COMPUTED_VALUE"""),"227188")</f>
        <v>227188</v>
      </c>
      <c r="B280" s="190" t="str">
        <f>IFERROR(__xludf.DUMMYFUNCTION("""COMPUTED_VALUE"""),"VÕ THỊ TUYẾT HỒNG")</f>
        <v>VÕ THỊ TUYẾT HỒNG</v>
      </c>
      <c r="C280" s="223" t="str">
        <f>IFERROR(__xludf.DUMMYFUNCTION("""COMPUTED_VALUE"""),"EL026")</f>
        <v>EL026</v>
      </c>
      <c r="D280" s="223" t="str">
        <f>IFERROR(__xludf.DUMMYFUNCTION("""COMPUTED_VALUE"""),"My Tran")</f>
        <v>My Tran</v>
      </c>
      <c r="E280" s="190" t="str">
        <f>IFERROR(__xludf.DUMMYFUNCTION("""COMPUTED_VALUE"""),"Communication 1")</f>
        <v>Communication 1</v>
      </c>
      <c r="F280" s="190" t="str">
        <f>IFERROR(__xludf.DUMMYFUNCTION("""COMPUTED_VALUE"""),"Beginner")</f>
        <v>Beginner</v>
      </c>
      <c r="G280" s="190" t="str">
        <f>IFERROR(__xludf.DUMMYFUNCTION("""COMPUTED_VALUE"""),"Beginner")</f>
        <v>Beginner</v>
      </c>
      <c r="H280" s="219">
        <f>IFERROR(__xludf.DUMMYFUNCTION("""COMPUTED_VALUE"""),45763.54166666667)</f>
        <v>45763.54167</v>
      </c>
      <c r="I280" s="219">
        <f>IFERROR(__xludf.DUMMYFUNCTION("""COMPUTED_VALUE"""),45763.54166666667)</f>
        <v>45763.54167</v>
      </c>
      <c r="J280" s="190">
        <f>IFERROR(__xludf.DUMMYFUNCTION("""COMPUTED_VALUE"""),1.0)</f>
        <v>1</v>
      </c>
      <c r="K280" s="190">
        <f>IFERROR(__xludf.DUMMYFUNCTION("""COMPUTED_VALUE"""),1.0)</f>
        <v>1</v>
      </c>
      <c r="L280" s="190" t="str">
        <f>IFERROR(__xludf.DUMMYFUNCTION("""COMPUTED_VALUE"""),"DEV")</f>
        <v>DEV</v>
      </c>
      <c r="M280" s="190" t="str">
        <f>IFERROR(__xludf.DUMMYFUNCTION("""COMPUTED_VALUE"""),"LBU")</f>
        <v>LBU</v>
      </c>
      <c r="N280" s="220">
        <f>IFERROR(__xludf.DUMMYFUNCTION("""COMPUTED_VALUE"""),1.0)</f>
        <v>1</v>
      </c>
      <c r="O280" s="220">
        <f>IFERROR(__xludf.DUMMYFUNCTION("""COMPUTED_VALUE"""),3.5)</f>
        <v>3.5</v>
      </c>
      <c r="P280" s="220"/>
      <c r="Q280" s="190">
        <f t="shared" si="1"/>
        <v>1</v>
      </c>
      <c r="R280" s="211" t="s">
        <v>733</v>
      </c>
      <c r="S280" s="210" t="str">
        <f t="shared" si="2"/>
        <v>DEV</v>
      </c>
      <c r="T280" s="210" t="str">
        <f t="shared" si="3"/>
        <v>DEV, TA</v>
      </c>
      <c r="U280" s="210" t="str">
        <f t="shared" si="5"/>
        <v>ONC</v>
      </c>
      <c r="X280" s="210"/>
      <c r="Y280" s="210"/>
      <c r="Z280" s="210"/>
      <c r="AA280" s="210"/>
      <c r="AB280" s="210"/>
      <c r="AC280" s="210"/>
      <c r="AD280" s="210"/>
      <c r="AE280" s="210"/>
      <c r="AF280" s="210"/>
      <c r="AG280" s="210"/>
      <c r="AH280" s="210"/>
      <c r="AI280" s="210"/>
      <c r="AJ280" s="210"/>
      <c r="AK280" s="210"/>
      <c r="AL280" s="210"/>
      <c r="AM280" s="210"/>
      <c r="AN280" s="210"/>
      <c r="AO280" s="210"/>
      <c r="AP280" s="210"/>
      <c r="AQ280" s="210"/>
    </row>
    <row r="281">
      <c r="A281" s="223" t="str">
        <f>IFERROR(__xludf.DUMMYFUNCTION("""COMPUTED_VALUE"""),"247359")</f>
        <v>247359</v>
      </c>
      <c r="B281" s="190" t="str">
        <f>IFERROR(__xludf.DUMMYFUNCTION("""COMPUTED_VALUE"""),"HỒ HUỲNH THÔNG")</f>
        <v>HỒ HUỲNH THÔNG</v>
      </c>
      <c r="C281" s="223" t="str">
        <f>IFERROR(__xludf.DUMMYFUNCTION("""COMPUTED_VALUE"""),"EL026")</f>
        <v>EL026</v>
      </c>
      <c r="D281" s="223" t="str">
        <f>IFERROR(__xludf.DUMMYFUNCTION("""COMPUTED_VALUE"""),"My Tran")</f>
        <v>My Tran</v>
      </c>
      <c r="E281" s="190" t="str">
        <f>IFERROR(__xludf.DUMMYFUNCTION("""COMPUTED_VALUE"""),"Communication 2")</f>
        <v>Communication 2</v>
      </c>
      <c r="F281" s="190" t="str">
        <f>IFERROR(__xludf.DUMMYFUNCTION("""COMPUTED_VALUE"""),"Pre-Intermediate")</f>
        <v>Pre-Intermediate</v>
      </c>
      <c r="G281" s="190" t="str">
        <f>IFERROR(__xludf.DUMMYFUNCTION("""COMPUTED_VALUE"""),"Pre-Intermediate 1")</f>
        <v>Pre-Intermediate 1</v>
      </c>
      <c r="H281" s="219">
        <f>IFERROR(__xludf.DUMMYFUNCTION("""COMPUTED_VALUE"""),45895.58333333333)</f>
        <v>45895.58333</v>
      </c>
      <c r="I281" s="219">
        <f>IFERROR(__xludf.DUMMYFUNCTION("""COMPUTED_VALUE"""),45763.54166666667)</f>
        <v>45763.54167</v>
      </c>
      <c r="J281" s="190">
        <f>IFERROR(__xludf.DUMMYFUNCTION("""COMPUTED_VALUE"""),2.5)</f>
        <v>2.5</v>
      </c>
      <c r="K281" s="190">
        <f>IFERROR(__xludf.DUMMYFUNCTION("""COMPUTED_VALUE"""),3.0)</f>
        <v>3</v>
      </c>
      <c r="L281" s="190" t="str">
        <f>IFERROR(__xludf.DUMMYFUNCTION("""COMPUTED_VALUE"""),"DEV")</f>
        <v>DEV</v>
      </c>
      <c r="M281" s="190" t="str">
        <f>IFERROR(__xludf.DUMMYFUNCTION("""COMPUTED_VALUE"""),"LBU")</f>
        <v>LBU</v>
      </c>
      <c r="N281" s="220">
        <f>IFERROR(__xludf.DUMMYFUNCTION("""COMPUTED_VALUE"""),2.5)</f>
        <v>2.5</v>
      </c>
      <c r="O281" s="220">
        <f>IFERROR(__xludf.DUMMYFUNCTION("""COMPUTED_VALUE"""),3.0)</f>
        <v>3</v>
      </c>
      <c r="P281" s="220"/>
      <c r="Q281" s="190">
        <f t="shared" si="1"/>
        <v>1</v>
      </c>
      <c r="R281" s="211" t="s">
        <v>735</v>
      </c>
      <c r="S281" s="210" t="str">
        <f t="shared" si="2"/>
        <v>DEV</v>
      </c>
      <c r="T281" s="210" t="str">
        <f t="shared" si="3"/>
        <v>DEV, TA</v>
      </c>
      <c r="U281" s="210" t="str">
        <f t="shared" si="5"/>
        <v>ONC</v>
      </c>
      <c r="X281" s="210"/>
      <c r="Y281" s="210"/>
      <c r="Z281" s="210"/>
      <c r="AA281" s="210"/>
      <c r="AB281" s="210"/>
      <c r="AC281" s="210"/>
      <c r="AD281" s="210"/>
      <c r="AE281" s="210"/>
      <c r="AF281" s="210"/>
      <c r="AG281" s="210"/>
      <c r="AH281" s="210"/>
      <c r="AI281" s="210"/>
      <c r="AJ281" s="210"/>
      <c r="AK281" s="210"/>
      <c r="AL281" s="210"/>
      <c r="AM281" s="210"/>
      <c r="AN281" s="210"/>
      <c r="AO281" s="210"/>
      <c r="AP281" s="210"/>
      <c r="AQ281" s="210"/>
    </row>
    <row r="282">
      <c r="A282" s="218" t="str">
        <f>IFERROR(__xludf.DUMMYFUNCTION("""COMPUTED_VALUE"""),"227144")</f>
        <v>227144</v>
      </c>
      <c r="B282" s="217" t="str">
        <f>IFERROR(__xludf.DUMMYFUNCTION("""COMPUTED_VALUE"""),"TRẦN THỊ HOÀN MỸ")</f>
        <v>TRẦN THỊ HOÀN MỸ</v>
      </c>
      <c r="C282" s="218" t="str">
        <f>IFERROR(__xludf.DUMMYFUNCTION("""COMPUTED_VALUE"""),"EL026")</f>
        <v>EL026</v>
      </c>
      <c r="D282" s="218" t="str">
        <f>IFERROR(__xludf.DUMMYFUNCTION("""COMPUTED_VALUE"""),"My Tran")</f>
        <v>My Tran</v>
      </c>
      <c r="E282" s="217" t="str">
        <f>IFERROR(__xludf.DUMMYFUNCTION("""COMPUTED_VALUE"""),"Communication 2")</f>
        <v>Communication 2</v>
      </c>
      <c r="F282" s="190" t="str">
        <f>IFERROR(__xludf.DUMMYFUNCTION("""COMPUTED_VALUE"""),"Pre-Intermediate 1")</f>
        <v>Pre-Intermediate 1</v>
      </c>
      <c r="G282" s="190"/>
      <c r="H282" s="219">
        <f>IFERROR(__xludf.DUMMYFUNCTION("""COMPUTED_VALUE"""),45895.58333333333)</f>
        <v>45895.58333</v>
      </c>
      <c r="I282" s="219">
        <f>IFERROR(__xludf.DUMMYFUNCTION("""COMPUTED_VALUE"""),45763.54166666667)</f>
        <v>45763.54167</v>
      </c>
      <c r="J282" s="190">
        <f>IFERROR(__xludf.DUMMYFUNCTION("""COMPUTED_VALUE"""),3.0)</f>
        <v>3</v>
      </c>
      <c r="K282" s="190" t="str">
        <f>IFERROR(__xludf.DUMMYFUNCTION("""COMPUTED_VALUE"""),"")</f>
        <v/>
      </c>
      <c r="L282" s="190" t="str">
        <f>IFERROR(__xludf.DUMMYFUNCTION("""COMPUTED_VALUE"""),"QC")</f>
        <v>QC</v>
      </c>
      <c r="M282" s="190" t="str">
        <f>IFERROR(__xludf.DUMMYFUNCTION("""COMPUTED_VALUE"""),"LBU")</f>
        <v>LBU</v>
      </c>
      <c r="N282" s="220">
        <f>IFERROR(__xludf.DUMMYFUNCTION("""COMPUTED_VALUE"""),1.0)</f>
        <v>1</v>
      </c>
      <c r="O282" s="220">
        <f>IFERROR(__xludf.DUMMYFUNCTION("""COMPUTED_VALUE"""),3.0)</f>
        <v>3</v>
      </c>
      <c r="P282" s="220"/>
      <c r="Q282" s="190">
        <f t="shared" si="1"/>
        <v>1</v>
      </c>
      <c r="R282" s="211" t="s">
        <v>737</v>
      </c>
      <c r="S282" s="210" t="str">
        <f t="shared" si="2"/>
        <v>DEV</v>
      </c>
      <c r="T282" s="210" t="str">
        <f t="shared" si="3"/>
        <v>DEV, TA</v>
      </c>
      <c r="U282" s="210" t="str">
        <f t="shared" si="5"/>
        <v>ONC</v>
      </c>
      <c r="X282" s="210"/>
      <c r="Y282" s="210"/>
      <c r="Z282" s="210"/>
      <c r="AA282" s="210"/>
      <c r="AB282" s="210"/>
      <c r="AC282" s="210"/>
      <c r="AD282" s="210"/>
      <c r="AE282" s="210"/>
      <c r="AF282" s="210"/>
      <c r="AG282" s="210"/>
      <c r="AH282" s="210"/>
      <c r="AI282" s="210"/>
      <c r="AJ282" s="210"/>
      <c r="AK282" s="210"/>
      <c r="AL282" s="210"/>
      <c r="AM282" s="210"/>
      <c r="AN282" s="210"/>
      <c r="AO282" s="210"/>
      <c r="AP282" s="210"/>
      <c r="AQ282" s="210"/>
    </row>
    <row r="283">
      <c r="A283" s="223" t="str">
        <f>IFERROR(__xludf.DUMMYFUNCTION("""COMPUTED_VALUE"""),"237043")</f>
        <v>237043</v>
      </c>
      <c r="B283" s="190" t="str">
        <f>IFERROR(__xludf.DUMMYFUNCTION("""COMPUTED_VALUE"""),"HUỲNH BỬU BỬU")</f>
        <v>HUỲNH BỬU BỬU</v>
      </c>
      <c r="C283" s="223" t="str">
        <f>IFERROR(__xludf.DUMMYFUNCTION("""COMPUTED_VALUE"""),"EL026")</f>
        <v>EL026</v>
      </c>
      <c r="D283" s="223" t="str">
        <f>IFERROR(__xludf.DUMMYFUNCTION("""COMPUTED_VALUE"""),"My Tran")</f>
        <v>My Tran</v>
      </c>
      <c r="E283" s="190" t="str">
        <f>IFERROR(__xludf.DUMMYFUNCTION("""COMPUTED_VALUE"""),"Communication 2")</f>
        <v>Communication 2</v>
      </c>
      <c r="F283" s="190" t="str">
        <f>IFERROR(__xludf.DUMMYFUNCTION("""COMPUTED_VALUE"""),"Pre-Intermediate 1")</f>
        <v>Pre-Intermediate 1</v>
      </c>
      <c r="G283" s="190"/>
      <c r="H283" s="219">
        <f>IFERROR(__xludf.DUMMYFUNCTION("""COMPUTED_VALUE"""),45895.58333333333)</f>
        <v>45895.58333</v>
      </c>
      <c r="I283" s="219">
        <f>IFERROR(__xludf.DUMMYFUNCTION("""COMPUTED_VALUE"""),45639.41666666667)</f>
        <v>45639.41667</v>
      </c>
      <c r="J283" s="190">
        <f>IFERROR(__xludf.DUMMYFUNCTION("""COMPUTED_VALUE"""),3.0)</f>
        <v>3</v>
      </c>
      <c r="K283" s="190" t="str">
        <f>IFERROR(__xludf.DUMMYFUNCTION("""COMPUTED_VALUE"""),"")</f>
        <v/>
      </c>
      <c r="L283" s="190" t="str">
        <f>IFERROR(__xludf.DUMMYFUNCTION("""COMPUTED_VALUE"""),"DEV")</f>
        <v>DEV</v>
      </c>
      <c r="M283" s="190" t="str">
        <f>IFERROR(__xludf.DUMMYFUNCTION("""COMPUTED_VALUE"""),"LBU")</f>
        <v>LBU</v>
      </c>
      <c r="N283" s="220">
        <f>IFERROR(__xludf.DUMMYFUNCTION("""COMPUTED_VALUE"""),1.0)</f>
        <v>1</v>
      </c>
      <c r="O283" s="220">
        <f>IFERROR(__xludf.DUMMYFUNCTION("""COMPUTED_VALUE"""),3.0)</f>
        <v>3</v>
      </c>
      <c r="P283" s="220"/>
      <c r="Q283" s="190">
        <f t="shared" si="1"/>
        <v>1</v>
      </c>
      <c r="R283" s="211" t="s">
        <v>739</v>
      </c>
      <c r="S283" s="210" t="str">
        <f t="shared" si="2"/>
        <v>DEV</v>
      </c>
      <c r="T283" s="210" t="str">
        <f t="shared" si="3"/>
        <v>DEV, TA</v>
      </c>
      <c r="U283" s="210" t="str">
        <f t="shared" si="5"/>
        <v>ONC</v>
      </c>
      <c r="X283" s="210"/>
      <c r="Y283" s="210"/>
      <c r="Z283" s="210"/>
      <c r="AA283" s="210"/>
      <c r="AB283" s="210"/>
      <c r="AC283" s="210"/>
      <c r="AD283" s="210"/>
      <c r="AE283" s="210"/>
      <c r="AF283" s="210"/>
      <c r="AG283" s="210"/>
      <c r="AH283" s="210"/>
      <c r="AI283" s="210"/>
      <c r="AJ283" s="210"/>
      <c r="AK283" s="210"/>
      <c r="AL283" s="210"/>
      <c r="AM283" s="210"/>
      <c r="AN283" s="210"/>
      <c r="AO283" s="210"/>
      <c r="AP283" s="210"/>
      <c r="AQ283" s="210"/>
    </row>
    <row r="284">
      <c r="A284" s="223" t="str">
        <f>IFERROR(__xludf.DUMMYFUNCTION("""COMPUTED_VALUE"""),"247298")</f>
        <v>247298</v>
      </c>
      <c r="B284" s="190" t="str">
        <f>IFERROR(__xludf.DUMMYFUNCTION("""COMPUTED_VALUE"""),"NGUYỄN LÊ KHOA")</f>
        <v>NGUYỄN LÊ KHOA</v>
      </c>
      <c r="C284" s="223" t="str">
        <f>IFERROR(__xludf.DUMMYFUNCTION("""COMPUTED_VALUE"""),"EL026")</f>
        <v>EL026</v>
      </c>
      <c r="D284" s="223" t="str">
        <f>IFERROR(__xludf.DUMMYFUNCTION("""COMPUTED_VALUE"""),"My Tran")</f>
        <v>My Tran</v>
      </c>
      <c r="E284" s="190" t="str">
        <f>IFERROR(__xludf.DUMMYFUNCTION("""COMPUTED_VALUE"""),"Communication 2")</f>
        <v>Communication 2</v>
      </c>
      <c r="F284" s="190" t="str">
        <f>IFERROR(__xludf.DUMMYFUNCTION("""COMPUTED_VALUE"""),"Pre-Intermediate 2")</f>
        <v>Pre-Intermediate 2</v>
      </c>
      <c r="G284" s="190"/>
      <c r="H284" s="219">
        <f>IFERROR(__xludf.DUMMYFUNCTION("""COMPUTED_VALUE"""),45895.58333333333)</f>
        <v>45895.58333</v>
      </c>
      <c r="I284" s="219">
        <f>IFERROR(__xludf.DUMMYFUNCTION("""COMPUTED_VALUE"""),45715.45833333333)</f>
        <v>45715.45833</v>
      </c>
      <c r="J284" s="190">
        <f>IFERROR(__xludf.DUMMYFUNCTION("""COMPUTED_VALUE"""),3.5)</f>
        <v>3.5</v>
      </c>
      <c r="K284" s="190" t="str">
        <f>IFERROR(__xludf.DUMMYFUNCTION("""COMPUTED_VALUE"""),"")</f>
        <v/>
      </c>
      <c r="L284" s="190" t="str">
        <f>IFERROR(__xludf.DUMMYFUNCTION("""COMPUTED_VALUE"""),"UI/UX")</f>
        <v>UI/UX</v>
      </c>
      <c r="M284" s="190" t="str">
        <f>IFERROR(__xludf.DUMMYFUNCTION("""COMPUTED_VALUE"""),"LBU")</f>
        <v>LBU</v>
      </c>
      <c r="N284" s="220">
        <f>IFERROR(__xludf.DUMMYFUNCTION("""COMPUTED_VALUE"""),2.5)</f>
        <v>2.5</v>
      </c>
      <c r="O284" s="220">
        <f>IFERROR(__xludf.DUMMYFUNCTION("""COMPUTED_VALUE"""),3.5)</f>
        <v>3.5</v>
      </c>
      <c r="P284" s="220"/>
      <c r="Q284" s="190">
        <f t="shared" si="1"/>
        <v>1</v>
      </c>
      <c r="R284" s="211" t="s">
        <v>741</v>
      </c>
      <c r="S284" s="210" t="str">
        <f t="shared" si="2"/>
        <v>DEV</v>
      </c>
      <c r="T284" s="210" t="str">
        <f t="shared" si="3"/>
        <v>DEV, TA</v>
      </c>
      <c r="U284" s="210" t="str">
        <f t="shared" si="5"/>
        <v>ONC</v>
      </c>
      <c r="X284" s="210"/>
      <c r="Y284" s="210"/>
      <c r="Z284" s="210"/>
      <c r="AA284" s="210"/>
      <c r="AB284" s="210"/>
      <c r="AC284" s="210"/>
      <c r="AD284" s="210"/>
      <c r="AE284" s="210"/>
      <c r="AF284" s="210"/>
      <c r="AG284" s="210"/>
      <c r="AH284" s="210"/>
      <c r="AI284" s="210"/>
      <c r="AJ284" s="210"/>
      <c r="AK284" s="210"/>
      <c r="AL284" s="210"/>
      <c r="AM284" s="210"/>
      <c r="AN284" s="210"/>
      <c r="AO284" s="210"/>
      <c r="AP284" s="210"/>
      <c r="AQ284" s="210"/>
    </row>
    <row r="285" ht="14.25" customHeight="1">
      <c r="A285" s="223" t="str">
        <f>IFERROR(__xludf.DUMMYFUNCTION("""COMPUTED_VALUE"""),"247405")</f>
        <v>247405</v>
      </c>
      <c r="B285" s="190" t="str">
        <f>IFERROR(__xludf.DUMMYFUNCTION("""COMPUTED_VALUE"""),"PHẠM LÊ HOÀI PHƯƠNG")</f>
        <v>PHẠM LÊ HOÀI PHƯƠNG</v>
      </c>
      <c r="C285" s="223" t="str">
        <f>IFERROR(__xludf.DUMMYFUNCTION("""COMPUTED_VALUE"""),"EL026")</f>
        <v>EL026</v>
      </c>
      <c r="D285" s="223" t="str">
        <f>IFERROR(__xludf.DUMMYFUNCTION("""COMPUTED_VALUE"""),"My Tran")</f>
        <v>My Tran</v>
      </c>
      <c r="E285" s="190" t="str">
        <f>IFERROR(__xludf.DUMMYFUNCTION("""COMPUTED_VALUE"""),"Communication 2")</f>
        <v>Communication 2</v>
      </c>
      <c r="F285" s="190" t="str">
        <f>IFERROR(__xludf.DUMMYFUNCTION("""COMPUTED_VALUE"""),"Pre-Intermediate 1")</f>
        <v>Pre-Intermediate 1</v>
      </c>
      <c r="G285" s="190"/>
      <c r="H285" s="219">
        <f>IFERROR(__xludf.DUMMYFUNCTION("""COMPUTED_VALUE"""),45895.58333333333)</f>
        <v>45895.58333</v>
      </c>
      <c r="I285" s="219">
        <f>IFERROR(__xludf.DUMMYFUNCTION("""COMPUTED_VALUE"""),45715.45833333333)</f>
        <v>45715.45833</v>
      </c>
      <c r="J285" s="190">
        <f>IFERROR(__xludf.DUMMYFUNCTION("""COMPUTED_VALUE"""),3.0)</f>
        <v>3</v>
      </c>
      <c r="K285" s="190" t="str">
        <f>IFERROR(__xludf.DUMMYFUNCTION("""COMPUTED_VALUE"""),"")</f>
        <v/>
      </c>
      <c r="L285" s="190" t="str">
        <f>IFERROR(__xludf.DUMMYFUNCTION("""COMPUTED_VALUE"""),"QC")</f>
        <v>QC</v>
      </c>
      <c r="M285" s="190" t="str">
        <f>IFERROR(__xludf.DUMMYFUNCTION("""COMPUTED_VALUE"""),"LBU")</f>
        <v>LBU</v>
      </c>
      <c r="N285" s="220">
        <f>IFERROR(__xludf.DUMMYFUNCTION("""COMPUTED_VALUE"""),1.0)</f>
        <v>1</v>
      </c>
      <c r="O285" s="220">
        <f>IFERROR(__xludf.DUMMYFUNCTION("""COMPUTED_VALUE"""),3.0)</f>
        <v>3</v>
      </c>
      <c r="P285" s="220"/>
      <c r="Q285" s="190">
        <f t="shared" si="1"/>
        <v>1</v>
      </c>
      <c r="R285" s="211" t="s">
        <v>743</v>
      </c>
      <c r="S285" s="210" t="str">
        <f t="shared" si="2"/>
        <v>DEV</v>
      </c>
      <c r="T285" s="210" t="str">
        <f t="shared" si="3"/>
        <v>DEV, TA</v>
      </c>
      <c r="U285" s="210" t="str">
        <f t="shared" si="5"/>
        <v>ONC</v>
      </c>
      <c r="X285" s="210"/>
      <c r="Y285" s="210"/>
      <c r="Z285" s="210"/>
      <c r="AA285" s="210"/>
      <c r="AB285" s="210"/>
      <c r="AC285" s="210"/>
      <c r="AD285" s="210"/>
      <c r="AE285" s="210"/>
      <c r="AF285" s="210"/>
      <c r="AG285" s="210"/>
      <c r="AH285" s="210"/>
      <c r="AI285" s="210"/>
      <c r="AJ285" s="210"/>
      <c r="AK285" s="210"/>
      <c r="AL285" s="210"/>
      <c r="AM285" s="210"/>
      <c r="AN285" s="210"/>
      <c r="AO285" s="210"/>
      <c r="AP285" s="210"/>
      <c r="AQ285" s="210"/>
    </row>
    <row r="286">
      <c r="A286" s="223" t="str">
        <f>IFERROR(__xludf.DUMMYFUNCTION("""COMPUTED_VALUE"""),"227069")</f>
        <v>227069</v>
      </c>
      <c r="B286" s="190" t="str">
        <f>IFERROR(__xludf.DUMMYFUNCTION("""COMPUTED_VALUE"""),"TÔ PHƯỚC THÁI")</f>
        <v>TÔ PHƯỚC THÁI</v>
      </c>
      <c r="C286" s="223" t="str">
        <f>IFERROR(__xludf.DUMMYFUNCTION("""COMPUTED_VALUE"""),"EL026")</f>
        <v>EL026</v>
      </c>
      <c r="D286" s="223" t="str">
        <f>IFERROR(__xludf.DUMMYFUNCTION("""COMPUTED_VALUE"""),"My Tran")</f>
        <v>My Tran</v>
      </c>
      <c r="E286" s="190" t="str">
        <f>IFERROR(__xludf.DUMMYFUNCTION("""COMPUTED_VALUE"""),"Communication 2")</f>
        <v>Communication 2</v>
      </c>
      <c r="F286" s="190" t="str">
        <f>IFERROR(__xludf.DUMMYFUNCTION("""COMPUTED_VALUE"""),"Beginner")</f>
        <v>Beginner</v>
      </c>
      <c r="G286" s="190"/>
      <c r="H286" s="219">
        <f>IFERROR(__xludf.DUMMYFUNCTION("""COMPUTED_VALUE"""),45895.58333333333)</f>
        <v>45895.58333</v>
      </c>
      <c r="I286" s="219">
        <f>IFERROR(__xludf.DUMMYFUNCTION("""COMPUTED_VALUE"""),45763.54166666667)</f>
        <v>45763.54167</v>
      </c>
      <c r="J286" s="190">
        <f>IFERROR(__xludf.DUMMYFUNCTION("""COMPUTED_VALUE"""),1.0)</f>
        <v>1</v>
      </c>
      <c r="K286" s="190" t="str">
        <f>IFERROR(__xludf.DUMMYFUNCTION("""COMPUTED_VALUE"""),"")</f>
        <v/>
      </c>
      <c r="L286" s="190" t="str">
        <f>IFERROR(__xludf.DUMMYFUNCTION("""COMPUTED_VALUE"""),"DEV")</f>
        <v>DEV</v>
      </c>
      <c r="M286" s="190" t="str">
        <f>IFERROR(__xludf.DUMMYFUNCTION("""COMPUTED_VALUE"""),"LBU")</f>
        <v>LBU</v>
      </c>
      <c r="N286" s="220">
        <f>IFERROR(__xludf.DUMMYFUNCTION("""COMPUTED_VALUE"""),1.0)</f>
        <v>1</v>
      </c>
      <c r="O286" s="220">
        <f>IFERROR(__xludf.DUMMYFUNCTION("""COMPUTED_VALUE"""),1.0)</f>
        <v>1</v>
      </c>
      <c r="P286" s="220"/>
      <c r="Q286" s="190">
        <f t="shared" si="1"/>
        <v>1</v>
      </c>
      <c r="R286" s="211" t="s">
        <v>745</v>
      </c>
      <c r="S286" s="210" t="str">
        <f t="shared" si="2"/>
        <v>IM</v>
      </c>
      <c r="T286" s="210" t="str">
        <f t="shared" si="3"/>
        <v>PPO, SM, IM </v>
      </c>
      <c r="U286" s="210" t="str">
        <f t="shared" si="5"/>
        <v>CHORUS</v>
      </c>
      <c r="X286" s="210"/>
      <c r="Y286" s="210"/>
      <c r="Z286" s="210"/>
      <c r="AA286" s="210"/>
      <c r="AB286" s="210"/>
      <c r="AC286" s="210"/>
      <c r="AD286" s="210"/>
      <c r="AE286" s="210"/>
      <c r="AF286" s="210"/>
      <c r="AG286" s="210"/>
      <c r="AH286" s="210"/>
      <c r="AI286" s="210"/>
      <c r="AJ286" s="210"/>
      <c r="AK286" s="210"/>
      <c r="AL286" s="210"/>
      <c r="AM286" s="210"/>
      <c r="AN286" s="210"/>
      <c r="AO286" s="210"/>
      <c r="AP286" s="210"/>
      <c r="AQ286" s="210"/>
    </row>
    <row r="287">
      <c r="A287" s="223" t="str">
        <f>IFERROR(__xludf.DUMMYFUNCTION("""COMPUTED_VALUE"""),"237246")</f>
        <v>237246</v>
      </c>
      <c r="B287" s="190" t="str">
        <f>IFERROR(__xludf.DUMMYFUNCTION("""COMPUTED_VALUE"""),"TRẦN HƯƠNG QUỲNH")</f>
        <v>TRẦN HƯƠNG QUỲNH</v>
      </c>
      <c r="C287" s="223" t="str">
        <f>IFERROR(__xludf.DUMMYFUNCTION("""COMPUTED_VALUE"""),"EL026")</f>
        <v>EL026</v>
      </c>
      <c r="D287" s="223" t="str">
        <f>IFERROR(__xludf.DUMMYFUNCTION("""COMPUTED_VALUE"""),"My Tran")</f>
        <v>My Tran</v>
      </c>
      <c r="E287" s="190" t="str">
        <f>IFERROR(__xludf.DUMMYFUNCTION("""COMPUTED_VALUE"""),"Communication 2")</f>
        <v>Communication 2</v>
      </c>
      <c r="F287" s="190" t="str">
        <f>IFERROR(__xludf.DUMMYFUNCTION("""COMPUTED_VALUE"""),"Pre-Intermediate 2")</f>
        <v>Pre-Intermediate 2</v>
      </c>
      <c r="G287" s="190"/>
      <c r="H287" s="219">
        <f>IFERROR(__xludf.DUMMYFUNCTION("""COMPUTED_VALUE"""),45895.58333333333)</f>
        <v>45895.58333</v>
      </c>
      <c r="I287" s="219">
        <f>IFERROR(__xludf.DUMMYFUNCTION("""COMPUTED_VALUE"""),45763.54166666667)</f>
        <v>45763.54167</v>
      </c>
      <c r="J287" s="190">
        <f>IFERROR(__xludf.DUMMYFUNCTION("""COMPUTED_VALUE"""),3.5)</f>
        <v>3.5</v>
      </c>
      <c r="K287" s="190" t="str">
        <f>IFERROR(__xludf.DUMMYFUNCTION("""COMPUTED_VALUE"""),"")</f>
        <v/>
      </c>
      <c r="L287" s="190" t="str">
        <f>IFERROR(__xludf.DUMMYFUNCTION("""COMPUTED_VALUE"""),"QC")</f>
        <v>QC</v>
      </c>
      <c r="M287" s="190" t="str">
        <f>IFERROR(__xludf.DUMMYFUNCTION("""COMPUTED_VALUE"""),"LBU")</f>
        <v>LBU</v>
      </c>
      <c r="N287" s="220">
        <f>IFERROR(__xludf.DUMMYFUNCTION("""COMPUTED_VALUE"""),1.0)</f>
        <v>1</v>
      </c>
      <c r="O287" s="220">
        <f>IFERROR(__xludf.DUMMYFUNCTION("""COMPUTED_VALUE"""),3.5)</f>
        <v>3.5</v>
      </c>
      <c r="P287" s="220"/>
      <c r="Q287" s="190">
        <f t="shared" si="1"/>
        <v>1</v>
      </c>
      <c r="R287" s="211" t="s">
        <v>747</v>
      </c>
      <c r="S287" s="210" t="str">
        <f t="shared" si="2"/>
        <v>DEV</v>
      </c>
      <c r="T287" s="210" t="str">
        <f t="shared" si="3"/>
        <v>DEV, TA</v>
      </c>
      <c r="U287" s="210" t="str">
        <f t="shared" si="5"/>
        <v>LBU</v>
      </c>
      <c r="X287" s="210"/>
      <c r="Y287" s="210"/>
      <c r="Z287" s="210"/>
      <c r="AA287" s="210"/>
      <c r="AB287" s="210"/>
      <c r="AC287" s="210"/>
      <c r="AD287" s="210"/>
      <c r="AE287" s="210"/>
      <c r="AF287" s="210"/>
      <c r="AG287" s="210"/>
      <c r="AH287" s="210"/>
      <c r="AI287" s="210"/>
      <c r="AJ287" s="210"/>
      <c r="AK287" s="210"/>
      <c r="AL287" s="210"/>
      <c r="AM287" s="210"/>
      <c r="AN287" s="210"/>
      <c r="AO287" s="210"/>
      <c r="AP287" s="210"/>
      <c r="AQ287" s="210"/>
    </row>
    <row r="288">
      <c r="A288" s="218" t="str">
        <f>IFERROR(__xludf.DUMMYFUNCTION("""COMPUTED_VALUE"""),"227214")</f>
        <v>227214</v>
      </c>
      <c r="B288" s="217" t="str">
        <f>IFERROR(__xludf.DUMMYFUNCTION("""COMPUTED_VALUE"""),"NGUYỄN PHAN THẾ VINH")</f>
        <v>NGUYỄN PHAN THẾ VINH</v>
      </c>
      <c r="C288" s="218" t="str">
        <f>IFERROR(__xludf.DUMMYFUNCTION("""COMPUTED_VALUE"""),"EL027")</f>
        <v>EL027</v>
      </c>
      <c r="D288" s="218" t="str">
        <f>IFERROR(__xludf.DUMMYFUNCTION("""COMPUTED_VALUE"""),"Vinh Nguyen")</f>
        <v>Vinh Nguyen</v>
      </c>
      <c r="E288" s="217" t="str">
        <f>IFERROR(__xludf.DUMMYFUNCTION("""COMPUTED_VALUE"""),"Communication 1")</f>
        <v>Communication 1</v>
      </c>
      <c r="F288" s="190" t="str">
        <f>IFERROR(__xludf.DUMMYFUNCTION("""COMPUTED_VALUE"""),"Beginner")</f>
        <v>Beginner</v>
      </c>
      <c r="G288" s="190" t="str">
        <f>IFERROR(__xludf.DUMMYFUNCTION("""COMPUTED_VALUE"""),"Pre-Intermediate 1")</f>
        <v>Pre-Intermediate 1</v>
      </c>
      <c r="H288" s="219">
        <f>IFERROR(__xludf.DUMMYFUNCTION("""COMPUTED_VALUE"""),45715.58333333333)</f>
        <v>45715.58333</v>
      </c>
      <c r="I288" s="219">
        <f>IFERROR(__xludf.DUMMYFUNCTION("""COMPUTED_VALUE"""),45715.58333333333)</f>
        <v>45715.58333</v>
      </c>
      <c r="J288" s="190">
        <f>IFERROR(__xludf.DUMMYFUNCTION("""COMPUTED_VALUE"""),1.0)</f>
        <v>1</v>
      </c>
      <c r="K288" s="190">
        <f>IFERROR(__xludf.DUMMYFUNCTION("""COMPUTED_VALUE"""),3.0)</f>
        <v>3</v>
      </c>
      <c r="L288" s="190" t="str">
        <f>IFERROR(__xludf.DUMMYFUNCTION("""COMPUTED_VALUE"""),"GSD")</f>
        <v>GSD</v>
      </c>
      <c r="M288" s="190" t="str">
        <f>IFERROR(__xludf.DUMMYFUNCTION("""COMPUTED_VALUE"""),"LBU")</f>
        <v>LBU</v>
      </c>
      <c r="N288" s="220">
        <f>IFERROR(__xludf.DUMMYFUNCTION("""COMPUTED_VALUE"""),1.0)</f>
        <v>1</v>
      </c>
      <c r="O288" s="220">
        <f>IFERROR(__xludf.DUMMYFUNCTION("""COMPUTED_VALUE"""),3.5)</f>
        <v>3.5</v>
      </c>
      <c r="P288" s="220"/>
      <c r="Q288" s="190">
        <f t="shared" si="1"/>
        <v>1</v>
      </c>
      <c r="R288" s="211" t="s">
        <v>749</v>
      </c>
      <c r="S288" s="210" t="str">
        <f t="shared" si="2"/>
        <v>BA</v>
      </c>
      <c r="T288" s="210" t="str">
        <f t="shared" si="3"/>
        <v>BA, BC</v>
      </c>
      <c r="U288" s="210" t="str">
        <f t="shared" si="5"/>
        <v>LBU</v>
      </c>
      <c r="X288" s="210"/>
      <c r="Y288" s="210"/>
      <c r="Z288" s="210"/>
      <c r="AA288" s="210"/>
      <c r="AB288" s="210"/>
      <c r="AC288" s="210"/>
      <c r="AD288" s="210"/>
      <c r="AE288" s="210"/>
      <c r="AF288" s="210"/>
      <c r="AG288" s="210"/>
      <c r="AH288" s="210"/>
      <c r="AI288" s="210"/>
      <c r="AJ288" s="210"/>
      <c r="AK288" s="210"/>
      <c r="AL288" s="210"/>
      <c r="AM288" s="210"/>
      <c r="AN288" s="210"/>
      <c r="AO288" s="210"/>
      <c r="AP288" s="210"/>
      <c r="AQ288" s="210"/>
    </row>
    <row r="289">
      <c r="A289" s="223" t="str">
        <f>IFERROR(__xludf.DUMMYFUNCTION("""COMPUTED_VALUE"""),"237226")</f>
        <v>237226</v>
      </c>
      <c r="B289" s="190" t="str">
        <f>IFERROR(__xludf.DUMMYFUNCTION("""COMPUTED_VALUE"""),"CHU KHÁNH LINH")</f>
        <v>CHU KHÁNH LINH</v>
      </c>
      <c r="C289" s="223" t="str">
        <f>IFERROR(__xludf.DUMMYFUNCTION("""COMPUTED_VALUE"""),"EL027")</f>
        <v>EL027</v>
      </c>
      <c r="D289" s="223" t="str">
        <f>IFERROR(__xludf.DUMMYFUNCTION("""COMPUTED_VALUE"""),"Vinh Nguyen")</f>
        <v>Vinh Nguyen</v>
      </c>
      <c r="E289" s="190" t="str">
        <f>IFERROR(__xludf.DUMMYFUNCTION("""COMPUTED_VALUE"""),"Communication 1")</f>
        <v>Communication 1</v>
      </c>
      <c r="F289" s="190" t="str">
        <f>IFERROR(__xludf.DUMMYFUNCTION("""COMPUTED_VALUE"""),"Beginner")</f>
        <v>Beginner</v>
      </c>
      <c r="G289" s="190" t="str">
        <f>IFERROR(__xludf.DUMMYFUNCTION("""COMPUTED_VALUE"""),"Pre-Intermediate 1")</f>
        <v>Pre-Intermediate 1</v>
      </c>
      <c r="H289" s="219">
        <f>IFERROR(__xludf.DUMMYFUNCTION("""COMPUTED_VALUE"""),45715.58333333333)</f>
        <v>45715.58333</v>
      </c>
      <c r="I289" s="219">
        <f>IFERROR(__xludf.DUMMYFUNCTION("""COMPUTED_VALUE"""),45715.58333333333)</f>
        <v>45715.58333</v>
      </c>
      <c r="J289" s="190">
        <f>IFERROR(__xludf.DUMMYFUNCTION("""COMPUTED_VALUE"""),1.0)</f>
        <v>1</v>
      </c>
      <c r="K289" s="190">
        <f>IFERROR(__xludf.DUMMYFUNCTION("""COMPUTED_VALUE"""),3.0)</f>
        <v>3</v>
      </c>
      <c r="L289" s="190" t="str">
        <f>IFERROR(__xludf.DUMMYFUNCTION("""COMPUTED_VALUE"""),"GSD")</f>
        <v>GSD</v>
      </c>
      <c r="M289" s="190" t="str">
        <f>IFERROR(__xludf.DUMMYFUNCTION("""COMPUTED_VALUE"""),"LBU")</f>
        <v>LBU</v>
      </c>
      <c r="N289" s="220">
        <f>IFERROR(__xludf.DUMMYFUNCTION("""COMPUTED_VALUE"""),1.0)</f>
        <v>1</v>
      </c>
      <c r="O289" s="220">
        <f>IFERROR(__xludf.DUMMYFUNCTION("""COMPUTED_VALUE"""),3.5)</f>
        <v>3.5</v>
      </c>
      <c r="P289" s="220"/>
      <c r="Q289" s="190">
        <f t="shared" si="1"/>
        <v>1</v>
      </c>
      <c r="R289" s="211" t="s">
        <v>751</v>
      </c>
      <c r="S289" s="210" t="str">
        <f t="shared" si="2"/>
        <v>GSD</v>
      </c>
      <c r="T289" s="210" t="str">
        <f t="shared" si="3"/>
        <v>GSD</v>
      </c>
      <c r="U289" s="210" t="str">
        <f t="shared" si="5"/>
        <v>POC</v>
      </c>
      <c r="X289" s="210"/>
      <c r="Y289" s="210"/>
      <c r="Z289" s="210"/>
      <c r="AA289" s="210"/>
      <c r="AB289" s="210"/>
      <c r="AC289" s="210"/>
      <c r="AD289" s="210"/>
      <c r="AE289" s="210"/>
      <c r="AF289" s="210"/>
      <c r="AG289" s="210"/>
      <c r="AH289" s="210"/>
      <c r="AI289" s="210"/>
      <c r="AJ289" s="210"/>
      <c r="AK289" s="210"/>
      <c r="AL289" s="210"/>
      <c r="AM289" s="210"/>
      <c r="AN289" s="210"/>
      <c r="AO289" s="210"/>
      <c r="AP289" s="210"/>
      <c r="AQ289" s="210"/>
    </row>
    <row r="290">
      <c r="A290" s="223" t="str">
        <f>IFERROR(__xludf.DUMMYFUNCTION("""COMPUTED_VALUE"""),"237008")</f>
        <v>237008</v>
      </c>
      <c r="B290" s="190" t="str">
        <f>IFERROR(__xludf.DUMMYFUNCTION("""COMPUTED_VALUE"""),"LẠC MINH HOÀNG")</f>
        <v>LẠC MINH HOÀNG</v>
      </c>
      <c r="C290" s="223" t="str">
        <f>IFERROR(__xludf.DUMMYFUNCTION("""COMPUTED_VALUE"""),"EL027")</f>
        <v>EL027</v>
      </c>
      <c r="D290" s="223" t="str">
        <f>IFERROR(__xludf.DUMMYFUNCTION("""COMPUTED_VALUE"""),"Vinh Nguyen")</f>
        <v>Vinh Nguyen</v>
      </c>
      <c r="E290" s="190" t="str">
        <f>IFERROR(__xludf.DUMMYFUNCTION("""COMPUTED_VALUE"""),"Communication 1")</f>
        <v>Communication 1</v>
      </c>
      <c r="F290" s="190" t="str">
        <f>IFERROR(__xludf.DUMMYFUNCTION("""COMPUTED_VALUE"""),"Beginner")</f>
        <v>Beginner</v>
      </c>
      <c r="G290" s="190" t="str">
        <f>IFERROR(__xludf.DUMMYFUNCTION("""COMPUTED_VALUE"""),"Beginner 2")</f>
        <v>Beginner 2</v>
      </c>
      <c r="H290" s="219">
        <f>IFERROR(__xludf.DUMMYFUNCTION("""COMPUTED_VALUE"""),45715.58333333333)</f>
        <v>45715.58333</v>
      </c>
      <c r="I290" s="219">
        <f>IFERROR(__xludf.DUMMYFUNCTION("""COMPUTED_VALUE"""),45715.58333333333)</f>
        <v>45715.58333</v>
      </c>
      <c r="J290" s="190">
        <f>IFERROR(__xludf.DUMMYFUNCTION("""COMPUTED_VALUE"""),1.0)</f>
        <v>1</v>
      </c>
      <c r="K290" s="190">
        <f>IFERROR(__xludf.DUMMYFUNCTION("""COMPUTED_VALUE"""),1.5)</f>
        <v>1.5</v>
      </c>
      <c r="L290" s="190" t="str">
        <f>IFERROR(__xludf.DUMMYFUNCTION("""COMPUTED_VALUE"""),"GSD")</f>
        <v>GSD</v>
      </c>
      <c r="M290" s="190" t="str">
        <f>IFERROR(__xludf.DUMMYFUNCTION("""COMPUTED_VALUE"""),"LBU")</f>
        <v>LBU</v>
      </c>
      <c r="N290" s="220">
        <f>IFERROR(__xludf.DUMMYFUNCTION("""COMPUTED_VALUE"""),1.0)</f>
        <v>1</v>
      </c>
      <c r="O290" s="220">
        <f>IFERROR(__xludf.DUMMYFUNCTION("""COMPUTED_VALUE"""),1.5)</f>
        <v>1.5</v>
      </c>
      <c r="P290" s="220"/>
      <c r="Q290" s="190">
        <f t="shared" si="1"/>
        <v>1</v>
      </c>
      <c r="R290" s="211" t="s">
        <v>753</v>
      </c>
      <c r="S290" s="210" t="str">
        <f t="shared" si="2"/>
        <v>Designer</v>
      </c>
      <c r="T290" s="210" t="str">
        <f t="shared" si="3"/>
        <v>UI/UX, Des</v>
      </c>
      <c r="U290" s="210" t="str">
        <f t="shared" si="5"/>
        <v>LBU</v>
      </c>
      <c r="X290" s="210"/>
      <c r="Y290" s="210"/>
      <c r="Z290" s="210"/>
      <c r="AA290" s="210"/>
      <c r="AB290" s="210"/>
      <c r="AC290" s="210"/>
      <c r="AD290" s="210"/>
      <c r="AE290" s="210"/>
      <c r="AF290" s="210"/>
      <c r="AG290" s="210"/>
      <c r="AH290" s="210"/>
      <c r="AI290" s="210"/>
      <c r="AJ290" s="210"/>
      <c r="AK290" s="210"/>
      <c r="AL290" s="210"/>
      <c r="AM290" s="210"/>
      <c r="AN290" s="210"/>
      <c r="AO290" s="210"/>
      <c r="AP290" s="210"/>
      <c r="AQ290" s="210"/>
    </row>
    <row r="291">
      <c r="A291" s="223" t="str">
        <f>IFERROR(__xludf.DUMMYFUNCTION("""COMPUTED_VALUE"""),"193584")</f>
        <v>193584</v>
      </c>
      <c r="B291" s="190" t="str">
        <f>IFERROR(__xludf.DUMMYFUNCTION("""COMPUTED_VALUE"""),"LÂM VĂN TIẾN")</f>
        <v>LÂM VĂN TIẾN</v>
      </c>
      <c r="C291" s="223" t="str">
        <f>IFERROR(__xludf.DUMMYFUNCTION("""COMPUTED_VALUE"""),"EL027")</f>
        <v>EL027</v>
      </c>
      <c r="D291" s="223" t="str">
        <f>IFERROR(__xludf.DUMMYFUNCTION("""COMPUTED_VALUE"""),"Vinh Nguyen")</f>
        <v>Vinh Nguyen</v>
      </c>
      <c r="E291" s="190" t="str">
        <f>IFERROR(__xludf.DUMMYFUNCTION("""COMPUTED_VALUE"""),"Communication 1")</f>
        <v>Communication 1</v>
      </c>
      <c r="F291" s="190" t="str">
        <f>IFERROR(__xludf.DUMMYFUNCTION("""COMPUTED_VALUE"""),"Beginner")</f>
        <v>Beginner</v>
      </c>
      <c r="G291" s="190" t="str">
        <f>IFERROR(__xludf.DUMMYFUNCTION("""COMPUTED_VALUE"""),"Pre-Intermediate 1")</f>
        <v>Pre-Intermediate 1</v>
      </c>
      <c r="H291" s="219">
        <f>IFERROR(__xludf.DUMMYFUNCTION("""COMPUTED_VALUE"""),45715.58333333333)</f>
        <v>45715.58333</v>
      </c>
      <c r="I291" s="219">
        <f>IFERROR(__xludf.DUMMYFUNCTION("""COMPUTED_VALUE"""),45715.58333333333)</f>
        <v>45715.58333</v>
      </c>
      <c r="J291" s="190">
        <f>IFERROR(__xludf.DUMMYFUNCTION("""COMPUTED_VALUE"""),1.0)</f>
        <v>1</v>
      </c>
      <c r="K291" s="190">
        <f>IFERROR(__xludf.DUMMYFUNCTION("""COMPUTED_VALUE"""),3.0)</f>
        <v>3</v>
      </c>
      <c r="L291" s="190" t="str">
        <f>IFERROR(__xludf.DUMMYFUNCTION("""COMPUTED_VALUE"""),"GSD")</f>
        <v>GSD</v>
      </c>
      <c r="M291" s="190" t="str">
        <f>IFERROR(__xludf.DUMMYFUNCTION("""COMPUTED_VALUE"""),"LBU")</f>
        <v>LBU</v>
      </c>
      <c r="N291" s="220">
        <f>IFERROR(__xludf.DUMMYFUNCTION("""COMPUTED_VALUE"""),1.0)</f>
        <v>1</v>
      </c>
      <c r="O291" s="220">
        <f>IFERROR(__xludf.DUMMYFUNCTION("""COMPUTED_VALUE"""),3.5)</f>
        <v>3.5</v>
      </c>
      <c r="P291" s="220"/>
      <c r="Q291" s="190">
        <f t="shared" si="1"/>
        <v>1</v>
      </c>
      <c r="R291" s="211" t="s">
        <v>755</v>
      </c>
      <c r="S291" s="210" t="str">
        <f t="shared" si="2"/>
        <v>Designer</v>
      </c>
      <c r="T291" s="210" t="str">
        <f t="shared" si="3"/>
        <v>UI/UX, Des</v>
      </c>
      <c r="U291" s="210" t="str">
        <f t="shared" si="5"/>
        <v>LBU</v>
      </c>
      <c r="X291" s="210"/>
      <c r="Y291" s="210"/>
      <c r="Z291" s="210"/>
      <c r="AA291" s="210"/>
      <c r="AB291" s="210"/>
      <c r="AC291" s="210"/>
      <c r="AD291" s="210"/>
      <c r="AE291" s="210"/>
      <c r="AF291" s="210"/>
      <c r="AG291" s="210"/>
      <c r="AH291" s="210"/>
      <c r="AI291" s="210"/>
      <c r="AJ291" s="210"/>
      <c r="AK291" s="210"/>
      <c r="AL291" s="210"/>
      <c r="AM291" s="210"/>
      <c r="AN291" s="210"/>
      <c r="AO291" s="210"/>
      <c r="AP291" s="210"/>
      <c r="AQ291" s="210"/>
    </row>
    <row r="292">
      <c r="A292" s="223" t="str">
        <f>IFERROR(__xludf.DUMMYFUNCTION("""COMPUTED_VALUE"""),"213929")</f>
        <v>213929</v>
      </c>
      <c r="B292" s="190" t="str">
        <f>IFERROR(__xludf.DUMMYFUNCTION("""COMPUTED_VALUE"""),"LE MINH TRUONG")</f>
        <v>LE MINH TRUONG</v>
      </c>
      <c r="C292" s="223" t="str">
        <f>IFERROR(__xludf.DUMMYFUNCTION("""COMPUTED_VALUE"""),"EL027")</f>
        <v>EL027</v>
      </c>
      <c r="D292" s="223" t="str">
        <f>IFERROR(__xludf.DUMMYFUNCTION("""COMPUTED_VALUE"""),"Vinh Nguyen")</f>
        <v>Vinh Nguyen</v>
      </c>
      <c r="E292" s="190" t="str">
        <f>IFERROR(__xludf.DUMMYFUNCTION("""COMPUTED_VALUE"""),"Communication 1")</f>
        <v>Communication 1</v>
      </c>
      <c r="F292" s="190" t="str">
        <f>IFERROR(__xludf.DUMMYFUNCTION("""COMPUTED_VALUE"""),"Foundation")</f>
        <v>Foundation</v>
      </c>
      <c r="G292" s="190" t="str">
        <f>IFERROR(__xludf.DUMMYFUNCTION("""COMPUTED_VALUE"""),"Foundation")</f>
        <v>Foundation</v>
      </c>
      <c r="H292" s="219">
        <f>IFERROR(__xludf.DUMMYFUNCTION("""COMPUTED_VALUE"""),45715.58333333333)</f>
        <v>45715.58333</v>
      </c>
      <c r="I292" s="219">
        <f>IFERROR(__xludf.DUMMYFUNCTION("""COMPUTED_VALUE"""),45715.58333333333)</f>
        <v>45715.58333</v>
      </c>
      <c r="J292" s="190">
        <f>IFERROR(__xludf.DUMMYFUNCTION("""COMPUTED_VALUE"""),0.5)</f>
        <v>0.5</v>
      </c>
      <c r="K292" s="190">
        <f>IFERROR(__xludf.DUMMYFUNCTION("""COMPUTED_VALUE"""),0.5)</f>
        <v>0.5</v>
      </c>
      <c r="L292" s="190" t="str">
        <f>IFERROR(__xludf.DUMMYFUNCTION("""COMPUTED_VALUE"""),"GSD")</f>
        <v>GSD</v>
      </c>
      <c r="M292" s="190" t="str">
        <f>IFERROR(__xludf.DUMMYFUNCTION("""COMPUTED_VALUE"""),"LBU")</f>
        <v>LBU</v>
      </c>
      <c r="N292" s="220">
        <f>IFERROR(__xludf.DUMMYFUNCTION("""COMPUTED_VALUE"""),0.5)</f>
        <v>0.5</v>
      </c>
      <c r="O292" s="220">
        <f>IFERROR(__xludf.DUMMYFUNCTION("""COMPUTED_VALUE"""),1.0)</f>
        <v>1</v>
      </c>
      <c r="P292" s="220"/>
      <c r="Q292" s="190">
        <f t="shared" si="1"/>
        <v>1</v>
      </c>
      <c r="R292" s="211" t="s">
        <v>478</v>
      </c>
      <c r="S292" s="210" t="str">
        <f t="shared" si="2"/>
        <v>UI/UX</v>
      </c>
      <c r="T292" s="210" t="str">
        <f t="shared" si="3"/>
        <v>UI/UX, Des</v>
      </c>
      <c r="U292" s="210" t="str">
        <f t="shared" si="5"/>
        <v>CHORUS</v>
      </c>
      <c r="X292" s="210"/>
      <c r="Y292" s="210"/>
      <c r="Z292" s="210"/>
      <c r="AA292" s="210"/>
      <c r="AB292" s="210"/>
      <c r="AC292" s="210"/>
      <c r="AD292" s="210"/>
      <c r="AE292" s="210"/>
      <c r="AF292" s="210"/>
      <c r="AG292" s="210"/>
      <c r="AH292" s="210"/>
      <c r="AI292" s="210"/>
      <c r="AJ292" s="210"/>
      <c r="AK292" s="210"/>
      <c r="AL292" s="210"/>
      <c r="AM292" s="210"/>
      <c r="AN292" s="210"/>
      <c r="AO292" s="210"/>
      <c r="AP292" s="210"/>
      <c r="AQ292" s="210"/>
    </row>
    <row r="293">
      <c r="A293" s="223" t="str">
        <f>IFERROR(__xludf.DUMMYFUNCTION("""COMPUTED_VALUE"""),"227058")</f>
        <v>227058</v>
      </c>
      <c r="B293" s="190" t="str">
        <f>IFERROR(__xludf.DUMMYFUNCTION("""COMPUTED_VALUE"""),"LE VAN DONG TAM")</f>
        <v>LE VAN DONG TAM</v>
      </c>
      <c r="C293" s="223" t="str">
        <f>IFERROR(__xludf.DUMMYFUNCTION("""COMPUTED_VALUE"""),"EL027")</f>
        <v>EL027</v>
      </c>
      <c r="D293" s="223" t="str">
        <f>IFERROR(__xludf.DUMMYFUNCTION("""COMPUTED_VALUE"""),"Vinh Nguyen")</f>
        <v>Vinh Nguyen</v>
      </c>
      <c r="E293" s="190" t="str">
        <f>IFERROR(__xludf.DUMMYFUNCTION("""COMPUTED_VALUE"""),"Communication 1")</f>
        <v>Communication 1</v>
      </c>
      <c r="F293" s="190" t="str">
        <f>IFERROR(__xludf.DUMMYFUNCTION("""COMPUTED_VALUE"""),"Foundation")</f>
        <v>Foundation</v>
      </c>
      <c r="G293" s="190" t="str">
        <f>IFERROR(__xludf.DUMMYFUNCTION("""COMPUTED_VALUE"""),"Foundation")</f>
        <v>Foundation</v>
      </c>
      <c r="H293" s="219">
        <f>IFERROR(__xludf.DUMMYFUNCTION("""COMPUTED_VALUE"""),45715.58333333333)</f>
        <v>45715.58333</v>
      </c>
      <c r="I293" s="219">
        <f>IFERROR(__xludf.DUMMYFUNCTION("""COMPUTED_VALUE"""),45715.58333333333)</f>
        <v>45715.58333</v>
      </c>
      <c r="J293" s="190">
        <f>IFERROR(__xludf.DUMMYFUNCTION("""COMPUTED_VALUE"""),0.5)</f>
        <v>0.5</v>
      </c>
      <c r="K293" s="190">
        <f>IFERROR(__xludf.DUMMYFUNCTION("""COMPUTED_VALUE"""),0.5)</f>
        <v>0.5</v>
      </c>
      <c r="L293" s="190" t="str">
        <f>IFERROR(__xludf.DUMMYFUNCTION("""COMPUTED_VALUE"""),"BA")</f>
        <v>BA</v>
      </c>
      <c r="M293" s="190" t="str">
        <f>IFERROR(__xludf.DUMMYFUNCTION("""COMPUTED_VALUE"""),"LBU")</f>
        <v>LBU</v>
      </c>
      <c r="N293" s="220">
        <f>IFERROR(__xludf.DUMMYFUNCTION("""COMPUTED_VALUE"""),0.5)</f>
        <v>0.5</v>
      </c>
      <c r="O293" s="220">
        <f>IFERROR(__xludf.DUMMYFUNCTION("""COMPUTED_VALUE"""),0.5)</f>
        <v>0.5</v>
      </c>
      <c r="P293" s="220"/>
      <c r="Q293" s="190">
        <f t="shared" si="1"/>
        <v>1</v>
      </c>
      <c r="R293" s="211" t="s">
        <v>151</v>
      </c>
      <c r="S293" s="210" t="str">
        <f t="shared" si="2"/>
        <v>DEV</v>
      </c>
      <c r="T293" s="210" t="str">
        <f t="shared" si="3"/>
        <v>DEV, TA</v>
      </c>
      <c r="U293" s="210" t="str">
        <f t="shared" si="5"/>
        <v>MOC</v>
      </c>
      <c r="X293" s="210"/>
      <c r="Y293" s="210"/>
      <c r="Z293" s="210"/>
      <c r="AA293" s="210"/>
      <c r="AB293" s="210"/>
      <c r="AC293" s="210"/>
      <c r="AD293" s="210"/>
      <c r="AE293" s="210"/>
      <c r="AF293" s="210"/>
      <c r="AG293" s="210"/>
      <c r="AH293" s="210"/>
      <c r="AI293" s="210"/>
      <c r="AJ293" s="210"/>
      <c r="AK293" s="210"/>
      <c r="AL293" s="210"/>
      <c r="AM293" s="210"/>
      <c r="AN293" s="210"/>
      <c r="AO293" s="210"/>
      <c r="AP293" s="210"/>
      <c r="AQ293" s="210"/>
    </row>
    <row r="294">
      <c r="A294" s="223" t="str">
        <f>IFERROR(__xludf.DUMMYFUNCTION("""COMPUTED_VALUE"""),"247083")</f>
        <v>247083</v>
      </c>
      <c r="B294" s="190" t="str">
        <f>IFERROR(__xludf.DUMMYFUNCTION("""COMPUTED_VALUE"""),"NGUYỄN TRANG QUỲNH NHƯ")</f>
        <v>NGUYỄN TRANG QUỲNH NHƯ</v>
      </c>
      <c r="C294" s="223" t="str">
        <f>IFERROR(__xludf.DUMMYFUNCTION("""COMPUTED_VALUE"""),"EL027")</f>
        <v>EL027</v>
      </c>
      <c r="D294" s="223" t="str">
        <f>IFERROR(__xludf.DUMMYFUNCTION("""COMPUTED_VALUE"""),"Vinh Nguyen")</f>
        <v>Vinh Nguyen</v>
      </c>
      <c r="E294" s="190" t="str">
        <f>IFERROR(__xludf.DUMMYFUNCTION("""COMPUTED_VALUE"""),"Communication 1")</f>
        <v>Communication 1</v>
      </c>
      <c r="F294" s="190" t="str">
        <f>IFERROR(__xludf.DUMMYFUNCTION("""COMPUTED_VALUE"""),"Beginner")</f>
        <v>Beginner</v>
      </c>
      <c r="G294" s="190" t="str">
        <f>IFERROR(__xludf.DUMMYFUNCTION("""COMPUTED_VALUE"""),"Pre-Intermediate 1")</f>
        <v>Pre-Intermediate 1</v>
      </c>
      <c r="H294" s="219">
        <f>IFERROR(__xludf.DUMMYFUNCTION("""COMPUTED_VALUE"""),45715.58333333333)</f>
        <v>45715.58333</v>
      </c>
      <c r="I294" s="219">
        <f>IFERROR(__xludf.DUMMYFUNCTION("""COMPUTED_VALUE"""),45715.58333333333)</f>
        <v>45715.58333</v>
      </c>
      <c r="J294" s="190">
        <f>IFERROR(__xludf.DUMMYFUNCTION("""COMPUTED_VALUE"""),1.0)</f>
        <v>1</v>
      </c>
      <c r="K294" s="190">
        <f>IFERROR(__xludf.DUMMYFUNCTION("""COMPUTED_VALUE"""),3.0)</f>
        <v>3</v>
      </c>
      <c r="L294" s="190" t="str">
        <f>IFERROR(__xludf.DUMMYFUNCTION("""COMPUTED_VALUE"""),"GSD")</f>
        <v>GSD</v>
      </c>
      <c r="M294" s="190" t="str">
        <f>IFERROR(__xludf.DUMMYFUNCTION("""COMPUTED_VALUE"""),"LBU")</f>
        <v>LBU</v>
      </c>
      <c r="N294" s="220">
        <f>IFERROR(__xludf.DUMMYFUNCTION("""COMPUTED_VALUE"""),1.0)</f>
        <v>1</v>
      </c>
      <c r="O294" s="220">
        <f>IFERROR(__xludf.DUMMYFUNCTION("""COMPUTED_VALUE"""),3.5)</f>
        <v>3.5</v>
      </c>
      <c r="P294" s="220"/>
      <c r="Q294" s="190">
        <f t="shared" si="1"/>
        <v>1</v>
      </c>
      <c r="R294" s="211" t="s">
        <v>163</v>
      </c>
      <c r="S294" s="210" t="str">
        <f t="shared" si="2"/>
        <v>Designer</v>
      </c>
      <c r="T294" s="210" t="str">
        <f t="shared" si="3"/>
        <v>UI/UX, Des</v>
      </c>
      <c r="U294" s="210" t="str">
        <f t="shared" si="5"/>
        <v>LBU</v>
      </c>
      <c r="X294" s="210"/>
      <c r="Y294" s="210"/>
      <c r="Z294" s="210"/>
      <c r="AA294" s="210"/>
      <c r="AB294" s="210"/>
      <c r="AC294" s="210"/>
      <c r="AD294" s="210"/>
      <c r="AE294" s="210"/>
      <c r="AF294" s="210"/>
      <c r="AG294" s="210"/>
      <c r="AH294" s="210"/>
      <c r="AI294" s="210"/>
      <c r="AJ294" s="210"/>
      <c r="AK294" s="210"/>
      <c r="AL294" s="210"/>
      <c r="AM294" s="210"/>
      <c r="AN294" s="210"/>
      <c r="AO294" s="210"/>
      <c r="AP294" s="210"/>
      <c r="AQ294" s="210"/>
    </row>
    <row r="295">
      <c r="A295" s="223" t="str">
        <f>IFERROR(__xludf.DUMMYFUNCTION("""COMPUTED_VALUE"""),"247178")</f>
        <v>247178</v>
      </c>
      <c r="B295" s="190" t="str">
        <f>IFERROR(__xludf.DUMMYFUNCTION("""COMPUTED_VALUE"""),"NGUYỄN TRÚC DUYÊN")</f>
        <v>NGUYỄN TRÚC DUYÊN</v>
      </c>
      <c r="C295" s="223" t="str">
        <f>IFERROR(__xludf.DUMMYFUNCTION("""COMPUTED_VALUE"""),"EL027")</f>
        <v>EL027</v>
      </c>
      <c r="D295" s="223" t="str">
        <f>IFERROR(__xludf.DUMMYFUNCTION("""COMPUTED_VALUE"""),"Vinh Nguyen")</f>
        <v>Vinh Nguyen</v>
      </c>
      <c r="E295" s="190" t="str">
        <f>IFERROR(__xludf.DUMMYFUNCTION("""COMPUTED_VALUE"""),"Communication 1")</f>
        <v>Communication 1</v>
      </c>
      <c r="F295" s="190" t="str">
        <f>IFERROR(__xludf.DUMMYFUNCTION("""COMPUTED_VALUE"""),"Beginner")</f>
        <v>Beginner</v>
      </c>
      <c r="G295" s="190" t="str">
        <f>IFERROR(__xludf.DUMMYFUNCTION("""COMPUTED_VALUE"""),"Beginner 2")</f>
        <v>Beginner 2</v>
      </c>
      <c r="H295" s="219">
        <f>IFERROR(__xludf.DUMMYFUNCTION("""COMPUTED_VALUE"""),45715.58333333333)</f>
        <v>45715.58333</v>
      </c>
      <c r="I295" s="219">
        <f>IFERROR(__xludf.DUMMYFUNCTION("""COMPUTED_VALUE"""),45715.58333333333)</f>
        <v>45715.58333</v>
      </c>
      <c r="J295" s="190">
        <f>IFERROR(__xludf.DUMMYFUNCTION("""COMPUTED_VALUE"""),1.0)</f>
        <v>1</v>
      </c>
      <c r="K295" s="190">
        <f>IFERROR(__xludf.DUMMYFUNCTION("""COMPUTED_VALUE"""),1.5)</f>
        <v>1.5</v>
      </c>
      <c r="L295" s="190" t="str">
        <f>IFERROR(__xludf.DUMMYFUNCTION("""COMPUTED_VALUE"""),"GSD")</f>
        <v>GSD</v>
      </c>
      <c r="M295" s="190" t="str">
        <f>IFERROR(__xludf.DUMMYFUNCTION("""COMPUTED_VALUE"""),"LBU")</f>
        <v>LBU</v>
      </c>
      <c r="N295" s="220">
        <f>IFERROR(__xludf.DUMMYFUNCTION("""COMPUTED_VALUE"""),1.0)</f>
        <v>1</v>
      </c>
      <c r="O295" s="220">
        <f>IFERROR(__xludf.DUMMYFUNCTION("""COMPUTED_VALUE"""),3.0)</f>
        <v>3</v>
      </c>
      <c r="P295" s="220"/>
      <c r="Q295" s="190">
        <f t="shared" si="1"/>
        <v>1</v>
      </c>
      <c r="R295" s="211" t="s">
        <v>180</v>
      </c>
      <c r="S295" s="210" t="str">
        <f t="shared" si="2"/>
        <v>DEV</v>
      </c>
      <c r="T295" s="210" t="str">
        <f t="shared" si="3"/>
        <v>DEV, TA</v>
      </c>
      <c r="U295" s="210" t="str">
        <f t="shared" si="5"/>
        <v>CHORUS</v>
      </c>
      <c r="X295" s="210"/>
      <c r="Y295" s="210"/>
      <c r="Z295" s="210"/>
      <c r="AA295" s="210"/>
      <c r="AB295" s="210"/>
      <c r="AC295" s="210"/>
      <c r="AD295" s="210"/>
      <c r="AE295" s="210"/>
      <c r="AF295" s="210"/>
      <c r="AG295" s="210"/>
      <c r="AH295" s="210"/>
      <c r="AI295" s="210"/>
      <c r="AJ295" s="210"/>
      <c r="AK295" s="210"/>
      <c r="AL295" s="210"/>
      <c r="AM295" s="210"/>
      <c r="AN295" s="210"/>
      <c r="AO295" s="210"/>
      <c r="AP295" s="210"/>
      <c r="AQ295" s="210"/>
    </row>
    <row r="296">
      <c r="A296" s="223" t="str">
        <f>IFERROR(__xludf.DUMMYFUNCTION("""COMPUTED_VALUE"""),"143084")</f>
        <v>143084</v>
      </c>
      <c r="B296" s="190" t="str">
        <f>IFERROR(__xludf.DUMMYFUNCTION("""COMPUTED_VALUE"""),"PHAN QUỐC BÌNH")</f>
        <v>PHAN QUỐC BÌNH</v>
      </c>
      <c r="C296" s="223" t="str">
        <f>IFERROR(__xludf.DUMMYFUNCTION("""COMPUTED_VALUE"""),"EL027")</f>
        <v>EL027</v>
      </c>
      <c r="D296" s="223" t="str">
        <f>IFERROR(__xludf.DUMMYFUNCTION("""COMPUTED_VALUE"""),"Vinh Nguyen")</f>
        <v>Vinh Nguyen</v>
      </c>
      <c r="E296" s="190" t="str">
        <f>IFERROR(__xludf.DUMMYFUNCTION("""COMPUTED_VALUE"""),"Communication 1")</f>
        <v>Communication 1</v>
      </c>
      <c r="F296" s="190" t="str">
        <f>IFERROR(__xludf.DUMMYFUNCTION("""COMPUTED_VALUE"""),"Beginner")</f>
        <v>Beginner</v>
      </c>
      <c r="G296" s="190" t="str">
        <f>IFERROR(__xludf.DUMMYFUNCTION("""COMPUTED_VALUE"""),"Beginner 2")</f>
        <v>Beginner 2</v>
      </c>
      <c r="H296" s="219">
        <f>IFERROR(__xludf.DUMMYFUNCTION("""COMPUTED_VALUE"""),45715.58333333333)</f>
        <v>45715.58333</v>
      </c>
      <c r="I296" s="219">
        <f>IFERROR(__xludf.DUMMYFUNCTION("""COMPUTED_VALUE"""),45715.58333333333)</f>
        <v>45715.58333</v>
      </c>
      <c r="J296" s="190">
        <f>IFERROR(__xludf.DUMMYFUNCTION("""COMPUTED_VALUE"""),1.0)</f>
        <v>1</v>
      </c>
      <c r="K296" s="190">
        <f>IFERROR(__xludf.DUMMYFUNCTION("""COMPUTED_VALUE"""),1.5)</f>
        <v>1.5</v>
      </c>
      <c r="L296" s="190" t="str">
        <f>IFERROR(__xludf.DUMMYFUNCTION("""COMPUTED_VALUE"""),"BA")</f>
        <v>BA</v>
      </c>
      <c r="M296" s="190" t="str">
        <f>IFERROR(__xludf.DUMMYFUNCTION("""COMPUTED_VALUE"""),"LBU")</f>
        <v>LBU</v>
      </c>
      <c r="N296" s="220">
        <f>IFERROR(__xludf.DUMMYFUNCTION("""COMPUTED_VALUE"""),1.0)</f>
        <v>1</v>
      </c>
      <c r="O296" s="220">
        <f>IFERROR(__xludf.DUMMYFUNCTION("""COMPUTED_VALUE"""),1.5)</f>
        <v>1.5</v>
      </c>
      <c r="P296" s="220"/>
      <c r="Q296" s="190">
        <f t="shared" si="1"/>
        <v>1</v>
      </c>
      <c r="R296" s="211" t="s">
        <v>284</v>
      </c>
      <c r="S296" s="210" t="str">
        <f t="shared" si="2"/>
        <v>DEV</v>
      </c>
      <c r="T296" s="210" t="str">
        <f t="shared" si="3"/>
        <v>DEV, TA</v>
      </c>
      <c r="U296" s="210" t="str">
        <f t="shared" si="5"/>
        <v>CHORUS</v>
      </c>
      <c r="X296" s="210"/>
      <c r="Y296" s="210"/>
      <c r="Z296" s="210"/>
      <c r="AA296" s="210"/>
      <c r="AB296" s="210"/>
      <c r="AC296" s="210"/>
      <c r="AD296" s="210"/>
      <c r="AE296" s="210"/>
      <c r="AF296" s="210"/>
      <c r="AG296" s="210"/>
      <c r="AH296" s="210"/>
      <c r="AI296" s="210"/>
      <c r="AJ296" s="210"/>
      <c r="AK296" s="210"/>
      <c r="AL296" s="210"/>
      <c r="AM296" s="210"/>
      <c r="AN296" s="210"/>
      <c r="AO296" s="210"/>
      <c r="AP296" s="210"/>
      <c r="AQ296" s="210"/>
    </row>
    <row r="297">
      <c r="A297" s="218" t="str">
        <f>IFERROR(__xludf.DUMMYFUNCTION("""COMPUTED_VALUE"""),"227214")</f>
        <v>227214</v>
      </c>
      <c r="B297" s="217" t="str">
        <f>IFERROR(__xludf.DUMMYFUNCTION("""COMPUTED_VALUE"""),"NGUYỄN PHAN THẾ VINH")</f>
        <v>NGUYỄN PHAN THẾ VINH</v>
      </c>
      <c r="C297" s="218" t="str">
        <f>IFERROR(__xludf.DUMMYFUNCTION("""COMPUTED_VALUE"""),"EL027")</f>
        <v>EL027</v>
      </c>
      <c r="D297" s="218" t="str">
        <f>IFERROR(__xludf.DUMMYFUNCTION("""COMPUTED_VALUE"""),"Vinh Nguyen")</f>
        <v>Vinh Nguyen</v>
      </c>
      <c r="E297" s="217" t="str">
        <f>IFERROR(__xludf.DUMMYFUNCTION("""COMPUTED_VALUE"""),"Communication 2")</f>
        <v>Communication 2</v>
      </c>
      <c r="F297" s="190" t="str">
        <f>IFERROR(__xludf.DUMMYFUNCTION("""COMPUTED_VALUE"""),"Pre-Intermediate 1")</f>
        <v>Pre-Intermediate 1</v>
      </c>
      <c r="G297" s="190" t="str">
        <f>IFERROR(__xludf.DUMMYFUNCTION("""COMPUTED_VALUE"""),"Pre-Intermediate 2")</f>
        <v>Pre-Intermediate 2</v>
      </c>
      <c r="H297" s="219">
        <f>IFERROR(__xludf.DUMMYFUNCTION("""COMPUTED_VALUE"""),45890.54166666667)</f>
        <v>45890.54167</v>
      </c>
      <c r="I297" s="219">
        <f>IFERROR(__xludf.DUMMYFUNCTION("""COMPUTED_VALUE"""),45715.58333333333)</f>
        <v>45715.58333</v>
      </c>
      <c r="J297" s="190">
        <f>IFERROR(__xludf.DUMMYFUNCTION("""COMPUTED_VALUE"""),3.0)</f>
        <v>3</v>
      </c>
      <c r="K297" s="190">
        <f>IFERROR(__xludf.DUMMYFUNCTION("""COMPUTED_VALUE"""),3.5)</f>
        <v>3.5</v>
      </c>
      <c r="L297" s="190" t="str">
        <f>IFERROR(__xludf.DUMMYFUNCTION("""COMPUTED_VALUE"""),"GSD")</f>
        <v>GSD</v>
      </c>
      <c r="M297" s="190" t="str">
        <f>IFERROR(__xludf.DUMMYFUNCTION("""COMPUTED_VALUE"""),"LBU")</f>
        <v>LBU</v>
      </c>
      <c r="N297" s="220">
        <f>IFERROR(__xludf.DUMMYFUNCTION("""COMPUTED_VALUE"""),1.0)</f>
        <v>1</v>
      </c>
      <c r="O297" s="220">
        <f>IFERROR(__xludf.DUMMYFUNCTION("""COMPUTED_VALUE"""),3.5)</f>
        <v>3.5</v>
      </c>
      <c r="P297" s="220"/>
      <c r="Q297" s="190">
        <f t="shared" si="1"/>
        <v>1</v>
      </c>
      <c r="R297" s="211" t="s">
        <v>359</v>
      </c>
      <c r="S297" s="210" t="str">
        <f t="shared" si="2"/>
        <v>DEV</v>
      </c>
      <c r="T297" s="210" t="str">
        <f t="shared" si="3"/>
        <v>DEV, TA</v>
      </c>
      <c r="U297" s="210" t="str">
        <f t="shared" si="5"/>
        <v>CHORUS</v>
      </c>
      <c r="X297" s="210"/>
      <c r="Y297" s="210"/>
      <c r="Z297" s="210"/>
      <c r="AA297" s="210"/>
      <c r="AB297" s="210"/>
      <c r="AC297" s="210"/>
      <c r="AD297" s="210"/>
      <c r="AE297" s="210"/>
      <c r="AF297" s="210"/>
      <c r="AG297" s="210"/>
      <c r="AH297" s="210"/>
      <c r="AI297" s="210"/>
      <c r="AJ297" s="210"/>
      <c r="AK297" s="210"/>
      <c r="AL297" s="210"/>
      <c r="AM297" s="210"/>
      <c r="AN297" s="210"/>
      <c r="AO297" s="210"/>
      <c r="AP297" s="210"/>
      <c r="AQ297" s="210"/>
    </row>
    <row r="298">
      <c r="A298" s="223" t="str">
        <f>IFERROR(__xludf.DUMMYFUNCTION("""COMPUTED_VALUE"""),"237226")</f>
        <v>237226</v>
      </c>
      <c r="B298" s="190" t="str">
        <f>IFERROR(__xludf.DUMMYFUNCTION("""COMPUTED_VALUE"""),"CHU KHÁNH LINH")</f>
        <v>CHU KHÁNH LINH</v>
      </c>
      <c r="C298" s="223" t="str">
        <f>IFERROR(__xludf.DUMMYFUNCTION("""COMPUTED_VALUE"""),"EL027")</f>
        <v>EL027</v>
      </c>
      <c r="D298" s="223" t="str">
        <f>IFERROR(__xludf.DUMMYFUNCTION("""COMPUTED_VALUE"""),"Vinh Nguyen")</f>
        <v>Vinh Nguyen</v>
      </c>
      <c r="E298" s="190" t="str">
        <f>IFERROR(__xludf.DUMMYFUNCTION("""COMPUTED_VALUE"""),"Communication 2")</f>
        <v>Communication 2</v>
      </c>
      <c r="F298" s="190" t="str">
        <f>IFERROR(__xludf.DUMMYFUNCTION("""COMPUTED_VALUE"""),"Pre-Intermediate 1")</f>
        <v>Pre-Intermediate 1</v>
      </c>
      <c r="G298" s="190" t="str">
        <f>IFERROR(__xludf.DUMMYFUNCTION("""COMPUTED_VALUE"""),"Pre-Intermediate 2")</f>
        <v>Pre-Intermediate 2</v>
      </c>
      <c r="H298" s="219">
        <f>IFERROR(__xludf.DUMMYFUNCTION("""COMPUTED_VALUE"""),45890.54166666667)</f>
        <v>45890.54167</v>
      </c>
      <c r="I298" s="219">
        <f>IFERROR(__xludf.DUMMYFUNCTION("""COMPUTED_VALUE"""),45715.58333333333)</f>
        <v>45715.58333</v>
      </c>
      <c r="J298" s="190">
        <f>IFERROR(__xludf.DUMMYFUNCTION("""COMPUTED_VALUE"""),3.0)</f>
        <v>3</v>
      </c>
      <c r="K298" s="190">
        <f>IFERROR(__xludf.DUMMYFUNCTION("""COMPUTED_VALUE"""),3.5)</f>
        <v>3.5</v>
      </c>
      <c r="L298" s="190" t="str">
        <f>IFERROR(__xludf.DUMMYFUNCTION("""COMPUTED_VALUE"""),"GSD")</f>
        <v>GSD</v>
      </c>
      <c r="M298" s="190" t="str">
        <f>IFERROR(__xludf.DUMMYFUNCTION("""COMPUTED_VALUE"""),"LBU")</f>
        <v>LBU</v>
      </c>
      <c r="N298" s="220">
        <f>IFERROR(__xludf.DUMMYFUNCTION("""COMPUTED_VALUE"""),1.0)</f>
        <v>1</v>
      </c>
      <c r="O298" s="220">
        <f>IFERROR(__xludf.DUMMYFUNCTION("""COMPUTED_VALUE"""),3.5)</f>
        <v>3.5</v>
      </c>
      <c r="P298" s="220"/>
      <c r="Q298" s="190">
        <f t="shared" si="1"/>
        <v>1</v>
      </c>
      <c r="R298" s="211" t="s">
        <v>365</v>
      </c>
      <c r="S298" s="210" t="str">
        <f t="shared" si="2"/>
        <v>DEV</v>
      </c>
      <c r="T298" s="210" t="str">
        <f t="shared" si="3"/>
        <v>DEV, TA</v>
      </c>
      <c r="U298" s="210" t="str">
        <f t="shared" si="5"/>
        <v>CHORUS</v>
      </c>
      <c r="X298" s="210"/>
      <c r="Y298" s="210"/>
      <c r="Z298" s="210"/>
      <c r="AA298" s="210"/>
      <c r="AB298" s="210"/>
      <c r="AC298" s="210"/>
      <c r="AD298" s="210"/>
      <c r="AE298" s="210"/>
      <c r="AF298" s="210"/>
      <c r="AG298" s="210"/>
      <c r="AH298" s="210"/>
      <c r="AI298" s="210"/>
      <c r="AJ298" s="210"/>
      <c r="AK298" s="210"/>
      <c r="AL298" s="210"/>
      <c r="AM298" s="210"/>
      <c r="AN298" s="210"/>
      <c r="AO298" s="210"/>
      <c r="AP298" s="210"/>
      <c r="AQ298" s="210"/>
    </row>
    <row r="299">
      <c r="A299" s="223" t="str">
        <f>IFERROR(__xludf.DUMMYFUNCTION("""COMPUTED_VALUE"""),"173272")</f>
        <v>173272</v>
      </c>
      <c r="B299" s="190" t="str">
        <f>IFERROR(__xludf.DUMMYFUNCTION("""COMPUTED_VALUE"""),"ĐÀO SỸ THỜI")</f>
        <v>ĐÀO SỸ THỜI</v>
      </c>
      <c r="C299" s="223" t="str">
        <f>IFERROR(__xludf.DUMMYFUNCTION("""COMPUTED_VALUE"""),"EL027")</f>
        <v>EL027</v>
      </c>
      <c r="D299" s="223" t="str">
        <f>IFERROR(__xludf.DUMMYFUNCTION("""COMPUTED_VALUE"""),"Vinh Nguyen")</f>
        <v>Vinh Nguyen</v>
      </c>
      <c r="E299" s="190" t="str">
        <f>IFERROR(__xludf.DUMMYFUNCTION("""COMPUTED_VALUE"""),"Communication 2")</f>
        <v>Communication 2</v>
      </c>
      <c r="F299" s="190" t="str">
        <f>IFERROR(__xludf.DUMMYFUNCTION("""COMPUTED_VALUE"""),"Pre-Intermediate 1")</f>
        <v>Pre-Intermediate 1</v>
      </c>
      <c r="G299" s="190" t="str">
        <f>IFERROR(__xludf.DUMMYFUNCTION("""COMPUTED_VALUE"""),"Pre-Intermediate 1")</f>
        <v>Pre-Intermediate 1</v>
      </c>
      <c r="H299" s="219">
        <f>IFERROR(__xludf.DUMMYFUNCTION("""COMPUTED_VALUE"""),45890.54166666667)</f>
        <v>45890.54167</v>
      </c>
      <c r="I299" s="219">
        <f>IFERROR(__xludf.DUMMYFUNCTION("""COMPUTED_VALUE"""),45663.58333333333)</f>
        <v>45663.58333</v>
      </c>
      <c r="J299" s="190">
        <f>IFERROR(__xludf.DUMMYFUNCTION("""COMPUTED_VALUE"""),3.0)</f>
        <v>3</v>
      </c>
      <c r="K299" s="190">
        <f>IFERROR(__xludf.DUMMYFUNCTION("""COMPUTED_VALUE"""),3.0)</f>
        <v>3</v>
      </c>
      <c r="L299" s="190" t="str">
        <f>IFERROR(__xludf.DUMMYFUNCTION("""COMPUTED_VALUE"""),"GSD")</f>
        <v>GSD</v>
      </c>
      <c r="M299" s="190" t="str">
        <f>IFERROR(__xludf.DUMMYFUNCTION("""COMPUTED_VALUE"""),"LBU")</f>
        <v>LBU</v>
      </c>
      <c r="N299" s="220">
        <f>IFERROR(__xludf.DUMMYFUNCTION("""COMPUTED_VALUE"""),1.0)</f>
        <v>1</v>
      </c>
      <c r="O299" s="220">
        <f>IFERROR(__xludf.DUMMYFUNCTION("""COMPUTED_VALUE"""),3.0)</f>
        <v>3</v>
      </c>
      <c r="P299" s="220"/>
      <c r="Q299" s="190">
        <f t="shared" si="1"/>
        <v>1</v>
      </c>
      <c r="R299" s="211" t="s">
        <v>393</v>
      </c>
      <c r="S299" s="210" t="str">
        <f t="shared" si="2"/>
        <v>DEV</v>
      </c>
      <c r="T299" s="210" t="str">
        <f t="shared" si="3"/>
        <v>DEV, TA</v>
      </c>
      <c r="U299" s="210" t="str">
        <f t="shared" si="5"/>
        <v>CHORUS</v>
      </c>
      <c r="X299" s="210"/>
      <c r="Y299" s="210"/>
      <c r="Z299" s="210"/>
      <c r="AA299" s="210"/>
      <c r="AB299" s="210"/>
      <c r="AC299" s="210"/>
      <c r="AD299" s="210"/>
      <c r="AE299" s="210"/>
      <c r="AF299" s="210"/>
      <c r="AG299" s="210"/>
      <c r="AH299" s="210"/>
      <c r="AI299" s="210"/>
      <c r="AJ299" s="210"/>
      <c r="AK299" s="210"/>
      <c r="AL299" s="210"/>
      <c r="AM299" s="210"/>
      <c r="AN299" s="210"/>
      <c r="AO299" s="210"/>
      <c r="AP299" s="210"/>
      <c r="AQ299" s="210"/>
    </row>
    <row r="300">
      <c r="A300" s="223" t="str">
        <f>IFERROR(__xludf.DUMMYFUNCTION("""COMPUTED_VALUE"""),"193584")</f>
        <v>193584</v>
      </c>
      <c r="B300" s="190" t="str">
        <f>IFERROR(__xludf.DUMMYFUNCTION("""COMPUTED_VALUE"""),"LÂM VĂN TIẾN")</f>
        <v>LÂM VĂN TIẾN</v>
      </c>
      <c r="C300" s="223" t="str">
        <f>IFERROR(__xludf.DUMMYFUNCTION("""COMPUTED_VALUE"""),"EL027")</f>
        <v>EL027</v>
      </c>
      <c r="D300" s="223" t="str">
        <f>IFERROR(__xludf.DUMMYFUNCTION("""COMPUTED_VALUE"""),"Vinh Nguyen")</f>
        <v>Vinh Nguyen</v>
      </c>
      <c r="E300" s="190" t="str">
        <f>IFERROR(__xludf.DUMMYFUNCTION("""COMPUTED_VALUE"""),"Communication 2")</f>
        <v>Communication 2</v>
      </c>
      <c r="F300" s="190" t="str">
        <f>IFERROR(__xludf.DUMMYFUNCTION("""COMPUTED_VALUE"""),"Pre-Intermediate 1")</f>
        <v>Pre-Intermediate 1</v>
      </c>
      <c r="G300" s="190" t="str">
        <f>IFERROR(__xludf.DUMMYFUNCTION("""COMPUTED_VALUE"""),"Pre-Intermediate 2")</f>
        <v>Pre-Intermediate 2</v>
      </c>
      <c r="H300" s="219">
        <f>IFERROR(__xludf.DUMMYFUNCTION("""COMPUTED_VALUE"""),45890.54166666667)</f>
        <v>45890.54167</v>
      </c>
      <c r="I300" s="219">
        <f>IFERROR(__xludf.DUMMYFUNCTION("""COMPUTED_VALUE"""),45715.58333333333)</f>
        <v>45715.58333</v>
      </c>
      <c r="J300" s="190">
        <f>IFERROR(__xludf.DUMMYFUNCTION("""COMPUTED_VALUE"""),3.0)</f>
        <v>3</v>
      </c>
      <c r="K300" s="190">
        <f>IFERROR(__xludf.DUMMYFUNCTION("""COMPUTED_VALUE"""),3.5)</f>
        <v>3.5</v>
      </c>
      <c r="L300" s="190" t="str">
        <f>IFERROR(__xludf.DUMMYFUNCTION("""COMPUTED_VALUE"""),"GSD")</f>
        <v>GSD</v>
      </c>
      <c r="M300" s="190" t="str">
        <f>IFERROR(__xludf.DUMMYFUNCTION("""COMPUTED_VALUE"""),"LBU")</f>
        <v>LBU</v>
      </c>
      <c r="N300" s="220">
        <f>IFERROR(__xludf.DUMMYFUNCTION("""COMPUTED_VALUE"""),1.0)</f>
        <v>1</v>
      </c>
      <c r="O300" s="220">
        <f>IFERROR(__xludf.DUMMYFUNCTION("""COMPUTED_VALUE"""),3.5)</f>
        <v>3.5</v>
      </c>
      <c r="P300" s="220"/>
      <c r="Q300" s="190">
        <f t="shared" si="1"/>
        <v>1</v>
      </c>
      <c r="R300" s="211" t="s">
        <v>409</v>
      </c>
      <c r="S300" s="210" t="str">
        <f t="shared" si="2"/>
        <v>QC</v>
      </c>
      <c r="T300" s="210" t="str">
        <f t="shared" si="3"/>
        <v>QC</v>
      </c>
      <c r="U300" s="210" t="str">
        <f t="shared" si="5"/>
        <v>CHORUS</v>
      </c>
      <c r="X300" s="210"/>
      <c r="Y300" s="210"/>
      <c r="Z300" s="210"/>
      <c r="AA300" s="210"/>
      <c r="AB300" s="210"/>
      <c r="AC300" s="210"/>
      <c r="AD300" s="210"/>
      <c r="AE300" s="210"/>
      <c r="AF300" s="210"/>
      <c r="AG300" s="210"/>
      <c r="AH300" s="210"/>
      <c r="AI300" s="210"/>
      <c r="AJ300" s="210"/>
      <c r="AK300" s="210"/>
      <c r="AL300" s="210"/>
      <c r="AM300" s="210"/>
      <c r="AN300" s="210"/>
      <c r="AO300" s="210"/>
      <c r="AP300" s="210"/>
      <c r="AQ300" s="210"/>
    </row>
    <row r="301">
      <c r="A301" s="223" t="str">
        <f>IFERROR(__xludf.DUMMYFUNCTION("""COMPUTED_VALUE"""),"203790")</f>
        <v>203790</v>
      </c>
      <c r="B301" s="190" t="str">
        <f>IFERROR(__xludf.DUMMYFUNCTION("""COMPUTED_VALUE"""),"NGUYỄN QUANG TRUNG")</f>
        <v>NGUYỄN QUANG TRUNG</v>
      </c>
      <c r="C301" s="223" t="str">
        <f>IFERROR(__xludf.DUMMYFUNCTION("""COMPUTED_VALUE"""),"EL027")</f>
        <v>EL027</v>
      </c>
      <c r="D301" s="223" t="str">
        <f>IFERROR(__xludf.DUMMYFUNCTION("""COMPUTED_VALUE"""),"Vinh Nguyen")</f>
        <v>Vinh Nguyen</v>
      </c>
      <c r="E301" s="190" t="str">
        <f>IFERROR(__xludf.DUMMYFUNCTION("""COMPUTED_VALUE"""),"Communication 2")</f>
        <v>Communication 2</v>
      </c>
      <c r="F301" s="190" t="str">
        <f>IFERROR(__xludf.DUMMYFUNCTION("""COMPUTED_VALUE"""),"Pre-Intermediate 1")</f>
        <v>Pre-Intermediate 1</v>
      </c>
      <c r="G301" s="190" t="str">
        <f>IFERROR(__xludf.DUMMYFUNCTION("""COMPUTED_VALUE"""),"Pre-Intermediate 2")</f>
        <v>Pre-Intermediate 2</v>
      </c>
      <c r="H301" s="219">
        <f>IFERROR(__xludf.DUMMYFUNCTION("""COMPUTED_VALUE"""),45890.54166666667)</f>
        <v>45890.54167</v>
      </c>
      <c r="I301" s="219">
        <f>IFERROR(__xludf.DUMMYFUNCTION("""COMPUTED_VALUE"""),45663.58333333333)</f>
        <v>45663.58333</v>
      </c>
      <c r="J301" s="190">
        <f>IFERROR(__xludf.DUMMYFUNCTION("""COMPUTED_VALUE"""),3.0)</f>
        <v>3</v>
      </c>
      <c r="K301" s="190">
        <f>IFERROR(__xludf.DUMMYFUNCTION("""COMPUTED_VALUE"""),3.5)</f>
        <v>3.5</v>
      </c>
      <c r="L301" s="190" t="str">
        <f>IFERROR(__xludf.DUMMYFUNCTION("""COMPUTED_VALUE"""),"GSD")</f>
        <v>GSD</v>
      </c>
      <c r="M301" s="190" t="str">
        <f>IFERROR(__xludf.DUMMYFUNCTION("""COMPUTED_VALUE"""),"LBU")</f>
        <v>LBU</v>
      </c>
      <c r="N301" s="220">
        <f>IFERROR(__xludf.DUMMYFUNCTION("""COMPUTED_VALUE"""),2.5)</f>
        <v>2.5</v>
      </c>
      <c r="O301" s="220">
        <f>IFERROR(__xludf.DUMMYFUNCTION("""COMPUTED_VALUE"""),3.5)</f>
        <v>3.5</v>
      </c>
      <c r="P301" s="220"/>
      <c r="Q301" s="190">
        <f t="shared" si="1"/>
        <v>1</v>
      </c>
      <c r="R301" s="211" t="s">
        <v>585</v>
      </c>
      <c r="S301" s="210" t="str">
        <f t="shared" si="2"/>
        <v>DEV</v>
      </c>
      <c r="T301" s="210" t="str">
        <f t="shared" si="3"/>
        <v>DEV, TA</v>
      </c>
      <c r="U301" s="210" t="str">
        <f t="shared" si="5"/>
        <v>CHORUS</v>
      </c>
      <c r="X301" s="210"/>
      <c r="Y301" s="210"/>
      <c r="Z301" s="210"/>
      <c r="AA301" s="210"/>
      <c r="AB301" s="210"/>
      <c r="AC301" s="210"/>
      <c r="AD301" s="210"/>
      <c r="AE301" s="210"/>
      <c r="AF301" s="210"/>
      <c r="AG301" s="210"/>
      <c r="AH301" s="210"/>
      <c r="AI301" s="210"/>
      <c r="AJ301" s="210"/>
      <c r="AK301" s="210"/>
      <c r="AL301" s="210"/>
      <c r="AM301" s="210"/>
      <c r="AN301" s="210"/>
      <c r="AO301" s="210"/>
      <c r="AP301" s="210"/>
      <c r="AQ301" s="210"/>
    </row>
    <row r="302">
      <c r="A302" s="223" t="str">
        <f>IFERROR(__xludf.DUMMYFUNCTION("""COMPUTED_VALUE"""),"247083")</f>
        <v>247083</v>
      </c>
      <c r="B302" s="190" t="str">
        <f>IFERROR(__xludf.DUMMYFUNCTION("""COMPUTED_VALUE"""),"NGUYỄN TRANG QUỲNH NHƯ")</f>
        <v>NGUYỄN TRANG QUỲNH NHƯ</v>
      </c>
      <c r="C302" s="223" t="str">
        <f>IFERROR(__xludf.DUMMYFUNCTION("""COMPUTED_VALUE"""),"EL027")</f>
        <v>EL027</v>
      </c>
      <c r="D302" s="223" t="str">
        <f>IFERROR(__xludf.DUMMYFUNCTION("""COMPUTED_VALUE"""),"Vinh Nguyen")</f>
        <v>Vinh Nguyen</v>
      </c>
      <c r="E302" s="190" t="str">
        <f>IFERROR(__xludf.DUMMYFUNCTION("""COMPUTED_VALUE"""),"Communication 2")</f>
        <v>Communication 2</v>
      </c>
      <c r="F302" s="190" t="str">
        <f>IFERROR(__xludf.DUMMYFUNCTION("""COMPUTED_VALUE"""),"Pre-Intermediate 1")</f>
        <v>Pre-Intermediate 1</v>
      </c>
      <c r="G302" s="190" t="str">
        <f>IFERROR(__xludf.DUMMYFUNCTION("""COMPUTED_VALUE"""),"Pre-Intermediate 2")</f>
        <v>Pre-Intermediate 2</v>
      </c>
      <c r="H302" s="219">
        <f>IFERROR(__xludf.DUMMYFUNCTION("""COMPUTED_VALUE"""),45890.54166666667)</f>
        <v>45890.54167</v>
      </c>
      <c r="I302" s="219">
        <f>IFERROR(__xludf.DUMMYFUNCTION("""COMPUTED_VALUE"""),45715.58333333333)</f>
        <v>45715.58333</v>
      </c>
      <c r="J302" s="190">
        <f>IFERROR(__xludf.DUMMYFUNCTION("""COMPUTED_VALUE"""),3.0)</f>
        <v>3</v>
      </c>
      <c r="K302" s="190">
        <f>IFERROR(__xludf.DUMMYFUNCTION("""COMPUTED_VALUE"""),3.5)</f>
        <v>3.5</v>
      </c>
      <c r="L302" s="190" t="str">
        <f>IFERROR(__xludf.DUMMYFUNCTION("""COMPUTED_VALUE"""),"GSD")</f>
        <v>GSD</v>
      </c>
      <c r="M302" s="190" t="str">
        <f>IFERROR(__xludf.DUMMYFUNCTION("""COMPUTED_VALUE"""),"LBU")</f>
        <v>LBU</v>
      </c>
      <c r="N302" s="220">
        <f>IFERROR(__xludf.DUMMYFUNCTION("""COMPUTED_VALUE"""),1.0)</f>
        <v>1</v>
      </c>
      <c r="O302" s="220">
        <f>IFERROR(__xludf.DUMMYFUNCTION("""COMPUTED_VALUE"""),3.5)</f>
        <v>3.5</v>
      </c>
      <c r="P302" s="220"/>
      <c r="Q302" s="190">
        <f t="shared" si="1"/>
        <v>1</v>
      </c>
      <c r="R302" s="211" t="s">
        <v>138</v>
      </c>
      <c r="S302" s="210" t="str">
        <f t="shared" si="2"/>
        <v>QC</v>
      </c>
      <c r="T302" s="210" t="str">
        <f t="shared" si="3"/>
        <v>QC</v>
      </c>
      <c r="U302" s="210" t="str">
        <f t="shared" si="5"/>
        <v>ONC</v>
      </c>
      <c r="X302" s="210"/>
      <c r="Y302" s="210"/>
      <c r="Z302" s="210"/>
      <c r="AA302" s="210"/>
      <c r="AB302" s="210"/>
      <c r="AC302" s="210"/>
      <c r="AD302" s="210"/>
      <c r="AE302" s="210"/>
      <c r="AF302" s="210"/>
      <c r="AG302" s="210"/>
      <c r="AH302" s="210"/>
      <c r="AI302" s="210"/>
      <c r="AJ302" s="210"/>
      <c r="AK302" s="210"/>
      <c r="AL302" s="210"/>
      <c r="AM302" s="210"/>
      <c r="AN302" s="210"/>
      <c r="AO302" s="210"/>
      <c r="AP302" s="210"/>
      <c r="AQ302" s="210"/>
    </row>
    <row r="303">
      <c r="A303" s="223" t="str">
        <f>IFERROR(__xludf.DUMMYFUNCTION("""COMPUTED_VALUE"""),"247178")</f>
        <v>247178</v>
      </c>
      <c r="B303" s="190" t="str">
        <f>IFERROR(__xludf.DUMMYFUNCTION("""COMPUTED_VALUE"""),"NGUYỄN TRÚC DUYÊN")</f>
        <v>NGUYỄN TRÚC DUYÊN</v>
      </c>
      <c r="C303" s="223" t="str">
        <f>IFERROR(__xludf.DUMMYFUNCTION("""COMPUTED_VALUE"""),"EL027")</f>
        <v>EL027</v>
      </c>
      <c r="D303" s="223" t="str">
        <f>IFERROR(__xludf.DUMMYFUNCTION("""COMPUTED_VALUE"""),"Vinh Nguyen")</f>
        <v>Vinh Nguyen</v>
      </c>
      <c r="E303" s="190" t="str">
        <f>IFERROR(__xludf.DUMMYFUNCTION("""COMPUTED_VALUE"""),"Communication 2")</f>
        <v>Communication 2</v>
      </c>
      <c r="F303" s="190" t="str">
        <f>IFERROR(__xludf.DUMMYFUNCTION("""COMPUTED_VALUE"""),"Beginner 2")</f>
        <v>Beginner 2</v>
      </c>
      <c r="G303" s="190" t="str">
        <f>IFERROR(__xludf.DUMMYFUNCTION("""COMPUTED_VALUE"""),"Pre-Intermediate 1")</f>
        <v>Pre-Intermediate 1</v>
      </c>
      <c r="H303" s="219">
        <f>IFERROR(__xludf.DUMMYFUNCTION("""COMPUTED_VALUE"""),45890.54166666667)</f>
        <v>45890.54167</v>
      </c>
      <c r="I303" s="219">
        <f>IFERROR(__xludf.DUMMYFUNCTION("""COMPUTED_VALUE"""),45715.58333333333)</f>
        <v>45715.58333</v>
      </c>
      <c r="J303" s="190">
        <f>IFERROR(__xludf.DUMMYFUNCTION("""COMPUTED_VALUE"""),1.5)</f>
        <v>1.5</v>
      </c>
      <c r="K303" s="190">
        <f>IFERROR(__xludf.DUMMYFUNCTION("""COMPUTED_VALUE"""),3.0)</f>
        <v>3</v>
      </c>
      <c r="L303" s="190" t="str">
        <f>IFERROR(__xludf.DUMMYFUNCTION("""COMPUTED_VALUE"""),"GSD")</f>
        <v>GSD</v>
      </c>
      <c r="M303" s="190" t="str">
        <f>IFERROR(__xludf.DUMMYFUNCTION("""COMPUTED_VALUE"""),"LBU")</f>
        <v>LBU</v>
      </c>
      <c r="N303" s="220">
        <f>IFERROR(__xludf.DUMMYFUNCTION("""COMPUTED_VALUE"""),1.0)</f>
        <v>1</v>
      </c>
      <c r="O303" s="220">
        <f>IFERROR(__xludf.DUMMYFUNCTION("""COMPUTED_VALUE"""),3.0)</f>
        <v>3</v>
      </c>
      <c r="P303" s="220"/>
      <c r="Q303" s="190">
        <f t="shared" si="1"/>
        <v>1</v>
      </c>
      <c r="R303" s="211" t="s">
        <v>286</v>
      </c>
      <c r="S303" s="210" t="str">
        <f t="shared" si="2"/>
        <v>QC</v>
      </c>
      <c r="T303" s="210" t="str">
        <f t="shared" si="3"/>
        <v>QC</v>
      </c>
      <c r="U303" s="210" t="str">
        <f t="shared" si="5"/>
        <v>ONC</v>
      </c>
      <c r="X303" s="210"/>
      <c r="Y303" s="210"/>
      <c r="Z303" s="210"/>
      <c r="AA303" s="210"/>
      <c r="AB303" s="210"/>
      <c r="AC303" s="210"/>
      <c r="AD303" s="210"/>
      <c r="AE303" s="210"/>
      <c r="AF303" s="210"/>
      <c r="AG303" s="210"/>
      <c r="AH303" s="210"/>
      <c r="AI303" s="210"/>
      <c r="AJ303" s="210"/>
      <c r="AK303" s="210"/>
      <c r="AL303" s="210"/>
      <c r="AM303" s="210"/>
      <c r="AN303" s="210"/>
      <c r="AO303" s="210"/>
      <c r="AP303" s="210"/>
      <c r="AQ303" s="210"/>
    </row>
    <row r="304">
      <c r="A304" s="218" t="str">
        <f>IFERROR(__xludf.DUMMYFUNCTION("""COMPUTED_VALUE"""),"227214")</f>
        <v>227214</v>
      </c>
      <c r="B304" s="217" t="str">
        <f>IFERROR(__xludf.DUMMYFUNCTION("""COMPUTED_VALUE"""),"NGUYỄN PHAN THẾ VINH")</f>
        <v>NGUYỄN PHAN THẾ VINH</v>
      </c>
      <c r="C304" s="218" t="str">
        <f>IFERROR(__xludf.DUMMYFUNCTION("""COMPUTED_VALUE"""),"EL027")</f>
        <v>EL027</v>
      </c>
      <c r="D304" s="218" t="str">
        <f>IFERROR(__xludf.DUMMYFUNCTION("""COMPUTED_VALUE"""),"Vinh Nguyen")</f>
        <v>Vinh Nguyen</v>
      </c>
      <c r="E304" s="217" t="str">
        <f>IFERROR(__xludf.DUMMYFUNCTION("""COMPUTED_VALUE"""),"Communication 3")</f>
        <v>Communication 3</v>
      </c>
      <c r="F304" s="190"/>
      <c r="G304" s="190"/>
      <c r="H304" s="219">
        <f>IFERROR(__xludf.DUMMYFUNCTION("""COMPUTED_VALUE"""),46107.58333333333)</f>
        <v>46107.58333</v>
      </c>
      <c r="I304" s="219">
        <f>IFERROR(__xludf.DUMMYFUNCTION("""COMPUTED_VALUE"""),45715.58333333333)</f>
        <v>45715.58333</v>
      </c>
      <c r="J304" s="190" t="str">
        <f>IFERROR(__xludf.DUMMYFUNCTION("""COMPUTED_VALUE"""),"")</f>
        <v/>
      </c>
      <c r="K304" s="190" t="str">
        <f>IFERROR(__xludf.DUMMYFUNCTION("""COMPUTED_VALUE"""),"")</f>
        <v/>
      </c>
      <c r="L304" s="190" t="str">
        <f>IFERROR(__xludf.DUMMYFUNCTION("""COMPUTED_VALUE"""),"GSD")</f>
        <v>GSD</v>
      </c>
      <c r="M304" s="190" t="str">
        <f>IFERROR(__xludf.DUMMYFUNCTION("""COMPUTED_VALUE"""),"LBU")</f>
        <v>LBU</v>
      </c>
      <c r="N304" s="220">
        <f>IFERROR(__xludf.DUMMYFUNCTION("""COMPUTED_VALUE"""),1.0)</f>
        <v>1</v>
      </c>
      <c r="O304" s="220">
        <f>IFERROR(__xludf.DUMMYFUNCTION("""COMPUTED_VALUE"""),3.5)</f>
        <v>3.5</v>
      </c>
      <c r="P304" s="220"/>
      <c r="Q304" s="190">
        <f t="shared" si="1"/>
        <v>1</v>
      </c>
      <c r="R304" s="211" t="s">
        <v>653</v>
      </c>
      <c r="S304" s="210" t="str">
        <f t="shared" si="2"/>
        <v>QC</v>
      </c>
      <c r="T304" s="210" t="str">
        <f t="shared" si="3"/>
        <v>QC</v>
      </c>
      <c r="U304" s="210" t="str">
        <f t="shared" si="5"/>
        <v>ONC</v>
      </c>
      <c r="X304" s="210"/>
      <c r="Y304" s="210"/>
      <c r="Z304" s="210"/>
      <c r="AA304" s="210"/>
      <c r="AB304" s="210"/>
      <c r="AC304" s="210"/>
      <c r="AD304" s="210"/>
      <c r="AE304" s="210"/>
      <c r="AF304" s="210"/>
      <c r="AG304" s="210"/>
      <c r="AH304" s="210"/>
      <c r="AI304" s="210"/>
      <c r="AJ304" s="210"/>
      <c r="AK304" s="210"/>
      <c r="AL304" s="210"/>
      <c r="AM304" s="210"/>
      <c r="AN304" s="210"/>
      <c r="AO304" s="210"/>
      <c r="AP304" s="210"/>
      <c r="AQ304" s="210"/>
    </row>
    <row r="305">
      <c r="A305" s="223" t="str">
        <f>IFERROR(__xludf.DUMMYFUNCTION("""COMPUTED_VALUE"""),"143084")</f>
        <v>143084</v>
      </c>
      <c r="B305" s="190" t="str">
        <f>IFERROR(__xludf.DUMMYFUNCTION("""COMPUTED_VALUE"""),"PHAN QUỐC BÌNH")</f>
        <v>PHAN QUỐC BÌNH</v>
      </c>
      <c r="C305" s="223" t="str">
        <f>IFERROR(__xludf.DUMMYFUNCTION("""COMPUTED_VALUE"""),"EL027")</f>
        <v>EL027</v>
      </c>
      <c r="D305" s="223" t="str">
        <f>IFERROR(__xludf.DUMMYFUNCTION("""COMPUTED_VALUE"""),"Vinh Nguyen")</f>
        <v>Vinh Nguyen</v>
      </c>
      <c r="E305" s="190" t="str">
        <f>IFERROR(__xludf.DUMMYFUNCTION("""COMPUTED_VALUE"""),"Communication 2")</f>
        <v>Communication 2</v>
      </c>
      <c r="F305" s="190"/>
      <c r="G305" s="190"/>
      <c r="H305" s="219">
        <f>IFERROR(__xludf.DUMMYFUNCTION("""COMPUTED_VALUE"""),45890.54166666667)</f>
        <v>45890.54167</v>
      </c>
      <c r="I305" s="219">
        <f>IFERROR(__xludf.DUMMYFUNCTION("""COMPUTED_VALUE"""),45715.58333333333)</f>
        <v>45715.58333</v>
      </c>
      <c r="J305" s="190" t="str">
        <f>IFERROR(__xludf.DUMMYFUNCTION("""COMPUTED_VALUE"""),"")</f>
        <v/>
      </c>
      <c r="K305" s="190" t="str">
        <f>IFERROR(__xludf.DUMMYFUNCTION("""COMPUTED_VALUE"""),"")</f>
        <v/>
      </c>
      <c r="L305" s="190" t="str">
        <f>IFERROR(__xludf.DUMMYFUNCTION("""COMPUTED_VALUE"""),"BA")</f>
        <v>BA</v>
      </c>
      <c r="M305" s="190" t="str">
        <f>IFERROR(__xludf.DUMMYFUNCTION("""COMPUTED_VALUE"""),"LBU")</f>
        <v>LBU</v>
      </c>
      <c r="N305" s="220">
        <f>IFERROR(__xludf.DUMMYFUNCTION("""COMPUTED_VALUE"""),1.0)</f>
        <v>1</v>
      </c>
      <c r="O305" s="220">
        <f>IFERROR(__xludf.DUMMYFUNCTION("""COMPUTED_VALUE"""),1.5)</f>
        <v>1.5</v>
      </c>
      <c r="P305" s="220"/>
      <c r="Q305" s="190">
        <f t="shared" si="1"/>
        <v>1</v>
      </c>
      <c r="R305" s="211" t="s">
        <v>673</v>
      </c>
      <c r="S305" s="210" t="str">
        <f t="shared" si="2"/>
        <v>DEV</v>
      </c>
      <c r="T305" s="210" t="str">
        <f t="shared" si="3"/>
        <v>DEV, TA</v>
      </c>
      <c r="U305" s="210" t="str">
        <f t="shared" si="5"/>
        <v>ONC</v>
      </c>
      <c r="X305" s="210"/>
      <c r="Y305" s="210"/>
      <c r="Z305" s="210"/>
      <c r="AA305" s="210"/>
      <c r="AB305" s="210"/>
      <c r="AC305" s="210"/>
      <c r="AD305" s="210"/>
      <c r="AE305" s="210"/>
      <c r="AF305" s="210"/>
      <c r="AG305" s="210"/>
      <c r="AH305" s="210"/>
      <c r="AI305" s="210"/>
      <c r="AJ305" s="210"/>
      <c r="AK305" s="210"/>
      <c r="AL305" s="210"/>
      <c r="AM305" s="210"/>
      <c r="AN305" s="210"/>
      <c r="AO305" s="210"/>
      <c r="AP305" s="210"/>
      <c r="AQ305" s="210"/>
    </row>
    <row r="306">
      <c r="A306" s="223" t="str">
        <f>IFERROR(__xludf.DUMMYFUNCTION("""COMPUTED_VALUE"""),"237226")</f>
        <v>237226</v>
      </c>
      <c r="B306" s="190" t="str">
        <f>IFERROR(__xludf.DUMMYFUNCTION("""COMPUTED_VALUE"""),"CHU KHÁNH LINH")</f>
        <v>CHU KHÁNH LINH</v>
      </c>
      <c r="C306" s="223" t="str">
        <f>IFERROR(__xludf.DUMMYFUNCTION("""COMPUTED_VALUE"""),"EL027")</f>
        <v>EL027</v>
      </c>
      <c r="D306" s="223" t="str">
        <f>IFERROR(__xludf.DUMMYFUNCTION("""COMPUTED_VALUE"""),"Vinh Nguyen")</f>
        <v>Vinh Nguyen</v>
      </c>
      <c r="E306" s="190" t="str">
        <f>IFERROR(__xludf.DUMMYFUNCTION("""COMPUTED_VALUE"""),"Communication 3")</f>
        <v>Communication 3</v>
      </c>
      <c r="F306" s="190"/>
      <c r="G306" s="190"/>
      <c r="H306" s="219">
        <f>IFERROR(__xludf.DUMMYFUNCTION("""COMPUTED_VALUE"""),46107.58333333333)</f>
        <v>46107.58333</v>
      </c>
      <c r="I306" s="219">
        <f>IFERROR(__xludf.DUMMYFUNCTION("""COMPUTED_VALUE"""),45715.58333333333)</f>
        <v>45715.58333</v>
      </c>
      <c r="J306" s="190" t="str">
        <f>IFERROR(__xludf.DUMMYFUNCTION("""COMPUTED_VALUE"""),"")</f>
        <v/>
      </c>
      <c r="K306" s="190" t="str">
        <f>IFERROR(__xludf.DUMMYFUNCTION("""COMPUTED_VALUE"""),"")</f>
        <v/>
      </c>
      <c r="L306" s="190" t="str">
        <f>IFERROR(__xludf.DUMMYFUNCTION("""COMPUTED_VALUE"""),"GSD")</f>
        <v>GSD</v>
      </c>
      <c r="M306" s="190" t="str">
        <f>IFERROR(__xludf.DUMMYFUNCTION("""COMPUTED_VALUE"""),"LBU")</f>
        <v>LBU</v>
      </c>
      <c r="N306" s="220">
        <f>IFERROR(__xludf.DUMMYFUNCTION("""COMPUTED_VALUE"""),1.0)</f>
        <v>1</v>
      </c>
      <c r="O306" s="220">
        <f>IFERROR(__xludf.DUMMYFUNCTION("""COMPUTED_VALUE"""),3.5)</f>
        <v>3.5</v>
      </c>
      <c r="P306" s="220"/>
      <c r="Q306" s="190">
        <f t="shared" si="1"/>
        <v>0</v>
      </c>
      <c r="R306" s="211"/>
      <c r="S306" s="210" t="str">
        <f t="shared" si="2"/>
        <v>#N/A</v>
      </c>
      <c r="T306" s="210" t="str">
        <f t="shared" si="3"/>
        <v>#N/A</v>
      </c>
      <c r="U306" s="210" t="str">
        <f t="shared" si="5"/>
        <v>#N/A</v>
      </c>
      <c r="X306" s="210"/>
      <c r="Y306" s="210"/>
      <c r="Z306" s="210"/>
      <c r="AA306" s="210"/>
      <c r="AB306" s="210"/>
      <c r="AC306" s="210"/>
      <c r="AD306" s="210"/>
      <c r="AE306" s="210"/>
      <c r="AF306" s="210"/>
      <c r="AG306" s="210"/>
      <c r="AH306" s="210"/>
      <c r="AI306" s="210"/>
      <c r="AJ306" s="210"/>
      <c r="AK306" s="210"/>
      <c r="AL306" s="210"/>
      <c r="AM306" s="210"/>
      <c r="AN306" s="210"/>
      <c r="AO306" s="210"/>
      <c r="AP306" s="210"/>
      <c r="AQ306" s="210"/>
    </row>
    <row r="307">
      <c r="A307" s="223" t="str">
        <f>IFERROR(__xludf.DUMMYFUNCTION("""COMPUTED_VALUE"""),"173272")</f>
        <v>173272</v>
      </c>
      <c r="B307" s="190" t="str">
        <f>IFERROR(__xludf.DUMMYFUNCTION("""COMPUTED_VALUE"""),"ĐÀO SỸ THỜI")</f>
        <v>ĐÀO SỸ THỜI</v>
      </c>
      <c r="C307" s="223" t="str">
        <f>IFERROR(__xludf.DUMMYFUNCTION("""COMPUTED_VALUE"""),"EL027")</f>
        <v>EL027</v>
      </c>
      <c r="D307" s="223" t="str">
        <f>IFERROR(__xludf.DUMMYFUNCTION("""COMPUTED_VALUE"""),"Vinh Nguyen")</f>
        <v>Vinh Nguyen</v>
      </c>
      <c r="E307" s="190" t="str">
        <f>IFERROR(__xludf.DUMMYFUNCTION("""COMPUTED_VALUE"""),"Communication 3")</f>
        <v>Communication 3</v>
      </c>
      <c r="F307" s="190"/>
      <c r="G307" s="190"/>
      <c r="H307" s="219">
        <f>IFERROR(__xludf.DUMMYFUNCTION("""COMPUTED_VALUE"""),46107.58333333333)</f>
        <v>46107.58333</v>
      </c>
      <c r="I307" s="219">
        <f>IFERROR(__xludf.DUMMYFUNCTION("""COMPUTED_VALUE"""),45663.58333333333)</f>
        <v>45663.58333</v>
      </c>
      <c r="J307" s="190" t="str">
        <f>IFERROR(__xludf.DUMMYFUNCTION("""COMPUTED_VALUE"""),"")</f>
        <v/>
      </c>
      <c r="K307" s="190" t="str">
        <f>IFERROR(__xludf.DUMMYFUNCTION("""COMPUTED_VALUE"""),"")</f>
        <v/>
      </c>
      <c r="L307" s="190" t="str">
        <f>IFERROR(__xludf.DUMMYFUNCTION("""COMPUTED_VALUE"""),"GSD")</f>
        <v>GSD</v>
      </c>
      <c r="M307" s="190" t="str">
        <f>IFERROR(__xludf.DUMMYFUNCTION("""COMPUTED_VALUE"""),"LBU")</f>
        <v>LBU</v>
      </c>
      <c r="N307" s="220">
        <f>IFERROR(__xludf.DUMMYFUNCTION("""COMPUTED_VALUE"""),1.0)</f>
        <v>1</v>
      </c>
      <c r="O307" s="220">
        <f>IFERROR(__xludf.DUMMYFUNCTION("""COMPUTED_VALUE"""),3.0)</f>
        <v>3</v>
      </c>
      <c r="P307" s="220"/>
      <c r="Q307" s="190">
        <f t="shared" si="1"/>
        <v>0</v>
      </c>
      <c r="R307" s="210"/>
      <c r="S307" s="210" t="str">
        <f t="shared" si="2"/>
        <v>#N/A</v>
      </c>
      <c r="T307" s="210" t="str">
        <f t="shared" si="3"/>
        <v>#N/A</v>
      </c>
      <c r="U307" s="210" t="str">
        <f t="shared" si="5"/>
        <v>#N/A</v>
      </c>
      <c r="X307" s="210"/>
      <c r="Y307" s="210"/>
      <c r="Z307" s="210"/>
      <c r="AA307" s="210"/>
      <c r="AB307" s="210"/>
      <c r="AC307" s="210"/>
      <c r="AD307" s="210"/>
      <c r="AE307" s="210"/>
      <c r="AF307" s="210"/>
      <c r="AG307" s="210"/>
      <c r="AH307" s="210"/>
      <c r="AI307" s="210"/>
      <c r="AJ307" s="210"/>
      <c r="AK307" s="210"/>
      <c r="AL307" s="210"/>
      <c r="AM307" s="210"/>
      <c r="AN307" s="210"/>
      <c r="AO307" s="210"/>
      <c r="AP307" s="210"/>
      <c r="AQ307" s="210"/>
    </row>
    <row r="308">
      <c r="A308" s="223" t="str">
        <f>IFERROR(__xludf.DUMMYFUNCTION("""COMPUTED_VALUE"""),"193584")</f>
        <v>193584</v>
      </c>
      <c r="B308" s="190" t="str">
        <f>IFERROR(__xludf.DUMMYFUNCTION("""COMPUTED_VALUE"""),"LÂM VĂN TIẾN")</f>
        <v>LÂM VĂN TIẾN</v>
      </c>
      <c r="C308" s="223" t="str">
        <f>IFERROR(__xludf.DUMMYFUNCTION("""COMPUTED_VALUE"""),"EL027")</f>
        <v>EL027</v>
      </c>
      <c r="D308" s="223" t="str">
        <f>IFERROR(__xludf.DUMMYFUNCTION("""COMPUTED_VALUE"""),"Vinh Nguyen")</f>
        <v>Vinh Nguyen</v>
      </c>
      <c r="E308" s="190" t="str">
        <f>IFERROR(__xludf.DUMMYFUNCTION("""COMPUTED_VALUE"""),"Communication 3")</f>
        <v>Communication 3</v>
      </c>
      <c r="F308" s="190"/>
      <c r="G308" s="190"/>
      <c r="H308" s="219">
        <f>IFERROR(__xludf.DUMMYFUNCTION("""COMPUTED_VALUE"""),46107.58333333333)</f>
        <v>46107.58333</v>
      </c>
      <c r="I308" s="219">
        <f>IFERROR(__xludf.DUMMYFUNCTION("""COMPUTED_VALUE"""),45715.58333333333)</f>
        <v>45715.58333</v>
      </c>
      <c r="J308" s="190" t="str">
        <f>IFERROR(__xludf.DUMMYFUNCTION("""COMPUTED_VALUE"""),"")</f>
        <v/>
      </c>
      <c r="K308" s="190" t="str">
        <f>IFERROR(__xludf.DUMMYFUNCTION("""COMPUTED_VALUE"""),"")</f>
        <v/>
      </c>
      <c r="L308" s="190" t="str">
        <f>IFERROR(__xludf.DUMMYFUNCTION("""COMPUTED_VALUE"""),"GSD")</f>
        <v>GSD</v>
      </c>
      <c r="M308" s="190" t="str">
        <f>IFERROR(__xludf.DUMMYFUNCTION("""COMPUTED_VALUE"""),"LBU")</f>
        <v>LBU</v>
      </c>
      <c r="N308" s="220">
        <f>IFERROR(__xludf.DUMMYFUNCTION("""COMPUTED_VALUE"""),1.0)</f>
        <v>1</v>
      </c>
      <c r="O308" s="220">
        <f>IFERROR(__xludf.DUMMYFUNCTION("""COMPUTED_VALUE"""),3.5)</f>
        <v>3.5</v>
      </c>
      <c r="P308" s="220"/>
      <c r="Q308" s="190">
        <f t="shared" si="1"/>
        <v>0</v>
      </c>
      <c r="R308" s="210"/>
      <c r="S308" s="210" t="str">
        <f t="shared" si="2"/>
        <v>#N/A</v>
      </c>
      <c r="T308" s="210" t="str">
        <f t="shared" si="3"/>
        <v>#N/A</v>
      </c>
      <c r="U308" s="210" t="str">
        <f t="shared" si="5"/>
        <v>#N/A</v>
      </c>
      <c r="X308" s="210"/>
      <c r="Y308" s="210"/>
      <c r="Z308" s="210"/>
      <c r="AA308" s="210"/>
      <c r="AB308" s="210"/>
      <c r="AC308" s="210"/>
      <c r="AD308" s="210"/>
      <c r="AE308" s="210"/>
      <c r="AF308" s="210"/>
      <c r="AG308" s="210"/>
      <c r="AH308" s="210"/>
      <c r="AI308" s="210"/>
      <c r="AJ308" s="210"/>
      <c r="AK308" s="210"/>
      <c r="AL308" s="210"/>
      <c r="AM308" s="210"/>
      <c r="AN308" s="210"/>
      <c r="AO308" s="210"/>
      <c r="AP308" s="210"/>
      <c r="AQ308" s="210"/>
    </row>
    <row r="309">
      <c r="A309" s="223" t="str">
        <f>IFERROR(__xludf.DUMMYFUNCTION("""COMPUTED_VALUE"""),"203790")</f>
        <v>203790</v>
      </c>
      <c r="B309" s="190" t="str">
        <f>IFERROR(__xludf.DUMMYFUNCTION("""COMPUTED_VALUE"""),"NGUYỄN QUANG TRUNG")</f>
        <v>NGUYỄN QUANG TRUNG</v>
      </c>
      <c r="C309" s="223" t="str">
        <f>IFERROR(__xludf.DUMMYFUNCTION("""COMPUTED_VALUE"""),"EL027")</f>
        <v>EL027</v>
      </c>
      <c r="D309" s="223" t="str">
        <f>IFERROR(__xludf.DUMMYFUNCTION("""COMPUTED_VALUE"""),"Vinh Nguyen")</f>
        <v>Vinh Nguyen</v>
      </c>
      <c r="E309" s="190" t="str">
        <f>IFERROR(__xludf.DUMMYFUNCTION("""COMPUTED_VALUE"""),"Communication 3")</f>
        <v>Communication 3</v>
      </c>
      <c r="F309" s="190"/>
      <c r="G309" s="190"/>
      <c r="H309" s="219">
        <f>IFERROR(__xludf.DUMMYFUNCTION("""COMPUTED_VALUE"""),46107.58333333333)</f>
        <v>46107.58333</v>
      </c>
      <c r="I309" s="219">
        <f>IFERROR(__xludf.DUMMYFUNCTION("""COMPUTED_VALUE"""),45663.58333333333)</f>
        <v>45663.58333</v>
      </c>
      <c r="J309" s="190" t="str">
        <f>IFERROR(__xludf.DUMMYFUNCTION("""COMPUTED_VALUE"""),"")</f>
        <v/>
      </c>
      <c r="K309" s="190" t="str">
        <f>IFERROR(__xludf.DUMMYFUNCTION("""COMPUTED_VALUE"""),"")</f>
        <v/>
      </c>
      <c r="L309" s="190" t="str">
        <f>IFERROR(__xludf.DUMMYFUNCTION("""COMPUTED_VALUE"""),"GSD")</f>
        <v>GSD</v>
      </c>
      <c r="M309" s="190" t="str">
        <f>IFERROR(__xludf.DUMMYFUNCTION("""COMPUTED_VALUE"""),"LBU")</f>
        <v>LBU</v>
      </c>
      <c r="N309" s="220">
        <f>IFERROR(__xludf.DUMMYFUNCTION("""COMPUTED_VALUE"""),2.5)</f>
        <v>2.5</v>
      </c>
      <c r="O309" s="220">
        <f>IFERROR(__xludf.DUMMYFUNCTION("""COMPUTED_VALUE"""),3.5)</f>
        <v>3.5</v>
      </c>
      <c r="P309" s="220"/>
      <c r="R309" s="210"/>
      <c r="S309" s="210" t="str">
        <f t="shared" si="2"/>
        <v>#N/A</v>
      </c>
      <c r="T309" s="210" t="str">
        <f t="shared" si="3"/>
        <v>#N/A</v>
      </c>
      <c r="U309" s="210" t="str">
        <f t="shared" si="5"/>
        <v>#N/A</v>
      </c>
      <c r="X309" s="210"/>
      <c r="Y309" s="210"/>
      <c r="Z309" s="210"/>
      <c r="AA309" s="210"/>
      <c r="AB309" s="210"/>
      <c r="AC309" s="210"/>
      <c r="AD309" s="210"/>
      <c r="AE309" s="210"/>
      <c r="AF309" s="210"/>
      <c r="AG309" s="210"/>
      <c r="AH309" s="210"/>
      <c r="AI309" s="210"/>
      <c r="AJ309" s="210"/>
      <c r="AK309" s="210"/>
      <c r="AL309" s="210"/>
      <c r="AM309" s="210"/>
      <c r="AN309" s="210"/>
      <c r="AO309" s="210"/>
      <c r="AP309" s="210"/>
      <c r="AQ309" s="210"/>
    </row>
    <row r="310">
      <c r="A310" s="223" t="str">
        <f>IFERROR(__xludf.DUMMYFUNCTION("""COMPUTED_VALUE"""),"247083")</f>
        <v>247083</v>
      </c>
      <c r="B310" s="190" t="str">
        <f>IFERROR(__xludf.DUMMYFUNCTION("""COMPUTED_VALUE"""),"NGUYỄN TRANG QUỲNH NHƯ")</f>
        <v>NGUYỄN TRANG QUỲNH NHƯ</v>
      </c>
      <c r="C310" s="223" t="str">
        <f>IFERROR(__xludf.DUMMYFUNCTION("""COMPUTED_VALUE"""),"EL027")</f>
        <v>EL027</v>
      </c>
      <c r="D310" s="223" t="str">
        <f>IFERROR(__xludf.DUMMYFUNCTION("""COMPUTED_VALUE"""),"Vinh Nguyen")</f>
        <v>Vinh Nguyen</v>
      </c>
      <c r="E310" s="190" t="str">
        <f>IFERROR(__xludf.DUMMYFUNCTION("""COMPUTED_VALUE"""),"Communication 3")</f>
        <v>Communication 3</v>
      </c>
      <c r="F310" s="190"/>
      <c r="G310" s="190"/>
      <c r="H310" s="219">
        <f>IFERROR(__xludf.DUMMYFUNCTION("""COMPUTED_VALUE"""),46107.58333333333)</f>
        <v>46107.58333</v>
      </c>
      <c r="I310" s="219">
        <f>IFERROR(__xludf.DUMMYFUNCTION("""COMPUTED_VALUE"""),45715.58333333333)</f>
        <v>45715.58333</v>
      </c>
      <c r="J310" s="190" t="str">
        <f>IFERROR(__xludf.DUMMYFUNCTION("""COMPUTED_VALUE"""),"")</f>
        <v/>
      </c>
      <c r="K310" s="190" t="str">
        <f>IFERROR(__xludf.DUMMYFUNCTION("""COMPUTED_VALUE"""),"")</f>
        <v/>
      </c>
      <c r="L310" s="190" t="str">
        <f>IFERROR(__xludf.DUMMYFUNCTION("""COMPUTED_VALUE"""),"GSD")</f>
        <v>GSD</v>
      </c>
      <c r="M310" s="190" t="str">
        <f>IFERROR(__xludf.DUMMYFUNCTION("""COMPUTED_VALUE"""),"LBU")</f>
        <v>LBU</v>
      </c>
      <c r="N310" s="220">
        <f>IFERROR(__xludf.DUMMYFUNCTION("""COMPUTED_VALUE"""),1.0)</f>
        <v>1</v>
      </c>
      <c r="O310" s="220">
        <f>IFERROR(__xludf.DUMMYFUNCTION("""COMPUTED_VALUE"""),3.5)</f>
        <v>3.5</v>
      </c>
      <c r="P310" s="220"/>
      <c r="R310" s="210"/>
      <c r="S310" s="210" t="str">
        <f t="shared" si="2"/>
        <v>#N/A</v>
      </c>
      <c r="T310" s="210" t="str">
        <f t="shared" si="3"/>
        <v>#N/A</v>
      </c>
      <c r="U310" s="210" t="str">
        <f t="shared" si="5"/>
        <v>#N/A</v>
      </c>
      <c r="X310" s="210"/>
      <c r="Y310" s="210"/>
      <c r="Z310" s="210"/>
      <c r="AA310" s="210"/>
      <c r="AB310" s="210"/>
      <c r="AC310" s="210"/>
      <c r="AD310" s="210"/>
      <c r="AE310" s="210"/>
      <c r="AF310" s="210"/>
      <c r="AG310" s="210"/>
      <c r="AH310" s="210"/>
      <c r="AI310" s="210"/>
      <c r="AJ310" s="210"/>
      <c r="AK310" s="210"/>
      <c r="AL310" s="210"/>
      <c r="AM310" s="210"/>
      <c r="AN310" s="210"/>
      <c r="AO310" s="210"/>
      <c r="AP310" s="210"/>
      <c r="AQ310" s="210"/>
    </row>
    <row r="311">
      <c r="A311" s="223" t="str">
        <f>IFERROR(__xludf.DUMMYFUNCTION("""COMPUTED_VALUE"""),"247178")</f>
        <v>247178</v>
      </c>
      <c r="B311" s="190" t="str">
        <f>IFERROR(__xludf.DUMMYFUNCTION("""COMPUTED_VALUE"""),"NGUYỄN TRÚC DUYÊN")</f>
        <v>NGUYỄN TRÚC DUYÊN</v>
      </c>
      <c r="C311" s="223" t="str">
        <f>IFERROR(__xludf.DUMMYFUNCTION("""COMPUTED_VALUE"""),"EL027")</f>
        <v>EL027</v>
      </c>
      <c r="D311" s="223" t="str">
        <f>IFERROR(__xludf.DUMMYFUNCTION("""COMPUTED_VALUE"""),"Vinh Nguyen")</f>
        <v>Vinh Nguyen</v>
      </c>
      <c r="E311" s="190" t="str">
        <f>IFERROR(__xludf.DUMMYFUNCTION("""COMPUTED_VALUE"""),"Communication 3")</f>
        <v>Communication 3</v>
      </c>
      <c r="F311" s="190"/>
      <c r="G311" s="190"/>
      <c r="H311" s="219">
        <f>IFERROR(__xludf.DUMMYFUNCTION("""COMPUTED_VALUE"""),46107.58333333333)</f>
        <v>46107.58333</v>
      </c>
      <c r="I311" s="219">
        <f>IFERROR(__xludf.DUMMYFUNCTION("""COMPUTED_VALUE"""),45715.58333333333)</f>
        <v>45715.58333</v>
      </c>
      <c r="J311" s="190" t="str">
        <f>IFERROR(__xludf.DUMMYFUNCTION("""COMPUTED_VALUE"""),"")</f>
        <v/>
      </c>
      <c r="K311" s="190" t="str">
        <f>IFERROR(__xludf.DUMMYFUNCTION("""COMPUTED_VALUE"""),"")</f>
        <v/>
      </c>
      <c r="L311" s="190" t="str">
        <f>IFERROR(__xludf.DUMMYFUNCTION("""COMPUTED_VALUE"""),"GSD")</f>
        <v>GSD</v>
      </c>
      <c r="M311" s="190" t="str">
        <f>IFERROR(__xludf.DUMMYFUNCTION("""COMPUTED_VALUE"""),"LBU")</f>
        <v>LBU</v>
      </c>
      <c r="N311" s="220">
        <f>IFERROR(__xludf.DUMMYFUNCTION("""COMPUTED_VALUE"""),1.0)</f>
        <v>1</v>
      </c>
      <c r="O311" s="220">
        <f>IFERROR(__xludf.DUMMYFUNCTION("""COMPUTED_VALUE"""),3.0)</f>
        <v>3</v>
      </c>
      <c r="P311" s="220"/>
      <c r="R311" s="210"/>
      <c r="S311" s="210" t="str">
        <f t="shared" si="2"/>
        <v>#N/A</v>
      </c>
      <c r="T311" s="210" t="str">
        <f t="shared" si="3"/>
        <v>#N/A</v>
      </c>
      <c r="U311" s="210" t="str">
        <f t="shared" si="5"/>
        <v>#N/A</v>
      </c>
      <c r="X311" s="210"/>
      <c r="Y311" s="210"/>
      <c r="Z311" s="210"/>
      <c r="AA311" s="210"/>
      <c r="AB311" s="210"/>
      <c r="AC311" s="210"/>
      <c r="AD311" s="210"/>
      <c r="AE311" s="210"/>
      <c r="AF311" s="210"/>
      <c r="AG311" s="210"/>
      <c r="AH311" s="210"/>
      <c r="AI311" s="210"/>
      <c r="AJ311" s="210"/>
      <c r="AK311" s="210"/>
      <c r="AL311" s="210"/>
      <c r="AM311" s="210"/>
      <c r="AN311" s="210"/>
      <c r="AO311" s="210"/>
      <c r="AP311" s="210"/>
      <c r="AQ311" s="210"/>
    </row>
    <row r="312">
      <c r="A312" s="223" t="str">
        <f>IFERROR(__xludf.DUMMYFUNCTION("""COMPUTED_VALUE"""),"143084")</f>
        <v>143084</v>
      </c>
      <c r="B312" s="190" t="str">
        <f>IFERROR(__xludf.DUMMYFUNCTION("""COMPUTED_VALUE"""),"PHAN QUỐC BÌNH")</f>
        <v>PHAN QUỐC BÌNH</v>
      </c>
      <c r="C312" s="223" t="str">
        <f>IFERROR(__xludf.DUMMYFUNCTION("""COMPUTED_VALUE"""),"EL027")</f>
        <v>EL027</v>
      </c>
      <c r="D312" s="223" t="str">
        <f>IFERROR(__xludf.DUMMYFUNCTION("""COMPUTED_VALUE"""),"Vinh Nguyen")</f>
        <v>Vinh Nguyen</v>
      </c>
      <c r="E312" s="190" t="str">
        <f>IFERROR(__xludf.DUMMYFUNCTION("""COMPUTED_VALUE"""),"Communication 3")</f>
        <v>Communication 3</v>
      </c>
      <c r="F312" s="190"/>
      <c r="G312" s="190"/>
      <c r="H312" s="219">
        <f>IFERROR(__xludf.DUMMYFUNCTION("""COMPUTED_VALUE"""),46107.58333333333)</f>
        <v>46107.58333</v>
      </c>
      <c r="I312" s="219">
        <f>IFERROR(__xludf.DUMMYFUNCTION("""COMPUTED_VALUE"""),45715.58333333333)</f>
        <v>45715.58333</v>
      </c>
      <c r="J312" s="190" t="str">
        <f>IFERROR(__xludf.DUMMYFUNCTION("""COMPUTED_VALUE"""),"")</f>
        <v/>
      </c>
      <c r="K312" s="190" t="str">
        <f>IFERROR(__xludf.DUMMYFUNCTION("""COMPUTED_VALUE"""),"")</f>
        <v/>
      </c>
      <c r="L312" s="190" t="str">
        <f>IFERROR(__xludf.DUMMYFUNCTION("""COMPUTED_VALUE"""),"BA")</f>
        <v>BA</v>
      </c>
      <c r="M312" s="190" t="str">
        <f>IFERROR(__xludf.DUMMYFUNCTION("""COMPUTED_VALUE"""),"LBU")</f>
        <v>LBU</v>
      </c>
      <c r="N312" s="220">
        <f>IFERROR(__xludf.DUMMYFUNCTION("""COMPUTED_VALUE"""),1.0)</f>
        <v>1</v>
      </c>
      <c r="O312" s="220">
        <f>IFERROR(__xludf.DUMMYFUNCTION("""COMPUTED_VALUE"""),1.5)</f>
        <v>1.5</v>
      </c>
      <c r="P312" s="220"/>
      <c r="R312" s="210"/>
      <c r="S312" s="210" t="str">
        <f t="shared" si="2"/>
        <v>#N/A</v>
      </c>
      <c r="T312" s="210" t="str">
        <f t="shared" si="3"/>
        <v>#N/A</v>
      </c>
      <c r="U312" s="210" t="str">
        <f t="shared" si="5"/>
        <v>#N/A</v>
      </c>
      <c r="X312" s="210"/>
      <c r="Y312" s="210"/>
      <c r="Z312" s="210"/>
      <c r="AA312" s="210"/>
      <c r="AB312" s="210"/>
      <c r="AC312" s="210"/>
      <c r="AD312" s="210"/>
      <c r="AE312" s="210"/>
      <c r="AF312" s="210"/>
      <c r="AG312" s="210"/>
      <c r="AH312" s="210"/>
      <c r="AI312" s="210"/>
      <c r="AJ312" s="210"/>
      <c r="AK312" s="210"/>
      <c r="AL312" s="210"/>
      <c r="AM312" s="210"/>
      <c r="AN312" s="210"/>
      <c r="AO312" s="210"/>
      <c r="AP312" s="210"/>
      <c r="AQ312" s="210"/>
    </row>
    <row r="313">
      <c r="A313" s="223" t="str">
        <f>IFERROR(__xludf.DUMMYFUNCTION("""COMPUTED_VALUE"""),"143071")</f>
        <v>143071</v>
      </c>
      <c r="B313" s="190" t="str">
        <f>IFERROR(__xludf.DUMMYFUNCTION("""COMPUTED_VALUE"""),"LÊ ĐẮC CƯỜNG")</f>
        <v>LÊ ĐẮC CƯỜNG</v>
      </c>
      <c r="C313" s="223" t="str">
        <f>IFERROR(__xludf.DUMMYFUNCTION("""COMPUTED_VALUE"""),"EL028")</f>
        <v>EL028</v>
      </c>
      <c r="D313" s="223" t="str">
        <f>IFERROR(__xludf.DUMMYFUNCTION("""COMPUTED_VALUE"""),"Yen Tran 1")</f>
        <v>Yen Tran 1</v>
      </c>
      <c r="E313" s="190" t="str">
        <f>IFERROR(__xludf.DUMMYFUNCTION("""COMPUTED_VALUE"""),"Communication 1")</f>
        <v>Communication 1</v>
      </c>
      <c r="F313" s="190" t="str">
        <f>IFERROR(__xludf.DUMMYFUNCTION("""COMPUTED_VALUE"""),"Intermediate")</f>
        <v>Intermediate</v>
      </c>
      <c r="G313" s="190"/>
      <c r="H313" s="219">
        <f>IFERROR(__xludf.DUMMYFUNCTION("""COMPUTED_VALUE"""),45638.45833333333)</f>
        <v>45638.45833</v>
      </c>
      <c r="I313" s="219">
        <f>IFERROR(__xludf.DUMMYFUNCTION("""COMPUTED_VALUE"""),45638.45833333333)</f>
        <v>45638.45833</v>
      </c>
      <c r="J313" s="190">
        <f>IFERROR(__xludf.DUMMYFUNCTION("""COMPUTED_VALUE"""),4.5)</f>
        <v>4.5</v>
      </c>
      <c r="K313" s="190" t="str">
        <f>IFERROR(__xludf.DUMMYFUNCTION("""COMPUTED_VALUE"""),"")</f>
        <v/>
      </c>
      <c r="L313" s="190" t="str">
        <f>IFERROR(__xludf.DUMMYFUNCTION("""COMPUTED_VALUE"""),"Management")</f>
        <v>Management</v>
      </c>
      <c r="M313" s="190" t="str">
        <f>IFERROR(__xludf.DUMMYFUNCTION("""COMPUTED_VALUE"""),"CHORUS")</f>
        <v>CHORUS</v>
      </c>
      <c r="N313" s="220">
        <f>IFERROR(__xludf.DUMMYFUNCTION("""COMPUTED_VALUE"""),4.5)</f>
        <v>4.5</v>
      </c>
      <c r="O313" s="220">
        <f>IFERROR(__xludf.DUMMYFUNCTION("""COMPUTED_VALUE"""),0.0)</f>
        <v>0</v>
      </c>
      <c r="P313" s="229"/>
      <c r="R313" s="210"/>
      <c r="S313" s="210" t="str">
        <f t="shared" si="2"/>
        <v>#N/A</v>
      </c>
      <c r="T313" s="210" t="str">
        <f t="shared" si="3"/>
        <v>#N/A</v>
      </c>
      <c r="U313" s="210" t="str">
        <f t="shared" si="5"/>
        <v>#N/A</v>
      </c>
      <c r="X313" s="210"/>
      <c r="Y313" s="210"/>
      <c r="Z313" s="210"/>
      <c r="AA313" s="210"/>
      <c r="AB313" s="210"/>
      <c r="AC313" s="210"/>
      <c r="AD313" s="210"/>
      <c r="AE313" s="210"/>
      <c r="AF313" s="210"/>
      <c r="AG313" s="210"/>
      <c r="AH313" s="210"/>
      <c r="AI313" s="210"/>
      <c r="AJ313" s="210"/>
      <c r="AK313" s="210"/>
      <c r="AL313" s="210"/>
      <c r="AM313" s="210"/>
      <c r="AN313" s="210"/>
      <c r="AO313" s="210"/>
      <c r="AP313" s="210"/>
      <c r="AQ313" s="210"/>
    </row>
    <row r="314">
      <c r="A314" s="223" t="str">
        <f>IFERROR(__xludf.DUMMYFUNCTION("""COMPUTED_VALUE"""),"237006")</f>
        <v>237006</v>
      </c>
      <c r="B314" s="190" t="str">
        <f>IFERROR(__xludf.DUMMYFUNCTION("""COMPUTED_VALUE"""),"ĐỖ THANH TÙNG")</f>
        <v>ĐỖ THANH TÙNG</v>
      </c>
      <c r="C314" s="223" t="str">
        <f>IFERROR(__xludf.DUMMYFUNCTION("""COMPUTED_VALUE"""),"EL028")</f>
        <v>EL028</v>
      </c>
      <c r="D314" s="223" t="str">
        <f>IFERROR(__xludf.DUMMYFUNCTION("""COMPUTED_VALUE"""),"Yen Tran 1")</f>
        <v>Yen Tran 1</v>
      </c>
      <c r="E314" s="190" t="str">
        <f>IFERROR(__xludf.DUMMYFUNCTION("""COMPUTED_VALUE"""),"Communication 1")</f>
        <v>Communication 1</v>
      </c>
      <c r="F314" s="190" t="str">
        <f>IFERROR(__xludf.DUMMYFUNCTION("""COMPUTED_VALUE"""),"Beginner")</f>
        <v>Beginner</v>
      </c>
      <c r="G314" s="190" t="str">
        <f>IFERROR(__xludf.DUMMYFUNCTION("""COMPUTED_VALUE"""),"Beginner")</f>
        <v>Beginner</v>
      </c>
      <c r="H314" s="219">
        <f>IFERROR(__xludf.DUMMYFUNCTION("""COMPUTED_VALUE"""),45638.45833333333)</f>
        <v>45638.45833</v>
      </c>
      <c r="I314" s="219">
        <f>IFERROR(__xludf.DUMMYFUNCTION("""COMPUTED_VALUE"""),45638.45833333333)</f>
        <v>45638.45833</v>
      </c>
      <c r="J314" s="190">
        <f>IFERROR(__xludf.DUMMYFUNCTION("""COMPUTED_VALUE"""),1.0)</f>
        <v>1</v>
      </c>
      <c r="K314" s="190">
        <f>IFERROR(__xludf.DUMMYFUNCTION("""COMPUTED_VALUE"""),1.0)</f>
        <v>1</v>
      </c>
      <c r="L314" s="190" t="str">
        <f>IFERROR(__xludf.DUMMYFUNCTION("""COMPUTED_VALUE"""),"QC")</f>
        <v>QC</v>
      </c>
      <c r="M314" s="190" t="str">
        <f>IFERROR(__xludf.DUMMYFUNCTION("""COMPUTED_VALUE"""),"CHORUS")</f>
        <v>CHORUS</v>
      </c>
      <c r="N314" s="220">
        <f>IFERROR(__xludf.DUMMYFUNCTION("""COMPUTED_VALUE"""),1.0)</f>
        <v>1</v>
      </c>
      <c r="O314" s="220">
        <f>IFERROR(__xludf.DUMMYFUNCTION("""COMPUTED_VALUE"""),1.0)</f>
        <v>1</v>
      </c>
      <c r="P314" s="229"/>
      <c r="R314" s="210"/>
      <c r="S314" s="210" t="str">
        <f t="shared" si="2"/>
        <v>#N/A</v>
      </c>
      <c r="T314" s="210" t="str">
        <f t="shared" si="3"/>
        <v>#N/A</v>
      </c>
      <c r="U314" s="210" t="str">
        <f t="shared" si="5"/>
        <v>#N/A</v>
      </c>
      <c r="X314" s="210"/>
      <c r="Y314" s="210"/>
      <c r="Z314" s="210"/>
      <c r="AA314" s="210"/>
      <c r="AB314" s="210"/>
      <c r="AC314" s="210"/>
      <c r="AD314" s="210"/>
      <c r="AE314" s="210"/>
      <c r="AF314" s="210"/>
      <c r="AG314" s="210"/>
      <c r="AH314" s="210"/>
      <c r="AI314" s="210"/>
      <c r="AJ314" s="210"/>
      <c r="AK314" s="210"/>
      <c r="AL314" s="210"/>
      <c r="AM314" s="210"/>
      <c r="AN314" s="210"/>
      <c r="AO314" s="210"/>
      <c r="AP314" s="210"/>
      <c r="AQ314" s="210"/>
    </row>
    <row r="315">
      <c r="A315" s="223" t="str">
        <f>IFERROR(__xludf.DUMMYFUNCTION("""COMPUTED_VALUE"""),"227200")</f>
        <v>227200</v>
      </c>
      <c r="B315" s="190" t="str">
        <f>IFERROR(__xludf.DUMMYFUNCTION("""COMPUTED_VALUE"""),"LÊ CÔNG DUY")</f>
        <v>LÊ CÔNG DUY</v>
      </c>
      <c r="C315" s="223" t="str">
        <f>IFERROR(__xludf.DUMMYFUNCTION("""COMPUTED_VALUE"""),"EL028")</f>
        <v>EL028</v>
      </c>
      <c r="D315" s="223" t="str">
        <f>IFERROR(__xludf.DUMMYFUNCTION("""COMPUTED_VALUE"""),"Yen Tran 1")</f>
        <v>Yen Tran 1</v>
      </c>
      <c r="E315" s="190" t="str">
        <f>IFERROR(__xludf.DUMMYFUNCTION("""COMPUTED_VALUE"""),"Communication 1")</f>
        <v>Communication 1</v>
      </c>
      <c r="F315" s="190" t="str">
        <f>IFERROR(__xludf.DUMMYFUNCTION("""COMPUTED_VALUE"""),"Beginner")</f>
        <v>Beginner</v>
      </c>
      <c r="G315" s="190" t="str">
        <f>IFERROR(__xludf.DUMMYFUNCTION("""COMPUTED_VALUE"""),"Beginner")</f>
        <v>Beginner</v>
      </c>
      <c r="H315" s="219">
        <f>IFERROR(__xludf.DUMMYFUNCTION("""COMPUTED_VALUE"""),45638.45833333333)</f>
        <v>45638.45833</v>
      </c>
      <c r="I315" s="219">
        <f>IFERROR(__xludf.DUMMYFUNCTION("""COMPUTED_VALUE"""),45638.45833333333)</f>
        <v>45638.45833</v>
      </c>
      <c r="J315" s="190">
        <f>IFERROR(__xludf.DUMMYFUNCTION("""COMPUTED_VALUE"""),1.0)</f>
        <v>1</v>
      </c>
      <c r="K315" s="190">
        <f>IFERROR(__xludf.DUMMYFUNCTION("""COMPUTED_VALUE"""),1.0)</f>
        <v>1</v>
      </c>
      <c r="L315" s="190" t="str">
        <f>IFERROR(__xludf.DUMMYFUNCTION("""COMPUTED_VALUE"""),"UI/UX")</f>
        <v>UI/UX</v>
      </c>
      <c r="M315" s="190" t="str">
        <f>IFERROR(__xludf.DUMMYFUNCTION("""COMPUTED_VALUE"""),"CHORUS")</f>
        <v>CHORUS</v>
      </c>
      <c r="N315" s="220">
        <f>IFERROR(__xludf.DUMMYFUNCTION("""COMPUTED_VALUE"""),1.0)</f>
        <v>1</v>
      </c>
      <c r="O315" s="220">
        <f>IFERROR(__xludf.DUMMYFUNCTION("""COMPUTED_VALUE"""),1.0)</f>
        <v>1</v>
      </c>
      <c r="P315" s="220"/>
      <c r="R315" s="210"/>
      <c r="S315" s="210" t="str">
        <f t="shared" si="2"/>
        <v>#N/A</v>
      </c>
      <c r="T315" s="210" t="str">
        <f t="shared" si="3"/>
        <v>#N/A</v>
      </c>
      <c r="U315" s="210" t="str">
        <f t="shared" si="5"/>
        <v>#N/A</v>
      </c>
      <c r="X315" s="210"/>
      <c r="Y315" s="210"/>
      <c r="Z315" s="210"/>
      <c r="AA315" s="210"/>
      <c r="AB315" s="210"/>
      <c r="AC315" s="210"/>
      <c r="AD315" s="210"/>
      <c r="AE315" s="210"/>
      <c r="AF315" s="210"/>
      <c r="AG315" s="210"/>
      <c r="AH315" s="210"/>
      <c r="AI315" s="210"/>
      <c r="AJ315" s="210"/>
      <c r="AK315" s="210"/>
      <c r="AL315" s="210"/>
      <c r="AM315" s="210"/>
      <c r="AN315" s="210"/>
      <c r="AO315" s="210"/>
      <c r="AP315" s="210"/>
      <c r="AQ315" s="210"/>
    </row>
    <row r="316">
      <c r="A316" s="223" t="str">
        <f>IFERROR(__xludf.DUMMYFUNCTION("""COMPUTED_VALUE"""),"227225")</f>
        <v>227225</v>
      </c>
      <c r="B316" s="190" t="str">
        <f>IFERROR(__xludf.DUMMYFUNCTION("""COMPUTED_VALUE"""),"NGUYỄN PHI LONG")</f>
        <v>NGUYỄN PHI LONG</v>
      </c>
      <c r="C316" s="223" t="str">
        <f>IFERROR(__xludf.DUMMYFUNCTION("""COMPUTED_VALUE"""),"EL028")</f>
        <v>EL028</v>
      </c>
      <c r="D316" s="223" t="str">
        <f>IFERROR(__xludf.DUMMYFUNCTION("""COMPUTED_VALUE"""),"Yen Tran 1")</f>
        <v>Yen Tran 1</v>
      </c>
      <c r="E316" s="190" t="str">
        <f>IFERROR(__xludf.DUMMYFUNCTION("""COMPUTED_VALUE"""),"Communication 1")</f>
        <v>Communication 1</v>
      </c>
      <c r="F316" s="190" t="str">
        <f>IFERROR(__xludf.DUMMYFUNCTION("""COMPUTED_VALUE"""),"Beginner")</f>
        <v>Beginner</v>
      </c>
      <c r="G316" s="190" t="str">
        <f>IFERROR(__xludf.DUMMYFUNCTION("""COMPUTED_VALUE"""),"Pre-Intermediate 1")</f>
        <v>Pre-Intermediate 1</v>
      </c>
      <c r="H316" s="219">
        <f>IFERROR(__xludf.DUMMYFUNCTION("""COMPUTED_VALUE"""),45638.45833333333)</f>
        <v>45638.45833</v>
      </c>
      <c r="I316" s="219">
        <f>IFERROR(__xludf.DUMMYFUNCTION("""COMPUTED_VALUE"""),45638.45833333333)</f>
        <v>45638.45833</v>
      </c>
      <c r="J316" s="190">
        <f>IFERROR(__xludf.DUMMYFUNCTION("""COMPUTED_VALUE"""),1.0)</f>
        <v>1</v>
      </c>
      <c r="K316" s="190">
        <f>IFERROR(__xludf.DUMMYFUNCTION("""COMPUTED_VALUE"""),3.0)</f>
        <v>3</v>
      </c>
      <c r="L316" s="190" t="str">
        <f>IFERROR(__xludf.DUMMYFUNCTION("""COMPUTED_VALUE"""),"DEV")</f>
        <v>DEV</v>
      </c>
      <c r="M316" s="190" t="str">
        <f>IFERROR(__xludf.DUMMYFUNCTION("""COMPUTED_VALUE"""),"CHORUS")</f>
        <v>CHORUS</v>
      </c>
      <c r="N316" s="220">
        <f>IFERROR(__xludf.DUMMYFUNCTION("""COMPUTED_VALUE"""),1.0)</f>
        <v>1</v>
      </c>
      <c r="O316" s="220">
        <f>IFERROR(__xludf.DUMMYFUNCTION("""COMPUTED_VALUE"""),3.0)</f>
        <v>3</v>
      </c>
      <c r="P316" s="229"/>
      <c r="R316" s="210"/>
      <c r="S316" s="210" t="str">
        <f t="shared" si="2"/>
        <v>#N/A</v>
      </c>
      <c r="T316" s="210" t="str">
        <f t="shared" si="3"/>
        <v>#N/A</v>
      </c>
      <c r="U316" s="210" t="str">
        <f t="shared" si="5"/>
        <v>#N/A</v>
      </c>
      <c r="X316" s="210"/>
      <c r="Y316" s="210"/>
      <c r="Z316" s="210"/>
      <c r="AA316" s="210"/>
      <c r="AB316" s="210"/>
      <c r="AC316" s="210"/>
      <c r="AD316" s="210"/>
      <c r="AE316" s="210"/>
      <c r="AF316" s="210"/>
      <c r="AG316" s="210"/>
      <c r="AH316" s="210"/>
      <c r="AI316" s="210"/>
      <c r="AJ316" s="210"/>
      <c r="AK316" s="210"/>
      <c r="AL316" s="210"/>
      <c r="AM316" s="210"/>
      <c r="AN316" s="210"/>
      <c r="AO316" s="210"/>
      <c r="AP316" s="210"/>
      <c r="AQ316" s="210"/>
    </row>
    <row r="317">
      <c r="A317" s="223" t="str">
        <f>IFERROR(__xludf.DUMMYFUNCTION("""COMPUTED_VALUE"""),"193544")</f>
        <v>193544</v>
      </c>
      <c r="B317" s="190" t="str">
        <f>IFERROR(__xludf.DUMMYFUNCTION("""COMPUTED_VALUE"""),"VŨ ANH THƯ")</f>
        <v>VŨ ANH THƯ</v>
      </c>
      <c r="C317" s="223" t="str">
        <f>IFERROR(__xludf.DUMMYFUNCTION("""COMPUTED_VALUE"""),"EL028")</f>
        <v>EL028</v>
      </c>
      <c r="D317" s="223" t="str">
        <f>IFERROR(__xludf.DUMMYFUNCTION("""COMPUTED_VALUE"""),"Yen Tran 1")</f>
        <v>Yen Tran 1</v>
      </c>
      <c r="E317" s="190" t="str">
        <f>IFERROR(__xludf.DUMMYFUNCTION("""COMPUTED_VALUE"""),"Communication 1")</f>
        <v>Communication 1</v>
      </c>
      <c r="F317" s="190" t="str">
        <f>IFERROR(__xludf.DUMMYFUNCTION("""COMPUTED_VALUE"""),"Pre-Intermediate")</f>
        <v>Pre-Intermediate</v>
      </c>
      <c r="G317" s="190" t="str">
        <f>IFERROR(__xludf.DUMMYFUNCTION("""COMPUTED_VALUE"""),"Intermediate")</f>
        <v>Intermediate</v>
      </c>
      <c r="H317" s="219">
        <f>IFERROR(__xludf.DUMMYFUNCTION("""COMPUTED_VALUE"""),45638.45833333333)</f>
        <v>45638.45833</v>
      </c>
      <c r="I317" s="219">
        <f>IFERROR(__xludf.DUMMYFUNCTION("""COMPUTED_VALUE"""),45638.45833333333)</f>
        <v>45638.45833</v>
      </c>
      <c r="J317" s="190">
        <f>IFERROR(__xludf.DUMMYFUNCTION("""COMPUTED_VALUE"""),2.5)</f>
        <v>2.5</v>
      </c>
      <c r="K317" s="190">
        <f>IFERROR(__xludf.DUMMYFUNCTION("""COMPUTED_VALUE"""),4.5)</f>
        <v>4.5</v>
      </c>
      <c r="L317" s="190" t="str">
        <f>IFERROR(__xludf.DUMMYFUNCTION("""COMPUTED_VALUE"""),"PPO")</f>
        <v>PPO</v>
      </c>
      <c r="M317" s="190" t="str">
        <f>IFERROR(__xludf.DUMMYFUNCTION("""COMPUTED_VALUE"""),"CHORUS")</f>
        <v>CHORUS</v>
      </c>
      <c r="N317" s="220">
        <f>IFERROR(__xludf.DUMMYFUNCTION("""COMPUTED_VALUE"""),2.5)</f>
        <v>2.5</v>
      </c>
      <c r="O317" s="220">
        <f>IFERROR(__xludf.DUMMYFUNCTION("""COMPUTED_VALUE"""),4.5)</f>
        <v>4.5</v>
      </c>
      <c r="P317" s="229"/>
      <c r="R317" s="210"/>
      <c r="S317" s="210" t="str">
        <f t="shared" si="2"/>
        <v>#N/A</v>
      </c>
      <c r="T317" s="210" t="str">
        <f t="shared" si="3"/>
        <v>#N/A</v>
      </c>
      <c r="U317" s="210" t="str">
        <f t="shared" si="5"/>
        <v>#N/A</v>
      </c>
      <c r="X317" s="210"/>
      <c r="Y317" s="210"/>
      <c r="Z317" s="210"/>
      <c r="AA317" s="210"/>
      <c r="AB317" s="210"/>
      <c r="AC317" s="210"/>
      <c r="AD317" s="210"/>
      <c r="AE317" s="210"/>
      <c r="AF317" s="210"/>
      <c r="AG317" s="210"/>
      <c r="AH317" s="210"/>
      <c r="AI317" s="210"/>
      <c r="AJ317" s="210"/>
      <c r="AK317" s="210"/>
      <c r="AL317" s="210"/>
      <c r="AM317" s="210"/>
      <c r="AN317" s="210"/>
      <c r="AO317" s="210"/>
      <c r="AP317" s="210"/>
      <c r="AQ317" s="210"/>
    </row>
    <row r="318">
      <c r="A318" s="223" t="str">
        <f>IFERROR(__xludf.DUMMYFUNCTION("""COMPUTED_VALUE"""),"227240")</f>
        <v>227240</v>
      </c>
      <c r="B318" s="190" t="str">
        <f>IFERROR(__xludf.DUMMYFUNCTION("""COMPUTED_VALUE"""),"VŨ ANH TÚ")</f>
        <v>VŨ ANH TÚ</v>
      </c>
      <c r="C318" s="223" t="str">
        <f>IFERROR(__xludf.DUMMYFUNCTION("""COMPUTED_VALUE"""),"EL028")</f>
        <v>EL028</v>
      </c>
      <c r="D318" s="223" t="str">
        <f>IFERROR(__xludf.DUMMYFUNCTION("""COMPUTED_VALUE"""),"Yen Tran 1")</f>
        <v>Yen Tran 1</v>
      </c>
      <c r="E318" s="190" t="str">
        <f>IFERROR(__xludf.DUMMYFUNCTION("""COMPUTED_VALUE"""),"Communication 1")</f>
        <v>Communication 1</v>
      </c>
      <c r="F318" s="190" t="str">
        <f>IFERROR(__xludf.DUMMYFUNCTION("""COMPUTED_VALUE"""),"Beginner")</f>
        <v>Beginner</v>
      </c>
      <c r="G318" s="190"/>
      <c r="H318" s="219">
        <f>IFERROR(__xludf.DUMMYFUNCTION("""COMPUTED_VALUE"""),45638.45833333333)</f>
        <v>45638.45833</v>
      </c>
      <c r="I318" s="219">
        <f>IFERROR(__xludf.DUMMYFUNCTION("""COMPUTED_VALUE"""),45638.45833333333)</f>
        <v>45638.45833</v>
      </c>
      <c r="J318" s="190">
        <f>IFERROR(__xludf.DUMMYFUNCTION("""COMPUTED_VALUE"""),1.0)</f>
        <v>1</v>
      </c>
      <c r="K318" s="190" t="str">
        <f>IFERROR(__xludf.DUMMYFUNCTION("""COMPUTED_VALUE"""),"")</f>
        <v/>
      </c>
      <c r="L318" s="190" t="str">
        <f>IFERROR(__xludf.DUMMYFUNCTION("""COMPUTED_VALUE"""),"DEV")</f>
        <v>DEV</v>
      </c>
      <c r="M318" s="190" t="str">
        <f>IFERROR(__xludf.DUMMYFUNCTION("""COMPUTED_VALUE"""),"CHORUS")</f>
        <v>CHORUS</v>
      </c>
      <c r="N318" s="220">
        <f>IFERROR(__xludf.DUMMYFUNCTION("""COMPUTED_VALUE"""),1.0)</f>
        <v>1</v>
      </c>
      <c r="O318" s="220">
        <f>IFERROR(__xludf.DUMMYFUNCTION("""COMPUTED_VALUE"""),0.0)</f>
        <v>0</v>
      </c>
      <c r="P318" s="229"/>
      <c r="R318" s="210"/>
      <c r="S318" s="210" t="str">
        <f t="shared" si="2"/>
        <v>#N/A</v>
      </c>
      <c r="T318" s="210" t="str">
        <f t="shared" si="3"/>
        <v>#N/A</v>
      </c>
      <c r="U318" s="210" t="str">
        <f t="shared" si="5"/>
        <v>#N/A</v>
      </c>
      <c r="X318" s="210"/>
      <c r="Y318" s="210"/>
      <c r="Z318" s="210"/>
      <c r="AA318" s="210"/>
      <c r="AB318" s="210"/>
      <c r="AC318" s="210"/>
      <c r="AD318" s="210"/>
      <c r="AE318" s="210"/>
      <c r="AF318" s="210"/>
      <c r="AG318" s="210"/>
      <c r="AH318" s="210"/>
      <c r="AI318" s="210"/>
      <c r="AJ318" s="210"/>
      <c r="AK318" s="210"/>
      <c r="AL318" s="210"/>
      <c r="AM318" s="210"/>
      <c r="AN318" s="210"/>
      <c r="AO318" s="210"/>
      <c r="AP318" s="210"/>
      <c r="AQ318" s="210"/>
    </row>
    <row r="319">
      <c r="A319" s="223" t="str">
        <f>IFERROR(__xludf.DUMMYFUNCTION("""COMPUTED_VALUE"""),"237006")</f>
        <v>237006</v>
      </c>
      <c r="B319" s="190" t="str">
        <f>IFERROR(__xludf.DUMMYFUNCTION("""COMPUTED_VALUE"""),"ĐỖ THANH TÙNG")</f>
        <v>ĐỖ THANH TÙNG</v>
      </c>
      <c r="C319" s="223" t="str">
        <f>IFERROR(__xludf.DUMMYFUNCTION("""COMPUTED_VALUE"""),"EL028")</f>
        <v>EL028</v>
      </c>
      <c r="D319" s="223" t="str">
        <f>IFERROR(__xludf.DUMMYFUNCTION("""COMPUTED_VALUE"""),"Yen Tran 1")</f>
        <v>Yen Tran 1</v>
      </c>
      <c r="E319" s="190" t="str">
        <f>IFERROR(__xludf.DUMMYFUNCTION("""COMPUTED_VALUE"""),"Communication 2")</f>
        <v>Communication 2</v>
      </c>
      <c r="F319" s="190" t="str">
        <f>IFERROR(__xludf.DUMMYFUNCTION("""COMPUTED_VALUE"""),"Beginner")</f>
        <v>Beginner</v>
      </c>
      <c r="G319" s="190" t="str">
        <f>IFERROR(__xludf.DUMMYFUNCTION("""COMPUTED_VALUE"""),"Beginner")</f>
        <v>Beginner</v>
      </c>
      <c r="H319" s="219">
        <f>IFERROR(__xludf.DUMMYFUNCTION("""COMPUTED_VALUE"""),0.0)</f>
        <v>0</v>
      </c>
      <c r="I319" s="219">
        <f>IFERROR(__xludf.DUMMYFUNCTION("""COMPUTED_VALUE"""),45638.45833333333)</f>
        <v>45638.45833</v>
      </c>
      <c r="J319" s="190">
        <f>IFERROR(__xludf.DUMMYFUNCTION("""COMPUTED_VALUE"""),1.0)</f>
        <v>1</v>
      </c>
      <c r="K319" s="190">
        <f>IFERROR(__xludf.DUMMYFUNCTION("""COMPUTED_VALUE"""),1.0)</f>
        <v>1</v>
      </c>
      <c r="L319" s="190" t="str">
        <f>IFERROR(__xludf.DUMMYFUNCTION("""COMPUTED_VALUE"""),"QC")</f>
        <v>QC</v>
      </c>
      <c r="M319" s="190" t="str">
        <f>IFERROR(__xludf.DUMMYFUNCTION("""COMPUTED_VALUE"""),"CHORUS")</f>
        <v>CHORUS</v>
      </c>
      <c r="N319" s="220">
        <f>IFERROR(__xludf.DUMMYFUNCTION("""COMPUTED_VALUE"""),1.0)</f>
        <v>1</v>
      </c>
      <c r="O319" s="220">
        <f>IFERROR(__xludf.DUMMYFUNCTION("""COMPUTED_VALUE"""),1.0)</f>
        <v>1</v>
      </c>
      <c r="P319" s="229"/>
      <c r="R319" s="210"/>
      <c r="S319" s="210" t="str">
        <f t="shared" si="2"/>
        <v>#N/A</v>
      </c>
      <c r="T319" s="210" t="str">
        <f t="shared" si="3"/>
        <v>#N/A</v>
      </c>
      <c r="U319" s="210" t="str">
        <f t="shared" si="5"/>
        <v>#N/A</v>
      </c>
      <c r="X319" s="210"/>
      <c r="Y319" s="210"/>
      <c r="Z319" s="210"/>
      <c r="AA319" s="210"/>
      <c r="AB319" s="210"/>
      <c r="AC319" s="210"/>
      <c r="AD319" s="210"/>
      <c r="AE319" s="210"/>
      <c r="AF319" s="210"/>
      <c r="AG319" s="210"/>
      <c r="AH319" s="210"/>
      <c r="AI319" s="210"/>
      <c r="AJ319" s="210"/>
      <c r="AK319" s="210"/>
      <c r="AL319" s="210"/>
      <c r="AM319" s="210"/>
      <c r="AN319" s="210"/>
      <c r="AO319" s="210"/>
      <c r="AP319" s="210"/>
      <c r="AQ319" s="210"/>
    </row>
    <row r="320">
      <c r="A320" s="223" t="str">
        <f>IFERROR(__xludf.DUMMYFUNCTION("""COMPUTED_VALUE"""),"183324")</f>
        <v>183324</v>
      </c>
      <c r="B320" s="190" t="str">
        <f>IFERROR(__xludf.DUMMYFUNCTION("""COMPUTED_VALUE"""),"PHẠM THỊ OANH THƠ")</f>
        <v>PHẠM THỊ OANH THƠ</v>
      </c>
      <c r="C320" s="223" t="str">
        <f>IFERROR(__xludf.DUMMYFUNCTION("""COMPUTED_VALUE"""),"EL029")</f>
        <v>EL029</v>
      </c>
      <c r="D320" s="223" t="str">
        <f>IFERROR(__xludf.DUMMYFUNCTION("""COMPUTED_VALUE"""),"Yen Tran 2")</f>
        <v>Yen Tran 2</v>
      </c>
      <c r="E320" s="190" t="str">
        <f>IFERROR(__xludf.DUMMYFUNCTION("""COMPUTED_VALUE"""),"Communication 1")</f>
        <v>Communication 1</v>
      </c>
      <c r="F320" s="190" t="str">
        <f>IFERROR(__xludf.DUMMYFUNCTION("""COMPUTED_VALUE"""),"Pre-Intermediate")</f>
        <v>Pre-Intermediate</v>
      </c>
      <c r="G320" s="190" t="str">
        <f>IFERROR(__xludf.DUMMYFUNCTION("""COMPUTED_VALUE"""),"Pre-Intermediate 1")</f>
        <v>Pre-Intermediate 1</v>
      </c>
      <c r="H320" s="219">
        <f>IFERROR(__xludf.DUMMYFUNCTION("""COMPUTED_VALUE"""),45645.45833333333)</f>
        <v>45645.45833</v>
      </c>
      <c r="I320" s="219">
        <f>IFERROR(__xludf.DUMMYFUNCTION("""COMPUTED_VALUE"""),45645.45833333333)</f>
        <v>45645.45833</v>
      </c>
      <c r="J320" s="190">
        <f>IFERROR(__xludf.DUMMYFUNCTION("""COMPUTED_VALUE"""),2.5)</f>
        <v>2.5</v>
      </c>
      <c r="K320" s="190">
        <f>IFERROR(__xludf.DUMMYFUNCTION("""COMPUTED_VALUE"""),3.0)</f>
        <v>3</v>
      </c>
      <c r="L320" s="190" t="str">
        <f>IFERROR(__xludf.DUMMYFUNCTION("""COMPUTED_VALUE"""),"DEV")</f>
        <v>DEV</v>
      </c>
      <c r="M320" s="190" t="str">
        <f>IFERROR(__xludf.DUMMYFUNCTION("""COMPUTED_VALUE"""),"CHORUS")</f>
        <v>CHORUS</v>
      </c>
      <c r="N320" s="220">
        <f>IFERROR(__xludf.DUMMYFUNCTION("""COMPUTED_VALUE"""),2.5)</f>
        <v>2.5</v>
      </c>
      <c r="O320" s="220">
        <f>IFERROR(__xludf.DUMMYFUNCTION("""COMPUTED_VALUE"""),3.0)</f>
        <v>3</v>
      </c>
      <c r="P320" s="229"/>
      <c r="R320" s="210"/>
      <c r="S320" s="210" t="str">
        <f t="shared" si="2"/>
        <v>#N/A</v>
      </c>
      <c r="T320" s="210" t="str">
        <f t="shared" si="3"/>
        <v>#N/A</v>
      </c>
      <c r="U320" s="210" t="str">
        <f t="shared" si="5"/>
        <v>#N/A</v>
      </c>
      <c r="X320" s="210"/>
      <c r="Y320" s="210"/>
      <c r="Z320" s="210"/>
      <c r="AA320" s="210"/>
      <c r="AB320" s="210"/>
      <c r="AC320" s="210"/>
      <c r="AD320" s="210"/>
      <c r="AE320" s="210"/>
      <c r="AF320" s="210"/>
      <c r="AG320" s="210"/>
      <c r="AH320" s="210"/>
      <c r="AI320" s="210"/>
      <c r="AJ320" s="210"/>
      <c r="AK320" s="210"/>
      <c r="AL320" s="210"/>
      <c r="AM320" s="210"/>
      <c r="AN320" s="210"/>
      <c r="AO320" s="210"/>
      <c r="AP320" s="210"/>
      <c r="AQ320" s="210"/>
    </row>
    <row r="321">
      <c r="A321" s="223" t="str">
        <f>IFERROR(__xludf.DUMMYFUNCTION("""COMPUTED_VALUE"""),"247230")</f>
        <v>247230</v>
      </c>
      <c r="B321" s="190" t="str">
        <f>IFERROR(__xludf.DUMMYFUNCTION("""COMPUTED_VALUE"""),"DƯƠNG LÊ XUÂN KHANG")</f>
        <v>DƯƠNG LÊ XUÂN KHANG</v>
      </c>
      <c r="C321" s="223" t="str">
        <f>IFERROR(__xludf.DUMMYFUNCTION("""COMPUTED_VALUE"""),"EL029")</f>
        <v>EL029</v>
      </c>
      <c r="D321" s="223" t="str">
        <f>IFERROR(__xludf.DUMMYFUNCTION("""COMPUTED_VALUE"""),"Yen Tran 2")</f>
        <v>Yen Tran 2</v>
      </c>
      <c r="E321" s="190" t="str">
        <f>IFERROR(__xludf.DUMMYFUNCTION("""COMPUTED_VALUE"""),"Communication 1")</f>
        <v>Communication 1</v>
      </c>
      <c r="F321" s="190" t="str">
        <f>IFERROR(__xludf.DUMMYFUNCTION("""COMPUTED_VALUE"""),"Pre-Intermediate")</f>
        <v>Pre-Intermediate</v>
      </c>
      <c r="G321" s="190" t="str">
        <f>IFERROR(__xludf.DUMMYFUNCTION("""COMPUTED_VALUE"""),"Intermediate")</f>
        <v>Intermediate</v>
      </c>
      <c r="H321" s="219">
        <f>IFERROR(__xludf.DUMMYFUNCTION("""COMPUTED_VALUE"""),45645.45833333333)</f>
        <v>45645.45833</v>
      </c>
      <c r="I321" s="219">
        <f>IFERROR(__xludf.DUMMYFUNCTION("""COMPUTED_VALUE"""),45645.45833333333)</f>
        <v>45645.45833</v>
      </c>
      <c r="J321" s="190">
        <f>IFERROR(__xludf.DUMMYFUNCTION("""COMPUTED_VALUE"""),2.5)</f>
        <v>2.5</v>
      </c>
      <c r="K321" s="190">
        <f>IFERROR(__xludf.DUMMYFUNCTION("""COMPUTED_VALUE"""),4.5)</f>
        <v>4.5</v>
      </c>
      <c r="L321" s="190" t="str">
        <f>IFERROR(__xludf.DUMMYFUNCTION("""COMPUTED_VALUE"""),"DEV")</f>
        <v>DEV</v>
      </c>
      <c r="M321" s="190" t="str">
        <f>IFERROR(__xludf.DUMMYFUNCTION("""COMPUTED_VALUE"""),"CHORUS")</f>
        <v>CHORUS</v>
      </c>
      <c r="N321" s="220">
        <f>IFERROR(__xludf.DUMMYFUNCTION("""COMPUTED_VALUE"""),2.5)</f>
        <v>2.5</v>
      </c>
      <c r="O321" s="220">
        <f>IFERROR(__xludf.DUMMYFUNCTION("""COMPUTED_VALUE"""),4.5)</f>
        <v>4.5</v>
      </c>
      <c r="P321" s="229"/>
      <c r="R321" s="210"/>
      <c r="S321" s="210" t="str">
        <f t="shared" si="2"/>
        <v>#N/A</v>
      </c>
      <c r="T321" s="210" t="str">
        <f t="shared" si="3"/>
        <v>#N/A</v>
      </c>
      <c r="U321" s="210" t="str">
        <f t="shared" si="5"/>
        <v>#N/A</v>
      </c>
      <c r="X321" s="210"/>
      <c r="Y321" s="210"/>
      <c r="Z321" s="210"/>
      <c r="AA321" s="210"/>
      <c r="AB321" s="210"/>
      <c r="AC321" s="210"/>
      <c r="AD321" s="210"/>
      <c r="AE321" s="210"/>
      <c r="AF321" s="210"/>
      <c r="AG321" s="210"/>
      <c r="AH321" s="210"/>
      <c r="AI321" s="210"/>
      <c r="AJ321" s="210"/>
      <c r="AK321" s="210"/>
      <c r="AL321" s="210"/>
      <c r="AM321" s="210"/>
      <c r="AN321" s="210"/>
      <c r="AO321" s="210"/>
      <c r="AP321" s="210"/>
      <c r="AQ321" s="210"/>
    </row>
    <row r="322">
      <c r="A322" s="223" t="str">
        <f>IFERROR(__xludf.DUMMYFUNCTION("""COMPUTED_VALUE"""),"227224")</f>
        <v>227224</v>
      </c>
      <c r="B322" s="190" t="str">
        <f>IFERROR(__xludf.DUMMYFUNCTION("""COMPUTED_VALUE"""),"HOÀNG ĐĂNG TRIỆU")</f>
        <v>HOÀNG ĐĂNG TRIỆU</v>
      </c>
      <c r="C322" s="223" t="str">
        <f>IFERROR(__xludf.DUMMYFUNCTION("""COMPUTED_VALUE"""),"EL029")</f>
        <v>EL029</v>
      </c>
      <c r="D322" s="223" t="str">
        <f>IFERROR(__xludf.DUMMYFUNCTION("""COMPUTED_VALUE"""),"Yen Tran 2")</f>
        <v>Yen Tran 2</v>
      </c>
      <c r="E322" s="190" t="str">
        <f>IFERROR(__xludf.DUMMYFUNCTION("""COMPUTED_VALUE"""),"Communication 1")</f>
        <v>Communication 1</v>
      </c>
      <c r="F322" s="190" t="str">
        <f>IFERROR(__xludf.DUMMYFUNCTION("""COMPUTED_VALUE"""),"Beginner")</f>
        <v>Beginner</v>
      </c>
      <c r="G322" s="190" t="str">
        <f>IFERROR(__xludf.DUMMYFUNCTION("""COMPUTED_VALUE"""),"Beginner 2")</f>
        <v>Beginner 2</v>
      </c>
      <c r="H322" s="219">
        <f>IFERROR(__xludf.DUMMYFUNCTION("""COMPUTED_VALUE"""),45645.45833333333)</f>
        <v>45645.45833</v>
      </c>
      <c r="I322" s="219">
        <f>IFERROR(__xludf.DUMMYFUNCTION("""COMPUTED_VALUE"""),45645.45833333333)</f>
        <v>45645.45833</v>
      </c>
      <c r="J322" s="190">
        <f>IFERROR(__xludf.DUMMYFUNCTION("""COMPUTED_VALUE"""),1.0)</f>
        <v>1</v>
      </c>
      <c r="K322" s="190">
        <f>IFERROR(__xludf.DUMMYFUNCTION("""COMPUTED_VALUE"""),1.5)</f>
        <v>1.5</v>
      </c>
      <c r="L322" s="190" t="str">
        <f>IFERROR(__xludf.DUMMYFUNCTION("""COMPUTED_VALUE"""),"DEV")</f>
        <v>DEV</v>
      </c>
      <c r="M322" s="190" t="str">
        <f>IFERROR(__xludf.DUMMYFUNCTION("""COMPUTED_VALUE"""),"CHORUS")</f>
        <v>CHORUS</v>
      </c>
      <c r="N322" s="220">
        <f>IFERROR(__xludf.DUMMYFUNCTION("""COMPUTED_VALUE"""),1.0)</f>
        <v>1</v>
      </c>
      <c r="O322" s="220">
        <f>IFERROR(__xludf.DUMMYFUNCTION("""COMPUTED_VALUE"""),1.5)</f>
        <v>1.5</v>
      </c>
      <c r="P322" s="229"/>
      <c r="R322" s="210"/>
      <c r="S322" s="210" t="str">
        <f t="shared" si="2"/>
        <v>#N/A</v>
      </c>
      <c r="T322" s="210" t="str">
        <f t="shared" si="3"/>
        <v>#N/A</v>
      </c>
      <c r="U322" s="210" t="str">
        <f t="shared" si="5"/>
        <v>#N/A</v>
      </c>
      <c r="X322" s="210"/>
      <c r="Y322" s="210"/>
      <c r="Z322" s="210"/>
      <c r="AA322" s="210"/>
      <c r="AB322" s="210"/>
      <c r="AC322" s="210"/>
      <c r="AD322" s="210"/>
      <c r="AE322" s="210"/>
      <c r="AF322" s="210"/>
      <c r="AG322" s="210"/>
      <c r="AH322" s="210"/>
      <c r="AI322" s="210"/>
      <c r="AJ322" s="210"/>
      <c r="AK322" s="210"/>
      <c r="AL322" s="210"/>
      <c r="AM322" s="210"/>
      <c r="AN322" s="210"/>
      <c r="AO322" s="210"/>
      <c r="AP322" s="210"/>
      <c r="AQ322" s="210"/>
    </row>
    <row r="323">
      <c r="A323" s="223" t="str">
        <f>IFERROR(__xludf.DUMMYFUNCTION("""COMPUTED_VALUE"""),"247114")</f>
        <v>247114</v>
      </c>
      <c r="B323" s="190" t="str">
        <f>IFERROR(__xludf.DUMMYFUNCTION("""COMPUTED_VALUE"""),"NGUYỄN QUỐC DUY")</f>
        <v>NGUYỄN QUỐC DUY</v>
      </c>
      <c r="C323" s="223" t="str">
        <f>IFERROR(__xludf.DUMMYFUNCTION("""COMPUTED_VALUE"""),"EL029")</f>
        <v>EL029</v>
      </c>
      <c r="D323" s="223" t="str">
        <f>IFERROR(__xludf.DUMMYFUNCTION("""COMPUTED_VALUE"""),"Yen Tran 2")</f>
        <v>Yen Tran 2</v>
      </c>
      <c r="E323" s="190" t="str">
        <f>IFERROR(__xludf.DUMMYFUNCTION("""COMPUTED_VALUE"""),"Communication 1")</f>
        <v>Communication 1</v>
      </c>
      <c r="F323" s="190" t="str">
        <f>IFERROR(__xludf.DUMMYFUNCTION("""COMPUTED_VALUE"""),"Beginner")</f>
        <v>Beginner</v>
      </c>
      <c r="G323" s="190" t="str">
        <f>IFERROR(__xludf.DUMMYFUNCTION("""COMPUTED_VALUE"""),"Pre-Intermediate 2")</f>
        <v>Pre-Intermediate 2</v>
      </c>
      <c r="H323" s="219">
        <f>IFERROR(__xludf.DUMMYFUNCTION("""COMPUTED_VALUE"""),45645.45833333333)</f>
        <v>45645.45833</v>
      </c>
      <c r="I323" s="219">
        <f>IFERROR(__xludf.DUMMYFUNCTION("""COMPUTED_VALUE"""),45645.45833333333)</f>
        <v>45645.45833</v>
      </c>
      <c r="J323" s="190">
        <f>IFERROR(__xludf.DUMMYFUNCTION("""COMPUTED_VALUE"""),1.0)</f>
        <v>1</v>
      </c>
      <c r="K323" s="190">
        <f>IFERROR(__xludf.DUMMYFUNCTION("""COMPUTED_VALUE"""),3.5)</f>
        <v>3.5</v>
      </c>
      <c r="L323" s="190" t="str">
        <f>IFERROR(__xludf.DUMMYFUNCTION("""COMPUTED_VALUE"""),"DEV")</f>
        <v>DEV</v>
      </c>
      <c r="M323" s="190" t="str">
        <f>IFERROR(__xludf.DUMMYFUNCTION("""COMPUTED_VALUE"""),"CHORUS")</f>
        <v>CHORUS</v>
      </c>
      <c r="N323" s="220">
        <f>IFERROR(__xludf.DUMMYFUNCTION("""COMPUTED_VALUE"""),1.0)</f>
        <v>1</v>
      </c>
      <c r="O323" s="220">
        <f>IFERROR(__xludf.DUMMYFUNCTION("""COMPUTED_VALUE"""),3.5)</f>
        <v>3.5</v>
      </c>
      <c r="P323" s="229"/>
      <c r="R323" s="210"/>
      <c r="S323" s="210" t="str">
        <f t="shared" si="2"/>
        <v>#N/A</v>
      </c>
      <c r="T323" s="210" t="str">
        <f t="shared" si="3"/>
        <v>#N/A</v>
      </c>
      <c r="U323" s="210" t="str">
        <f t="shared" si="5"/>
        <v>#N/A</v>
      </c>
      <c r="X323" s="210"/>
      <c r="Y323" s="210"/>
      <c r="Z323" s="210"/>
      <c r="AA323" s="210"/>
      <c r="AB323" s="210"/>
      <c r="AC323" s="210"/>
      <c r="AD323" s="210"/>
      <c r="AE323" s="210"/>
      <c r="AF323" s="210"/>
      <c r="AG323" s="210"/>
      <c r="AH323" s="210"/>
      <c r="AI323" s="210"/>
      <c r="AJ323" s="210"/>
      <c r="AK323" s="210"/>
      <c r="AL323" s="210"/>
      <c r="AM323" s="210"/>
      <c r="AN323" s="210"/>
      <c r="AO323" s="210"/>
      <c r="AP323" s="210"/>
      <c r="AQ323" s="210"/>
    </row>
    <row r="324">
      <c r="A324" s="223" t="str">
        <f>IFERROR(__xludf.DUMMYFUNCTION("""COMPUTED_VALUE"""),"237023")</f>
        <v>237023</v>
      </c>
      <c r="B324" s="190" t="str">
        <f>IFERROR(__xludf.DUMMYFUNCTION("""COMPUTED_VALUE"""),"NGUYỄN THỊ NGỌC LỮ")</f>
        <v>NGUYỄN THỊ NGỌC LỮ</v>
      </c>
      <c r="C324" s="223" t="str">
        <f>IFERROR(__xludf.DUMMYFUNCTION("""COMPUTED_VALUE"""),"EL029")</f>
        <v>EL029</v>
      </c>
      <c r="D324" s="223" t="str">
        <f>IFERROR(__xludf.DUMMYFUNCTION("""COMPUTED_VALUE"""),"Yen Tran 2")</f>
        <v>Yen Tran 2</v>
      </c>
      <c r="E324" s="190" t="str">
        <f>IFERROR(__xludf.DUMMYFUNCTION("""COMPUTED_VALUE"""),"Communication 1")</f>
        <v>Communication 1</v>
      </c>
      <c r="F324" s="190" t="str">
        <f>IFERROR(__xludf.DUMMYFUNCTION("""COMPUTED_VALUE"""),"Beginner")</f>
        <v>Beginner</v>
      </c>
      <c r="G324" s="190" t="str">
        <f>IFERROR(__xludf.DUMMYFUNCTION("""COMPUTED_VALUE"""),"Beginner")</f>
        <v>Beginner</v>
      </c>
      <c r="H324" s="219">
        <f>IFERROR(__xludf.DUMMYFUNCTION("""COMPUTED_VALUE"""),45645.45833333333)</f>
        <v>45645.45833</v>
      </c>
      <c r="I324" s="219">
        <f>IFERROR(__xludf.DUMMYFUNCTION("""COMPUTED_VALUE"""),45645.45833333333)</f>
        <v>45645.45833</v>
      </c>
      <c r="J324" s="190">
        <f>IFERROR(__xludf.DUMMYFUNCTION("""COMPUTED_VALUE"""),1.0)</f>
        <v>1</v>
      </c>
      <c r="K324" s="190">
        <f>IFERROR(__xludf.DUMMYFUNCTION("""COMPUTED_VALUE"""),1.0)</f>
        <v>1</v>
      </c>
      <c r="L324" s="190" t="str">
        <f>IFERROR(__xludf.DUMMYFUNCTION("""COMPUTED_VALUE"""),"DEV")</f>
        <v>DEV</v>
      </c>
      <c r="M324" s="190" t="str">
        <f>IFERROR(__xludf.DUMMYFUNCTION("""COMPUTED_VALUE"""),"CHORUS")</f>
        <v>CHORUS</v>
      </c>
      <c r="N324" s="220">
        <f>IFERROR(__xludf.DUMMYFUNCTION("""COMPUTED_VALUE"""),1.0)</f>
        <v>1</v>
      </c>
      <c r="O324" s="229">
        <f>IFERROR(__xludf.DUMMYFUNCTION("""COMPUTED_VALUE"""),1.0)</f>
        <v>1</v>
      </c>
      <c r="P324" s="229"/>
      <c r="R324" s="210"/>
      <c r="S324" s="210" t="str">
        <f t="shared" si="2"/>
        <v>#N/A</v>
      </c>
      <c r="T324" s="210" t="str">
        <f t="shared" si="3"/>
        <v>#N/A</v>
      </c>
      <c r="U324" s="210" t="str">
        <f t="shared" si="5"/>
        <v>#N/A</v>
      </c>
      <c r="X324" s="210"/>
      <c r="Y324" s="210"/>
      <c r="Z324" s="210"/>
      <c r="AA324" s="210"/>
      <c r="AB324" s="210"/>
      <c r="AC324" s="210"/>
      <c r="AD324" s="210"/>
      <c r="AE324" s="210"/>
      <c r="AF324" s="210"/>
      <c r="AG324" s="210"/>
      <c r="AH324" s="210"/>
      <c r="AI324" s="210"/>
      <c r="AJ324" s="210"/>
      <c r="AK324" s="210"/>
      <c r="AL324" s="210"/>
      <c r="AM324" s="210"/>
      <c r="AN324" s="210"/>
      <c r="AO324" s="210"/>
      <c r="AP324" s="210"/>
      <c r="AQ324" s="210"/>
    </row>
    <row r="325">
      <c r="A325" s="223" t="str">
        <f>IFERROR(__xludf.DUMMYFUNCTION("""COMPUTED_VALUE"""),"227170")</f>
        <v>227170</v>
      </c>
      <c r="B325" s="190" t="str">
        <f>IFERROR(__xludf.DUMMYFUNCTION("""COMPUTED_VALUE"""),"NGUYỄN TRẦN LỆ DUYÊN")</f>
        <v>NGUYỄN TRẦN LỆ DUYÊN</v>
      </c>
      <c r="C325" s="223" t="str">
        <f>IFERROR(__xludf.DUMMYFUNCTION("""COMPUTED_VALUE"""),"EL029")</f>
        <v>EL029</v>
      </c>
      <c r="D325" s="223" t="str">
        <f>IFERROR(__xludf.DUMMYFUNCTION("""COMPUTED_VALUE"""),"Yen Tran 2")</f>
        <v>Yen Tran 2</v>
      </c>
      <c r="E325" s="190" t="str">
        <f>IFERROR(__xludf.DUMMYFUNCTION("""COMPUTED_VALUE"""),"Communication 1")</f>
        <v>Communication 1</v>
      </c>
      <c r="F325" s="190" t="str">
        <f>IFERROR(__xludf.DUMMYFUNCTION("""COMPUTED_VALUE"""),"Pre-Intermediate")</f>
        <v>Pre-Intermediate</v>
      </c>
      <c r="G325" s="190" t="str">
        <f>IFERROR(__xludf.DUMMYFUNCTION("""COMPUTED_VALUE"""),"Beginner 2")</f>
        <v>Beginner 2</v>
      </c>
      <c r="H325" s="219">
        <f>IFERROR(__xludf.DUMMYFUNCTION("""COMPUTED_VALUE"""),45645.45833333333)</f>
        <v>45645.45833</v>
      </c>
      <c r="I325" s="219">
        <f>IFERROR(__xludf.DUMMYFUNCTION("""COMPUTED_VALUE"""),45645.45833333333)</f>
        <v>45645.45833</v>
      </c>
      <c r="J325" s="190">
        <f>IFERROR(__xludf.DUMMYFUNCTION("""COMPUTED_VALUE"""),2.5)</f>
        <v>2.5</v>
      </c>
      <c r="K325" s="190">
        <f>IFERROR(__xludf.DUMMYFUNCTION("""COMPUTED_VALUE"""),1.5)</f>
        <v>1.5</v>
      </c>
      <c r="L325" s="190" t="str">
        <f>IFERROR(__xludf.DUMMYFUNCTION("""COMPUTED_VALUE"""),"QC")</f>
        <v>QC</v>
      </c>
      <c r="M325" s="190" t="str">
        <f>IFERROR(__xludf.DUMMYFUNCTION("""COMPUTED_VALUE"""),"CHORUS")</f>
        <v>CHORUS</v>
      </c>
      <c r="N325" s="220">
        <f>IFERROR(__xludf.DUMMYFUNCTION("""COMPUTED_VALUE"""),2.5)</f>
        <v>2.5</v>
      </c>
      <c r="O325" s="220">
        <f>IFERROR(__xludf.DUMMYFUNCTION("""COMPUTED_VALUE"""),1.5)</f>
        <v>1.5</v>
      </c>
      <c r="P325" s="229"/>
      <c r="R325" s="210"/>
      <c r="S325" s="210"/>
      <c r="T325" s="210"/>
      <c r="U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row>
    <row r="326">
      <c r="A326" s="223" t="str">
        <f>IFERROR(__xludf.DUMMYFUNCTION("""COMPUTED_VALUE"""),"247122")</f>
        <v>247122</v>
      </c>
      <c r="B326" s="190" t="str">
        <f>IFERROR(__xludf.DUMMYFUNCTION("""COMPUTED_VALUE"""),"TRẦN THỊ YẾN")</f>
        <v>TRẦN THỊ YẾN</v>
      </c>
      <c r="C326" s="223" t="str">
        <f>IFERROR(__xludf.DUMMYFUNCTION("""COMPUTED_VALUE"""),"EL030")</f>
        <v>EL030</v>
      </c>
      <c r="D326" s="223" t="str">
        <f>IFERROR(__xludf.DUMMYFUNCTION("""COMPUTED_VALUE"""),"Yen Tran 3")</f>
        <v>Yen Tran 3</v>
      </c>
      <c r="E326" s="190" t="str">
        <f>IFERROR(__xludf.DUMMYFUNCTION("""COMPUTED_VALUE"""),"Communication 1")</f>
        <v>Communication 1</v>
      </c>
      <c r="F326" s="190" t="str">
        <f>IFERROR(__xludf.DUMMYFUNCTION("""COMPUTED_VALUE"""),"Pre-Intermediate")</f>
        <v>Pre-Intermediate</v>
      </c>
      <c r="G326" s="190"/>
      <c r="H326" s="219">
        <f>IFERROR(__xludf.DUMMYFUNCTION("""COMPUTED_VALUE"""),45646.41666666667)</f>
        <v>45646.41667</v>
      </c>
      <c r="I326" s="219">
        <f>IFERROR(__xludf.DUMMYFUNCTION("""COMPUTED_VALUE"""),45646.41666666667)</f>
        <v>45646.41667</v>
      </c>
      <c r="J326" s="190">
        <f>IFERROR(__xludf.DUMMYFUNCTION("""COMPUTED_VALUE"""),2.5)</f>
        <v>2.5</v>
      </c>
      <c r="K326" s="190" t="str">
        <f>IFERROR(__xludf.DUMMYFUNCTION("""COMPUTED_VALUE"""),"")</f>
        <v/>
      </c>
      <c r="L326" s="190" t="str">
        <f>IFERROR(__xludf.DUMMYFUNCTION("""COMPUTED_VALUE"""),"SM")</f>
        <v>SM</v>
      </c>
      <c r="M326" s="190" t="str">
        <f>IFERROR(__xludf.DUMMYFUNCTION("""COMPUTED_VALUE"""),"CHORUS")</f>
        <v>CHORUS</v>
      </c>
      <c r="N326" s="220">
        <f>IFERROR(__xludf.DUMMYFUNCTION("""COMPUTED_VALUE"""),2.5)</f>
        <v>2.5</v>
      </c>
      <c r="O326" s="220">
        <f>IFERROR(__xludf.DUMMYFUNCTION("""COMPUTED_VALUE"""),0.0)</f>
        <v>0</v>
      </c>
      <c r="P326" s="229"/>
      <c r="R326" s="210"/>
      <c r="S326" s="210"/>
      <c r="T326" s="210"/>
      <c r="U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row>
    <row r="327">
      <c r="A327" s="223" t="str">
        <f>IFERROR(__xludf.DUMMYFUNCTION("""COMPUTED_VALUE"""),"227125")</f>
        <v>227125</v>
      </c>
      <c r="B327" s="190" t="str">
        <f>IFERROR(__xludf.DUMMYFUNCTION("""COMPUTED_VALUE"""),"ĐẶNG QUỐC VIỆT")</f>
        <v>ĐẶNG QUỐC VIỆT</v>
      </c>
      <c r="C327" s="223" t="str">
        <f>IFERROR(__xludf.DUMMYFUNCTION("""COMPUTED_VALUE"""),"EL030")</f>
        <v>EL030</v>
      </c>
      <c r="D327" s="223" t="str">
        <f>IFERROR(__xludf.DUMMYFUNCTION("""COMPUTED_VALUE"""),"Yen Tran 3")</f>
        <v>Yen Tran 3</v>
      </c>
      <c r="E327" s="190" t="str">
        <f>IFERROR(__xludf.DUMMYFUNCTION("""COMPUTED_VALUE"""),"Communication 1")</f>
        <v>Communication 1</v>
      </c>
      <c r="F327" s="190" t="str">
        <f>IFERROR(__xludf.DUMMYFUNCTION("""COMPUTED_VALUE"""),"Beginner")</f>
        <v>Beginner</v>
      </c>
      <c r="G327" s="190"/>
      <c r="H327" s="219">
        <f>IFERROR(__xludf.DUMMYFUNCTION("""COMPUTED_VALUE"""),45646.41666666667)</f>
        <v>45646.41667</v>
      </c>
      <c r="I327" s="219">
        <f>IFERROR(__xludf.DUMMYFUNCTION("""COMPUTED_VALUE"""),45646.41666666667)</f>
        <v>45646.41667</v>
      </c>
      <c r="J327" s="190">
        <f>IFERROR(__xludf.DUMMYFUNCTION("""COMPUTED_VALUE"""),1.0)</f>
        <v>1</v>
      </c>
      <c r="K327" s="190" t="str">
        <f>IFERROR(__xludf.DUMMYFUNCTION("""COMPUTED_VALUE"""),"")</f>
        <v/>
      </c>
      <c r="L327" s="190" t="str">
        <f>IFERROR(__xludf.DUMMYFUNCTION("""COMPUTED_VALUE"""),"QC")</f>
        <v>QC</v>
      </c>
      <c r="M327" s="190" t="str">
        <f>IFERROR(__xludf.DUMMYFUNCTION("""COMPUTED_VALUE"""),"CHORUS")</f>
        <v>CHORUS</v>
      </c>
      <c r="N327" s="220">
        <f>IFERROR(__xludf.DUMMYFUNCTION("""COMPUTED_VALUE"""),1.0)</f>
        <v>1</v>
      </c>
      <c r="O327" s="220">
        <f>IFERROR(__xludf.DUMMYFUNCTION("""COMPUTED_VALUE"""),0.0)</f>
        <v>0</v>
      </c>
      <c r="P327" s="229"/>
      <c r="R327" s="210"/>
      <c r="S327" s="210"/>
      <c r="T327" s="210"/>
      <c r="U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row>
    <row r="328">
      <c r="A328" s="223" t="str">
        <f>IFERROR(__xludf.DUMMYFUNCTION("""COMPUTED_VALUE"""),"183332")</f>
        <v>183332</v>
      </c>
      <c r="B328" s="190" t="str">
        <f>IFERROR(__xludf.DUMMYFUNCTION("""COMPUTED_VALUE"""),"ĐOÀN QUỐC HẢI")</f>
        <v>ĐOÀN QUỐC HẢI</v>
      </c>
      <c r="C328" s="223" t="str">
        <f>IFERROR(__xludf.DUMMYFUNCTION("""COMPUTED_VALUE"""),"EL030")</f>
        <v>EL030</v>
      </c>
      <c r="D328" s="223" t="str">
        <f>IFERROR(__xludf.DUMMYFUNCTION("""COMPUTED_VALUE"""),"Yen Tran 3")</f>
        <v>Yen Tran 3</v>
      </c>
      <c r="E328" s="190" t="str">
        <f>IFERROR(__xludf.DUMMYFUNCTION("""COMPUTED_VALUE"""),"Communication 1")</f>
        <v>Communication 1</v>
      </c>
      <c r="F328" s="190" t="str">
        <f>IFERROR(__xludf.DUMMYFUNCTION("""COMPUTED_VALUE"""),"Beginner")</f>
        <v>Beginner</v>
      </c>
      <c r="G328" s="190"/>
      <c r="H328" s="219">
        <f>IFERROR(__xludf.DUMMYFUNCTION("""COMPUTED_VALUE"""),45646.41666666667)</f>
        <v>45646.41667</v>
      </c>
      <c r="I328" s="219">
        <f>IFERROR(__xludf.DUMMYFUNCTION("""COMPUTED_VALUE"""),45646.41666666667)</f>
        <v>45646.41667</v>
      </c>
      <c r="J328" s="190">
        <f>IFERROR(__xludf.DUMMYFUNCTION("""COMPUTED_VALUE"""),1.0)</f>
        <v>1</v>
      </c>
      <c r="K328" s="190" t="str">
        <f>IFERROR(__xludf.DUMMYFUNCTION("""COMPUTED_VALUE"""),"")</f>
        <v/>
      </c>
      <c r="L328" s="190" t="str">
        <f>IFERROR(__xludf.DUMMYFUNCTION("""COMPUTED_VALUE"""),"DEV")</f>
        <v>DEV</v>
      </c>
      <c r="M328" s="190" t="str">
        <f>IFERROR(__xludf.DUMMYFUNCTION("""COMPUTED_VALUE"""),"CHORUS")</f>
        <v>CHORUS</v>
      </c>
      <c r="N328" s="220">
        <f>IFERROR(__xludf.DUMMYFUNCTION("""COMPUTED_VALUE"""),1.0)</f>
        <v>1</v>
      </c>
      <c r="O328" s="220">
        <f>IFERROR(__xludf.DUMMYFUNCTION("""COMPUTED_VALUE"""),0.0)</f>
        <v>0</v>
      </c>
      <c r="P328" s="229"/>
      <c r="R328" s="210"/>
      <c r="S328" s="210"/>
      <c r="T328" s="210"/>
      <c r="U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row>
    <row r="329">
      <c r="A329" s="223" t="str">
        <f>IFERROR(__xludf.DUMMYFUNCTION("""COMPUTED_VALUE"""),"237049")</f>
        <v>237049</v>
      </c>
      <c r="B329" s="190" t="str">
        <f>IFERROR(__xludf.DUMMYFUNCTION("""COMPUTED_VALUE"""),"NGUYỄN THẢO QUỲNH NHƯ")</f>
        <v>NGUYỄN THẢO QUỲNH NHƯ</v>
      </c>
      <c r="C329" s="223" t="str">
        <f>IFERROR(__xludf.DUMMYFUNCTION("""COMPUTED_VALUE"""),"EL030")</f>
        <v>EL030</v>
      </c>
      <c r="D329" s="223" t="str">
        <f>IFERROR(__xludf.DUMMYFUNCTION("""COMPUTED_VALUE"""),"Yen Tran 3")</f>
        <v>Yen Tran 3</v>
      </c>
      <c r="E329" s="190" t="str">
        <f>IFERROR(__xludf.DUMMYFUNCTION("""COMPUTED_VALUE"""),"Communication 1")</f>
        <v>Communication 1</v>
      </c>
      <c r="F329" s="190" t="str">
        <f>IFERROR(__xludf.DUMMYFUNCTION("""COMPUTED_VALUE"""),"Pre-Intermediate")</f>
        <v>Pre-Intermediate</v>
      </c>
      <c r="G329" s="190"/>
      <c r="H329" s="219">
        <f>IFERROR(__xludf.DUMMYFUNCTION("""COMPUTED_VALUE"""),45646.41666666667)</f>
        <v>45646.41667</v>
      </c>
      <c r="I329" s="219">
        <f>IFERROR(__xludf.DUMMYFUNCTION("""COMPUTED_VALUE"""),45646.41666666667)</f>
        <v>45646.41667</v>
      </c>
      <c r="J329" s="190">
        <f>IFERROR(__xludf.DUMMYFUNCTION("""COMPUTED_VALUE"""),2.5)</f>
        <v>2.5</v>
      </c>
      <c r="K329" s="190" t="str">
        <f>IFERROR(__xludf.DUMMYFUNCTION("""COMPUTED_VALUE"""),"")</f>
        <v/>
      </c>
      <c r="L329" s="190" t="str">
        <f>IFERROR(__xludf.DUMMYFUNCTION("""COMPUTED_VALUE"""),"QC")</f>
        <v>QC</v>
      </c>
      <c r="M329" s="190" t="str">
        <f>IFERROR(__xludf.DUMMYFUNCTION("""COMPUTED_VALUE"""),"CHORUS")</f>
        <v>CHORUS</v>
      </c>
      <c r="N329" s="220">
        <f>IFERROR(__xludf.DUMMYFUNCTION("""COMPUTED_VALUE"""),2.5)</f>
        <v>2.5</v>
      </c>
      <c r="O329" s="220">
        <f>IFERROR(__xludf.DUMMYFUNCTION("""COMPUTED_VALUE"""),0.0)</f>
        <v>0</v>
      </c>
      <c r="P329" s="229"/>
      <c r="R329" s="210"/>
      <c r="S329" s="210"/>
      <c r="T329" s="210"/>
      <c r="U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row>
    <row r="330">
      <c r="A330" s="223" t="str">
        <f>IFERROR(__xludf.DUMMYFUNCTION("""COMPUTED_VALUE"""),"227220")</f>
        <v>227220</v>
      </c>
      <c r="B330" s="190" t="str">
        <f>IFERROR(__xludf.DUMMYFUNCTION("""COMPUTED_VALUE"""),"PHẠM NGỌC ANH DUYÊN")</f>
        <v>PHẠM NGỌC ANH DUYÊN</v>
      </c>
      <c r="C330" s="223" t="str">
        <f>IFERROR(__xludf.DUMMYFUNCTION("""COMPUTED_VALUE"""),"EL030")</f>
        <v>EL030</v>
      </c>
      <c r="D330" s="223" t="str">
        <f>IFERROR(__xludf.DUMMYFUNCTION("""COMPUTED_VALUE"""),"Yen Tran 3")</f>
        <v>Yen Tran 3</v>
      </c>
      <c r="E330" s="190" t="str">
        <f>IFERROR(__xludf.DUMMYFUNCTION("""COMPUTED_VALUE"""),"Communication 1")</f>
        <v>Communication 1</v>
      </c>
      <c r="F330" s="190" t="str">
        <f>IFERROR(__xludf.DUMMYFUNCTION("""COMPUTED_VALUE"""),"Beginner")</f>
        <v>Beginner</v>
      </c>
      <c r="G330" s="190"/>
      <c r="H330" s="219">
        <f>IFERROR(__xludf.DUMMYFUNCTION("""COMPUTED_VALUE"""),45646.41666666667)</f>
        <v>45646.41667</v>
      </c>
      <c r="I330" s="219">
        <f>IFERROR(__xludf.DUMMYFUNCTION("""COMPUTED_VALUE"""),45646.41666666667)</f>
        <v>45646.41667</v>
      </c>
      <c r="J330" s="190">
        <f>IFERROR(__xludf.DUMMYFUNCTION("""COMPUTED_VALUE"""),1.0)</f>
        <v>1</v>
      </c>
      <c r="K330" s="190" t="str">
        <f>IFERROR(__xludf.DUMMYFUNCTION("""COMPUTED_VALUE"""),"")</f>
        <v/>
      </c>
      <c r="L330" s="190" t="str">
        <f>IFERROR(__xludf.DUMMYFUNCTION("""COMPUTED_VALUE"""),"SM")</f>
        <v>SM</v>
      </c>
      <c r="M330" s="190" t="str">
        <f>IFERROR(__xludf.DUMMYFUNCTION("""COMPUTED_VALUE"""),"CHORUS")</f>
        <v>CHORUS</v>
      </c>
      <c r="N330" s="220">
        <f>IFERROR(__xludf.DUMMYFUNCTION("""COMPUTED_VALUE"""),1.0)</f>
        <v>1</v>
      </c>
      <c r="O330" s="220">
        <f>IFERROR(__xludf.DUMMYFUNCTION("""COMPUTED_VALUE"""),0.0)</f>
        <v>0</v>
      </c>
      <c r="P330" s="229"/>
      <c r="R330" s="210"/>
      <c r="S330" s="210"/>
      <c r="T330" s="210"/>
      <c r="U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row>
    <row r="331">
      <c r="A331" s="223" t="str">
        <f>IFERROR(__xludf.DUMMYFUNCTION("""COMPUTED_VALUE"""),"247146")</f>
        <v>247146</v>
      </c>
      <c r="B331" s="190" t="str">
        <f>IFERROR(__xludf.DUMMYFUNCTION("""COMPUTED_VALUE"""),"VÕ QUỐC THIÊN")</f>
        <v>VÕ QUỐC THIÊN</v>
      </c>
      <c r="C331" s="223" t="str">
        <f>IFERROR(__xludf.DUMMYFUNCTION("""COMPUTED_VALUE"""),"EL030")</f>
        <v>EL030</v>
      </c>
      <c r="D331" s="223" t="str">
        <f>IFERROR(__xludf.DUMMYFUNCTION("""COMPUTED_VALUE"""),"Yen Tran 3")</f>
        <v>Yen Tran 3</v>
      </c>
      <c r="E331" s="190" t="str">
        <f>IFERROR(__xludf.DUMMYFUNCTION("""COMPUTED_VALUE"""),"Communication 1")</f>
        <v>Communication 1</v>
      </c>
      <c r="F331" s="190" t="str">
        <f>IFERROR(__xludf.DUMMYFUNCTION("""COMPUTED_VALUE"""),"Beginner")</f>
        <v>Beginner</v>
      </c>
      <c r="G331" s="190"/>
      <c r="H331" s="219">
        <f>IFERROR(__xludf.DUMMYFUNCTION("""COMPUTED_VALUE"""),45646.41666666667)</f>
        <v>45646.41667</v>
      </c>
      <c r="I331" s="219">
        <f>IFERROR(__xludf.DUMMYFUNCTION("""COMPUTED_VALUE"""),45646.41666666667)</f>
        <v>45646.41667</v>
      </c>
      <c r="J331" s="190">
        <f>IFERROR(__xludf.DUMMYFUNCTION("""COMPUTED_VALUE"""),1.0)</f>
        <v>1</v>
      </c>
      <c r="K331" s="190" t="str">
        <f>IFERROR(__xludf.DUMMYFUNCTION("""COMPUTED_VALUE"""),"")</f>
        <v/>
      </c>
      <c r="L331" s="190" t="str">
        <f>IFERROR(__xludf.DUMMYFUNCTION("""COMPUTED_VALUE"""),"DEV")</f>
        <v>DEV</v>
      </c>
      <c r="M331" s="190" t="str">
        <f>IFERROR(__xludf.DUMMYFUNCTION("""COMPUTED_VALUE"""),"CHORUS")</f>
        <v>CHORUS</v>
      </c>
      <c r="N331" s="220">
        <f>IFERROR(__xludf.DUMMYFUNCTION("""COMPUTED_VALUE"""),1.0)</f>
        <v>1</v>
      </c>
      <c r="O331" s="220">
        <f>IFERROR(__xludf.DUMMYFUNCTION("""COMPUTED_VALUE"""),0.0)</f>
        <v>0</v>
      </c>
      <c r="P331" s="229"/>
      <c r="R331" s="210"/>
      <c r="S331" s="210"/>
      <c r="T331" s="210"/>
      <c r="U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row>
    <row r="332">
      <c r="A332" s="223" t="str">
        <f>IFERROR(__xludf.DUMMYFUNCTION("""COMPUTED_VALUE"""),"237101")</f>
        <v>237101</v>
      </c>
      <c r="B332" s="190" t="str">
        <f>IFERROR(__xludf.DUMMYFUNCTION("""COMPUTED_VALUE"""),"VÕ THỊ THU HƯƠNG")</f>
        <v>VÕ THỊ THU HƯƠNG</v>
      </c>
      <c r="C332" s="223" t="str">
        <f>IFERROR(__xludf.DUMMYFUNCTION("""COMPUTED_VALUE"""),"EL030")</f>
        <v>EL030</v>
      </c>
      <c r="D332" s="223" t="str">
        <f>IFERROR(__xludf.DUMMYFUNCTION("""COMPUTED_VALUE"""),"Yen Tran 3")</f>
        <v>Yen Tran 3</v>
      </c>
      <c r="E332" s="190" t="str">
        <f>IFERROR(__xludf.DUMMYFUNCTION("""COMPUTED_VALUE"""),"Communication 1")</f>
        <v>Communication 1</v>
      </c>
      <c r="F332" s="190" t="str">
        <f>IFERROR(__xludf.DUMMYFUNCTION("""COMPUTED_VALUE"""),"Beginner")</f>
        <v>Beginner</v>
      </c>
      <c r="G332" s="190"/>
      <c r="H332" s="219">
        <f>IFERROR(__xludf.DUMMYFUNCTION("""COMPUTED_VALUE"""),45646.41666666667)</f>
        <v>45646.41667</v>
      </c>
      <c r="I332" s="219">
        <f>IFERROR(__xludf.DUMMYFUNCTION("""COMPUTED_VALUE"""),45646.41666666667)</f>
        <v>45646.41667</v>
      </c>
      <c r="J332" s="190">
        <f>IFERROR(__xludf.DUMMYFUNCTION("""COMPUTED_VALUE"""),1.0)</f>
        <v>1</v>
      </c>
      <c r="K332" s="190" t="str">
        <f>IFERROR(__xludf.DUMMYFUNCTION("""COMPUTED_VALUE"""),"")</f>
        <v/>
      </c>
      <c r="L332" s="190" t="str">
        <f>IFERROR(__xludf.DUMMYFUNCTION("""COMPUTED_VALUE"""),"SM")</f>
        <v>SM</v>
      </c>
      <c r="M332" s="190" t="str">
        <f>IFERROR(__xludf.DUMMYFUNCTION("""COMPUTED_VALUE"""),"CHORUS")</f>
        <v>CHORUS</v>
      </c>
      <c r="N332" s="220">
        <f>IFERROR(__xludf.DUMMYFUNCTION("""COMPUTED_VALUE"""),1.0)</f>
        <v>1</v>
      </c>
      <c r="O332" s="220">
        <f>IFERROR(__xludf.DUMMYFUNCTION("""COMPUTED_VALUE"""),0.0)</f>
        <v>0</v>
      </c>
      <c r="P332" s="229"/>
      <c r="R332" s="210"/>
      <c r="S332" s="210"/>
      <c r="T332" s="210"/>
      <c r="U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row>
    <row r="333">
      <c r="A333" s="223" t="str">
        <f>IFERROR(__xludf.DUMMYFUNCTION("""COMPUTED_VALUE"""),"247098")</f>
        <v>247098</v>
      </c>
      <c r="B333" s="190" t="str">
        <f>IFERROR(__xludf.DUMMYFUNCTION("""COMPUTED_VALUE"""),"NGUYỄN VĂN TÀI")</f>
        <v>NGUYỄN VĂN TÀI</v>
      </c>
      <c r="C333" s="223" t="str">
        <f>IFERROR(__xludf.DUMMYFUNCTION("""COMPUTED_VALUE"""),"EL031")</f>
        <v>EL031</v>
      </c>
      <c r="D333" s="223" t="str">
        <f>IFERROR(__xludf.DUMMYFUNCTION("""COMPUTED_VALUE"""),"Tai Nguyen")</f>
        <v>Tai Nguyen</v>
      </c>
      <c r="E333" s="190" t="str">
        <f>IFERROR(__xludf.DUMMYFUNCTION("""COMPUTED_VALUE"""),"Communication 1")</f>
        <v>Communication 1</v>
      </c>
      <c r="F333" s="190" t="str">
        <f>IFERROR(__xludf.DUMMYFUNCTION("""COMPUTED_VALUE"""),"Beginner")</f>
        <v>Beginner</v>
      </c>
      <c r="G333" s="190" t="str">
        <f>IFERROR(__xludf.DUMMYFUNCTION("""COMPUTED_VALUE"""),"Pre-Intermediate")</f>
        <v>Pre-Intermediate</v>
      </c>
      <c r="H333" s="219">
        <f>IFERROR(__xludf.DUMMYFUNCTION("""COMPUTED_VALUE"""),45765.41666666667)</f>
        <v>45765.41667</v>
      </c>
      <c r="I333" s="219">
        <f>IFERROR(__xludf.DUMMYFUNCTION("""COMPUTED_VALUE"""),45765.41666666667)</f>
        <v>45765.41667</v>
      </c>
      <c r="J333" s="190">
        <f>IFERROR(__xludf.DUMMYFUNCTION("""COMPUTED_VALUE"""),1.0)</f>
        <v>1</v>
      </c>
      <c r="K333" s="190">
        <f>IFERROR(__xludf.DUMMYFUNCTION("""COMPUTED_VALUE"""),2.5)</f>
        <v>2.5</v>
      </c>
      <c r="L333" s="190" t="str">
        <f>IFERROR(__xludf.DUMMYFUNCTION("""COMPUTED_VALUE"""),"DEV")</f>
        <v>DEV</v>
      </c>
      <c r="M333" s="190" t="str">
        <f>IFERROR(__xludf.DUMMYFUNCTION("""COMPUTED_VALUE"""),"MOC")</f>
        <v>MOC</v>
      </c>
      <c r="N333" s="220">
        <f>IFERROR(__xludf.DUMMYFUNCTION("""COMPUTED_VALUE"""),1.0)</f>
        <v>1</v>
      </c>
      <c r="O333" s="220">
        <f>IFERROR(__xludf.DUMMYFUNCTION("""COMPUTED_VALUE"""),2.5)</f>
        <v>2.5</v>
      </c>
      <c r="P333" s="220"/>
      <c r="R333" s="210"/>
      <c r="S333" s="210"/>
      <c r="T333" s="210"/>
      <c r="U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row>
    <row r="334">
      <c r="A334" s="223" t="str">
        <f>IFERROR(__xludf.DUMMYFUNCTION("""COMPUTED_VALUE"""),"237156")</f>
        <v>237156</v>
      </c>
      <c r="B334" s="190" t="str">
        <f>IFERROR(__xludf.DUMMYFUNCTION("""COMPUTED_VALUE"""),"PHẠM HOÀNG THÁI SƠN")</f>
        <v>PHẠM HOÀNG THÁI SƠN</v>
      </c>
      <c r="C334" s="223" t="str">
        <f>IFERROR(__xludf.DUMMYFUNCTION("""COMPUTED_VALUE"""),"EL031")</f>
        <v>EL031</v>
      </c>
      <c r="D334" s="223" t="str">
        <f>IFERROR(__xludf.DUMMYFUNCTION("""COMPUTED_VALUE"""),"Tai Nguyen")</f>
        <v>Tai Nguyen</v>
      </c>
      <c r="E334" s="190" t="str">
        <f>IFERROR(__xludf.DUMMYFUNCTION("""COMPUTED_VALUE"""),"Communication 1")</f>
        <v>Communication 1</v>
      </c>
      <c r="F334" s="190" t="str">
        <f>IFERROR(__xludf.DUMMYFUNCTION("""COMPUTED_VALUE"""),"Foundation")</f>
        <v>Foundation</v>
      </c>
      <c r="G334" s="190" t="str">
        <f>IFERROR(__xludf.DUMMYFUNCTION("""COMPUTED_VALUE"""),"Beginner 2")</f>
        <v>Beginner 2</v>
      </c>
      <c r="H334" s="219">
        <f>IFERROR(__xludf.DUMMYFUNCTION("""COMPUTED_VALUE"""),45765.41666666667)</f>
        <v>45765.41667</v>
      </c>
      <c r="I334" s="219">
        <f>IFERROR(__xludf.DUMMYFUNCTION("""COMPUTED_VALUE"""),45765.41666666667)</f>
        <v>45765.41667</v>
      </c>
      <c r="J334" s="190">
        <f>IFERROR(__xludf.DUMMYFUNCTION("""COMPUTED_VALUE"""),0.5)</f>
        <v>0.5</v>
      </c>
      <c r="K334" s="190">
        <f>IFERROR(__xludf.DUMMYFUNCTION("""COMPUTED_VALUE"""),1.5)</f>
        <v>1.5</v>
      </c>
      <c r="L334" s="190" t="str">
        <f>IFERROR(__xludf.DUMMYFUNCTION("""COMPUTED_VALUE"""),"DEV")</f>
        <v>DEV</v>
      </c>
      <c r="M334" s="190" t="str">
        <f>IFERROR(__xludf.DUMMYFUNCTION("""COMPUTED_VALUE"""),"MOC")</f>
        <v>MOC</v>
      </c>
      <c r="N334" s="220">
        <f>IFERROR(__xludf.DUMMYFUNCTION("""COMPUTED_VALUE"""),0.5)</f>
        <v>0.5</v>
      </c>
      <c r="O334" s="220">
        <f>IFERROR(__xludf.DUMMYFUNCTION("""COMPUTED_VALUE"""),3.5)</f>
        <v>3.5</v>
      </c>
      <c r="P334" s="220"/>
      <c r="R334" s="210"/>
      <c r="S334" s="210"/>
      <c r="T334" s="210"/>
      <c r="U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row>
    <row r="335">
      <c r="A335" s="223" t="str">
        <f>IFERROR(__xludf.DUMMYFUNCTION("""COMPUTED_VALUE"""),"247119")</f>
        <v>247119</v>
      </c>
      <c r="B335" s="190" t="str">
        <f>IFERROR(__xludf.DUMMYFUNCTION("""COMPUTED_VALUE"""),"PHẠM HUY HOÀNG")</f>
        <v>PHẠM HUY HOÀNG</v>
      </c>
      <c r="C335" s="223" t="str">
        <f>IFERROR(__xludf.DUMMYFUNCTION("""COMPUTED_VALUE"""),"EL031")</f>
        <v>EL031</v>
      </c>
      <c r="D335" s="223" t="str">
        <f>IFERROR(__xludf.DUMMYFUNCTION("""COMPUTED_VALUE"""),"Tai Nguyen")</f>
        <v>Tai Nguyen</v>
      </c>
      <c r="E335" s="190" t="str">
        <f>IFERROR(__xludf.DUMMYFUNCTION("""COMPUTED_VALUE"""),"Communication 1")</f>
        <v>Communication 1</v>
      </c>
      <c r="F335" s="190" t="str">
        <f>IFERROR(__xludf.DUMMYFUNCTION("""COMPUTED_VALUE"""),"Beginner")</f>
        <v>Beginner</v>
      </c>
      <c r="G335" s="190" t="str">
        <f>IFERROR(__xludf.DUMMYFUNCTION("""COMPUTED_VALUE"""),"Pre-Intermediate 1")</f>
        <v>Pre-Intermediate 1</v>
      </c>
      <c r="H335" s="219">
        <f>IFERROR(__xludf.DUMMYFUNCTION("""COMPUTED_VALUE"""),45765.41666666667)</f>
        <v>45765.41667</v>
      </c>
      <c r="I335" s="219">
        <f>IFERROR(__xludf.DUMMYFUNCTION("""COMPUTED_VALUE"""),45765.41666666667)</f>
        <v>45765.41667</v>
      </c>
      <c r="J335" s="190">
        <f>IFERROR(__xludf.DUMMYFUNCTION("""COMPUTED_VALUE"""),1.0)</f>
        <v>1</v>
      </c>
      <c r="K335" s="190">
        <f>IFERROR(__xludf.DUMMYFUNCTION("""COMPUTED_VALUE"""),3.0)</f>
        <v>3</v>
      </c>
      <c r="L335" s="190" t="str">
        <f>IFERROR(__xludf.DUMMYFUNCTION("""COMPUTED_VALUE"""),"DEV")</f>
        <v>DEV</v>
      </c>
      <c r="M335" s="190" t="str">
        <f>IFERROR(__xludf.DUMMYFUNCTION("""COMPUTED_VALUE"""),"MOC")</f>
        <v>MOC</v>
      </c>
      <c r="N335" s="220">
        <f>IFERROR(__xludf.DUMMYFUNCTION("""COMPUTED_VALUE"""),1.0)</f>
        <v>1</v>
      </c>
      <c r="O335" s="220">
        <f>IFERROR(__xludf.DUMMYFUNCTION("""COMPUTED_VALUE"""),5.0)</f>
        <v>5</v>
      </c>
      <c r="P335" s="220"/>
      <c r="R335" s="210"/>
      <c r="S335" s="210"/>
      <c r="T335" s="210"/>
      <c r="U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row>
    <row r="336">
      <c r="A336" s="223" t="str">
        <f>IFERROR(__xludf.DUMMYFUNCTION("""COMPUTED_VALUE"""),"203764")</f>
        <v>203764</v>
      </c>
      <c r="B336" s="190" t="str">
        <f>IFERROR(__xludf.DUMMYFUNCTION("""COMPUTED_VALUE"""),"TRẦN MINH TRIẾT")</f>
        <v>TRẦN MINH TRIẾT</v>
      </c>
      <c r="C336" s="223" t="str">
        <f>IFERROR(__xludf.DUMMYFUNCTION("""COMPUTED_VALUE"""),"EL031")</f>
        <v>EL031</v>
      </c>
      <c r="D336" s="223" t="str">
        <f>IFERROR(__xludf.DUMMYFUNCTION("""COMPUTED_VALUE"""),"Tai Nguyen")</f>
        <v>Tai Nguyen</v>
      </c>
      <c r="E336" s="190" t="str">
        <f>IFERROR(__xludf.DUMMYFUNCTION("""COMPUTED_VALUE"""),"Communication 1")</f>
        <v>Communication 1</v>
      </c>
      <c r="F336" s="190" t="str">
        <f>IFERROR(__xludf.DUMMYFUNCTION("""COMPUTED_VALUE"""),"Beginner")</f>
        <v>Beginner</v>
      </c>
      <c r="G336" s="190" t="str">
        <f>IFERROR(__xludf.DUMMYFUNCTION("""COMPUTED_VALUE"""),"Pre-Intermediate 2")</f>
        <v>Pre-Intermediate 2</v>
      </c>
      <c r="H336" s="219">
        <f>IFERROR(__xludf.DUMMYFUNCTION("""COMPUTED_VALUE"""),45765.41666666667)</f>
        <v>45765.41667</v>
      </c>
      <c r="I336" s="219">
        <f>IFERROR(__xludf.DUMMYFUNCTION("""COMPUTED_VALUE"""),45765.41666666667)</f>
        <v>45765.41667</v>
      </c>
      <c r="J336" s="190">
        <f>IFERROR(__xludf.DUMMYFUNCTION("""COMPUTED_VALUE"""),1.0)</f>
        <v>1</v>
      </c>
      <c r="K336" s="190">
        <f>IFERROR(__xludf.DUMMYFUNCTION("""COMPUTED_VALUE"""),3.5)</f>
        <v>3.5</v>
      </c>
      <c r="L336" s="190" t="str">
        <f>IFERROR(__xludf.DUMMYFUNCTION("""COMPUTED_VALUE"""),"DEV")</f>
        <v>DEV</v>
      </c>
      <c r="M336" s="190" t="str">
        <f>IFERROR(__xludf.DUMMYFUNCTION("""COMPUTED_VALUE"""),"MOC")</f>
        <v>MOC</v>
      </c>
      <c r="N336" s="220">
        <f>IFERROR(__xludf.DUMMYFUNCTION("""COMPUTED_VALUE"""),1.0)</f>
        <v>1</v>
      </c>
      <c r="O336" s="220">
        <f>IFERROR(__xludf.DUMMYFUNCTION("""COMPUTED_VALUE"""),5.0)</f>
        <v>5</v>
      </c>
      <c r="P336" s="220"/>
      <c r="R336" s="210"/>
      <c r="S336" s="210"/>
      <c r="T336" s="210"/>
      <c r="U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row>
    <row r="337">
      <c r="A337" s="223" t="str">
        <f>IFERROR(__xludf.DUMMYFUNCTION("""COMPUTED_VALUE"""),"213808")</f>
        <v>213808</v>
      </c>
      <c r="B337" s="190" t="str">
        <f>IFERROR(__xludf.DUMMYFUNCTION("""COMPUTED_VALUE"""),"PHẠM HỒNG THIÊN TÀI")</f>
        <v>PHẠM HỒNG THIÊN TÀI</v>
      </c>
      <c r="C337" s="223" t="str">
        <f>IFERROR(__xludf.DUMMYFUNCTION("""COMPUTED_VALUE"""),"EL032")</f>
        <v>EL032</v>
      </c>
      <c r="D337" s="223" t="str">
        <f>IFERROR(__xludf.DUMMYFUNCTION("""COMPUTED_VALUE"""),"Tai Pham")</f>
        <v>Tai Pham</v>
      </c>
      <c r="E337" s="190" t="str">
        <f>IFERROR(__xludf.DUMMYFUNCTION("""COMPUTED_VALUE"""),"Communication 1")</f>
        <v>Communication 1</v>
      </c>
      <c r="F337" s="190" t="str">
        <f>IFERROR(__xludf.DUMMYFUNCTION("""COMPUTED_VALUE"""),"Beginner")</f>
        <v>Beginner</v>
      </c>
      <c r="G337" s="190" t="str">
        <f>IFERROR(__xludf.DUMMYFUNCTION("""COMPUTED_VALUE"""),"Beginner")</f>
        <v>Beginner</v>
      </c>
      <c r="H337" s="219">
        <f>IFERROR(__xludf.DUMMYFUNCTION("""COMPUTED_VALUE"""),45765.58333333333)</f>
        <v>45765.58333</v>
      </c>
      <c r="I337" s="219">
        <f>IFERROR(__xludf.DUMMYFUNCTION("""COMPUTED_VALUE"""),45765.58333333333)</f>
        <v>45765.58333</v>
      </c>
      <c r="J337" s="190">
        <f>IFERROR(__xludf.DUMMYFUNCTION("""COMPUTED_VALUE"""),1.0)</f>
        <v>1</v>
      </c>
      <c r="K337" s="190">
        <f>IFERROR(__xludf.DUMMYFUNCTION("""COMPUTED_VALUE"""),1.0)</f>
        <v>1</v>
      </c>
      <c r="L337" s="190" t="str">
        <f>IFERROR(__xludf.DUMMYFUNCTION("""COMPUTED_VALUE"""),"DEV")</f>
        <v>DEV</v>
      </c>
      <c r="M337" s="190" t="str">
        <f>IFERROR(__xludf.DUMMYFUNCTION("""COMPUTED_VALUE"""),"MOC")</f>
        <v>MOC</v>
      </c>
      <c r="N337" s="220">
        <f>IFERROR(__xludf.DUMMYFUNCTION("""COMPUTED_VALUE"""),1.0)</f>
        <v>1</v>
      </c>
      <c r="O337" s="220">
        <f>IFERROR(__xludf.DUMMYFUNCTION("""COMPUTED_VALUE"""),3.0)</f>
        <v>3</v>
      </c>
      <c r="P337" s="220"/>
      <c r="R337" s="210"/>
      <c r="S337" s="210"/>
      <c r="T337" s="210"/>
      <c r="U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row>
    <row r="338">
      <c r="A338" s="223" t="str">
        <f>IFERROR(__xludf.DUMMYFUNCTION("""COMPUTED_VALUE"""),"193536")</f>
        <v>193536</v>
      </c>
      <c r="B338" s="190" t="str">
        <f>IFERROR(__xludf.DUMMYFUNCTION("""COMPUTED_VALUE"""),"LÊ MINH PHƯỚC")</f>
        <v>LÊ MINH PHƯỚC</v>
      </c>
      <c r="C338" s="223" t="str">
        <f>IFERROR(__xludf.DUMMYFUNCTION("""COMPUTED_VALUE"""),"EL032")</f>
        <v>EL032</v>
      </c>
      <c r="D338" s="223" t="str">
        <f>IFERROR(__xludf.DUMMYFUNCTION("""COMPUTED_VALUE"""),"Tai Pham")</f>
        <v>Tai Pham</v>
      </c>
      <c r="E338" s="190" t="str">
        <f>IFERROR(__xludf.DUMMYFUNCTION("""COMPUTED_VALUE"""),"Communication 1")</f>
        <v>Communication 1</v>
      </c>
      <c r="F338" s="190" t="str">
        <f>IFERROR(__xludf.DUMMYFUNCTION("""COMPUTED_VALUE"""),"Beginner")</f>
        <v>Beginner</v>
      </c>
      <c r="G338" s="190" t="str">
        <f>IFERROR(__xludf.DUMMYFUNCTION("""COMPUTED_VALUE"""),"Beginner")</f>
        <v>Beginner</v>
      </c>
      <c r="H338" s="219">
        <f>IFERROR(__xludf.DUMMYFUNCTION("""COMPUTED_VALUE"""),45765.58333333333)</f>
        <v>45765.58333</v>
      </c>
      <c r="I338" s="219">
        <f>IFERROR(__xludf.DUMMYFUNCTION("""COMPUTED_VALUE"""),45765.58333333333)</f>
        <v>45765.58333</v>
      </c>
      <c r="J338" s="190">
        <f>IFERROR(__xludf.DUMMYFUNCTION("""COMPUTED_VALUE"""),1.0)</f>
        <v>1</v>
      </c>
      <c r="K338" s="190">
        <f>IFERROR(__xludf.DUMMYFUNCTION("""COMPUTED_VALUE"""),1.0)</f>
        <v>1</v>
      </c>
      <c r="L338" s="190" t="str">
        <f>IFERROR(__xludf.DUMMYFUNCTION("""COMPUTED_VALUE"""),"DEV")</f>
        <v>DEV</v>
      </c>
      <c r="M338" s="190" t="str">
        <f>IFERROR(__xludf.DUMMYFUNCTION("""COMPUTED_VALUE"""),"TBU")</f>
        <v>TBU</v>
      </c>
      <c r="N338" s="220">
        <f>IFERROR(__xludf.DUMMYFUNCTION("""COMPUTED_VALUE"""),1.0)</f>
        <v>1</v>
      </c>
      <c r="O338" s="220">
        <f>IFERROR(__xludf.DUMMYFUNCTION("""COMPUTED_VALUE"""),1.0)</f>
        <v>1</v>
      </c>
      <c r="P338" s="220"/>
      <c r="R338" s="210"/>
      <c r="S338" s="210"/>
      <c r="T338" s="210"/>
      <c r="U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row>
    <row r="339">
      <c r="A339" s="223" t="str">
        <f>IFERROR(__xludf.DUMMYFUNCTION("""COMPUTED_VALUE"""),"213975")</f>
        <v>213975</v>
      </c>
      <c r="B339" s="190" t="str">
        <f>IFERROR(__xludf.DUMMYFUNCTION("""COMPUTED_VALUE"""),"LÊ NHẬT LINH")</f>
        <v>LÊ NHẬT LINH</v>
      </c>
      <c r="C339" s="223" t="str">
        <f>IFERROR(__xludf.DUMMYFUNCTION("""COMPUTED_VALUE"""),"EL032")</f>
        <v>EL032</v>
      </c>
      <c r="D339" s="223" t="str">
        <f>IFERROR(__xludf.DUMMYFUNCTION("""COMPUTED_VALUE"""),"Tai Pham")</f>
        <v>Tai Pham</v>
      </c>
      <c r="E339" s="190" t="str">
        <f>IFERROR(__xludf.DUMMYFUNCTION("""COMPUTED_VALUE"""),"Communication 1")</f>
        <v>Communication 1</v>
      </c>
      <c r="F339" s="190" t="str">
        <f>IFERROR(__xludf.DUMMYFUNCTION("""COMPUTED_VALUE"""),"Beginner")</f>
        <v>Beginner</v>
      </c>
      <c r="G339" s="190" t="str">
        <f>IFERROR(__xludf.DUMMYFUNCTION("""COMPUTED_VALUE"""),"Pre-Intermediate 1")</f>
        <v>Pre-Intermediate 1</v>
      </c>
      <c r="H339" s="219">
        <f>IFERROR(__xludf.DUMMYFUNCTION("""COMPUTED_VALUE"""),45765.58333333333)</f>
        <v>45765.58333</v>
      </c>
      <c r="I339" s="219">
        <f>IFERROR(__xludf.DUMMYFUNCTION("""COMPUTED_VALUE"""),45765.58333333333)</f>
        <v>45765.58333</v>
      </c>
      <c r="J339" s="190">
        <f>IFERROR(__xludf.DUMMYFUNCTION("""COMPUTED_VALUE"""),1.0)</f>
        <v>1</v>
      </c>
      <c r="K339" s="190">
        <f>IFERROR(__xludf.DUMMYFUNCTION("""COMPUTED_VALUE"""),3.0)</f>
        <v>3</v>
      </c>
      <c r="L339" s="190" t="str">
        <f>IFERROR(__xludf.DUMMYFUNCTION("""COMPUTED_VALUE"""),"DEV")</f>
        <v>DEV</v>
      </c>
      <c r="M339" s="190" t="str">
        <f>IFERROR(__xludf.DUMMYFUNCTION("""COMPUTED_VALUE"""),"MOC")</f>
        <v>MOC</v>
      </c>
      <c r="N339" s="220">
        <f>IFERROR(__xludf.DUMMYFUNCTION("""COMPUTED_VALUE"""),1.0)</f>
        <v>1</v>
      </c>
      <c r="O339" s="220">
        <f>IFERROR(__xludf.DUMMYFUNCTION("""COMPUTED_VALUE"""),3.0)</f>
        <v>3</v>
      </c>
      <c r="P339" s="220"/>
      <c r="R339" s="210"/>
      <c r="S339" s="210"/>
      <c r="T339" s="210"/>
      <c r="U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row>
    <row r="340">
      <c r="A340" s="223" t="str">
        <f>IFERROR(__xludf.DUMMYFUNCTION("""COMPUTED_VALUE"""),"213889")</f>
        <v>213889</v>
      </c>
      <c r="B340" s="190" t="str">
        <f>IFERROR(__xludf.DUMMYFUNCTION("""COMPUTED_VALUE"""),"LÊ TRIỆU HUẤN")</f>
        <v>LÊ TRIỆU HUẤN</v>
      </c>
      <c r="C340" s="223" t="str">
        <f>IFERROR(__xludf.DUMMYFUNCTION("""COMPUTED_VALUE"""),"EL032")</f>
        <v>EL032</v>
      </c>
      <c r="D340" s="223" t="str">
        <f>IFERROR(__xludf.DUMMYFUNCTION("""COMPUTED_VALUE"""),"Tai Pham")</f>
        <v>Tai Pham</v>
      </c>
      <c r="E340" s="190" t="str">
        <f>IFERROR(__xludf.DUMMYFUNCTION("""COMPUTED_VALUE"""),"Communication 1")</f>
        <v>Communication 1</v>
      </c>
      <c r="F340" s="190" t="str">
        <f>IFERROR(__xludf.DUMMYFUNCTION("""COMPUTED_VALUE"""),"Beginner")</f>
        <v>Beginner</v>
      </c>
      <c r="G340" s="190" t="str">
        <f>IFERROR(__xludf.DUMMYFUNCTION("""COMPUTED_VALUE"""),"Pre-Intermediate 1")</f>
        <v>Pre-Intermediate 1</v>
      </c>
      <c r="H340" s="219">
        <f>IFERROR(__xludf.DUMMYFUNCTION("""COMPUTED_VALUE"""),45765.58333333333)</f>
        <v>45765.58333</v>
      </c>
      <c r="I340" s="219">
        <f>IFERROR(__xludf.DUMMYFUNCTION("""COMPUTED_VALUE"""),45765.58333333333)</f>
        <v>45765.58333</v>
      </c>
      <c r="J340" s="190">
        <f>IFERROR(__xludf.DUMMYFUNCTION("""COMPUTED_VALUE"""),1.0)</f>
        <v>1</v>
      </c>
      <c r="K340" s="190">
        <f>IFERROR(__xludf.DUMMYFUNCTION("""COMPUTED_VALUE"""),3.0)</f>
        <v>3</v>
      </c>
      <c r="L340" s="190" t="str">
        <f>IFERROR(__xludf.DUMMYFUNCTION("""COMPUTED_VALUE"""),"DEV")</f>
        <v>DEV</v>
      </c>
      <c r="M340" s="190" t="str">
        <f>IFERROR(__xludf.DUMMYFUNCTION("""COMPUTED_VALUE"""),"MOC")</f>
        <v>MOC</v>
      </c>
      <c r="N340" s="220">
        <f>IFERROR(__xludf.DUMMYFUNCTION("""COMPUTED_VALUE"""),1.0)</f>
        <v>1</v>
      </c>
      <c r="O340" s="220">
        <f>IFERROR(__xludf.DUMMYFUNCTION("""COMPUTED_VALUE"""),5.0)</f>
        <v>5</v>
      </c>
      <c r="P340" s="220"/>
      <c r="R340" s="210"/>
      <c r="S340" s="210"/>
      <c r="T340" s="210"/>
      <c r="U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row>
    <row r="341">
      <c r="A341" s="223" t="str">
        <f>IFERROR(__xludf.DUMMYFUNCTION("""COMPUTED_VALUE"""),"247054")</f>
        <v>247054</v>
      </c>
      <c r="B341" s="190" t="str">
        <f>IFERROR(__xludf.DUMMYFUNCTION("""COMPUTED_VALUE"""),"NGUYỄN DOÃN NAM")</f>
        <v>NGUYỄN DOÃN NAM</v>
      </c>
      <c r="C341" s="223" t="str">
        <f>IFERROR(__xludf.DUMMYFUNCTION("""COMPUTED_VALUE"""),"EL032")</f>
        <v>EL032</v>
      </c>
      <c r="D341" s="223" t="str">
        <f>IFERROR(__xludf.DUMMYFUNCTION("""COMPUTED_VALUE"""),"Tai Pham")</f>
        <v>Tai Pham</v>
      </c>
      <c r="E341" s="190" t="str">
        <f>IFERROR(__xludf.DUMMYFUNCTION("""COMPUTED_VALUE"""),"Communication 1")</f>
        <v>Communication 1</v>
      </c>
      <c r="F341" s="190" t="str">
        <f>IFERROR(__xludf.DUMMYFUNCTION("""COMPUTED_VALUE"""),"Beginner")</f>
        <v>Beginner</v>
      </c>
      <c r="G341" s="190" t="str">
        <f>IFERROR(__xludf.DUMMYFUNCTION("""COMPUTED_VALUE"""),"Beginner")</f>
        <v>Beginner</v>
      </c>
      <c r="H341" s="219">
        <f>IFERROR(__xludf.DUMMYFUNCTION("""COMPUTED_VALUE"""),45765.58333333333)</f>
        <v>45765.58333</v>
      </c>
      <c r="I341" s="219">
        <f>IFERROR(__xludf.DUMMYFUNCTION("""COMPUTED_VALUE"""),45765.58333333333)</f>
        <v>45765.58333</v>
      </c>
      <c r="J341" s="190">
        <f>IFERROR(__xludf.DUMMYFUNCTION("""COMPUTED_VALUE"""),1.0)</f>
        <v>1</v>
      </c>
      <c r="K341" s="190">
        <f>IFERROR(__xludf.DUMMYFUNCTION("""COMPUTED_VALUE"""),1.0)</f>
        <v>1</v>
      </c>
      <c r="L341" s="190" t="str">
        <f>IFERROR(__xludf.DUMMYFUNCTION("""COMPUTED_VALUE"""),"DEV")</f>
        <v>DEV</v>
      </c>
      <c r="M341" s="190" t="str">
        <f>IFERROR(__xludf.DUMMYFUNCTION("""COMPUTED_VALUE"""),"MOC")</f>
        <v>MOC</v>
      </c>
      <c r="N341" s="220">
        <f>IFERROR(__xludf.DUMMYFUNCTION("""COMPUTED_VALUE"""),1.0)</f>
        <v>1</v>
      </c>
      <c r="O341" s="220">
        <f>IFERROR(__xludf.DUMMYFUNCTION("""COMPUTED_VALUE"""),1.0)</f>
        <v>1</v>
      </c>
      <c r="P341" s="220"/>
      <c r="R341" s="210"/>
      <c r="S341" s="210"/>
      <c r="T341" s="210"/>
      <c r="U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row>
    <row r="342">
      <c r="A342" s="223" t="str">
        <f>IFERROR(__xludf.DUMMYFUNCTION("""COMPUTED_VALUE"""),"213808")</f>
        <v>213808</v>
      </c>
      <c r="B342" s="190" t="str">
        <f>IFERROR(__xludf.DUMMYFUNCTION("""COMPUTED_VALUE"""),"PHẠM HỒNG THIÊN TÀI")</f>
        <v>PHẠM HỒNG THIÊN TÀI</v>
      </c>
      <c r="C342" s="223" t="str">
        <f>IFERROR(__xludf.DUMMYFUNCTION("""COMPUTED_VALUE"""),"EL032")</f>
        <v>EL032</v>
      </c>
      <c r="D342" s="223" t="str">
        <f>IFERROR(__xludf.DUMMYFUNCTION("""COMPUTED_VALUE"""),"Tai Pham")</f>
        <v>Tai Pham</v>
      </c>
      <c r="E342" s="190" t="str">
        <f>IFERROR(__xludf.DUMMYFUNCTION("""COMPUTED_VALUE"""),"Communication 2")</f>
        <v>Communication 2</v>
      </c>
      <c r="F342" s="190" t="str">
        <f>IFERROR(__xludf.DUMMYFUNCTION("""COMPUTED_VALUE"""),"Beginner")</f>
        <v>Beginner</v>
      </c>
      <c r="G342" s="190" t="str">
        <f>IFERROR(__xludf.DUMMYFUNCTION("""COMPUTED_VALUE"""),"Pre-Intermediate 1")</f>
        <v>Pre-Intermediate 1</v>
      </c>
      <c r="H342" s="219">
        <f>IFERROR(__xludf.DUMMYFUNCTION("""COMPUTED_VALUE"""),45881.54166666667)</f>
        <v>45881.54167</v>
      </c>
      <c r="I342" s="219">
        <f>IFERROR(__xludf.DUMMYFUNCTION("""COMPUTED_VALUE"""),45765.58333333333)</f>
        <v>45765.58333</v>
      </c>
      <c r="J342" s="190">
        <f>IFERROR(__xludf.DUMMYFUNCTION("""COMPUTED_VALUE"""),1.0)</f>
        <v>1</v>
      </c>
      <c r="K342" s="190">
        <f>IFERROR(__xludf.DUMMYFUNCTION("""COMPUTED_VALUE"""),3.0)</f>
        <v>3</v>
      </c>
      <c r="L342" s="190" t="str">
        <f>IFERROR(__xludf.DUMMYFUNCTION("""COMPUTED_VALUE"""),"DEV")</f>
        <v>DEV</v>
      </c>
      <c r="M342" s="190" t="str">
        <f>IFERROR(__xludf.DUMMYFUNCTION("""COMPUTED_VALUE"""),"MOC")</f>
        <v>MOC</v>
      </c>
      <c r="N342" s="220">
        <f>IFERROR(__xludf.DUMMYFUNCTION("""COMPUTED_VALUE"""),1.0)</f>
        <v>1</v>
      </c>
      <c r="O342" s="220">
        <f>IFERROR(__xludf.DUMMYFUNCTION("""COMPUTED_VALUE"""),3.0)</f>
        <v>3</v>
      </c>
      <c r="P342" s="220"/>
      <c r="R342" s="210"/>
      <c r="S342" s="210"/>
      <c r="T342" s="210"/>
      <c r="U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row>
    <row r="343">
      <c r="A343" s="223" t="str">
        <f>IFERROR(__xludf.DUMMYFUNCTION("""COMPUTED_VALUE"""),"193536")</f>
        <v>193536</v>
      </c>
      <c r="B343" s="190" t="str">
        <f>IFERROR(__xludf.DUMMYFUNCTION("""COMPUTED_VALUE"""),"LÊ MINH PHƯỚC")</f>
        <v>LÊ MINH PHƯỚC</v>
      </c>
      <c r="C343" s="223" t="str">
        <f>IFERROR(__xludf.DUMMYFUNCTION("""COMPUTED_VALUE"""),"EL032")</f>
        <v>EL032</v>
      </c>
      <c r="D343" s="223" t="str">
        <f>IFERROR(__xludf.DUMMYFUNCTION("""COMPUTED_VALUE"""),"Tai Pham")</f>
        <v>Tai Pham</v>
      </c>
      <c r="E343" s="190" t="str">
        <f>IFERROR(__xludf.DUMMYFUNCTION("""COMPUTED_VALUE"""),"Communication 2")</f>
        <v>Communication 2</v>
      </c>
      <c r="F343" s="190" t="str">
        <f>IFERROR(__xludf.DUMMYFUNCTION("""COMPUTED_VALUE"""),"Beginner")</f>
        <v>Beginner</v>
      </c>
      <c r="G343" s="190"/>
      <c r="H343" s="219">
        <f>IFERROR(__xludf.DUMMYFUNCTION("""COMPUTED_VALUE"""),45881.54166666667)</f>
        <v>45881.54167</v>
      </c>
      <c r="I343" s="219">
        <f>IFERROR(__xludf.DUMMYFUNCTION("""COMPUTED_VALUE"""),45765.58333333333)</f>
        <v>45765.58333</v>
      </c>
      <c r="J343" s="190">
        <f>IFERROR(__xludf.DUMMYFUNCTION("""COMPUTED_VALUE"""),1.0)</f>
        <v>1</v>
      </c>
      <c r="K343" s="190" t="str">
        <f>IFERROR(__xludf.DUMMYFUNCTION("""COMPUTED_VALUE"""),"")</f>
        <v/>
      </c>
      <c r="L343" s="190" t="str">
        <f>IFERROR(__xludf.DUMMYFUNCTION("""COMPUTED_VALUE"""),"DEV")</f>
        <v>DEV</v>
      </c>
      <c r="M343" s="190" t="str">
        <f>IFERROR(__xludf.DUMMYFUNCTION("""COMPUTED_VALUE"""),"TBU")</f>
        <v>TBU</v>
      </c>
      <c r="N343" s="220">
        <f>IFERROR(__xludf.DUMMYFUNCTION("""COMPUTED_VALUE"""),1.0)</f>
        <v>1</v>
      </c>
      <c r="O343" s="220">
        <f>IFERROR(__xludf.DUMMYFUNCTION("""COMPUTED_VALUE"""),1.0)</f>
        <v>1</v>
      </c>
      <c r="P343" s="220"/>
      <c r="R343" s="210"/>
      <c r="S343" s="210"/>
      <c r="T343" s="210"/>
      <c r="U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row>
    <row r="344">
      <c r="A344" s="223" t="str">
        <f>IFERROR(__xludf.DUMMYFUNCTION("""COMPUTED_VALUE"""),"213975")</f>
        <v>213975</v>
      </c>
      <c r="B344" s="190" t="str">
        <f>IFERROR(__xludf.DUMMYFUNCTION("""COMPUTED_VALUE"""),"LÊ NHẬT LINH")</f>
        <v>LÊ NHẬT LINH</v>
      </c>
      <c r="C344" s="223" t="str">
        <f>IFERROR(__xludf.DUMMYFUNCTION("""COMPUTED_VALUE"""),"EL032")</f>
        <v>EL032</v>
      </c>
      <c r="D344" s="223" t="str">
        <f>IFERROR(__xludf.DUMMYFUNCTION("""COMPUTED_VALUE"""),"Tai Pham")</f>
        <v>Tai Pham</v>
      </c>
      <c r="E344" s="190" t="str">
        <f>IFERROR(__xludf.DUMMYFUNCTION("""COMPUTED_VALUE"""),"Communication 2")</f>
        <v>Communication 2</v>
      </c>
      <c r="F344" s="190" t="str">
        <f>IFERROR(__xludf.DUMMYFUNCTION("""COMPUTED_VALUE"""),"Pre-Intermediate 1")</f>
        <v>Pre-Intermediate 1</v>
      </c>
      <c r="G344" s="190"/>
      <c r="H344" s="219">
        <f>IFERROR(__xludf.DUMMYFUNCTION("""COMPUTED_VALUE"""),45881.54166666667)</f>
        <v>45881.54167</v>
      </c>
      <c r="I344" s="219">
        <f>IFERROR(__xludf.DUMMYFUNCTION("""COMPUTED_VALUE"""),45765.58333333333)</f>
        <v>45765.58333</v>
      </c>
      <c r="J344" s="190">
        <f>IFERROR(__xludf.DUMMYFUNCTION("""COMPUTED_VALUE"""),3.0)</f>
        <v>3</v>
      </c>
      <c r="K344" s="190" t="str">
        <f>IFERROR(__xludf.DUMMYFUNCTION("""COMPUTED_VALUE"""),"")</f>
        <v/>
      </c>
      <c r="L344" s="190" t="str">
        <f>IFERROR(__xludf.DUMMYFUNCTION("""COMPUTED_VALUE"""),"DEV")</f>
        <v>DEV</v>
      </c>
      <c r="M344" s="190" t="str">
        <f>IFERROR(__xludf.DUMMYFUNCTION("""COMPUTED_VALUE"""),"MOC")</f>
        <v>MOC</v>
      </c>
      <c r="N344" s="220">
        <f>IFERROR(__xludf.DUMMYFUNCTION("""COMPUTED_VALUE"""),1.0)</f>
        <v>1</v>
      </c>
      <c r="O344" s="220">
        <f>IFERROR(__xludf.DUMMYFUNCTION("""COMPUTED_VALUE"""),3.0)</f>
        <v>3</v>
      </c>
      <c r="P344" s="220"/>
      <c r="R344" s="210"/>
      <c r="S344" s="210"/>
      <c r="T344" s="210"/>
      <c r="U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row>
    <row r="345">
      <c r="A345" s="223" t="str">
        <f>IFERROR(__xludf.DUMMYFUNCTION("""COMPUTED_VALUE"""),"213889")</f>
        <v>213889</v>
      </c>
      <c r="B345" s="190" t="str">
        <f>IFERROR(__xludf.DUMMYFUNCTION("""COMPUTED_VALUE"""),"LÊ TRIỆU HUẤN")</f>
        <v>LÊ TRIỆU HUẤN</v>
      </c>
      <c r="C345" s="223" t="str">
        <f>IFERROR(__xludf.DUMMYFUNCTION("""COMPUTED_VALUE"""),"EL032")</f>
        <v>EL032</v>
      </c>
      <c r="D345" s="223" t="str">
        <f>IFERROR(__xludf.DUMMYFUNCTION("""COMPUTED_VALUE"""),"Tai Pham")</f>
        <v>Tai Pham</v>
      </c>
      <c r="E345" s="190" t="str">
        <f>IFERROR(__xludf.DUMMYFUNCTION("""COMPUTED_VALUE"""),"Communication 2")</f>
        <v>Communication 2</v>
      </c>
      <c r="F345" s="190" t="str">
        <f>IFERROR(__xludf.DUMMYFUNCTION("""COMPUTED_VALUE"""),"Pre-Intermediate 1")</f>
        <v>Pre-Intermediate 1</v>
      </c>
      <c r="G345" s="190" t="str">
        <f>IFERROR(__xludf.DUMMYFUNCTION("""COMPUTED_VALUE"""),"Intermediate 1")</f>
        <v>Intermediate 1</v>
      </c>
      <c r="H345" s="219">
        <f>IFERROR(__xludf.DUMMYFUNCTION("""COMPUTED_VALUE"""),45881.54166666667)</f>
        <v>45881.54167</v>
      </c>
      <c r="I345" s="219">
        <f>IFERROR(__xludf.DUMMYFUNCTION("""COMPUTED_VALUE"""),45765.58333333333)</f>
        <v>45765.58333</v>
      </c>
      <c r="J345" s="190">
        <f>IFERROR(__xludf.DUMMYFUNCTION("""COMPUTED_VALUE"""),3.0)</f>
        <v>3</v>
      </c>
      <c r="K345" s="190">
        <f>IFERROR(__xludf.DUMMYFUNCTION("""COMPUTED_VALUE"""),5.0)</f>
        <v>5</v>
      </c>
      <c r="L345" s="190" t="str">
        <f>IFERROR(__xludf.DUMMYFUNCTION("""COMPUTED_VALUE"""),"DEV")</f>
        <v>DEV</v>
      </c>
      <c r="M345" s="190" t="str">
        <f>IFERROR(__xludf.DUMMYFUNCTION("""COMPUTED_VALUE"""),"MOC")</f>
        <v>MOC</v>
      </c>
      <c r="N345" s="220">
        <f>IFERROR(__xludf.DUMMYFUNCTION("""COMPUTED_VALUE"""),1.0)</f>
        <v>1</v>
      </c>
      <c r="O345" s="220">
        <f>IFERROR(__xludf.DUMMYFUNCTION("""COMPUTED_VALUE"""),5.0)</f>
        <v>5</v>
      </c>
      <c r="P345" s="220"/>
      <c r="R345" s="210"/>
      <c r="S345" s="210"/>
      <c r="T345" s="210"/>
      <c r="U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row>
    <row r="346">
      <c r="A346" s="223" t="str">
        <f>IFERROR(__xludf.DUMMYFUNCTION("""COMPUTED_VALUE"""),"163188")</f>
        <v>163188</v>
      </c>
      <c r="B346" s="190" t="str">
        <f>IFERROR(__xludf.DUMMYFUNCTION("""COMPUTED_VALUE"""),"LƯƠNG CÔNG KỲ")</f>
        <v>LƯƠNG CÔNG KỲ</v>
      </c>
      <c r="C346" s="223" t="str">
        <f>IFERROR(__xludf.DUMMYFUNCTION("""COMPUTED_VALUE"""),"EL032")</f>
        <v>EL032</v>
      </c>
      <c r="D346" s="223" t="str">
        <f>IFERROR(__xludf.DUMMYFUNCTION("""COMPUTED_VALUE"""),"Tai Pham")</f>
        <v>Tai Pham</v>
      </c>
      <c r="E346" s="190" t="str">
        <f>IFERROR(__xludf.DUMMYFUNCTION("""COMPUTED_VALUE"""),"Communication 2")</f>
        <v>Communication 2</v>
      </c>
      <c r="F346" s="190" t="str">
        <f>IFERROR(__xludf.DUMMYFUNCTION("""COMPUTED_VALUE"""),"Beginner 2")</f>
        <v>Beginner 2</v>
      </c>
      <c r="G346" s="190" t="str">
        <f>IFERROR(__xludf.DUMMYFUNCTION("""COMPUTED_VALUE"""),"Intermediate 1")</f>
        <v>Intermediate 1</v>
      </c>
      <c r="H346" s="219">
        <f>IFERROR(__xludf.DUMMYFUNCTION("""COMPUTED_VALUE"""),45881.54166666667)</f>
        <v>45881.54167</v>
      </c>
      <c r="I346" s="219">
        <f>IFERROR(__xludf.DUMMYFUNCTION("""COMPUTED_VALUE"""),45765.375)</f>
        <v>45765.375</v>
      </c>
      <c r="J346" s="190">
        <f>IFERROR(__xludf.DUMMYFUNCTION("""COMPUTED_VALUE"""),1.5)</f>
        <v>1.5</v>
      </c>
      <c r="K346" s="190">
        <f>IFERROR(__xludf.DUMMYFUNCTION("""COMPUTED_VALUE"""),5.0)</f>
        <v>5</v>
      </c>
      <c r="L346" s="190" t="str">
        <f>IFERROR(__xludf.DUMMYFUNCTION("""COMPUTED_VALUE"""),"DEV")</f>
        <v>DEV</v>
      </c>
      <c r="M346" s="190" t="str">
        <f>IFERROR(__xludf.DUMMYFUNCTION("""COMPUTED_VALUE"""),"MOC")</f>
        <v>MOC</v>
      </c>
      <c r="N346" s="220">
        <f>IFERROR(__xludf.DUMMYFUNCTION("""COMPUTED_VALUE"""),1.0)</f>
        <v>1</v>
      </c>
      <c r="O346" s="220">
        <f>IFERROR(__xludf.DUMMYFUNCTION("""COMPUTED_VALUE"""),5.0)</f>
        <v>5</v>
      </c>
      <c r="P346" s="220"/>
      <c r="R346" s="210"/>
      <c r="S346" s="210"/>
      <c r="T346" s="210"/>
      <c r="U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row>
    <row r="347">
      <c r="A347" s="223" t="str">
        <f>IFERROR(__xludf.DUMMYFUNCTION("""COMPUTED_VALUE"""),"237157")</f>
        <v>237157</v>
      </c>
      <c r="B347" s="190" t="str">
        <f>IFERROR(__xludf.DUMMYFUNCTION("""COMPUTED_VALUE"""),"NGUYỄN BÁ NGỌC")</f>
        <v>NGUYỄN BÁ NGỌC</v>
      </c>
      <c r="C347" s="223" t="str">
        <f>IFERROR(__xludf.DUMMYFUNCTION("""COMPUTED_VALUE"""),"EL032")</f>
        <v>EL032</v>
      </c>
      <c r="D347" s="223" t="str">
        <f>IFERROR(__xludf.DUMMYFUNCTION("""COMPUTED_VALUE"""),"Tai Pham")</f>
        <v>Tai Pham</v>
      </c>
      <c r="E347" s="190" t="str">
        <f>IFERROR(__xludf.DUMMYFUNCTION("""COMPUTED_VALUE"""),"Communication 2")</f>
        <v>Communication 2</v>
      </c>
      <c r="F347" s="190" t="str">
        <f>IFERROR(__xludf.DUMMYFUNCTION("""COMPUTED_VALUE"""),"Pre-Intermediate 1")</f>
        <v>Pre-Intermediate 1</v>
      </c>
      <c r="G347" s="190" t="str">
        <f>IFERROR(__xludf.DUMMYFUNCTION("""COMPUTED_VALUE"""),"Intermediate 1")</f>
        <v>Intermediate 1</v>
      </c>
      <c r="H347" s="219">
        <f>IFERROR(__xludf.DUMMYFUNCTION("""COMPUTED_VALUE"""),45881.54166666667)</f>
        <v>45881.54167</v>
      </c>
      <c r="I347" s="219">
        <f>IFERROR(__xludf.DUMMYFUNCTION("""COMPUTED_VALUE"""),45765.375)</f>
        <v>45765.375</v>
      </c>
      <c r="J347" s="190">
        <f>IFERROR(__xludf.DUMMYFUNCTION("""COMPUTED_VALUE"""),3.0)</f>
        <v>3</v>
      </c>
      <c r="K347" s="190">
        <f>IFERROR(__xludf.DUMMYFUNCTION("""COMPUTED_VALUE"""),5.0)</f>
        <v>5</v>
      </c>
      <c r="L347" s="190" t="str">
        <f>IFERROR(__xludf.DUMMYFUNCTION("""COMPUTED_VALUE"""),"DEV")</f>
        <v>DEV</v>
      </c>
      <c r="M347" s="190" t="str">
        <f>IFERROR(__xludf.DUMMYFUNCTION("""COMPUTED_VALUE"""),"MOC")</f>
        <v>MOC</v>
      </c>
      <c r="N347" s="220">
        <f>IFERROR(__xludf.DUMMYFUNCTION("""COMPUTED_VALUE"""),1.0)</f>
        <v>1</v>
      </c>
      <c r="O347" s="220">
        <f>IFERROR(__xludf.DUMMYFUNCTION("""COMPUTED_VALUE"""),5.0)</f>
        <v>5</v>
      </c>
      <c r="P347" s="220"/>
      <c r="R347" s="210"/>
      <c r="S347" s="210"/>
      <c r="T347" s="210"/>
      <c r="U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row>
    <row r="348">
      <c r="A348" s="223" t="str">
        <f>IFERROR(__xludf.DUMMYFUNCTION("""COMPUTED_VALUE"""),"247203")</f>
        <v>247203</v>
      </c>
      <c r="B348" s="190" t="str">
        <f>IFERROR(__xludf.DUMMYFUNCTION("""COMPUTED_VALUE"""),"PHAN HUY NHÂN")</f>
        <v>PHAN HUY NHÂN</v>
      </c>
      <c r="C348" s="223" t="str">
        <f>IFERROR(__xludf.DUMMYFUNCTION("""COMPUTED_VALUE"""),"EL032")</f>
        <v>EL032</v>
      </c>
      <c r="D348" s="223" t="str">
        <f>IFERROR(__xludf.DUMMYFUNCTION("""COMPUTED_VALUE"""),"Tai Pham")</f>
        <v>Tai Pham</v>
      </c>
      <c r="E348" s="190" t="str">
        <f>IFERROR(__xludf.DUMMYFUNCTION("""COMPUTED_VALUE"""),"Communication 2")</f>
        <v>Communication 2</v>
      </c>
      <c r="F348" s="190" t="str">
        <f>IFERROR(__xludf.DUMMYFUNCTION("""COMPUTED_VALUE"""),"Pre-Intermediate 1")</f>
        <v>Pre-Intermediate 1</v>
      </c>
      <c r="G348" s="190" t="str">
        <f>IFERROR(__xludf.DUMMYFUNCTION("""COMPUTED_VALUE"""),"Pre-Intermediate 2")</f>
        <v>Pre-Intermediate 2</v>
      </c>
      <c r="H348" s="219">
        <f>IFERROR(__xludf.DUMMYFUNCTION("""COMPUTED_VALUE"""),45881.54166666667)</f>
        <v>45881.54167</v>
      </c>
      <c r="I348" s="219">
        <f>IFERROR(__xludf.DUMMYFUNCTION("""COMPUTED_VALUE"""),45765.375)</f>
        <v>45765.375</v>
      </c>
      <c r="J348" s="190">
        <f>IFERROR(__xludf.DUMMYFUNCTION("""COMPUTED_VALUE"""),3.0)</f>
        <v>3</v>
      </c>
      <c r="K348" s="190">
        <f>IFERROR(__xludf.DUMMYFUNCTION("""COMPUTED_VALUE"""),3.5)</f>
        <v>3.5</v>
      </c>
      <c r="L348" s="190" t="str">
        <f>IFERROR(__xludf.DUMMYFUNCTION("""COMPUTED_VALUE"""),"DEV")</f>
        <v>DEV</v>
      </c>
      <c r="M348" s="190" t="str">
        <f>IFERROR(__xludf.DUMMYFUNCTION("""COMPUTED_VALUE"""),"MOC")</f>
        <v>MOC</v>
      </c>
      <c r="N348" s="220">
        <f>IFERROR(__xludf.DUMMYFUNCTION("""COMPUTED_VALUE"""),1.0)</f>
        <v>1</v>
      </c>
      <c r="O348" s="220">
        <f>IFERROR(__xludf.DUMMYFUNCTION("""COMPUTED_VALUE"""),3.5)</f>
        <v>3.5</v>
      </c>
      <c r="P348" s="220"/>
      <c r="R348" s="210"/>
      <c r="S348" s="210"/>
      <c r="T348" s="210"/>
      <c r="U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row>
    <row r="349">
      <c r="A349" s="223" t="str">
        <f>IFERROR(__xludf.DUMMYFUNCTION("""COMPUTED_VALUE"""),"237196")</f>
        <v>237196</v>
      </c>
      <c r="B349" s="190" t="str">
        <f>IFERROR(__xludf.DUMMYFUNCTION("""COMPUTED_VALUE"""),"VÕ CHÍ THIỆN")</f>
        <v>VÕ CHÍ THIỆN</v>
      </c>
      <c r="C349" s="223" t="str">
        <f>IFERROR(__xludf.DUMMYFUNCTION("""COMPUTED_VALUE"""),"EL032")</f>
        <v>EL032</v>
      </c>
      <c r="D349" s="223" t="str">
        <f>IFERROR(__xludf.DUMMYFUNCTION("""COMPUTED_VALUE"""),"Tai Pham")</f>
        <v>Tai Pham</v>
      </c>
      <c r="E349" s="190" t="str">
        <f>IFERROR(__xludf.DUMMYFUNCTION("""COMPUTED_VALUE"""),"Communication 2")</f>
        <v>Communication 2</v>
      </c>
      <c r="F349" s="190" t="str">
        <f>IFERROR(__xludf.DUMMYFUNCTION("""COMPUTED_VALUE"""),"Pre-Intermediate 1")</f>
        <v>Pre-Intermediate 1</v>
      </c>
      <c r="G349" s="190" t="str">
        <f>IFERROR(__xludf.DUMMYFUNCTION("""COMPUTED_VALUE"""),"Pre-Intermediate 2")</f>
        <v>Pre-Intermediate 2</v>
      </c>
      <c r="H349" s="219">
        <f>IFERROR(__xludf.DUMMYFUNCTION("""COMPUTED_VALUE"""),45881.54166666667)</f>
        <v>45881.54167</v>
      </c>
      <c r="I349" s="219">
        <f>IFERROR(__xludf.DUMMYFUNCTION("""COMPUTED_VALUE"""),45765.375)</f>
        <v>45765.375</v>
      </c>
      <c r="J349" s="190">
        <f>IFERROR(__xludf.DUMMYFUNCTION("""COMPUTED_VALUE"""),3.0)</f>
        <v>3</v>
      </c>
      <c r="K349" s="190">
        <f>IFERROR(__xludf.DUMMYFUNCTION("""COMPUTED_VALUE"""),3.5)</f>
        <v>3.5</v>
      </c>
      <c r="L349" s="190" t="str">
        <f>IFERROR(__xludf.DUMMYFUNCTION("""COMPUTED_VALUE"""),"DEV")</f>
        <v>DEV</v>
      </c>
      <c r="M349" s="190" t="str">
        <f>IFERROR(__xludf.DUMMYFUNCTION("""COMPUTED_VALUE"""),"MOC")</f>
        <v>MOC</v>
      </c>
      <c r="N349" s="220">
        <f>IFERROR(__xludf.DUMMYFUNCTION("""COMPUTED_VALUE"""),1.0)</f>
        <v>1</v>
      </c>
      <c r="O349" s="220">
        <f>IFERROR(__xludf.DUMMYFUNCTION("""COMPUTED_VALUE"""),3.5)</f>
        <v>3.5</v>
      </c>
      <c r="P349" s="220"/>
      <c r="R349" s="210"/>
      <c r="S349" s="210"/>
      <c r="T349" s="210"/>
      <c r="U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row>
    <row r="350">
      <c r="A350" s="223" t="str">
        <f>IFERROR(__xludf.DUMMYFUNCTION("""COMPUTED_VALUE"""),"193588")</f>
        <v>193588</v>
      </c>
      <c r="B350" s="190" t="str">
        <f>IFERROR(__xludf.DUMMYFUNCTION("""COMPUTED_VALUE"""),"HÀ TRẦN TUẤN ANH")</f>
        <v>HÀ TRẦN TUẤN ANH</v>
      </c>
      <c r="C350" s="223" t="str">
        <f>IFERROR(__xludf.DUMMYFUNCTION("""COMPUTED_VALUE"""),"EL033")</f>
        <v>EL033</v>
      </c>
      <c r="D350" s="223" t="str">
        <f>IFERROR(__xludf.DUMMYFUNCTION("""COMPUTED_VALUE"""),"Anh Ha")</f>
        <v>Anh Ha</v>
      </c>
      <c r="E350" s="190" t="str">
        <f>IFERROR(__xludf.DUMMYFUNCTION("""COMPUTED_VALUE"""),"Communication 1")</f>
        <v>Communication 1</v>
      </c>
      <c r="F350" s="190" t="str">
        <f>IFERROR(__xludf.DUMMYFUNCTION("""COMPUTED_VALUE"""),"Beginner")</f>
        <v>Beginner</v>
      </c>
      <c r="G350" s="190" t="str">
        <f>IFERROR(__xludf.DUMMYFUNCTION("""COMPUTED_VALUE"""),"Pre-Intermediate 2")</f>
        <v>Pre-Intermediate 2</v>
      </c>
      <c r="H350" s="219">
        <f>IFERROR(__xludf.DUMMYFUNCTION("""COMPUTED_VALUE"""),45764.41666666667)</f>
        <v>45764.41667</v>
      </c>
      <c r="I350" s="219">
        <f>IFERROR(__xludf.DUMMYFUNCTION("""COMPUTED_VALUE"""),45764.41666666667)</f>
        <v>45764.41667</v>
      </c>
      <c r="J350" s="190">
        <f>IFERROR(__xludf.DUMMYFUNCTION("""COMPUTED_VALUE"""),1.0)</f>
        <v>1</v>
      </c>
      <c r="K350" s="190">
        <f>IFERROR(__xludf.DUMMYFUNCTION("""COMPUTED_VALUE"""),3.5)</f>
        <v>3.5</v>
      </c>
      <c r="L350" s="190" t="str">
        <f>IFERROR(__xludf.DUMMYFUNCTION("""COMPUTED_VALUE"""),"DEV")</f>
        <v>DEV</v>
      </c>
      <c r="M350" s="190" t="str">
        <f>IFERROR(__xludf.DUMMYFUNCTION("""COMPUTED_VALUE"""),"MOC")</f>
        <v>MOC</v>
      </c>
      <c r="N350" s="220">
        <f>IFERROR(__xludf.DUMMYFUNCTION("""COMPUTED_VALUE"""),1.0)</f>
        <v>1</v>
      </c>
      <c r="O350" s="220">
        <f>IFERROR(__xludf.DUMMYFUNCTION("""COMPUTED_VALUE"""),5.0)</f>
        <v>5</v>
      </c>
      <c r="P350" s="220"/>
      <c r="R350" s="210"/>
      <c r="S350" s="210"/>
      <c r="T350" s="210"/>
      <c r="U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row>
    <row r="351">
      <c r="A351" s="223" t="str">
        <f>IFERROR(__xludf.DUMMYFUNCTION("""COMPUTED_VALUE"""),"213815")</f>
        <v>213815</v>
      </c>
      <c r="B351" s="190" t="str">
        <f>IFERROR(__xludf.DUMMYFUNCTION("""COMPUTED_VALUE"""),"HUỲNH TRẦN HẢI LONG")</f>
        <v>HUỲNH TRẦN HẢI LONG</v>
      </c>
      <c r="C351" s="223" t="str">
        <f>IFERROR(__xludf.DUMMYFUNCTION("""COMPUTED_VALUE"""),"EL033")</f>
        <v>EL033</v>
      </c>
      <c r="D351" s="223" t="str">
        <f>IFERROR(__xludf.DUMMYFUNCTION("""COMPUTED_VALUE"""),"Anh Ha")</f>
        <v>Anh Ha</v>
      </c>
      <c r="E351" s="190" t="str">
        <f>IFERROR(__xludf.DUMMYFUNCTION("""COMPUTED_VALUE"""),"Communication 1")</f>
        <v>Communication 1</v>
      </c>
      <c r="F351" s="190" t="str">
        <f>IFERROR(__xludf.DUMMYFUNCTION("""COMPUTED_VALUE"""),"Beginner")</f>
        <v>Beginner</v>
      </c>
      <c r="G351" s="190" t="str">
        <f>IFERROR(__xludf.DUMMYFUNCTION("""COMPUTED_VALUE"""),"Pre-Intermediate 1")</f>
        <v>Pre-Intermediate 1</v>
      </c>
      <c r="H351" s="219">
        <f>IFERROR(__xludf.DUMMYFUNCTION("""COMPUTED_VALUE"""),45764.41666666667)</f>
        <v>45764.41667</v>
      </c>
      <c r="I351" s="219">
        <f>IFERROR(__xludf.DUMMYFUNCTION("""COMPUTED_VALUE"""),45764.41666666667)</f>
        <v>45764.41667</v>
      </c>
      <c r="J351" s="190">
        <f>IFERROR(__xludf.DUMMYFUNCTION("""COMPUTED_VALUE"""),1.0)</f>
        <v>1</v>
      </c>
      <c r="K351" s="190">
        <f>IFERROR(__xludf.DUMMYFUNCTION("""COMPUTED_VALUE"""),3.0)</f>
        <v>3</v>
      </c>
      <c r="L351" s="190" t="str">
        <f>IFERROR(__xludf.DUMMYFUNCTION("""COMPUTED_VALUE"""),"DEV")</f>
        <v>DEV</v>
      </c>
      <c r="M351" s="190" t="str">
        <f>IFERROR(__xludf.DUMMYFUNCTION("""COMPUTED_VALUE"""),"MOC")</f>
        <v>MOC</v>
      </c>
      <c r="N351" s="220">
        <f>IFERROR(__xludf.DUMMYFUNCTION("""COMPUTED_VALUE"""),1.0)</f>
        <v>1</v>
      </c>
      <c r="O351" s="220">
        <f>IFERROR(__xludf.DUMMYFUNCTION("""COMPUTED_VALUE"""),3.0)</f>
        <v>3</v>
      </c>
      <c r="P351" s="220"/>
      <c r="R351" s="210"/>
      <c r="S351" s="210"/>
      <c r="T351" s="210"/>
      <c r="U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row>
    <row r="352">
      <c r="A352" s="223" t="str">
        <f>IFERROR(__xludf.DUMMYFUNCTION("""COMPUTED_VALUE"""),"113024")</f>
        <v>113024</v>
      </c>
      <c r="B352" s="190" t="str">
        <f>IFERROR(__xludf.DUMMYFUNCTION("""COMPUTED_VALUE"""),"LÊ VĂN SƠN")</f>
        <v>LÊ VĂN SƠN</v>
      </c>
      <c r="C352" s="223" t="str">
        <f>IFERROR(__xludf.DUMMYFUNCTION("""COMPUTED_VALUE"""),"EL033")</f>
        <v>EL033</v>
      </c>
      <c r="D352" s="223" t="str">
        <f>IFERROR(__xludf.DUMMYFUNCTION("""COMPUTED_VALUE"""),"Anh Ha")</f>
        <v>Anh Ha</v>
      </c>
      <c r="E352" s="190" t="str">
        <f>IFERROR(__xludf.DUMMYFUNCTION("""COMPUTED_VALUE"""),"Communication 1")</f>
        <v>Communication 1</v>
      </c>
      <c r="F352" s="190" t="str">
        <f>IFERROR(__xludf.DUMMYFUNCTION("""COMPUTED_VALUE"""),"Beginner")</f>
        <v>Beginner</v>
      </c>
      <c r="G352" s="190" t="str">
        <f>IFERROR(__xludf.DUMMYFUNCTION("""COMPUTED_VALUE"""),"Beginner 2")</f>
        <v>Beginner 2</v>
      </c>
      <c r="H352" s="219">
        <f>IFERROR(__xludf.DUMMYFUNCTION("""COMPUTED_VALUE"""),45764.41666666667)</f>
        <v>45764.41667</v>
      </c>
      <c r="I352" s="219">
        <f>IFERROR(__xludf.DUMMYFUNCTION("""COMPUTED_VALUE"""),45764.41666666667)</f>
        <v>45764.41667</v>
      </c>
      <c r="J352" s="190">
        <f>IFERROR(__xludf.DUMMYFUNCTION("""COMPUTED_VALUE"""),1.0)</f>
        <v>1</v>
      </c>
      <c r="K352" s="190">
        <f>IFERROR(__xludf.DUMMYFUNCTION("""COMPUTED_VALUE"""),1.5)</f>
        <v>1.5</v>
      </c>
      <c r="L352" s="190" t="str">
        <f>IFERROR(__xludf.DUMMYFUNCTION("""COMPUTED_VALUE"""),"DEV")</f>
        <v>DEV</v>
      </c>
      <c r="M352" s="190" t="str">
        <f>IFERROR(__xludf.DUMMYFUNCTION("""COMPUTED_VALUE"""),"MOC")</f>
        <v>MOC</v>
      </c>
      <c r="N352" s="220">
        <f>IFERROR(__xludf.DUMMYFUNCTION("""COMPUTED_VALUE"""),1.0)</f>
        <v>1</v>
      </c>
      <c r="O352" s="220">
        <f>IFERROR(__xludf.DUMMYFUNCTION("""COMPUTED_VALUE"""),3.0)</f>
        <v>3</v>
      </c>
      <c r="P352" s="220"/>
      <c r="R352" s="210"/>
      <c r="S352" s="210"/>
      <c r="T352" s="210"/>
      <c r="U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row>
    <row r="353">
      <c r="A353" s="223" t="str">
        <f>IFERROR(__xludf.DUMMYFUNCTION("""COMPUTED_VALUE"""),"213914")</f>
        <v>213914</v>
      </c>
      <c r="B353" s="190" t="str">
        <f>IFERROR(__xludf.DUMMYFUNCTION("""COMPUTED_VALUE"""),"NGUYỄN TẤN PHÁT")</f>
        <v>NGUYỄN TẤN PHÁT</v>
      </c>
      <c r="C353" s="223" t="str">
        <f>IFERROR(__xludf.DUMMYFUNCTION("""COMPUTED_VALUE"""),"EL033")</f>
        <v>EL033</v>
      </c>
      <c r="D353" s="223" t="str">
        <f>IFERROR(__xludf.DUMMYFUNCTION("""COMPUTED_VALUE"""),"Anh Ha")</f>
        <v>Anh Ha</v>
      </c>
      <c r="E353" s="190" t="str">
        <f>IFERROR(__xludf.DUMMYFUNCTION("""COMPUTED_VALUE"""),"Communication 1")</f>
        <v>Communication 1</v>
      </c>
      <c r="F353" s="190" t="str">
        <f>IFERROR(__xludf.DUMMYFUNCTION("""COMPUTED_VALUE"""),"Beginner")</f>
        <v>Beginner</v>
      </c>
      <c r="G353" s="190" t="str">
        <f>IFERROR(__xludf.DUMMYFUNCTION("""COMPUTED_VALUE"""),"Pre-Intermediate 1")</f>
        <v>Pre-Intermediate 1</v>
      </c>
      <c r="H353" s="219">
        <f>IFERROR(__xludf.DUMMYFUNCTION("""COMPUTED_VALUE"""),45764.41666666667)</f>
        <v>45764.41667</v>
      </c>
      <c r="I353" s="219">
        <f>IFERROR(__xludf.DUMMYFUNCTION("""COMPUTED_VALUE"""),45764.41666666667)</f>
        <v>45764.41667</v>
      </c>
      <c r="J353" s="190">
        <f>IFERROR(__xludf.DUMMYFUNCTION("""COMPUTED_VALUE"""),1.0)</f>
        <v>1</v>
      </c>
      <c r="K353" s="190">
        <f>IFERROR(__xludf.DUMMYFUNCTION("""COMPUTED_VALUE"""),3.0)</f>
        <v>3</v>
      </c>
      <c r="L353" s="190" t="str">
        <f>IFERROR(__xludf.DUMMYFUNCTION("""COMPUTED_VALUE"""),"DEV")</f>
        <v>DEV</v>
      </c>
      <c r="M353" s="190" t="str">
        <f>IFERROR(__xludf.DUMMYFUNCTION("""COMPUTED_VALUE"""),"MOC")</f>
        <v>MOC</v>
      </c>
      <c r="N353" s="220">
        <f>IFERROR(__xludf.DUMMYFUNCTION("""COMPUTED_VALUE"""),1.0)</f>
        <v>1</v>
      </c>
      <c r="O353" s="220">
        <f>IFERROR(__xludf.DUMMYFUNCTION("""COMPUTED_VALUE"""),3.5)</f>
        <v>3.5</v>
      </c>
      <c r="P353" s="220"/>
      <c r="R353" s="210"/>
      <c r="S353" s="210"/>
      <c r="T353" s="210"/>
      <c r="U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row>
    <row r="354">
      <c r="A354" s="223" t="str">
        <f>IFERROR(__xludf.DUMMYFUNCTION("""COMPUTED_VALUE"""),"213861")</f>
        <v>213861</v>
      </c>
      <c r="B354" s="190" t="str">
        <f>IFERROR(__xludf.DUMMYFUNCTION("""COMPUTED_VALUE"""),"TRẦN QUANG ĐẠO")</f>
        <v>TRẦN QUANG ĐẠO</v>
      </c>
      <c r="C354" s="223" t="str">
        <f>IFERROR(__xludf.DUMMYFUNCTION("""COMPUTED_VALUE"""),"EL033")</f>
        <v>EL033</v>
      </c>
      <c r="D354" s="223" t="str">
        <f>IFERROR(__xludf.DUMMYFUNCTION("""COMPUTED_VALUE"""),"Anh Ha")</f>
        <v>Anh Ha</v>
      </c>
      <c r="E354" s="190" t="str">
        <f>IFERROR(__xludf.DUMMYFUNCTION("""COMPUTED_VALUE"""),"Communication 1")</f>
        <v>Communication 1</v>
      </c>
      <c r="F354" s="190" t="str">
        <f>IFERROR(__xludf.DUMMYFUNCTION("""COMPUTED_VALUE"""),"Beginner")</f>
        <v>Beginner</v>
      </c>
      <c r="G354" s="190" t="str">
        <f>IFERROR(__xludf.DUMMYFUNCTION("""COMPUTED_VALUE"""),"Pre-Intermediate 1")</f>
        <v>Pre-Intermediate 1</v>
      </c>
      <c r="H354" s="219">
        <f>IFERROR(__xludf.DUMMYFUNCTION("""COMPUTED_VALUE"""),45764.41666666667)</f>
        <v>45764.41667</v>
      </c>
      <c r="I354" s="219">
        <f>IFERROR(__xludf.DUMMYFUNCTION("""COMPUTED_VALUE"""),45764.41666666667)</f>
        <v>45764.41667</v>
      </c>
      <c r="J354" s="190">
        <f>IFERROR(__xludf.DUMMYFUNCTION("""COMPUTED_VALUE"""),1.0)</f>
        <v>1</v>
      </c>
      <c r="K354" s="190">
        <f>IFERROR(__xludf.DUMMYFUNCTION("""COMPUTED_VALUE"""),3.0)</f>
        <v>3</v>
      </c>
      <c r="L354" s="190" t="str">
        <f>IFERROR(__xludf.DUMMYFUNCTION("""COMPUTED_VALUE"""),"DEV")</f>
        <v>DEV</v>
      </c>
      <c r="M354" s="190" t="str">
        <f>IFERROR(__xludf.DUMMYFUNCTION("""COMPUTED_VALUE"""),"MOC")</f>
        <v>MOC</v>
      </c>
      <c r="N354" s="220">
        <f>IFERROR(__xludf.DUMMYFUNCTION("""COMPUTED_VALUE"""),1.0)</f>
        <v>1</v>
      </c>
      <c r="O354" s="220">
        <f>IFERROR(__xludf.DUMMYFUNCTION("""COMPUTED_VALUE"""),3.0)</f>
        <v>3</v>
      </c>
      <c r="P354" s="220"/>
      <c r="R354" s="210"/>
      <c r="S354" s="210"/>
      <c r="T354" s="210"/>
      <c r="U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row>
    <row r="355">
      <c r="A355" s="223" t="str">
        <f>IFERROR(__xludf.DUMMYFUNCTION("""COMPUTED_VALUE"""),"213851")</f>
        <v>213851</v>
      </c>
      <c r="B355" s="190" t="str">
        <f>IFERROR(__xludf.DUMMYFUNCTION("""COMPUTED_VALUE"""),"TRẦN THANH ĐIỀN")</f>
        <v>TRẦN THANH ĐIỀN</v>
      </c>
      <c r="C355" s="223" t="str">
        <f>IFERROR(__xludf.DUMMYFUNCTION("""COMPUTED_VALUE"""),"EL033")</f>
        <v>EL033</v>
      </c>
      <c r="D355" s="223" t="str">
        <f>IFERROR(__xludf.DUMMYFUNCTION("""COMPUTED_VALUE"""),"Anh Ha")</f>
        <v>Anh Ha</v>
      </c>
      <c r="E355" s="190" t="str">
        <f>IFERROR(__xludf.DUMMYFUNCTION("""COMPUTED_VALUE"""),"Communication 1")</f>
        <v>Communication 1</v>
      </c>
      <c r="F355" s="190" t="str">
        <f>IFERROR(__xludf.DUMMYFUNCTION("""COMPUTED_VALUE"""),"Beginner")</f>
        <v>Beginner</v>
      </c>
      <c r="G355" s="190" t="str">
        <f>IFERROR(__xludf.DUMMYFUNCTION("""COMPUTED_VALUE"""),"Pre-Intermediate 2")</f>
        <v>Pre-Intermediate 2</v>
      </c>
      <c r="H355" s="219">
        <f>IFERROR(__xludf.DUMMYFUNCTION("""COMPUTED_VALUE"""),45764.41666666667)</f>
        <v>45764.41667</v>
      </c>
      <c r="I355" s="219">
        <f>IFERROR(__xludf.DUMMYFUNCTION("""COMPUTED_VALUE"""),45764.41666666667)</f>
        <v>45764.41667</v>
      </c>
      <c r="J355" s="190">
        <f>IFERROR(__xludf.DUMMYFUNCTION("""COMPUTED_VALUE"""),1.0)</f>
        <v>1</v>
      </c>
      <c r="K355" s="190">
        <f>IFERROR(__xludf.DUMMYFUNCTION("""COMPUTED_VALUE"""),3.5)</f>
        <v>3.5</v>
      </c>
      <c r="L355" s="190" t="str">
        <f>IFERROR(__xludf.DUMMYFUNCTION("""COMPUTED_VALUE"""),"DEV")</f>
        <v>DEV</v>
      </c>
      <c r="M355" s="190" t="str">
        <f>IFERROR(__xludf.DUMMYFUNCTION("""COMPUTED_VALUE"""),"MOC")</f>
        <v>MOC</v>
      </c>
      <c r="N355" s="220">
        <f>IFERROR(__xludf.DUMMYFUNCTION("""COMPUTED_VALUE"""),1.0)</f>
        <v>1</v>
      </c>
      <c r="O355" s="220">
        <f>IFERROR(__xludf.DUMMYFUNCTION("""COMPUTED_VALUE"""),5.0)</f>
        <v>5</v>
      </c>
      <c r="P355" s="220"/>
      <c r="R355" s="210"/>
      <c r="S355" s="210"/>
      <c r="T355" s="210"/>
      <c r="U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row>
    <row r="356">
      <c r="A356" s="223" t="str">
        <f>IFERROR(__xludf.DUMMYFUNCTION("""COMPUTED_VALUE"""),"247223")</f>
        <v>247223</v>
      </c>
      <c r="B356" s="190" t="str">
        <f>IFERROR(__xludf.DUMMYFUNCTION("""COMPUTED_VALUE"""),"TRẦN XUÂN KHOA")</f>
        <v>TRẦN XUÂN KHOA</v>
      </c>
      <c r="C356" s="223" t="str">
        <f>IFERROR(__xludf.DUMMYFUNCTION("""COMPUTED_VALUE"""),"EL033")</f>
        <v>EL033</v>
      </c>
      <c r="D356" s="223" t="str">
        <f>IFERROR(__xludf.DUMMYFUNCTION("""COMPUTED_VALUE"""),"Anh Ha")</f>
        <v>Anh Ha</v>
      </c>
      <c r="E356" s="190" t="str">
        <f>IFERROR(__xludf.DUMMYFUNCTION("""COMPUTED_VALUE"""),"Communication 1")</f>
        <v>Communication 1</v>
      </c>
      <c r="F356" s="190" t="str">
        <f>IFERROR(__xludf.DUMMYFUNCTION("""COMPUTED_VALUE"""),"Beginner")</f>
        <v>Beginner</v>
      </c>
      <c r="G356" s="190" t="str">
        <f>IFERROR(__xludf.DUMMYFUNCTION("""COMPUTED_VALUE"""),"Pre-Intermediate 2")</f>
        <v>Pre-Intermediate 2</v>
      </c>
      <c r="H356" s="219">
        <f>IFERROR(__xludf.DUMMYFUNCTION("""COMPUTED_VALUE"""),45764.41666666667)</f>
        <v>45764.41667</v>
      </c>
      <c r="I356" s="219">
        <f>IFERROR(__xludf.DUMMYFUNCTION("""COMPUTED_VALUE"""),45764.41666666667)</f>
        <v>45764.41667</v>
      </c>
      <c r="J356" s="190">
        <f>IFERROR(__xludf.DUMMYFUNCTION("""COMPUTED_VALUE"""),1.0)</f>
        <v>1</v>
      </c>
      <c r="K356" s="190">
        <f>IFERROR(__xludf.DUMMYFUNCTION("""COMPUTED_VALUE"""),3.5)</f>
        <v>3.5</v>
      </c>
      <c r="L356" s="190" t="str">
        <f>IFERROR(__xludf.DUMMYFUNCTION("""COMPUTED_VALUE"""),"DEV")</f>
        <v>DEV</v>
      </c>
      <c r="M356" s="190" t="str">
        <f>IFERROR(__xludf.DUMMYFUNCTION("""COMPUTED_VALUE"""),"MOC")</f>
        <v>MOC</v>
      </c>
      <c r="N356" s="220">
        <f>IFERROR(__xludf.DUMMYFUNCTION("""COMPUTED_VALUE"""),1.0)</f>
        <v>1</v>
      </c>
      <c r="O356" s="220">
        <f>IFERROR(__xludf.DUMMYFUNCTION("""COMPUTED_VALUE"""),3.5)</f>
        <v>3.5</v>
      </c>
      <c r="P356" s="220"/>
      <c r="R356" s="210"/>
      <c r="S356" s="210"/>
      <c r="T356" s="210"/>
      <c r="U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row>
    <row r="357">
      <c r="A357" s="223" t="str">
        <f>IFERROR(__xludf.DUMMYFUNCTION("""COMPUTED_VALUE"""),"193588")</f>
        <v>193588</v>
      </c>
      <c r="B357" s="190" t="str">
        <f>IFERROR(__xludf.DUMMYFUNCTION("""COMPUTED_VALUE"""),"HÀ TRẦN TUẤN ANH")</f>
        <v>HÀ TRẦN TUẤN ANH</v>
      </c>
      <c r="C357" s="223" t="str">
        <f>IFERROR(__xludf.DUMMYFUNCTION("""COMPUTED_VALUE"""),"EL033")</f>
        <v>EL033</v>
      </c>
      <c r="D357" s="223" t="str">
        <f>IFERROR(__xludf.DUMMYFUNCTION("""COMPUTED_VALUE"""),"Anh Ha")</f>
        <v>Anh Ha</v>
      </c>
      <c r="E357" s="190" t="str">
        <f>IFERROR(__xludf.DUMMYFUNCTION("""COMPUTED_VALUE"""),"Communication 2")</f>
        <v>Communication 2</v>
      </c>
      <c r="F357" s="190" t="str">
        <f>IFERROR(__xludf.DUMMYFUNCTION("""COMPUTED_VALUE"""),"Pre-Intermediate 2")</f>
        <v>Pre-Intermediate 2</v>
      </c>
      <c r="G357" s="190" t="str">
        <f>IFERROR(__xludf.DUMMYFUNCTION("""COMPUTED_VALUE"""),"Intermediate 1")</f>
        <v>Intermediate 1</v>
      </c>
      <c r="H357" s="219">
        <f>IFERROR(__xludf.DUMMYFUNCTION("""COMPUTED_VALUE"""),45882.41666666667)</f>
        <v>45882.41667</v>
      </c>
      <c r="I357" s="219">
        <f>IFERROR(__xludf.DUMMYFUNCTION("""COMPUTED_VALUE"""),45764.41666666667)</f>
        <v>45764.41667</v>
      </c>
      <c r="J357" s="190">
        <f>IFERROR(__xludf.DUMMYFUNCTION("""COMPUTED_VALUE"""),3.5)</f>
        <v>3.5</v>
      </c>
      <c r="K357" s="190">
        <f>IFERROR(__xludf.DUMMYFUNCTION("""COMPUTED_VALUE"""),5.0)</f>
        <v>5</v>
      </c>
      <c r="L357" s="190" t="str">
        <f>IFERROR(__xludf.DUMMYFUNCTION("""COMPUTED_VALUE"""),"DEV")</f>
        <v>DEV</v>
      </c>
      <c r="M357" s="190" t="str">
        <f>IFERROR(__xludf.DUMMYFUNCTION("""COMPUTED_VALUE"""),"MOC")</f>
        <v>MOC</v>
      </c>
      <c r="N357" s="220">
        <f>IFERROR(__xludf.DUMMYFUNCTION("""COMPUTED_VALUE"""),1.0)</f>
        <v>1</v>
      </c>
      <c r="O357" s="220">
        <f>IFERROR(__xludf.DUMMYFUNCTION("""COMPUTED_VALUE"""),5.0)</f>
        <v>5</v>
      </c>
      <c r="P357" s="220"/>
      <c r="R357" s="210"/>
      <c r="S357" s="210"/>
      <c r="T357" s="210"/>
      <c r="U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row>
    <row r="358">
      <c r="A358" s="223" t="str">
        <f>IFERROR(__xludf.DUMMYFUNCTION("""COMPUTED_VALUE"""),"193445")</f>
        <v>193445</v>
      </c>
      <c r="B358" s="190" t="str">
        <f>IFERROR(__xludf.DUMMYFUNCTION("""COMPUTED_VALUE"""),"HUỲNH THỊ BẢO YẾN")</f>
        <v>HUỲNH THỊ BẢO YẾN</v>
      </c>
      <c r="C358" s="223" t="str">
        <f>IFERROR(__xludf.DUMMYFUNCTION("""COMPUTED_VALUE"""),"EL033")</f>
        <v>EL033</v>
      </c>
      <c r="D358" s="223" t="str">
        <f>IFERROR(__xludf.DUMMYFUNCTION("""COMPUTED_VALUE"""),"Anh Ha")</f>
        <v>Anh Ha</v>
      </c>
      <c r="E358" s="190" t="str">
        <f>IFERROR(__xludf.DUMMYFUNCTION("""COMPUTED_VALUE"""),"Communication 2")</f>
        <v>Communication 2</v>
      </c>
      <c r="F358" s="190" t="str">
        <f>IFERROR(__xludf.DUMMYFUNCTION("""COMPUTED_VALUE"""),"Beginner 2")</f>
        <v>Beginner 2</v>
      </c>
      <c r="G358" s="190" t="str">
        <f>IFERROR(__xludf.DUMMYFUNCTION("""COMPUTED_VALUE"""),"Pre-Intermediate 1")</f>
        <v>Pre-Intermediate 1</v>
      </c>
      <c r="H358" s="219">
        <f>IFERROR(__xludf.DUMMYFUNCTION("""COMPUTED_VALUE"""),45882.41666666667)</f>
        <v>45882.41667</v>
      </c>
      <c r="I358" s="219">
        <f>IFERROR(__xludf.DUMMYFUNCTION("""COMPUTED_VALUE"""),45764.58333333333)</f>
        <v>45764.58333</v>
      </c>
      <c r="J358" s="190">
        <f>IFERROR(__xludf.DUMMYFUNCTION("""COMPUTED_VALUE"""),1.5)</f>
        <v>1.5</v>
      </c>
      <c r="K358" s="190">
        <f>IFERROR(__xludf.DUMMYFUNCTION("""COMPUTED_VALUE"""),3.0)</f>
        <v>3</v>
      </c>
      <c r="L358" s="190" t="str">
        <f>IFERROR(__xludf.DUMMYFUNCTION("""COMPUTED_VALUE"""),"QC")</f>
        <v>QC</v>
      </c>
      <c r="M358" s="190" t="str">
        <f>IFERROR(__xludf.DUMMYFUNCTION("""COMPUTED_VALUE"""),"MOC")</f>
        <v>MOC</v>
      </c>
      <c r="N358" s="220">
        <f>IFERROR(__xludf.DUMMYFUNCTION("""COMPUTED_VALUE"""),1.0)</f>
        <v>1</v>
      </c>
      <c r="O358" s="220">
        <f>IFERROR(__xludf.DUMMYFUNCTION("""COMPUTED_VALUE"""),3.0)</f>
        <v>3</v>
      </c>
      <c r="P358" s="220"/>
      <c r="R358" s="210"/>
      <c r="S358" s="210"/>
      <c r="T358" s="210"/>
      <c r="U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row>
    <row r="359">
      <c r="A359" s="223" t="str">
        <f>IFERROR(__xludf.DUMMYFUNCTION("""COMPUTED_VALUE"""),"213815")</f>
        <v>213815</v>
      </c>
      <c r="B359" s="190" t="str">
        <f>IFERROR(__xludf.DUMMYFUNCTION("""COMPUTED_VALUE"""),"HUỲNH TRẦN HẢI LONG")</f>
        <v>HUỲNH TRẦN HẢI LONG</v>
      </c>
      <c r="C359" s="223" t="str">
        <f>IFERROR(__xludf.DUMMYFUNCTION("""COMPUTED_VALUE"""),"EL033")</f>
        <v>EL033</v>
      </c>
      <c r="D359" s="223" t="str">
        <f>IFERROR(__xludf.DUMMYFUNCTION("""COMPUTED_VALUE"""),"Anh Ha")</f>
        <v>Anh Ha</v>
      </c>
      <c r="E359" s="190" t="str">
        <f>IFERROR(__xludf.DUMMYFUNCTION("""COMPUTED_VALUE"""),"Communication 2")</f>
        <v>Communication 2</v>
      </c>
      <c r="F359" s="190" t="str">
        <f>IFERROR(__xludf.DUMMYFUNCTION("""COMPUTED_VALUE"""),"Beginner")</f>
        <v>Beginner</v>
      </c>
      <c r="G359" s="190" t="str">
        <f>IFERROR(__xludf.DUMMYFUNCTION("""COMPUTED_VALUE"""),"Pre-Intermediate 1")</f>
        <v>Pre-Intermediate 1</v>
      </c>
      <c r="H359" s="219">
        <f>IFERROR(__xludf.DUMMYFUNCTION("""COMPUTED_VALUE"""),45882.41666666667)</f>
        <v>45882.41667</v>
      </c>
      <c r="I359" s="219">
        <f>IFERROR(__xludf.DUMMYFUNCTION("""COMPUTED_VALUE"""),45764.41666666667)</f>
        <v>45764.41667</v>
      </c>
      <c r="J359" s="190">
        <f>IFERROR(__xludf.DUMMYFUNCTION("""COMPUTED_VALUE"""),1.0)</f>
        <v>1</v>
      </c>
      <c r="K359" s="190">
        <f>IFERROR(__xludf.DUMMYFUNCTION("""COMPUTED_VALUE"""),3.0)</f>
        <v>3</v>
      </c>
      <c r="L359" s="190" t="str">
        <f>IFERROR(__xludf.DUMMYFUNCTION("""COMPUTED_VALUE"""),"DEV")</f>
        <v>DEV</v>
      </c>
      <c r="M359" s="190" t="str">
        <f>IFERROR(__xludf.DUMMYFUNCTION("""COMPUTED_VALUE"""),"MOC")</f>
        <v>MOC</v>
      </c>
      <c r="N359" s="220">
        <f>IFERROR(__xludf.DUMMYFUNCTION("""COMPUTED_VALUE"""),1.0)</f>
        <v>1</v>
      </c>
      <c r="O359" s="220">
        <f>IFERROR(__xludf.DUMMYFUNCTION("""COMPUTED_VALUE"""),3.0)</f>
        <v>3</v>
      </c>
      <c r="P359" s="220"/>
      <c r="R359" s="210"/>
      <c r="S359" s="210"/>
      <c r="T359" s="210"/>
      <c r="U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row>
    <row r="360">
      <c r="A360" s="223" t="str">
        <f>IFERROR(__xludf.DUMMYFUNCTION("""COMPUTED_VALUE"""),"113024")</f>
        <v>113024</v>
      </c>
      <c r="B360" s="190" t="str">
        <f>IFERROR(__xludf.DUMMYFUNCTION("""COMPUTED_VALUE"""),"LÊ VĂN SƠN")</f>
        <v>LÊ VĂN SƠN</v>
      </c>
      <c r="C360" s="223" t="str">
        <f>IFERROR(__xludf.DUMMYFUNCTION("""COMPUTED_VALUE"""),"EL033")</f>
        <v>EL033</v>
      </c>
      <c r="D360" s="223" t="str">
        <f>IFERROR(__xludf.DUMMYFUNCTION("""COMPUTED_VALUE"""),"Anh Ha")</f>
        <v>Anh Ha</v>
      </c>
      <c r="E360" s="190" t="str">
        <f>IFERROR(__xludf.DUMMYFUNCTION("""COMPUTED_VALUE"""),"Communication 2")</f>
        <v>Communication 2</v>
      </c>
      <c r="F360" s="190" t="str">
        <f>IFERROR(__xludf.DUMMYFUNCTION("""COMPUTED_VALUE"""),"Beginner 2")</f>
        <v>Beginner 2</v>
      </c>
      <c r="G360" s="190" t="str">
        <f>IFERROR(__xludf.DUMMYFUNCTION("""COMPUTED_VALUE"""),"Pre-Intermediate 1")</f>
        <v>Pre-Intermediate 1</v>
      </c>
      <c r="H360" s="219">
        <f>IFERROR(__xludf.DUMMYFUNCTION("""COMPUTED_VALUE"""),45882.41666666667)</f>
        <v>45882.41667</v>
      </c>
      <c r="I360" s="219">
        <f>IFERROR(__xludf.DUMMYFUNCTION("""COMPUTED_VALUE"""),45764.41666666667)</f>
        <v>45764.41667</v>
      </c>
      <c r="J360" s="190">
        <f>IFERROR(__xludf.DUMMYFUNCTION("""COMPUTED_VALUE"""),1.5)</f>
        <v>1.5</v>
      </c>
      <c r="K360" s="190">
        <f>IFERROR(__xludf.DUMMYFUNCTION("""COMPUTED_VALUE"""),3.0)</f>
        <v>3</v>
      </c>
      <c r="L360" s="190" t="str">
        <f>IFERROR(__xludf.DUMMYFUNCTION("""COMPUTED_VALUE"""),"DEV")</f>
        <v>DEV</v>
      </c>
      <c r="M360" s="190" t="str">
        <f>IFERROR(__xludf.DUMMYFUNCTION("""COMPUTED_VALUE"""),"MOC")</f>
        <v>MOC</v>
      </c>
      <c r="N360" s="220">
        <f>IFERROR(__xludf.DUMMYFUNCTION("""COMPUTED_VALUE"""),1.0)</f>
        <v>1</v>
      </c>
      <c r="O360" s="220">
        <f>IFERROR(__xludf.DUMMYFUNCTION("""COMPUTED_VALUE"""),3.0)</f>
        <v>3</v>
      </c>
      <c r="P360" s="220"/>
      <c r="R360" s="210"/>
      <c r="S360" s="210"/>
      <c r="T360" s="210"/>
      <c r="U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row>
    <row r="361">
      <c r="A361" s="223" t="str">
        <f>IFERROR(__xludf.DUMMYFUNCTION("""COMPUTED_VALUE"""),"213914")</f>
        <v>213914</v>
      </c>
      <c r="B361" s="190" t="str">
        <f>IFERROR(__xludf.DUMMYFUNCTION("""COMPUTED_VALUE"""),"NGUYỄN TẤN PHÁT")</f>
        <v>NGUYỄN TẤN PHÁT</v>
      </c>
      <c r="C361" s="223" t="str">
        <f>IFERROR(__xludf.DUMMYFUNCTION("""COMPUTED_VALUE"""),"EL033")</f>
        <v>EL033</v>
      </c>
      <c r="D361" s="223" t="str">
        <f>IFERROR(__xludf.DUMMYFUNCTION("""COMPUTED_VALUE"""),"Anh Ha")</f>
        <v>Anh Ha</v>
      </c>
      <c r="E361" s="190" t="str">
        <f>IFERROR(__xludf.DUMMYFUNCTION("""COMPUTED_VALUE"""),"Communication 2")</f>
        <v>Communication 2</v>
      </c>
      <c r="F361" s="190" t="str">
        <f>IFERROR(__xludf.DUMMYFUNCTION("""COMPUTED_VALUE"""),"Pre-Intermediate 1")</f>
        <v>Pre-Intermediate 1</v>
      </c>
      <c r="G361" s="190" t="str">
        <f>IFERROR(__xludf.DUMMYFUNCTION("""COMPUTED_VALUE"""),"Pre-Intermediate 2")</f>
        <v>Pre-Intermediate 2</v>
      </c>
      <c r="H361" s="219">
        <f>IFERROR(__xludf.DUMMYFUNCTION("""COMPUTED_VALUE"""),45882.41666666667)</f>
        <v>45882.41667</v>
      </c>
      <c r="I361" s="219">
        <f>IFERROR(__xludf.DUMMYFUNCTION("""COMPUTED_VALUE"""),45764.41666666667)</f>
        <v>45764.41667</v>
      </c>
      <c r="J361" s="190">
        <f>IFERROR(__xludf.DUMMYFUNCTION("""COMPUTED_VALUE"""),3.0)</f>
        <v>3</v>
      </c>
      <c r="K361" s="190">
        <f>IFERROR(__xludf.DUMMYFUNCTION("""COMPUTED_VALUE"""),3.5)</f>
        <v>3.5</v>
      </c>
      <c r="L361" s="190" t="str">
        <f>IFERROR(__xludf.DUMMYFUNCTION("""COMPUTED_VALUE"""),"DEV")</f>
        <v>DEV</v>
      </c>
      <c r="M361" s="190" t="str">
        <f>IFERROR(__xludf.DUMMYFUNCTION("""COMPUTED_VALUE"""),"MOC")</f>
        <v>MOC</v>
      </c>
      <c r="N361" s="220">
        <f>IFERROR(__xludf.DUMMYFUNCTION("""COMPUTED_VALUE"""),1.0)</f>
        <v>1</v>
      </c>
      <c r="O361" s="220">
        <f>IFERROR(__xludf.DUMMYFUNCTION("""COMPUTED_VALUE"""),3.5)</f>
        <v>3.5</v>
      </c>
      <c r="P361" s="220"/>
      <c r="R361" s="210"/>
      <c r="S361" s="210"/>
      <c r="T361" s="210"/>
      <c r="U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row>
    <row r="362">
      <c r="A362" s="223" t="str">
        <f>IFERROR(__xludf.DUMMYFUNCTION("""COMPUTED_VALUE"""),"213968")</f>
        <v>213968</v>
      </c>
      <c r="B362" s="190" t="str">
        <f>IFERROR(__xludf.DUMMYFUNCTION("""COMPUTED_VALUE"""),"NGUYỄN THỊ HOÀNG OANH")</f>
        <v>NGUYỄN THỊ HOÀNG OANH</v>
      </c>
      <c r="C362" s="223" t="str">
        <f>IFERROR(__xludf.DUMMYFUNCTION("""COMPUTED_VALUE"""),"EL033")</f>
        <v>EL033</v>
      </c>
      <c r="D362" s="223" t="str">
        <f>IFERROR(__xludf.DUMMYFUNCTION("""COMPUTED_VALUE"""),"Anh Ha")</f>
        <v>Anh Ha</v>
      </c>
      <c r="E362" s="190" t="str">
        <f>IFERROR(__xludf.DUMMYFUNCTION("""COMPUTED_VALUE"""),"Communication 2")</f>
        <v>Communication 2</v>
      </c>
      <c r="F362" s="190" t="str">
        <f>IFERROR(__xludf.DUMMYFUNCTION("""COMPUTED_VALUE"""),"Beginner 2")</f>
        <v>Beginner 2</v>
      </c>
      <c r="G362" s="190"/>
      <c r="H362" s="219">
        <f>IFERROR(__xludf.DUMMYFUNCTION("""COMPUTED_VALUE"""),45882.41666666667)</f>
        <v>45882.41667</v>
      </c>
      <c r="I362" s="219">
        <f>IFERROR(__xludf.DUMMYFUNCTION("""COMPUTED_VALUE"""),45764.58333333333)</f>
        <v>45764.58333</v>
      </c>
      <c r="J362" s="190">
        <f>IFERROR(__xludf.DUMMYFUNCTION("""COMPUTED_VALUE"""),1.5)</f>
        <v>1.5</v>
      </c>
      <c r="K362" s="190" t="str">
        <f>IFERROR(__xludf.DUMMYFUNCTION("""COMPUTED_VALUE"""),"")</f>
        <v/>
      </c>
      <c r="L362" s="190" t="str">
        <f>IFERROR(__xludf.DUMMYFUNCTION("""COMPUTED_VALUE"""),"QC")</f>
        <v>QC</v>
      </c>
      <c r="M362" s="190" t="str">
        <f>IFERROR(__xludf.DUMMYFUNCTION("""COMPUTED_VALUE"""),"MOC")</f>
        <v>MOC</v>
      </c>
      <c r="N362" s="220">
        <f>IFERROR(__xludf.DUMMYFUNCTION("""COMPUTED_VALUE"""),1.0)</f>
        <v>1</v>
      </c>
      <c r="O362" s="220">
        <f>IFERROR(__xludf.DUMMYFUNCTION("""COMPUTED_VALUE"""),1.5)</f>
        <v>1.5</v>
      </c>
      <c r="P362" s="220"/>
      <c r="R362" s="210"/>
      <c r="S362" s="210"/>
      <c r="T362" s="210"/>
      <c r="U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row>
    <row r="363">
      <c r="A363" s="223" t="str">
        <f>IFERROR(__xludf.DUMMYFUNCTION("""COMPUTED_VALUE"""),"213861")</f>
        <v>213861</v>
      </c>
      <c r="B363" s="190" t="str">
        <f>IFERROR(__xludf.DUMMYFUNCTION("""COMPUTED_VALUE"""),"TRẦN QUANG ĐẠO")</f>
        <v>TRẦN QUANG ĐẠO</v>
      </c>
      <c r="C363" s="223" t="str">
        <f>IFERROR(__xludf.DUMMYFUNCTION("""COMPUTED_VALUE"""),"EL033")</f>
        <v>EL033</v>
      </c>
      <c r="D363" s="223" t="str">
        <f>IFERROR(__xludf.DUMMYFUNCTION("""COMPUTED_VALUE"""),"Anh Ha")</f>
        <v>Anh Ha</v>
      </c>
      <c r="E363" s="190" t="str">
        <f>IFERROR(__xludf.DUMMYFUNCTION("""COMPUTED_VALUE"""),"Communication 2")</f>
        <v>Communication 2</v>
      </c>
      <c r="F363" s="190" t="str">
        <f>IFERROR(__xludf.DUMMYFUNCTION("""COMPUTED_VALUE"""),"Pre-Intermediate 1")</f>
        <v>Pre-Intermediate 1</v>
      </c>
      <c r="G363" s="190" t="str">
        <f>IFERROR(__xludf.DUMMYFUNCTION("""COMPUTED_VALUE"""),"Beginner 2")</f>
        <v>Beginner 2</v>
      </c>
      <c r="H363" s="219">
        <f>IFERROR(__xludf.DUMMYFUNCTION("""COMPUTED_VALUE"""),45882.41666666667)</f>
        <v>45882.41667</v>
      </c>
      <c r="I363" s="219">
        <f>IFERROR(__xludf.DUMMYFUNCTION("""COMPUTED_VALUE"""),45764.41666666667)</f>
        <v>45764.41667</v>
      </c>
      <c r="J363" s="190">
        <f>IFERROR(__xludf.DUMMYFUNCTION("""COMPUTED_VALUE"""),3.0)</f>
        <v>3</v>
      </c>
      <c r="K363" s="190">
        <f>IFERROR(__xludf.DUMMYFUNCTION("""COMPUTED_VALUE"""),1.5)</f>
        <v>1.5</v>
      </c>
      <c r="L363" s="190" t="str">
        <f>IFERROR(__xludf.DUMMYFUNCTION("""COMPUTED_VALUE"""),"DEV")</f>
        <v>DEV</v>
      </c>
      <c r="M363" s="190" t="str">
        <f>IFERROR(__xludf.DUMMYFUNCTION("""COMPUTED_VALUE"""),"MOC")</f>
        <v>MOC</v>
      </c>
      <c r="N363" s="220">
        <f>IFERROR(__xludf.DUMMYFUNCTION("""COMPUTED_VALUE"""),1.0)</f>
        <v>1</v>
      </c>
      <c r="O363" s="220">
        <f>IFERROR(__xludf.DUMMYFUNCTION("""COMPUTED_VALUE"""),3.0)</f>
        <v>3</v>
      </c>
      <c r="P363" s="220"/>
      <c r="R363" s="210"/>
      <c r="S363" s="210"/>
      <c r="T363" s="210"/>
      <c r="U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row>
    <row r="364">
      <c r="A364" s="223" t="str">
        <f>IFERROR(__xludf.DUMMYFUNCTION("""COMPUTED_VALUE"""),"213851")</f>
        <v>213851</v>
      </c>
      <c r="B364" s="190" t="str">
        <f>IFERROR(__xludf.DUMMYFUNCTION("""COMPUTED_VALUE"""),"TRẦN THANH ĐIỀN")</f>
        <v>TRẦN THANH ĐIỀN</v>
      </c>
      <c r="C364" s="223" t="str">
        <f>IFERROR(__xludf.DUMMYFUNCTION("""COMPUTED_VALUE"""),"EL033")</f>
        <v>EL033</v>
      </c>
      <c r="D364" s="223" t="str">
        <f>IFERROR(__xludf.DUMMYFUNCTION("""COMPUTED_VALUE"""),"Anh Ha")</f>
        <v>Anh Ha</v>
      </c>
      <c r="E364" s="190" t="str">
        <f>IFERROR(__xludf.DUMMYFUNCTION("""COMPUTED_VALUE"""),"Communication 2")</f>
        <v>Communication 2</v>
      </c>
      <c r="F364" s="190" t="str">
        <f>IFERROR(__xludf.DUMMYFUNCTION("""COMPUTED_VALUE"""),"Pre-Intermediate 2")</f>
        <v>Pre-Intermediate 2</v>
      </c>
      <c r="G364" s="190" t="str">
        <f>IFERROR(__xludf.DUMMYFUNCTION("""COMPUTED_VALUE"""),"Intermediate 1")</f>
        <v>Intermediate 1</v>
      </c>
      <c r="H364" s="219">
        <f>IFERROR(__xludf.DUMMYFUNCTION("""COMPUTED_VALUE"""),45882.41666666667)</f>
        <v>45882.41667</v>
      </c>
      <c r="I364" s="219">
        <f>IFERROR(__xludf.DUMMYFUNCTION("""COMPUTED_VALUE"""),45764.41666666667)</f>
        <v>45764.41667</v>
      </c>
      <c r="J364" s="190">
        <f>IFERROR(__xludf.DUMMYFUNCTION("""COMPUTED_VALUE"""),3.5)</f>
        <v>3.5</v>
      </c>
      <c r="K364" s="190">
        <f>IFERROR(__xludf.DUMMYFUNCTION("""COMPUTED_VALUE"""),5.0)</f>
        <v>5</v>
      </c>
      <c r="L364" s="190" t="str">
        <f>IFERROR(__xludf.DUMMYFUNCTION("""COMPUTED_VALUE"""),"DEV")</f>
        <v>DEV</v>
      </c>
      <c r="M364" s="190" t="str">
        <f>IFERROR(__xludf.DUMMYFUNCTION("""COMPUTED_VALUE"""),"MOC")</f>
        <v>MOC</v>
      </c>
      <c r="N364" s="220">
        <f>IFERROR(__xludf.DUMMYFUNCTION("""COMPUTED_VALUE"""),1.0)</f>
        <v>1</v>
      </c>
      <c r="O364" s="220">
        <f>IFERROR(__xludf.DUMMYFUNCTION("""COMPUTED_VALUE"""),5.0)</f>
        <v>5</v>
      </c>
      <c r="P364" s="220"/>
      <c r="R364" s="210"/>
      <c r="S364" s="210"/>
      <c r="T364" s="210"/>
      <c r="U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row>
    <row r="365">
      <c r="A365" s="223" t="str">
        <f>IFERROR(__xludf.DUMMYFUNCTION("""COMPUTED_VALUE"""),"247223")</f>
        <v>247223</v>
      </c>
      <c r="B365" s="190" t="str">
        <f>IFERROR(__xludf.DUMMYFUNCTION("""COMPUTED_VALUE"""),"TRẦN XUÂN KHOA")</f>
        <v>TRẦN XUÂN KHOA</v>
      </c>
      <c r="C365" s="223" t="str">
        <f>IFERROR(__xludf.DUMMYFUNCTION("""COMPUTED_VALUE"""),"EL033")</f>
        <v>EL033</v>
      </c>
      <c r="D365" s="223" t="str">
        <f>IFERROR(__xludf.DUMMYFUNCTION("""COMPUTED_VALUE"""),"Anh Ha")</f>
        <v>Anh Ha</v>
      </c>
      <c r="E365" s="190" t="str">
        <f>IFERROR(__xludf.DUMMYFUNCTION("""COMPUTED_VALUE"""),"Communication 2")</f>
        <v>Communication 2</v>
      </c>
      <c r="F365" s="190" t="str">
        <f>IFERROR(__xludf.DUMMYFUNCTION("""COMPUTED_VALUE"""),"Pre-Intermediate 2")</f>
        <v>Pre-Intermediate 2</v>
      </c>
      <c r="G365" s="190" t="str">
        <f>IFERROR(__xludf.DUMMYFUNCTION("""COMPUTED_VALUE"""),"Pre-Intermediate 2")</f>
        <v>Pre-Intermediate 2</v>
      </c>
      <c r="H365" s="219">
        <f>IFERROR(__xludf.DUMMYFUNCTION("""COMPUTED_VALUE"""),45882.41666666667)</f>
        <v>45882.41667</v>
      </c>
      <c r="I365" s="219">
        <f>IFERROR(__xludf.DUMMYFUNCTION("""COMPUTED_VALUE"""),45764.41666666667)</f>
        <v>45764.41667</v>
      </c>
      <c r="J365" s="190">
        <f>IFERROR(__xludf.DUMMYFUNCTION("""COMPUTED_VALUE"""),3.5)</f>
        <v>3.5</v>
      </c>
      <c r="K365" s="190">
        <f>IFERROR(__xludf.DUMMYFUNCTION("""COMPUTED_VALUE"""),3.5)</f>
        <v>3.5</v>
      </c>
      <c r="L365" s="190" t="str">
        <f>IFERROR(__xludf.DUMMYFUNCTION("""COMPUTED_VALUE"""),"DEV")</f>
        <v>DEV</v>
      </c>
      <c r="M365" s="190" t="str">
        <f>IFERROR(__xludf.DUMMYFUNCTION("""COMPUTED_VALUE"""),"MOC")</f>
        <v>MOC</v>
      </c>
      <c r="N365" s="220">
        <f>IFERROR(__xludf.DUMMYFUNCTION("""COMPUTED_VALUE"""),1.0)</f>
        <v>1</v>
      </c>
      <c r="O365" s="220">
        <f>IFERROR(__xludf.DUMMYFUNCTION("""COMPUTED_VALUE"""),3.5)</f>
        <v>3.5</v>
      </c>
      <c r="P365" s="220"/>
      <c r="R365" s="210"/>
      <c r="S365" s="210"/>
      <c r="T365" s="210"/>
      <c r="U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row>
    <row r="366">
      <c r="A366" s="223" t="str">
        <f>IFERROR(__xludf.DUMMYFUNCTION("""COMPUTED_VALUE"""),"237147")</f>
        <v>237147</v>
      </c>
      <c r="B366" s="190" t="str">
        <f>IFERROR(__xludf.DUMMYFUNCTION("""COMPUTED_VALUE"""),"TRẦN THỊ HOÀI THƯƠNG")</f>
        <v>TRẦN THỊ HOÀI THƯƠNG</v>
      </c>
      <c r="C366" s="223" t="str">
        <f>IFERROR(__xludf.DUMMYFUNCTION("""COMPUTED_VALUE"""),"EL034")</f>
        <v>EL034</v>
      </c>
      <c r="D366" s="223" t="str">
        <f>IFERROR(__xludf.DUMMYFUNCTION("""COMPUTED_VALUE"""),"Thuong Tran")</f>
        <v>Thuong Tran</v>
      </c>
      <c r="E366" s="190" t="str">
        <f>IFERROR(__xludf.DUMMYFUNCTION("""COMPUTED_VALUE"""),"Business English")</f>
        <v>Business English</v>
      </c>
      <c r="F366" s="190"/>
      <c r="G366" s="190"/>
      <c r="H366" s="219">
        <f>IFERROR(__xludf.DUMMYFUNCTION("""COMPUTED_VALUE"""),46091.54166666667)</f>
        <v>46091.54167</v>
      </c>
      <c r="I366" s="219">
        <f>IFERROR(__xludf.DUMMYFUNCTION("""COMPUTED_VALUE"""),45764.58333333333)</f>
        <v>45764.58333</v>
      </c>
      <c r="J366" s="190" t="str">
        <f>IFERROR(__xludf.DUMMYFUNCTION("""COMPUTED_VALUE"""),"")</f>
        <v/>
      </c>
      <c r="K366" s="190" t="str">
        <f>IFERROR(__xludf.DUMMYFUNCTION("""COMPUTED_VALUE"""),"")</f>
        <v/>
      </c>
      <c r="L366" s="190" t="str">
        <f>IFERROR(__xludf.DUMMYFUNCTION("""COMPUTED_VALUE"""),"GSD")</f>
        <v>GSD</v>
      </c>
      <c r="M366" s="190" t="str">
        <f>IFERROR(__xludf.DUMMYFUNCTION("""COMPUTED_VALUE"""),"MOC")</f>
        <v>MOC</v>
      </c>
      <c r="N366" s="220">
        <f>IFERROR(__xludf.DUMMYFUNCTION("""COMPUTED_VALUE"""),1.0)</f>
        <v>1</v>
      </c>
      <c r="O366" s="220">
        <f>IFERROR(__xludf.DUMMYFUNCTION("""COMPUTED_VALUE"""),5.0)</f>
        <v>5</v>
      </c>
      <c r="P366" s="220"/>
      <c r="R366" s="210"/>
      <c r="S366" s="210"/>
      <c r="T366" s="210"/>
      <c r="U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row>
    <row r="367">
      <c r="A367" s="223" t="str">
        <f>IFERROR(__xludf.DUMMYFUNCTION("""COMPUTED_VALUE"""),"213859")</f>
        <v>213859</v>
      </c>
      <c r="B367" s="190" t="str">
        <f>IFERROR(__xludf.DUMMYFUNCTION("""COMPUTED_VALUE"""),"LÂM THỊ YẾN NHI")</f>
        <v>LÂM THỊ YẾN NHI</v>
      </c>
      <c r="C367" s="223" t="str">
        <f>IFERROR(__xludf.DUMMYFUNCTION("""COMPUTED_VALUE"""),"EL034")</f>
        <v>EL034</v>
      </c>
      <c r="D367" s="223" t="str">
        <f>IFERROR(__xludf.DUMMYFUNCTION("""COMPUTED_VALUE"""),"Thuong Tran")</f>
        <v>Thuong Tran</v>
      </c>
      <c r="E367" s="190" t="str">
        <f>IFERROR(__xludf.DUMMYFUNCTION("""COMPUTED_VALUE"""),"Business English")</f>
        <v>Business English</v>
      </c>
      <c r="F367" s="190"/>
      <c r="G367" s="190"/>
      <c r="H367" s="219">
        <f>IFERROR(__xludf.DUMMYFUNCTION("""COMPUTED_VALUE"""),46091.54166666667)</f>
        <v>46091.54167</v>
      </c>
      <c r="I367" s="219">
        <f>IFERROR(__xludf.DUMMYFUNCTION("""COMPUTED_VALUE"""),45764.58333333333)</f>
        <v>45764.58333</v>
      </c>
      <c r="J367" s="190" t="str">
        <f>IFERROR(__xludf.DUMMYFUNCTION("""COMPUTED_VALUE"""),"")</f>
        <v/>
      </c>
      <c r="K367" s="190" t="str">
        <f>IFERROR(__xludf.DUMMYFUNCTION("""COMPUTED_VALUE"""),"")</f>
        <v/>
      </c>
      <c r="L367" s="190" t="str">
        <f>IFERROR(__xludf.DUMMYFUNCTION("""COMPUTED_VALUE"""),"GSD")</f>
        <v>GSD</v>
      </c>
      <c r="M367" s="190" t="str">
        <f>IFERROR(__xludf.DUMMYFUNCTION("""COMPUTED_VALUE"""),"MOC")</f>
        <v>MOC</v>
      </c>
      <c r="N367" s="220">
        <f>IFERROR(__xludf.DUMMYFUNCTION("""COMPUTED_VALUE"""),2.5)</f>
        <v>2.5</v>
      </c>
      <c r="O367" s="220">
        <f>IFERROR(__xludf.DUMMYFUNCTION("""COMPUTED_VALUE"""),5.5)</f>
        <v>5.5</v>
      </c>
      <c r="P367" s="220"/>
      <c r="R367" s="210"/>
      <c r="S367" s="210"/>
      <c r="T367" s="210"/>
      <c r="U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row>
    <row r="368">
      <c r="A368" s="223" t="str">
        <f>IFERROR(__xludf.DUMMYFUNCTION("""COMPUTED_VALUE"""),"193632")</f>
        <v>193632</v>
      </c>
      <c r="B368" s="190" t="str">
        <f>IFERROR(__xludf.DUMMYFUNCTION("""COMPUTED_VALUE"""),"NGUYỄN THÁI SƠN")</f>
        <v>NGUYỄN THÁI SƠN</v>
      </c>
      <c r="C368" s="223" t="str">
        <f>IFERROR(__xludf.DUMMYFUNCTION("""COMPUTED_VALUE"""),"EL034")</f>
        <v>EL034</v>
      </c>
      <c r="D368" s="223" t="str">
        <f>IFERROR(__xludf.DUMMYFUNCTION("""COMPUTED_VALUE"""),"Thuong Tran")</f>
        <v>Thuong Tran</v>
      </c>
      <c r="E368" s="190" t="str">
        <f>IFERROR(__xludf.DUMMYFUNCTION("""COMPUTED_VALUE"""),"Business English")</f>
        <v>Business English</v>
      </c>
      <c r="F368" s="190"/>
      <c r="G368" s="190"/>
      <c r="H368" s="219">
        <f>IFERROR(__xludf.DUMMYFUNCTION("""COMPUTED_VALUE"""),46091.54166666667)</f>
        <v>46091.54167</v>
      </c>
      <c r="I368" s="219">
        <f>IFERROR(__xludf.DUMMYFUNCTION("""COMPUTED_VALUE"""),45764.58333333333)</f>
        <v>45764.58333</v>
      </c>
      <c r="J368" s="190" t="str">
        <f>IFERROR(__xludf.DUMMYFUNCTION("""COMPUTED_VALUE"""),"")</f>
        <v/>
      </c>
      <c r="K368" s="190" t="str">
        <f>IFERROR(__xludf.DUMMYFUNCTION("""COMPUTED_VALUE"""),"")</f>
        <v/>
      </c>
      <c r="L368" s="190" t="str">
        <f>IFERROR(__xludf.DUMMYFUNCTION("""COMPUTED_VALUE"""),"GSD")</f>
        <v>GSD</v>
      </c>
      <c r="M368" s="190" t="str">
        <f>IFERROR(__xludf.DUMMYFUNCTION("""COMPUTED_VALUE"""),"MOC")</f>
        <v>MOC</v>
      </c>
      <c r="N368" s="220">
        <f>IFERROR(__xludf.DUMMYFUNCTION("""COMPUTED_VALUE"""),1.0)</f>
        <v>1</v>
      </c>
      <c r="O368" s="220">
        <f>IFERROR(__xludf.DUMMYFUNCTION("""COMPUTED_VALUE"""),5.0)</f>
        <v>5</v>
      </c>
      <c r="P368" s="220"/>
      <c r="R368" s="210"/>
      <c r="S368" s="210"/>
      <c r="T368" s="210"/>
      <c r="U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row>
    <row r="369">
      <c r="A369" s="223" t="str">
        <f>IFERROR(__xludf.DUMMYFUNCTION("""COMPUTED_VALUE"""),"247263")</f>
        <v>247263</v>
      </c>
      <c r="B369" s="190" t="str">
        <f>IFERROR(__xludf.DUMMYFUNCTION("""COMPUTED_VALUE"""),"NGUYỄN TRẦN HOÀI MỸ")</f>
        <v>NGUYỄN TRẦN HOÀI MỸ</v>
      </c>
      <c r="C369" s="223" t="str">
        <f>IFERROR(__xludf.DUMMYFUNCTION("""COMPUTED_VALUE"""),"EL034")</f>
        <v>EL034</v>
      </c>
      <c r="D369" s="223" t="str">
        <f>IFERROR(__xludf.DUMMYFUNCTION("""COMPUTED_VALUE"""),"Thuong Tran")</f>
        <v>Thuong Tran</v>
      </c>
      <c r="E369" s="190" t="str">
        <f>IFERROR(__xludf.DUMMYFUNCTION("""COMPUTED_VALUE"""),"Business English")</f>
        <v>Business English</v>
      </c>
      <c r="F369" s="190"/>
      <c r="G369" s="190"/>
      <c r="H369" s="219">
        <f>IFERROR(__xludf.DUMMYFUNCTION("""COMPUTED_VALUE"""),46091.54166666667)</f>
        <v>46091.54167</v>
      </c>
      <c r="I369" s="219">
        <f>IFERROR(__xludf.DUMMYFUNCTION("""COMPUTED_VALUE"""),45764.58333333333)</f>
        <v>45764.58333</v>
      </c>
      <c r="J369" s="190" t="str">
        <f>IFERROR(__xludf.DUMMYFUNCTION("""COMPUTED_VALUE"""),"")</f>
        <v/>
      </c>
      <c r="K369" s="190" t="str">
        <f>IFERROR(__xludf.DUMMYFUNCTION("""COMPUTED_VALUE"""),"")</f>
        <v/>
      </c>
      <c r="L369" s="190" t="str">
        <f>IFERROR(__xludf.DUMMYFUNCTION("""COMPUTED_VALUE"""),"GSD")</f>
        <v>GSD</v>
      </c>
      <c r="M369" s="190" t="str">
        <f>IFERROR(__xludf.DUMMYFUNCTION("""COMPUTED_VALUE"""),"MOC")</f>
        <v>MOC</v>
      </c>
      <c r="N369" s="220">
        <f>IFERROR(__xludf.DUMMYFUNCTION("""COMPUTED_VALUE"""),1.0)</f>
        <v>1</v>
      </c>
      <c r="O369" s="220">
        <f>IFERROR(__xludf.DUMMYFUNCTION("""COMPUTED_VALUE"""),5.0)</f>
        <v>5</v>
      </c>
      <c r="P369" s="220"/>
      <c r="R369" s="210"/>
      <c r="S369" s="210"/>
      <c r="T369" s="210"/>
      <c r="U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row>
    <row r="370">
      <c r="A370" s="223" t="str">
        <f>IFERROR(__xludf.DUMMYFUNCTION("""COMPUTED_VALUE"""),"247088")</f>
        <v>247088</v>
      </c>
      <c r="B370" s="190" t="str">
        <f>IFERROR(__xludf.DUMMYFUNCTION("""COMPUTED_VALUE"""),"NGUYỄN VĂN HÙNG")</f>
        <v>NGUYỄN VĂN HÙNG</v>
      </c>
      <c r="C370" s="223" t="str">
        <f>IFERROR(__xludf.DUMMYFUNCTION("""COMPUTED_VALUE"""),"EL034")</f>
        <v>EL034</v>
      </c>
      <c r="D370" s="223" t="str">
        <f>IFERROR(__xludf.DUMMYFUNCTION("""COMPUTED_VALUE"""),"Thuong Tran")</f>
        <v>Thuong Tran</v>
      </c>
      <c r="E370" s="190" t="str">
        <f>IFERROR(__xludf.DUMMYFUNCTION("""COMPUTED_VALUE"""),"Business English")</f>
        <v>Business English</v>
      </c>
      <c r="F370" s="190"/>
      <c r="G370" s="190"/>
      <c r="H370" s="219">
        <f>IFERROR(__xludf.DUMMYFUNCTION("""COMPUTED_VALUE"""),46091.54166666667)</f>
        <v>46091.54167</v>
      </c>
      <c r="I370" s="219">
        <f>IFERROR(__xludf.DUMMYFUNCTION("""COMPUTED_VALUE"""),45764.58333333333)</f>
        <v>45764.58333</v>
      </c>
      <c r="J370" s="190" t="str">
        <f>IFERROR(__xludf.DUMMYFUNCTION("""COMPUTED_VALUE"""),"")</f>
        <v/>
      </c>
      <c r="K370" s="190" t="str">
        <f>IFERROR(__xludf.DUMMYFUNCTION("""COMPUTED_VALUE"""),"")</f>
        <v/>
      </c>
      <c r="L370" s="190" t="str">
        <f>IFERROR(__xludf.DUMMYFUNCTION("""COMPUTED_VALUE"""),"GSD")</f>
        <v>GSD</v>
      </c>
      <c r="M370" s="190" t="str">
        <f>IFERROR(__xludf.DUMMYFUNCTION("""COMPUTED_VALUE"""),"MOC")</f>
        <v>MOC</v>
      </c>
      <c r="N370" s="220">
        <f>IFERROR(__xludf.DUMMYFUNCTION("""COMPUTED_VALUE"""),1.0)</f>
        <v>1</v>
      </c>
      <c r="O370" s="220">
        <f>IFERROR(__xludf.DUMMYFUNCTION("""COMPUTED_VALUE"""),5.5)</f>
        <v>5.5</v>
      </c>
      <c r="P370" s="220"/>
      <c r="R370" s="210"/>
      <c r="S370" s="210"/>
      <c r="T370" s="210"/>
      <c r="U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row>
    <row r="371">
      <c r="A371" s="223" t="str">
        <f>IFERROR(__xludf.DUMMYFUNCTION("""COMPUTED_VALUE"""),"247262")</f>
        <v>247262</v>
      </c>
      <c r="B371" s="190" t="str">
        <f>IFERROR(__xludf.DUMMYFUNCTION("""COMPUTED_VALUE"""),"TÔN THÀNH AN")</f>
        <v>TÔN THÀNH AN</v>
      </c>
      <c r="C371" s="223" t="str">
        <f>IFERROR(__xludf.DUMMYFUNCTION("""COMPUTED_VALUE"""),"EL034")</f>
        <v>EL034</v>
      </c>
      <c r="D371" s="223" t="str">
        <f>IFERROR(__xludf.DUMMYFUNCTION("""COMPUTED_VALUE"""),"Thuong Tran")</f>
        <v>Thuong Tran</v>
      </c>
      <c r="E371" s="190" t="str">
        <f>IFERROR(__xludf.DUMMYFUNCTION("""COMPUTED_VALUE"""),"Business English")</f>
        <v>Business English</v>
      </c>
      <c r="F371" s="190"/>
      <c r="G371" s="190"/>
      <c r="H371" s="219">
        <f>IFERROR(__xludf.DUMMYFUNCTION("""COMPUTED_VALUE"""),46091.54166666667)</f>
        <v>46091.54167</v>
      </c>
      <c r="I371" s="219">
        <f>IFERROR(__xludf.DUMMYFUNCTION("""COMPUTED_VALUE"""),45764.58333333333)</f>
        <v>45764.58333</v>
      </c>
      <c r="J371" s="190" t="str">
        <f>IFERROR(__xludf.DUMMYFUNCTION("""COMPUTED_VALUE"""),"")</f>
        <v/>
      </c>
      <c r="K371" s="190" t="str">
        <f>IFERROR(__xludf.DUMMYFUNCTION("""COMPUTED_VALUE"""),"")</f>
        <v/>
      </c>
      <c r="L371" s="190" t="str">
        <f>IFERROR(__xludf.DUMMYFUNCTION("""COMPUTED_VALUE"""),"GSD")</f>
        <v>GSD</v>
      </c>
      <c r="M371" s="190" t="str">
        <f>IFERROR(__xludf.DUMMYFUNCTION("""COMPUTED_VALUE"""),"MOC")</f>
        <v>MOC</v>
      </c>
      <c r="N371" s="220">
        <f>IFERROR(__xludf.DUMMYFUNCTION("""COMPUTED_VALUE"""),1.0)</f>
        <v>1</v>
      </c>
      <c r="O371" s="220">
        <f>IFERROR(__xludf.DUMMYFUNCTION("""COMPUTED_VALUE"""),5.0)</f>
        <v>5</v>
      </c>
      <c r="P371" s="220"/>
      <c r="R371" s="210"/>
      <c r="S371" s="210"/>
      <c r="T371" s="210"/>
      <c r="U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row>
    <row r="372">
      <c r="A372" s="223" t="str">
        <f>IFERROR(__xludf.DUMMYFUNCTION("""COMPUTED_VALUE"""),"227097")</f>
        <v>227097</v>
      </c>
      <c r="B372" s="190" t="str">
        <f>IFERROR(__xludf.DUMMYFUNCTION("""COMPUTED_VALUE"""),"TRẦN MINH TRUNG")</f>
        <v>TRẦN MINH TRUNG</v>
      </c>
      <c r="C372" s="223" t="str">
        <f>IFERROR(__xludf.DUMMYFUNCTION("""COMPUTED_VALUE"""),"EL034")</f>
        <v>EL034</v>
      </c>
      <c r="D372" s="223" t="str">
        <f>IFERROR(__xludf.DUMMYFUNCTION("""COMPUTED_VALUE"""),"Thuong Tran")</f>
        <v>Thuong Tran</v>
      </c>
      <c r="E372" s="190" t="str">
        <f>IFERROR(__xludf.DUMMYFUNCTION("""COMPUTED_VALUE"""),"Business English")</f>
        <v>Business English</v>
      </c>
      <c r="F372" s="190"/>
      <c r="G372" s="190"/>
      <c r="H372" s="219">
        <f>IFERROR(__xludf.DUMMYFUNCTION("""COMPUTED_VALUE"""),46091.54166666667)</f>
        <v>46091.54167</v>
      </c>
      <c r="I372" s="219">
        <f>IFERROR(__xludf.DUMMYFUNCTION("""COMPUTED_VALUE"""),45764.58333333333)</f>
        <v>45764.58333</v>
      </c>
      <c r="J372" s="190" t="str">
        <f>IFERROR(__xludf.DUMMYFUNCTION("""COMPUTED_VALUE"""),"")</f>
        <v/>
      </c>
      <c r="K372" s="190" t="str">
        <f>IFERROR(__xludf.DUMMYFUNCTION("""COMPUTED_VALUE"""),"")</f>
        <v/>
      </c>
      <c r="L372" s="190" t="str">
        <f>IFERROR(__xludf.DUMMYFUNCTION("""COMPUTED_VALUE"""),"GSD")</f>
        <v>GSD</v>
      </c>
      <c r="M372" s="190" t="str">
        <f>IFERROR(__xludf.DUMMYFUNCTION("""COMPUTED_VALUE"""),"MOC")</f>
        <v>MOC</v>
      </c>
      <c r="N372" s="220">
        <f>IFERROR(__xludf.DUMMYFUNCTION("""COMPUTED_VALUE"""),1.0)</f>
        <v>1</v>
      </c>
      <c r="O372" s="220">
        <f>IFERROR(__xludf.DUMMYFUNCTION("""COMPUTED_VALUE"""),3.0)</f>
        <v>3</v>
      </c>
      <c r="P372" s="220"/>
      <c r="R372" s="210"/>
      <c r="S372" s="210"/>
      <c r="T372" s="210"/>
      <c r="U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row>
    <row r="373">
      <c r="A373" s="223" t="str">
        <f>IFERROR(__xludf.DUMMYFUNCTION("""COMPUTED_VALUE"""),"237147")</f>
        <v>237147</v>
      </c>
      <c r="B373" s="190" t="str">
        <f>IFERROR(__xludf.DUMMYFUNCTION("""COMPUTED_VALUE"""),"TRẦN THỊ HOÀI THƯƠNG")</f>
        <v>TRẦN THỊ HOÀI THƯƠNG</v>
      </c>
      <c r="C373" s="223" t="str">
        <f>IFERROR(__xludf.DUMMYFUNCTION("""COMPUTED_VALUE"""),"EL034")</f>
        <v>EL034</v>
      </c>
      <c r="D373" s="223" t="str">
        <f>IFERROR(__xludf.DUMMYFUNCTION("""COMPUTED_VALUE"""),"Thuong Tran")</f>
        <v>Thuong Tran</v>
      </c>
      <c r="E373" s="190" t="str">
        <f>IFERROR(__xludf.DUMMYFUNCTION("""COMPUTED_VALUE"""),"Communication 1")</f>
        <v>Communication 1</v>
      </c>
      <c r="F373" s="190" t="str">
        <f>IFERROR(__xludf.DUMMYFUNCTION("""COMPUTED_VALUE"""),"Beginner")</f>
        <v>Beginner</v>
      </c>
      <c r="G373" s="190" t="str">
        <f>IFERROR(__xludf.DUMMYFUNCTION("""COMPUTED_VALUE"""),"Pre-Intermediate 1")</f>
        <v>Pre-Intermediate 1</v>
      </c>
      <c r="H373" s="219">
        <f>IFERROR(__xludf.DUMMYFUNCTION("""COMPUTED_VALUE"""),45764.58333333333)</f>
        <v>45764.58333</v>
      </c>
      <c r="I373" s="219">
        <f>IFERROR(__xludf.DUMMYFUNCTION("""COMPUTED_VALUE"""),45764.58333333333)</f>
        <v>45764.58333</v>
      </c>
      <c r="J373" s="190">
        <f>IFERROR(__xludf.DUMMYFUNCTION("""COMPUTED_VALUE"""),1.0)</f>
        <v>1</v>
      </c>
      <c r="K373" s="190">
        <f>IFERROR(__xludf.DUMMYFUNCTION("""COMPUTED_VALUE"""),3.0)</f>
        <v>3</v>
      </c>
      <c r="L373" s="190" t="str">
        <f>IFERROR(__xludf.DUMMYFUNCTION("""COMPUTED_VALUE"""),"GSD")</f>
        <v>GSD</v>
      </c>
      <c r="M373" s="190" t="str">
        <f>IFERROR(__xludf.DUMMYFUNCTION("""COMPUTED_VALUE"""),"MOC")</f>
        <v>MOC</v>
      </c>
      <c r="N373" s="220">
        <f>IFERROR(__xludf.DUMMYFUNCTION("""COMPUTED_VALUE"""),1.0)</f>
        <v>1</v>
      </c>
      <c r="O373" s="220">
        <f>IFERROR(__xludf.DUMMYFUNCTION("""COMPUTED_VALUE"""),5.0)</f>
        <v>5</v>
      </c>
      <c r="P373" s="220"/>
      <c r="R373" s="210"/>
      <c r="S373" s="210"/>
      <c r="T373" s="210"/>
      <c r="U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row>
    <row r="374">
      <c r="A374" s="223" t="str">
        <f>IFERROR(__xludf.DUMMYFUNCTION("""COMPUTED_VALUE"""),"193445")</f>
        <v>193445</v>
      </c>
      <c r="B374" s="190" t="str">
        <f>IFERROR(__xludf.DUMMYFUNCTION("""COMPUTED_VALUE"""),"HUỲNH THỊ BẢO YẾN")</f>
        <v>HUỲNH THỊ BẢO YẾN</v>
      </c>
      <c r="C374" s="223" t="str">
        <f>IFERROR(__xludf.DUMMYFUNCTION("""COMPUTED_VALUE"""),"EL034")</f>
        <v>EL034</v>
      </c>
      <c r="D374" s="223" t="str">
        <f>IFERROR(__xludf.DUMMYFUNCTION("""COMPUTED_VALUE"""),"Thuong Tran")</f>
        <v>Thuong Tran</v>
      </c>
      <c r="E374" s="190" t="str">
        <f>IFERROR(__xludf.DUMMYFUNCTION("""COMPUTED_VALUE"""),"Communication 1")</f>
        <v>Communication 1</v>
      </c>
      <c r="F374" s="190" t="str">
        <f>IFERROR(__xludf.DUMMYFUNCTION("""COMPUTED_VALUE"""),"Beginner")</f>
        <v>Beginner</v>
      </c>
      <c r="G374" s="190" t="str">
        <f>IFERROR(__xludf.DUMMYFUNCTION("""COMPUTED_VALUE"""),"Beginner 2")</f>
        <v>Beginner 2</v>
      </c>
      <c r="H374" s="219">
        <f>IFERROR(__xludf.DUMMYFUNCTION("""COMPUTED_VALUE"""),45764.58333333333)</f>
        <v>45764.58333</v>
      </c>
      <c r="I374" s="219">
        <f>IFERROR(__xludf.DUMMYFUNCTION("""COMPUTED_VALUE"""),45764.58333333333)</f>
        <v>45764.58333</v>
      </c>
      <c r="J374" s="190">
        <f>IFERROR(__xludf.DUMMYFUNCTION("""COMPUTED_VALUE"""),1.0)</f>
        <v>1</v>
      </c>
      <c r="K374" s="190">
        <f>IFERROR(__xludf.DUMMYFUNCTION("""COMPUTED_VALUE"""),1.5)</f>
        <v>1.5</v>
      </c>
      <c r="L374" s="190" t="str">
        <f>IFERROR(__xludf.DUMMYFUNCTION("""COMPUTED_VALUE"""),"QC")</f>
        <v>QC</v>
      </c>
      <c r="M374" s="190" t="str">
        <f>IFERROR(__xludf.DUMMYFUNCTION("""COMPUTED_VALUE"""),"MOC")</f>
        <v>MOC</v>
      </c>
      <c r="N374" s="220">
        <f>IFERROR(__xludf.DUMMYFUNCTION("""COMPUTED_VALUE"""),1.0)</f>
        <v>1</v>
      </c>
      <c r="O374" s="220">
        <f>IFERROR(__xludf.DUMMYFUNCTION("""COMPUTED_VALUE"""),3.0)</f>
        <v>3</v>
      </c>
      <c r="P374" s="220"/>
      <c r="R374" s="210"/>
      <c r="S374" s="210"/>
      <c r="T374" s="210"/>
      <c r="U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row>
    <row r="375">
      <c r="A375" s="223" t="str">
        <f>IFERROR(__xludf.DUMMYFUNCTION("""COMPUTED_VALUE"""),"213859")</f>
        <v>213859</v>
      </c>
      <c r="B375" s="190" t="str">
        <f>IFERROR(__xludf.DUMMYFUNCTION("""COMPUTED_VALUE"""),"LÂM THỊ YẾN NHI")</f>
        <v>LÂM THỊ YẾN NHI</v>
      </c>
      <c r="C375" s="223" t="str">
        <f>IFERROR(__xludf.DUMMYFUNCTION("""COMPUTED_VALUE"""),"EL034")</f>
        <v>EL034</v>
      </c>
      <c r="D375" s="223" t="str">
        <f>IFERROR(__xludf.DUMMYFUNCTION("""COMPUTED_VALUE"""),"Thuong Tran")</f>
        <v>Thuong Tran</v>
      </c>
      <c r="E375" s="190" t="str">
        <f>IFERROR(__xludf.DUMMYFUNCTION("""COMPUTED_VALUE"""),"Communication 1")</f>
        <v>Communication 1</v>
      </c>
      <c r="F375" s="190" t="str">
        <f>IFERROR(__xludf.DUMMYFUNCTION("""COMPUTED_VALUE"""),"Pre-Intermediate")</f>
        <v>Pre-Intermediate</v>
      </c>
      <c r="G375" s="190" t="str">
        <f>IFERROR(__xludf.DUMMYFUNCTION("""COMPUTED_VALUE"""),"Pre-Intermediate 2")</f>
        <v>Pre-Intermediate 2</v>
      </c>
      <c r="H375" s="219">
        <f>IFERROR(__xludf.DUMMYFUNCTION("""COMPUTED_VALUE"""),45764.58333333333)</f>
        <v>45764.58333</v>
      </c>
      <c r="I375" s="219">
        <f>IFERROR(__xludf.DUMMYFUNCTION("""COMPUTED_VALUE"""),45764.58333333333)</f>
        <v>45764.58333</v>
      </c>
      <c r="J375" s="190">
        <f>IFERROR(__xludf.DUMMYFUNCTION("""COMPUTED_VALUE"""),2.5)</f>
        <v>2.5</v>
      </c>
      <c r="K375" s="190">
        <f>IFERROR(__xludf.DUMMYFUNCTION("""COMPUTED_VALUE"""),3.5)</f>
        <v>3.5</v>
      </c>
      <c r="L375" s="190" t="str">
        <f>IFERROR(__xludf.DUMMYFUNCTION("""COMPUTED_VALUE"""),"GSD")</f>
        <v>GSD</v>
      </c>
      <c r="M375" s="190" t="str">
        <f>IFERROR(__xludf.DUMMYFUNCTION("""COMPUTED_VALUE"""),"MOC")</f>
        <v>MOC</v>
      </c>
      <c r="N375" s="220">
        <f>IFERROR(__xludf.DUMMYFUNCTION("""COMPUTED_VALUE"""),2.5)</f>
        <v>2.5</v>
      </c>
      <c r="O375" s="220">
        <f>IFERROR(__xludf.DUMMYFUNCTION("""COMPUTED_VALUE"""),5.5)</f>
        <v>5.5</v>
      </c>
      <c r="P375" s="220"/>
      <c r="R375" s="210"/>
      <c r="S375" s="210"/>
      <c r="T375" s="210"/>
      <c r="U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row>
    <row r="376">
      <c r="A376" s="223" t="str">
        <f>IFERROR(__xludf.DUMMYFUNCTION("""COMPUTED_VALUE"""),"193632")</f>
        <v>193632</v>
      </c>
      <c r="B376" s="190" t="str">
        <f>IFERROR(__xludf.DUMMYFUNCTION("""COMPUTED_VALUE"""),"NGUYỄN THÁI SƠN")</f>
        <v>NGUYỄN THÁI SƠN</v>
      </c>
      <c r="C376" s="223" t="str">
        <f>IFERROR(__xludf.DUMMYFUNCTION("""COMPUTED_VALUE"""),"EL034")</f>
        <v>EL034</v>
      </c>
      <c r="D376" s="223" t="str">
        <f>IFERROR(__xludf.DUMMYFUNCTION("""COMPUTED_VALUE"""),"Thuong Tran")</f>
        <v>Thuong Tran</v>
      </c>
      <c r="E376" s="190" t="str">
        <f>IFERROR(__xludf.DUMMYFUNCTION("""COMPUTED_VALUE"""),"Communication 1")</f>
        <v>Communication 1</v>
      </c>
      <c r="F376" s="190" t="str">
        <f>IFERROR(__xludf.DUMMYFUNCTION("""COMPUTED_VALUE"""),"Beginner")</f>
        <v>Beginner</v>
      </c>
      <c r="G376" s="190" t="str">
        <f>IFERROR(__xludf.DUMMYFUNCTION("""COMPUTED_VALUE"""),"Beginner 2")</f>
        <v>Beginner 2</v>
      </c>
      <c r="H376" s="219">
        <f>IFERROR(__xludf.DUMMYFUNCTION("""COMPUTED_VALUE"""),45764.58333333333)</f>
        <v>45764.58333</v>
      </c>
      <c r="I376" s="219">
        <f>IFERROR(__xludf.DUMMYFUNCTION("""COMPUTED_VALUE"""),45764.58333333333)</f>
        <v>45764.58333</v>
      </c>
      <c r="J376" s="190">
        <f>IFERROR(__xludf.DUMMYFUNCTION("""COMPUTED_VALUE"""),1.0)</f>
        <v>1</v>
      </c>
      <c r="K376" s="190">
        <f>IFERROR(__xludf.DUMMYFUNCTION("""COMPUTED_VALUE"""),1.5)</f>
        <v>1.5</v>
      </c>
      <c r="L376" s="190" t="str">
        <f>IFERROR(__xludf.DUMMYFUNCTION("""COMPUTED_VALUE"""),"GSD")</f>
        <v>GSD</v>
      </c>
      <c r="M376" s="190" t="str">
        <f>IFERROR(__xludf.DUMMYFUNCTION("""COMPUTED_VALUE"""),"MOC")</f>
        <v>MOC</v>
      </c>
      <c r="N376" s="220">
        <f>IFERROR(__xludf.DUMMYFUNCTION("""COMPUTED_VALUE"""),1.0)</f>
        <v>1</v>
      </c>
      <c r="O376" s="220">
        <f>IFERROR(__xludf.DUMMYFUNCTION("""COMPUTED_VALUE"""),5.0)</f>
        <v>5</v>
      </c>
      <c r="P376" s="220"/>
      <c r="R376" s="210"/>
      <c r="S376" s="210"/>
      <c r="T376" s="210"/>
      <c r="U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row>
    <row r="377">
      <c r="A377" s="223" t="str">
        <f>IFERROR(__xludf.DUMMYFUNCTION("""COMPUTED_VALUE"""),"213968")</f>
        <v>213968</v>
      </c>
      <c r="B377" s="190" t="str">
        <f>IFERROR(__xludf.DUMMYFUNCTION("""COMPUTED_VALUE"""),"NGUYỄN THỊ HOÀNG OANH")</f>
        <v>NGUYỄN THỊ HOÀNG OANH</v>
      </c>
      <c r="C377" s="223" t="str">
        <f>IFERROR(__xludf.DUMMYFUNCTION("""COMPUTED_VALUE"""),"EL034")</f>
        <v>EL034</v>
      </c>
      <c r="D377" s="223" t="str">
        <f>IFERROR(__xludf.DUMMYFUNCTION("""COMPUTED_VALUE"""),"Thuong Tran")</f>
        <v>Thuong Tran</v>
      </c>
      <c r="E377" s="190" t="str">
        <f>IFERROR(__xludf.DUMMYFUNCTION("""COMPUTED_VALUE"""),"Communication 1")</f>
        <v>Communication 1</v>
      </c>
      <c r="F377" s="190" t="str">
        <f>IFERROR(__xludf.DUMMYFUNCTION("""COMPUTED_VALUE"""),"Beginner")</f>
        <v>Beginner</v>
      </c>
      <c r="G377" s="190" t="str">
        <f>IFERROR(__xludf.DUMMYFUNCTION("""COMPUTED_VALUE"""),"Beginner 2")</f>
        <v>Beginner 2</v>
      </c>
      <c r="H377" s="219">
        <f>IFERROR(__xludf.DUMMYFUNCTION("""COMPUTED_VALUE"""),45764.58333333333)</f>
        <v>45764.58333</v>
      </c>
      <c r="I377" s="219">
        <f>IFERROR(__xludf.DUMMYFUNCTION("""COMPUTED_VALUE"""),45764.58333333333)</f>
        <v>45764.58333</v>
      </c>
      <c r="J377" s="190">
        <f>IFERROR(__xludf.DUMMYFUNCTION("""COMPUTED_VALUE"""),1.0)</f>
        <v>1</v>
      </c>
      <c r="K377" s="190">
        <f>IFERROR(__xludf.DUMMYFUNCTION("""COMPUTED_VALUE"""),1.5)</f>
        <v>1.5</v>
      </c>
      <c r="L377" s="190" t="str">
        <f>IFERROR(__xludf.DUMMYFUNCTION("""COMPUTED_VALUE"""),"QC")</f>
        <v>QC</v>
      </c>
      <c r="M377" s="190" t="str">
        <f>IFERROR(__xludf.DUMMYFUNCTION("""COMPUTED_VALUE"""),"MOC")</f>
        <v>MOC</v>
      </c>
      <c r="N377" s="220">
        <f>IFERROR(__xludf.DUMMYFUNCTION("""COMPUTED_VALUE"""),1.0)</f>
        <v>1</v>
      </c>
      <c r="O377" s="220">
        <f>IFERROR(__xludf.DUMMYFUNCTION("""COMPUTED_VALUE"""),1.5)</f>
        <v>1.5</v>
      </c>
      <c r="P377" s="220"/>
      <c r="R377" s="210"/>
      <c r="S377" s="210"/>
      <c r="T377" s="210"/>
      <c r="U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row>
    <row r="378">
      <c r="A378" s="223" t="str">
        <f>IFERROR(__xludf.DUMMYFUNCTION("""COMPUTED_VALUE"""),"247416")</f>
        <v>247416</v>
      </c>
      <c r="B378" s="190" t="str">
        <f>IFERROR(__xludf.DUMMYFUNCTION("""COMPUTED_VALUE"""),"NGUYỄN THỊ LOAN")</f>
        <v>NGUYỄN THỊ LOAN</v>
      </c>
      <c r="C378" s="223" t="str">
        <f>IFERROR(__xludf.DUMMYFUNCTION("""COMPUTED_VALUE"""),"EL034")</f>
        <v>EL034</v>
      </c>
      <c r="D378" s="223" t="str">
        <f>IFERROR(__xludf.DUMMYFUNCTION("""COMPUTED_VALUE"""),"Thuong Tran")</f>
        <v>Thuong Tran</v>
      </c>
      <c r="E378" s="190" t="str">
        <f>IFERROR(__xludf.DUMMYFUNCTION("""COMPUTED_VALUE"""),"Communication 1")</f>
        <v>Communication 1</v>
      </c>
      <c r="F378" s="190" t="str">
        <f>IFERROR(__xludf.DUMMYFUNCTION("""COMPUTED_VALUE"""),"Beginner")</f>
        <v>Beginner</v>
      </c>
      <c r="G378" s="190"/>
      <c r="H378" s="219">
        <f>IFERROR(__xludf.DUMMYFUNCTION("""COMPUTED_VALUE"""),45764.58333333333)</f>
        <v>45764.58333</v>
      </c>
      <c r="I378" s="219">
        <f>IFERROR(__xludf.DUMMYFUNCTION("""COMPUTED_VALUE"""),45764.58333333333)</f>
        <v>45764.58333</v>
      </c>
      <c r="J378" s="190">
        <f>IFERROR(__xludf.DUMMYFUNCTION("""COMPUTED_VALUE"""),1.0)</f>
        <v>1</v>
      </c>
      <c r="K378" s="190" t="str">
        <f>IFERROR(__xludf.DUMMYFUNCTION("""COMPUTED_VALUE"""),"")</f>
        <v/>
      </c>
      <c r="L378" s="190" t="str">
        <f>IFERROR(__xludf.DUMMYFUNCTION("""COMPUTED_VALUE"""),"QC")</f>
        <v>QC</v>
      </c>
      <c r="M378" s="190" t="str">
        <f>IFERROR(__xludf.DUMMYFUNCTION("""COMPUTED_VALUE"""),"LBU")</f>
        <v>LBU</v>
      </c>
      <c r="N378" s="220">
        <f>IFERROR(__xludf.DUMMYFUNCTION("""COMPUTED_VALUE"""),1.0)</f>
        <v>1</v>
      </c>
      <c r="O378" s="220">
        <f>IFERROR(__xludf.DUMMYFUNCTION("""COMPUTED_VALUE"""),0.0)</f>
        <v>0</v>
      </c>
      <c r="P378" s="220"/>
      <c r="R378" s="210"/>
      <c r="S378" s="210"/>
      <c r="T378" s="210"/>
      <c r="U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row>
    <row r="379">
      <c r="A379" s="223" t="str">
        <f>IFERROR(__xludf.DUMMYFUNCTION("""COMPUTED_VALUE"""),"247263")</f>
        <v>247263</v>
      </c>
      <c r="B379" s="190" t="str">
        <f>IFERROR(__xludf.DUMMYFUNCTION("""COMPUTED_VALUE"""),"NGUYỄN TRẦN HOÀI MỸ")</f>
        <v>NGUYỄN TRẦN HOÀI MỸ</v>
      </c>
      <c r="C379" s="223" t="str">
        <f>IFERROR(__xludf.DUMMYFUNCTION("""COMPUTED_VALUE"""),"EL034")</f>
        <v>EL034</v>
      </c>
      <c r="D379" s="223" t="str">
        <f>IFERROR(__xludf.DUMMYFUNCTION("""COMPUTED_VALUE"""),"Thuong Tran")</f>
        <v>Thuong Tran</v>
      </c>
      <c r="E379" s="190" t="str">
        <f>IFERROR(__xludf.DUMMYFUNCTION("""COMPUTED_VALUE"""),"Communication 1")</f>
        <v>Communication 1</v>
      </c>
      <c r="F379" s="190" t="str">
        <f>IFERROR(__xludf.DUMMYFUNCTION("""COMPUTED_VALUE"""),"Beginner")</f>
        <v>Beginner</v>
      </c>
      <c r="G379" s="190" t="str">
        <f>IFERROR(__xludf.DUMMYFUNCTION("""COMPUTED_VALUE"""),"Pre-Intermediate 1")</f>
        <v>Pre-Intermediate 1</v>
      </c>
      <c r="H379" s="219">
        <f>IFERROR(__xludf.DUMMYFUNCTION("""COMPUTED_VALUE"""),45764.58333333333)</f>
        <v>45764.58333</v>
      </c>
      <c r="I379" s="219">
        <f>IFERROR(__xludf.DUMMYFUNCTION("""COMPUTED_VALUE"""),45764.58333333333)</f>
        <v>45764.58333</v>
      </c>
      <c r="J379" s="190">
        <f>IFERROR(__xludf.DUMMYFUNCTION("""COMPUTED_VALUE"""),1.0)</f>
        <v>1</v>
      </c>
      <c r="K379" s="190">
        <f>IFERROR(__xludf.DUMMYFUNCTION("""COMPUTED_VALUE"""),3.0)</f>
        <v>3</v>
      </c>
      <c r="L379" s="190" t="str">
        <f>IFERROR(__xludf.DUMMYFUNCTION("""COMPUTED_VALUE"""),"GSD")</f>
        <v>GSD</v>
      </c>
      <c r="M379" s="190" t="str">
        <f>IFERROR(__xludf.DUMMYFUNCTION("""COMPUTED_VALUE"""),"MOC")</f>
        <v>MOC</v>
      </c>
      <c r="N379" s="220">
        <f>IFERROR(__xludf.DUMMYFUNCTION("""COMPUTED_VALUE"""),1.0)</f>
        <v>1</v>
      </c>
      <c r="O379" s="220">
        <f>IFERROR(__xludf.DUMMYFUNCTION("""COMPUTED_VALUE"""),5.0)</f>
        <v>5</v>
      </c>
      <c r="P379" s="220"/>
      <c r="R379" s="210"/>
      <c r="S379" s="210"/>
      <c r="T379" s="210"/>
      <c r="U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row>
    <row r="380">
      <c r="A380" s="223" t="str">
        <f>IFERROR(__xludf.DUMMYFUNCTION("""COMPUTED_VALUE"""),"247088")</f>
        <v>247088</v>
      </c>
      <c r="B380" s="190" t="str">
        <f>IFERROR(__xludf.DUMMYFUNCTION("""COMPUTED_VALUE"""),"NGUYỄN VĂN HÙNG")</f>
        <v>NGUYỄN VĂN HÙNG</v>
      </c>
      <c r="C380" s="223" t="str">
        <f>IFERROR(__xludf.DUMMYFUNCTION("""COMPUTED_VALUE"""),"EL034")</f>
        <v>EL034</v>
      </c>
      <c r="D380" s="223" t="str">
        <f>IFERROR(__xludf.DUMMYFUNCTION("""COMPUTED_VALUE"""),"Thuong Tran")</f>
        <v>Thuong Tran</v>
      </c>
      <c r="E380" s="190" t="str">
        <f>IFERROR(__xludf.DUMMYFUNCTION("""COMPUTED_VALUE"""),"Communication 1")</f>
        <v>Communication 1</v>
      </c>
      <c r="F380" s="190" t="str">
        <f>IFERROR(__xludf.DUMMYFUNCTION("""COMPUTED_VALUE"""),"Beginner")</f>
        <v>Beginner</v>
      </c>
      <c r="G380" s="190" t="str">
        <f>IFERROR(__xludf.DUMMYFUNCTION("""COMPUTED_VALUE"""),"Pre-Intermediate 1")</f>
        <v>Pre-Intermediate 1</v>
      </c>
      <c r="H380" s="219">
        <f>IFERROR(__xludf.DUMMYFUNCTION("""COMPUTED_VALUE"""),45764.58333333333)</f>
        <v>45764.58333</v>
      </c>
      <c r="I380" s="219">
        <f>IFERROR(__xludf.DUMMYFUNCTION("""COMPUTED_VALUE"""),45764.58333333333)</f>
        <v>45764.58333</v>
      </c>
      <c r="J380" s="190">
        <f>IFERROR(__xludf.DUMMYFUNCTION("""COMPUTED_VALUE"""),1.0)</f>
        <v>1</v>
      </c>
      <c r="K380" s="190">
        <f>IFERROR(__xludf.DUMMYFUNCTION("""COMPUTED_VALUE"""),3.0)</f>
        <v>3</v>
      </c>
      <c r="L380" s="190" t="str">
        <f>IFERROR(__xludf.DUMMYFUNCTION("""COMPUTED_VALUE"""),"GSD")</f>
        <v>GSD</v>
      </c>
      <c r="M380" s="190" t="str">
        <f>IFERROR(__xludf.DUMMYFUNCTION("""COMPUTED_VALUE"""),"MOC")</f>
        <v>MOC</v>
      </c>
      <c r="N380" s="220">
        <f>IFERROR(__xludf.DUMMYFUNCTION("""COMPUTED_VALUE"""),1.0)</f>
        <v>1</v>
      </c>
      <c r="O380" s="220">
        <f>IFERROR(__xludf.DUMMYFUNCTION("""COMPUTED_VALUE"""),5.5)</f>
        <v>5.5</v>
      </c>
      <c r="P380" s="220"/>
      <c r="R380" s="210"/>
      <c r="S380" s="210"/>
      <c r="T380" s="210"/>
      <c r="U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row>
    <row r="381">
      <c r="A381" s="223" t="str">
        <f>IFERROR(__xludf.DUMMYFUNCTION("""COMPUTED_VALUE"""),"247262")</f>
        <v>247262</v>
      </c>
      <c r="B381" s="190" t="str">
        <f>IFERROR(__xludf.DUMMYFUNCTION("""COMPUTED_VALUE"""),"TÔN THÀNH AN")</f>
        <v>TÔN THÀNH AN</v>
      </c>
      <c r="C381" s="223" t="str">
        <f>IFERROR(__xludf.DUMMYFUNCTION("""COMPUTED_VALUE"""),"EL034")</f>
        <v>EL034</v>
      </c>
      <c r="D381" s="223" t="str">
        <f>IFERROR(__xludf.DUMMYFUNCTION("""COMPUTED_VALUE"""),"Thuong Tran")</f>
        <v>Thuong Tran</v>
      </c>
      <c r="E381" s="190" t="str">
        <f>IFERROR(__xludf.DUMMYFUNCTION("""COMPUTED_VALUE"""),"Communication 1")</f>
        <v>Communication 1</v>
      </c>
      <c r="F381" s="190" t="str">
        <f>IFERROR(__xludf.DUMMYFUNCTION("""COMPUTED_VALUE"""),"Beginner")</f>
        <v>Beginner</v>
      </c>
      <c r="G381" s="190" t="str">
        <f>IFERROR(__xludf.DUMMYFUNCTION("""COMPUTED_VALUE"""),"Pre-Intermediate 1")</f>
        <v>Pre-Intermediate 1</v>
      </c>
      <c r="H381" s="219">
        <f>IFERROR(__xludf.DUMMYFUNCTION("""COMPUTED_VALUE"""),45764.58333333333)</f>
        <v>45764.58333</v>
      </c>
      <c r="I381" s="219">
        <f>IFERROR(__xludf.DUMMYFUNCTION("""COMPUTED_VALUE"""),45764.58333333333)</f>
        <v>45764.58333</v>
      </c>
      <c r="J381" s="190">
        <f>IFERROR(__xludf.DUMMYFUNCTION("""COMPUTED_VALUE"""),1.0)</f>
        <v>1</v>
      </c>
      <c r="K381" s="190">
        <f>IFERROR(__xludf.DUMMYFUNCTION("""COMPUTED_VALUE"""),3.0)</f>
        <v>3</v>
      </c>
      <c r="L381" s="190" t="str">
        <f>IFERROR(__xludf.DUMMYFUNCTION("""COMPUTED_VALUE"""),"GSD")</f>
        <v>GSD</v>
      </c>
      <c r="M381" s="190" t="str">
        <f>IFERROR(__xludf.DUMMYFUNCTION("""COMPUTED_VALUE"""),"MOC")</f>
        <v>MOC</v>
      </c>
      <c r="N381" s="220">
        <f>IFERROR(__xludf.DUMMYFUNCTION("""COMPUTED_VALUE"""),1.0)</f>
        <v>1</v>
      </c>
      <c r="O381" s="220">
        <f>IFERROR(__xludf.DUMMYFUNCTION("""COMPUTED_VALUE"""),5.0)</f>
        <v>5</v>
      </c>
      <c r="P381" s="220"/>
      <c r="R381" s="210"/>
      <c r="S381" s="210"/>
      <c r="T381" s="210"/>
      <c r="U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row>
    <row r="382">
      <c r="A382" s="223" t="str">
        <f>IFERROR(__xludf.DUMMYFUNCTION("""COMPUTED_VALUE"""),"227097")</f>
        <v>227097</v>
      </c>
      <c r="B382" s="190" t="str">
        <f>IFERROR(__xludf.DUMMYFUNCTION("""COMPUTED_VALUE"""),"TRẦN MINH TRUNG")</f>
        <v>TRẦN MINH TRUNG</v>
      </c>
      <c r="C382" s="223" t="str">
        <f>IFERROR(__xludf.DUMMYFUNCTION("""COMPUTED_VALUE"""),"EL034")</f>
        <v>EL034</v>
      </c>
      <c r="D382" s="223" t="str">
        <f>IFERROR(__xludf.DUMMYFUNCTION("""COMPUTED_VALUE"""),"Thuong Tran")</f>
        <v>Thuong Tran</v>
      </c>
      <c r="E382" s="190" t="str">
        <f>IFERROR(__xludf.DUMMYFUNCTION("""COMPUTED_VALUE"""),"Communication 1")</f>
        <v>Communication 1</v>
      </c>
      <c r="F382" s="190" t="str">
        <f>IFERROR(__xludf.DUMMYFUNCTION("""COMPUTED_VALUE"""),"Beginner")</f>
        <v>Beginner</v>
      </c>
      <c r="G382" s="190" t="str">
        <f>IFERROR(__xludf.DUMMYFUNCTION("""COMPUTED_VALUE"""),"Pre-Intermediate 1")</f>
        <v>Pre-Intermediate 1</v>
      </c>
      <c r="H382" s="219">
        <f>IFERROR(__xludf.DUMMYFUNCTION("""COMPUTED_VALUE"""),45764.58333333333)</f>
        <v>45764.58333</v>
      </c>
      <c r="I382" s="219">
        <f>IFERROR(__xludf.DUMMYFUNCTION("""COMPUTED_VALUE"""),45764.58333333333)</f>
        <v>45764.58333</v>
      </c>
      <c r="J382" s="190">
        <f>IFERROR(__xludf.DUMMYFUNCTION("""COMPUTED_VALUE"""),1.0)</f>
        <v>1</v>
      </c>
      <c r="K382" s="190">
        <f>IFERROR(__xludf.DUMMYFUNCTION("""COMPUTED_VALUE"""),3.0)</f>
        <v>3</v>
      </c>
      <c r="L382" s="190" t="str">
        <f>IFERROR(__xludf.DUMMYFUNCTION("""COMPUTED_VALUE"""),"GSD")</f>
        <v>GSD</v>
      </c>
      <c r="M382" s="190" t="str">
        <f>IFERROR(__xludf.DUMMYFUNCTION("""COMPUTED_VALUE"""),"MOC")</f>
        <v>MOC</v>
      </c>
      <c r="N382" s="220">
        <f>IFERROR(__xludf.DUMMYFUNCTION("""COMPUTED_VALUE"""),1.0)</f>
        <v>1</v>
      </c>
      <c r="O382" s="220">
        <f>IFERROR(__xludf.DUMMYFUNCTION("""COMPUTED_VALUE"""),3.0)</f>
        <v>3</v>
      </c>
      <c r="P382" s="220"/>
      <c r="R382" s="210"/>
      <c r="S382" s="210"/>
      <c r="T382" s="210"/>
      <c r="U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row>
    <row r="383">
      <c r="A383" s="223" t="str">
        <f>IFERROR(__xludf.DUMMYFUNCTION("""COMPUTED_VALUE"""),"237147")</f>
        <v>237147</v>
      </c>
      <c r="B383" s="190" t="str">
        <f>IFERROR(__xludf.DUMMYFUNCTION("""COMPUTED_VALUE"""),"TRẦN THỊ HOÀI THƯƠNG")</f>
        <v>TRẦN THỊ HOÀI THƯƠNG</v>
      </c>
      <c r="C383" s="223" t="str">
        <f>IFERROR(__xludf.DUMMYFUNCTION("""COMPUTED_VALUE"""),"EL034")</f>
        <v>EL034</v>
      </c>
      <c r="D383" s="223" t="str">
        <f>IFERROR(__xludf.DUMMYFUNCTION("""COMPUTED_VALUE"""),"Thuong Tran")</f>
        <v>Thuong Tran</v>
      </c>
      <c r="E383" s="190" t="str">
        <f>IFERROR(__xludf.DUMMYFUNCTION("""COMPUTED_VALUE"""),"Communication 2")</f>
        <v>Communication 2</v>
      </c>
      <c r="F383" s="190" t="str">
        <f>IFERROR(__xludf.DUMMYFUNCTION("""COMPUTED_VALUE"""),"Pre-Intermediate 1")</f>
        <v>Pre-Intermediate 1</v>
      </c>
      <c r="G383" s="190" t="str">
        <f>IFERROR(__xludf.DUMMYFUNCTION("""COMPUTED_VALUE"""),"Intermediate 1")</f>
        <v>Intermediate 1</v>
      </c>
      <c r="H383" s="219">
        <f>IFERROR(__xludf.DUMMYFUNCTION("""COMPUTED_VALUE"""),45882.58333333333)</f>
        <v>45882.58333</v>
      </c>
      <c r="I383" s="219">
        <f>IFERROR(__xludf.DUMMYFUNCTION("""COMPUTED_VALUE"""),45764.58333333333)</f>
        <v>45764.58333</v>
      </c>
      <c r="J383" s="190">
        <f>IFERROR(__xludf.DUMMYFUNCTION("""COMPUTED_VALUE"""),3.0)</f>
        <v>3</v>
      </c>
      <c r="K383" s="190">
        <f>IFERROR(__xludf.DUMMYFUNCTION("""COMPUTED_VALUE"""),5.0)</f>
        <v>5</v>
      </c>
      <c r="L383" s="190" t="str">
        <f>IFERROR(__xludf.DUMMYFUNCTION("""COMPUTED_VALUE"""),"GSD")</f>
        <v>GSD</v>
      </c>
      <c r="M383" s="190" t="str">
        <f>IFERROR(__xludf.DUMMYFUNCTION("""COMPUTED_VALUE"""),"MOC")</f>
        <v>MOC</v>
      </c>
      <c r="N383" s="220">
        <f>IFERROR(__xludf.DUMMYFUNCTION("""COMPUTED_VALUE"""),1.0)</f>
        <v>1</v>
      </c>
      <c r="O383" s="220">
        <f>IFERROR(__xludf.DUMMYFUNCTION("""COMPUTED_VALUE"""),5.0)</f>
        <v>5</v>
      </c>
      <c r="P383" s="220"/>
      <c r="R383" s="210"/>
      <c r="S383" s="210"/>
      <c r="T383" s="210"/>
      <c r="U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row>
    <row r="384">
      <c r="A384" s="223" t="str">
        <f>IFERROR(__xludf.DUMMYFUNCTION("""COMPUTED_VALUE"""),"213859")</f>
        <v>213859</v>
      </c>
      <c r="B384" s="190" t="str">
        <f>IFERROR(__xludf.DUMMYFUNCTION("""COMPUTED_VALUE"""),"LÂM THỊ YẾN NHI")</f>
        <v>LÂM THỊ YẾN NHI</v>
      </c>
      <c r="C384" s="223" t="str">
        <f>IFERROR(__xludf.DUMMYFUNCTION("""COMPUTED_VALUE"""),"EL034")</f>
        <v>EL034</v>
      </c>
      <c r="D384" s="223" t="str">
        <f>IFERROR(__xludf.DUMMYFUNCTION("""COMPUTED_VALUE"""),"Thuong Tran")</f>
        <v>Thuong Tran</v>
      </c>
      <c r="E384" s="190" t="str">
        <f>IFERROR(__xludf.DUMMYFUNCTION("""COMPUTED_VALUE"""),"Communication 2")</f>
        <v>Communication 2</v>
      </c>
      <c r="F384" s="190" t="str">
        <f>IFERROR(__xludf.DUMMYFUNCTION("""COMPUTED_VALUE"""),"Pre-Intermediate 2")</f>
        <v>Pre-Intermediate 2</v>
      </c>
      <c r="G384" s="190" t="str">
        <f>IFERROR(__xludf.DUMMYFUNCTION("""COMPUTED_VALUE"""),"Intermediate 2")</f>
        <v>Intermediate 2</v>
      </c>
      <c r="H384" s="219">
        <f>IFERROR(__xludf.DUMMYFUNCTION("""COMPUTED_VALUE"""),45882.58333333333)</f>
        <v>45882.58333</v>
      </c>
      <c r="I384" s="219">
        <f>IFERROR(__xludf.DUMMYFUNCTION("""COMPUTED_VALUE"""),45764.58333333333)</f>
        <v>45764.58333</v>
      </c>
      <c r="J384" s="190">
        <f>IFERROR(__xludf.DUMMYFUNCTION("""COMPUTED_VALUE"""),3.5)</f>
        <v>3.5</v>
      </c>
      <c r="K384" s="190">
        <f>IFERROR(__xludf.DUMMYFUNCTION("""COMPUTED_VALUE"""),5.5)</f>
        <v>5.5</v>
      </c>
      <c r="L384" s="190" t="str">
        <f>IFERROR(__xludf.DUMMYFUNCTION("""COMPUTED_VALUE"""),"GSD")</f>
        <v>GSD</v>
      </c>
      <c r="M384" s="190" t="str">
        <f>IFERROR(__xludf.DUMMYFUNCTION("""COMPUTED_VALUE"""),"MOC")</f>
        <v>MOC</v>
      </c>
      <c r="N384" s="220">
        <f>IFERROR(__xludf.DUMMYFUNCTION("""COMPUTED_VALUE"""),2.5)</f>
        <v>2.5</v>
      </c>
      <c r="O384" s="220">
        <f>IFERROR(__xludf.DUMMYFUNCTION("""COMPUTED_VALUE"""),5.5)</f>
        <v>5.5</v>
      </c>
      <c r="P384" s="220"/>
      <c r="R384" s="210"/>
      <c r="S384" s="210"/>
      <c r="T384" s="210"/>
      <c r="U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row>
    <row r="385">
      <c r="A385" s="223" t="str">
        <f>IFERROR(__xludf.DUMMYFUNCTION("""COMPUTED_VALUE"""),"193632")</f>
        <v>193632</v>
      </c>
      <c r="B385" s="190" t="str">
        <f>IFERROR(__xludf.DUMMYFUNCTION("""COMPUTED_VALUE"""),"NGUYỄN THÁI SƠN")</f>
        <v>NGUYỄN THÁI SƠN</v>
      </c>
      <c r="C385" s="223" t="str">
        <f>IFERROR(__xludf.DUMMYFUNCTION("""COMPUTED_VALUE"""),"EL034")</f>
        <v>EL034</v>
      </c>
      <c r="D385" s="223" t="str">
        <f>IFERROR(__xludf.DUMMYFUNCTION("""COMPUTED_VALUE"""),"Thuong Tran")</f>
        <v>Thuong Tran</v>
      </c>
      <c r="E385" s="190" t="str">
        <f>IFERROR(__xludf.DUMMYFUNCTION("""COMPUTED_VALUE"""),"Communication 2")</f>
        <v>Communication 2</v>
      </c>
      <c r="F385" s="190" t="str">
        <f>IFERROR(__xludf.DUMMYFUNCTION("""COMPUTED_VALUE"""),"Beginner 2")</f>
        <v>Beginner 2</v>
      </c>
      <c r="G385" s="190" t="str">
        <f>IFERROR(__xludf.DUMMYFUNCTION("""COMPUTED_VALUE"""),"Intermediate 1")</f>
        <v>Intermediate 1</v>
      </c>
      <c r="H385" s="219">
        <f>IFERROR(__xludf.DUMMYFUNCTION("""COMPUTED_VALUE"""),45882.58333333333)</f>
        <v>45882.58333</v>
      </c>
      <c r="I385" s="219">
        <f>IFERROR(__xludf.DUMMYFUNCTION("""COMPUTED_VALUE"""),45764.58333333333)</f>
        <v>45764.58333</v>
      </c>
      <c r="J385" s="190">
        <f>IFERROR(__xludf.DUMMYFUNCTION("""COMPUTED_VALUE"""),1.5)</f>
        <v>1.5</v>
      </c>
      <c r="K385" s="190">
        <f>IFERROR(__xludf.DUMMYFUNCTION("""COMPUTED_VALUE"""),5.0)</f>
        <v>5</v>
      </c>
      <c r="L385" s="190" t="str">
        <f>IFERROR(__xludf.DUMMYFUNCTION("""COMPUTED_VALUE"""),"GSD")</f>
        <v>GSD</v>
      </c>
      <c r="M385" s="190" t="str">
        <f>IFERROR(__xludf.DUMMYFUNCTION("""COMPUTED_VALUE"""),"MOC")</f>
        <v>MOC</v>
      </c>
      <c r="N385" s="220">
        <f>IFERROR(__xludf.DUMMYFUNCTION("""COMPUTED_VALUE"""),1.0)</f>
        <v>1</v>
      </c>
      <c r="O385" s="220">
        <f>IFERROR(__xludf.DUMMYFUNCTION("""COMPUTED_VALUE"""),5.0)</f>
        <v>5</v>
      </c>
      <c r="P385" s="220"/>
      <c r="R385" s="210"/>
      <c r="S385" s="210"/>
      <c r="T385" s="210"/>
      <c r="U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row>
    <row r="386">
      <c r="A386" s="223" t="str">
        <f>IFERROR(__xludf.DUMMYFUNCTION("""COMPUTED_VALUE"""),"247263")</f>
        <v>247263</v>
      </c>
      <c r="B386" s="190" t="str">
        <f>IFERROR(__xludf.DUMMYFUNCTION("""COMPUTED_VALUE"""),"NGUYỄN TRẦN HOÀI MỸ")</f>
        <v>NGUYỄN TRẦN HOÀI MỸ</v>
      </c>
      <c r="C386" s="223" t="str">
        <f>IFERROR(__xludf.DUMMYFUNCTION("""COMPUTED_VALUE"""),"EL034")</f>
        <v>EL034</v>
      </c>
      <c r="D386" s="223" t="str">
        <f>IFERROR(__xludf.DUMMYFUNCTION("""COMPUTED_VALUE"""),"Thuong Tran")</f>
        <v>Thuong Tran</v>
      </c>
      <c r="E386" s="190" t="str">
        <f>IFERROR(__xludf.DUMMYFUNCTION("""COMPUTED_VALUE"""),"Communication 2")</f>
        <v>Communication 2</v>
      </c>
      <c r="F386" s="190" t="str">
        <f>IFERROR(__xludf.DUMMYFUNCTION("""COMPUTED_VALUE"""),"Pre-Intermediate 1")</f>
        <v>Pre-Intermediate 1</v>
      </c>
      <c r="G386" s="190" t="str">
        <f>IFERROR(__xludf.DUMMYFUNCTION("""COMPUTED_VALUE"""),"Intermediate 1")</f>
        <v>Intermediate 1</v>
      </c>
      <c r="H386" s="219">
        <f>IFERROR(__xludf.DUMMYFUNCTION("""COMPUTED_VALUE"""),45882.58333333333)</f>
        <v>45882.58333</v>
      </c>
      <c r="I386" s="219">
        <f>IFERROR(__xludf.DUMMYFUNCTION("""COMPUTED_VALUE"""),45764.58333333333)</f>
        <v>45764.58333</v>
      </c>
      <c r="J386" s="190">
        <f>IFERROR(__xludf.DUMMYFUNCTION("""COMPUTED_VALUE"""),3.0)</f>
        <v>3</v>
      </c>
      <c r="K386" s="190">
        <f>IFERROR(__xludf.DUMMYFUNCTION("""COMPUTED_VALUE"""),5.0)</f>
        <v>5</v>
      </c>
      <c r="L386" s="190" t="str">
        <f>IFERROR(__xludf.DUMMYFUNCTION("""COMPUTED_VALUE"""),"GSD")</f>
        <v>GSD</v>
      </c>
      <c r="M386" s="190" t="str">
        <f>IFERROR(__xludf.DUMMYFUNCTION("""COMPUTED_VALUE"""),"MOC")</f>
        <v>MOC</v>
      </c>
      <c r="N386" s="220">
        <f>IFERROR(__xludf.DUMMYFUNCTION("""COMPUTED_VALUE"""),1.0)</f>
        <v>1</v>
      </c>
      <c r="O386" s="220">
        <f>IFERROR(__xludf.DUMMYFUNCTION("""COMPUTED_VALUE"""),5.0)</f>
        <v>5</v>
      </c>
      <c r="P386" s="220"/>
      <c r="R386" s="210"/>
      <c r="S386" s="210"/>
      <c r="T386" s="210"/>
      <c r="U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row>
    <row r="387">
      <c r="A387" s="223" t="str">
        <f>IFERROR(__xludf.DUMMYFUNCTION("""COMPUTED_VALUE"""),"247088")</f>
        <v>247088</v>
      </c>
      <c r="B387" s="190" t="str">
        <f>IFERROR(__xludf.DUMMYFUNCTION("""COMPUTED_VALUE"""),"NGUYỄN VĂN HÙNG")</f>
        <v>NGUYỄN VĂN HÙNG</v>
      </c>
      <c r="C387" s="223" t="str">
        <f>IFERROR(__xludf.DUMMYFUNCTION("""COMPUTED_VALUE"""),"EL034")</f>
        <v>EL034</v>
      </c>
      <c r="D387" s="223" t="str">
        <f>IFERROR(__xludf.DUMMYFUNCTION("""COMPUTED_VALUE"""),"Thuong Tran")</f>
        <v>Thuong Tran</v>
      </c>
      <c r="E387" s="190" t="str">
        <f>IFERROR(__xludf.DUMMYFUNCTION("""COMPUTED_VALUE"""),"Communication 2")</f>
        <v>Communication 2</v>
      </c>
      <c r="F387" s="190" t="str">
        <f>IFERROR(__xludf.DUMMYFUNCTION("""COMPUTED_VALUE"""),"Pre-Intermediate 1")</f>
        <v>Pre-Intermediate 1</v>
      </c>
      <c r="G387" s="190" t="str">
        <f>IFERROR(__xludf.DUMMYFUNCTION("""COMPUTED_VALUE"""),"Intermediate 2")</f>
        <v>Intermediate 2</v>
      </c>
      <c r="H387" s="219">
        <f>IFERROR(__xludf.DUMMYFUNCTION("""COMPUTED_VALUE"""),45882.58333333333)</f>
        <v>45882.58333</v>
      </c>
      <c r="I387" s="219">
        <f>IFERROR(__xludf.DUMMYFUNCTION("""COMPUTED_VALUE"""),45764.58333333333)</f>
        <v>45764.58333</v>
      </c>
      <c r="J387" s="190">
        <f>IFERROR(__xludf.DUMMYFUNCTION("""COMPUTED_VALUE"""),3.0)</f>
        <v>3</v>
      </c>
      <c r="K387" s="190">
        <f>IFERROR(__xludf.DUMMYFUNCTION("""COMPUTED_VALUE"""),5.5)</f>
        <v>5.5</v>
      </c>
      <c r="L387" s="190" t="str">
        <f>IFERROR(__xludf.DUMMYFUNCTION("""COMPUTED_VALUE"""),"GSD")</f>
        <v>GSD</v>
      </c>
      <c r="M387" s="190" t="str">
        <f>IFERROR(__xludf.DUMMYFUNCTION("""COMPUTED_VALUE"""),"MOC")</f>
        <v>MOC</v>
      </c>
      <c r="N387" s="220">
        <f>IFERROR(__xludf.DUMMYFUNCTION("""COMPUTED_VALUE"""),1.0)</f>
        <v>1</v>
      </c>
      <c r="O387" s="220">
        <f>IFERROR(__xludf.DUMMYFUNCTION("""COMPUTED_VALUE"""),5.5)</f>
        <v>5.5</v>
      </c>
      <c r="P387" s="220"/>
      <c r="R387" s="210"/>
      <c r="S387" s="210"/>
      <c r="T387" s="210"/>
      <c r="U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row>
    <row r="388">
      <c r="A388" s="223" t="str">
        <f>IFERROR(__xludf.DUMMYFUNCTION("""COMPUTED_VALUE"""),"247262")</f>
        <v>247262</v>
      </c>
      <c r="B388" s="190" t="str">
        <f>IFERROR(__xludf.DUMMYFUNCTION("""COMPUTED_VALUE"""),"TÔN THÀNH AN")</f>
        <v>TÔN THÀNH AN</v>
      </c>
      <c r="C388" s="223" t="str">
        <f>IFERROR(__xludf.DUMMYFUNCTION("""COMPUTED_VALUE"""),"EL034")</f>
        <v>EL034</v>
      </c>
      <c r="D388" s="223" t="str">
        <f>IFERROR(__xludf.DUMMYFUNCTION("""COMPUTED_VALUE"""),"Thuong Tran")</f>
        <v>Thuong Tran</v>
      </c>
      <c r="E388" s="190" t="str">
        <f>IFERROR(__xludf.DUMMYFUNCTION("""COMPUTED_VALUE"""),"Communication 2")</f>
        <v>Communication 2</v>
      </c>
      <c r="F388" s="190" t="str">
        <f>IFERROR(__xludf.DUMMYFUNCTION("""COMPUTED_VALUE"""),"Pre-Intermediate 1")</f>
        <v>Pre-Intermediate 1</v>
      </c>
      <c r="G388" s="190" t="str">
        <f>IFERROR(__xludf.DUMMYFUNCTION("""COMPUTED_VALUE"""),"Intermediate 1")</f>
        <v>Intermediate 1</v>
      </c>
      <c r="H388" s="219">
        <f>IFERROR(__xludf.DUMMYFUNCTION("""COMPUTED_VALUE"""),45882.58333333333)</f>
        <v>45882.58333</v>
      </c>
      <c r="I388" s="219">
        <f>IFERROR(__xludf.DUMMYFUNCTION("""COMPUTED_VALUE"""),45764.58333333333)</f>
        <v>45764.58333</v>
      </c>
      <c r="J388" s="190">
        <f>IFERROR(__xludf.DUMMYFUNCTION("""COMPUTED_VALUE"""),3.0)</f>
        <v>3</v>
      </c>
      <c r="K388" s="190">
        <f>IFERROR(__xludf.DUMMYFUNCTION("""COMPUTED_VALUE"""),5.0)</f>
        <v>5</v>
      </c>
      <c r="L388" s="190" t="str">
        <f>IFERROR(__xludf.DUMMYFUNCTION("""COMPUTED_VALUE"""),"GSD")</f>
        <v>GSD</v>
      </c>
      <c r="M388" s="190" t="str">
        <f>IFERROR(__xludf.DUMMYFUNCTION("""COMPUTED_VALUE"""),"MOC")</f>
        <v>MOC</v>
      </c>
      <c r="N388" s="220">
        <f>IFERROR(__xludf.DUMMYFUNCTION("""COMPUTED_VALUE"""),1.0)</f>
        <v>1</v>
      </c>
      <c r="O388" s="220">
        <f>IFERROR(__xludf.DUMMYFUNCTION("""COMPUTED_VALUE"""),5.0)</f>
        <v>5</v>
      </c>
      <c r="P388" s="220"/>
      <c r="R388" s="210"/>
      <c r="S388" s="210"/>
      <c r="T388" s="210"/>
      <c r="U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row>
    <row r="389">
      <c r="A389" s="223" t="str">
        <f>IFERROR(__xludf.DUMMYFUNCTION("""COMPUTED_VALUE"""),"227097")</f>
        <v>227097</v>
      </c>
      <c r="B389" s="190" t="str">
        <f>IFERROR(__xludf.DUMMYFUNCTION("""COMPUTED_VALUE"""),"TRẦN MINH TRUNG")</f>
        <v>TRẦN MINH TRUNG</v>
      </c>
      <c r="C389" s="223" t="str">
        <f>IFERROR(__xludf.DUMMYFUNCTION("""COMPUTED_VALUE"""),"EL034")</f>
        <v>EL034</v>
      </c>
      <c r="D389" s="223" t="str">
        <f>IFERROR(__xludf.DUMMYFUNCTION("""COMPUTED_VALUE"""),"Thuong Tran")</f>
        <v>Thuong Tran</v>
      </c>
      <c r="E389" s="190" t="str">
        <f>IFERROR(__xludf.DUMMYFUNCTION("""COMPUTED_VALUE"""),"Communication 2")</f>
        <v>Communication 2</v>
      </c>
      <c r="F389" s="190" t="str">
        <f>IFERROR(__xludf.DUMMYFUNCTION("""COMPUTED_VALUE"""),"Intermediate")</f>
        <v>Intermediate</v>
      </c>
      <c r="G389" s="190"/>
      <c r="H389" s="219">
        <f>IFERROR(__xludf.DUMMYFUNCTION("""COMPUTED_VALUE"""),45882.58333333333)</f>
        <v>45882.58333</v>
      </c>
      <c r="I389" s="219">
        <f>IFERROR(__xludf.DUMMYFUNCTION("""COMPUTED_VALUE"""),45764.58333333333)</f>
        <v>45764.58333</v>
      </c>
      <c r="J389" s="190">
        <f>IFERROR(__xludf.DUMMYFUNCTION("""COMPUTED_VALUE"""),4.5)</f>
        <v>4.5</v>
      </c>
      <c r="K389" s="190" t="str">
        <f>IFERROR(__xludf.DUMMYFUNCTION("""COMPUTED_VALUE"""),"")</f>
        <v/>
      </c>
      <c r="L389" s="190" t="str">
        <f>IFERROR(__xludf.DUMMYFUNCTION("""COMPUTED_VALUE"""),"GSD")</f>
        <v>GSD</v>
      </c>
      <c r="M389" s="190" t="str">
        <f>IFERROR(__xludf.DUMMYFUNCTION("""COMPUTED_VALUE"""),"MOC")</f>
        <v>MOC</v>
      </c>
      <c r="N389" s="220">
        <f>IFERROR(__xludf.DUMMYFUNCTION("""COMPUTED_VALUE"""),1.0)</f>
        <v>1</v>
      </c>
      <c r="O389" s="220">
        <f>IFERROR(__xludf.DUMMYFUNCTION("""COMPUTED_VALUE"""),3.0)</f>
        <v>3</v>
      </c>
      <c r="P389" s="220"/>
      <c r="R389" s="210"/>
      <c r="S389" s="210"/>
      <c r="T389" s="210"/>
      <c r="U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row>
    <row r="390">
      <c r="A390" s="223" t="str">
        <f>IFERROR(__xludf.DUMMYFUNCTION("""COMPUTED_VALUE"""),"237183")</f>
        <v>237183</v>
      </c>
      <c r="B390" s="190" t="str">
        <f>IFERROR(__xludf.DUMMYFUNCTION("""COMPUTED_VALUE"""),"NGUYỄN LÊ HOÀNG VĂN")</f>
        <v>NGUYỄN LÊ HOÀNG VĂN</v>
      </c>
      <c r="C390" s="223" t="str">
        <f>IFERROR(__xludf.DUMMYFUNCTION("""COMPUTED_VALUE"""),"EL035")</f>
        <v>EL035</v>
      </c>
      <c r="D390" s="223" t="str">
        <f>IFERROR(__xludf.DUMMYFUNCTION("""COMPUTED_VALUE"""),"Van Nguyen")</f>
        <v>Van Nguyen</v>
      </c>
      <c r="E390" s="190" t="str">
        <f>IFERROR(__xludf.DUMMYFUNCTION("""COMPUTED_VALUE"""),"Business English")</f>
        <v>Business English</v>
      </c>
      <c r="F390" s="190"/>
      <c r="G390" s="190"/>
      <c r="H390" s="219">
        <f>IFERROR(__xludf.DUMMYFUNCTION("""COMPUTED_VALUE"""),46086.45833333333)</f>
        <v>46086.45833</v>
      </c>
      <c r="I390" s="219">
        <f>IFERROR(__xludf.DUMMYFUNCTION("""COMPUTED_VALUE"""),45764.45833333333)</f>
        <v>45764.45833</v>
      </c>
      <c r="J390" s="190" t="str">
        <f>IFERROR(__xludf.DUMMYFUNCTION("""COMPUTED_VALUE"""),"")</f>
        <v/>
      </c>
      <c r="K390" s="190" t="str">
        <f>IFERROR(__xludf.DUMMYFUNCTION("""COMPUTED_VALUE"""),"")</f>
        <v/>
      </c>
      <c r="L390" s="190" t="str">
        <f>IFERROR(__xludf.DUMMYFUNCTION("""COMPUTED_VALUE"""),"BC")</f>
        <v>BC</v>
      </c>
      <c r="M390" s="190" t="str">
        <f>IFERROR(__xludf.DUMMYFUNCTION("""COMPUTED_VALUE"""),"MOC")</f>
        <v>MOC</v>
      </c>
      <c r="N390" s="220">
        <f>IFERROR(__xludf.DUMMYFUNCTION("""COMPUTED_VALUE"""),1.0)</f>
        <v>1</v>
      </c>
      <c r="O390" s="220">
        <f>IFERROR(__xludf.DUMMYFUNCTION("""COMPUTED_VALUE"""),5.0)</f>
        <v>5</v>
      </c>
      <c r="P390" s="220"/>
      <c r="R390" s="210"/>
      <c r="S390" s="210"/>
      <c r="T390" s="210"/>
      <c r="U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row>
    <row r="391">
      <c r="A391" s="223" t="str">
        <f>IFERROR(__xludf.DUMMYFUNCTION("""COMPUTED_VALUE"""),"203746")</f>
        <v>203746</v>
      </c>
      <c r="B391" s="190" t="str">
        <f>IFERROR(__xludf.DUMMYFUNCTION("""COMPUTED_VALUE"""),"BẠCH NAM MINH TRÍ")</f>
        <v>BẠCH NAM MINH TRÍ</v>
      </c>
      <c r="C391" s="223" t="str">
        <f>IFERROR(__xludf.DUMMYFUNCTION("""COMPUTED_VALUE"""),"EL035")</f>
        <v>EL035</v>
      </c>
      <c r="D391" s="223" t="str">
        <f>IFERROR(__xludf.DUMMYFUNCTION("""COMPUTED_VALUE"""),"Van Nguyen")</f>
        <v>Van Nguyen</v>
      </c>
      <c r="E391" s="190" t="str">
        <f>IFERROR(__xludf.DUMMYFUNCTION("""COMPUTED_VALUE"""),"Business English")</f>
        <v>Business English</v>
      </c>
      <c r="F391" s="190"/>
      <c r="G391" s="190"/>
      <c r="H391" s="219">
        <f>IFERROR(__xludf.DUMMYFUNCTION("""COMPUTED_VALUE"""),46086.45833333333)</f>
        <v>46086.45833</v>
      </c>
      <c r="I391" s="219">
        <f>IFERROR(__xludf.DUMMYFUNCTION("""COMPUTED_VALUE"""),45764.45833333333)</f>
        <v>45764.45833</v>
      </c>
      <c r="J391" s="190" t="str">
        <f>IFERROR(__xludf.DUMMYFUNCTION("""COMPUTED_VALUE"""),"")</f>
        <v/>
      </c>
      <c r="K391" s="190" t="str">
        <f>IFERROR(__xludf.DUMMYFUNCTION("""COMPUTED_VALUE"""),"")</f>
        <v/>
      </c>
      <c r="L391" s="190" t="str">
        <f>IFERROR(__xludf.DUMMYFUNCTION("""COMPUTED_VALUE"""),"DEV")</f>
        <v>DEV</v>
      </c>
      <c r="M391" s="190" t="str">
        <f>IFERROR(__xludf.DUMMYFUNCTION("""COMPUTED_VALUE"""),"MOC")</f>
        <v>MOC</v>
      </c>
      <c r="N391" s="220">
        <f>IFERROR(__xludf.DUMMYFUNCTION("""COMPUTED_VALUE"""),0.0)</f>
        <v>0</v>
      </c>
      <c r="O391" s="220">
        <f>IFERROR(__xludf.DUMMYFUNCTION("""COMPUTED_VALUE"""),5.0)</f>
        <v>5</v>
      </c>
      <c r="P391" s="220"/>
      <c r="R391" s="210"/>
      <c r="S391" s="210"/>
      <c r="T391" s="210"/>
      <c r="U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row>
    <row r="392">
      <c r="A392" s="223" t="str">
        <f>IFERROR(__xludf.DUMMYFUNCTION("""COMPUTED_VALUE"""),"193588")</f>
        <v>193588</v>
      </c>
      <c r="B392" s="190" t="str">
        <f>IFERROR(__xludf.DUMMYFUNCTION("""COMPUTED_VALUE"""),"HÀ TRẦN TUẤN ANH")</f>
        <v>HÀ TRẦN TUẤN ANH</v>
      </c>
      <c r="C392" s="223" t="str">
        <f>IFERROR(__xludf.DUMMYFUNCTION("""COMPUTED_VALUE"""),"EL035")</f>
        <v>EL035</v>
      </c>
      <c r="D392" s="223" t="str">
        <f>IFERROR(__xludf.DUMMYFUNCTION("""COMPUTED_VALUE"""),"Van Nguyen")</f>
        <v>Van Nguyen</v>
      </c>
      <c r="E392" s="190" t="str">
        <f>IFERROR(__xludf.DUMMYFUNCTION("""COMPUTED_VALUE"""),"Business English")</f>
        <v>Business English</v>
      </c>
      <c r="F392" s="190"/>
      <c r="G392" s="190"/>
      <c r="H392" s="219">
        <f>IFERROR(__xludf.DUMMYFUNCTION("""COMPUTED_VALUE"""),46086.45833333333)</f>
        <v>46086.45833</v>
      </c>
      <c r="I392" s="219">
        <f>IFERROR(__xludf.DUMMYFUNCTION("""COMPUTED_VALUE"""),45764.41666666667)</f>
        <v>45764.41667</v>
      </c>
      <c r="J392" s="190" t="str">
        <f>IFERROR(__xludf.DUMMYFUNCTION("""COMPUTED_VALUE"""),"")</f>
        <v/>
      </c>
      <c r="K392" s="190" t="str">
        <f>IFERROR(__xludf.DUMMYFUNCTION("""COMPUTED_VALUE"""),"")</f>
        <v/>
      </c>
      <c r="L392" s="190" t="str">
        <f>IFERROR(__xludf.DUMMYFUNCTION("""COMPUTED_VALUE"""),"DEV")</f>
        <v>DEV</v>
      </c>
      <c r="M392" s="190" t="str">
        <f>IFERROR(__xludf.DUMMYFUNCTION("""COMPUTED_VALUE"""),"MOC")</f>
        <v>MOC</v>
      </c>
      <c r="N392" s="220">
        <f>IFERROR(__xludf.DUMMYFUNCTION("""COMPUTED_VALUE"""),1.0)</f>
        <v>1</v>
      </c>
      <c r="O392" s="220">
        <f>IFERROR(__xludf.DUMMYFUNCTION("""COMPUTED_VALUE"""),5.0)</f>
        <v>5</v>
      </c>
      <c r="P392" s="220"/>
      <c r="R392" s="210"/>
      <c r="S392" s="210"/>
      <c r="T392" s="210"/>
      <c r="U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row>
    <row r="393">
      <c r="A393" s="223" t="str">
        <f>IFERROR(__xludf.DUMMYFUNCTION("""COMPUTED_VALUE"""),"213889")</f>
        <v>213889</v>
      </c>
      <c r="B393" s="190" t="str">
        <f>IFERROR(__xludf.DUMMYFUNCTION("""COMPUTED_VALUE"""),"LÊ TRIỆU HUẤN")</f>
        <v>LÊ TRIỆU HUẤN</v>
      </c>
      <c r="C393" s="223" t="str">
        <f>IFERROR(__xludf.DUMMYFUNCTION("""COMPUTED_VALUE"""),"EL035")</f>
        <v>EL035</v>
      </c>
      <c r="D393" s="223" t="str">
        <f>IFERROR(__xludf.DUMMYFUNCTION("""COMPUTED_VALUE"""),"Van Nguyen")</f>
        <v>Van Nguyen</v>
      </c>
      <c r="E393" s="190" t="str">
        <f>IFERROR(__xludf.DUMMYFUNCTION("""COMPUTED_VALUE"""),"Business English")</f>
        <v>Business English</v>
      </c>
      <c r="F393" s="190"/>
      <c r="G393" s="190"/>
      <c r="H393" s="219">
        <f>IFERROR(__xludf.DUMMYFUNCTION("""COMPUTED_VALUE"""),46086.45833333333)</f>
        <v>46086.45833</v>
      </c>
      <c r="I393" s="219">
        <f>IFERROR(__xludf.DUMMYFUNCTION("""COMPUTED_VALUE"""),45765.58333333333)</f>
        <v>45765.58333</v>
      </c>
      <c r="J393" s="190" t="str">
        <f>IFERROR(__xludf.DUMMYFUNCTION("""COMPUTED_VALUE"""),"")</f>
        <v/>
      </c>
      <c r="K393" s="190" t="str">
        <f>IFERROR(__xludf.DUMMYFUNCTION("""COMPUTED_VALUE"""),"")</f>
        <v/>
      </c>
      <c r="L393" s="190" t="str">
        <f>IFERROR(__xludf.DUMMYFUNCTION("""COMPUTED_VALUE"""),"DEV")</f>
        <v>DEV</v>
      </c>
      <c r="M393" s="190" t="str">
        <f>IFERROR(__xludf.DUMMYFUNCTION("""COMPUTED_VALUE"""),"MOC")</f>
        <v>MOC</v>
      </c>
      <c r="N393" s="220">
        <f>IFERROR(__xludf.DUMMYFUNCTION("""COMPUTED_VALUE"""),1.0)</f>
        <v>1</v>
      </c>
      <c r="O393" s="220">
        <f>IFERROR(__xludf.DUMMYFUNCTION("""COMPUTED_VALUE"""),5.0)</f>
        <v>5</v>
      </c>
      <c r="P393" s="220"/>
      <c r="R393" s="210"/>
      <c r="S393" s="210"/>
      <c r="T393" s="210"/>
      <c r="U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row>
    <row r="394">
      <c r="A394" s="223" t="str">
        <f>IFERROR(__xludf.DUMMYFUNCTION("""COMPUTED_VALUE"""),"163188")</f>
        <v>163188</v>
      </c>
      <c r="B394" s="190" t="str">
        <f>IFERROR(__xludf.DUMMYFUNCTION("""COMPUTED_VALUE"""),"LƯƠNG CÔNG KỲ")</f>
        <v>LƯƠNG CÔNG KỲ</v>
      </c>
      <c r="C394" s="223" t="str">
        <f>IFERROR(__xludf.DUMMYFUNCTION("""COMPUTED_VALUE"""),"EL035")</f>
        <v>EL035</v>
      </c>
      <c r="D394" s="223" t="str">
        <f>IFERROR(__xludf.DUMMYFUNCTION("""COMPUTED_VALUE"""),"Van Nguyen")</f>
        <v>Van Nguyen</v>
      </c>
      <c r="E394" s="190" t="str">
        <f>IFERROR(__xludf.DUMMYFUNCTION("""COMPUTED_VALUE"""),"Business English")</f>
        <v>Business English</v>
      </c>
      <c r="F394" s="190"/>
      <c r="G394" s="190"/>
      <c r="H394" s="219">
        <f>IFERROR(__xludf.DUMMYFUNCTION("""COMPUTED_VALUE"""),46086.45833333333)</f>
        <v>46086.45833</v>
      </c>
      <c r="I394" s="219">
        <f>IFERROR(__xludf.DUMMYFUNCTION("""COMPUTED_VALUE"""),45765.375)</f>
        <v>45765.375</v>
      </c>
      <c r="J394" s="190" t="str">
        <f>IFERROR(__xludf.DUMMYFUNCTION("""COMPUTED_VALUE"""),"")</f>
        <v/>
      </c>
      <c r="K394" s="190" t="str">
        <f>IFERROR(__xludf.DUMMYFUNCTION("""COMPUTED_VALUE"""),"")</f>
        <v/>
      </c>
      <c r="L394" s="190" t="str">
        <f>IFERROR(__xludf.DUMMYFUNCTION("""COMPUTED_VALUE"""),"DEV")</f>
        <v>DEV</v>
      </c>
      <c r="M394" s="190" t="str">
        <f>IFERROR(__xludf.DUMMYFUNCTION("""COMPUTED_VALUE"""),"MOC")</f>
        <v>MOC</v>
      </c>
      <c r="N394" s="220">
        <f>IFERROR(__xludf.DUMMYFUNCTION("""COMPUTED_VALUE"""),1.0)</f>
        <v>1</v>
      </c>
      <c r="O394" s="220">
        <f>IFERROR(__xludf.DUMMYFUNCTION("""COMPUTED_VALUE"""),5.0)</f>
        <v>5</v>
      </c>
      <c r="P394" s="220"/>
      <c r="R394" s="210"/>
      <c r="S394" s="210"/>
      <c r="T394" s="210"/>
      <c r="U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row>
    <row r="395">
      <c r="A395" s="223" t="str">
        <f>IFERROR(__xludf.DUMMYFUNCTION("""COMPUTED_VALUE"""),"247119")</f>
        <v>247119</v>
      </c>
      <c r="B395" s="190" t="str">
        <f>IFERROR(__xludf.DUMMYFUNCTION("""COMPUTED_VALUE"""),"PHẠM HUY HOÀNG")</f>
        <v>PHẠM HUY HOÀNG</v>
      </c>
      <c r="C395" s="223" t="str">
        <f>IFERROR(__xludf.DUMMYFUNCTION("""COMPUTED_VALUE"""),"EL035")</f>
        <v>EL035</v>
      </c>
      <c r="D395" s="223" t="str">
        <f>IFERROR(__xludf.DUMMYFUNCTION("""COMPUTED_VALUE"""),"Van Nguyen")</f>
        <v>Van Nguyen</v>
      </c>
      <c r="E395" s="190" t="str">
        <f>IFERROR(__xludf.DUMMYFUNCTION("""COMPUTED_VALUE"""),"Business English")</f>
        <v>Business English</v>
      </c>
      <c r="F395" s="190"/>
      <c r="G395" s="190"/>
      <c r="H395" s="219">
        <f>IFERROR(__xludf.DUMMYFUNCTION("""COMPUTED_VALUE"""),46086.45833333333)</f>
        <v>46086.45833</v>
      </c>
      <c r="I395" s="219">
        <f>IFERROR(__xludf.DUMMYFUNCTION("""COMPUTED_VALUE"""),45765.41666666667)</f>
        <v>45765.41667</v>
      </c>
      <c r="J395" s="190" t="str">
        <f>IFERROR(__xludf.DUMMYFUNCTION("""COMPUTED_VALUE"""),"")</f>
        <v/>
      </c>
      <c r="K395" s="190" t="str">
        <f>IFERROR(__xludf.DUMMYFUNCTION("""COMPUTED_VALUE"""),"")</f>
        <v/>
      </c>
      <c r="L395" s="190" t="str">
        <f>IFERROR(__xludf.DUMMYFUNCTION("""COMPUTED_VALUE"""),"DEV")</f>
        <v>DEV</v>
      </c>
      <c r="M395" s="190" t="str">
        <f>IFERROR(__xludf.DUMMYFUNCTION("""COMPUTED_VALUE"""),"MOC")</f>
        <v>MOC</v>
      </c>
      <c r="N395" s="220">
        <f>IFERROR(__xludf.DUMMYFUNCTION("""COMPUTED_VALUE"""),1.0)</f>
        <v>1</v>
      </c>
      <c r="O395" s="220">
        <f>IFERROR(__xludf.DUMMYFUNCTION("""COMPUTED_VALUE"""),5.0)</f>
        <v>5</v>
      </c>
      <c r="P395" s="220"/>
      <c r="R395" s="210"/>
      <c r="S395" s="210"/>
      <c r="T395" s="210"/>
      <c r="U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row>
    <row r="396">
      <c r="A396" s="223" t="str">
        <f>IFERROR(__xludf.DUMMYFUNCTION("""COMPUTED_VALUE"""),"203764")</f>
        <v>203764</v>
      </c>
      <c r="B396" s="190" t="str">
        <f>IFERROR(__xludf.DUMMYFUNCTION("""COMPUTED_VALUE"""),"TRẦN MINH TRIẾT")</f>
        <v>TRẦN MINH TRIẾT</v>
      </c>
      <c r="C396" s="223" t="str">
        <f>IFERROR(__xludf.DUMMYFUNCTION("""COMPUTED_VALUE"""),"EL035")</f>
        <v>EL035</v>
      </c>
      <c r="D396" s="223" t="str">
        <f>IFERROR(__xludf.DUMMYFUNCTION("""COMPUTED_VALUE"""),"Van Nguyen")</f>
        <v>Van Nguyen</v>
      </c>
      <c r="E396" s="190" t="str">
        <f>IFERROR(__xludf.DUMMYFUNCTION("""COMPUTED_VALUE"""),"Business English")</f>
        <v>Business English</v>
      </c>
      <c r="F396" s="190"/>
      <c r="G396" s="190"/>
      <c r="H396" s="219">
        <f>IFERROR(__xludf.DUMMYFUNCTION("""COMPUTED_VALUE"""),46086.45833333333)</f>
        <v>46086.45833</v>
      </c>
      <c r="I396" s="219">
        <f>IFERROR(__xludf.DUMMYFUNCTION("""COMPUTED_VALUE"""),45765.41666666667)</f>
        <v>45765.41667</v>
      </c>
      <c r="J396" s="190" t="str">
        <f>IFERROR(__xludf.DUMMYFUNCTION("""COMPUTED_VALUE"""),"")</f>
        <v/>
      </c>
      <c r="K396" s="190" t="str">
        <f>IFERROR(__xludf.DUMMYFUNCTION("""COMPUTED_VALUE"""),"")</f>
        <v/>
      </c>
      <c r="L396" s="190" t="str">
        <f>IFERROR(__xludf.DUMMYFUNCTION("""COMPUTED_VALUE"""),"DEV")</f>
        <v>DEV</v>
      </c>
      <c r="M396" s="190" t="str">
        <f>IFERROR(__xludf.DUMMYFUNCTION("""COMPUTED_VALUE"""),"MOC")</f>
        <v>MOC</v>
      </c>
      <c r="N396" s="220">
        <f>IFERROR(__xludf.DUMMYFUNCTION("""COMPUTED_VALUE"""),1.0)</f>
        <v>1</v>
      </c>
      <c r="O396" s="220">
        <f>IFERROR(__xludf.DUMMYFUNCTION("""COMPUTED_VALUE"""),5.0)</f>
        <v>5</v>
      </c>
      <c r="P396" s="220"/>
      <c r="R396" s="210"/>
      <c r="S396" s="210"/>
      <c r="T396" s="210"/>
      <c r="U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row>
    <row r="397">
      <c r="A397" s="223" t="str">
        <f>IFERROR(__xludf.DUMMYFUNCTION("""COMPUTED_VALUE"""),"237183")</f>
        <v>237183</v>
      </c>
      <c r="B397" s="190" t="str">
        <f>IFERROR(__xludf.DUMMYFUNCTION("""COMPUTED_VALUE"""),"NGUYỄN LÊ HOÀNG VĂN")</f>
        <v>NGUYỄN LÊ HOÀNG VĂN</v>
      </c>
      <c r="C397" s="223" t="str">
        <f>IFERROR(__xludf.DUMMYFUNCTION("""COMPUTED_VALUE"""),"EL035")</f>
        <v>EL035</v>
      </c>
      <c r="D397" s="223" t="str">
        <f>IFERROR(__xludf.DUMMYFUNCTION("""COMPUTED_VALUE"""),"Van Nguyen")</f>
        <v>Van Nguyen</v>
      </c>
      <c r="E397" s="190" t="str">
        <f>IFERROR(__xludf.DUMMYFUNCTION("""COMPUTED_VALUE"""),"Communication 1")</f>
        <v>Communication 1</v>
      </c>
      <c r="F397" s="190" t="str">
        <f>IFERROR(__xludf.DUMMYFUNCTION("""COMPUTED_VALUE"""),"Beginner")</f>
        <v>Beginner</v>
      </c>
      <c r="G397" s="190" t="str">
        <f>IFERROR(__xludf.DUMMYFUNCTION("""COMPUTED_VALUE"""),"Pre-Intermediate 2")</f>
        <v>Pre-Intermediate 2</v>
      </c>
      <c r="H397" s="219">
        <f>IFERROR(__xludf.DUMMYFUNCTION("""COMPUTED_VALUE"""),45764.45833333333)</f>
        <v>45764.45833</v>
      </c>
      <c r="I397" s="219">
        <f>IFERROR(__xludf.DUMMYFUNCTION("""COMPUTED_VALUE"""),45764.45833333333)</f>
        <v>45764.45833</v>
      </c>
      <c r="J397" s="190">
        <f>IFERROR(__xludf.DUMMYFUNCTION("""COMPUTED_VALUE"""),1.0)</f>
        <v>1</v>
      </c>
      <c r="K397" s="190">
        <f>IFERROR(__xludf.DUMMYFUNCTION("""COMPUTED_VALUE"""),3.5)</f>
        <v>3.5</v>
      </c>
      <c r="L397" s="190" t="str">
        <f>IFERROR(__xludf.DUMMYFUNCTION("""COMPUTED_VALUE"""),"BC")</f>
        <v>BC</v>
      </c>
      <c r="M397" s="190" t="str">
        <f>IFERROR(__xludf.DUMMYFUNCTION("""COMPUTED_VALUE"""),"MOC")</f>
        <v>MOC</v>
      </c>
      <c r="N397" s="220">
        <f>IFERROR(__xludf.DUMMYFUNCTION("""COMPUTED_VALUE"""),1.0)</f>
        <v>1</v>
      </c>
      <c r="O397" s="220">
        <f>IFERROR(__xludf.DUMMYFUNCTION("""COMPUTED_VALUE"""),5.0)</f>
        <v>5</v>
      </c>
      <c r="P397" s="220"/>
      <c r="R397" s="210"/>
      <c r="S397" s="210"/>
      <c r="T397" s="210"/>
      <c r="U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row>
    <row r="398">
      <c r="A398" s="223" t="str">
        <f>IFERROR(__xludf.DUMMYFUNCTION("""COMPUTED_VALUE"""),"203746")</f>
        <v>203746</v>
      </c>
      <c r="B398" s="190" t="str">
        <f>IFERROR(__xludf.DUMMYFUNCTION("""COMPUTED_VALUE"""),"BẠCH NAM MINH TRÍ")</f>
        <v>BẠCH NAM MINH TRÍ</v>
      </c>
      <c r="C398" s="223" t="str">
        <f>IFERROR(__xludf.DUMMYFUNCTION("""COMPUTED_VALUE"""),"EL035")</f>
        <v>EL035</v>
      </c>
      <c r="D398" s="223" t="str">
        <f>IFERROR(__xludf.DUMMYFUNCTION("""COMPUTED_VALUE"""),"Van Nguyen")</f>
        <v>Van Nguyen</v>
      </c>
      <c r="E398" s="190" t="str">
        <f>IFERROR(__xludf.DUMMYFUNCTION("""COMPUTED_VALUE"""),"Communication 1")</f>
        <v>Communication 1</v>
      </c>
      <c r="F398" s="190" t="str">
        <f>IFERROR(__xludf.DUMMYFUNCTION("""COMPUTED_VALUE"""),"Not Placement")</f>
        <v>Not Placement</v>
      </c>
      <c r="G398" s="190" t="str">
        <f>IFERROR(__xludf.DUMMYFUNCTION("""COMPUTED_VALUE"""),"Pre-Intermediate 2")</f>
        <v>Pre-Intermediate 2</v>
      </c>
      <c r="H398" s="219">
        <f>IFERROR(__xludf.DUMMYFUNCTION("""COMPUTED_VALUE"""),45764.45833333333)</f>
        <v>45764.45833</v>
      </c>
      <c r="I398" s="219">
        <f>IFERROR(__xludf.DUMMYFUNCTION("""COMPUTED_VALUE"""),45764.45833333333)</f>
        <v>45764.45833</v>
      </c>
      <c r="J398" s="190">
        <f>IFERROR(__xludf.DUMMYFUNCTION("""COMPUTED_VALUE"""),0.0)</f>
        <v>0</v>
      </c>
      <c r="K398" s="190">
        <f>IFERROR(__xludf.DUMMYFUNCTION("""COMPUTED_VALUE"""),3.5)</f>
        <v>3.5</v>
      </c>
      <c r="L398" s="190" t="str">
        <f>IFERROR(__xludf.DUMMYFUNCTION("""COMPUTED_VALUE"""),"DEV")</f>
        <v>DEV</v>
      </c>
      <c r="M398" s="190" t="str">
        <f>IFERROR(__xludf.DUMMYFUNCTION("""COMPUTED_VALUE"""),"MOC")</f>
        <v>MOC</v>
      </c>
      <c r="N398" s="220">
        <f>IFERROR(__xludf.DUMMYFUNCTION("""COMPUTED_VALUE"""),0.0)</f>
        <v>0</v>
      </c>
      <c r="O398" s="220">
        <f>IFERROR(__xludf.DUMMYFUNCTION("""COMPUTED_VALUE"""),5.0)</f>
        <v>5</v>
      </c>
      <c r="P398" s="220"/>
      <c r="R398" s="210"/>
      <c r="S398" s="210"/>
      <c r="T398" s="210"/>
      <c r="U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row>
    <row r="399">
      <c r="A399" s="223" t="str">
        <f>IFERROR(__xludf.DUMMYFUNCTION("""COMPUTED_VALUE"""),"213863")</f>
        <v>213863</v>
      </c>
      <c r="B399" s="190" t="str">
        <f>IFERROR(__xludf.DUMMYFUNCTION("""COMPUTED_VALUE"""),"ĐINH TIẾN ĐẠT")</f>
        <v>ĐINH TIẾN ĐẠT</v>
      </c>
      <c r="C399" s="223" t="str">
        <f>IFERROR(__xludf.DUMMYFUNCTION("""COMPUTED_VALUE"""),"EL035")</f>
        <v>EL035</v>
      </c>
      <c r="D399" s="223" t="str">
        <f>IFERROR(__xludf.DUMMYFUNCTION("""COMPUTED_VALUE"""),"Van Nguyen")</f>
        <v>Van Nguyen</v>
      </c>
      <c r="E399" s="190" t="str">
        <f>IFERROR(__xludf.DUMMYFUNCTION("""COMPUTED_VALUE"""),"Communication 1")</f>
        <v>Communication 1</v>
      </c>
      <c r="F399" s="190" t="str">
        <f>IFERROR(__xludf.DUMMYFUNCTION("""COMPUTED_VALUE"""),"Beginner")</f>
        <v>Beginner</v>
      </c>
      <c r="G399" s="190" t="str">
        <f>IFERROR(__xludf.DUMMYFUNCTION("""COMPUTED_VALUE"""),"Pre-Intermediate 1")</f>
        <v>Pre-Intermediate 1</v>
      </c>
      <c r="H399" s="219">
        <f>IFERROR(__xludf.DUMMYFUNCTION("""COMPUTED_VALUE"""),45764.45833333333)</f>
        <v>45764.45833</v>
      </c>
      <c r="I399" s="219">
        <f>IFERROR(__xludf.DUMMYFUNCTION("""COMPUTED_VALUE"""),45764.45833333333)</f>
        <v>45764.45833</v>
      </c>
      <c r="J399" s="190">
        <f>IFERROR(__xludf.DUMMYFUNCTION("""COMPUTED_VALUE"""),1.0)</f>
        <v>1</v>
      </c>
      <c r="K399" s="190">
        <f>IFERROR(__xludf.DUMMYFUNCTION("""COMPUTED_VALUE"""),3.0)</f>
        <v>3</v>
      </c>
      <c r="L399" s="190" t="str">
        <f>IFERROR(__xludf.DUMMYFUNCTION("""COMPUTED_VALUE"""),"DEV")</f>
        <v>DEV</v>
      </c>
      <c r="M399" s="190" t="str">
        <f>IFERROR(__xludf.DUMMYFUNCTION("""COMPUTED_VALUE"""),"MOC")</f>
        <v>MOC</v>
      </c>
      <c r="N399" s="220">
        <f>IFERROR(__xludf.DUMMYFUNCTION("""COMPUTED_VALUE"""),1.0)</f>
        <v>1</v>
      </c>
      <c r="O399" s="220">
        <f>IFERROR(__xludf.DUMMYFUNCTION("""COMPUTED_VALUE"""),3.0)</f>
        <v>3</v>
      </c>
      <c r="P399" s="220"/>
      <c r="R399" s="210"/>
      <c r="S399" s="210"/>
      <c r="T399" s="210"/>
      <c r="U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row>
    <row r="400">
      <c r="A400" s="223" t="str">
        <f>IFERROR(__xludf.DUMMYFUNCTION("""COMPUTED_VALUE"""),"213898")</f>
        <v>213898</v>
      </c>
      <c r="B400" s="190" t="str">
        <f>IFERROR(__xludf.DUMMYFUNCTION("""COMPUTED_VALUE"""),"LÊ NGỌC TRUNG HIẾU")</f>
        <v>LÊ NGỌC TRUNG HIẾU</v>
      </c>
      <c r="C400" s="223" t="str">
        <f>IFERROR(__xludf.DUMMYFUNCTION("""COMPUTED_VALUE"""),"EL035")</f>
        <v>EL035</v>
      </c>
      <c r="D400" s="223" t="str">
        <f>IFERROR(__xludf.DUMMYFUNCTION("""COMPUTED_VALUE"""),"Van Nguyen")</f>
        <v>Van Nguyen</v>
      </c>
      <c r="E400" s="190" t="str">
        <f>IFERROR(__xludf.DUMMYFUNCTION("""COMPUTED_VALUE"""),"Communication 1")</f>
        <v>Communication 1</v>
      </c>
      <c r="F400" s="190" t="str">
        <f>IFERROR(__xludf.DUMMYFUNCTION("""COMPUTED_VALUE"""),"Beginner")</f>
        <v>Beginner</v>
      </c>
      <c r="G400" s="190" t="str">
        <f>IFERROR(__xludf.DUMMYFUNCTION("""COMPUTED_VALUE"""),"Pre-Intermediate 1")</f>
        <v>Pre-Intermediate 1</v>
      </c>
      <c r="H400" s="219">
        <f>IFERROR(__xludf.DUMMYFUNCTION("""COMPUTED_VALUE"""),45764.45833333333)</f>
        <v>45764.45833</v>
      </c>
      <c r="I400" s="219">
        <f>IFERROR(__xludf.DUMMYFUNCTION("""COMPUTED_VALUE"""),45764.45833333333)</f>
        <v>45764.45833</v>
      </c>
      <c r="J400" s="190">
        <f>IFERROR(__xludf.DUMMYFUNCTION("""COMPUTED_VALUE"""),1.0)</f>
        <v>1</v>
      </c>
      <c r="K400" s="190">
        <f>IFERROR(__xludf.DUMMYFUNCTION("""COMPUTED_VALUE"""),3.0)</f>
        <v>3</v>
      </c>
      <c r="L400" s="190" t="str">
        <f>IFERROR(__xludf.DUMMYFUNCTION("""COMPUTED_VALUE"""),"DEV")</f>
        <v>DEV</v>
      </c>
      <c r="M400" s="190" t="str">
        <f>IFERROR(__xludf.DUMMYFUNCTION("""COMPUTED_VALUE"""),"MOC")</f>
        <v>MOC</v>
      </c>
      <c r="N400" s="220">
        <f>IFERROR(__xludf.DUMMYFUNCTION("""COMPUTED_VALUE"""),1.0)</f>
        <v>1</v>
      </c>
      <c r="O400" s="220">
        <f>IFERROR(__xludf.DUMMYFUNCTION("""COMPUTED_VALUE"""),3.0)</f>
        <v>3</v>
      </c>
      <c r="P400" s="220"/>
      <c r="R400" s="210"/>
      <c r="S400" s="210"/>
      <c r="T400" s="210"/>
      <c r="U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row>
    <row r="401">
      <c r="A401" s="223" t="str">
        <f>IFERROR(__xludf.DUMMYFUNCTION("""COMPUTED_VALUE"""),"213946")</f>
        <v>213946</v>
      </c>
      <c r="B401" s="190" t="str">
        <f>IFERROR(__xludf.DUMMYFUNCTION("""COMPUTED_VALUE"""),"TRƯƠNG NHỰT MINH THƯ")</f>
        <v>TRƯƠNG NHỰT MINH THƯ</v>
      </c>
      <c r="C401" s="223" t="str">
        <f>IFERROR(__xludf.DUMMYFUNCTION("""COMPUTED_VALUE"""),"EL035")</f>
        <v>EL035</v>
      </c>
      <c r="D401" s="223" t="str">
        <f>IFERROR(__xludf.DUMMYFUNCTION("""COMPUTED_VALUE"""),"Van Nguyen")</f>
        <v>Van Nguyen</v>
      </c>
      <c r="E401" s="190" t="str">
        <f>IFERROR(__xludf.DUMMYFUNCTION("""COMPUTED_VALUE"""),"Communication 1")</f>
        <v>Communication 1</v>
      </c>
      <c r="F401" s="190" t="str">
        <f>IFERROR(__xludf.DUMMYFUNCTION("""COMPUTED_VALUE"""),"Beginner")</f>
        <v>Beginner</v>
      </c>
      <c r="G401" s="190" t="str">
        <f>IFERROR(__xludf.DUMMYFUNCTION("""COMPUTED_VALUE"""),"Beginner")</f>
        <v>Beginner</v>
      </c>
      <c r="H401" s="219">
        <f>IFERROR(__xludf.DUMMYFUNCTION("""COMPUTED_VALUE"""),45764.45833333333)</f>
        <v>45764.45833</v>
      </c>
      <c r="I401" s="219">
        <f>IFERROR(__xludf.DUMMYFUNCTION("""COMPUTED_VALUE"""),45764.45833333333)</f>
        <v>45764.45833</v>
      </c>
      <c r="J401" s="190">
        <f>IFERROR(__xludf.DUMMYFUNCTION("""COMPUTED_VALUE"""),1.0)</f>
        <v>1</v>
      </c>
      <c r="K401" s="190">
        <f>IFERROR(__xludf.DUMMYFUNCTION("""COMPUTED_VALUE"""),1.0)</f>
        <v>1</v>
      </c>
      <c r="L401" s="190" t="str">
        <f>IFERROR(__xludf.DUMMYFUNCTION("""COMPUTED_VALUE"""),"DEV")</f>
        <v>DEV</v>
      </c>
      <c r="M401" s="190" t="str">
        <f>IFERROR(__xludf.DUMMYFUNCTION("""COMPUTED_VALUE"""),"MOC")</f>
        <v>MOC</v>
      </c>
      <c r="N401" s="220">
        <f>IFERROR(__xludf.DUMMYFUNCTION("""COMPUTED_VALUE"""),1.0)</f>
        <v>1</v>
      </c>
      <c r="O401" s="220">
        <f>IFERROR(__xludf.DUMMYFUNCTION("""COMPUTED_VALUE"""),3.0)</f>
        <v>3</v>
      </c>
      <c r="P401" s="220"/>
      <c r="R401" s="210"/>
      <c r="S401" s="210"/>
      <c r="T401" s="210"/>
      <c r="U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row>
    <row r="402">
      <c r="A402" s="223" t="str">
        <f>IFERROR(__xludf.DUMMYFUNCTION("""COMPUTED_VALUE"""),"227104")</f>
        <v>227104</v>
      </c>
      <c r="B402" s="190" t="str">
        <f>IFERROR(__xludf.DUMMYFUNCTION("""COMPUTED_VALUE"""),"VŨ THỊ HỒNG LIÊN")</f>
        <v>VŨ THỊ HỒNG LIÊN</v>
      </c>
      <c r="C402" s="223" t="str">
        <f>IFERROR(__xludf.DUMMYFUNCTION("""COMPUTED_VALUE"""),"EL035")</f>
        <v>EL035</v>
      </c>
      <c r="D402" s="223" t="str">
        <f>IFERROR(__xludf.DUMMYFUNCTION("""COMPUTED_VALUE"""),"Van Nguyen")</f>
        <v>Van Nguyen</v>
      </c>
      <c r="E402" s="190" t="str">
        <f>IFERROR(__xludf.DUMMYFUNCTION("""COMPUTED_VALUE"""),"Communication 1")</f>
        <v>Communication 1</v>
      </c>
      <c r="F402" s="190" t="str">
        <f>IFERROR(__xludf.DUMMYFUNCTION("""COMPUTED_VALUE"""),"Not Placement")</f>
        <v>Not Placement</v>
      </c>
      <c r="G402" s="190" t="str">
        <f>IFERROR(__xludf.DUMMYFUNCTION("""COMPUTED_VALUE"""),"Pre-Intermediate 2")</f>
        <v>Pre-Intermediate 2</v>
      </c>
      <c r="H402" s="219">
        <f>IFERROR(__xludf.DUMMYFUNCTION("""COMPUTED_VALUE"""),45764.45833333333)</f>
        <v>45764.45833</v>
      </c>
      <c r="I402" s="219">
        <f>IFERROR(__xludf.DUMMYFUNCTION("""COMPUTED_VALUE"""),45764.45833333333)</f>
        <v>45764.45833</v>
      </c>
      <c r="J402" s="190">
        <f>IFERROR(__xludf.DUMMYFUNCTION("""COMPUTED_VALUE"""),0.0)</f>
        <v>0</v>
      </c>
      <c r="K402" s="190">
        <f>IFERROR(__xludf.DUMMYFUNCTION("""COMPUTED_VALUE"""),3.5)</f>
        <v>3.5</v>
      </c>
      <c r="L402" s="190" t="str">
        <f>IFERROR(__xludf.DUMMYFUNCTION("""COMPUTED_VALUE"""),"BC")</f>
        <v>BC</v>
      </c>
      <c r="M402" s="190" t="str">
        <f>IFERROR(__xludf.DUMMYFUNCTION("""COMPUTED_VALUE"""),"MOC")</f>
        <v>MOC</v>
      </c>
      <c r="N402" s="220">
        <f>IFERROR(__xludf.DUMMYFUNCTION("""COMPUTED_VALUE"""),0.0)</f>
        <v>0</v>
      </c>
      <c r="O402" s="220">
        <f>IFERROR(__xludf.DUMMYFUNCTION("""COMPUTED_VALUE"""),5.0)</f>
        <v>5</v>
      </c>
      <c r="P402" s="220"/>
      <c r="R402" s="210"/>
      <c r="S402" s="210"/>
      <c r="T402" s="210"/>
      <c r="U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row>
    <row r="403">
      <c r="A403" s="223" t="str">
        <f>IFERROR(__xludf.DUMMYFUNCTION("""COMPUTED_VALUE"""),"237183")</f>
        <v>237183</v>
      </c>
      <c r="B403" s="190" t="str">
        <f>IFERROR(__xludf.DUMMYFUNCTION("""COMPUTED_VALUE"""),"NGUYỄN LÊ HOÀNG VĂN")</f>
        <v>NGUYỄN LÊ HOÀNG VĂN</v>
      </c>
      <c r="C403" s="223" t="str">
        <f>IFERROR(__xludf.DUMMYFUNCTION("""COMPUTED_VALUE"""),"EL035")</f>
        <v>EL035</v>
      </c>
      <c r="D403" s="223" t="str">
        <f>IFERROR(__xludf.DUMMYFUNCTION("""COMPUTED_VALUE"""),"Van Nguyen")</f>
        <v>Van Nguyen</v>
      </c>
      <c r="E403" s="190" t="str">
        <f>IFERROR(__xludf.DUMMYFUNCTION("""COMPUTED_VALUE"""),"Communication 2")</f>
        <v>Communication 2</v>
      </c>
      <c r="F403" s="190" t="str">
        <f>IFERROR(__xludf.DUMMYFUNCTION("""COMPUTED_VALUE"""),"Pre-Intermediate 2")</f>
        <v>Pre-Intermediate 2</v>
      </c>
      <c r="G403" s="190" t="str">
        <f>IFERROR(__xludf.DUMMYFUNCTION("""COMPUTED_VALUE"""),"Intermediate 1")</f>
        <v>Intermediate 1</v>
      </c>
      <c r="H403" s="219">
        <f>IFERROR(__xludf.DUMMYFUNCTION("""COMPUTED_VALUE"""),45910.54166666667)</f>
        <v>45910.54167</v>
      </c>
      <c r="I403" s="219">
        <f>IFERROR(__xludf.DUMMYFUNCTION("""COMPUTED_VALUE"""),45764.45833333333)</f>
        <v>45764.45833</v>
      </c>
      <c r="J403" s="190">
        <f>IFERROR(__xludf.DUMMYFUNCTION("""COMPUTED_VALUE"""),3.5)</f>
        <v>3.5</v>
      </c>
      <c r="K403" s="190">
        <f>IFERROR(__xludf.DUMMYFUNCTION("""COMPUTED_VALUE"""),5.0)</f>
        <v>5</v>
      </c>
      <c r="L403" s="190" t="str">
        <f>IFERROR(__xludf.DUMMYFUNCTION("""COMPUTED_VALUE"""),"BC")</f>
        <v>BC</v>
      </c>
      <c r="M403" s="190" t="str">
        <f>IFERROR(__xludf.DUMMYFUNCTION("""COMPUTED_VALUE"""),"MOC")</f>
        <v>MOC</v>
      </c>
      <c r="N403" s="220">
        <f>IFERROR(__xludf.DUMMYFUNCTION("""COMPUTED_VALUE"""),1.0)</f>
        <v>1</v>
      </c>
      <c r="O403" s="220">
        <f>IFERROR(__xludf.DUMMYFUNCTION("""COMPUTED_VALUE"""),5.0)</f>
        <v>5</v>
      </c>
      <c r="P403" s="220"/>
      <c r="R403" s="210"/>
      <c r="S403" s="210"/>
      <c r="T403" s="210"/>
      <c r="U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row>
    <row r="404">
      <c r="A404" s="223" t="str">
        <f>IFERROR(__xludf.DUMMYFUNCTION("""COMPUTED_VALUE"""),"203746")</f>
        <v>203746</v>
      </c>
      <c r="B404" s="190" t="str">
        <f>IFERROR(__xludf.DUMMYFUNCTION("""COMPUTED_VALUE"""),"BẠCH NAM MINH TRÍ")</f>
        <v>BẠCH NAM MINH TRÍ</v>
      </c>
      <c r="C404" s="223" t="str">
        <f>IFERROR(__xludf.DUMMYFUNCTION("""COMPUTED_VALUE"""),"EL035")</f>
        <v>EL035</v>
      </c>
      <c r="D404" s="223" t="str">
        <f>IFERROR(__xludf.DUMMYFUNCTION("""COMPUTED_VALUE"""),"Van Nguyen")</f>
        <v>Van Nguyen</v>
      </c>
      <c r="E404" s="190" t="str">
        <f>IFERROR(__xludf.DUMMYFUNCTION("""COMPUTED_VALUE"""),"Communication 2")</f>
        <v>Communication 2</v>
      </c>
      <c r="F404" s="190" t="str">
        <f>IFERROR(__xludf.DUMMYFUNCTION("""COMPUTED_VALUE"""),"Pre-Intermediate 2")</f>
        <v>Pre-Intermediate 2</v>
      </c>
      <c r="G404" s="190" t="str">
        <f>IFERROR(__xludf.DUMMYFUNCTION("""COMPUTED_VALUE"""),"Intermediate 1")</f>
        <v>Intermediate 1</v>
      </c>
      <c r="H404" s="219">
        <f>IFERROR(__xludf.DUMMYFUNCTION("""COMPUTED_VALUE"""),45910.54166666667)</f>
        <v>45910.54167</v>
      </c>
      <c r="I404" s="219">
        <f>IFERROR(__xludf.DUMMYFUNCTION("""COMPUTED_VALUE"""),45764.45833333333)</f>
        <v>45764.45833</v>
      </c>
      <c r="J404" s="190">
        <f>IFERROR(__xludf.DUMMYFUNCTION("""COMPUTED_VALUE"""),3.5)</f>
        <v>3.5</v>
      </c>
      <c r="K404" s="190">
        <f>IFERROR(__xludf.DUMMYFUNCTION("""COMPUTED_VALUE"""),5.0)</f>
        <v>5</v>
      </c>
      <c r="L404" s="190" t="str">
        <f>IFERROR(__xludf.DUMMYFUNCTION("""COMPUTED_VALUE"""),"DEV")</f>
        <v>DEV</v>
      </c>
      <c r="M404" s="190" t="str">
        <f>IFERROR(__xludf.DUMMYFUNCTION("""COMPUTED_VALUE"""),"MOC")</f>
        <v>MOC</v>
      </c>
      <c r="N404" s="220">
        <f>IFERROR(__xludf.DUMMYFUNCTION("""COMPUTED_VALUE"""),0.0)</f>
        <v>0</v>
      </c>
      <c r="O404" s="220">
        <f>IFERROR(__xludf.DUMMYFUNCTION("""COMPUTED_VALUE"""),5.0)</f>
        <v>5</v>
      </c>
      <c r="P404" s="220"/>
      <c r="R404" s="210"/>
      <c r="S404" s="210"/>
      <c r="T404" s="210"/>
      <c r="U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row>
    <row r="405">
      <c r="A405" s="223" t="str">
        <f>IFERROR(__xludf.DUMMYFUNCTION("""COMPUTED_VALUE"""),"213863")</f>
        <v>213863</v>
      </c>
      <c r="B405" s="190" t="str">
        <f>IFERROR(__xludf.DUMMYFUNCTION("""COMPUTED_VALUE"""),"ĐINH TIẾN ĐẠT")</f>
        <v>ĐINH TIẾN ĐẠT</v>
      </c>
      <c r="C405" s="223" t="str">
        <f>IFERROR(__xludf.DUMMYFUNCTION("""COMPUTED_VALUE"""),"EL035")</f>
        <v>EL035</v>
      </c>
      <c r="D405" s="223" t="str">
        <f>IFERROR(__xludf.DUMMYFUNCTION("""COMPUTED_VALUE"""),"Van Nguyen")</f>
        <v>Van Nguyen</v>
      </c>
      <c r="E405" s="190" t="str">
        <f>IFERROR(__xludf.DUMMYFUNCTION("""COMPUTED_VALUE"""),"Communication 2")</f>
        <v>Communication 2</v>
      </c>
      <c r="F405" s="190" t="str">
        <f>IFERROR(__xludf.DUMMYFUNCTION("""COMPUTED_VALUE"""),"Pre-Intermediate 1")</f>
        <v>Pre-Intermediate 1</v>
      </c>
      <c r="G405" s="190"/>
      <c r="H405" s="219">
        <f>IFERROR(__xludf.DUMMYFUNCTION("""COMPUTED_VALUE"""),45910.54166666667)</f>
        <v>45910.54167</v>
      </c>
      <c r="I405" s="219">
        <f>IFERROR(__xludf.DUMMYFUNCTION("""COMPUTED_VALUE"""),45764.45833333333)</f>
        <v>45764.45833</v>
      </c>
      <c r="J405" s="190">
        <f>IFERROR(__xludf.DUMMYFUNCTION("""COMPUTED_VALUE"""),3.0)</f>
        <v>3</v>
      </c>
      <c r="K405" s="190" t="str">
        <f>IFERROR(__xludf.DUMMYFUNCTION("""COMPUTED_VALUE"""),"")</f>
        <v/>
      </c>
      <c r="L405" s="190" t="str">
        <f>IFERROR(__xludf.DUMMYFUNCTION("""COMPUTED_VALUE"""),"DEV")</f>
        <v>DEV</v>
      </c>
      <c r="M405" s="190" t="str">
        <f>IFERROR(__xludf.DUMMYFUNCTION("""COMPUTED_VALUE"""),"MOC")</f>
        <v>MOC</v>
      </c>
      <c r="N405" s="220">
        <f>IFERROR(__xludf.DUMMYFUNCTION("""COMPUTED_VALUE"""),1.0)</f>
        <v>1</v>
      </c>
      <c r="O405" s="220">
        <f>IFERROR(__xludf.DUMMYFUNCTION("""COMPUTED_VALUE"""),3.0)</f>
        <v>3</v>
      </c>
      <c r="P405" s="220"/>
      <c r="R405" s="210"/>
      <c r="S405" s="210"/>
      <c r="T405" s="210"/>
      <c r="U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row>
    <row r="406">
      <c r="A406" s="223" t="str">
        <f>IFERROR(__xludf.DUMMYFUNCTION("""COMPUTED_VALUE"""),"213898")</f>
        <v>213898</v>
      </c>
      <c r="B406" s="190" t="str">
        <f>IFERROR(__xludf.DUMMYFUNCTION("""COMPUTED_VALUE"""),"LÊ NGỌC TRUNG HIẾU")</f>
        <v>LÊ NGỌC TRUNG HIẾU</v>
      </c>
      <c r="C406" s="223" t="str">
        <f>IFERROR(__xludf.DUMMYFUNCTION("""COMPUTED_VALUE"""),"EL035")</f>
        <v>EL035</v>
      </c>
      <c r="D406" s="223" t="str">
        <f>IFERROR(__xludf.DUMMYFUNCTION("""COMPUTED_VALUE"""),"Van Nguyen")</f>
        <v>Van Nguyen</v>
      </c>
      <c r="E406" s="190" t="str">
        <f>IFERROR(__xludf.DUMMYFUNCTION("""COMPUTED_VALUE"""),"Communication 2")</f>
        <v>Communication 2</v>
      </c>
      <c r="F406" s="190" t="str">
        <f>IFERROR(__xludf.DUMMYFUNCTION("""COMPUTED_VALUE"""),"Pre-Intermediate 1")</f>
        <v>Pre-Intermediate 1</v>
      </c>
      <c r="G406" s="190"/>
      <c r="H406" s="219">
        <f>IFERROR(__xludf.DUMMYFUNCTION("""COMPUTED_VALUE"""),45910.54166666667)</f>
        <v>45910.54167</v>
      </c>
      <c r="I406" s="219">
        <f>IFERROR(__xludf.DUMMYFUNCTION("""COMPUTED_VALUE"""),45764.45833333333)</f>
        <v>45764.45833</v>
      </c>
      <c r="J406" s="190">
        <f>IFERROR(__xludf.DUMMYFUNCTION("""COMPUTED_VALUE"""),3.0)</f>
        <v>3</v>
      </c>
      <c r="K406" s="190" t="str">
        <f>IFERROR(__xludf.DUMMYFUNCTION("""COMPUTED_VALUE"""),"")</f>
        <v/>
      </c>
      <c r="L406" s="190" t="str">
        <f>IFERROR(__xludf.DUMMYFUNCTION("""COMPUTED_VALUE"""),"DEV")</f>
        <v>DEV</v>
      </c>
      <c r="M406" s="190" t="str">
        <f>IFERROR(__xludf.DUMMYFUNCTION("""COMPUTED_VALUE"""),"MOC")</f>
        <v>MOC</v>
      </c>
      <c r="N406" s="220">
        <f>IFERROR(__xludf.DUMMYFUNCTION("""COMPUTED_VALUE"""),1.0)</f>
        <v>1</v>
      </c>
      <c r="O406" s="220">
        <f>IFERROR(__xludf.DUMMYFUNCTION("""COMPUTED_VALUE"""),3.0)</f>
        <v>3</v>
      </c>
      <c r="P406" s="220"/>
      <c r="R406" s="210"/>
      <c r="S406" s="210"/>
      <c r="T406" s="210"/>
      <c r="U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row>
    <row r="407">
      <c r="A407" s="223" t="str">
        <f>IFERROR(__xludf.DUMMYFUNCTION("""COMPUTED_VALUE"""),"247098")</f>
        <v>247098</v>
      </c>
      <c r="B407" s="190" t="str">
        <f>IFERROR(__xludf.DUMMYFUNCTION("""COMPUTED_VALUE"""),"NGUYỄN VĂN TÀI")</f>
        <v>NGUYỄN VĂN TÀI</v>
      </c>
      <c r="C407" s="223" t="str">
        <f>IFERROR(__xludf.DUMMYFUNCTION("""COMPUTED_VALUE"""),"EL035")</f>
        <v>EL035</v>
      </c>
      <c r="D407" s="223" t="str">
        <f>IFERROR(__xludf.DUMMYFUNCTION("""COMPUTED_VALUE"""),"Van Nguyen")</f>
        <v>Van Nguyen</v>
      </c>
      <c r="E407" s="190" t="str">
        <f>IFERROR(__xludf.DUMMYFUNCTION("""COMPUTED_VALUE"""),"Communication 2")</f>
        <v>Communication 2</v>
      </c>
      <c r="F407" s="190" t="str">
        <f>IFERROR(__xludf.DUMMYFUNCTION("""COMPUTED_VALUE"""),"Pre-Intermediate 1")</f>
        <v>Pre-Intermediate 1</v>
      </c>
      <c r="G407" s="190"/>
      <c r="H407" s="219">
        <f>IFERROR(__xludf.DUMMYFUNCTION("""COMPUTED_VALUE"""),45910.54166666667)</f>
        <v>45910.54167</v>
      </c>
      <c r="I407" s="219">
        <f>IFERROR(__xludf.DUMMYFUNCTION("""COMPUTED_VALUE"""),45765.41666666667)</f>
        <v>45765.41667</v>
      </c>
      <c r="J407" s="190">
        <f>IFERROR(__xludf.DUMMYFUNCTION("""COMPUTED_VALUE"""),3.0)</f>
        <v>3</v>
      </c>
      <c r="K407" s="190" t="str">
        <f>IFERROR(__xludf.DUMMYFUNCTION("""COMPUTED_VALUE"""),"")</f>
        <v/>
      </c>
      <c r="L407" s="190" t="str">
        <f>IFERROR(__xludf.DUMMYFUNCTION("""COMPUTED_VALUE"""),"DEV")</f>
        <v>DEV</v>
      </c>
      <c r="M407" s="190" t="str">
        <f>IFERROR(__xludf.DUMMYFUNCTION("""COMPUTED_VALUE"""),"MOC")</f>
        <v>MOC</v>
      </c>
      <c r="N407" s="220">
        <f>IFERROR(__xludf.DUMMYFUNCTION("""COMPUTED_VALUE"""),1.0)</f>
        <v>1</v>
      </c>
      <c r="O407" s="220">
        <f>IFERROR(__xludf.DUMMYFUNCTION("""COMPUTED_VALUE"""),2.5)</f>
        <v>2.5</v>
      </c>
      <c r="P407" s="220"/>
      <c r="R407" s="210"/>
      <c r="S407" s="210"/>
      <c r="T407" s="210"/>
      <c r="U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row>
    <row r="408">
      <c r="A408" s="223" t="str">
        <f>IFERROR(__xludf.DUMMYFUNCTION("""COMPUTED_VALUE"""),"237156")</f>
        <v>237156</v>
      </c>
      <c r="B408" s="190" t="str">
        <f>IFERROR(__xludf.DUMMYFUNCTION("""COMPUTED_VALUE"""),"PHẠM HOÀNG THÁI SƠN")</f>
        <v>PHẠM HOÀNG THÁI SƠN</v>
      </c>
      <c r="C408" s="223" t="str">
        <f>IFERROR(__xludf.DUMMYFUNCTION("""COMPUTED_VALUE"""),"EL035")</f>
        <v>EL035</v>
      </c>
      <c r="D408" s="223" t="str">
        <f>IFERROR(__xludf.DUMMYFUNCTION("""COMPUTED_VALUE"""),"Van Nguyen")</f>
        <v>Van Nguyen</v>
      </c>
      <c r="E408" s="190" t="str">
        <f>IFERROR(__xludf.DUMMYFUNCTION("""COMPUTED_VALUE"""),"Communication 2")</f>
        <v>Communication 2</v>
      </c>
      <c r="F408" s="190" t="str">
        <f>IFERROR(__xludf.DUMMYFUNCTION("""COMPUTED_VALUE"""),"Beginner 2")</f>
        <v>Beginner 2</v>
      </c>
      <c r="G408" s="190" t="str">
        <f>IFERROR(__xludf.DUMMYFUNCTION("""COMPUTED_VALUE"""),"Pre-Intermediate 2")</f>
        <v>Pre-Intermediate 2</v>
      </c>
      <c r="H408" s="219">
        <f>IFERROR(__xludf.DUMMYFUNCTION("""COMPUTED_VALUE"""),45910.54166666667)</f>
        <v>45910.54167</v>
      </c>
      <c r="I408" s="219">
        <f>IFERROR(__xludf.DUMMYFUNCTION("""COMPUTED_VALUE"""),45765.41666666667)</f>
        <v>45765.41667</v>
      </c>
      <c r="J408" s="190">
        <f>IFERROR(__xludf.DUMMYFUNCTION("""COMPUTED_VALUE"""),1.5)</f>
        <v>1.5</v>
      </c>
      <c r="K408" s="190">
        <f>IFERROR(__xludf.DUMMYFUNCTION("""COMPUTED_VALUE"""),3.5)</f>
        <v>3.5</v>
      </c>
      <c r="L408" s="190" t="str">
        <f>IFERROR(__xludf.DUMMYFUNCTION("""COMPUTED_VALUE"""),"DEV")</f>
        <v>DEV</v>
      </c>
      <c r="M408" s="190" t="str">
        <f>IFERROR(__xludf.DUMMYFUNCTION("""COMPUTED_VALUE"""),"MOC")</f>
        <v>MOC</v>
      </c>
      <c r="N408" s="220">
        <f>IFERROR(__xludf.DUMMYFUNCTION("""COMPUTED_VALUE"""),0.5)</f>
        <v>0.5</v>
      </c>
      <c r="O408" s="220">
        <f>IFERROR(__xludf.DUMMYFUNCTION("""COMPUTED_VALUE"""),3.5)</f>
        <v>3.5</v>
      </c>
      <c r="P408" s="220"/>
      <c r="R408" s="210"/>
      <c r="S408" s="210"/>
      <c r="T408" s="210"/>
      <c r="U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row>
    <row r="409">
      <c r="A409" s="223" t="str">
        <f>IFERROR(__xludf.DUMMYFUNCTION("""COMPUTED_VALUE"""),"247119")</f>
        <v>247119</v>
      </c>
      <c r="B409" s="190" t="str">
        <f>IFERROR(__xludf.DUMMYFUNCTION("""COMPUTED_VALUE"""),"PHẠM HUY HOÀNG")</f>
        <v>PHẠM HUY HOÀNG</v>
      </c>
      <c r="C409" s="223" t="str">
        <f>IFERROR(__xludf.DUMMYFUNCTION("""COMPUTED_VALUE"""),"EL035")</f>
        <v>EL035</v>
      </c>
      <c r="D409" s="223" t="str">
        <f>IFERROR(__xludf.DUMMYFUNCTION("""COMPUTED_VALUE"""),"Van Nguyen")</f>
        <v>Van Nguyen</v>
      </c>
      <c r="E409" s="190" t="str">
        <f>IFERROR(__xludf.DUMMYFUNCTION("""COMPUTED_VALUE"""),"Communication 2")</f>
        <v>Communication 2</v>
      </c>
      <c r="F409" s="190" t="str">
        <f>IFERROR(__xludf.DUMMYFUNCTION("""COMPUTED_VALUE"""),"Pre-Intermediate 1")</f>
        <v>Pre-Intermediate 1</v>
      </c>
      <c r="G409" s="190" t="str">
        <f>IFERROR(__xludf.DUMMYFUNCTION("""COMPUTED_VALUE"""),"Intermediate 1")</f>
        <v>Intermediate 1</v>
      </c>
      <c r="H409" s="219">
        <f>IFERROR(__xludf.DUMMYFUNCTION("""COMPUTED_VALUE"""),45910.54166666667)</f>
        <v>45910.54167</v>
      </c>
      <c r="I409" s="219">
        <f>IFERROR(__xludf.DUMMYFUNCTION("""COMPUTED_VALUE"""),45765.41666666667)</f>
        <v>45765.41667</v>
      </c>
      <c r="J409" s="190">
        <f>IFERROR(__xludf.DUMMYFUNCTION("""COMPUTED_VALUE"""),3.0)</f>
        <v>3</v>
      </c>
      <c r="K409" s="190">
        <f>IFERROR(__xludf.DUMMYFUNCTION("""COMPUTED_VALUE"""),5.0)</f>
        <v>5</v>
      </c>
      <c r="L409" s="190" t="str">
        <f>IFERROR(__xludf.DUMMYFUNCTION("""COMPUTED_VALUE"""),"DEV")</f>
        <v>DEV</v>
      </c>
      <c r="M409" s="190" t="str">
        <f>IFERROR(__xludf.DUMMYFUNCTION("""COMPUTED_VALUE"""),"MOC")</f>
        <v>MOC</v>
      </c>
      <c r="N409" s="220">
        <f>IFERROR(__xludf.DUMMYFUNCTION("""COMPUTED_VALUE"""),1.0)</f>
        <v>1</v>
      </c>
      <c r="O409" s="220">
        <f>IFERROR(__xludf.DUMMYFUNCTION("""COMPUTED_VALUE"""),5.0)</f>
        <v>5</v>
      </c>
      <c r="P409" s="220"/>
      <c r="R409" s="210"/>
      <c r="S409" s="210"/>
      <c r="T409" s="210"/>
      <c r="U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row>
    <row r="410">
      <c r="A410" s="223" t="str">
        <f>IFERROR(__xludf.DUMMYFUNCTION("""COMPUTED_VALUE"""),"203764")</f>
        <v>203764</v>
      </c>
      <c r="B410" s="190" t="str">
        <f>IFERROR(__xludf.DUMMYFUNCTION("""COMPUTED_VALUE"""),"TRẦN MINH TRIẾT")</f>
        <v>TRẦN MINH TRIẾT</v>
      </c>
      <c r="C410" s="223" t="str">
        <f>IFERROR(__xludf.DUMMYFUNCTION("""COMPUTED_VALUE"""),"EL035")</f>
        <v>EL035</v>
      </c>
      <c r="D410" s="223" t="str">
        <f>IFERROR(__xludf.DUMMYFUNCTION("""COMPUTED_VALUE"""),"Van Nguyen")</f>
        <v>Van Nguyen</v>
      </c>
      <c r="E410" s="190" t="str">
        <f>IFERROR(__xludf.DUMMYFUNCTION("""COMPUTED_VALUE"""),"Communication 2")</f>
        <v>Communication 2</v>
      </c>
      <c r="F410" s="190" t="str">
        <f>IFERROR(__xludf.DUMMYFUNCTION("""COMPUTED_VALUE"""),"Pre-Intermediate 2")</f>
        <v>Pre-Intermediate 2</v>
      </c>
      <c r="G410" s="190" t="str">
        <f>IFERROR(__xludf.DUMMYFUNCTION("""COMPUTED_VALUE"""),"Intermediate 1")</f>
        <v>Intermediate 1</v>
      </c>
      <c r="H410" s="219">
        <f>IFERROR(__xludf.DUMMYFUNCTION("""COMPUTED_VALUE"""),45910.54166666667)</f>
        <v>45910.54167</v>
      </c>
      <c r="I410" s="219">
        <f>IFERROR(__xludf.DUMMYFUNCTION("""COMPUTED_VALUE"""),45765.41666666667)</f>
        <v>45765.41667</v>
      </c>
      <c r="J410" s="190">
        <f>IFERROR(__xludf.DUMMYFUNCTION("""COMPUTED_VALUE"""),3.5)</f>
        <v>3.5</v>
      </c>
      <c r="K410" s="190">
        <f>IFERROR(__xludf.DUMMYFUNCTION("""COMPUTED_VALUE"""),5.0)</f>
        <v>5</v>
      </c>
      <c r="L410" s="190" t="str">
        <f>IFERROR(__xludf.DUMMYFUNCTION("""COMPUTED_VALUE"""),"DEV")</f>
        <v>DEV</v>
      </c>
      <c r="M410" s="190" t="str">
        <f>IFERROR(__xludf.DUMMYFUNCTION("""COMPUTED_VALUE"""),"MOC")</f>
        <v>MOC</v>
      </c>
      <c r="N410" s="220">
        <f>IFERROR(__xludf.DUMMYFUNCTION("""COMPUTED_VALUE"""),1.0)</f>
        <v>1</v>
      </c>
      <c r="O410" s="220">
        <f>IFERROR(__xludf.DUMMYFUNCTION("""COMPUTED_VALUE"""),5.0)</f>
        <v>5</v>
      </c>
      <c r="P410" s="220"/>
      <c r="R410" s="210"/>
      <c r="S410" s="210"/>
      <c r="T410" s="210"/>
      <c r="U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row>
    <row r="411">
      <c r="A411" s="223" t="str">
        <f>IFERROR(__xludf.DUMMYFUNCTION("""COMPUTED_VALUE"""),"227104")</f>
        <v>227104</v>
      </c>
      <c r="B411" s="190" t="str">
        <f>IFERROR(__xludf.DUMMYFUNCTION("""COMPUTED_VALUE"""),"VŨ THỊ HỒNG LIÊN")</f>
        <v>VŨ THỊ HỒNG LIÊN</v>
      </c>
      <c r="C411" s="223" t="str">
        <f>IFERROR(__xludf.DUMMYFUNCTION("""COMPUTED_VALUE"""),"EL035")</f>
        <v>EL035</v>
      </c>
      <c r="D411" s="223" t="str">
        <f>IFERROR(__xludf.DUMMYFUNCTION("""COMPUTED_VALUE"""),"Van Nguyen")</f>
        <v>Van Nguyen</v>
      </c>
      <c r="E411" s="190" t="str">
        <f>IFERROR(__xludf.DUMMYFUNCTION("""COMPUTED_VALUE"""),"Communication 2")</f>
        <v>Communication 2</v>
      </c>
      <c r="F411" s="190" t="str">
        <f>IFERROR(__xludf.DUMMYFUNCTION("""COMPUTED_VALUE"""),"Pre-Intermediate 2")</f>
        <v>Pre-Intermediate 2</v>
      </c>
      <c r="G411" s="190" t="str">
        <f>IFERROR(__xludf.DUMMYFUNCTION("""COMPUTED_VALUE"""),"Intermediate 1")</f>
        <v>Intermediate 1</v>
      </c>
      <c r="H411" s="219">
        <f>IFERROR(__xludf.DUMMYFUNCTION("""COMPUTED_VALUE"""),45910.54166666667)</f>
        <v>45910.54167</v>
      </c>
      <c r="I411" s="219">
        <f>IFERROR(__xludf.DUMMYFUNCTION("""COMPUTED_VALUE"""),45764.45833333333)</f>
        <v>45764.45833</v>
      </c>
      <c r="J411" s="190">
        <f>IFERROR(__xludf.DUMMYFUNCTION("""COMPUTED_VALUE"""),3.5)</f>
        <v>3.5</v>
      </c>
      <c r="K411" s="190">
        <f>IFERROR(__xludf.DUMMYFUNCTION("""COMPUTED_VALUE"""),5.0)</f>
        <v>5</v>
      </c>
      <c r="L411" s="190" t="str">
        <f>IFERROR(__xludf.DUMMYFUNCTION("""COMPUTED_VALUE"""),"BC")</f>
        <v>BC</v>
      </c>
      <c r="M411" s="190" t="str">
        <f>IFERROR(__xludf.DUMMYFUNCTION("""COMPUTED_VALUE"""),"MOC")</f>
        <v>MOC</v>
      </c>
      <c r="N411" s="220">
        <f>IFERROR(__xludf.DUMMYFUNCTION("""COMPUTED_VALUE"""),0.0)</f>
        <v>0</v>
      </c>
      <c r="O411" s="220">
        <f>IFERROR(__xludf.DUMMYFUNCTION("""COMPUTED_VALUE"""),5.0)</f>
        <v>5</v>
      </c>
      <c r="P411" s="220"/>
      <c r="R411" s="210"/>
      <c r="S411" s="210"/>
      <c r="T411" s="210"/>
      <c r="U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row>
    <row r="412">
      <c r="A412" s="223" t="str">
        <f>IFERROR(__xludf.DUMMYFUNCTION("""COMPUTED_VALUE"""),"247172")</f>
        <v>247172</v>
      </c>
      <c r="B412" s="190" t="str">
        <f>IFERROR(__xludf.DUMMYFUNCTION("""COMPUTED_VALUE"""),"NGUYỄN MINH QUÂN")</f>
        <v>NGUYỄN MINH QUÂN</v>
      </c>
      <c r="C412" s="223" t="str">
        <f>IFERROR(__xludf.DUMMYFUNCTION("""COMPUTED_VALUE"""),"EL037")</f>
        <v>EL037</v>
      </c>
      <c r="D412" s="223" t="str">
        <f>IFERROR(__xludf.DUMMYFUNCTION("""COMPUTED_VALUE"""),"Quan Nguyen")</f>
        <v>Quan Nguyen</v>
      </c>
      <c r="E412" s="190" t="str">
        <f>IFERROR(__xludf.DUMMYFUNCTION("""COMPUTED_VALUE"""),"Foundation")</f>
        <v>Foundation</v>
      </c>
      <c r="F412" s="190" t="str">
        <f>IFERROR(__xludf.DUMMYFUNCTION("""COMPUTED_VALUE"""),"Foundation")</f>
        <v>Foundation</v>
      </c>
      <c r="G412" s="190" t="str">
        <f>IFERROR(__xludf.DUMMYFUNCTION("""COMPUTED_VALUE"""),"Beginner")</f>
        <v>Beginner</v>
      </c>
      <c r="H412" s="219">
        <f>IFERROR(__xludf.DUMMYFUNCTION("""COMPUTED_VALUE"""),45805.375)</f>
        <v>45805.375</v>
      </c>
      <c r="I412" s="219">
        <f>IFERROR(__xludf.DUMMYFUNCTION("""COMPUTED_VALUE"""),45805.375)</f>
        <v>45805.375</v>
      </c>
      <c r="J412" s="190">
        <f>IFERROR(__xludf.DUMMYFUNCTION("""COMPUTED_VALUE"""),0.5)</f>
        <v>0.5</v>
      </c>
      <c r="K412" s="190">
        <f>IFERROR(__xludf.DUMMYFUNCTION("""COMPUTED_VALUE"""),1.0)</f>
        <v>1</v>
      </c>
      <c r="L412" s="190" t="str">
        <f>IFERROR(__xludf.DUMMYFUNCTION("""COMPUTED_VALUE"""),"DEV")</f>
        <v>DEV</v>
      </c>
      <c r="M412" s="190" t="str">
        <f>IFERROR(__xludf.DUMMYFUNCTION("""COMPUTED_VALUE"""),"MOC")</f>
        <v>MOC</v>
      </c>
      <c r="N412" s="220">
        <f>IFERROR(__xludf.DUMMYFUNCTION("""COMPUTED_VALUE"""),0.5)</f>
        <v>0.5</v>
      </c>
      <c r="O412" s="220">
        <f>IFERROR(__xludf.DUMMYFUNCTION("""COMPUTED_VALUE"""),3.0)</f>
        <v>3</v>
      </c>
      <c r="P412" s="220"/>
      <c r="R412" s="210"/>
      <c r="S412" s="210"/>
      <c r="T412" s="210"/>
      <c r="U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row>
    <row r="413">
      <c r="A413" s="223" t="str">
        <f>IFERROR(__xludf.DUMMYFUNCTION("""COMPUTED_VALUE"""),"213881")</f>
        <v>213881</v>
      </c>
      <c r="B413" s="190" t="str">
        <f>IFERROR(__xludf.DUMMYFUNCTION("""COMPUTED_VALUE"""),"ĐẶNG GIA LỘC")</f>
        <v>ĐẶNG GIA LỘC</v>
      </c>
      <c r="C413" s="223" t="str">
        <f>IFERROR(__xludf.DUMMYFUNCTION("""COMPUTED_VALUE"""),"EL037")</f>
        <v>EL037</v>
      </c>
      <c r="D413" s="223" t="str">
        <f>IFERROR(__xludf.DUMMYFUNCTION("""COMPUTED_VALUE"""),"Quan Nguyen")</f>
        <v>Quan Nguyen</v>
      </c>
      <c r="E413" s="190" t="str">
        <f>IFERROR(__xludf.DUMMYFUNCTION("""COMPUTED_VALUE"""),"Foundation")</f>
        <v>Foundation</v>
      </c>
      <c r="F413" s="190" t="str">
        <f>IFERROR(__xludf.DUMMYFUNCTION("""COMPUTED_VALUE"""),"Foundation")</f>
        <v>Foundation</v>
      </c>
      <c r="G413" s="190" t="str">
        <f>IFERROR(__xludf.DUMMYFUNCTION("""COMPUTED_VALUE"""),"Foundation")</f>
        <v>Foundation</v>
      </c>
      <c r="H413" s="219">
        <f>IFERROR(__xludf.DUMMYFUNCTION("""COMPUTED_VALUE"""),45805.375)</f>
        <v>45805.375</v>
      </c>
      <c r="I413" s="219">
        <f>IFERROR(__xludf.DUMMYFUNCTION("""COMPUTED_VALUE"""),45805.375)</f>
        <v>45805.375</v>
      </c>
      <c r="J413" s="190">
        <f>IFERROR(__xludf.DUMMYFUNCTION("""COMPUTED_VALUE"""),0.5)</f>
        <v>0.5</v>
      </c>
      <c r="K413" s="190">
        <f>IFERROR(__xludf.DUMMYFUNCTION("""COMPUTED_VALUE"""),0.5)</f>
        <v>0.5</v>
      </c>
      <c r="L413" s="190" t="str">
        <f>IFERROR(__xludf.DUMMYFUNCTION("""COMPUTED_VALUE"""),"DEV")</f>
        <v>DEV</v>
      </c>
      <c r="M413" s="190" t="str">
        <f>IFERROR(__xludf.DUMMYFUNCTION("""COMPUTED_VALUE"""),"MOC")</f>
        <v>MOC</v>
      </c>
      <c r="N413" s="220">
        <f>IFERROR(__xludf.DUMMYFUNCTION("""COMPUTED_VALUE"""),0.5)</f>
        <v>0.5</v>
      </c>
      <c r="O413" s="220">
        <f>IFERROR(__xludf.DUMMYFUNCTION("""COMPUTED_VALUE"""),0.5)</f>
        <v>0.5</v>
      </c>
      <c r="P413" s="220"/>
      <c r="R413" s="210"/>
      <c r="S413" s="210"/>
      <c r="T413" s="210"/>
      <c r="U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row>
    <row r="414">
      <c r="A414" s="223" t="str">
        <f>IFERROR(__xludf.DUMMYFUNCTION("""COMPUTED_VALUE"""),"213854")</f>
        <v>213854</v>
      </c>
      <c r="B414" s="190" t="str">
        <f>IFERROR(__xludf.DUMMYFUNCTION("""COMPUTED_VALUE"""),"LÊ NHẬT")</f>
        <v>LÊ NHẬT</v>
      </c>
      <c r="C414" s="223" t="str">
        <f>IFERROR(__xludf.DUMMYFUNCTION("""COMPUTED_VALUE"""),"EL037")</f>
        <v>EL037</v>
      </c>
      <c r="D414" s="223" t="str">
        <f>IFERROR(__xludf.DUMMYFUNCTION("""COMPUTED_VALUE"""),"Quan Nguyen")</f>
        <v>Quan Nguyen</v>
      </c>
      <c r="E414" s="190" t="str">
        <f>IFERROR(__xludf.DUMMYFUNCTION("""COMPUTED_VALUE"""),"Foundation")</f>
        <v>Foundation</v>
      </c>
      <c r="F414" s="190" t="str">
        <f>IFERROR(__xludf.DUMMYFUNCTION("""COMPUTED_VALUE"""),"Foundation")</f>
        <v>Foundation</v>
      </c>
      <c r="G414" s="190" t="str">
        <f>IFERROR(__xludf.DUMMYFUNCTION("""COMPUTED_VALUE"""),"Foundation")</f>
        <v>Foundation</v>
      </c>
      <c r="H414" s="219">
        <f>IFERROR(__xludf.DUMMYFUNCTION("""COMPUTED_VALUE"""),45805.375)</f>
        <v>45805.375</v>
      </c>
      <c r="I414" s="219">
        <f>IFERROR(__xludf.DUMMYFUNCTION("""COMPUTED_VALUE"""),45805.375)</f>
        <v>45805.375</v>
      </c>
      <c r="J414" s="190">
        <f>IFERROR(__xludf.DUMMYFUNCTION("""COMPUTED_VALUE"""),0.5)</f>
        <v>0.5</v>
      </c>
      <c r="K414" s="190">
        <f>IFERROR(__xludf.DUMMYFUNCTION("""COMPUTED_VALUE"""),0.5)</f>
        <v>0.5</v>
      </c>
      <c r="L414" s="190" t="str">
        <f>IFERROR(__xludf.DUMMYFUNCTION("""COMPUTED_VALUE"""),"DEV")</f>
        <v>DEV</v>
      </c>
      <c r="M414" s="190" t="str">
        <f>IFERROR(__xludf.DUMMYFUNCTION("""COMPUTED_VALUE"""),"MOC")</f>
        <v>MOC</v>
      </c>
      <c r="N414" s="220">
        <f>IFERROR(__xludf.DUMMYFUNCTION("""COMPUTED_VALUE"""),0.5)</f>
        <v>0.5</v>
      </c>
      <c r="O414" s="220">
        <f>IFERROR(__xludf.DUMMYFUNCTION("""COMPUTED_VALUE"""),1.5)</f>
        <v>1.5</v>
      </c>
      <c r="P414" s="220"/>
      <c r="R414" s="210"/>
      <c r="S414" s="210"/>
      <c r="T414" s="210"/>
      <c r="U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row>
    <row r="415">
      <c r="A415" s="223" t="str">
        <f>IFERROR(__xludf.DUMMYFUNCTION("""COMPUTED_VALUE"""),"213805")</f>
        <v>213805</v>
      </c>
      <c r="B415" s="190" t="str">
        <f>IFERROR(__xludf.DUMMYFUNCTION("""COMPUTED_VALUE"""),"NGUYỄN ĐỨC ANH")</f>
        <v>NGUYỄN ĐỨC ANH</v>
      </c>
      <c r="C415" s="223" t="str">
        <f>IFERROR(__xludf.DUMMYFUNCTION("""COMPUTED_VALUE"""),"EL037")</f>
        <v>EL037</v>
      </c>
      <c r="D415" s="223" t="str">
        <f>IFERROR(__xludf.DUMMYFUNCTION("""COMPUTED_VALUE"""),"Quan Nguyen")</f>
        <v>Quan Nguyen</v>
      </c>
      <c r="E415" s="190" t="str">
        <f>IFERROR(__xludf.DUMMYFUNCTION("""COMPUTED_VALUE"""),"Foundation")</f>
        <v>Foundation</v>
      </c>
      <c r="F415" s="190" t="str">
        <f>IFERROR(__xludf.DUMMYFUNCTION("""COMPUTED_VALUE"""),"Foundation")</f>
        <v>Foundation</v>
      </c>
      <c r="G415" s="190" t="str">
        <f>IFERROR(__xludf.DUMMYFUNCTION("""COMPUTED_VALUE"""),"Foundation")</f>
        <v>Foundation</v>
      </c>
      <c r="H415" s="219">
        <f>IFERROR(__xludf.DUMMYFUNCTION("""COMPUTED_VALUE"""),45805.375)</f>
        <v>45805.375</v>
      </c>
      <c r="I415" s="219">
        <f>IFERROR(__xludf.DUMMYFUNCTION("""COMPUTED_VALUE"""),45805.375)</f>
        <v>45805.375</v>
      </c>
      <c r="J415" s="190">
        <f>IFERROR(__xludf.DUMMYFUNCTION("""COMPUTED_VALUE"""),0.5)</f>
        <v>0.5</v>
      </c>
      <c r="K415" s="190">
        <f>IFERROR(__xludf.DUMMYFUNCTION("""COMPUTED_VALUE"""),0.5)</f>
        <v>0.5</v>
      </c>
      <c r="L415" s="190" t="str">
        <f>IFERROR(__xludf.DUMMYFUNCTION("""COMPUTED_VALUE"""),"DEV")</f>
        <v>DEV</v>
      </c>
      <c r="M415" s="190" t="str">
        <f>IFERROR(__xludf.DUMMYFUNCTION("""COMPUTED_VALUE"""),"MOC")</f>
        <v>MOC</v>
      </c>
      <c r="N415" s="220">
        <f>IFERROR(__xludf.DUMMYFUNCTION("""COMPUTED_VALUE"""),0.5)</f>
        <v>0.5</v>
      </c>
      <c r="O415" s="220">
        <f>IFERROR(__xludf.DUMMYFUNCTION("""COMPUTED_VALUE"""),0.5)</f>
        <v>0.5</v>
      </c>
      <c r="P415" s="220"/>
      <c r="R415" s="210"/>
      <c r="S415" s="210"/>
      <c r="T415" s="210"/>
      <c r="U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row>
    <row r="416">
      <c r="A416" s="223" t="str">
        <f>IFERROR(__xludf.DUMMYFUNCTION("""COMPUTED_VALUE"""),"173232")</f>
        <v>173232</v>
      </c>
      <c r="B416" s="190" t="str">
        <f>IFERROR(__xludf.DUMMYFUNCTION("""COMPUTED_VALUE"""),"NGUYỄN QUANG ĐỨC")</f>
        <v>NGUYỄN QUANG ĐỨC</v>
      </c>
      <c r="C416" s="223" t="str">
        <f>IFERROR(__xludf.DUMMYFUNCTION("""COMPUTED_VALUE"""),"EL037")</f>
        <v>EL037</v>
      </c>
      <c r="D416" s="223" t="str">
        <f>IFERROR(__xludf.DUMMYFUNCTION("""COMPUTED_VALUE"""),"Quan Nguyen")</f>
        <v>Quan Nguyen</v>
      </c>
      <c r="E416" s="190" t="str">
        <f>IFERROR(__xludf.DUMMYFUNCTION("""COMPUTED_VALUE"""),"Foundation")</f>
        <v>Foundation</v>
      </c>
      <c r="F416" s="190" t="str">
        <f>IFERROR(__xludf.DUMMYFUNCTION("""COMPUTED_VALUE"""),"Foundation")</f>
        <v>Foundation</v>
      </c>
      <c r="G416" s="190" t="str">
        <f>IFERROR(__xludf.DUMMYFUNCTION("""COMPUTED_VALUE"""),"Foundation")</f>
        <v>Foundation</v>
      </c>
      <c r="H416" s="219">
        <f>IFERROR(__xludf.DUMMYFUNCTION("""COMPUTED_VALUE"""),45805.375)</f>
        <v>45805.375</v>
      </c>
      <c r="I416" s="219">
        <f>IFERROR(__xludf.DUMMYFUNCTION("""COMPUTED_VALUE"""),45805.375)</f>
        <v>45805.375</v>
      </c>
      <c r="J416" s="190">
        <f>IFERROR(__xludf.DUMMYFUNCTION("""COMPUTED_VALUE"""),0.5)</f>
        <v>0.5</v>
      </c>
      <c r="K416" s="190">
        <f>IFERROR(__xludf.DUMMYFUNCTION("""COMPUTED_VALUE"""),0.5)</f>
        <v>0.5</v>
      </c>
      <c r="L416" s="190" t="str">
        <f>IFERROR(__xludf.DUMMYFUNCTION("""COMPUTED_VALUE"""),"TA")</f>
        <v>TA</v>
      </c>
      <c r="M416" s="190" t="str">
        <f>IFERROR(__xludf.DUMMYFUNCTION("""COMPUTED_VALUE"""),"MOC")</f>
        <v>MOC</v>
      </c>
      <c r="N416" s="220">
        <f>IFERROR(__xludf.DUMMYFUNCTION("""COMPUTED_VALUE"""),0.5)</f>
        <v>0.5</v>
      </c>
      <c r="O416" s="220">
        <f>IFERROR(__xludf.DUMMYFUNCTION("""COMPUTED_VALUE"""),3.0)</f>
        <v>3</v>
      </c>
      <c r="P416" s="220"/>
      <c r="R416" s="210"/>
      <c r="S416" s="210"/>
      <c r="T416" s="210"/>
      <c r="U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row>
    <row r="417">
      <c r="A417" s="223" t="str">
        <f>IFERROR(__xludf.DUMMYFUNCTION("""COMPUTED_VALUE"""),"203701")</f>
        <v>203701</v>
      </c>
      <c r="B417" s="190" t="str">
        <f>IFERROR(__xludf.DUMMYFUNCTION("""COMPUTED_VALUE"""),"PHẠM MAI NHẬT")</f>
        <v>PHẠM MAI NHẬT</v>
      </c>
      <c r="C417" s="223" t="str">
        <f>IFERROR(__xludf.DUMMYFUNCTION("""COMPUTED_VALUE"""),"EL037")</f>
        <v>EL037</v>
      </c>
      <c r="D417" s="223" t="str">
        <f>IFERROR(__xludf.DUMMYFUNCTION("""COMPUTED_VALUE"""),"Quan Nguyen")</f>
        <v>Quan Nguyen</v>
      </c>
      <c r="E417" s="190" t="str">
        <f>IFERROR(__xludf.DUMMYFUNCTION("""COMPUTED_VALUE"""),"Foundation")</f>
        <v>Foundation</v>
      </c>
      <c r="F417" s="190" t="str">
        <f>IFERROR(__xludf.DUMMYFUNCTION("""COMPUTED_VALUE"""),"Foundation")</f>
        <v>Foundation</v>
      </c>
      <c r="G417" s="190" t="str">
        <f>IFERROR(__xludf.DUMMYFUNCTION("""COMPUTED_VALUE"""),"Foundation")</f>
        <v>Foundation</v>
      </c>
      <c r="H417" s="219">
        <f>IFERROR(__xludf.DUMMYFUNCTION("""COMPUTED_VALUE"""),45805.375)</f>
        <v>45805.375</v>
      </c>
      <c r="I417" s="219">
        <f>IFERROR(__xludf.DUMMYFUNCTION("""COMPUTED_VALUE"""),45805.375)</f>
        <v>45805.375</v>
      </c>
      <c r="J417" s="190">
        <f>IFERROR(__xludf.DUMMYFUNCTION("""COMPUTED_VALUE"""),0.5)</f>
        <v>0.5</v>
      </c>
      <c r="K417" s="190">
        <f>IFERROR(__xludf.DUMMYFUNCTION("""COMPUTED_VALUE"""),0.5)</f>
        <v>0.5</v>
      </c>
      <c r="L417" s="190" t="str">
        <f>IFERROR(__xludf.DUMMYFUNCTION("""COMPUTED_VALUE"""),"DEV")</f>
        <v>DEV</v>
      </c>
      <c r="M417" s="190" t="str">
        <f>IFERROR(__xludf.DUMMYFUNCTION("""COMPUTED_VALUE"""),"MOC")</f>
        <v>MOC</v>
      </c>
      <c r="N417" s="220">
        <f>IFERROR(__xludf.DUMMYFUNCTION("""COMPUTED_VALUE"""),0.5)</f>
        <v>0.5</v>
      </c>
      <c r="O417" s="220">
        <f>IFERROR(__xludf.DUMMYFUNCTION("""COMPUTED_VALUE"""),3.0)</f>
        <v>3</v>
      </c>
      <c r="P417" s="220"/>
      <c r="R417" s="210"/>
      <c r="S417" s="210"/>
      <c r="T417" s="210"/>
      <c r="U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row>
    <row r="418">
      <c r="A418" s="223" t="str">
        <f>IFERROR(__xludf.DUMMYFUNCTION("""COMPUTED_VALUE"""),"213935")</f>
        <v>213935</v>
      </c>
      <c r="B418" s="190" t="str">
        <f>IFERROR(__xludf.DUMMYFUNCTION("""COMPUTED_VALUE"""),"TRẦN NHỰT DUY")</f>
        <v>TRẦN NHỰT DUY</v>
      </c>
      <c r="C418" s="223" t="str">
        <f>IFERROR(__xludf.DUMMYFUNCTION("""COMPUTED_VALUE"""),"EL037")</f>
        <v>EL037</v>
      </c>
      <c r="D418" s="223" t="str">
        <f>IFERROR(__xludf.DUMMYFUNCTION("""COMPUTED_VALUE"""),"Quan Nguyen")</f>
        <v>Quan Nguyen</v>
      </c>
      <c r="E418" s="190" t="str">
        <f>IFERROR(__xludf.DUMMYFUNCTION("""COMPUTED_VALUE"""),"Foundation")</f>
        <v>Foundation</v>
      </c>
      <c r="F418" s="190" t="str">
        <f>IFERROR(__xludf.DUMMYFUNCTION("""COMPUTED_VALUE"""),"Foundation")</f>
        <v>Foundation</v>
      </c>
      <c r="G418" s="190" t="str">
        <f>IFERROR(__xludf.DUMMYFUNCTION("""COMPUTED_VALUE"""),"Foundation")</f>
        <v>Foundation</v>
      </c>
      <c r="H418" s="219">
        <f>IFERROR(__xludf.DUMMYFUNCTION("""COMPUTED_VALUE"""),45805.375)</f>
        <v>45805.375</v>
      </c>
      <c r="I418" s="219">
        <f>IFERROR(__xludf.DUMMYFUNCTION("""COMPUTED_VALUE"""),45805.375)</f>
        <v>45805.375</v>
      </c>
      <c r="J418" s="190">
        <f>IFERROR(__xludf.DUMMYFUNCTION("""COMPUTED_VALUE"""),0.5)</f>
        <v>0.5</v>
      </c>
      <c r="K418" s="190">
        <f>IFERROR(__xludf.DUMMYFUNCTION("""COMPUTED_VALUE"""),0.5)</f>
        <v>0.5</v>
      </c>
      <c r="L418" s="190" t="str">
        <f>IFERROR(__xludf.DUMMYFUNCTION("""COMPUTED_VALUE"""),"DEV")</f>
        <v>DEV</v>
      </c>
      <c r="M418" s="190" t="str">
        <f>IFERROR(__xludf.DUMMYFUNCTION("""COMPUTED_VALUE"""),"MOC")</f>
        <v>MOC</v>
      </c>
      <c r="N418" s="220">
        <f>IFERROR(__xludf.DUMMYFUNCTION("""COMPUTED_VALUE"""),0.5)</f>
        <v>0.5</v>
      </c>
      <c r="O418" s="220">
        <f>IFERROR(__xludf.DUMMYFUNCTION("""COMPUTED_VALUE"""),0.5)</f>
        <v>0.5</v>
      </c>
      <c r="P418" s="220"/>
      <c r="R418" s="210"/>
      <c r="S418" s="210"/>
      <c r="T418" s="210"/>
      <c r="U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row>
    <row r="419">
      <c r="A419" s="223" t="str">
        <f>IFERROR(__xludf.DUMMYFUNCTION("""COMPUTED_VALUE"""),"227063")</f>
        <v>227063</v>
      </c>
      <c r="B419" s="190" t="str">
        <f>IFERROR(__xludf.DUMMYFUNCTION("""COMPUTED_VALUE"""),"TRƯƠNG ĐÌNH ÁNH")</f>
        <v>TRƯƠNG ĐÌNH ÁNH</v>
      </c>
      <c r="C419" s="223" t="str">
        <f>IFERROR(__xludf.DUMMYFUNCTION("""COMPUTED_VALUE"""),"EL037")</f>
        <v>EL037</v>
      </c>
      <c r="D419" s="223" t="str">
        <f>IFERROR(__xludf.DUMMYFUNCTION("""COMPUTED_VALUE"""),"Quan Nguyen")</f>
        <v>Quan Nguyen</v>
      </c>
      <c r="E419" s="190" t="str">
        <f>IFERROR(__xludf.DUMMYFUNCTION("""COMPUTED_VALUE"""),"Foundation")</f>
        <v>Foundation</v>
      </c>
      <c r="F419" s="190" t="str">
        <f>IFERROR(__xludf.DUMMYFUNCTION("""COMPUTED_VALUE"""),"Foundation")</f>
        <v>Foundation</v>
      </c>
      <c r="G419" s="190" t="str">
        <f>IFERROR(__xludf.DUMMYFUNCTION("""COMPUTED_VALUE"""),"Foundation")</f>
        <v>Foundation</v>
      </c>
      <c r="H419" s="219">
        <f>IFERROR(__xludf.DUMMYFUNCTION("""COMPUTED_VALUE"""),45805.375)</f>
        <v>45805.375</v>
      </c>
      <c r="I419" s="219">
        <f>IFERROR(__xludf.DUMMYFUNCTION("""COMPUTED_VALUE"""),45805.375)</f>
        <v>45805.375</v>
      </c>
      <c r="J419" s="190">
        <f>IFERROR(__xludf.DUMMYFUNCTION("""COMPUTED_VALUE"""),0.5)</f>
        <v>0.5</v>
      </c>
      <c r="K419" s="190">
        <f>IFERROR(__xludf.DUMMYFUNCTION("""COMPUTED_VALUE"""),0.5)</f>
        <v>0.5</v>
      </c>
      <c r="L419" s="190" t="str">
        <f>IFERROR(__xludf.DUMMYFUNCTION("""COMPUTED_VALUE"""),"DEV")</f>
        <v>DEV</v>
      </c>
      <c r="M419" s="190" t="str">
        <f>IFERROR(__xludf.DUMMYFUNCTION("""COMPUTED_VALUE"""),"MOC")</f>
        <v>MOC</v>
      </c>
      <c r="N419" s="220">
        <f>IFERROR(__xludf.DUMMYFUNCTION("""COMPUTED_VALUE"""),0.5)</f>
        <v>0.5</v>
      </c>
      <c r="O419" s="220">
        <f>IFERROR(__xludf.DUMMYFUNCTION("""COMPUTED_VALUE"""),3.5)</f>
        <v>3.5</v>
      </c>
      <c r="P419" s="220"/>
      <c r="R419" s="210"/>
      <c r="S419" s="210"/>
      <c r="T419" s="210"/>
      <c r="U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row>
    <row r="420">
      <c r="A420" s="223" t="str">
        <f>IFERROR(__xludf.DUMMYFUNCTION("""COMPUTED_VALUE"""),"213916")</f>
        <v>213916</v>
      </c>
      <c r="B420" s="190" t="str">
        <f>IFERROR(__xludf.DUMMYFUNCTION("""COMPUTED_VALUE"""),"VÕ CHÍ ĐẠI")</f>
        <v>VÕ CHÍ ĐẠI</v>
      </c>
      <c r="C420" s="223" t="str">
        <f>IFERROR(__xludf.DUMMYFUNCTION("""COMPUTED_VALUE"""),"EL037")</f>
        <v>EL037</v>
      </c>
      <c r="D420" s="223" t="str">
        <f>IFERROR(__xludf.DUMMYFUNCTION("""COMPUTED_VALUE"""),"Quan Nguyen")</f>
        <v>Quan Nguyen</v>
      </c>
      <c r="E420" s="190" t="str">
        <f>IFERROR(__xludf.DUMMYFUNCTION("""COMPUTED_VALUE"""),"Foundation")</f>
        <v>Foundation</v>
      </c>
      <c r="F420" s="190" t="str">
        <f>IFERROR(__xludf.DUMMYFUNCTION("""COMPUTED_VALUE"""),"Foundation")</f>
        <v>Foundation</v>
      </c>
      <c r="G420" s="190" t="str">
        <f>IFERROR(__xludf.DUMMYFUNCTION("""COMPUTED_VALUE"""),"Foundation")</f>
        <v>Foundation</v>
      </c>
      <c r="H420" s="219">
        <f>IFERROR(__xludf.DUMMYFUNCTION("""COMPUTED_VALUE"""),45805.375)</f>
        <v>45805.375</v>
      </c>
      <c r="I420" s="219">
        <f>IFERROR(__xludf.DUMMYFUNCTION("""COMPUTED_VALUE"""),45805.375)</f>
        <v>45805.375</v>
      </c>
      <c r="J420" s="190">
        <f>IFERROR(__xludf.DUMMYFUNCTION("""COMPUTED_VALUE"""),0.5)</f>
        <v>0.5</v>
      </c>
      <c r="K420" s="190">
        <f>IFERROR(__xludf.DUMMYFUNCTION("""COMPUTED_VALUE"""),0.5)</f>
        <v>0.5</v>
      </c>
      <c r="L420" s="190" t="str">
        <f>IFERROR(__xludf.DUMMYFUNCTION("""COMPUTED_VALUE"""),"DEV")</f>
        <v>DEV</v>
      </c>
      <c r="M420" s="190" t="str">
        <f>IFERROR(__xludf.DUMMYFUNCTION("""COMPUTED_VALUE"""),"MOC")</f>
        <v>MOC</v>
      </c>
      <c r="N420" s="220">
        <f>IFERROR(__xludf.DUMMYFUNCTION("""COMPUTED_VALUE"""),0.5)</f>
        <v>0.5</v>
      </c>
      <c r="O420" s="220">
        <f>IFERROR(__xludf.DUMMYFUNCTION("""COMPUTED_VALUE"""),3.5)</f>
        <v>3.5</v>
      </c>
      <c r="P420" s="220"/>
      <c r="R420" s="210"/>
      <c r="S420" s="210"/>
      <c r="T420" s="210"/>
      <c r="U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row>
    <row r="421">
      <c r="A421" s="223" t="str">
        <f>IFERROR(__xludf.DUMMYFUNCTION("""COMPUTED_VALUE"""),"247172")</f>
        <v>247172</v>
      </c>
      <c r="B421" s="190" t="str">
        <f>IFERROR(__xludf.DUMMYFUNCTION("""COMPUTED_VALUE"""),"NGUYỄN MINH QUÂN")</f>
        <v>NGUYỄN MINH QUÂN</v>
      </c>
      <c r="C421" s="223" t="str">
        <f>IFERROR(__xludf.DUMMYFUNCTION("""COMPUTED_VALUE"""),"EL037")</f>
        <v>EL037</v>
      </c>
      <c r="D421" s="223" t="str">
        <f>IFERROR(__xludf.DUMMYFUNCTION("""COMPUTED_VALUE"""),"Quan Nguyen")</f>
        <v>Quan Nguyen</v>
      </c>
      <c r="E421" s="190" t="str">
        <f>IFERROR(__xludf.DUMMYFUNCTION("""COMPUTED_VALUE"""),"Communication 1")</f>
        <v>Communication 1</v>
      </c>
      <c r="F421" s="190" t="str">
        <f>IFERROR(__xludf.DUMMYFUNCTION("""COMPUTED_VALUE"""),"Beginner")</f>
        <v>Beginner</v>
      </c>
      <c r="G421" s="190" t="str">
        <f>IFERROR(__xludf.DUMMYFUNCTION("""COMPUTED_VALUE"""),"Pre-Intermediate 1")</f>
        <v>Pre-Intermediate 1</v>
      </c>
      <c r="H421" s="219">
        <f>IFERROR(__xludf.DUMMYFUNCTION("""COMPUTED_VALUE"""),45930.41666666667)</f>
        <v>45930.41667</v>
      </c>
      <c r="I421" s="219">
        <f>IFERROR(__xludf.DUMMYFUNCTION("""COMPUTED_VALUE"""),45805.375)</f>
        <v>45805.375</v>
      </c>
      <c r="J421" s="190">
        <f>IFERROR(__xludf.DUMMYFUNCTION("""COMPUTED_VALUE"""),1.0)</f>
        <v>1</v>
      </c>
      <c r="K421" s="190">
        <f>IFERROR(__xludf.DUMMYFUNCTION("""COMPUTED_VALUE"""),3.0)</f>
        <v>3</v>
      </c>
      <c r="L421" s="190" t="str">
        <f>IFERROR(__xludf.DUMMYFUNCTION("""COMPUTED_VALUE"""),"DEV")</f>
        <v>DEV</v>
      </c>
      <c r="M421" s="190" t="str">
        <f>IFERROR(__xludf.DUMMYFUNCTION("""COMPUTED_VALUE"""),"MOC")</f>
        <v>MOC</v>
      </c>
      <c r="N421" s="220">
        <f>IFERROR(__xludf.DUMMYFUNCTION("""COMPUTED_VALUE"""),0.5)</f>
        <v>0.5</v>
      </c>
      <c r="O421" s="220">
        <f>IFERROR(__xludf.DUMMYFUNCTION("""COMPUTED_VALUE"""),3.0)</f>
        <v>3</v>
      </c>
      <c r="P421" s="220"/>
      <c r="R421" s="210"/>
      <c r="S421" s="210"/>
      <c r="T421" s="210"/>
      <c r="U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row>
    <row r="422">
      <c r="A422" s="223" t="str">
        <f>IFERROR(__xludf.DUMMYFUNCTION("""COMPUTED_VALUE"""),"213854")</f>
        <v>213854</v>
      </c>
      <c r="B422" s="190" t="str">
        <f>IFERROR(__xludf.DUMMYFUNCTION("""COMPUTED_VALUE"""),"LÊ NHẬT")</f>
        <v>LÊ NHẬT</v>
      </c>
      <c r="C422" s="223" t="str">
        <f>IFERROR(__xludf.DUMMYFUNCTION("""COMPUTED_VALUE"""),"EL037")</f>
        <v>EL037</v>
      </c>
      <c r="D422" s="223" t="str">
        <f>IFERROR(__xludf.DUMMYFUNCTION("""COMPUTED_VALUE"""),"Quan Nguyen")</f>
        <v>Quan Nguyen</v>
      </c>
      <c r="E422" s="190" t="str">
        <f>IFERROR(__xludf.DUMMYFUNCTION("""COMPUTED_VALUE"""),"Communication 1")</f>
        <v>Communication 1</v>
      </c>
      <c r="F422" s="190" t="str">
        <f>IFERROR(__xludf.DUMMYFUNCTION("""COMPUTED_VALUE"""),"Beginner")</f>
        <v>Beginner</v>
      </c>
      <c r="G422" s="190" t="str">
        <f>IFERROR(__xludf.DUMMYFUNCTION("""COMPUTED_VALUE"""),"Beginner 2")</f>
        <v>Beginner 2</v>
      </c>
      <c r="H422" s="219">
        <f>IFERROR(__xludf.DUMMYFUNCTION("""COMPUTED_VALUE"""),45930.41666666667)</f>
        <v>45930.41667</v>
      </c>
      <c r="I422" s="219">
        <f>IFERROR(__xludf.DUMMYFUNCTION("""COMPUTED_VALUE"""),45805.375)</f>
        <v>45805.375</v>
      </c>
      <c r="J422" s="190">
        <f>IFERROR(__xludf.DUMMYFUNCTION("""COMPUTED_VALUE"""),1.0)</f>
        <v>1</v>
      </c>
      <c r="K422" s="190">
        <f>IFERROR(__xludf.DUMMYFUNCTION("""COMPUTED_VALUE"""),1.5)</f>
        <v>1.5</v>
      </c>
      <c r="L422" s="190" t="str">
        <f>IFERROR(__xludf.DUMMYFUNCTION("""COMPUTED_VALUE"""),"DEV")</f>
        <v>DEV</v>
      </c>
      <c r="M422" s="190" t="str">
        <f>IFERROR(__xludf.DUMMYFUNCTION("""COMPUTED_VALUE"""),"MOC")</f>
        <v>MOC</v>
      </c>
      <c r="N422" s="220">
        <f>IFERROR(__xludf.DUMMYFUNCTION("""COMPUTED_VALUE"""),0.5)</f>
        <v>0.5</v>
      </c>
      <c r="O422" s="220">
        <f>IFERROR(__xludf.DUMMYFUNCTION("""COMPUTED_VALUE"""),1.5)</f>
        <v>1.5</v>
      </c>
      <c r="P422" s="220"/>
      <c r="R422" s="210"/>
      <c r="S422" s="210"/>
      <c r="T422" s="210"/>
      <c r="U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row>
    <row r="423">
      <c r="A423" s="223" t="str">
        <f>IFERROR(__xludf.DUMMYFUNCTION("""COMPUTED_VALUE"""),"213805")</f>
        <v>213805</v>
      </c>
      <c r="B423" s="190" t="str">
        <f>IFERROR(__xludf.DUMMYFUNCTION("""COMPUTED_VALUE"""),"NGUYỄN ĐỨC ANH")</f>
        <v>NGUYỄN ĐỨC ANH</v>
      </c>
      <c r="C423" s="223" t="str">
        <f>IFERROR(__xludf.DUMMYFUNCTION("""COMPUTED_VALUE"""),"EL037")</f>
        <v>EL037</v>
      </c>
      <c r="D423" s="223" t="str">
        <f>IFERROR(__xludf.DUMMYFUNCTION("""COMPUTED_VALUE"""),"Quan Nguyen")</f>
        <v>Quan Nguyen</v>
      </c>
      <c r="E423" s="190" t="str">
        <f>IFERROR(__xludf.DUMMYFUNCTION("""COMPUTED_VALUE"""),"Communication 1")</f>
        <v>Communication 1</v>
      </c>
      <c r="F423" s="190"/>
      <c r="G423" s="190"/>
      <c r="H423" s="219">
        <f>IFERROR(__xludf.DUMMYFUNCTION("""COMPUTED_VALUE"""),45930.41666666667)</f>
        <v>45930.41667</v>
      </c>
      <c r="I423" s="219">
        <f>IFERROR(__xludf.DUMMYFUNCTION("""COMPUTED_VALUE"""),45805.375)</f>
        <v>45805.375</v>
      </c>
      <c r="J423" s="190" t="str">
        <f>IFERROR(__xludf.DUMMYFUNCTION("""COMPUTED_VALUE"""),"")</f>
        <v/>
      </c>
      <c r="K423" s="190" t="str">
        <f>IFERROR(__xludf.DUMMYFUNCTION("""COMPUTED_VALUE"""),"")</f>
        <v/>
      </c>
      <c r="L423" s="190" t="str">
        <f>IFERROR(__xludf.DUMMYFUNCTION("""COMPUTED_VALUE"""),"DEV")</f>
        <v>DEV</v>
      </c>
      <c r="M423" s="190" t="str">
        <f>IFERROR(__xludf.DUMMYFUNCTION("""COMPUTED_VALUE"""),"MOC")</f>
        <v>MOC</v>
      </c>
      <c r="N423" s="220">
        <f>IFERROR(__xludf.DUMMYFUNCTION("""COMPUTED_VALUE"""),0.5)</f>
        <v>0.5</v>
      </c>
      <c r="O423" s="220">
        <f>IFERROR(__xludf.DUMMYFUNCTION("""COMPUTED_VALUE"""),0.5)</f>
        <v>0.5</v>
      </c>
      <c r="P423" s="220"/>
      <c r="R423" s="210"/>
      <c r="S423" s="210"/>
      <c r="T423" s="210"/>
      <c r="U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row>
    <row r="424">
      <c r="A424" s="223" t="str">
        <f>IFERROR(__xludf.DUMMYFUNCTION("""COMPUTED_VALUE"""),"173232")</f>
        <v>173232</v>
      </c>
      <c r="B424" s="190" t="str">
        <f>IFERROR(__xludf.DUMMYFUNCTION("""COMPUTED_VALUE"""),"NGUYỄN QUANG ĐỨC")</f>
        <v>NGUYỄN QUANG ĐỨC</v>
      </c>
      <c r="C424" s="223" t="str">
        <f>IFERROR(__xludf.DUMMYFUNCTION("""COMPUTED_VALUE"""),"EL037")</f>
        <v>EL037</v>
      </c>
      <c r="D424" s="223" t="str">
        <f>IFERROR(__xludf.DUMMYFUNCTION("""COMPUTED_VALUE"""),"Quan Nguyen")</f>
        <v>Quan Nguyen</v>
      </c>
      <c r="E424" s="190" t="str">
        <f>IFERROR(__xludf.DUMMYFUNCTION("""COMPUTED_VALUE"""),"Communication 1")</f>
        <v>Communication 1</v>
      </c>
      <c r="F424" s="190" t="str">
        <f>IFERROR(__xludf.DUMMYFUNCTION("""COMPUTED_VALUE"""),"Beginner")</f>
        <v>Beginner</v>
      </c>
      <c r="G424" s="190" t="str">
        <f>IFERROR(__xludf.DUMMYFUNCTION("""COMPUTED_VALUE"""),"Pre-Intermediate 1")</f>
        <v>Pre-Intermediate 1</v>
      </c>
      <c r="H424" s="219">
        <f>IFERROR(__xludf.DUMMYFUNCTION("""COMPUTED_VALUE"""),45930.41666666667)</f>
        <v>45930.41667</v>
      </c>
      <c r="I424" s="219">
        <f>IFERROR(__xludf.DUMMYFUNCTION("""COMPUTED_VALUE"""),45805.375)</f>
        <v>45805.375</v>
      </c>
      <c r="J424" s="190">
        <f>IFERROR(__xludf.DUMMYFUNCTION("""COMPUTED_VALUE"""),1.0)</f>
        <v>1</v>
      </c>
      <c r="K424" s="190">
        <f>IFERROR(__xludf.DUMMYFUNCTION("""COMPUTED_VALUE"""),3.0)</f>
        <v>3</v>
      </c>
      <c r="L424" s="190" t="str">
        <f>IFERROR(__xludf.DUMMYFUNCTION("""COMPUTED_VALUE"""),"TA")</f>
        <v>TA</v>
      </c>
      <c r="M424" s="190" t="str">
        <f>IFERROR(__xludf.DUMMYFUNCTION("""COMPUTED_VALUE"""),"MOC")</f>
        <v>MOC</v>
      </c>
      <c r="N424" s="220">
        <f>IFERROR(__xludf.DUMMYFUNCTION("""COMPUTED_VALUE"""),0.5)</f>
        <v>0.5</v>
      </c>
      <c r="O424" s="220">
        <f>IFERROR(__xludf.DUMMYFUNCTION("""COMPUTED_VALUE"""),3.0)</f>
        <v>3</v>
      </c>
      <c r="P424" s="220"/>
      <c r="R424" s="210"/>
      <c r="S424" s="210"/>
      <c r="T424" s="210"/>
      <c r="U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row>
    <row r="425">
      <c r="A425" s="223" t="str">
        <f>IFERROR(__xludf.DUMMYFUNCTION("""COMPUTED_VALUE"""),"203701")</f>
        <v>203701</v>
      </c>
      <c r="B425" s="190" t="str">
        <f>IFERROR(__xludf.DUMMYFUNCTION("""COMPUTED_VALUE"""),"PHẠM MAI NHẬT")</f>
        <v>PHẠM MAI NHẬT</v>
      </c>
      <c r="C425" s="223" t="str">
        <f>IFERROR(__xludf.DUMMYFUNCTION("""COMPUTED_VALUE"""),"EL037")</f>
        <v>EL037</v>
      </c>
      <c r="D425" s="223" t="str">
        <f>IFERROR(__xludf.DUMMYFUNCTION("""COMPUTED_VALUE"""),"Quan Nguyen")</f>
        <v>Quan Nguyen</v>
      </c>
      <c r="E425" s="190" t="str">
        <f>IFERROR(__xludf.DUMMYFUNCTION("""COMPUTED_VALUE"""),"Communication 1")</f>
        <v>Communication 1</v>
      </c>
      <c r="F425" s="190" t="str">
        <f>IFERROR(__xludf.DUMMYFUNCTION("""COMPUTED_VALUE"""),"Beginner")</f>
        <v>Beginner</v>
      </c>
      <c r="G425" s="190" t="str">
        <f>IFERROR(__xludf.DUMMYFUNCTION("""COMPUTED_VALUE"""),"Pre-Intermediate 1")</f>
        <v>Pre-Intermediate 1</v>
      </c>
      <c r="H425" s="219">
        <f>IFERROR(__xludf.DUMMYFUNCTION("""COMPUTED_VALUE"""),45930.41666666667)</f>
        <v>45930.41667</v>
      </c>
      <c r="I425" s="219">
        <f>IFERROR(__xludf.DUMMYFUNCTION("""COMPUTED_VALUE"""),45805.375)</f>
        <v>45805.375</v>
      </c>
      <c r="J425" s="190">
        <f>IFERROR(__xludf.DUMMYFUNCTION("""COMPUTED_VALUE"""),1.0)</f>
        <v>1</v>
      </c>
      <c r="K425" s="190">
        <f>IFERROR(__xludf.DUMMYFUNCTION("""COMPUTED_VALUE"""),3.0)</f>
        <v>3</v>
      </c>
      <c r="L425" s="190" t="str">
        <f>IFERROR(__xludf.DUMMYFUNCTION("""COMPUTED_VALUE"""),"DEV")</f>
        <v>DEV</v>
      </c>
      <c r="M425" s="190" t="str">
        <f>IFERROR(__xludf.DUMMYFUNCTION("""COMPUTED_VALUE"""),"MOC")</f>
        <v>MOC</v>
      </c>
      <c r="N425" s="220">
        <f>IFERROR(__xludf.DUMMYFUNCTION("""COMPUTED_VALUE"""),0.5)</f>
        <v>0.5</v>
      </c>
      <c r="O425" s="220">
        <f>IFERROR(__xludf.DUMMYFUNCTION("""COMPUTED_VALUE"""),3.0)</f>
        <v>3</v>
      </c>
      <c r="P425" s="220"/>
      <c r="R425" s="210"/>
      <c r="S425" s="210"/>
      <c r="T425" s="210"/>
      <c r="U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row>
    <row r="426">
      <c r="A426" s="223" t="str">
        <f>IFERROR(__xludf.DUMMYFUNCTION("""COMPUTED_VALUE"""),"213935")</f>
        <v>213935</v>
      </c>
      <c r="B426" s="190" t="str">
        <f>IFERROR(__xludf.DUMMYFUNCTION("""COMPUTED_VALUE"""),"TRẦN NHỰT DUY")</f>
        <v>TRẦN NHỰT DUY</v>
      </c>
      <c r="C426" s="223" t="str">
        <f>IFERROR(__xludf.DUMMYFUNCTION("""COMPUTED_VALUE"""),"EL037")</f>
        <v>EL037</v>
      </c>
      <c r="D426" s="223" t="str">
        <f>IFERROR(__xludf.DUMMYFUNCTION("""COMPUTED_VALUE"""),"Quan Nguyen")</f>
        <v>Quan Nguyen</v>
      </c>
      <c r="E426" s="190" t="str">
        <f>IFERROR(__xludf.DUMMYFUNCTION("""COMPUTED_VALUE"""),"Communication 1")</f>
        <v>Communication 1</v>
      </c>
      <c r="F426" s="190"/>
      <c r="G426" s="190"/>
      <c r="H426" s="219">
        <f>IFERROR(__xludf.DUMMYFUNCTION("""COMPUTED_VALUE"""),45930.41666666667)</f>
        <v>45930.41667</v>
      </c>
      <c r="I426" s="219">
        <f>IFERROR(__xludf.DUMMYFUNCTION("""COMPUTED_VALUE"""),45805.375)</f>
        <v>45805.375</v>
      </c>
      <c r="J426" s="190" t="str">
        <f>IFERROR(__xludf.DUMMYFUNCTION("""COMPUTED_VALUE"""),"")</f>
        <v/>
      </c>
      <c r="K426" s="190" t="str">
        <f>IFERROR(__xludf.DUMMYFUNCTION("""COMPUTED_VALUE"""),"")</f>
        <v/>
      </c>
      <c r="L426" s="190" t="str">
        <f>IFERROR(__xludf.DUMMYFUNCTION("""COMPUTED_VALUE"""),"DEV")</f>
        <v>DEV</v>
      </c>
      <c r="M426" s="190" t="str">
        <f>IFERROR(__xludf.DUMMYFUNCTION("""COMPUTED_VALUE"""),"MOC")</f>
        <v>MOC</v>
      </c>
      <c r="N426" s="220">
        <f>IFERROR(__xludf.DUMMYFUNCTION("""COMPUTED_VALUE"""),0.5)</f>
        <v>0.5</v>
      </c>
      <c r="O426" s="220">
        <f>IFERROR(__xludf.DUMMYFUNCTION("""COMPUTED_VALUE"""),0.5)</f>
        <v>0.5</v>
      </c>
      <c r="P426" s="220"/>
      <c r="R426" s="210"/>
      <c r="S426" s="210"/>
      <c r="T426" s="210"/>
      <c r="U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row>
    <row r="427">
      <c r="A427" s="223" t="str">
        <f>IFERROR(__xludf.DUMMYFUNCTION("""COMPUTED_VALUE"""),"227063")</f>
        <v>227063</v>
      </c>
      <c r="B427" s="190" t="str">
        <f>IFERROR(__xludf.DUMMYFUNCTION("""COMPUTED_VALUE"""),"TRƯƠNG ĐÌNH ÁNH")</f>
        <v>TRƯƠNG ĐÌNH ÁNH</v>
      </c>
      <c r="C427" s="223" t="str">
        <f>IFERROR(__xludf.DUMMYFUNCTION("""COMPUTED_VALUE"""),"EL037")</f>
        <v>EL037</v>
      </c>
      <c r="D427" s="223" t="str">
        <f>IFERROR(__xludf.DUMMYFUNCTION("""COMPUTED_VALUE"""),"Quan Nguyen")</f>
        <v>Quan Nguyen</v>
      </c>
      <c r="E427" s="190" t="str">
        <f>IFERROR(__xludf.DUMMYFUNCTION("""COMPUTED_VALUE"""),"Communication 1")</f>
        <v>Communication 1</v>
      </c>
      <c r="F427" s="190" t="str">
        <f>IFERROR(__xludf.DUMMYFUNCTION("""COMPUTED_VALUE"""),"Beginner")</f>
        <v>Beginner</v>
      </c>
      <c r="G427" s="190" t="str">
        <f>IFERROR(__xludf.DUMMYFUNCTION("""COMPUTED_VALUE"""),"Pre-Intermediate 2")</f>
        <v>Pre-Intermediate 2</v>
      </c>
      <c r="H427" s="219">
        <f>IFERROR(__xludf.DUMMYFUNCTION("""COMPUTED_VALUE"""),45930.41666666667)</f>
        <v>45930.41667</v>
      </c>
      <c r="I427" s="219">
        <f>IFERROR(__xludf.DUMMYFUNCTION("""COMPUTED_VALUE"""),45805.375)</f>
        <v>45805.375</v>
      </c>
      <c r="J427" s="190">
        <f>IFERROR(__xludf.DUMMYFUNCTION("""COMPUTED_VALUE"""),1.0)</f>
        <v>1</v>
      </c>
      <c r="K427" s="190">
        <f>IFERROR(__xludf.DUMMYFUNCTION("""COMPUTED_VALUE"""),3.5)</f>
        <v>3.5</v>
      </c>
      <c r="L427" s="190" t="str">
        <f>IFERROR(__xludf.DUMMYFUNCTION("""COMPUTED_VALUE"""),"DEV")</f>
        <v>DEV</v>
      </c>
      <c r="M427" s="190" t="str">
        <f>IFERROR(__xludf.DUMMYFUNCTION("""COMPUTED_VALUE"""),"MOC")</f>
        <v>MOC</v>
      </c>
      <c r="N427" s="220">
        <f>IFERROR(__xludf.DUMMYFUNCTION("""COMPUTED_VALUE"""),0.5)</f>
        <v>0.5</v>
      </c>
      <c r="O427" s="220">
        <f>IFERROR(__xludf.DUMMYFUNCTION("""COMPUTED_VALUE"""),3.5)</f>
        <v>3.5</v>
      </c>
      <c r="P427" s="220"/>
      <c r="R427" s="210"/>
      <c r="S427" s="210"/>
      <c r="T427" s="210"/>
      <c r="U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row>
    <row r="428">
      <c r="A428" s="223" t="str">
        <f>IFERROR(__xludf.DUMMYFUNCTION("""COMPUTED_VALUE"""),"213916")</f>
        <v>213916</v>
      </c>
      <c r="B428" s="190" t="str">
        <f>IFERROR(__xludf.DUMMYFUNCTION("""COMPUTED_VALUE"""),"VÕ CHÍ ĐẠI")</f>
        <v>VÕ CHÍ ĐẠI</v>
      </c>
      <c r="C428" s="223" t="str">
        <f>IFERROR(__xludf.DUMMYFUNCTION("""COMPUTED_VALUE"""),"EL037")</f>
        <v>EL037</v>
      </c>
      <c r="D428" s="223" t="str">
        <f>IFERROR(__xludf.DUMMYFUNCTION("""COMPUTED_VALUE"""),"Quan Nguyen")</f>
        <v>Quan Nguyen</v>
      </c>
      <c r="E428" s="190" t="str">
        <f>IFERROR(__xludf.DUMMYFUNCTION("""COMPUTED_VALUE"""),"Communication 1")</f>
        <v>Communication 1</v>
      </c>
      <c r="F428" s="190" t="str">
        <f>IFERROR(__xludf.DUMMYFUNCTION("""COMPUTED_VALUE"""),"Beginner")</f>
        <v>Beginner</v>
      </c>
      <c r="G428" s="190" t="str">
        <f>IFERROR(__xludf.DUMMYFUNCTION("""COMPUTED_VALUE"""),"Pre-Intermediate 2")</f>
        <v>Pre-Intermediate 2</v>
      </c>
      <c r="H428" s="219">
        <f>IFERROR(__xludf.DUMMYFUNCTION("""COMPUTED_VALUE"""),45930.41666666667)</f>
        <v>45930.41667</v>
      </c>
      <c r="I428" s="219">
        <f>IFERROR(__xludf.DUMMYFUNCTION("""COMPUTED_VALUE"""),45805.375)</f>
        <v>45805.375</v>
      </c>
      <c r="J428" s="190">
        <f>IFERROR(__xludf.DUMMYFUNCTION("""COMPUTED_VALUE"""),1.0)</f>
        <v>1</v>
      </c>
      <c r="K428" s="190">
        <f>IFERROR(__xludf.DUMMYFUNCTION("""COMPUTED_VALUE"""),3.5)</f>
        <v>3.5</v>
      </c>
      <c r="L428" s="190" t="str">
        <f>IFERROR(__xludf.DUMMYFUNCTION("""COMPUTED_VALUE"""),"DEV")</f>
        <v>DEV</v>
      </c>
      <c r="M428" s="190" t="str">
        <f>IFERROR(__xludf.DUMMYFUNCTION("""COMPUTED_VALUE"""),"MOC")</f>
        <v>MOC</v>
      </c>
      <c r="N428" s="220">
        <f>IFERROR(__xludf.DUMMYFUNCTION("""COMPUTED_VALUE"""),0.5)</f>
        <v>0.5</v>
      </c>
      <c r="O428" s="220">
        <f>IFERROR(__xludf.DUMMYFUNCTION("""COMPUTED_VALUE"""),3.5)</f>
        <v>3.5</v>
      </c>
      <c r="P428" s="220"/>
      <c r="R428" s="210"/>
      <c r="S428" s="210"/>
      <c r="T428" s="210"/>
      <c r="U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row>
    <row r="429">
      <c r="A429" s="223" t="str">
        <f>IFERROR(__xludf.DUMMYFUNCTION("""COMPUTED_VALUE"""),"247172")</f>
        <v>247172</v>
      </c>
      <c r="B429" s="190" t="str">
        <f>IFERROR(__xludf.DUMMYFUNCTION("""COMPUTED_VALUE"""),"NGUYỄN MINH QUÂN")</f>
        <v>NGUYỄN MINH QUÂN</v>
      </c>
      <c r="C429" s="223" t="str">
        <f>IFERROR(__xludf.DUMMYFUNCTION("""COMPUTED_VALUE"""),"EL037")</f>
        <v>EL037</v>
      </c>
      <c r="D429" s="223" t="str">
        <f>IFERROR(__xludf.DUMMYFUNCTION("""COMPUTED_VALUE"""),"Quan Nguyen")</f>
        <v>Quan Nguyen</v>
      </c>
      <c r="E429" s="190" t="str">
        <f>IFERROR(__xludf.DUMMYFUNCTION("""COMPUTED_VALUE"""),"Communication 2")</f>
        <v>Communication 2</v>
      </c>
      <c r="F429" s="190"/>
      <c r="G429" s="190"/>
      <c r="H429" s="219">
        <f>IFERROR(__xludf.DUMMYFUNCTION("""COMPUTED_VALUE"""),46098.625)</f>
        <v>46098.625</v>
      </c>
      <c r="I429" s="219">
        <f>IFERROR(__xludf.DUMMYFUNCTION("""COMPUTED_VALUE"""),45805.375)</f>
        <v>45805.375</v>
      </c>
      <c r="J429" s="190" t="str">
        <f>IFERROR(__xludf.DUMMYFUNCTION("""COMPUTED_VALUE"""),"")</f>
        <v/>
      </c>
      <c r="K429" s="190" t="str">
        <f>IFERROR(__xludf.DUMMYFUNCTION("""COMPUTED_VALUE"""),"")</f>
        <v/>
      </c>
      <c r="L429" s="190" t="str">
        <f>IFERROR(__xludf.DUMMYFUNCTION("""COMPUTED_VALUE"""),"DEV")</f>
        <v>DEV</v>
      </c>
      <c r="M429" s="190" t="str">
        <f>IFERROR(__xludf.DUMMYFUNCTION("""COMPUTED_VALUE"""),"MOC")</f>
        <v>MOC</v>
      </c>
      <c r="N429" s="220">
        <f>IFERROR(__xludf.DUMMYFUNCTION("""COMPUTED_VALUE"""),0.5)</f>
        <v>0.5</v>
      </c>
      <c r="O429" s="220">
        <f>IFERROR(__xludf.DUMMYFUNCTION("""COMPUTED_VALUE"""),3.0)</f>
        <v>3</v>
      </c>
      <c r="P429" s="220"/>
      <c r="R429" s="210"/>
      <c r="S429" s="210"/>
      <c r="T429" s="210"/>
      <c r="U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row>
    <row r="430">
      <c r="A430" s="223" t="str">
        <f>IFERROR(__xludf.DUMMYFUNCTION("""COMPUTED_VALUE"""),"173232")</f>
        <v>173232</v>
      </c>
      <c r="B430" s="190" t="str">
        <f>IFERROR(__xludf.DUMMYFUNCTION("""COMPUTED_VALUE"""),"NGUYỄN QUANG ĐỨC")</f>
        <v>NGUYỄN QUANG ĐỨC</v>
      </c>
      <c r="C430" s="223" t="str">
        <f>IFERROR(__xludf.DUMMYFUNCTION("""COMPUTED_VALUE"""),"EL037")</f>
        <v>EL037</v>
      </c>
      <c r="D430" s="223" t="str">
        <f>IFERROR(__xludf.DUMMYFUNCTION("""COMPUTED_VALUE"""),"Quan Nguyen")</f>
        <v>Quan Nguyen</v>
      </c>
      <c r="E430" s="190" t="str">
        <f>IFERROR(__xludf.DUMMYFUNCTION("""COMPUTED_VALUE"""),"Communication 2")</f>
        <v>Communication 2</v>
      </c>
      <c r="F430" s="190"/>
      <c r="G430" s="190"/>
      <c r="H430" s="219">
        <f>IFERROR(__xludf.DUMMYFUNCTION("""COMPUTED_VALUE"""),46098.625)</f>
        <v>46098.625</v>
      </c>
      <c r="I430" s="219">
        <f>IFERROR(__xludf.DUMMYFUNCTION("""COMPUTED_VALUE"""),45805.375)</f>
        <v>45805.375</v>
      </c>
      <c r="J430" s="190" t="str">
        <f>IFERROR(__xludf.DUMMYFUNCTION("""COMPUTED_VALUE"""),"")</f>
        <v/>
      </c>
      <c r="K430" s="190" t="str">
        <f>IFERROR(__xludf.DUMMYFUNCTION("""COMPUTED_VALUE"""),"")</f>
        <v/>
      </c>
      <c r="L430" s="190" t="str">
        <f>IFERROR(__xludf.DUMMYFUNCTION("""COMPUTED_VALUE"""),"TA")</f>
        <v>TA</v>
      </c>
      <c r="M430" s="190" t="str">
        <f>IFERROR(__xludf.DUMMYFUNCTION("""COMPUTED_VALUE"""),"MOC")</f>
        <v>MOC</v>
      </c>
      <c r="N430" s="220">
        <f>IFERROR(__xludf.DUMMYFUNCTION("""COMPUTED_VALUE"""),0.5)</f>
        <v>0.5</v>
      </c>
      <c r="O430" s="220">
        <f>IFERROR(__xludf.DUMMYFUNCTION("""COMPUTED_VALUE"""),3.0)</f>
        <v>3</v>
      </c>
      <c r="P430" s="220"/>
      <c r="R430" s="210"/>
      <c r="S430" s="210"/>
      <c r="T430" s="210"/>
      <c r="U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row>
    <row r="431">
      <c r="A431" s="223" t="str">
        <f>IFERROR(__xludf.DUMMYFUNCTION("""COMPUTED_VALUE"""),"203701")</f>
        <v>203701</v>
      </c>
      <c r="B431" s="190" t="str">
        <f>IFERROR(__xludf.DUMMYFUNCTION("""COMPUTED_VALUE"""),"PHẠM MAI NHẬT")</f>
        <v>PHẠM MAI NHẬT</v>
      </c>
      <c r="C431" s="223" t="str">
        <f>IFERROR(__xludf.DUMMYFUNCTION("""COMPUTED_VALUE"""),"EL037")</f>
        <v>EL037</v>
      </c>
      <c r="D431" s="223" t="str">
        <f>IFERROR(__xludf.DUMMYFUNCTION("""COMPUTED_VALUE"""),"Quan Nguyen")</f>
        <v>Quan Nguyen</v>
      </c>
      <c r="E431" s="190" t="str">
        <f>IFERROR(__xludf.DUMMYFUNCTION("""COMPUTED_VALUE"""),"Communication 2")</f>
        <v>Communication 2</v>
      </c>
      <c r="F431" s="190"/>
      <c r="G431" s="190"/>
      <c r="H431" s="219">
        <f>IFERROR(__xludf.DUMMYFUNCTION("""COMPUTED_VALUE"""),46098.625)</f>
        <v>46098.625</v>
      </c>
      <c r="I431" s="219">
        <f>IFERROR(__xludf.DUMMYFUNCTION("""COMPUTED_VALUE"""),45805.375)</f>
        <v>45805.375</v>
      </c>
      <c r="J431" s="190" t="str">
        <f>IFERROR(__xludf.DUMMYFUNCTION("""COMPUTED_VALUE"""),"")</f>
        <v/>
      </c>
      <c r="K431" s="190" t="str">
        <f>IFERROR(__xludf.DUMMYFUNCTION("""COMPUTED_VALUE"""),"")</f>
        <v/>
      </c>
      <c r="L431" s="190" t="str">
        <f>IFERROR(__xludf.DUMMYFUNCTION("""COMPUTED_VALUE"""),"DEV")</f>
        <v>DEV</v>
      </c>
      <c r="M431" s="190" t="str">
        <f>IFERROR(__xludf.DUMMYFUNCTION("""COMPUTED_VALUE"""),"MOC")</f>
        <v>MOC</v>
      </c>
      <c r="N431" s="220">
        <f>IFERROR(__xludf.DUMMYFUNCTION("""COMPUTED_VALUE"""),0.5)</f>
        <v>0.5</v>
      </c>
      <c r="O431" s="220">
        <f>IFERROR(__xludf.DUMMYFUNCTION("""COMPUTED_VALUE"""),3.0)</f>
        <v>3</v>
      </c>
      <c r="P431" s="220"/>
      <c r="R431" s="210"/>
      <c r="S431" s="210"/>
      <c r="T431" s="210"/>
      <c r="U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row>
    <row r="432">
      <c r="A432" s="223" t="str">
        <f>IFERROR(__xludf.DUMMYFUNCTION("""COMPUTED_VALUE"""),"213916")</f>
        <v>213916</v>
      </c>
      <c r="B432" s="190" t="str">
        <f>IFERROR(__xludf.DUMMYFUNCTION("""COMPUTED_VALUE"""),"VÕ CHÍ ĐẠI")</f>
        <v>VÕ CHÍ ĐẠI</v>
      </c>
      <c r="C432" s="223" t="str">
        <f>IFERROR(__xludf.DUMMYFUNCTION("""COMPUTED_VALUE"""),"EL037")</f>
        <v>EL037</v>
      </c>
      <c r="D432" s="223" t="str">
        <f>IFERROR(__xludf.DUMMYFUNCTION("""COMPUTED_VALUE"""),"Quan Nguyen")</f>
        <v>Quan Nguyen</v>
      </c>
      <c r="E432" s="190" t="str">
        <f>IFERROR(__xludf.DUMMYFUNCTION("""COMPUTED_VALUE"""),"Communication 2")</f>
        <v>Communication 2</v>
      </c>
      <c r="F432" s="190"/>
      <c r="G432" s="190"/>
      <c r="H432" s="219">
        <f>IFERROR(__xludf.DUMMYFUNCTION("""COMPUTED_VALUE"""),46098.625)</f>
        <v>46098.625</v>
      </c>
      <c r="I432" s="219">
        <f>IFERROR(__xludf.DUMMYFUNCTION("""COMPUTED_VALUE"""),45805.375)</f>
        <v>45805.375</v>
      </c>
      <c r="J432" s="190" t="str">
        <f>IFERROR(__xludf.DUMMYFUNCTION("""COMPUTED_VALUE"""),"")</f>
        <v/>
      </c>
      <c r="K432" s="190" t="str">
        <f>IFERROR(__xludf.DUMMYFUNCTION("""COMPUTED_VALUE"""),"")</f>
        <v/>
      </c>
      <c r="L432" s="190" t="str">
        <f>IFERROR(__xludf.DUMMYFUNCTION("""COMPUTED_VALUE"""),"DEV")</f>
        <v>DEV</v>
      </c>
      <c r="M432" s="190" t="str">
        <f>IFERROR(__xludf.DUMMYFUNCTION("""COMPUTED_VALUE"""),"MOC")</f>
        <v>MOC</v>
      </c>
      <c r="N432" s="220">
        <f>IFERROR(__xludf.DUMMYFUNCTION("""COMPUTED_VALUE"""),0.5)</f>
        <v>0.5</v>
      </c>
      <c r="O432" s="220">
        <f>IFERROR(__xludf.DUMMYFUNCTION("""COMPUTED_VALUE"""),3.5)</f>
        <v>3.5</v>
      </c>
      <c r="P432" s="220"/>
      <c r="R432" s="210"/>
      <c r="S432" s="210"/>
      <c r="T432" s="210"/>
      <c r="U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row>
    <row r="433">
      <c r="A433" s="223" t="str">
        <f>IFERROR(__xludf.DUMMYFUNCTION("""COMPUTED_VALUE"""),"247313")</f>
        <v>247313</v>
      </c>
      <c r="B433" s="190" t="str">
        <f>IFERROR(__xludf.DUMMYFUNCTION("""COMPUTED_VALUE"""),"Nguyễn Hồng Mỹ")</f>
        <v>Nguyễn Hồng Mỹ</v>
      </c>
      <c r="C433" s="223" t="str">
        <f>IFERROR(__xludf.DUMMYFUNCTION("""COMPUTED_VALUE"""),"EL038")</f>
        <v>EL038</v>
      </c>
      <c r="D433" s="223" t="str">
        <f>IFERROR(__xludf.DUMMYFUNCTION("""COMPUTED_VALUE"""),"My Nguyen")</f>
        <v>My Nguyen</v>
      </c>
      <c r="E433" s="190" t="str">
        <f>IFERROR(__xludf.DUMMYFUNCTION("""COMPUTED_VALUE"""),"Communication 1")</f>
        <v>Communication 1</v>
      </c>
      <c r="F433" s="190" t="str">
        <f>IFERROR(__xludf.DUMMYFUNCTION("""COMPUTED_VALUE"""),"Intermediate")</f>
        <v>Intermediate</v>
      </c>
      <c r="G433" s="190" t="str">
        <f>IFERROR(__xludf.DUMMYFUNCTION("""COMPUTED_VALUE"""),"Intermediate 2")</f>
        <v>Intermediate 2</v>
      </c>
      <c r="H433" s="219">
        <f>IFERROR(__xludf.DUMMYFUNCTION("""COMPUTED_VALUE"""),45813.45833333333)</f>
        <v>45813.45833</v>
      </c>
      <c r="I433" s="219">
        <f>IFERROR(__xludf.DUMMYFUNCTION("""COMPUTED_VALUE"""),45813.45833333333)</f>
        <v>45813.45833</v>
      </c>
      <c r="J433" s="190">
        <f>IFERROR(__xludf.DUMMYFUNCTION("""COMPUTED_VALUE"""),4.5)</f>
        <v>4.5</v>
      </c>
      <c r="K433" s="190">
        <f>IFERROR(__xludf.DUMMYFUNCTION("""COMPUTED_VALUE"""),5.5)</f>
        <v>5.5</v>
      </c>
      <c r="L433" s="190" t="str">
        <f>IFERROR(__xludf.DUMMYFUNCTION("""COMPUTED_VALUE"""),"SM")</f>
        <v>SM</v>
      </c>
      <c r="M433" s="190" t="str">
        <f>IFERROR(__xludf.DUMMYFUNCTION("""COMPUTED_VALUE"""),"TBU")</f>
        <v>TBU</v>
      </c>
      <c r="N433" s="220">
        <f>IFERROR(__xludf.DUMMYFUNCTION("""COMPUTED_VALUE"""),4.5)</f>
        <v>4.5</v>
      </c>
      <c r="O433" s="220">
        <f>IFERROR(__xludf.DUMMYFUNCTION("""COMPUTED_VALUE"""),5.5)</f>
        <v>5.5</v>
      </c>
      <c r="P433" s="220"/>
      <c r="R433" s="210"/>
      <c r="S433" s="210"/>
      <c r="T433" s="210"/>
      <c r="U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row>
    <row r="434">
      <c r="A434" s="223" t="str">
        <f>IFERROR(__xludf.DUMMYFUNCTION("""COMPUTED_VALUE"""),"237110")</f>
        <v>237110</v>
      </c>
      <c r="B434" s="190" t="str">
        <f>IFERROR(__xludf.DUMMYFUNCTION("""COMPUTED_VALUE"""),"Nguyễn Hữu Phước")</f>
        <v>Nguyễn Hữu Phước</v>
      </c>
      <c r="C434" s="223" t="str">
        <f>IFERROR(__xludf.DUMMYFUNCTION("""COMPUTED_VALUE"""),"EL038")</f>
        <v>EL038</v>
      </c>
      <c r="D434" s="223" t="str">
        <f>IFERROR(__xludf.DUMMYFUNCTION("""COMPUTED_VALUE"""),"My Nguyen")</f>
        <v>My Nguyen</v>
      </c>
      <c r="E434" s="190" t="str">
        <f>IFERROR(__xludf.DUMMYFUNCTION("""COMPUTED_VALUE"""),"Communication 1")</f>
        <v>Communication 1</v>
      </c>
      <c r="F434" s="190" t="str">
        <f>IFERROR(__xludf.DUMMYFUNCTION("""COMPUTED_VALUE"""),"Beginner")</f>
        <v>Beginner</v>
      </c>
      <c r="G434" s="190" t="str">
        <f>IFERROR(__xludf.DUMMYFUNCTION("""COMPUTED_VALUE"""),"Pre-Intermediate 1")</f>
        <v>Pre-Intermediate 1</v>
      </c>
      <c r="H434" s="219">
        <f>IFERROR(__xludf.DUMMYFUNCTION("""COMPUTED_VALUE"""),45813.45833333333)</f>
        <v>45813.45833</v>
      </c>
      <c r="I434" s="219">
        <f>IFERROR(__xludf.DUMMYFUNCTION("""COMPUTED_VALUE"""),45813.45833333333)</f>
        <v>45813.45833</v>
      </c>
      <c r="J434" s="190">
        <f>IFERROR(__xludf.DUMMYFUNCTION("""COMPUTED_VALUE"""),1.0)</f>
        <v>1</v>
      </c>
      <c r="K434" s="190">
        <f>IFERROR(__xludf.DUMMYFUNCTION("""COMPUTED_VALUE"""),3.0)</f>
        <v>3</v>
      </c>
      <c r="L434" s="190" t="str">
        <f>IFERROR(__xludf.DUMMYFUNCTION("""COMPUTED_VALUE"""),"BA")</f>
        <v>BA</v>
      </c>
      <c r="M434" s="190" t="str">
        <f>IFERROR(__xludf.DUMMYFUNCTION("""COMPUTED_VALUE"""),"TBU")</f>
        <v>TBU</v>
      </c>
      <c r="N434" s="220">
        <f>IFERROR(__xludf.DUMMYFUNCTION("""COMPUTED_VALUE"""),1.0)</f>
        <v>1</v>
      </c>
      <c r="O434" s="220">
        <f>IFERROR(__xludf.DUMMYFUNCTION("""COMPUTED_VALUE"""),3.0)</f>
        <v>3</v>
      </c>
      <c r="P434" s="220"/>
      <c r="R434" s="210"/>
      <c r="S434" s="210"/>
      <c r="T434" s="210"/>
      <c r="U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row>
    <row r="435">
      <c r="A435" s="223" t="str">
        <f>IFERROR(__xludf.DUMMYFUNCTION("""COMPUTED_VALUE"""),"213870")</f>
        <v>213870</v>
      </c>
      <c r="B435" s="190" t="str">
        <f>IFERROR(__xludf.DUMMYFUNCTION("""COMPUTED_VALUE"""),"Trần Quốc Hiệp")</f>
        <v>Trần Quốc Hiệp</v>
      </c>
      <c r="C435" s="223" t="str">
        <f>IFERROR(__xludf.DUMMYFUNCTION("""COMPUTED_VALUE"""),"EL038")</f>
        <v>EL038</v>
      </c>
      <c r="D435" s="223" t="str">
        <f>IFERROR(__xludf.DUMMYFUNCTION("""COMPUTED_VALUE"""),"My Nguyen")</f>
        <v>My Nguyen</v>
      </c>
      <c r="E435" s="190" t="str">
        <f>IFERROR(__xludf.DUMMYFUNCTION("""COMPUTED_VALUE"""),"Communication 1")</f>
        <v>Communication 1</v>
      </c>
      <c r="F435" s="190" t="str">
        <f>IFERROR(__xludf.DUMMYFUNCTION("""COMPUTED_VALUE"""),"Beginner")</f>
        <v>Beginner</v>
      </c>
      <c r="G435" s="190" t="str">
        <f>IFERROR(__xludf.DUMMYFUNCTION("""COMPUTED_VALUE"""),"Pre-Intermediate 1")</f>
        <v>Pre-Intermediate 1</v>
      </c>
      <c r="H435" s="219">
        <f>IFERROR(__xludf.DUMMYFUNCTION("""COMPUTED_VALUE"""),45813.45833333333)</f>
        <v>45813.45833</v>
      </c>
      <c r="I435" s="219">
        <f>IFERROR(__xludf.DUMMYFUNCTION("""COMPUTED_VALUE"""),45813.45833333333)</f>
        <v>45813.45833</v>
      </c>
      <c r="J435" s="190">
        <f>IFERROR(__xludf.DUMMYFUNCTION("""COMPUTED_VALUE"""),1.0)</f>
        <v>1</v>
      </c>
      <c r="K435" s="190">
        <f>IFERROR(__xludf.DUMMYFUNCTION("""COMPUTED_VALUE"""),3.0)</f>
        <v>3</v>
      </c>
      <c r="L435" s="190" t="str">
        <f>IFERROR(__xludf.DUMMYFUNCTION("""COMPUTED_VALUE"""),"DEV")</f>
        <v>DEV</v>
      </c>
      <c r="M435" s="190" t="str">
        <f>IFERROR(__xludf.DUMMYFUNCTION("""COMPUTED_VALUE"""),"TBU")</f>
        <v>TBU</v>
      </c>
      <c r="N435" s="220">
        <f>IFERROR(__xludf.DUMMYFUNCTION("""COMPUTED_VALUE"""),1.0)</f>
        <v>1</v>
      </c>
      <c r="O435" s="220">
        <f>IFERROR(__xludf.DUMMYFUNCTION("""COMPUTED_VALUE"""),3.0)</f>
        <v>3</v>
      </c>
      <c r="P435" s="220"/>
      <c r="R435" s="210"/>
      <c r="S435" s="210"/>
      <c r="T435" s="210"/>
      <c r="U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row>
    <row r="436">
      <c r="A436" s="223" t="str">
        <f>IFERROR(__xludf.DUMMYFUNCTION("""COMPUTED_VALUE"""),"237160")</f>
        <v>237160</v>
      </c>
      <c r="B436" s="190" t="str">
        <f>IFERROR(__xludf.DUMMYFUNCTION("""COMPUTED_VALUE"""),"Trần Tuấn Kiệt")</f>
        <v>Trần Tuấn Kiệt</v>
      </c>
      <c r="C436" s="223" t="str">
        <f>IFERROR(__xludf.DUMMYFUNCTION("""COMPUTED_VALUE"""),"EL038")</f>
        <v>EL038</v>
      </c>
      <c r="D436" s="223" t="str">
        <f>IFERROR(__xludf.DUMMYFUNCTION("""COMPUTED_VALUE"""),"My Nguyen")</f>
        <v>My Nguyen</v>
      </c>
      <c r="E436" s="190" t="str">
        <f>IFERROR(__xludf.DUMMYFUNCTION("""COMPUTED_VALUE"""),"Communication 1")</f>
        <v>Communication 1</v>
      </c>
      <c r="F436" s="190" t="str">
        <f>IFERROR(__xludf.DUMMYFUNCTION("""COMPUTED_VALUE"""),"Beginner")</f>
        <v>Beginner</v>
      </c>
      <c r="G436" s="190" t="str">
        <f>IFERROR(__xludf.DUMMYFUNCTION("""COMPUTED_VALUE"""),"Beginner")</f>
        <v>Beginner</v>
      </c>
      <c r="H436" s="219">
        <f>IFERROR(__xludf.DUMMYFUNCTION("""COMPUTED_VALUE"""),45813.45833333333)</f>
        <v>45813.45833</v>
      </c>
      <c r="I436" s="219">
        <f>IFERROR(__xludf.DUMMYFUNCTION("""COMPUTED_VALUE"""),45813.45833333333)</f>
        <v>45813.45833</v>
      </c>
      <c r="J436" s="190">
        <f>IFERROR(__xludf.DUMMYFUNCTION("""COMPUTED_VALUE"""),1.0)</f>
        <v>1</v>
      </c>
      <c r="K436" s="190">
        <f>IFERROR(__xludf.DUMMYFUNCTION("""COMPUTED_VALUE"""),1.0)</f>
        <v>1</v>
      </c>
      <c r="L436" s="190" t="str">
        <f>IFERROR(__xludf.DUMMYFUNCTION("""COMPUTED_VALUE"""),"DEV")</f>
        <v>DEV</v>
      </c>
      <c r="M436" s="190" t="str">
        <f>IFERROR(__xludf.DUMMYFUNCTION("""COMPUTED_VALUE"""),"TBU")</f>
        <v>TBU</v>
      </c>
      <c r="N436" s="220">
        <f>IFERROR(__xludf.DUMMYFUNCTION("""COMPUTED_VALUE"""),1.0)</f>
        <v>1</v>
      </c>
      <c r="O436" s="220">
        <f>IFERROR(__xludf.DUMMYFUNCTION("""COMPUTED_VALUE"""),1.0)</f>
        <v>1</v>
      </c>
      <c r="P436" s="220"/>
      <c r="R436" s="210"/>
      <c r="S436" s="210"/>
      <c r="T436" s="210"/>
      <c r="U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row>
    <row r="437">
      <c r="A437" s="223" t="str">
        <f>IFERROR(__xludf.DUMMYFUNCTION("""COMPUTED_VALUE"""),"247313")</f>
        <v>247313</v>
      </c>
      <c r="B437" s="190" t="str">
        <f>IFERROR(__xludf.DUMMYFUNCTION("""COMPUTED_VALUE"""),"Nguyễn Hồng Mỹ")</f>
        <v>Nguyễn Hồng Mỹ</v>
      </c>
      <c r="C437" s="223" t="str">
        <f>IFERROR(__xludf.DUMMYFUNCTION("""COMPUTED_VALUE"""),"EL038")</f>
        <v>EL038</v>
      </c>
      <c r="D437" s="223" t="str">
        <f>IFERROR(__xludf.DUMMYFUNCTION("""COMPUTED_VALUE"""),"My Nguyen")</f>
        <v>My Nguyen</v>
      </c>
      <c r="E437" s="190" t="str">
        <f>IFERROR(__xludf.DUMMYFUNCTION("""COMPUTED_VALUE"""),"Communication 2")</f>
        <v>Communication 2</v>
      </c>
      <c r="F437" s="190" t="str">
        <f>IFERROR(__xludf.DUMMYFUNCTION("""COMPUTED_VALUE"""),"Intermediate 2")</f>
        <v>Intermediate 2</v>
      </c>
      <c r="G437" s="190"/>
      <c r="H437" s="219">
        <f>IFERROR(__xludf.DUMMYFUNCTION("""COMPUTED_VALUE"""),46038.41666666667)</f>
        <v>46038.41667</v>
      </c>
      <c r="I437" s="219">
        <f>IFERROR(__xludf.DUMMYFUNCTION("""COMPUTED_VALUE"""),45813.45833333333)</f>
        <v>45813.45833</v>
      </c>
      <c r="J437" s="190">
        <f>IFERROR(__xludf.DUMMYFUNCTION("""COMPUTED_VALUE"""),5.5)</f>
        <v>5.5</v>
      </c>
      <c r="K437" s="190" t="str">
        <f>IFERROR(__xludf.DUMMYFUNCTION("""COMPUTED_VALUE"""),"")</f>
        <v/>
      </c>
      <c r="L437" s="190" t="str">
        <f>IFERROR(__xludf.DUMMYFUNCTION("""COMPUTED_VALUE"""),"SM")</f>
        <v>SM</v>
      </c>
      <c r="M437" s="190" t="str">
        <f>IFERROR(__xludf.DUMMYFUNCTION("""COMPUTED_VALUE"""),"TBU")</f>
        <v>TBU</v>
      </c>
      <c r="N437" s="220">
        <f>IFERROR(__xludf.DUMMYFUNCTION("""COMPUTED_VALUE"""),4.5)</f>
        <v>4.5</v>
      </c>
      <c r="O437" s="220">
        <f>IFERROR(__xludf.DUMMYFUNCTION("""COMPUTED_VALUE"""),5.5)</f>
        <v>5.5</v>
      </c>
      <c r="P437" s="220"/>
      <c r="R437" s="210"/>
      <c r="S437" s="210"/>
      <c r="T437" s="210"/>
      <c r="U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row>
    <row r="438">
      <c r="A438" s="223" t="str">
        <f>IFERROR(__xludf.DUMMYFUNCTION("""COMPUTED_VALUE"""),"237110")</f>
        <v>237110</v>
      </c>
      <c r="B438" s="190" t="str">
        <f>IFERROR(__xludf.DUMMYFUNCTION("""COMPUTED_VALUE"""),"Nguyễn Hữu Phước")</f>
        <v>Nguyễn Hữu Phước</v>
      </c>
      <c r="C438" s="223" t="str">
        <f>IFERROR(__xludf.DUMMYFUNCTION("""COMPUTED_VALUE"""),"EL038")</f>
        <v>EL038</v>
      </c>
      <c r="D438" s="223" t="str">
        <f>IFERROR(__xludf.DUMMYFUNCTION("""COMPUTED_VALUE"""),"My Nguyen")</f>
        <v>My Nguyen</v>
      </c>
      <c r="E438" s="190" t="str">
        <f>IFERROR(__xludf.DUMMYFUNCTION("""COMPUTED_VALUE"""),"Communication 2")</f>
        <v>Communication 2</v>
      </c>
      <c r="F438" s="190" t="str">
        <f>IFERROR(__xludf.DUMMYFUNCTION("""COMPUTED_VALUE"""),"Pre-Intermediate 1")</f>
        <v>Pre-Intermediate 1</v>
      </c>
      <c r="G438" s="190"/>
      <c r="H438" s="219">
        <f>IFERROR(__xludf.DUMMYFUNCTION("""COMPUTED_VALUE"""),46038.41666666667)</f>
        <v>46038.41667</v>
      </c>
      <c r="I438" s="219">
        <f>IFERROR(__xludf.DUMMYFUNCTION("""COMPUTED_VALUE"""),45813.45833333333)</f>
        <v>45813.45833</v>
      </c>
      <c r="J438" s="190">
        <f>IFERROR(__xludf.DUMMYFUNCTION("""COMPUTED_VALUE"""),3.0)</f>
        <v>3</v>
      </c>
      <c r="K438" s="190" t="str">
        <f>IFERROR(__xludf.DUMMYFUNCTION("""COMPUTED_VALUE"""),"")</f>
        <v/>
      </c>
      <c r="L438" s="190" t="str">
        <f>IFERROR(__xludf.DUMMYFUNCTION("""COMPUTED_VALUE"""),"BA")</f>
        <v>BA</v>
      </c>
      <c r="M438" s="190" t="str">
        <f>IFERROR(__xludf.DUMMYFUNCTION("""COMPUTED_VALUE"""),"TBU")</f>
        <v>TBU</v>
      </c>
      <c r="N438" s="220">
        <f>IFERROR(__xludf.DUMMYFUNCTION("""COMPUTED_VALUE"""),1.0)</f>
        <v>1</v>
      </c>
      <c r="O438" s="220">
        <f>IFERROR(__xludf.DUMMYFUNCTION("""COMPUTED_VALUE"""),3.0)</f>
        <v>3</v>
      </c>
      <c r="P438" s="220"/>
      <c r="R438" s="210"/>
      <c r="S438" s="210"/>
      <c r="T438" s="210"/>
      <c r="U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row>
    <row r="439">
      <c r="A439" s="223" t="str">
        <f>IFERROR(__xludf.DUMMYFUNCTION("""COMPUTED_VALUE"""),"213870")</f>
        <v>213870</v>
      </c>
      <c r="B439" s="190" t="str">
        <f>IFERROR(__xludf.DUMMYFUNCTION("""COMPUTED_VALUE"""),"Trần Quốc Hiệp")</f>
        <v>Trần Quốc Hiệp</v>
      </c>
      <c r="C439" s="223" t="str">
        <f>IFERROR(__xludf.DUMMYFUNCTION("""COMPUTED_VALUE"""),"EL038")</f>
        <v>EL038</v>
      </c>
      <c r="D439" s="223" t="str">
        <f>IFERROR(__xludf.DUMMYFUNCTION("""COMPUTED_VALUE"""),"My Nguyen")</f>
        <v>My Nguyen</v>
      </c>
      <c r="E439" s="190" t="str">
        <f>IFERROR(__xludf.DUMMYFUNCTION("""COMPUTED_VALUE"""),"Communication 2")</f>
        <v>Communication 2</v>
      </c>
      <c r="F439" s="190" t="str">
        <f>IFERROR(__xludf.DUMMYFUNCTION("""COMPUTED_VALUE"""),"Pre-Intermediate 1")</f>
        <v>Pre-Intermediate 1</v>
      </c>
      <c r="G439" s="190"/>
      <c r="H439" s="219">
        <f>IFERROR(__xludf.DUMMYFUNCTION("""COMPUTED_VALUE"""),46038.41666666667)</f>
        <v>46038.41667</v>
      </c>
      <c r="I439" s="219">
        <f>IFERROR(__xludf.DUMMYFUNCTION("""COMPUTED_VALUE"""),45813.45833333333)</f>
        <v>45813.45833</v>
      </c>
      <c r="J439" s="190">
        <f>IFERROR(__xludf.DUMMYFUNCTION("""COMPUTED_VALUE"""),3.0)</f>
        <v>3</v>
      </c>
      <c r="K439" s="190" t="str">
        <f>IFERROR(__xludf.DUMMYFUNCTION("""COMPUTED_VALUE"""),"")</f>
        <v/>
      </c>
      <c r="L439" s="190" t="str">
        <f>IFERROR(__xludf.DUMMYFUNCTION("""COMPUTED_VALUE"""),"DEV")</f>
        <v>DEV</v>
      </c>
      <c r="M439" s="190" t="str">
        <f>IFERROR(__xludf.DUMMYFUNCTION("""COMPUTED_VALUE"""),"TBU")</f>
        <v>TBU</v>
      </c>
      <c r="N439" s="220">
        <f>IFERROR(__xludf.DUMMYFUNCTION("""COMPUTED_VALUE"""),1.0)</f>
        <v>1</v>
      </c>
      <c r="O439" s="220">
        <f>IFERROR(__xludf.DUMMYFUNCTION("""COMPUTED_VALUE"""),3.0)</f>
        <v>3</v>
      </c>
      <c r="P439" s="220"/>
      <c r="R439" s="210"/>
      <c r="S439" s="210"/>
      <c r="T439" s="210"/>
      <c r="U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row>
    <row r="440">
      <c r="A440" s="223" t="str">
        <f>IFERROR(__xludf.DUMMYFUNCTION("""COMPUTED_VALUE"""),"237160")</f>
        <v>237160</v>
      </c>
      <c r="B440" s="190" t="str">
        <f>IFERROR(__xludf.DUMMYFUNCTION("""COMPUTED_VALUE"""),"Trần Tuấn Kiệt")</f>
        <v>Trần Tuấn Kiệt</v>
      </c>
      <c r="C440" s="223" t="str">
        <f>IFERROR(__xludf.DUMMYFUNCTION("""COMPUTED_VALUE"""),"EL038")</f>
        <v>EL038</v>
      </c>
      <c r="D440" s="223" t="str">
        <f>IFERROR(__xludf.DUMMYFUNCTION("""COMPUTED_VALUE"""),"My Nguyen")</f>
        <v>My Nguyen</v>
      </c>
      <c r="E440" s="190" t="str">
        <f>IFERROR(__xludf.DUMMYFUNCTION("""COMPUTED_VALUE"""),"Communication 2")</f>
        <v>Communication 2</v>
      </c>
      <c r="F440" s="190" t="str">
        <f>IFERROR(__xludf.DUMMYFUNCTION("""COMPUTED_VALUE"""),"Beginner")</f>
        <v>Beginner</v>
      </c>
      <c r="G440" s="190"/>
      <c r="H440" s="219">
        <f>IFERROR(__xludf.DUMMYFUNCTION("""COMPUTED_VALUE"""),46038.41666666667)</f>
        <v>46038.41667</v>
      </c>
      <c r="I440" s="219">
        <f>IFERROR(__xludf.DUMMYFUNCTION("""COMPUTED_VALUE"""),45813.45833333333)</f>
        <v>45813.45833</v>
      </c>
      <c r="J440" s="190">
        <f>IFERROR(__xludf.DUMMYFUNCTION("""COMPUTED_VALUE"""),1.0)</f>
        <v>1</v>
      </c>
      <c r="K440" s="190" t="str">
        <f>IFERROR(__xludf.DUMMYFUNCTION("""COMPUTED_VALUE"""),"")</f>
        <v/>
      </c>
      <c r="L440" s="190" t="str">
        <f>IFERROR(__xludf.DUMMYFUNCTION("""COMPUTED_VALUE"""),"DEV")</f>
        <v>DEV</v>
      </c>
      <c r="M440" s="190" t="str">
        <f>IFERROR(__xludf.DUMMYFUNCTION("""COMPUTED_VALUE"""),"TBU")</f>
        <v>TBU</v>
      </c>
      <c r="N440" s="220">
        <f>IFERROR(__xludf.DUMMYFUNCTION("""COMPUTED_VALUE"""),1.0)</f>
        <v>1</v>
      </c>
      <c r="O440" s="220">
        <f>IFERROR(__xludf.DUMMYFUNCTION("""COMPUTED_VALUE"""),1.0)</f>
        <v>1</v>
      </c>
      <c r="P440" s="220"/>
      <c r="R440" s="210"/>
      <c r="S440" s="210"/>
      <c r="T440" s="210"/>
      <c r="U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row>
    <row r="441">
      <c r="A441" s="223" t="str">
        <f>IFERROR(__xludf.DUMMYFUNCTION("""COMPUTED_VALUE"""),"237061")</f>
        <v>237061</v>
      </c>
      <c r="B441" s="190" t="str">
        <f>IFERROR(__xludf.DUMMYFUNCTION("""COMPUTED_VALUE"""),"NGUYỄN TẤN HUY")</f>
        <v>NGUYỄN TẤN HUY</v>
      </c>
      <c r="C441" s="223" t="str">
        <f>IFERROR(__xludf.DUMMYFUNCTION("""COMPUTED_VALUE"""),"EL039")</f>
        <v>EL039</v>
      </c>
      <c r="D441" s="223" t="str">
        <f>IFERROR(__xludf.DUMMYFUNCTION("""COMPUTED_VALUE"""),"Huy Nguyen")</f>
        <v>Huy Nguyen</v>
      </c>
      <c r="E441" s="190" t="str">
        <f>IFERROR(__xludf.DUMMYFUNCTION("""COMPUTED_VALUE"""),"Communication 1")</f>
        <v>Communication 1</v>
      </c>
      <c r="F441" s="190" t="str">
        <f>IFERROR(__xludf.DUMMYFUNCTION("""COMPUTED_VALUE"""),"Beginner")</f>
        <v>Beginner</v>
      </c>
      <c r="G441" s="190" t="str">
        <f>IFERROR(__xludf.DUMMYFUNCTION("""COMPUTED_VALUE"""),"Beginner 2")</f>
        <v>Beginner 2</v>
      </c>
      <c r="H441" s="219">
        <f>IFERROR(__xludf.DUMMYFUNCTION("""COMPUTED_VALUE"""),45882.54166666667)</f>
        <v>45882.54167</v>
      </c>
      <c r="I441" s="219">
        <f>IFERROR(__xludf.DUMMYFUNCTION("""COMPUTED_VALUE"""),45763.54166666667)</f>
        <v>45763.54167</v>
      </c>
      <c r="J441" s="190">
        <f>IFERROR(__xludf.DUMMYFUNCTION("""COMPUTED_VALUE"""),1.0)</f>
        <v>1</v>
      </c>
      <c r="K441" s="190">
        <f>IFERROR(__xludf.DUMMYFUNCTION("""COMPUTED_VALUE"""),1.5)</f>
        <v>1.5</v>
      </c>
      <c r="L441" s="190" t="str">
        <f>IFERROR(__xludf.DUMMYFUNCTION("""COMPUTED_VALUE"""),"DEV")</f>
        <v>DEV</v>
      </c>
      <c r="M441" s="190" t="str">
        <f>IFERROR(__xludf.DUMMYFUNCTION("""COMPUTED_VALUE"""),"LBU")</f>
        <v>LBU</v>
      </c>
      <c r="N441" s="220">
        <f>IFERROR(__xludf.DUMMYFUNCTION("""COMPUTED_VALUE"""),1.0)</f>
        <v>1</v>
      </c>
      <c r="O441" s="220">
        <f>IFERROR(__xludf.DUMMYFUNCTION("""COMPUTED_VALUE"""),1.5)</f>
        <v>1.5</v>
      </c>
      <c r="P441" s="229"/>
      <c r="R441" s="210"/>
      <c r="S441" s="210"/>
      <c r="T441" s="210"/>
      <c r="U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row>
    <row r="442">
      <c r="A442" s="223" t="str">
        <f>IFERROR(__xludf.DUMMYFUNCTION("""COMPUTED_VALUE"""),"247265")</f>
        <v>247265</v>
      </c>
      <c r="B442" s="190" t="str">
        <f>IFERROR(__xludf.DUMMYFUNCTION("""COMPUTED_VALUE"""),"NGÔ THỤY THANH NHƯ")</f>
        <v>NGÔ THỤY THANH NHƯ</v>
      </c>
      <c r="C442" s="223" t="str">
        <f>IFERROR(__xludf.DUMMYFUNCTION("""COMPUTED_VALUE"""),"EL039")</f>
        <v>EL039</v>
      </c>
      <c r="D442" s="223" t="str">
        <f>IFERROR(__xludf.DUMMYFUNCTION("""COMPUTED_VALUE"""),"Huy Nguyen")</f>
        <v>Huy Nguyen</v>
      </c>
      <c r="E442" s="190" t="str">
        <f>IFERROR(__xludf.DUMMYFUNCTION("""COMPUTED_VALUE"""),"Communication 1")</f>
        <v>Communication 1</v>
      </c>
      <c r="F442" s="190" t="str">
        <f>IFERROR(__xludf.DUMMYFUNCTION("""COMPUTED_VALUE"""),"Beginner")</f>
        <v>Beginner</v>
      </c>
      <c r="G442" s="190" t="str">
        <f>IFERROR(__xludf.DUMMYFUNCTION("""COMPUTED_VALUE"""),"Pre-Intermediate 2")</f>
        <v>Pre-Intermediate 2</v>
      </c>
      <c r="H442" s="219">
        <f>IFERROR(__xludf.DUMMYFUNCTION("""COMPUTED_VALUE"""),45882.54166666667)</f>
        <v>45882.54167</v>
      </c>
      <c r="I442" s="219">
        <f>IFERROR(__xludf.DUMMYFUNCTION("""COMPUTED_VALUE"""),45715.45833333333)</f>
        <v>45715.45833</v>
      </c>
      <c r="J442" s="190">
        <f>IFERROR(__xludf.DUMMYFUNCTION("""COMPUTED_VALUE"""),1.0)</f>
        <v>1</v>
      </c>
      <c r="K442" s="190">
        <f>IFERROR(__xludf.DUMMYFUNCTION("""COMPUTED_VALUE"""),3.5)</f>
        <v>3.5</v>
      </c>
      <c r="L442" s="190" t="str">
        <f>IFERROR(__xludf.DUMMYFUNCTION("""COMPUTED_VALUE"""),"UI/UX")</f>
        <v>UI/UX</v>
      </c>
      <c r="M442" s="190" t="str">
        <f>IFERROR(__xludf.DUMMYFUNCTION("""COMPUTED_VALUE"""),"CHORUS")</f>
        <v>CHORUS</v>
      </c>
      <c r="N442" s="220">
        <f>IFERROR(__xludf.DUMMYFUNCTION("""COMPUTED_VALUE"""),1.0)</f>
        <v>1</v>
      </c>
      <c r="O442" s="220">
        <f>IFERROR(__xludf.DUMMYFUNCTION("""COMPUTED_VALUE"""),3.5)</f>
        <v>3.5</v>
      </c>
      <c r="P442" s="220"/>
      <c r="R442" s="210"/>
      <c r="S442" s="210"/>
      <c r="T442" s="210"/>
      <c r="U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row>
    <row r="443">
      <c r="A443" s="223" t="str">
        <f>IFERROR(__xludf.DUMMYFUNCTION("""COMPUTED_VALUE"""),"227035")</f>
        <v>227035</v>
      </c>
      <c r="B443" s="190" t="str">
        <f>IFERROR(__xludf.DUMMYFUNCTION("""COMPUTED_VALUE"""),"NGUYỄN NHẬT HÀO")</f>
        <v>NGUYỄN NHẬT HÀO</v>
      </c>
      <c r="C443" s="223" t="str">
        <f>IFERROR(__xludf.DUMMYFUNCTION("""COMPUTED_VALUE"""),"EL039")</f>
        <v>EL039</v>
      </c>
      <c r="D443" s="223" t="str">
        <f>IFERROR(__xludf.DUMMYFUNCTION("""COMPUTED_VALUE"""),"Huy Nguyen")</f>
        <v>Huy Nguyen</v>
      </c>
      <c r="E443" s="190" t="str">
        <f>IFERROR(__xludf.DUMMYFUNCTION("""COMPUTED_VALUE"""),"Communication 1")</f>
        <v>Communication 1</v>
      </c>
      <c r="F443" s="190" t="str">
        <f>IFERROR(__xludf.DUMMYFUNCTION("""COMPUTED_VALUE"""),"Beginner")</f>
        <v>Beginner</v>
      </c>
      <c r="G443" s="190"/>
      <c r="H443" s="219">
        <f>IFERROR(__xludf.DUMMYFUNCTION("""COMPUTED_VALUE"""),45882.54166666667)</f>
        <v>45882.54167</v>
      </c>
      <c r="I443" s="219">
        <f>IFERROR(__xludf.DUMMYFUNCTION("""COMPUTED_VALUE"""),45765.375)</f>
        <v>45765.375</v>
      </c>
      <c r="J443" s="190">
        <f>IFERROR(__xludf.DUMMYFUNCTION("""COMPUTED_VALUE"""),1.0)</f>
        <v>1</v>
      </c>
      <c r="K443" s="190" t="str">
        <f>IFERROR(__xludf.DUMMYFUNCTION("""COMPUTED_VALUE"""),"")</f>
        <v/>
      </c>
      <c r="L443" s="190" t="str">
        <f>IFERROR(__xludf.DUMMYFUNCTION("""COMPUTED_VALUE"""),"DEV")</f>
        <v>DEV</v>
      </c>
      <c r="M443" s="190" t="str">
        <f>IFERROR(__xludf.DUMMYFUNCTION("""COMPUTED_VALUE"""),"LBU")</f>
        <v>LBU</v>
      </c>
      <c r="N443" s="220">
        <f>IFERROR(__xludf.DUMMYFUNCTION("""COMPUTED_VALUE"""),1.0)</f>
        <v>1</v>
      </c>
      <c r="O443" s="220">
        <f>IFERROR(__xludf.DUMMYFUNCTION("""COMPUTED_VALUE"""),3.0)</f>
        <v>3</v>
      </c>
      <c r="P443" s="220"/>
      <c r="R443" s="210"/>
      <c r="S443" s="210"/>
      <c r="T443" s="210"/>
      <c r="U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row>
    <row r="444">
      <c r="A444" s="223" t="str">
        <f>IFERROR(__xludf.DUMMYFUNCTION("""COMPUTED_VALUE"""),"247415")</f>
        <v>247415</v>
      </c>
      <c r="B444" s="190" t="str">
        <f>IFERROR(__xludf.DUMMYFUNCTION("""COMPUTED_VALUE"""),"NGUYỄN THỊ HIỀN NI")</f>
        <v>NGUYỄN THỊ HIỀN NI</v>
      </c>
      <c r="C444" s="223" t="str">
        <f>IFERROR(__xludf.DUMMYFUNCTION("""COMPUTED_VALUE"""),"EL039")</f>
        <v>EL039</v>
      </c>
      <c r="D444" s="223" t="str">
        <f>IFERROR(__xludf.DUMMYFUNCTION("""COMPUTED_VALUE"""),"Huy Nguyen")</f>
        <v>Huy Nguyen</v>
      </c>
      <c r="E444" s="190" t="str">
        <f>IFERROR(__xludf.DUMMYFUNCTION("""COMPUTED_VALUE"""),"Communication 1")</f>
        <v>Communication 1</v>
      </c>
      <c r="F444" s="190" t="str">
        <f>IFERROR(__xludf.DUMMYFUNCTION("""COMPUTED_VALUE"""),"Beginner")</f>
        <v>Beginner</v>
      </c>
      <c r="G444" s="190" t="str">
        <f>IFERROR(__xludf.DUMMYFUNCTION("""COMPUTED_VALUE"""),"Pre-Intermediate 2")</f>
        <v>Pre-Intermediate 2</v>
      </c>
      <c r="H444" s="219">
        <f>IFERROR(__xludf.DUMMYFUNCTION("""COMPUTED_VALUE"""),45882.54166666667)</f>
        <v>45882.54167</v>
      </c>
      <c r="I444" s="219">
        <f>IFERROR(__xludf.DUMMYFUNCTION("""COMPUTED_VALUE"""),45715.45833333333)</f>
        <v>45715.45833</v>
      </c>
      <c r="J444" s="190">
        <f>IFERROR(__xludf.DUMMYFUNCTION("""COMPUTED_VALUE"""),1.0)</f>
        <v>1</v>
      </c>
      <c r="K444" s="190">
        <f>IFERROR(__xludf.DUMMYFUNCTION("""COMPUTED_VALUE"""),3.5)</f>
        <v>3.5</v>
      </c>
      <c r="L444" s="190" t="str">
        <f>IFERROR(__xludf.DUMMYFUNCTION("""COMPUTED_VALUE"""),"QC")</f>
        <v>QC</v>
      </c>
      <c r="M444" s="190" t="str">
        <f>IFERROR(__xludf.DUMMYFUNCTION("""COMPUTED_VALUE"""),"LBU")</f>
        <v>LBU</v>
      </c>
      <c r="N444" s="220">
        <f>IFERROR(__xludf.DUMMYFUNCTION("""COMPUTED_VALUE"""),1.0)</f>
        <v>1</v>
      </c>
      <c r="O444" s="220">
        <f>IFERROR(__xludf.DUMMYFUNCTION("""COMPUTED_VALUE"""),3.5)</f>
        <v>3.5</v>
      </c>
      <c r="P444" s="220"/>
      <c r="R444" s="210"/>
      <c r="S444" s="210"/>
      <c r="T444" s="210"/>
      <c r="U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row>
    <row r="445">
      <c r="A445" s="223" t="str">
        <f>IFERROR(__xludf.DUMMYFUNCTION("""COMPUTED_VALUE"""),"183423")</f>
        <v>183423</v>
      </c>
      <c r="B445" s="190" t="str">
        <f>IFERROR(__xludf.DUMMYFUNCTION("""COMPUTED_VALUE"""),"TRẦN VĨNH THUẬN")</f>
        <v>TRẦN VĨNH THUẬN</v>
      </c>
      <c r="C445" s="223" t="str">
        <f>IFERROR(__xludf.DUMMYFUNCTION("""COMPUTED_VALUE"""),"EL039")</f>
        <v>EL039</v>
      </c>
      <c r="D445" s="223" t="str">
        <f>IFERROR(__xludf.DUMMYFUNCTION("""COMPUTED_VALUE"""),"Huy Nguyen")</f>
        <v>Huy Nguyen</v>
      </c>
      <c r="E445" s="190" t="str">
        <f>IFERROR(__xludf.DUMMYFUNCTION("""COMPUTED_VALUE"""),"Communication 1")</f>
        <v>Communication 1</v>
      </c>
      <c r="F445" s="190" t="str">
        <f>IFERROR(__xludf.DUMMYFUNCTION("""COMPUTED_VALUE"""),"Pre-Intermediate")</f>
        <v>Pre-Intermediate</v>
      </c>
      <c r="G445" s="190"/>
      <c r="H445" s="219">
        <f>IFERROR(__xludf.DUMMYFUNCTION("""COMPUTED_VALUE"""),45882.54166666667)</f>
        <v>45882.54167</v>
      </c>
      <c r="I445" s="219">
        <f>IFERROR(__xludf.DUMMYFUNCTION("""COMPUTED_VALUE"""),45882.54166666667)</f>
        <v>45882.54167</v>
      </c>
      <c r="J445" s="190">
        <f>IFERROR(__xludf.DUMMYFUNCTION("""COMPUTED_VALUE"""),2.5)</f>
        <v>2.5</v>
      </c>
      <c r="K445" s="190" t="str">
        <f>IFERROR(__xludf.DUMMYFUNCTION("""COMPUTED_VALUE"""),"")</f>
        <v/>
      </c>
      <c r="L445" s="190" t="str">
        <f>IFERROR(__xludf.DUMMYFUNCTION("""COMPUTED_VALUE"""),"Management")</f>
        <v>Management</v>
      </c>
      <c r="M445" s="190" t="str">
        <f>IFERROR(__xludf.DUMMYFUNCTION("""COMPUTED_VALUE"""),"ONC")</f>
        <v>ONC</v>
      </c>
      <c r="N445" s="220">
        <f>IFERROR(__xludf.DUMMYFUNCTION("""COMPUTED_VALUE"""),2.5)</f>
        <v>2.5</v>
      </c>
      <c r="O445" s="220">
        <f>IFERROR(__xludf.DUMMYFUNCTION("""COMPUTED_VALUE"""),0.0)</f>
        <v>0</v>
      </c>
      <c r="P445" s="220"/>
      <c r="R445" s="210"/>
      <c r="S445" s="210"/>
      <c r="T445" s="210"/>
      <c r="U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row>
    <row r="446">
      <c r="A446" s="223" t="str">
        <f>IFERROR(__xludf.DUMMYFUNCTION("""COMPUTED_VALUE"""),"213946")</f>
        <v>213946</v>
      </c>
      <c r="B446" s="190" t="str">
        <f>IFERROR(__xludf.DUMMYFUNCTION("""COMPUTED_VALUE"""),"TRƯƠNG NHỰT MINH THƯ")</f>
        <v>TRƯƠNG NHỰT MINH THƯ</v>
      </c>
      <c r="C446" s="223" t="str">
        <f>IFERROR(__xludf.DUMMYFUNCTION("""COMPUTED_VALUE"""),"EL039")</f>
        <v>EL039</v>
      </c>
      <c r="D446" s="223" t="str">
        <f>IFERROR(__xludf.DUMMYFUNCTION("""COMPUTED_VALUE"""),"Huy Nguyen")</f>
        <v>Huy Nguyen</v>
      </c>
      <c r="E446" s="190" t="str">
        <f>IFERROR(__xludf.DUMMYFUNCTION("""COMPUTED_VALUE"""),"Communication 1")</f>
        <v>Communication 1</v>
      </c>
      <c r="F446" s="190" t="str">
        <f>IFERROR(__xludf.DUMMYFUNCTION("""COMPUTED_VALUE"""),"Beginner")</f>
        <v>Beginner</v>
      </c>
      <c r="G446" s="190" t="str">
        <f>IFERROR(__xludf.DUMMYFUNCTION("""COMPUTED_VALUE"""),"Pre-Intermediate 1")</f>
        <v>Pre-Intermediate 1</v>
      </c>
      <c r="H446" s="219">
        <f>IFERROR(__xludf.DUMMYFUNCTION("""COMPUTED_VALUE"""),45882.54166666667)</f>
        <v>45882.54167</v>
      </c>
      <c r="I446" s="219">
        <f>IFERROR(__xludf.DUMMYFUNCTION("""COMPUTED_VALUE"""),45764.45833333333)</f>
        <v>45764.45833</v>
      </c>
      <c r="J446" s="190">
        <f>IFERROR(__xludf.DUMMYFUNCTION("""COMPUTED_VALUE"""),1.0)</f>
        <v>1</v>
      </c>
      <c r="K446" s="190">
        <f>IFERROR(__xludf.DUMMYFUNCTION("""COMPUTED_VALUE"""),3.0)</f>
        <v>3</v>
      </c>
      <c r="L446" s="190" t="str">
        <f>IFERROR(__xludf.DUMMYFUNCTION("""COMPUTED_VALUE"""),"DEV")</f>
        <v>DEV</v>
      </c>
      <c r="M446" s="190" t="str">
        <f>IFERROR(__xludf.DUMMYFUNCTION("""COMPUTED_VALUE"""),"MOC")</f>
        <v>MOC</v>
      </c>
      <c r="N446" s="220">
        <f>IFERROR(__xludf.DUMMYFUNCTION("""COMPUTED_VALUE"""),1.0)</f>
        <v>1</v>
      </c>
      <c r="O446" s="220">
        <f>IFERROR(__xludf.DUMMYFUNCTION("""COMPUTED_VALUE"""),3.0)</f>
        <v>3</v>
      </c>
      <c r="P446" s="220"/>
      <c r="R446" s="210"/>
      <c r="S446" s="210"/>
      <c r="T446" s="210"/>
      <c r="U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row>
    <row r="447">
      <c r="A447" s="223" t="str">
        <f>IFERROR(__xludf.DUMMYFUNCTION("""COMPUTED_VALUE"""),"237245")</f>
        <v>237245</v>
      </c>
      <c r="B447" s="190" t="str">
        <f>IFERROR(__xludf.DUMMYFUNCTION("""COMPUTED_VALUE"""),"TỪ NGUYỄN MINH NHẬT")</f>
        <v>TỪ NGUYỄN MINH NHẬT</v>
      </c>
      <c r="C447" s="223" t="str">
        <f>IFERROR(__xludf.DUMMYFUNCTION("""COMPUTED_VALUE"""),"EL039")</f>
        <v>EL039</v>
      </c>
      <c r="D447" s="223" t="str">
        <f>IFERROR(__xludf.DUMMYFUNCTION("""COMPUTED_VALUE"""),"Huy Nguyen")</f>
        <v>Huy Nguyen</v>
      </c>
      <c r="E447" s="190" t="str">
        <f>IFERROR(__xludf.DUMMYFUNCTION("""COMPUTED_VALUE"""),"Communication 1")</f>
        <v>Communication 1</v>
      </c>
      <c r="F447" s="190" t="str">
        <f>IFERROR(__xludf.DUMMYFUNCTION("""COMPUTED_VALUE"""),"Beginner")</f>
        <v>Beginner</v>
      </c>
      <c r="G447" s="190" t="str">
        <f>IFERROR(__xludf.DUMMYFUNCTION("""COMPUTED_VALUE"""),"Beginner 2")</f>
        <v>Beginner 2</v>
      </c>
      <c r="H447" s="219">
        <f>IFERROR(__xludf.DUMMYFUNCTION("""COMPUTED_VALUE"""),45882.54166666667)</f>
        <v>45882.54167</v>
      </c>
      <c r="I447" s="219">
        <f>IFERROR(__xludf.DUMMYFUNCTION("""COMPUTED_VALUE"""),45763.54166666667)</f>
        <v>45763.54167</v>
      </c>
      <c r="J447" s="190">
        <f>IFERROR(__xludf.DUMMYFUNCTION("""COMPUTED_VALUE"""),1.0)</f>
        <v>1</v>
      </c>
      <c r="K447" s="190">
        <f>IFERROR(__xludf.DUMMYFUNCTION("""COMPUTED_VALUE"""),1.5)</f>
        <v>1.5</v>
      </c>
      <c r="L447" s="190" t="str">
        <f>IFERROR(__xludf.DUMMYFUNCTION("""COMPUTED_VALUE"""),"DEV")</f>
        <v>DEV</v>
      </c>
      <c r="M447" s="190" t="str">
        <f>IFERROR(__xludf.DUMMYFUNCTION("""COMPUTED_VALUE"""),"LBU")</f>
        <v>LBU</v>
      </c>
      <c r="N447" s="220">
        <f>IFERROR(__xludf.DUMMYFUNCTION("""COMPUTED_VALUE"""),1.0)</f>
        <v>1</v>
      </c>
      <c r="O447" s="220">
        <f>IFERROR(__xludf.DUMMYFUNCTION("""COMPUTED_VALUE"""),1.5)</f>
        <v>1.5</v>
      </c>
      <c r="P447" s="220"/>
      <c r="R447" s="210"/>
      <c r="S447" s="210"/>
      <c r="T447" s="210"/>
      <c r="U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row>
    <row r="448">
      <c r="A448" s="223" t="str">
        <f>IFERROR(__xludf.DUMMYFUNCTION("""COMPUTED_VALUE"""),"227188")</f>
        <v>227188</v>
      </c>
      <c r="B448" s="190" t="str">
        <f>IFERROR(__xludf.DUMMYFUNCTION("""COMPUTED_VALUE"""),"VÕ THỊ TUYẾT HỒNG")</f>
        <v>VÕ THỊ TUYẾT HỒNG</v>
      </c>
      <c r="C448" s="223" t="str">
        <f>IFERROR(__xludf.DUMMYFUNCTION("""COMPUTED_VALUE"""),"EL039")</f>
        <v>EL039</v>
      </c>
      <c r="D448" s="223" t="str">
        <f>IFERROR(__xludf.DUMMYFUNCTION("""COMPUTED_VALUE"""),"Huy Nguyen")</f>
        <v>Huy Nguyen</v>
      </c>
      <c r="E448" s="190" t="str">
        <f>IFERROR(__xludf.DUMMYFUNCTION("""COMPUTED_VALUE"""),"Communication 1")</f>
        <v>Communication 1</v>
      </c>
      <c r="F448" s="190" t="str">
        <f>IFERROR(__xludf.DUMMYFUNCTION("""COMPUTED_VALUE"""),"Pre-Intermediate 1")</f>
        <v>Pre-Intermediate 1</v>
      </c>
      <c r="G448" s="190" t="str">
        <f>IFERROR(__xludf.DUMMYFUNCTION("""COMPUTED_VALUE"""),"Pre-Intermediate 2")</f>
        <v>Pre-Intermediate 2</v>
      </c>
      <c r="H448" s="219">
        <f>IFERROR(__xludf.DUMMYFUNCTION("""COMPUTED_VALUE"""),45882.54166666667)</f>
        <v>45882.54167</v>
      </c>
      <c r="I448" s="219">
        <f>IFERROR(__xludf.DUMMYFUNCTION("""COMPUTED_VALUE"""),45763.54166666667)</f>
        <v>45763.54167</v>
      </c>
      <c r="J448" s="190">
        <f>IFERROR(__xludf.DUMMYFUNCTION("""COMPUTED_VALUE"""),3.0)</f>
        <v>3</v>
      </c>
      <c r="K448" s="190">
        <f>IFERROR(__xludf.DUMMYFUNCTION("""COMPUTED_VALUE"""),3.5)</f>
        <v>3.5</v>
      </c>
      <c r="L448" s="190" t="str">
        <f>IFERROR(__xludf.DUMMYFUNCTION("""COMPUTED_VALUE"""),"DEV")</f>
        <v>DEV</v>
      </c>
      <c r="M448" s="190" t="str">
        <f>IFERROR(__xludf.DUMMYFUNCTION("""COMPUTED_VALUE"""),"LBU")</f>
        <v>LBU</v>
      </c>
      <c r="N448" s="220">
        <f>IFERROR(__xludf.DUMMYFUNCTION("""COMPUTED_VALUE"""),1.0)</f>
        <v>1</v>
      </c>
      <c r="O448" s="220">
        <f>IFERROR(__xludf.DUMMYFUNCTION("""COMPUTED_VALUE"""),3.5)</f>
        <v>3.5</v>
      </c>
      <c r="P448" s="220"/>
      <c r="R448" s="210"/>
      <c r="S448" s="210"/>
      <c r="T448" s="210"/>
      <c r="U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row>
    <row r="449">
      <c r="A449" s="223" t="str">
        <f>IFERROR(__xludf.DUMMYFUNCTION("""COMPUTED_VALUE"""),"173268")</f>
        <v>173268</v>
      </c>
      <c r="B449" s="190" t="str">
        <f>IFERROR(__xludf.DUMMYFUNCTION("""COMPUTED_VALUE"""),"PHÙNG QUANG THÀNH")</f>
        <v>PHÙNG QUANG THÀNH</v>
      </c>
      <c r="C449" s="223" t="str">
        <f>IFERROR(__xludf.DUMMYFUNCTION("""COMPUTED_VALUE"""),"EL040")</f>
        <v>EL040</v>
      </c>
      <c r="D449" s="223" t="str">
        <f>IFERROR(__xludf.DUMMYFUNCTION("""COMPUTED_VALUE"""),"Thanh Phung")</f>
        <v>Thanh Phung</v>
      </c>
      <c r="E449" s="190" t="str">
        <f>IFERROR(__xludf.DUMMYFUNCTION("""COMPUTED_VALUE"""),"Extension of Foundation")</f>
        <v>Extension of Foundation</v>
      </c>
      <c r="F449" s="190" t="str">
        <f>IFERROR(__xludf.DUMMYFUNCTION("""COMPUTED_VALUE"""),"Foundation")</f>
        <v>Foundation</v>
      </c>
      <c r="G449" s="190"/>
      <c r="H449" s="219">
        <f>IFERROR(__xludf.DUMMYFUNCTION("""COMPUTED_VALUE"""),46126.58333333333)</f>
        <v>46126.58333</v>
      </c>
      <c r="I449" s="219">
        <f>IFERROR(__xludf.DUMMYFUNCTION("""COMPUTED_VALUE"""),45916.45833333333)</f>
        <v>45916.45833</v>
      </c>
      <c r="J449" s="190">
        <f>IFERROR(__xludf.DUMMYFUNCTION("""COMPUTED_VALUE"""),0.5)</f>
        <v>0.5</v>
      </c>
      <c r="K449" s="190" t="str">
        <f>IFERROR(__xludf.DUMMYFUNCTION("""COMPUTED_VALUE"""),"")</f>
        <v/>
      </c>
      <c r="L449" s="190" t="str">
        <f>IFERROR(__xludf.DUMMYFUNCTION("""COMPUTED_VALUE"""),"GSD")</f>
        <v>GSD</v>
      </c>
      <c r="M449" s="190" t="str">
        <f>IFERROR(__xludf.DUMMYFUNCTION("""COMPUTED_VALUE"""),"TBU")</f>
        <v>TBU</v>
      </c>
      <c r="N449" s="220">
        <f>IFERROR(__xludf.DUMMYFUNCTION("""COMPUTED_VALUE"""),0.5)</f>
        <v>0.5</v>
      </c>
      <c r="O449" s="220">
        <f>IFERROR(__xludf.DUMMYFUNCTION("""COMPUTED_VALUE"""),0.5)</f>
        <v>0.5</v>
      </c>
      <c r="P449" s="220"/>
      <c r="R449" s="210"/>
      <c r="S449" s="210"/>
      <c r="T449" s="210"/>
      <c r="U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row>
    <row r="450">
      <c r="A450" s="223" t="str">
        <f>IFERROR(__xludf.DUMMYFUNCTION("""COMPUTED_VALUE"""),"193496")</f>
        <v>193496</v>
      </c>
      <c r="B450" s="190" t="str">
        <f>IFERROR(__xludf.DUMMYFUNCTION("""COMPUTED_VALUE"""),"PHẠM NGUYỄN TRƯỜNG BẢO")</f>
        <v>PHẠM NGUYỄN TRƯỜNG BẢO</v>
      </c>
      <c r="C450" s="223" t="str">
        <f>IFERROR(__xludf.DUMMYFUNCTION("""COMPUTED_VALUE"""),"EL040")</f>
        <v>EL040</v>
      </c>
      <c r="D450" s="223" t="str">
        <f>IFERROR(__xludf.DUMMYFUNCTION("""COMPUTED_VALUE"""),"Thanh Phung")</f>
        <v>Thanh Phung</v>
      </c>
      <c r="E450" s="190" t="str">
        <f>IFERROR(__xludf.DUMMYFUNCTION("""COMPUTED_VALUE"""),"Extension of Foundation")</f>
        <v>Extension of Foundation</v>
      </c>
      <c r="F450" s="190" t="str">
        <f>IFERROR(__xludf.DUMMYFUNCTION("""COMPUTED_VALUE"""),"Foundation")</f>
        <v>Foundation</v>
      </c>
      <c r="G450" s="190"/>
      <c r="H450" s="219">
        <f>IFERROR(__xludf.DUMMYFUNCTION("""COMPUTED_VALUE"""),46126.58333333333)</f>
        <v>46126.58333</v>
      </c>
      <c r="I450" s="219">
        <f>IFERROR(__xludf.DUMMYFUNCTION("""COMPUTED_VALUE"""),45916.45833333333)</f>
        <v>45916.45833</v>
      </c>
      <c r="J450" s="190">
        <f>IFERROR(__xludf.DUMMYFUNCTION("""COMPUTED_VALUE"""),0.5)</f>
        <v>0.5</v>
      </c>
      <c r="K450" s="190" t="str">
        <f>IFERROR(__xludf.DUMMYFUNCTION("""COMPUTED_VALUE"""),"")</f>
        <v/>
      </c>
      <c r="L450" s="190" t="str">
        <f>IFERROR(__xludf.DUMMYFUNCTION("""COMPUTED_VALUE"""),"GSD")</f>
        <v>GSD</v>
      </c>
      <c r="M450" s="190" t="str">
        <f>IFERROR(__xludf.DUMMYFUNCTION("""COMPUTED_VALUE"""),"POC")</f>
        <v>POC</v>
      </c>
      <c r="N450" s="220">
        <f>IFERROR(__xludf.DUMMYFUNCTION("""COMPUTED_VALUE"""),0.5)</f>
        <v>0.5</v>
      </c>
      <c r="O450" s="220">
        <f>IFERROR(__xludf.DUMMYFUNCTION("""COMPUTED_VALUE"""),0.5)</f>
        <v>0.5</v>
      </c>
      <c r="P450" s="220"/>
      <c r="R450" s="210"/>
      <c r="S450" s="210"/>
      <c r="T450" s="210"/>
      <c r="U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row>
    <row r="451">
      <c r="A451" s="223" t="str">
        <f>IFERROR(__xludf.DUMMYFUNCTION("""COMPUTED_VALUE"""),"193490")</f>
        <v>193490</v>
      </c>
      <c r="B451" s="190" t="str">
        <f>IFERROR(__xludf.DUMMYFUNCTION("""COMPUTED_VALUE"""),"PHAN GIA LỘC")</f>
        <v>PHAN GIA LỘC</v>
      </c>
      <c r="C451" s="223" t="str">
        <f>IFERROR(__xludf.DUMMYFUNCTION("""COMPUTED_VALUE"""),"EL040")</f>
        <v>EL040</v>
      </c>
      <c r="D451" s="223" t="str">
        <f>IFERROR(__xludf.DUMMYFUNCTION("""COMPUTED_VALUE"""),"Thanh Phung")</f>
        <v>Thanh Phung</v>
      </c>
      <c r="E451" s="190" t="str">
        <f>IFERROR(__xludf.DUMMYFUNCTION("""COMPUTED_VALUE"""),"Extension of Foundation")</f>
        <v>Extension of Foundation</v>
      </c>
      <c r="F451" s="190" t="str">
        <f>IFERROR(__xludf.DUMMYFUNCTION("""COMPUTED_VALUE"""),"Foundation")</f>
        <v>Foundation</v>
      </c>
      <c r="G451" s="190"/>
      <c r="H451" s="219">
        <f>IFERROR(__xludf.DUMMYFUNCTION("""COMPUTED_VALUE"""),46126.58333333333)</f>
        <v>46126.58333</v>
      </c>
      <c r="I451" s="219">
        <f>IFERROR(__xludf.DUMMYFUNCTION("""COMPUTED_VALUE"""),45916.45833333333)</f>
        <v>45916.45833</v>
      </c>
      <c r="J451" s="190">
        <f>IFERROR(__xludf.DUMMYFUNCTION("""COMPUTED_VALUE"""),0.5)</f>
        <v>0.5</v>
      </c>
      <c r="K451" s="190" t="str">
        <f>IFERROR(__xludf.DUMMYFUNCTION("""COMPUTED_VALUE"""),"")</f>
        <v/>
      </c>
      <c r="L451" s="190" t="str">
        <f>IFERROR(__xludf.DUMMYFUNCTION("""COMPUTED_VALUE"""),"GSD")</f>
        <v>GSD</v>
      </c>
      <c r="M451" s="190" t="str">
        <f>IFERROR(__xludf.DUMMYFUNCTION("""COMPUTED_VALUE"""),"POC")</f>
        <v>POC</v>
      </c>
      <c r="N451" s="220">
        <f>IFERROR(__xludf.DUMMYFUNCTION("""COMPUTED_VALUE"""),0.5)</f>
        <v>0.5</v>
      </c>
      <c r="O451" s="220">
        <f>IFERROR(__xludf.DUMMYFUNCTION("""COMPUTED_VALUE"""),0.5)</f>
        <v>0.5</v>
      </c>
      <c r="P451" s="220"/>
      <c r="R451" s="210"/>
      <c r="S451" s="210"/>
      <c r="T451" s="210"/>
      <c r="U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row>
    <row r="452">
      <c r="A452" s="223" t="str">
        <f>IFERROR(__xludf.DUMMYFUNCTION("""COMPUTED_VALUE"""),"173268")</f>
        <v>173268</v>
      </c>
      <c r="B452" s="190" t="str">
        <f>IFERROR(__xludf.DUMMYFUNCTION("""COMPUTED_VALUE"""),"PHÙNG QUANG THÀNH")</f>
        <v>PHÙNG QUANG THÀNH</v>
      </c>
      <c r="C452" s="223" t="str">
        <f>IFERROR(__xludf.DUMMYFUNCTION("""COMPUTED_VALUE"""),"EL040")</f>
        <v>EL040</v>
      </c>
      <c r="D452" s="223" t="str">
        <f>IFERROR(__xludf.DUMMYFUNCTION("""COMPUTED_VALUE"""),"Thanh Phung")</f>
        <v>Thanh Phung</v>
      </c>
      <c r="E452" s="190" t="str">
        <f>IFERROR(__xludf.DUMMYFUNCTION("""COMPUTED_VALUE"""),"Foundation")</f>
        <v>Foundation</v>
      </c>
      <c r="F452" s="190" t="str">
        <f>IFERROR(__xludf.DUMMYFUNCTION("""COMPUTED_VALUE"""),"Foundation")</f>
        <v>Foundation</v>
      </c>
      <c r="G452" s="190" t="str">
        <f>IFERROR(__xludf.DUMMYFUNCTION("""COMPUTED_VALUE"""),"Foundation")</f>
        <v>Foundation</v>
      </c>
      <c r="H452" s="219">
        <f>IFERROR(__xludf.DUMMYFUNCTION("""COMPUTED_VALUE"""),45916.45833333333)</f>
        <v>45916.45833</v>
      </c>
      <c r="I452" s="219">
        <f>IFERROR(__xludf.DUMMYFUNCTION("""COMPUTED_VALUE"""),45916.45833333333)</f>
        <v>45916.45833</v>
      </c>
      <c r="J452" s="190">
        <f>IFERROR(__xludf.DUMMYFUNCTION("""COMPUTED_VALUE"""),0.5)</f>
        <v>0.5</v>
      </c>
      <c r="K452" s="190">
        <f>IFERROR(__xludf.DUMMYFUNCTION("""COMPUTED_VALUE"""),0.5)</f>
        <v>0.5</v>
      </c>
      <c r="L452" s="190" t="str">
        <f>IFERROR(__xludf.DUMMYFUNCTION("""COMPUTED_VALUE"""),"GSD")</f>
        <v>GSD</v>
      </c>
      <c r="M452" s="190" t="str">
        <f>IFERROR(__xludf.DUMMYFUNCTION("""COMPUTED_VALUE"""),"TBU")</f>
        <v>TBU</v>
      </c>
      <c r="N452" s="220">
        <f>IFERROR(__xludf.DUMMYFUNCTION("""COMPUTED_VALUE"""),0.5)</f>
        <v>0.5</v>
      </c>
      <c r="O452" s="220">
        <f>IFERROR(__xludf.DUMMYFUNCTION("""COMPUTED_VALUE"""),0.5)</f>
        <v>0.5</v>
      </c>
      <c r="P452" s="220"/>
      <c r="R452" s="210"/>
      <c r="S452" s="210"/>
      <c r="T452" s="210"/>
      <c r="U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row>
    <row r="453">
      <c r="A453" s="223" t="str">
        <f>IFERROR(__xludf.DUMMYFUNCTION("""COMPUTED_VALUE"""),"183322")</f>
        <v>183322</v>
      </c>
      <c r="B453" s="190" t="str">
        <f>IFERROR(__xludf.DUMMYFUNCTION("""COMPUTED_VALUE"""),"ĐÀO TRUNG HIẾU")</f>
        <v>ĐÀO TRUNG HIẾU</v>
      </c>
      <c r="C453" s="223" t="str">
        <f>IFERROR(__xludf.DUMMYFUNCTION("""COMPUTED_VALUE"""),"EL040")</f>
        <v>EL040</v>
      </c>
      <c r="D453" s="223" t="str">
        <f>IFERROR(__xludf.DUMMYFUNCTION("""COMPUTED_VALUE"""),"Thanh Phung")</f>
        <v>Thanh Phung</v>
      </c>
      <c r="E453" s="190" t="str">
        <f>IFERROR(__xludf.DUMMYFUNCTION("""COMPUTED_VALUE"""),"Foundation")</f>
        <v>Foundation</v>
      </c>
      <c r="F453" s="190" t="str">
        <f>IFERROR(__xludf.DUMMYFUNCTION("""COMPUTED_VALUE"""),"Foundation")</f>
        <v>Foundation</v>
      </c>
      <c r="G453" s="190" t="str">
        <f>IFERROR(__xludf.DUMMYFUNCTION("""COMPUTED_VALUE"""),"Foundation")</f>
        <v>Foundation</v>
      </c>
      <c r="H453" s="219">
        <f>IFERROR(__xludf.DUMMYFUNCTION("""COMPUTED_VALUE"""),45916.45833333333)</f>
        <v>45916.45833</v>
      </c>
      <c r="I453" s="219">
        <f>IFERROR(__xludf.DUMMYFUNCTION("""COMPUTED_VALUE"""),45916.45833333333)</f>
        <v>45916.45833</v>
      </c>
      <c r="J453" s="190">
        <f>IFERROR(__xludf.DUMMYFUNCTION("""COMPUTED_VALUE"""),0.5)</f>
        <v>0.5</v>
      </c>
      <c r="K453" s="190">
        <f>IFERROR(__xludf.DUMMYFUNCTION("""COMPUTED_VALUE"""),0.5)</f>
        <v>0.5</v>
      </c>
      <c r="L453" s="190" t="str">
        <f>IFERROR(__xludf.DUMMYFUNCTION("""COMPUTED_VALUE"""),"DEV")</f>
        <v>DEV</v>
      </c>
      <c r="M453" s="190" t="str">
        <f>IFERROR(__xludf.DUMMYFUNCTION("""COMPUTED_VALUE"""),"MOC")</f>
        <v>MOC</v>
      </c>
      <c r="N453" s="220">
        <f>IFERROR(__xludf.DUMMYFUNCTION("""COMPUTED_VALUE"""),0.5)</f>
        <v>0.5</v>
      </c>
      <c r="O453" s="220">
        <f>IFERROR(__xludf.DUMMYFUNCTION("""COMPUTED_VALUE"""),0.5)</f>
        <v>0.5</v>
      </c>
      <c r="P453" s="220"/>
      <c r="R453" s="210"/>
      <c r="S453" s="210"/>
      <c r="T453" s="210"/>
      <c r="U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row>
    <row r="454">
      <c r="A454" s="223" t="str">
        <f>IFERROR(__xludf.DUMMYFUNCTION("""COMPUTED_VALUE"""),"173246")</f>
        <v>173246</v>
      </c>
      <c r="B454" s="190" t="str">
        <f>IFERROR(__xludf.DUMMYFUNCTION("""COMPUTED_VALUE"""),"LÊ THỊ HOÀNG KIM")</f>
        <v>LÊ THỊ HOÀNG KIM</v>
      </c>
      <c r="C454" s="223" t="str">
        <f>IFERROR(__xludf.DUMMYFUNCTION("""COMPUTED_VALUE"""),"EL040")</f>
        <v>EL040</v>
      </c>
      <c r="D454" s="223" t="str">
        <f>IFERROR(__xludf.DUMMYFUNCTION("""COMPUTED_VALUE"""),"Thanh Phung")</f>
        <v>Thanh Phung</v>
      </c>
      <c r="E454" s="190" t="str">
        <f>IFERROR(__xludf.DUMMYFUNCTION("""COMPUTED_VALUE"""),"Foundation")</f>
        <v>Foundation</v>
      </c>
      <c r="F454" s="190" t="str">
        <f>IFERROR(__xludf.DUMMYFUNCTION("""COMPUTED_VALUE"""),"Foundation")</f>
        <v>Foundation</v>
      </c>
      <c r="G454" s="190" t="str">
        <f>IFERROR(__xludf.DUMMYFUNCTION("""COMPUTED_VALUE"""),"Foundation")</f>
        <v>Foundation</v>
      </c>
      <c r="H454" s="219">
        <f>IFERROR(__xludf.DUMMYFUNCTION("""COMPUTED_VALUE"""),45916.45833333333)</f>
        <v>45916.45833</v>
      </c>
      <c r="I454" s="219">
        <f>IFERROR(__xludf.DUMMYFUNCTION("""COMPUTED_VALUE"""),45916.45833333333)</f>
        <v>45916.45833</v>
      </c>
      <c r="J454" s="190">
        <f>IFERROR(__xludf.DUMMYFUNCTION("""COMPUTED_VALUE"""),0.5)</f>
        <v>0.5</v>
      </c>
      <c r="K454" s="190">
        <f>IFERROR(__xludf.DUMMYFUNCTION("""COMPUTED_VALUE"""),0.5)</f>
        <v>0.5</v>
      </c>
      <c r="L454" s="190" t="str">
        <f>IFERROR(__xludf.DUMMYFUNCTION("""COMPUTED_VALUE"""),"GSD")</f>
        <v>GSD</v>
      </c>
      <c r="M454" s="190" t="str">
        <f>IFERROR(__xludf.DUMMYFUNCTION("""COMPUTED_VALUE"""),"POC")</f>
        <v>POC</v>
      </c>
      <c r="N454" s="220">
        <f>IFERROR(__xludf.DUMMYFUNCTION("""COMPUTED_VALUE"""),0.5)</f>
        <v>0.5</v>
      </c>
      <c r="O454" s="220">
        <f>IFERROR(__xludf.DUMMYFUNCTION("""COMPUTED_VALUE"""),0.5)</f>
        <v>0.5</v>
      </c>
      <c r="P454" s="229"/>
      <c r="R454" s="210"/>
      <c r="S454" s="210"/>
      <c r="T454" s="210"/>
      <c r="U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row>
    <row r="455">
      <c r="A455" s="223" t="str">
        <f>IFERROR(__xludf.DUMMYFUNCTION("""COMPUTED_VALUE"""),"217001")</f>
        <v>217001</v>
      </c>
      <c r="B455" s="190" t="str">
        <f>IFERROR(__xludf.DUMMYFUNCTION("""COMPUTED_VALUE"""),"NGUYỄN HỮU TRƯỜNG")</f>
        <v>NGUYỄN HỮU TRƯỜNG</v>
      </c>
      <c r="C455" s="223" t="str">
        <f>IFERROR(__xludf.DUMMYFUNCTION("""COMPUTED_VALUE"""),"EL040")</f>
        <v>EL040</v>
      </c>
      <c r="D455" s="223" t="str">
        <f>IFERROR(__xludf.DUMMYFUNCTION("""COMPUTED_VALUE"""),"Thanh Phung")</f>
        <v>Thanh Phung</v>
      </c>
      <c r="E455" s="190" t="str">
        <f>IFERROR(__xludf.DUMMYFUNCTION("""COMPUTED_VALUE"""),"Foundation")</f>
        <v>Foundation</v>
      </c>
      <c r="F455" s="190" t="str">
        <f>IFERROR(__xludf.DUMMYFUNCTION("""COMPUTED_VALUE"""),"Foundation")</f>
        <v>Foundation</v>
      </c>
      <c r="G455" s="190" t="str">
        <f>IFERROR(__xludf.DUMMYFUNCTION("""COMPUTED_VALUE"""),"Foundation")</f>
        <v>Foundation</v>
      </c>
      <c r="H455" s="219">
        <f>IFERROR(__xludf.DUMMYFUNCTION("""COMPUTED_VALUE"""),45916.45833333333)</f>
        <v>45916.45833</v>
      </c>
      <c r="I455" s="219">
        <f>IFERROR(__xludf.DUMMYFUNCTION("""COMPUTED_VALUE"""),45916.45833333333)</f>
        <v>45916.45833</v>
      </c>
      <c r="J455" s="190">
        <f>IFERROR(__xludf.DUMMYFUNCTION("""COMPUTED_VALUE"""),0.5)</f>
        <v>0.5</v>
      </c>
      <c r="K455" s="190">
        <f>IFERROR(__xludf.DUMMYFUNCTION("""COMPUTED_VALUE"""),0.5)</f>
        <v>0.5</v>
      </c>
      <c r="L455" s="190" t="str">
        <f>IFERROR(__xludf.DUMMYFUNCTION("""COMPUTED_VALUE"""),"GSD")</f>
        <v>GSD</v>
      </c>
      <c r="M455" s="190" t="str">
        <f>IFERROR(__xludf.DUMMYFUNCTION("""COMPUTED_VALUE"""),"CHORUS")</f>
        <v>CHORUS</v>
      </c>
      <c r="N455" s="220">
        <f>IFERROR(__xludf.DUMMYFUNCTION("""COMPUTED_VALUE"""),0.5)</f>
        <v>0.5</v>
      </c>
      <c r="O455" s="220">
        <f>IFERROR(__xludf.DUMMYFUNCTION("""COMPUTED_VALUE"""),0.5)</f>
        <v>0.5</v>
      </c>
      <c r="P455" s="220"/>
      <c r="R455" s="210"/>
      <c r="S455" s="210"/>
      <c r="T455" s="210"/>
      <c r="U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row>
    <row r="456">
      <c r="A456" s="223" t="str">
        <f>IFERROR(__xludf.DUMMYFUNCTION("""COMPUTED_VALUE"""),"247064")</f>
        <v>247064</v>
      </c>
      <c r="B456" s="190" t="str">
        <f>IFERROR(__xludf.DUMMYFUNCTION("""COMPUTED_VALUE"""),"NGUYỄN THỊ KIM OANH")</f>
        <v>NGUYỄN THỊ KIM OANH</v>
      </c>
      <c r="C456" s="223" t="str">
        <f>IFERROR(__xludf.DUMMYFUNCTION("""COMPUTED_VALUE"""),"EL040")</f>
        <v>EL040</v>
      </c>
      <c r="D456" s="223" t="str">
        <f>IFERROR(__xludf.DUMMYFUNCTION("""COMPUTED_VALUE"""),"Thanh Phung")</f>
        <v>Thanh Phung</v>
      </c>
      <c r="E456" s="190" t="str">
        <f>IFERROR(__xludf.DUMMYFUNCTION("""COMPUTED_VALUE"""),"Foundation")</f>
        <v>Foundation</v>
      </c>
      <c r="F456" s="190" t="str">
        <f>IFERROR(__xludf.DUMMYFUNCTION("""COMPUTED_VALUE"""),"Foundation")</f>
        <v>Foundation</v>
      </c>
      <c r="G456" s="190" t="str">
        <f>IFERROR(__xludf.DUMMYFUNCTION("""COMPUTED_VALUE"""),"Foundation")</f>
        <v>Foundation</v>
      </c>
      <c r="H456" s="219">
        <f>IFERROR(__xludf.DUMMYFUNCTION("""COMPUTED_VALUE"""),45916.45833333333)</f>
        <v>45916.45833</v>
      </c>
      <c r="I456" s="219">
        <f>IFERROR(__xludf.DUMMYFUNCTION("""COMPUTED_VALUE"""),45916.45833333333)</f>
        <v>45916.45833</v>
      </c>
      <c r="J456" s="190">
        <f>IFERROR(__xludf.DUMMYFUNCTION("""COMPUTED_VALUE"""),0.5)</f>
        <v>0.5</v>
      </c>
      <c r="K456" s="190">
        <f>IFERROR(__xludf.DUMMYFUNCTION("""COMPUTED_VALUE"""),0.5)</f>
        <v>0.5</v>
      </c>
      <c r="L456" s="190" t="str">
        <f>IFERROR(__xludf.DUMMYFUNCTION("""COMPUTED_VALUE"""),"GSD")</f>
        <v>GSD</v>
      </c>
      <c r="M456" s="190" t="str">
        <f>IFERROR(__xludf.DUMMYFUNCTION("""COMPUTED_VALUE"""),"POC")</f>
        <v>POC</v>
      </c>
      <c r="N456" s="220">
        <f>IFERROR(__xludf.DUMMYFUNCTION("""COMPUTED_VALUE"""),0.5)</f>
        <v>0.5</v>
      </c>
      <c r="O456" s="220">
        <f>IFERROR(__xludf.DUMMYFUNCTION("""COMPUTED_VALUE"""),0.5)</f>
        <v>0.5</v>
      </c>
      <c r="P456" s="220"/>
      <c r="R456" s="210"/>
      <c r="S456" s="210"/>
      <c r="T456" s="210"/>
      <c r="U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row>
    <row r="457">
      <c r="A457" s="223" t="str">
        <f>IFERROR(__xludf.DUMMYFUNCTION("""COMPUTED_VALUE"""),"227091")</f>
        <v>227091</v>
      </c>
      <c r="B457" s="190" t="str">
        <f>IFERROR(__xludf.DUMMYFUNCTION("""COMPUTED_VALUE"""),"NGUYỄN VŨ LUÂN")</f>
        <v>NGUYỄN VŨ LUÂN</v>
      </c>
      <c r="C457" s="223" t="str">
        <f>IFERROR(__xludf.DUMMYFUNCTION("""COMPUTED_VALUE"""),"EL040")</f>
        <v>EL040</v>
      </c>
      <c r="D457" s="223" t="str">
        <f>IFERROR(__xludf.DUMMYFUNCTION("""COMPUTED_VALUE"""),"Thanh Phung")</f>
        <v>Thanh Phung</v>
      </c>
      <c r="E457" s="190" t="str">
        <f>IFERROR(__xludf.DUMMYFUNCTION("""COMPUTED_VALUE"""),"Foundation")</f>
        <v>Foundation</v>
      </c>
      <c r="F457" s="190" t="str">
        <f>IFERROR(__xludf.DUMMYFUNCTION("""COMPUTED_VALUE"""),"Foundation")</f>
        <v>Foundation</v>
      </c>
      <c r="G457" s="190" t="str">
        <f>IFERROR(__xludf.DUMMYFUNCTION("""COMPUTED_VALUE"""),"Foundation")</f>
        <v>Foundation</v>
      </c>
      <c r="H457" s="219">
        <f>IFERROR(__xludf.DUMMYFUNCTION("""COMPUTED_VALUE"""),45916.45833333333)</f>
        <v>45916.45833</v>
      </c>
      <c r="I457" s="219">
        <f>IFERROR(__xludf.DUMMYFUNCTION("""COMPUTED_VALUE"""),45916.45833333333)</f>
        <v>45916.45833</v>
      </c>
      <c r="J457" s="190">
        <f>IFERROR(__xludf.DUMMYFUNCTION("""COMPUTED_VALUE"""),0.5)</f>
        <v>0.5</v>
      </c>
      <c r="K457" s="190">
        <f>IFERROR(__xludf.DUMMYFUNCTION("""COMPUTED_VALUE"""),0.5)</f>
        <v>0.5</v>
      </c>
      <c r="L457" s="190" t="str">
        <f>IFERROR(__xludf.DUMMYFUNCTION("""COMPUTED_VALUE"""),"GSD")</f>
        <v>GSD</v>
      </c>
      <c r="M457" s="190" t="str">
        <f>IFERROR(__xludf.DUMMYFUNCTION("""COMPUTED_VALUE"""),"POC")</f>
        <v>POC</v>
      </c>
      <c r="N457" s="220">
        <f>IFERROR(__xludf.DUMMYFUNCTION("""COMPUTED_VALUE"""),0.5)</f>
        <v>0.5</v>
      </c>
      <c r="O457" s="220">
        <f>IFERROR(__xludf.DUMMYFUNCTION("""COMPUTED_VALUE"""),0.5)</f>
        <v>0.5</v>
      </c>
      <c r="P457" s="220"/>
      <c r="R457" s="210"/>
      <c r="S457" s="210"/>
      <c r="T457" s="210"/>
      <c r="U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row>
    <row r="458">
      <c r="A458" s="223" t="str">
        <f>IFERROR(__xludf.DUMMYFUNCTION("""COMPUTED_VALUE"""),"193496")</f>
        <v>193496</v>
      </c>
      <c r="B458" s="190" t="str">
        <f>IFERROR(__xludf.DUMMYFUNCTION("""COMPUTED_VALUE"""),"PHẠM NGUYỄN TRƯỜNG BẢO")</f>
        <v>PHẠM NGUYỄN TRƯỜNG BẢO</v>
      </c>
      <c r="C458" s="223" t="str">
        <f>IFERROR(__xludf.DUMMYFUNCTION("""COMPUTED_VALUE"""),"EL040")</f>
        <v>EL040</v>
      </c>
      <c r="D458" s="223" t="str">
        <f>IFERROR(__xludf.DUMMYFUNCTION("""COMPUTED_VALUE"""),"Thanh Phung")</f>
        <v>Thanh Phung</v>
      </c>
      <c r="E458" s="190" t="str">
        <f>IFERROR(__xludf.DUMMYFUNCTION("""COMPUTED_VALUE"""),"Foundation")</f>
        <v>Foundation</v>
      </c>
      <c r="F458" s="190" t="str">
        <f>IFERROR(__xludf.DUMMYFUNCTION("""COMPUTED_VALUE"""),"Foundation")</f>
        <v>Foundation</v>
      </c>
      <c r="G458" s="190" t="str">
        <f>IFERROR(__xludf.DUMMYFUNCTION("""COMPUTED_VALUE"""),"Foundation")</f>
        <v>Foundation</v>
      </c>
      <c r="H458" s="219">
        <f>IFERROR(__xludf.DUMMYFUNCTION("""COMPUTED_VALUE"""),45916.45833333333)</f>
        <v>45916.45833</v>
      </c>
      <c r="I458" s="219">
        <f>IFERROR(__xludf.DUMMYFUNCTION("""COMPUTED_VALUE"""),45916.45833333333)</f>
        <v>45916.45833</v>
      </c>
      <c r="J458" s="190">
        <f>IFERROR(__xludf.DUMMYFUNCTION("""COMPUTED_VALUE"""),0.5)</f>
        <v>0.5</v>
      </c>
      <c r="K458" s="190">
        <f>IFERROR(__xludf.DUMMYFUNCTION("""COMPUTED_VALUE"""),0.5)</f>
        <v>0.5</v>
      </c>
      <c r="L458" s="190" t="str">
        <f>IFERROR(__xludf.DUMMYFUNCTION("""COMPUTED_VALUE"""),"GSD")</f>
        <v>GSD</v>
      </c>
      <c r="M458" s="190" t="str">
        <f>IFERROR(__xludf.DUMMYFUNCTION("""COMPUTED_VALUE"""),"POC")</f>
        <v>POC</v>
      </c>
      <c r="N458" s="220">
        <f>IFERROR(__xludf.DUMMYFUNCTION("""COMPUTED_VALUE"""),0.5)</f>
        <v>0.5</v>
      </c>
      <c r="O458" s="220">
        <f>IFERROR(__xludf.DUMMYFUNCTION("""COMPUTED_VALUE"""),0.5)</f>
        <v>0.5</v>
      </c>
      <c r="P458" s="220"/>
      <c r="R458" s="210"/>
      <c r="S458" s="210"/>
      <c r="T458" s="210"/>
      <c r="U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row>
    <row r="459">
      <c r="A459" s="223" t="str">
        <f>IFERROR(__xludf.DUMMYFUNCTION("""COMPUTED_VALUE"""),"193490")</f>
        <v>193490</v>
      </c>
      <c r="B459" s="190" t="str">
        <f>IFERROR(__xludf.DUMMYFUNCTION("""COMPUTED_VALUE"""),"PHAN GIA LỘC")</f>
        <v>PHAN GIA LỘC</v>
      </c>
      <c r="C459" s="223" t="str">
        <f>IFERROR(__xludf.DUMMYFUNCTION("""COMPUTED_VALUE"""),"EL040")</f>
        <v>EL040</v>
      </c>
      <c r="D459" s="223" t="str">
        <f>IFERROR(__xludf.DUMMYFUNCTION("""COMPUTED_VALUE"""),"Thanh Phung")</f>
        <v>Thanh Phung</v>
      </c>
      <c r="E459" s="190" t="str">
        <f>IFERROR(__xludf.DUMMYFUNCTION("""COMPUTED_VALUE"""),"Foundation")</f>
        <v>Foundation</v>
      </c>
      <c r="F459" s="190" t="str">
        <f>IFERROR(__xludf.DUMMYFUNCTION("""COMPUTED_VALUE"""),"Foundation")</f>
        <v>Foundation</v>
      </c>
      <c r="G459" s="190" t="str">
        <f>IFERROR(__xludf.DUMMYFUNCTION("""COMPUTED_VALUE"""),"Foundation")</f>
        <v>Foundation</v>
      </c>
      <c r="H459" s="219">
        <f>IFERROR(__xludf.DUMMYFUNCTION("""COMPUTED_VALUE"""),45916.45833333333)</f>
        <v>45916.45833</v>
      </c>
      <c r="I459" s="219">
        <f>IFERROR(__xludf.DUMMYFUNCTION("""COMPUTED_VALUE"""),45916.45833333333)</f>
        <v>45916.45833</v>
      </c>
      <c r="J459" s="190">
        <f>IFERROR(__xludf.DUMMYFUNCTION("""COMPUTED_VALUE"""),0.5)</f>
        <v>0.5</v>
      </c>
      <c r="K459" s="190">
        <f>IFERROR(__xludf.DUMMYFUNCTION("""COMPUTED_VALUE"""),0.5)</f>
        <v>0.5</v>
      </c>
      <c r="L459" s="190" t="str">
        <f>IFERROR(__xludf.DUMMYFUNCTION("""COMPUTED_VALUE"""),"GSD")</f>
        <v>GSD</v>
      </c>
      <c r="M459" s="190" t="str">
        <f>IFERROR(__xludf.DUMMYFUNCTION("""COMPUTED_VALUE"""),"POC")</f>
        <v>POC</v>
      </c>
      <c r="N459" s="220">
        <f>IFERROR(__xludf.DUMMYFUNCTION("""COMPUTED_VALUE"""),0.5)</f>
        <v>0.5</v>
      </c>
      <c r="O459" s="220">
        <f>IFERROR(__xludf.DUMMYFUNCTION("""COMPUTED_VALUE"""),0.5)</f>
        <v>0.5</v>
      </c>
      <c r="P459" s="220"/>
      <c r="R459" s="210"/>
      <c r="S459" s="210"/>
      <c r="T459" s="210"/>
      <c r="U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row>
    <row r="460">
      <c r="A460" s="223" t="str">
        <f>IFERROR(__xludf.DUMMYFUNCTION("""COMPUTED_VALUE"""),"133067")</f>
        <v>133067</v>
      </c>
      <c r="B460" s="190" t="str">
        <f>IFERROR(__xludf.DUMMYFUNCTION("""COMPUTED_VALUE"""),"NGUYEN DUY PHU")</f>
        <v>NGUYEN DUY PHU</v>
      </c>
      <c r="C460" s="223" t="str">
        <f>IFERROR(__xludf.DUMMYFUNCTION("""COMPUTED_VALUE"""),"EL041")</f>
        <v>EL041</v>
      </c>
      <c r="D460" s="223" t="str">
        <f>IFERROR(__xludf.DUMMYFUNCTION("""COMPUTED_VALUE"""),"Phu Nguyen")</f>
        <v>Phu Nguyen</v>
      </c>
      <c r="E460" s="190" t="str">
        <f>IFERROR(__xludf.DUMMYFUNCTION("""COMPUTED_VALUE"""),"Communication 1")</f>
        <v>Communication 1</v>
      </c>
      <c r="F460" s="190" t="str">
        <f>IFERROR(__xludf.DUMMYFUNCTION("""COMPUTED_VALUE"""),"Beginner")</f>
        <v>Beginner</v>
      </c>
      <c r="G460" s="190"/>
      <c r="H460" s="219">
        <f>IFERROR(__xludf.DUMMYFUNCTION("""COMPUTED_VALUE"""),45917.58333333333)</f>
        <v>45917.58333</v>
      </c>
      <c r="I460" s="219">
        <f>IFERROR(__xludf.DUMMYFUNCTION("""COMPUTED_VALUE"""),45917.58333333333)</f>
        <v>45917.58333</v>
      </c>
      <c r="J460" s="190">
        <f>IFERROR(__xludf.DUMMYFUNCTION("""COMPUTED_VALUE"""),1.0)</f>
        <v>1</v>
      </c>
      <c r="K460" s="190" t="str">
        <f>IFERROR(__xludf.DUMMYFUNCTION("""COMPUTED_VALUE"""),"")</f>
        <v/>
      </c>
      <c r="L460" s="190" t="str">
        <f>IFERROR(__xludf.DUMMYFUNCTION("""COMPUTED_VALUE"""),"GSD")</f>
        <v>GSD</v>
      </c>
      <c r="M460" s="190" t="str">
        <f>IFERROR(__xludf.DUMMYFUNCTION("""COMPUTED_VALUE"""),"POC")</f>
        <v>POC</v>
      </c>
      <c r="N460" s="220">
        <f>IFERROR(__xludf.DUMMYFUNCTION("""COMPUTED_VALUE"""),1.0)</f>
        <v>1</v>
      </c>
      <c r="O460" s="220">
        <f>IFERROR(__xludf.DUMMYFUNCTION("""COMPUTED_VALUE"""),0.0)</f>
        <v>0</v>
      </c>
      <c r="P460" s="220"/>
      <c r="R460" s="210"/>
      <c r="S460" s="210"/>
      <c r="T460" s="210"/>
      <c r="U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row>
    <row r="461">
      <c r="A461" s="223" t="str">
        <f>IFERROR(__xludf.DUMMYFUNCTION("""COMPUTED_VALUE"""),"203748")</f>
        <v>203748</v>
      </c>
      <c r="B461" s="190" t="str">
        <f>IFERROR(__xludf.DUMMYFUNCTION("""COMPUTED_VALUE"""),"LÂM MINH HOÀNG")</f>
        <v>LÂM MINH HOÀNG</v>
      </c>
      <c r="C461" s="223" t="str">
        <f>IFERROR(__xludf.DUMMYFUNCTION("""COMPUTED_VALUE"""),"EL041")</f>
        <v>EL041</v>
      </c>
      <c r="D461" s="223" t="str">
        <f>IFERROR(__xludf.DUMMYFUNCTION("""COMPUTED_VALUE"""),"Phu Nguyen")</f>
        <v>Phu Nguyen</v>
      </c>
      <c r="E461" s="190" t="str">
        <f>IFERROR(__xludf.DUMMYFUNCTION("""COMPUTED_VALUE"""),"Communication 1")</f>
        <v>Communication 1</v>
      </c>
      <c r="F461" s="190" t="str">
        <f>IFERROR(__xludf.DUMMYFUNCTION("""COMPUTED_VALUE"""),"Beginner")</f>
        <v>Beginner</v>
      </c>
      <c r="G461" s="190"/>
      <c r="H461" s="219">
        <f>IFERROR(__xludf.DUMMYFUNCTION("""COMPUTED_VALUE"""),45917.58333333333)</f>
        <v>45917.58333</v>
      </c>
      <c r="I461" s="219">
        <f>IFERROR(__xludf.DUMMYFUNCTION("""COMPUTED_VALUE"""),45917.58333333333)</f>
        <v>45917.58333</v>
      </c>
      <c r="J461" s="190">
        <f>IFERROR(__xludf.DUMMYFUNCTION("""COMPUTED_VALUE"""),1.0)</f>
        <v>1</v>
      </c>
      <c r="K461" s="190" t="str">
        <f>IFERROR(__xludf.DUMMYFUNCTION("""COMPUTED_VALUE"""),"")</f>
        <v/>
      </c>
      <c r="L461" s="190" t="str">
        <f>IFERROR(__xludf.DUMMYFUNCTION("""COMPUTED_VALUE"""),"GSD")</f>
        <v>GSD</v>
      </c>
      <c r="M461" s="190" t="str">
        <f>IFERROR(__xludf.DUMMYFUNCTION("""COMPUTED_VALUE"""),"POC")</f>
        <v>POC</v>
      </c>
      <c r="N461" s="220">
        <f>IFERROR(__xludf.DUMMYFUNCTION("""COMPUTED_VALUE"""),1.0)</f>
        <v>1</v>
      </c>
      <c r="O461" s="220">
        <f>IFERROR(__xludf.DUMMYFUNCTION("""COMPUTED_VALUE"""),0.0)</f>
        <v>0</v>
      </c>
      <c r="P461" s="220"/>
      <c r="R461" s="210"/>
      <c r="S461" s="210"/>
      <c r="T461" s="210"/>
      <c r="U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row>
    <row r="462">
      <c r="A462" s="223" t="str">
        <f>IFERROR(__xludf.DUMMYFUNCTION("""COMPUTED_VALUE"""),"257045")</f>
        <v>257045</v>
      </c>
      <c r="B462" s="190" t="str">
        <f>IFERROR(__xludf.DUMMYFUNCTION("""COMPUTED_VALUE"""),"NGUYỄN BẢO DUY")</f>
        <v>NGUYỄN BẢO DUY</v>
      </c>
      <c r="C462" s="223" t="str">
        <f>IFERROR(__xludf.DUMMYFUNCTION("""COMPUTED_VALUE"""),"EL041")</f>
        <v>EL041</v>
      </c>
      <c r="D462" s="223" t="str">
        <f>IFERROR(__xludf.DUMMYFUNCTION("""COMPUTED_VALUE"""),"Phu Nguyen")</f>
        <v>Phu Nguyen</v>
      </c>
      <c r="E462" s="190" t="str">
        <f>IFERROR(__xludf.DUMMYFUNCTION("""COMPUTED_VALUE"""),"Communication 1")</f>
        <v>Communication 1</v>
      </c>
      <c r="F462" s="190" t="str">
        <f>IFERROR(__xludf.DUMMYFUNCTION("""COMPUTED_VALUE"""),"Beginner")</f>
        <v>Beginner</v>
      </c>
      <c r="G462" s="190"/>
      <c r="H462" s="219">
        <f>IFERROR(__xludf.DUMMYFUNCTION("""COMPUTED_VALUE"""),45917.58333333333)</f>
        <v>45917.58333</v>
      </c>
      <c r="I462" s="219">
        <f>IFERROR(__xludf.DUMMYFUNCTION("""COMPUTED_VALUE"""),45917.58333333333)</f>
        <v>45917.58333</v>
      </c>
      <c r="J462" s="190">
        <f>IFERROR(__xludf.DUMMYFUNCTION("""COMPUTED_VALUE"""),1.0)</f>
        <v>1</v>
      </c>
      <c r="K462" s="190" t="str">
        <f>IFERROR(__xludf.DUMMYFUNCTION("""COMPUTED_VALUE"""),"")</f>
        <v/>
      </c>
      <c r="L462" s="190" t="str">
        <f>IFERROR(__xludf.DUMMYFUNCTION("""COMPUTED_VALUE"""),"GSD")</f>
        <v>GSD</v>
      </c>
      <c r="M462" s="190" t="str">
        <f>IFERROR(__xludf.DUMMYFUNCTION("""COMPUTED_VALUE"""),"TBU")</f>
        <v>TBU</v>
      </c>
      <c r="N462" s="220">
        <f>IFERROR(__xludf.DUMMYFUNCTION("""COMPUTED_VALUE"""),1.0)</f>
        <v>1</v>
      </c>
      <c r="O462" s="220">
        <f>IFERROR(__xludf.DUMMYFUNCTION("""COMPUTED_VALUE"""),0.0)</f>
        <v>0</v>
      </c>
      <c r="P462" s="220"/>
      <c r="R462" s="210"/>
      <c r="S462" s="210"/>
      <c r="T462" s="210"/>
      <c r="U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row>
    <row r="463">
      <c r="A463" s="223" t="str">
        <f>IFERROR(__xludf.DUMMYFUNCTION("""COMPUTED_VALUE"""),"227055")</f>
        <v>227055</v>
      </c>
      <c r="B463" s="190" t="str">
        <f>IFERROR(__xludf.DUMMYFUNCTION("""COMPUTED_VALUE"""),"NGUYỄN HOÀNG PHÚC")</f>
        <v>NGUYỄN HOÀNG PHÚC</v>
      </c>
      <c r="C463" s="223" t="str">
        <f>IFERROR(__xludf.DUMMYFUNCTION("""COMPUTED_VALUE"""),"EL041")</f>
        <v>EL041</v>
      </c>
      <c r="D463" s="223" t="str">
        <f>IFERROR(__xludf.DUMMYFUNCTION("""COMPUTED_VALUE"""),"Phu Nguyen")</f>
        <v>Phu Nguyen</v>
      </c>
      <c r="E463" s="190" t="str">
        <f>IFERROR(__xludf.DUMMYFUNCTION("""COMPUTED_VALUE"""),"Communication 1")</f>
        <v>Communication 1</v>
      </c>
      <c r="F463" s="190" t="str">
        <f>IFERROR(__xludf.DUMMYFUNCTION("""COMPUTED_VALUE"""),"Beginner")</f>
        <v>Beginner</v>
      </c>
      <c r="G463" s="190"/>
      <c r="H463" s="219">
        <f>IFERROR(__xludf.DUMMYFUNCTION("""COMPUTED_VALUE"""),45917.58333333333)</f>
        <v>45917.58333</v>
      </c>
      <c r="I463" s="219">
        <f>IFERROR(__xludf.DUMMYFUNCTION("""COMPUTED_VALUE"""),45917.58333333333)</f>
        <v>45917.58333</v>
      </c>
      <c r="J463" s="190">
        <f>IFERROR(__xludf.DUMMYFUNCTION("""COMPUTED_VALUE"""),1.0)</f>
        <v>1</v>
      </c>
      <c r="K463" s="190" t="str">
        <f>IFERROR(__xludf.DUMMYFUNCTION("""COMPUTED_VALUE"""),"")</f>
        <v/>
      </c>
      <c r="L463" s="190" t="str">
        <f>IFERROR(__xludf.DUMMYFUNCTION("""COMPUTED_VALUE"""),"GSD")</f>
        <v>GSD</v>
      </c>
      <c r="M463" s="190" t="str">
        <f>IFERROR(__xludf.DUMMYFUNCTION("""COMPUTED_VALUE"""),"TBU")</f>
        <v>TBU</v>
      </c>
      <c r="N463" s="220">
        <f>IFERROR(__xludf.DUMMYFUNCTION("""COMPUTED_VALUE"""),1.0)</f>
        <v>1</v>
      </c>
      <c r="O463" s="220">
        <f>IFERROR(__xludf.DUMMYFUNCTION("""COMPUTED_VALUE"""),0.0)</f>
        <v>0</v>
      </c>
      <c r="P463" s="220"/>
      <c r="R463" s="210"/>
      <c r="S463" s="210"/>
      <c r="T463" s="210"/>
      <c r="U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row>
    <row r="464">
      <c r="A464" s="223" t="str">
        <f>IFERROR(__xludf.DUMMYFUNCTION("""COMPUTED_VALUE"""),"213857")</f>
        <v>213857</v>
      </c>
      <c r="B464" s="190" t="str">
        <f>IFERROR(__xludf.DUMMYFUNCTION("""COMPUTED_VALUE"""),"NGUYỄN THÀNH NHÂN")</f>
        <v>NGUYỄN THÀNH NHÂN</v>
      </c>
      <c r="C464" s="223" t="str">
        <f>IFERROR(__xludf.DUMMYFUNCTION("""COMPUTED_VALUE"""),"EL041")</f>
        <v>EL041</v>
      </c>
      <c r="D464" s="223" t="str">
        <f>IFERROR(__xludf.DUMMYFUNCTION("""COMPUTED_VALUE"""),"Phu Nguyen")</f>
        <v>Phu Nguyen</v>
      </c>
      <c r="E464" s="190" t="str">
        <f>IFERROR(__xludf.DUMMYFUNCTION("""COMPUTED_VALUE"""),"Communication 1")</f>
        <v>Communication 1</v>
      </c>
      <c r="F464" s="190" t="str">
        <f>IFERROR(__xludf.DUMMYFUNCTION("""COMPUTED_VALUE"""),"Beginner")</f>
        <v>Beginner</v>
      </c>
      <c r="G464" s="190"/>
      <c r="H464" s="219">
        <f>IFERROR(__xludf.DUMMYFUNCTION("""COMPUTED_VALUE"""),45917.58333333333)</f>
        <v>45917.58333</v>
      </c>
      <c r="I464" s="219">
        <f>IFERROR(__xludf.DUMMYFUNCTION("""COMPUTED_VALUE"""),45917.58333333333)</f>
        <v>45917.58333</v>
      </c>
      <c r="J464" s="190">
        <f>IFERROR(__xludf.DUMMYFUNCTION("""COMPUTED_VALUE"""),1.0)</f>
        <v>1</v>
      </c>
      <c r="K464" s="190" t="str">
        <f>IFERROR(__xludf.DUMMYFUNCTION("""COMPUTED_VALUE"""),"")</f>
        <v/>
      </c>
      <c r="L464" s="190" t="str">
        <f>IFERROR(__xludf.DUMMYFUNCTION("""COMPUTED_VALUE"""),"GSD")</f>
        <v>GSD</v>
      </c>
      <c r="M464" s="190" t="str">
        <f>IFERROR(__xludf.DUMMYFUNCTION("""COMPUTED_VALUE"""),"POC")</f>
        <v>POC</v>
      </c>
      <c r="N464" s="220">
        <f>IFERROR(__xludf.DUMMYFUNCTION("""COMPUTED_VALUE"""),1.0)</f>
        <v>1</v>
      </c>
      <c r="O464" s="220">
        <f>IFERROR(__xludf.DUMMYFUNCTION("""COMPUTED_VALUE"""),0.0)</f>
        <v>0</v>
      </c>
      <c r="P464" s="220"/>
      <c r="R464" s="210"/>
      <c r="S464" s="210"/>
      <c r="T464" s="210"/>
      <c r="U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row>
    <row r="465">
      <c r="A465" s="223" t="str">
        <f>IFERROR(__xludf.DUMMYFUNCTION("""COMPUTED_VALUE"""),"173231")</f>
        <v>173231</v>
      </c>
      <c r="B465" s="190" t="str">
        <f>IFERROR(__xludf.DUMMYFUNCTION("""COMPUTED_VALUE"""),"NGUYỄN THANH TÙNG")</f>
        <v>NGUYỄN THANH TÙNG</v>
      </c>
      <c r="C465" s="223" t="str">
        <f>IFERROR(__xludf.DUMMYFUNCTION("""COMPUTED_VALUE"""),"EL041")</f>
        <v>EL041</v>
      </c>
      <c r="D465" s="223" t="str">
        <f>IFERROR(__xludf.DUMMYFUNCTION("""COMPUTED_VALUE"""),"Phu Nguyen")</f>
        <v>Phu Nguyen</v>
      </c>
      <c r="E465" s="190" t="str">
        <f>IFERROR(__xludf.DUMMYFUNCTION("""COMPUTED_VALUE"""),"Communication 1")</f>
        <v>Communication 1</v>
      </c>
      <c r="F465" s="190" t="str">
        <f>IFERROR(__xludf.DUMMYFUNCTION("""COMPUTED_VALUE"""),"Beginner")</f>
        <v>Beginner</v>
      </c>
      <c r="G465" s="190"/>
      <c r="H465" s="219">
        <f>IFERROR(__xludf.DUMMYFUNCTION("""COMPUTED_VALUE"""),45917.58333333333)</f>
        <v>45917.58333</v>
      </c>
      <c r="I465" s="219">
        <f>IFERROR(__xludf.DUMMYFUNCTION("""COMPUTED_VALUE"""),45917.58333333333)</f>
        <v>45917.58333</v>
      </c>
      <c r="J465" s="190">
        <f>IFERROR(__xludf.DUMMYFUNCTION("""COMPUTED_VALUE"""),1.0)</f>
        <v>1</v>
      </c>
      <c r="K465" s="190" t="str">
        <f>IFERROR(__xludf.DUMMYFUNCTION("""COMPUTED_VALUE"""),"")</f>
        <v/>
      </c>
      <c r="L465" s="190" t="str">
        <f>IFERROR(__xludf.DUMMYFUNCTION("""COMPUTED_VALUE"""),"GSD")</f>
        <v>GSD</v>
      </c>
      <c r="M465" s="190" t="str">
        <f>IFERROR(__xludf.DUMMYFUNCTION("""COMPUTED_VALUE"""),"POC")</f>
        <v>POC</v>
      </c>
      <c r="N465" s="220">
        <f>IFERROR(__xludf.DUMMYFUNCTION("""COMPUTED_VALUE"""),1.0)</f>
        <v>1</v>
      </c>
      <c r="O465" s="220">
        <f>IFERROR(__xludf.DUMMYFUNCTION("""COMPUTED_VALUE"""),0.0)</f>
        <v>0</v>
      </c>
      <c r="P465" s="220"/>
      <c r="R465" s="210"/>
      <c r="S465" s="210"/>
      <c r="T465" s="210"/>
      <c r="U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row>
    <row r="466">
      <c r="A466" s="223" t="str">
        <f>IFERROR(__xludf.DUMMYFUNCTION("""COMPUTED_VALUE"""),"193607")</f>
        <v>193607</v>
      </c>
      <c r="B466" s="190" t="str">
        <f>IFERROR(__xludf.DUMMYFUNCTION("""COMPUTED_VALUE"""),"NGUYỄN TRẦN MINH NGHĨA")</f>
        <v>NGUYỄN TRẦN MINH NGHĨA</v>
      </c>
      <c r="C466" s="223" t="str">
        <f>IFERROR(__xludf.DUMMYFUNCTION("""COMPUTED_VALUE"""),"EL041")</f>
        <v>EL041</v>
      </c>
      <c r="D466" s="223" t="str">
        <f>IFERROR(__xludf.DUMMYFUNCTION("""COMPUTED_VALUE"""),"Phu Nguyen")</f>
        <v>Phu Nguyen</v>
      </c>
      <c r="E466" s="190" t="str">
        <f>IFERROR(__xludf.DUMMYFUNCTION("""COMPUTED_VALUE"""),"Communication 1")</f>
        <v>Communication 1</v>
      </c>
      <c r="F466" s="190" t="str">
        <f>IFERROR(__xludf.DUMMYFUNCTION("""COMPUTED_VALUE"""),"Beginner")</f>
        <v>Beginner</v>
      </c>
      <c r="G466" s="190"/>
      <c r="H466" s="219">
        <f>IFERROR(__xludf.DUMMYFUNCTION("""COMPUTED_VALUE"""),45917.58333333333)</f>
        <v>45917.58333</v>
      </c>
      <c r="I466" s="219">
        <f>IFERROR(__xludf.DUMMYFUNCTION("""COMPUTED_VALUE"""),45917.58333333333)</f>
        <v>45917.58333</v>
      </c>
      <c r="J466" s="190">
        <f>IFERROR(__xludf.DUMMYFUNCTION("""COMPUTED_VALUE"""),1.0)</f>
        <v>1</v>
      </c>
      <c r="K466" s="190" t="str">
        <f>IFERROR(__xludf.DUMMYFUNCTION("""COMPUTED_VALUE"""),"")</f>
        <v/>
      </c>
      <c r="L466" s="190" t="str">
        <f>IFERROR(__xludf.DUMMYFUNCTION("""COMPUTED_VALUE"""),"GSD")</f>
        <v>GSD</v>
      </c>
      <c r="M466" s="190" t="str">
        <f>IFERROR(__xludf.DUMMYFUNCTION("""COMPUTED_VALUE"""),"TBU")</f>
        <v>TBU</v>
      </c>
      <c r="N466" s="220">
        <f>IFERROR(__xludf.DUMMYFUNCTION("""COMPUTED_VALUE"""),1.0)</f>
        <v>1</v>
      </c>
      <c r="O466" s="220">
        <f>IFERROR(__xludf.DUMMYFUNCTION("""COMPUTED_VALUE"""),0.0)</f>
        <v>0</v>
      </c>
      <c r="P466" s="220"/>
      <c r="R466" s="210"/>
      <c r="S466" s="210"/>
      <c r="T466" s="210"/>
      <c r="U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row>
    <row r="467">
      <c r="A467" s="223" t="str">
        <f>IFERROR(__xludf.DUMMYFUNCTION("""COMPUTED_VALUE"""),"153139")</f>
        <v>153139</v>
      </c>
      <c r="B467" s="190" t="str">
        <f>IFERROR(__xludf.DUMMYFUNCTION("""COMPUTED_VALUE"""),"NGUYEN TRUNG NGHIA")</f>
        <v>NGUYEN TRUNG NGHIA</v>
      </c>
      <c r="C467" s="223" t="str">
        <f>IFERROR(__xludf.DUMMYFUNCTION("""COMPUTED_VALUE"""),"EL041")</f>
        <v>EL041</v>
      </c>
      <c r="D467" s="223" t="str">
        <f>IFERROR(__xludf.DUMMYFUNCTION("""COMPUTED_VALUE"""),"Phu Nguyen")</f>
        <v>Phu Nguyen</v>
      </c>
      <c r="E467" s="190" t="str">
        <f>IFERROR(__xludf.DUMMYFUNCTION("""COMPUTED_VALUE"""),"Communication 1")</f>
        <v>Communication 1</v>
      </c>
      <c r="F467" s="190" t="str">
        <f>IFERROR(__xludf.DUMMYFUNCTION("""COMPUTED_VALUE"""),"Beginner")</f>
        <v>Beginner</v>
      </c>
      <c r="G467" s="190"/>
      <c r="H467" s="219">
        <f>IFERROR(__xludf.DUMMYFUNCTION("""COMPUTED_VALUE"""),45917.58333333333)</f>
        <v>45917.58333</v>
      </c>
      <c r="I467" s="219">
        <f>IFERROR(__xludf.DUMMYFUNCTION("""COMPUTED_VALUE"""),45917.58333333333)</f>
        <v>45917.58333</v>
      </c>
      <c r="J467" s="190">
        <f>IFERROR(__xludf.DUMMYFUNCTION("""COMPUTED_VALUE"""),1.0)</f>
        <v>1</v>
      </c>
      <c r="K467" s="190" t="str">
        <f>IFERROR(__xludf.DUMMYFUNCTION("""COMPUTED_VALUE"""),"")</f>
        <v/>
      </c>
      <c r="L467" s="190" t="str">
        <f>IFERROR(__xludf.DUMMYFUNCTION("""COMPUTED_VALUE"""),"BA")</f>
        <v>BA</v>
      </c>
      <c r="M467" s="190" t="str">
        <f>IFERROR(__xludf.DUMMYFUNCTION("""COMPUTED_VALUE"""),"POC")</f>
        <v>POC</v>
      </c>
      <c r="N467" s="220">
        <f>IFERROR(__xludf.DUMMYFUNCTION("""COMPUTED_VALUE"""),1.0)</f>
        <v>1</v>
      </c>
      <c r="O467" s="220">
        <f>IFERROR(__xludf.DUMMYFUNCTION("""COMPUTED_VALUE"""),0.0)</f>
        <v>0</v>
      </c>
      <c r="P467" s="220"/>
      <c r="R467" s="210"/>
      <c r="S467" s="210"/>
      <c r="T467" s="210"/>
      <c r="U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row>
    <row r="468">
      <c r="A468" s="223" t="str">
        <f>IFERROR(__xludf.DUMMYFUNCTION("""COMPUTED_VALUE"""),"193550")</f>
        <v>193550</v>
      </c>
      <c r="B468" s="190" t="str">
        <f>IFERROR(__xludf.DUMMYFUNCTION("""COMPUTED_VALUE"""),"PHẠM TƯỜNG NHÂN")</f>
        <v>PHẠM TƯỜNG NHÂN</v>
      </c>
      <c r="C468" s="223" t="str">
        <f>IFERROR(__xludf.DUMMYFUNCTION("""COMPUTED_VALUE"""),"EL041")</f>
        <v>EL041</v>
      </c>
      <c r="D468" s="223" t="str">
        <f>IFERROR(__xludf.DUMMYFUNCTION("""COMPUTED_VALUE"""),"Phu Nguyen")</f>
        <v>Phu Nguyen</v>
      </c>
      <c r="E468" s="190" t="str">
        <f>IFERROR(__xludf.DUMMYFUNCTION("""COMPUTED_VALUE"""),"Communication 1")</f>
        <v>Communication 1</v>
      </c>
      <c r="F468" s="190" t="str">
        <f>IFERROR(__xludf.DUMMYFUNCTION("""COMPUTED_VALUE"""),"Beginner")</f>
        <v>Beginner</v>
      </c>
      <c r="G468" s="190"/>
      <c r="H468" s="219">
        <f>IFERROR(__xludf.DUMMYFUNCTION("""COMPUTED_VALUE"""),45917.58333333333)</f>
        <v>45917.58333</v>
      </c>
      <c r="I468" s="219">
        <f>IFERROR(__xludf.DUMMYFUNCTION("""COMPUTED_VALUE"""),45917.58333333333)</f>
        <v>45917.58333</v>
      </c>
      <c r="J468" s="190">
        <f>IFERROR(__xludf.DUMMYFUNCTION("""COMPUTED_VALUE"""),1.0)</f>
        <v>1</v>
      </c>
      <c r="K468" s="190" t="str">
        <f>IFERROR(__xludf.DUMMYFUNCTION("""COMPUTED_VALUE"""),"")</f>
        <v/>
      </c>
      <c r="L468" s="190" t="str">
        <f>IFERROR(__xludf.DUMMYFUNCTION("""COMPUTED_VALUE"""),"GSD")</f>
        <v>GSD</v>
      </c>
      <c r="M468" s="190" t="str">
        <f>IFERROR(__xludf.DUMMYFUNCTION("""COMPUTED_VALUE"""),"TBU")</f>
        <v>TBU</v>
      </c>
      <c r="N468" s="220">
        <f>IFERROR(__xludf.DUMMYFUNCTION("""COMPUTED_VALUE"""),1.0)</f>
        <v>1</v>
      </c>
      <c r="O468" s="220">
        <f>IFERROR(__xludf.DUMMYFUNCTION("""COMPUTED_VALUE"""),0.0)</f>
        <v>0</v>
      </c>
      <c r="P468" s="220"/>
      <c r="R468" s="210"/>
      <c r="S468" s="210"/>
      <c r="T468" s="210"/>
      <c r="U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row>
    <row r="469">
      <c r="A469" s="223" t="str">
        <f>IFERROR(__xludf.DUMMYFUNCTION("""COMPUTED_VALUE"""),"247102")</f>
        <v>247102</v>
      </c>
      <c r="B469" s="190" t="str">
        <f>IFERROR(__xludf.DUMMYFUNCTION("""COMPUTED_VALUE"""),"TRẦN ĐỨC VINH")</f>
        <v>TRẦN ĐỨC VINH</v>
      </c>
      <c r="C469" s="223" t="str">
        <f>IFERROR(__xludf.DUMMYFUNCTION("""COMPUTED_VALUE"""),"EL042")</f>
        <v>EL042</v>
      </c>
      <c r="D469" s="223" t="str">
        <f>IFERROR(__xludf.DUMMYFUNCTION("""COMPUTED_VALUE"""),"Vinh Tran")</f>
        <v>Vinh Tran</v>
      </c>
      <c r="E469" s="190" t="str">
        <f>IFERROR(__xludf.DUMMYFUNCTION("""COMPUTED_VALUE"""),"Communication 1")</f>
        <v>Communication 1</v>
      </c>
      <c r="F469" s="190" t="str">
        <f>IFERROR(__xludf.DUMMYFUNCTION("""COMPUTED_VALUE"""),"Beginner")</f>
        <v>Beginner</v>
      </c>
      <c r="G469" s="190" t="str">
        <f>IFERROR(__xludf.DUMMYFUNCTION("""COMPUTED_VALUE"""),"Pre-Intermediate 2")</f>
        <v>Pre-Intermediate 2</v>
      </c>
      <c r="H469" s="219">
        <f>IFERROR(__xludf.DUMMYFUNCTION("""COMPUTED_VALUE"""),45909.54166666667)</f>
        <v>45909.54167</v>
      </c>
      <c r="I469" s="219">
        <f>IFERROR(__xludf.DUMMYFUNCTION("""COMPUTED_VALUE"""),45909.54166666667)</f>
        <v>45909.54167</v>
      </c>
      <c r="J469" s="190">
        <f>IFERROR(__xludf.DUMMYFUNCTION("""COMPUTED_VALUE"""),1.0)</f>
        <v>1</v>
      </c>
      <c r="K469" s="190">
        <f>IFERROR(__xludf.DUMMYFUNCTION("""COMPUTED_VALUE"""),3.5)</f>
        <v>3.5</v>
      </c>
      <c r="L469" s="190" t="str">
        <f>IFERROR(__xludf.DUMMYFUNCTION("""COMPUTED_VALUE"""),"GSD")</f>
        <v>GSD</v>
      </c>
      <c r="M469" s="190" t="str">
        <f>IFERROR(__xludf.DUMMYFUNCTION("""COMPUTED_VALUE"""),"POC")</f>
        <v>POC</v>
      </c>
      <c r="N469" s="220">
        <f>IFERROR(__xludf.DUMMYFUNCTION("""COMPUTED_VALUE"""),1.0)</f>
        <v>1</v>
      </c>
      <c r="O469" s="220">
        <f>IFERROR(__xludf.DUMMYFUNCTION("""COMPUTED_VALUE"""),3.5)</f>
        <v>3.5</v>
      </c>
      <c r="P469" s="220"/>
      <c r="R469" s="210"/>
      <c r="S469" s="210"/>
      <c r="T469" s="210"/>
      <c r="U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row>
    <row r="470">
      <c r="A470" s="223" t="str">
        <f>IFERROR(__xludf.DUMMYFUNCTION("""COMPUTED_VALUE"""),"247063")</f>
        <v>247063</v>
      </c>
      <c r="B470" s="190" t="str">
        <f>IFERROR(__xludf.DUMMYFUNCTION("""COMPUTED_VALUE"""),"GIANG KHIẾT ĐÌNH")</f>
        <v>GIANG KHIẾT ĐÌNH</v>
      </c>
      <c r="C470" s="223" t="str">
        <f>IFERROR(__xludf.DUMMYFUNCTION("""COMPUTED_VALUE"""),"EL042")</f>
        <v>EL042</v>
      </c>
      <c r="D470" s="223" t="str">
        <f>IFERROR(__xludf.DUMMYFUNCTION("""COMPUTED_VALUE"""),"Vinh Tran")</f>
        <v>Vinh Tran</v>
      </c>
      <c r="E470" s="190" t="str">
        <f>IFERROR(__xludf.DUMMYFUNCTION("""COMPUTED_VALUE"""),"Communication 1")</f>
        <v>Communication 1</v>
      </c>
      <c r="F470" s="190" t="str">
        <f>IFERROR(__xludf.DUMMYFUNCTION("""COMPUTED_VALUE"""),"Beginner")</f>
        <v>Beginner</v>
      </c>
      <c r="G470" s="190" t="str">
        <f>IFERROR(__xludf.DUMMYFUNCTION("""COMPUTED_VALUE"""),"Pre-Intermediate 1")</f>
        <v>Pre-Intermediate 1</v>
      </c>
      <c r="H470" s="219">
        <f>IFERROR(__xludf.DUMMYFUNCTION("""COMPUTED_VALUE"""),45909.54166666667)</f>
        <v>45909.54167</v>
      </c>
      <c r="I470" s="219">
        <f>IFERROR(__xludf.DUMMYFUNCTION("""COMPUTED_VALUE"""),45909.54166666667)</f>
        <v>45909.54167</v>
      </c>
      <c r="J470" s="190">
        <f>IFERROR(__xludf.DUMMYFUNCTION("""COMPUTED_VALUE"""),1.0)</f>
        <v>1</v>
      </c>
      <c r="K470" s="190">
        <f>IFERROR(__xludf.DUMMYFUNCTION("""COMPUTED_VALUE"""),3.0)</f>
        <v>3</v>
      </c>
      <c r="L470" s="190" t="str">
        <f>IFERROR(__xludf.DUMMYFUNCTION("""COMPUTED_VALUE"""),"GSD")</f>
        <v>GSD</v>
      </c>
      <c r="M470" s="190" t="str">
        <f>IFERROR(__xludf.DUMMYFUNCTION("""COMPUTED_VALUE"""),"POC")</f>
        <v>POC</v>
      </c>
      <c r="N470" s="220">
        <f>IFERROR(__xludf.DUMMYFUNCTION("""COMPUTED_VALUE"""),1.0)</f>
        <v>1</v>
      </c>
      <c r="O470" s="220">
        <f>IFERROR(__xludf.DUMMYFUNCTION("""COMPUTED_VALUE"""),3.0)</f>
        <v>3</v>
      </c>
      <c r="P470" s="220"/>
      <c r="R470" s="210"/>
      <c r="S470" s="210"/>
      <c r="T470" s="210"/>
      <c r="U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row>
    <row r="471">
      <c r="A471" s="223" t="str">
        <f>IFERROR(__xludf.DUMMYFUNCTION("""COMPUTED_VALUE"""),"227218")</f>
        <v>227218</v>
      </c>
      <c r="B471" s="190" t="str">
        <f>IFERROR(__xludf.DUMMYFUNCTION("""COMPUTED_VALUE"""),"NGUYỄN HOÀNG BẢO TRÂN")</f>
        <v>NGUYỄN HOÀNG BẢO TRÂN</v>
      </c>
      <c r="C471" s="223" t="str">
        <f>IFERROR(__xludf.DUMMYFUNCTION("""COMPUTED_VALUE"""),"EL042")</f>
        <v>EL042</v>
      </c>
      <c r="D471" s="223" t="str">
        <f>IFERROR(__xludf.DUMMYFUNCTION("""COMPUTED_VALUE"""),"Vinh Tran")</f>
        <v>Vinh Tran</v>
      </c>
      <c r="E471" s="190" t="str">
        <f>IFERROR(__xludf.DUMMYFUNCTION("""COMPUTED_VALUE"""),"Communication 1")</f>
        <v>Communication 1</v>
      </c>
      <c r="F471" s="190" t="str">
        <f>IFERROR(__xludf.DUMMYFUNCTION("""COMPUTED_VALUE"""),"Beginner")</f>
        <v>Beginner</v>
      </c>
      <c r="G471" s="190" t="str">
        <f>IFERROR(__xludf.DUMMYFUNCTION("""COMPUTED_VALUE"""),"Pre-Intermediate 1")</f>
        <v>Pre-Intermediate 1</v>
      </c>
      <c r="H471" s="219">
        <f>IFERROR(__xludf.DUMMYFUNCTION("""COMPUTED_VALUE"""),45909.54166666667)</f>
        <v>45909.54167</v>
      </c>
      <c r="I471" s="219">
        <f>IFERROR(__xludf.DUMMYFUNCTION("""COMPUTED_VALUE"""),45909.54166666667)</f>
        <v>45909.54167</v>
      </c>
      <c r="J471" s="190">
        <f>IFERROR(__xludf.DUMMYFUNCTION("""COMPUTED_VALUE"""),1.0)</f>
        <v>1</v>
      </c>
      <c r="K471" s="190">
        <f>IFERROR(__xludf.DUMMYFUNCTION("""COMPUTED_VALUE"""),3.0)</f>
        <v>3</v>
      </c>
      <c r="L471" s="190" t="str">
        <f>IFERROR(__xludf.DUMMYFUNCTION("""COMPUTED_VALUE"""),"GSD")</f>
        <v>GSD</v>
      </c>
      <c r="M471" s="190" t="str">
        <f>IFERROR(__xludf.DUMMYFUNCTION("""COMPUTED_VALUE"""),"POC")</f>
        <v>POC</v>
      </c>
      <c r="N471" s="220">
        <f>IFERROR(__xludf.DUMMYFUNCTION("""COMPUTED_VALUE"""),1.0)</f>
        <v>1</v>
      </c>
      <c r="O471" s="220">
        <f>IFERROR(__xludf.DUMMYFUNCTION("""COMPUTED_VALUE"""),3.0)</f>
        <v>3</v>
      </c>
      <c r="P471" s="220"/>
      <c r="R471" s="210"/>
      <c r="S471" s="210"/>
      <c r="T471" s="210"/>
      <c r="U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row>
    <row r="472">
      <c r="A472" s="223" t="str">
        <f>IFERROR(__xludf.DUMMYFUNCTION("""COMPUTED_VALUE"""),"227035")</f>
        <v>227035</v>
      </c>
      <c r="B472" s="190" t="str">
        <f>IFERROR(__xludf.DUMMYFUNCTION("""COMPUTED_VALUE"""),"NGUYỄN NHẬT HÀO")</f>
        <v>NGUYỄN NHẬT HÀO</v>
      </c>
      <c r="C472" s="223" t="str">
        <f>IFERROR(__xludf.DUMMYFUNCTION("""COMPUTED_VALUE"""),"EL042")</f>
        <v>EL042</v>
      </c>
      <c r="D472" s="223" t="str">
        <f>IFERROR(__xludf.DUMMYFUNCTION("""COMPUTED_VALUE"""),"Vinh Tran")</f>
        <v>Vinh Tran</v>
      </c>
      <c r="E472" s="190" t="str">
        <f>IFERROR(__xludf.DUMMYFUNCTION("""COMPUTED_VALUE"""),"Communication 1")</f>
        <v>Communication 1</v>
      </c>
      <c r="F472" s="190" t="str">
        <f>IFERROR(__xludf.DUMMYFUNCTION("""COMPUTED_VALUE"""),"Beginner")</f>
        <v>Beginner</v>
      </c>
      <c r="G472" s="190" t="str">
        <f>IFERROR(__xludf.DUMMYFUNCTION("""COMPUTED_VALUE"""),"Pre-Intermediate 1")</f>
        <v>Pre-Intermediate 1</v>
      </c>
      <c r="H472" s="219">
        <f>IFERROR(__xludf.DUMMYFUNCTION("""COMPUTED_VALUE"""),45909.54166666667)</f>
        <v>45909.54167</v>
      </c>
      <c r="I472" s="219">
        <f>IFERROR(__xludf.DUMMYFUNCTION("""COMPUTED_VALUE"""),45765.375)</f>
        <v>45765.375</v>
      </c>
      <c r="J472" s="190">
        <f>IFERROR(__xludf.DUMMYFUNCTION("""COMPUTED_VALUE"""),1.0)</f>
        <v>1</v>
      </c>
      <c r="K472" s="190">
        <f>IFERROR(__xludf.DUMMYFUNCTION("""COMPUTED_VALUE"""),3.0)</f>
        <v>3</v>
      </c>
      <c r="L472" s="190" t="str">
        <f>IFERROR(__xludf.DUMMYFUNCTION("""COMPUTED_VALUE"""),"DEV")</f>
        <v>DEV</v>
      </c>
      <c r="M472" s="190" t="str">
        <f>IFERROR(__xludf.DUMMYFUNCTION("""COMPUTED_VALUE"""),"LBU")</f>
        <v>LBU</v>
      </c>
      <c r="N472" s="220">
        <f>IFERROR(__xludf.DUMMYFUNCTION("""COMPUTED_VALUE"""),1.0)</f>
        <v>1</v>
      </c>
      <c r="O472" s="220">
        <f>IFERROR(__xludf.DUMMYFUNCTION("""COMPUTED_VALUE"""),3.0)</f>
        <v>3</v>
      </c>
      <c r="P472" s="220"/>
      <c r="R472" s="210"/>
      <c r="S472" s="210"/>
      <c r="T472" s="210"/>
      <c r="U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row>
    <row r="473">
      <c r="A473" s="223" t="str">
        <f>IFERROR(__xludf.DUMMYFUNCTION("""COMPUTED_VALUE"""),"247062")</f>
        <v>247062</v>
      </c>
      <c r="B473" s="190" t="str">
        <f>IFERROR(__xludf.DUMMYFUNCTION("""COMPUTED_VALUE"""),"NGUYỄN THẾ ANH")</f>
        <v>NGUYỄN THẾ ANH</v>
      </c>
      <c r="C473" s="223" t="str">
        <f>IFERROR(__xludf.DUMMYFUNCTION("""COMPUTED_VALUE"""),"EL042")</f>
        <v>EL042</v>
      </c>
      <c r="D473" s="223" t="str">
        <f>IFERROR(__xludf.DUMMYFUNCTION("""COMPUTED_VALUE"""),"Vinh Tran")</f>
        <v>Vinh Tran</v>
      </c>
      <c r="E473" s="190" t="str">
        <f>IFERROR(__xludf.DUMMYFUNCTION("""COMPUTED_VALUE"""),"Communication 1")</f>
        <v>Communication 1</v>
      </c>
      <c r="F473" s="190" t="str">
        <f>IFERROR(__xludf.DUMMYFUNCTION("""COMPUTED_VALUE"""),"Beginner")</f>
        <v>Beginner</v>
      </c>
      <c r="G473" s="190" t="str">
        <f>IFERROR(__xludf.DUMMYFUNCTION("""COMPUTED_VALUE"""),"Pre-Intermediate 2")</f>
        <v>Pre-Intermediate 2</v>
      </c>
      <c r="H473" s="219">
        <f>IFERROR(__xludf.DUMMYFUNCTION("""COMPUTED_VALUE"""),45909.54166666667)</f>
        <v>45909.54167</v>
      </c>
      <c r="I473" s="219">
        <f>IFERROR(__xludf.DUMMYFUNCTION("""COMPUTED_VALUE"""),45909.54166666667)</f>
        <v>45909.54167</v>
      </c>
      <c r="J473" s="190">
        <f>IFERROR(__xludf.DUMMYFUNCTION("""COMPUTED_VALUE"""),1.0)</f>
        <v>1</v>
      </c>
      <c r="K473" s="190">
        <f>IFERROR(__xludf.DUMMYFUNCTION("""COMPUTED_VALUE"""),3.5)</f>
        <v>3.5</v>
      </c>
      <c r="L473" s="190" t="str">
        <f>IFERROR(__xludf.DUMMYFUNCTION("""COMPUTED_VALUE"""),"GSD")</f>
        <v>GSD</v>
      </c>
      <c r="M473" s="190" t="str">
        <f>IFERROR(__xludf.DUMMYFUNCTION("""COMPUTED_VALUE"""),"POC")</f>
        <v>POC</v>
      </c>
      <c r="N473" s="220">
        <f>IFERROR(__xludf.DUMMYFUNCTION("""COMPUTED_VALUE"""),1.0)</f>
        <v>1</v>
      </c>
      <c r="O473" s="220">
        <f>IFERROR(__xludf.DUMMYFUNCTION("""COMPUTED_VALUE"""),3.5)</f>
        <v>3.5</v>
      </c>
      <c r="P473" s="220"/>
      <c r="R473" s="210"/>
      <c r="S473" s="210"/>
      <c r="T473" s="210"/>
      <c r="U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row>
    <row r="474">
      <c r="A474" s="223" t="str">
        <f>IFERROR(__xludf.DUMMYFUNCTION("""COMPUTED_VALUE"""),"247147")</f>
        <v>247147</v>
      </c>
      <c r="B474" s="190" t="str">
        <f>IFERROR(__xludf.DUMMYFUNCTION("""COMPUTED_VALUE"""),"PHẠM LÊ QUỲNH HƯƠNG")</f>
        <v>PHẠM LÊ QUỲNH HƯƠNG</v>
      </c>
      <c r="C474" s="223" t="str">
        <f>IFERROR(__xludf.DUMMYFUNCTION("""COMPUTED_VALUE"""),"EL042")</f>
        <v>EL042</v>
      </c>
      <c r="D474" s="223" t="str">
        <f>IFERROR(__xludf.DUMMYFUNCTION("""COMPUTED_VALUE"""),"Vinh Tran")</f>
        <v>Vinh Tran</v>
      </c>
      <c r="E474" s="190" t="str">
        <f>IFERROR(__xludf.DUMMYFUNCTION("""COMPUTED_VALUE"""),"Communication 1")</f>
        <v>Communication 1</v>
      </c>
      <c r="F474" s="190" t="str">
        <f>IFERROR(__xludf.DUMMYFUNCTION("""COMPUTED_VALUE"""),"Beginner")</f>
        <v>Beginner</v>
      </c>
      <c r="G474" s="190" t="str">
        <f>IFERROR(__xludf.DUMMYFUNCTION("""COMPUTED_VALUE"""),"Pre-Intermediate 2")</f>
        <v>Pre-Intermediate 2</v>
      </c>
      <c r="H474" s="219">
        <f>IFERROR(__xludf.DUMMYFUNCTION("""COMPUTED_VALUE"""),45909.54166666667)</f>
        <v>45909.54167</v>
      </c>
      <c r="I474" s="219">
        <f>IFERROR(__xludf.DUMMYFUNCTION("""COMPUTED_VALUE"""),45909.54166666667)</f>
        <v>45909.54167</v>
      </c>
      <c r="J474" s="190">
        <f>IFERROR(__xludf.DUMMYFUNCTION("""COMPUTED_VALUE"""),1.0)</f>
        <v>1</v>
      </c>
      <c r="K474" s="190">
        <f>IFERROR(__xludf.DUMMYFUNCTION("""COMPUTED_VALUE"""),3.5)</f>
        <v>3.5</v>
      </c>
      <c r="L474" s="190" t="str">
        <f>IFERROR(__xludf.DUMMYFUNCTION("""COMPUTED_VALUE"""),"GSD")</f>
        <v>GSD</v>
      </c>
      <c r="M474" s="190" t="str">
        <f>IFERROR(__xludf.DUMMYFUNCTION("""COMPUTED_VALUE"""),"POC")</f>
        <v>POC</v>
      </c>
      <c r="N474" s="220">
        <f>IFERROR(__xludf.DUMMYFUNCTION("""COMPUTED_VALUE"""),1.0)</f>
        <v>1</v>
      </c>
      <c r="O474" s="220">
        <f>IFERROR(__xludf.DUMMYFUNCTION("""COMPUTED_VALUE"""),3.5)</f>
        <v>3.5</v>
      </c>
      <c r="P474" s="220"/>
      <c r="R474" s="210"/>
      <c r="S474" s="210"/>
      <c r="T474" s="210"/>
      <c r="U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row>
    <row r="475">
      <c r="A475" s="223" t="str">
        <f>IFERROR(__xludf.DUMMYFUNCTION("""COMPUTED_VALUE"""),"247102")</f>
        <v>247102</v>
      </c>
      <c r="B475" s="190" t="str">
        <f>IFERROR(__xludf.DUMMYFUNCTION("""COMPUTED_VALUE"""),"TRẦN ĐỨC VINH")</f>
        <v>TRẦN ĐỨC VINH</v>
      </c>
      <c r="C475" s="223" t="str">
        <f>IFERROR(__xludf.DUMMYFUNCTION("""COMPUTED_VALUE"""),"EL042")</f>
        <v>EL042</v>
      </c>
      <c r="D475" s="223" t="str">
        <f>IFERROR(__xludf.DUMMYFUNCTION("""COMPUTED_VALUE"""),"Vinh Tran")</f>
        <v>Vinh Tran</v>
      </c>
      <c r="E475" s="190" t="str">
        <f>IFERROR(__xludf.DUMMYFUNCTION("""COMPUTED_VALUE"""),"Communication 2")</f>
        <v>Communication 2</v>
      </c>
      <c r="F475" s="190" t="str">
        <f>IFERROR(__xludf.DUMMYFUNCTION("""COMPUTED_VALUE"""),"Pre-Intermediate 2")</f>
        <v>Pre-Intermediate 2</v>
      </c>
      <c r="G475" s="190"/>
      <c r="H475" s="219">
        <f>IFERROR(__xludf.DUMMYFUNCTION("""COMPUTED_VALUE"""),46093.54166666667)</f>
        <v>46093.54167</v>
      </c>
      <c r="I475" s="219">
        <f>IFERROR(__xludf.DUMMYFUNCTION("""COMPUTED_VALUE"""),45909.54166666667)</f>
        <v>45909.54167</v>
      </c>
      <c r="J475" s="190">
        <f>IFERROR(__xludf.DUMMYFUNCTION("""COMPUTED_VALUE"""),3.5)</f>
        <v>3.5</v>
      </c>
      <c r="K475" s="190" t="str">
        <f>IFERROR(__xludf.DUMMYFUNCTION("""COMPUTED_VALUE"""),"")</f>
        <v/>
      </c>
      <c r="L475" s="190" t="str">
        <f>IFERROR(__xludf.DUMMYFUNCTION("""COMPUTED_VALUE"""),"GSD")</f>
        <v>GSD</v>
      </c>
      <c r="M475" s="190" t="str">
        <f>IFERROR(__xludf.DUMMYFUNCTION("""COMPUTED_VALUE"""),"POC")</f>
        <v>POC</v>
      </c>
      <c r="N475" s="220">
        <f>IFERROR(__xludf.DUMMYFUNCTION("""COMPUTED_VALUE"""),1.0)</f>
        <v>1</v>
      </c>
      <c r="O475" s="220">
        <f>IFERROR(__xludf.DUMMYFUNCTION("""COMPUTED_VALUE"""),3.5)</f>
        <v>3.5</v>
      </c>
      <c r="P475" s="220"/>
      <c r="R475" s="210"/>
      <c r="S475" s="210"/>
      <c r="T475" s="210"/>
      <c r="U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row>
    <row r="476">
      <c r="A476" s="223" t="str">
        <f>IFERROR(__xludf.DUMMYFUNCTION("""COMPUTED_VALUE"""),"247063")</f>
        <v>247063</v>
      </c>
      <c r="B476" s="190" t="str">
        <f>IFERROR(__xludf.DUMMYFUNCTION("""COMPUTED_VALUE"""),"GIANG KHIẾT ĐÌNH")</f>
        <v>GIANG KHIẾT ĐÌNH</v>
      </c>
      <c r="C476" s="223" t="str">
        <f>IFERROR(__xludf.DUMMYFUNCTION("""COMPUTED_VALUE"""),"EL042")</f>
        <v>EL042</v>
      </c>
      <c r="D476" s="223" t="str">
        <f>IFERROR(__xludf.DUMMYFUNCTION("""COMPUTED_VALUE"""),"Vinh Tran")</f>
        <v>Vinh Tran</v>
      </c>
      <c r="E476" s="190" t="str">
        <f>IFERROR(__xludf.DUMMYFUNCTION("""COMPUTED_VALUE"""),"Communication 2")</f>
        <v>Communication 2</v>
      </c>
      <c r="F476" s="190" t="str">
        <f>IFERROR(__xludf.DUMMYFUNCTION("""COMPUTED_VALUE"""),"Pre-Intermediate 1")</f>
        <v>Pre-Intermediate 1</v>
      </c>
      <c r="G476" s="190"/>
      <c r="H476" s="219">
        <f>IFERROR(__xludf.DUMMYFUNCTION("""COMPUTED_VALUE"""),46093.54166666667)</f>
        <v>46093.54167</v>
      </c>
      <c r="I476" s="219">
        <f>IFERROR(__xludf.DUMMYFUNCTION("""COMPUTED_VALUE"""),45909.54166666667)</f>
        <v>45909.54167</v>
      </c>
      <c r="J476" s="190">
        <f>IFERROR(__xludf.DUMMYFUNCTION("""COMPUTED_VALUE"""),3.0)</f>
        <v>3</v>
      </c>
      <c r="K476" s="190" t="str">
        <f>IFERROR(__xludf.DUMMYFUNCTION("""COMPUTED_VALUE"""),"")</f>
        <v/>
      </c>
      <c r="L476" s="190" t="str">
        <f>IFERROR(__xludf.DUMMYFUNCTION("""COMPUTED_VALUE"""),"GSD")</f>
        <v>GSD</v>
      </c>
      <c r="M476" s="190" t="str">
        <f>IFERROR(__xludf.DUMMYFUNCTION("""COMPUTED_VALUE"""),"POC")</f>
        <v>POC</v>
      </c>
      <c r="N476" s="220">
        <f>IFERROR(__xludf.DUMMYFUNCTION("""COMPUTED_VALUE"""),1.0)</f>
        <v>1</v>
      </c>
      <c r="O476" s="220">
        <f>IFERROR(__xludf.DUMMYFUNCTION("""COMPUTED_VALUE"""),3.0)</f>
        <v>3</v>
      </c>
      <c r="P476" s="220"/>
      <c r="R476" s="210"/>
      <c r="S476" s="210"/>
      <c r="T476" s="210"/>
      <c r="U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row>
    <row r="477">
      <c r="A477" s="223" t="str">
        <f>IFERROR(__xludf.DUMMYFUNCTION("""COMPUTED_VALUE"""),"227218")</f>
        <v>227218</v>
      </c>
      <c r="B477" s="190" t="str">
        <f>IFERROR(__xludf.DUMMYFUNCTION("""COMPUTED_VALUE"""),"NGUYỄN HOÀNG BẢO TRÂN")</f>
        <v>NGUYỄN HOÀNG BẢO TRÂN</v>
      </c>
      <c r="C477" s="223" t="str">
        <f>IFERROR(__xludf.DUMMYFUNCTION("""COMPUTED_VALUE"""),"EL042")</f>
        <v>EL042</v>
      </c>
      <c r="D477" s="223" t="str">
        <f>IFERROR(__xludf.DUMMYFUNCTION("""COMPUTED_VALUE"""),"Vinh Tran")</f>
        <v>Vinh Tran</v>
      </c>
      <c r="E477" s="190" t="str">
        <f>IFERROR(__xludf.DUMMYFUNCTION("""COMPUTED_VALUE"""),"Communication 2")</f>
        <v>Communication 2</v>
      </c>
      <c r="F477" s="190" t="str">
        <f>IFERROR(__xludf.DUMMYFUNCTION("""COMPUTED_VALUE"""),"Pre-Intermediate 1")</f>
        <v>Pre-Intermediate 1</v>
      </c>
      <c r="G477" s="190"/>
      <c r="H477" s="219">
        <f>IFERROR(__xludf.DUMMYFUNCTION("""COMPUTED_VALUE"""),46093.54166666667)</f>
        <v>46093.54167</v>
      </c>
      <c r="I477" s="219">
        <f>IFERROR(__xludf.DUMMYFUNCTION("""COMPUTED_VALUE"""),45909.54166666667)</f>
        <v>45909.54167</v>
      </c>
      <c r="J477" s="190">
        <f>IFERROR(__xludf.DUMMYFUNCTION("""COMPUTED_VALUE"""),3.0)</f>
        <v>3</v>
      </c>
      <c r="K477" s="190" t="str">
        <f>IFERROR(__xludf.DUMMYFUNCTION("""COMPUTED_VALUE"""),"")</f>
        <v/>
      </c>
      <c r="L477" s="190" t="str">
        <f>IFERROR(__xludf.DUMMYFUNCTION("""COMPUTED_VALUE"""),"GSD")</f>
        <v>GSD</v>
      </c>
      <c r="M477" s="190" t="str">
        <f>IFERROR(__xludf.DUMMYFUNCTION("""COMPUTED_VALUE"""),"POC")</f>
        <v>POC</v>
      </c>
      <c r="N477" s="220">
        <f>IFERROR(__xludf.DUMMYFUNCTION("""COMPUTED_VALUE"""),1.0)</f>
        <v>1</v>
      </c>
      <c r="O477" s="220">
        <f>IFERROR(__xludf.DUMMYFUNCTION("""COMPUTED_VALUE"""),3.0)</f>
        <v>3</v>
      </c>
      <c r="P477" s="220"/>
      <c r="R477" s="210"/>
      <c r="S477" s="210"/>
      <c r="T477" s="210"/>
      <c r="U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row>
    <row r="478">
      <c r="A478" s="223" t="str">
        <f>IFERROR(__xludf.DUMMYFUNCTION("""COMPUTED_VALUE"""),"227035")</f>
        <v>227035</v>
      </c>
      <c r="B478" s="190" t="str">
        <f>IFERROR(__xludf.DUMMYFUNCTION("""COMPUTED_VALUE"""),"NGUYỄN NHẬT HÀO")</f>
        <v>NGUYỄN NHẬT HÀO</v>
      </c>
      <c r="C478" s="223" t="str">
        <f>IFERROR(__xludf.DUMMYFUNCTION("""COMPUTED_VALUE"""),"EL042")</f>
        <v>EL042</v>
      </c>
      <c r="D478" s="223" t="str">
        <f>IFERROR(__xludf.DUMMYFUNCTION("""COMPUTED_VALUE"""),"Vinh Tran")</f>
        <v>Vinh Tran</v>
      </c>
      <c r="E478" s="190" t="str">
        <f>IFERROR(__xludf.DUMMYFUNCTION("""COMPUTED_VALUE"""),"Communication 2")</f>
        <v>Communication 2</v>
      </c>
      <c r="F478" s="190" t="str">
        <f>IFERROR(__xludf.DUMMYFUNCTION("""COMPUTED_VALUE"""),"Pre-Intermediate 1")</f>
        <v>Pre-Intermediate 1</v>
      </c>
      <c r="G478" s="190"/>
      <c r="H478" s="219">
        <f>IFERROR(__xludf.DUMMYFUNCTION("""COMPUTED_VALUE"""),46093.54166666667)</f>
        <v>46093.54167</v>
      </c>
      <c r="I478" s="219">
        <f>IFERROR(__xludf.DUMMYFUNCTION("""COMPUTED_VALUE"""),45765.375)</f>
        <v>45765.375</v>
      </c>
      <c r="J478" s="190">
        <f>IFERROR(__xludf.DUMMYFUNCTION("""COMPUTED_VALUE"""),3.0)</f>
        <v>3</v>
      </c>
      <c r="K478" s="190" t="str">
        <f>IFERROR(__xludf.DUMMYFUNCTION("""COMPUTED_VALUE"""),"")</f>
        <v/>
      </c>
      <c r="L478" s="190" t="str">
        <f>IFERROR(__xludf.DUMMYFUNCTION("""COMPUTED_VALUE"""),"DEV")</f>
        <v>DEV</v>
      </c>
      <c r="M478" s="190" t="str">
        <f>IFERROR(__xludf.DUMMYFUNCTION("""COMPUTED_VALUE"""),"LBU")</f>
        <v>LBU</v>
      </c>
      <c r="N478" s="220">
        <f>IFERROR(__xludf.DUMMYFUNCTION("""COMPUTED_VALUE"""),1.0)</f>
        <v>1</v>
      </c>
      <c r="O478" s="220">
        <f>IFERROR(__xludf.DUMMYFUNCTION("""COMPUTED_VALUE"""),3.0)</f>
        <v>3</v>
      </c>
      <c r="P478" s="220"/>
      <c r="R478" s="210"/>
      <c r="S478" s="210"/>
      <c r="T478" s="210"/>
      <c r="U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row>
    <row r="479">
      <c r="A479" s="223" t="str">
        <f>IFERROR(__xludf.DUMMYFUNCTION("""COMPUTED_VALUE"""),"247062")</f>
        <v>247062</v>
      </c>
      <c r="B479" s="190" t="str">
        <f>IFERROR(__xludf.DUMMYFUNCTION("""COMPUTED_VALUE"""),"NGUYỄN THẾ ANH")</f>
        <v>NGUYỄN THẾ ANH</v>
      </c>
      <c r="C479" s="223" t="str">
        <f>IFERROR(__xludf.DUMMYFUNCTION("""COMPUTED_VALUE"""),"EL042")</f>
        <v>EL042</v>
      </c>
      <c r="D479" s="223" t="str">
        <f>IFERROR(__xludf.DUMMYFUNCTION("""COMPUTED_VALUE"""),"Vinh Tran")</f>
        <v>Vinh Tran</v>
      </c>
      <c r="E479" s="190" t="str">
        <f>IFERROR(__xludf.DUMMYFUNCTION("""COMPUTED_VALUE"""),"Communication 2")</f>
        <v>Communication 2</v>
      </c>
      <c r="F479" s="190" t="str">
        <f>IFERROR(__xludf.DUMMYFUNCTION("""COMPUTED_VALUE"""),"Pre-Intermediate 2")</f>
        <v>Pre-Intermediate 2</v>
      </c>
      <c r="G479" s="190"/>
      <c r="H479" s="219">
        <f>IFERROR(__xludf.DUMMYFUNCTION("""COMPUTED_VALUE"""),46093.54166666667)</f>
        <v>46093.54167</v>
      </c>
      <c r="I479" s="219">
        <f>IFERROR(__xludf.DUMMYFUNCTION("""COMPUTED_VALUE"""),45909.54166666667)</f>
        <v>45909.54167</v>
      </c>
      <c r="J479" s="190">
        <f>IFERROR(__xludf.DUMMYFUNCTION("""COMPUTED_VALUE"""),3.5)</f>
        <v>3.5</v>
      </c>
      <c r="K479" s="190" t="str">
        <f>IFERROR(__xludf.DUMMYFUNCTION("""COMPUTED_VALUE"""),"")</f>
        <v/>
      </c>
      <c r="L479" s="190" t="str">
        <f>IFERROR(__xludf.DUMMYFUNCTION("""COMPUTED_VALUE"""),"GSD")</f>
        <v>GSD</v>
      </c>
      <c r="M479" s="190" t="str">
        <f>IFERROR(__xludf.DUMMYFUNCTION("""COMPUTED_VALUE"""),"POC")</f>
        <v>POC</v>
      </c>
      <c r="N479" s="220">
        <f>IFERROR(__xludf.DUMMYFUNCTION("""COMPUTED_VALUE"""),1.0)</f>
        <v>1</v>
      </c>
      <c r="O479" s="220">
        <f>IFERROR(__xludf.DUMMYFUNCTION("""COMPUTED_VALUE"""),3.5)</f>
        <v>3.5</v>
      </c>
      <c r="P479" s="220"/>
      <c r="R479" s="210"/>
      <c r="S479" s="210"/>
      <c r="T479" s="210"/>
      <c r="U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row>
    <row r="480">
      <c r="A480" s="223" t="str">
        <f>IFERROR(__xludf.DUMMYFUNCTION("""COMPUTED_VALUE"""),"247147")</f>
        <v>247147</v>
      </c>
      <c r="B480" s="190" t="str">
        <f>IFERROR(__xludf.DUMMYFUNCTION("""COMPUTED_VALUE"""),"PHẠM LÊ QUỲNH HƯƠNG")</f>
        <v>PHẠM LÊ QUỲNH HƯƠNG</v>
      </c>
      <c r="C480" s="223" t="str">
        <f>IFERROR(__xludf.DUMMYFUNCTION("""COMPUTED_VALUE"""),"EL042")</f>
        <v>EL042</v>
      </c>
      <c r="D480" s="223" t="str">
        <f>IFERROR(__xludf.DUMMYFUNCTION("""COMPUTED_VALUE"""),"Vinh Tran")</f>
        <v>Vinh Tran</v>
      </c>
      <c r="E480" s="190" t="str">
        <f>IFERROR(__xludf.DUMMYFUNCTION("""COMPUTED_VALUE"""),"Communication 2")</f>
        <v>Communication 2</v>
      </c>
      <c r="F480" s="190" t="str">
        <f>IFERROR(__xludf.DUMMYFUNCTION("""COMPUTED_VALUE"""),"Pre-Intermediate 2")</f>
        <v>Pre-Intermediate 2</v>
      </c>
      <c r="G480" s="190"/>
      <c r="H480" s="219">
        <f>IFERROR(__xludf.DUMMYFUNCTION("""COMPUTED_VALUE"""),46093.54166666667)</f>
        <v>46093.54167</v>
      </c>
      <c r="I480" s="219">
        <f>IFERROR(__xludf.DUMMYFUNCTION("""COMPUTED_VALUE"""),45909.54166666667)</f>
        <v>45909.54167</v>
      </c>
      <c r="J480" s="190">
        <f>IFERROR(__xludf.DUMMYFUNCTION("""COMPUTED_VALUE"""),3.5)</f>
        <v>3.5</v>
      </c>
      <c r="K480" s="190" t="str">
        <f>IFERROR(__xludf.DUMMYFUNCTION("""COMPUTED_VALUE"""),"")</f>
        <v/>
      </c>
      <c r="L480" s="190" t="str">
        <f>IFERROR(__xludf.DUMMYFUNCTION("""COMPUTED_VALUE"""),"GSD")</f>
        <v>GSD</v>
      </c>
      <c r="M480" s="190" t="str">
        <f>IFERROR(__xludf.DUMMYFUNCTION("""COMPUTED_VALUE"""),"POC")</f>
        <v>POC</v>
      </c>
      <c r="N480" s="220">
        <f>IFERROR(__xludf.DUMMYFUNCTION("""COMPUTED_VALUE"""),1.0)</f>
        <v>1</v>
      </c>
      <c r="O480" s="220">
        <f>IFERROR(__xludf.DUMMYFUNCTION("""COMPUTED_VALUE"""),3.5)</f>
        <v>3.5</v>
      </c>
      <c r="P480" s="220"/>
      <c r="R480" s="210"/>
      <c r="S480" s="210"/>
      <c r="T480" s="210"/>
      <c r="U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row>
    <row r="481">
      <c r="A481" s="223" t="str">
        <f>IFERROR(__xludf.DUMMYFUNCTION("""COMPUTED_VALUE"""),"237072")</f>
        <v>237072</v>
      </c>
      <c r="B481" s="190" t="str">
        <f>IFERROR(__xludf.DUMMYFUNCTION("""COMPUTED_VALUE"""),"NGUYỄN MINH LIÊN")</f>
        <v>NGUYỄN MINH LIÊN</v>
      </c>
      <c r="C481" s="223" t="str">
        <f>IFERROR(__xludf.DUMMYFUNCTION("""COMPUTED_VALUE"""),"EL043")</f>
        <v>EL043</v>
      </c>
      <c r="D481" s="223" t="str">
        <f>IFERROR(__xludf.DUMMYFUNCTION("""COMPUTED_VALUE"""),"Liên Nguyễn")</f>
        <v>Liên Nguyễn</v>
      </c>
      <c r="E481" s="190" t="str">
        <f>IFERROR(__xludf.DUMMYFUNCTION("""COMPUTED_VALUE"""),"Foundation")</f>
        <v>Foundation</v>
      </c>
      <c r="F481" s="190" t="str">
        <f>IFERROR(__xludf.DUMMYFUNCTION("""COMPUTED_VALUE"""),"Foundation")</f>
        <v>Foundation</v>
      </c>
      <c r="G481" s="190" t="str">
        <f>IFERROR(__xludf.DUMMYFUNCTION("""COMPUTED_VALUE"""),"Foundation")</f>
        <v>Foundation</v>
      </c>
      <c r="H481" s="219">
        <f>IFERROR(__xludf.DUMMYFUNCTION("""COMPUTED_VALUE"""),45917.58333333333)</f>
        <v>45917.58333</v>
      </c>
      <c r="I481" s="219">
        <f>IFERROR(__xludf.DUMMYFUNCTION("""COMPUTED_VALUE"""),45917.58333333333)</f>
        <v>45917.58333</v>
      </c>
      <c r="J481" s="190">
        <f>IFERROR(__xludf.DUMMYFUNCTION("""COMPUTED_VALUE"""),0.5)</f>
        <v>0.5</v>
      </c>
      <c r="K481" s="190">
        <f>IFERROR(__xludf.DUMMYFUNCTION("""COMPUTED_VALUE"""),0.5)</f>
        <v>0.5</v>
      </c>
      <c r="L481" s="190" t="str">
        <f>IFERROR(__xludf.DUMMYFUNCTION("""COMPUTED_VALUE"""),"GSD")</f>
        <v>GSD</v>
      </c>
      <c r="M481" s="190" t="str">
        <f>IFERROR(__xludf.DUMMYFUNCTION("""COMPUTED_VALUE"""),"TBU")</f>
        <v>TBU</v>
      </c>
      <c r="N481" s="220">
        <f>IFERROR(__xludf.DUMMYFUNCTION("""COMPUTED_VALUE"""),0.5)</f>
        <v>0.5</v>
      </c>
      <c r="O481" s="220">
        <f>IFERROR(__xludf.DUMMYFUNCTION("""COMPUTED_VALUE"""),0.5)</f>
        <v>0.5</v>
      </c>
      <c r="P481" s="220"/>
      <c r="R481" s="210"/>
      <c r="S481" s="210"/>
      <c r="T481" s="210"/>
      <c r="U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row>
    <row r="482">
      <c r="A482" s="223" t="str">
        <f>IFERROR(__xludf.DUMMYFUNCTION("""COMPUTED_VALUE"""),"213881")</f>
        <v>213881</v>
      </c>
      <c r="B482" s="190" t="str">
        <f>IFERROR(__xludf.DUMMYFUNCTION("""COMPUTED_VALUE"""),"ĐẶNG GIA LỘC")</f>
        <v>ĐẶNG GIA LỘC</v>
      </c>
      <c r="C482" s="223" t="str">
        <f>IFERROR(__xludf.DUMMYFUNCTION("""COMPUTED_VALUE"""),"EL043")</f>
        <v>EL043</v>
      </c>
      <c r="D482" s="223" t="str">
        <f>IFERROR(__xludf.DUMMYFUNCTION("""COMPUTED_VALUE"""),"Liên Nguyễn")</f>
        <v>Liên Nguyễn</v>
      </c>
      <c r="E482" s="190" t="str">
        <f>IFERROR(__xludf.DUMMYFUNCTION("""COMPUTED_VALUE"""),"Foundation")</f>
        <v>Foundation</v>
      </c>
      <c r="F482" s="190" t="str">
        <f>IFERROR(__xludf.DUMMYFUNCTION("""COMPUTED_VALUE"""),"Foundation")</f>
        <v>Foundation</v>
      </c>
      <c r="G482" s="190" t="str">
        <f>IFERROR(__xludf.DUMMYFUNCTION("""COMPUTED_VALUE"""),"Foundation")</f>
        <v>Foundation</v>
      </c>
      <c r="H482" s="219">
        <f>IFERROR(__xludf.DUMMYFUNCTION("""COMPUTED_VALUE"""),45917.58333333333)</f>
        <v>45917.58333</v>
      </c>
      <c r="I482" s="219">
        <f>IFERROR(__xludf.DUMMYFUNCTION("""COMPUTED_VALUE"""),45805.375)</f>
        <v>45805.375</v>
      </c>
      <c r="J482" s="190">
        <f>IFERROR(__xludf.DUMMYFUNCTION("""COMPUTED_VALUE"""),0.5)</f>
        <v>0.5</v>
      </c>
      <c r="K482" s="190">
        <f>IFERROR(__xludf.DUMMYFUNCTION("""COMPUTED_VALUE"""),0.5)</f>
        <v>0.5</v>
      </c>
      <c r="L482" s="190" t="str">
        <f>IFERROR(__xludf.DUMMYFUNCTION("""COMPUTED_VALUE"""),"DEV")</f>
        <v>DEV</v>
      </c>
      <c r="M482" s="190" t="str">
        <f>IFERROR(__xludf.DUMMYFUNCTION("""COMPUTED_VALUE"""),"MOC")</f>
        <v>MOC</v>
      </c>
      <c r="N482" s="220">
        <f>IFERROR(__xludf.DUMMYFUNCTION("""COMPUTED_VALUE"""),0.5)</f>
        <v>0.5</v>
      </c>
      <c r="O482" s="220">
        <f>IFERROR(__xludf.DUMMYFUNCTION("""COMPUTED_VALUE"""),0.5)</f>
        <v>0.5</v>
      </c>
      <c r="P482" s="220"/>
      <c r="R482" s="210"/>
      <c r="S482" s="210"/>
      <c r="T482" s="210"/>
      <c r="U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row>
    <row r="483">
      <c r="A483" s="223" t="str">
        <f>IFERROR(__xludf.DUMMYFUNCTION("""COMPUTED_VALUE"""),"213844")</f>
        <v>213844</v>
      </c>
      <c r="B483" s="190" t="str">
        <f>IFERROR(__xludf.DUMMYFUNCTION("""COMPUTED_VALUE"""),"LÊ MINH HY")</f>
        <v>LÊ MINH HY</v>
      </c>
      <c r="C483" s="223" t="str">
        <f>IFERROR(__xludf.DUMMYFUNCTION("""COMPUTED_VALUE"""),"EL043")</f>
        <v>EL043</v>
      </c>
      <c r="D483" s="223" t="str">
        <f>IFERROR(__xludf.DUMMYFUNCTION("""COMPUTED_VALUE"""),"Liên Nguyễn")</f>
        <v>Liên Nguyễn</v>
      </c>
      <c r="E483" s="190" t="str">
        <f>IFERROR(__xludf.DUMMYFUNCTION("""COMPUTED_VALUE"""),"Foundation")</f>
        <v>Foundation</v>
      </c>
      <c r="F483" s="190" t="str">
        <f>IFERROR(__xludf.DUMMYFUNCTION("""COMPUTED_VALUE"""),"Foundation")</f>
        <v>Foundation</v>
      </c>
      <c r="G483" s="190" t="str">
        <f>IFERROR(__xludf.DUMMYFUNCTION("""COMPUTED_VALUE"""),"Beginner")</f>
        <v>Beginner</v>
      </c>
      <c r="H483" s="219">
        <f>IFERROR(__xludf.DUMMYFUNCTION("""COMPUTED_VALUE"""),45917.58333333333)</f>
        <v>45917.58333</v>
      </c>
      <c r="I483" s="219">
        <f>IFERROR(__xludf.DUMMYFUNCTION("""COMPUTED_VALUE"""),45917.58333333333)</f>
        <v>45917.58333</v>
      </c>
      <c r="J483" s="190">
        <f>IFERROR(__xludf.DUMMYFUNCTION("""COMPUTED_VALUE"""),0.5)</f>
        <v>0.5</v>
      </c>
      <c r="K483" s="190">
        <f>IFERROR(__xludf.DUMMYFUNCTION("""COMPUTED_VALUE"""),1.0)</f>
        <v>1</v>
      </c>
      <c r="L483" s="190" t="str">
        <f>IFERROR(__xludf.DUMMYFUNCTION("""COMPUTED_VALUE"""),"DEV")</f>
        <v>DEV</v>
      </c>
      <c r="M483" s="190" t="str">
        <f>IFERROR(__xludf.DUMMYFUNCTION("""COMPUTED_VALUE"""),"MOC")</f>
        <v>MOC</v>
      </c>
      <c r="N483" s="220">
        <f>IFERROR(__xludf.DUMMYFUNCTION("""COMPUTED_VALUE"""),0.5)</f>
        <v>0.5</v>
      </c>
      <c r="O483" s="220">
        <f>IFERROR(__xludf.DUMMYFUNCTION("""COMPUTED_VALUE"""),1.0)</f>
        <v>1</v>
      </c>
      <c r="P483" s="220"/>
      <c r="R483" s="210"/>
      <c r="S483" s="210"/>
      <c r="T483" s="210"/>
      <c r="U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row>
    <row r="484">
      <c r="A484" s="223" t="str">
        <f>IFERROR(__xludf.DUMMYFUNCTION("""COMPUTED_VALUE"""),"213929")</f>
        <v>213929</v>
      </c>
      <c r="B484" s="190" t="str">
        <f>IFERROR(__xludf.DUMMYFUNCTION("""COMPUTED_VALUE"""),"LE MINH TRUONG")</f>
        <v>LE MINH TRUONG</v>
      </c>
      <c r="C484" s="223" t="str">
        <f>IFERROR(__xludf.DUMMYFUNCTION("""COMPUTED_VALUE"""),"EL043")</f>
        <v>EL043</v>
      </c>
      <c r="D484" s="223" t="str">
        <f>IFERROR(__xludf.DUMMYFUNCTION("""COMPUTED_VALUE"""),"Liên Nguyễn")</f>
        <v>Liên Nguyễn</v>
      </c>
      <c r="E484" s="190" t="str">
        <f>IFERROR(__xludf.DUMMYFUNCTION("""COMPUTED_VALUE"""),"Foundation")</f>
        <v>Foundation</v>
      </c>
      <c r="F484" s="190" t="str">
        <f>IFERROR(__xludf.DUMMYFUNCTION("""COMPUTED_VALUE"""),"Foundation")</f>
        <v>Foundation</v>
      </c>
      <c r="G484" s="190" t="str">
        <f>IFERROR(__xludf.DUMMYFUNCTION("""COMPUTED_VALUE"""),"Beginner")</f>
        <v>Beginner</v>
      </c>
      <c r="H484" s="219">
        <f>IFERROR(__xludf.DUMMYFUNCTION("""COMPUTED_VALUE"""),45917.58333333333)</f>
        <v>45917.58333</v>
      </c>
      <c r="I484" s="219">
        <f>IFERROR(__xludf.DUMMYFUNCTION("""COMPUTED_VALUE"""),45715.58333333333)</f>
        <v>45715.58333</v>
      </c>
      <c r="J484" s="190">
        <f>IFERROR(__xludf.DUMMYFUNCTION("""COMPUTED_VALUE"""),0.5)</f>
        <v>0.5</v>
      </c>
      <c r="K484" s="190">
        <f>IFERROR(__xludf.DUMMYFUNCTION("""COMPUTED_VALUE"""),1.0)</f>
        <v>1</v>
      </c>
      <c r="L484" s="190" t="str">
        <f>IFERROR(__xludf.DUMMYFUNCTION("""COMPUTED_VALUE"""),"GSD")</f>
        <v>GSD</v>
      </c>
      <c r="M484" s="190" t="str">
        <f>IFERROR(__xludf.DUMMYFUNCTION("""COMPUTED_VALUE"""),"LBU")</f>
        <v>LBU</v>
      </c>
      <c r="N484" s="220">
        <f>IFERROR(__xludf.DUMMYFUNCTION("""COMPUTED_VALUE"""),0.5)</f>
        <v>0.5</v>
      </c>
      <c r="O484" s="220">
        <f>IFERROR(__xludf.DUMMYFUNCTION("""COMPUTED_VALUE"""),1.0)</f>
        <v>1</v>
      </c>
      <c r="P484" s="220"/>
      <c r="R484" s="210"/>
      <c r="S484" s="210"/>
      <c r="T484" s="210"/>
      <c r="U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row>
    <row r="485">
      <c r="A485" s="223" t="str">
        <f>IFERROR(__xludf.DUMMYFUNCTION("""COMPUTED_VALUE"""),"227058")</f>
        <v>227058</v>
      </c>
      <c r="B485" s="190" t="str">
        <f>IFERROR(__xludf.DUMMYFUNCTION("""COMPUTED_VALUE"""),"LE VAN DONG TAM")</f>
        <v>LE VAN DONG TAM</v>
      </c>
      <c r="C485" s="223" t="str">
        <f>IFERROR(__xludf.DUMMYFUNCTION("""COMPUTED_VALUE"""),"EL043")</f>
        <v>EL043</v>
      </c>
      <c r="D485" s="223" t="str">
        <f>IFERROR(__xludf.DUMMYFUNCTION("""COMPUTED_VALUE"""),"Liên Nguyễn")</f>
        <v>Liên Nguyễn</v>
      </c>
      <c r="E485" s="190" t="str">
        <f>IFERROR(__xludf.DUMMYFUNCTION("""COMPUTED_VALUE"""),"Foundation")</f>
        <v>Foundation</v>
      </c>
      <c r="F485" s="190" t="str">
        <f>IFERROR(__xludf.DUMMYFUNCTION("""COMPUTED_VALUE"""),"Foundation")</f>
        <v>Foundation</v>
      </c>
      <c r="G485" s="190" t="str">
        <f>IFERROR(__xludf.DUMMYFUNCTION("""COMPUTED_VALUE"""),"Foundation")</f>
        <v>Foundation</v>
      </c>
      <c r="H485" s="219">
        <f>IFERROR(__xludf.DUMMYFUNCTION("""COMPUTED_VALUE"""),45917.58333333333)</f>
        <v>45917.58333</v>
      </c>
      <c r="I485" s="219">
        <f>IFERROR(__xludf.DUMMYFUNCTION("""COMPUTED_VALUE"""),45715.58333333333)</f>
        <v>45715.58333</v>
      </c>
      <c r="J485" s="190">
        <f>IFERROR(__xludf.DUMMYFUNCTION("""COMPUTED_VALUE"""),0.5)</f>
        <v>0.5</v>
      </c>
      <c r="K485" s="190">
        <f>IFERROR(__xludf.DUMMYFUNCTION("""COMPUTED_VALUE"""),0.5)</f>
        <v>0.5</v>
      </c>
      <c r="L485" s="190" t="str">
        <f>IFERROR(__xludf.DUMMYFUNCTION("""COMPUTED_VALUE"""),"BA")</f>
        <v>BA</v>
      </c>
      <c r="M485" s="190" t="str">
        <f>IFERROR(__xludf.DUMMYFUNCTION("""COMPUTED_VALUE"""),"LBU")</f>
        <v>LBU</v>
      </c>
      <c r="N485" s="220">
        <f>IFERROR(__xludf.DUMMYFUNCTION("""COMPUTED_VALUE"""),0.5)</f>
        <v>0.5</v>
      </c>
      <c r="O485" s="220">
        <f>IFERROR(__xludf.DUMMYFUNCTION("""COMPUTED_VALUE"""),0.5)</f>
        <v>0.5</v>
      </c>
      <c r="P485" s="220"/>
      <c r="R485" s="210"/>
      <c r="S485" s="210"/>
      <c r="T485" s="210"/>
      <c r="U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row>
    <row r="486">
      <c r="A486" s="223" t="str">
        <f>IFERROR(__xludf.DUMMYFUNCTION("""COMPUTED_VALUE"""),"153116")</f>
        <v>153116</v>
      </c>
      <c r="B486" s="190" t="str">
        <f>IFERROR(__xludf.DUMMYFUNCTION("""COMPUTED_VALUE"""),"NGUYEN DUY PHONG")</f>
        <v>NGUYEN DUY PHONG</v>
      </c>
      <c r="C486" s="223" t="str">
        <f>IFERROR(__xludf.DUMMYFUNCTION("""COMPUTED_VALUE"""),"EL043")</f>
        <v>EL043</v>
      </c>
      <c r="D486" s="223" t="str">
        <f>IFERROR(__xludf.DUMMYFUNCTION("""COMPUTED_VALUE"""),"Liên Nguyễn")</f>
        <v>Liên Nguyễn</v>
      </c>
      <c r="E486" s="190" t="str">
        <f>IFERROR(__xludf.DUMMYFUNCTION("""COMPUTED_VALUE"""),"Foundation")</f>
        <v>Foundation</v>
      </c>
      <c r="F486" s="190" t="str">
        <f>IFERROR(__xludf.DUMMYFUNCTION("""COMPUTED_VALUE"""),"Foundation")</f>
        <v>Foundation</v>
      </c>
      <c r="G486" s="190" t="str">
        <f>IFERROR(__xludf.DUMMYFUNCTION("""COMPUTED_VALUE"""),"Foundation")</f>
        <v>Foundation</v>
      </c>
      <c r="H486" s="219">
        <f>IFERROR(__xludf.DUMMYFUNCTION("""COMPUTED_VALUE"""),45917.58333333333)</f>
        <v>45917.58333</v>
      </c>
      <c r="I486" s="219">
        <f>IFERROR(__xludf.DUMMYFUNCTION("""COMPUTED_VALUE"""),45917.58333333333)</f>
        <v>45917.58333</v>
      </c>
      <c r="J486" s="190">
        <f>IFERROR(__xludf.DUMMYFUNCTION("""COMPUTED_VALUE"""),0.5)</f>
        <v>0.5</v>
      </c>
      <c r="K486" s="190">
        <f>IFERROR(__xludf.DUMMYFUNCTION("""COMPUTED_VALUE"""),0.5)</f>
        <v>0.5</v>
      </c>
      <c r="L486" s="190" t="str">
        <f>IFERROR(__xludf.DUMMYFUNCTION("""COMPUTED_VALUE"""),"GSD")</f>
        <v>GSD</v>
      </c>
      <c r="M486" s="190" t="str">
        <f>IFERROR(__xludf.DUMMYFUNCTION("""COMPUTED_VALUE"""),"POC")</f>
        <v>POC</v>
      </c>
      <c r="N486" s="220">
        <f>IFERROR(__xludf.DUMMYFUNCTION("""COMPUTED_VALUE"""),0.5)</f>
        <v>0.5</v>
      </c>
      <c r="O486" s="220">
        <f>IFERROR(__xludf.DUMMYFUNCTION("""COMPUTED_VALUE"""),0.5)</f>
        <v>0.5</v>
      </c>
      <c r="P486" s="220"/>
      <c r="R486" s="210"/>
      <c r="S486" s="210"/>
      <c r="T486" s="210"/>
      <c r="U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row>
    <row r="487">
      <c r="A487" s="223" t="str">
        <f>IFERROR(__xludf.DUMMYFUNCTION("""COMPUTED_VALUE"""),"247082")</f>
        <v>247082</v>
      </c>
      <c r="B487" s="190" t="str">
        <f>IFERROR(__xludf.DUMMYFUNCTION("""COMPUTED_VALUE"""),"NGUYEN HUU DUY")</f>
        <v>NGUYEN HUU DUY</v>
      </c>
      <c r="C487" s="223" t="str">
        <f>IFERROR(__xludf.DUMMYFUNCTION("""COMPUTED_VALUE"""),"EL043")</f>
        <v>EL043</v>
      </c>
      <c r="D487" s="223" t="str">
        <f>IFERROR(__xludf.DUMMYFUNCTION("""COMPUTED_VALUE"""),"Liên Nguyễn")</f>
        <v>Liên Nguyễn</v>
      </c>
      <c r="E487" s="190" t="str">
        <f>IFERROR(__xludf.DUMMYFUNCTION("""COMPUTED_VALUE"""),"Foundation")</f>
        <v>Foundation</v>
      </c>
      <c r="F487" s="190" t="str">
        <f>IFERROR(__xludf.DUMMYFUNCTION("""COMPUTED_VALUE"""),"Foundation")</f>
        <v>Foundation</v>
      </c>
      <c r="G487" s="190" t="str">
        <f>IFERROR(__xludf.DUMMYFUNCTION("""COMPUTED_VALUE"""),"Foundation")</f>
        <v>Foundation</v>
      </c>
      <c r="H487" s="219">
        <f>IFERROR(__xludf.DUMMYFUNCTION("""COMPUTED_VALUE"""),45917.58333333333)</f>
        <v>45917.58333</v>
      </c>
      <c r="I487" s="219">
        <f>IFERROR(__xludf.DUMMYFUNCTION("""COMPUTED_VALUE"""),45917.58333333333)</f>
        <v>45917.58333</v>
      </c>
      <c r="J487" s="190">
        <f>IFERROR(__xludf.DUMMYFUNCTION("""COMPUTED_VALUE"""),0.5)</f>
        <v>0.5</v>
      </c>
      <c r="K487" s="190">
        <f>IFERROR(__xludf.DUMMYFUNCTION("""COMPUTED_VALUE"""),0.5)</f>
        <v>0.5</v>
      </c>
      <c r="L487" s="190" t="str">
        <f>IFERROR(__xludf.DUMMYFUNCTION("""COMPUTED_VALUE"""),"GSD")</f>
        <v>GSD</v>
      </c>
      <c r="M487" s="190" t="str">
        <f>IFERROR(__xludf.DUMMYFUNCTION("""COMPUTED_VALUE"""),"LBU")</f>
        <v>LBU</v>
      </c>
      <c r="N487" s="220">
        <f>IFERROR(__xludf.DUMMYFUNCTION("""COMPUTED_VALUE"""),0.5)</f>
        <v>0.5</v>
      </c>
      <c r="O487" s="220">
        <f>IFERROR(__xludf.DUMMYFUNCTION("""COMPUTED_VALUE"""),0.5)</f>
        <v>0.5</v>
      </c>
      <c r="P487" s="220"/>
      <c r="R487" s="210"/>
      <c r="S487" s="210"/>
      <c r="T487" s="210"/>
      <c r="U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row>
    <row r="488">
      <c r="A488" s="223" t="str">
        <f>IFERROR(__xludf.DUMMYFUNCTION("""COMPUTED_VALUE"""),"183330")</f>
        <v>183330</v>
      </c>
      <c r="B488" s="190" t="str">
        <f>IFERROR(__xludf.DUMMYFUNCTION("""COMPUTED_VALUE"""),"NGUYỄN THỊ KIM TRANG")</f>
        <v>NGUYỄN THỊ KIM TRANG</v>
      </c>
      <c r="C488" s="223" t="str">
        <f>IFERROR(__xludf.DUMMYFUNCTION("""COMPUTED_VALUE"""),"EL043")</f>
        <v>EL043</v>
      </c>
      <c r="D488" s="223" t="str">
        <f>IFERROR(__xludf.DUMMYFUNCTION("""COMPUTED_VALUE"""),"Liên Nguyễn")</f>
        <v>Liên Nguyễn</v>
      </c>
      <c r="E488" s="190" t="str">
        <f>IFERROR(__xludf.DUMMYFUNCTION("""COMPUTED_VALUE"""),"Foundation")</f>
        <v>Foundation</v>
      </c>
      <c r="F488" s="190" t="str">
        <f>IFERROR(__xludf.DUMMYFUNCTION("""COMPUTED_VALUE"""),"Foundation")</f>
        <v>Foundation</v>
      </c>
      <c r="G488" s="190" t="str">
        <f>IFERROR(__xludf.DUMMYFUNCTION("""COMPUTED_VALUE"""),"Beginner")</f>
        <v>Beginner</v>
      </c>
      <c r="H488" s="219">
        <f>IFERROR(__xludf.DUMMYFUNCTION("""COMPUTED_VALUE"""),45917.58333333333)</f>
        <v>45917.58333</v>
      </c>
      <c r="I488" s="219">
        <f>IFERROR(__xludf.DUMMYFUNCTION("""COMPUTED_VALUE"""),45917.58333333333)</f>
        <v>45917.58333</v>
      </c>
      <c r="J488" s="190">
        <f>IFERROR(__xludf.DUMMYFUNCTION("""COMPUTED_VALUE"""),0.5)</f>
        <v>0.5</v>
      </c>
      <c r="K488" s="190">
        <f>IFERROR(__xludf.DUMMYFUNCTION("""COMPUTED_VALUE"""),1.0)</f>
        <v>1</v>
      </c>
      <c r="L488" s="190" t="str">
        <f>IFERROR(__xludf.DUMMYFUNCTION("""COMPUTED_VALUE"""),"GSD")</f>
        <v>GSD</v>
      </c>
      <c r="M488" s="190" t="str">
        <f>IFERROR(__xludf.DUMMYFUNCTION("""COMPUTED_VALUE"""),"TBU")</f>
        <v>TBU</v>
      </c>
      <c r="N488" s="220">
        <f>IFERROR(__xludf.DUMMYFUNCTION("""COMPUTED_VALUE"""),0.5)</f>
        <v>0.5</v>
      </c>
      <c r="O488" s="220">
        <f>IFERROR(__xludf.DUMMYFUNCTION("""COMPUTED_VALUE"""),1.0)</f>
        <v>1</v>
      </c>
      <c r="P488" s="220"/>
      <c r="R488" s="210"/>
      <c r="S488" s="210"/>
      <c r="T488" s="210"/>
      <c r="U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row>
    <row r="489">
      <c r="A489" s="223" t="str">
        <f>IFERROR(__xludf.DUMMYFUNCTION("""COMPUTED_VALUE"""),"237129")</f>
        <v>237129</v>
      </c>
      <c r="B489" s="190" t="str">
        <f>IFERROR(__xludf.DUMMYFUNCTION("""COMPUTED_VALUE"""),"PHẠM HUỲNH TÂN")</f>
        <v>PHẠM HUỲNH TÂN</v>
      </c>
      <c r="C489" s="223" t="str">
        <f>IFERROR(__xludf.DUMMYFUNCTION("""COMPUTED_VALUE"""),"EL043")</f>
        <v>EL043</v>
      </c>
      <c r="D489" s="223" t="str">
        <f>IFERROR(__xludf.DUMMYFUNCTION("""COMPUTED_VALUE"""),"Liên Nguyễn")</f>
        <v>Liên Nguyễn</v>
      </c>
      <c r="E489" s="190" t="str">
        <f>IFERROR(__xludf.DUMMYFUNCTION("""COMPUTED_VALUE"""),"Foundation")</f>
        <v>Foundation</v>
      </c>
      <c r="F489" s="190" t="str">
        <f>IFERROR(__xludf.DUMMYFUNCTION("""COMPUTED_VALUE"""),"Foundation")</f>
        <v>Foundation</v>
      </c>
      <c r="G489" s="190" t="str">
        <f>IFERROR(__xludf.DUMMYFUNCTION("""COMPUTED_VALUE"""),"Foundation")</f>
        <v>Foundation</v>
      </c>
      <c r="H489" s="219">
        <f>IFERROR(__xludf.DUMMYFUNCTION("""COMPUTED_VALUE"""),45917.58333333333)</f>
        <v>45917.58333</v>
      </c>
      <c r="I489" s="219">
        <f>IFERROR(__xludf.DUMMYFUNCTION("""COMPUTED_VALUE"""),45917.58333333333)</f>
        <v>45917.58333</v>
      </c>
      <c r="J489" s="190">
        <f>IFERROR(__xludf.DUMMYFUNCTION("""COMPUTED_VALUE"""),0.5)</f>
        <v>0.5</v>
      </c>
      <c r="K489" s="190">
        <f>IFERROR(__xludf.DUMMYFUNCTION("""COMPUTED_VALUE"""),0.5)</f>
        <v>0.5</v>
      </c>
      <c r="L489" s="190" t="str">
        <f>IFERROR(__xludf.DUMMYFUNCTION("""COMPUTED_VALUE"""),"GSD")</f>
        <v>GSD</v>
      </c>
      <c r="M489" s="190" t="str">
        <f>IFERROR(__xludf.DUMMYFUNCTION("""COMPUTED_VALUE"""),"TBU")</f>
        <v>TBU</v>
      </c>
      <c r="N489" s="220">
        <f>IFERROR(__xludf.DUMMYFUNCTION("""COMPUTED_VALUE"""),0.5)</f>
        <v>0.5</v>
      </c>
      <c r="O489" s="220">
        <f>IFERROR(__xludf.DUMMYFUNCTION("""COMPUTED_VALUE"""),0.5)</f>
        <v>0.5</v>
      </c>
      <c r="P489" s="220"/>
      <c r="R489" s="210"/>
      <c r="S489" s="210"/>
      <c r="T489" s="210"/>
      <c r="U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row>
    <row r="490">
      <c r="A490" s="223" t="str">
        <f>IFERROR(__xludf.DUMMYFUNCTION("""COMPUTED_VALUE"""),"227131")</f>
        <v>227131</v>
      </c>
      <c r="B490" s="190" t="str">
        <f>IFERROR(__xludf.DUMMYFUNCTION("""COMPUTED_VALUE"""),"NGUYỄN TRƯƠNG BẢO QUYÊN")</f>
        <v>NGUYỄN TRƯƠNG BẢO QUYÊN</v>
      </c>
      <c r="C490" s="223" t="str">
        <f>IFERROR(__xludf.DUMMYFUNCTION("""COMPUTED_VALUE"""),"EL044")</f>
        <v>EL044</v>
      </c>
      <c r="D490" s="223" t="str">
        <f>IFERROR(__xludf.DUMMYFUNCTION("""COMPUTED_VALUE"""),"Quyen Nguyen")</f>
        <v>Quyen Nguyen</v>
      </c>
      <c r="E490" s="190" t="str">
        <f>IFERROR(__xludf.DUMMYFUNCTION("""COMPUTED_VALUE"""),"Communication 1")</f>
        <v>Communication 1</v>
      </c>
      <c r="F490" s="190" t="str">
        <f>IFERROR(__xludf.DUMMYFUNCTION("""COMPUTED_VALUE"""),"Pre-Intermediate 1")</f>
        <v>Pre-Intermediate 1</v>
      </c>
      <c r="G490" s="190"/>
      <c r="H490" s="219">
        <f>IFERROR(__xludf.DUMMYFUNCTION("""COMPUTED_VALUE"""),45929.58333333333)</f>
        <v>45929.58333</v>
      </c>
      <c r="I490" s="219">
        <f>IFERROR(__xludf.DUMMYFUNCTION("""COMPUTED_VALUE"""),45929.58333333333)</f>
        <v>45929.58333</v>
      </c>
      <c r="J490" s="190">
        <f>IFERROR(__xludf.DUMMYFUNCTION("""COMPUTED_VALUE"""),3.0)</f>
        <v>3</v>
      </c>
      <c r="K490" s="190" t="str">
        <f>IFERROR(__xludf.DUMMYFUNCTION("""COMPUTED_VALUE"""),"")</f>
        <v/>
      </c>
      <c r="L490" s="190" t="str">
        <f>IFERROR(__xludf.DUMMYFUNCTION("""COMPUTED_VALUE"""),"GSD")</f>
        <v>GSD</v>
      </c>
      <c r="M490" s="190" t="str">
        <f>IFERROR(__xludf.DUMMYFUNCTION("""COMPUTED_VALUE"""),"LBU")</f>
        <v>LBU</v>
      </c>
      <c r="N490" s="220">
        <f>IFERROR(__xludf.DUMMYFUNCTION("""COMPUTED_VALUE"""),3.0)</f>
        <v>3</v>
      </c>
      <c r="O490" s="220">
        <f>IFERROR(__xludf.DUMMYFUNCTION("""COMPUTED_VALUE"""),0.0)</f>
        <v>0</v>
      </c>
      <c r="P490" s="220"/>
      <c r="R490" s="210"/>
      <c r="S490" s="210"/>
      <c r="T490" s="210"/>
      <c r="U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row>
    <row r="491">
      <c r="A491" s="223" t="str">
        <f>IFERROR(__xludf.DUMMYFUNCTION("""COMPUTED_VALUE"""),"247082")</f>
        <v>247082</v>
      </c>
      <c r="B491" s="190" t="str">
        <f>IFERROR(__xludf.DUMMYFUNCTION("""COMPUTED_VALUE"""),"NGUYEN HUU DUY")</f>
        <v>NGUYEN HUU DUY</v>
      </c>
      <c r="C491" s="223" t="str">
        <f>IFERROR(__xludf.DUMMYFUNCTION("""COMPUTED_VALUE"""),"EL044")</f>
        <v>EL044</v>
      </c>
      <c r="D491" s="223" t="str">
        <f>IFERROR(__xludf.DUMMYFUNCTION("""COMPUTED_VALUE"""),"Quyen Nguyen")</f>
        <v>Quyen Nguyen</v>
      </c>
      <c r="E491" s="190" t="str">
        <f>IFERROR(__xludf.DUMMYFUNCTION("""COMPUTED_VALUE"""),"Communication 1")</f>
        <v>Communication 1</v>
      </c>
      <c r="F491" s="190" t="str">
        <f>IFERROR(__xludf.DUMMYFUNCTION("""COMPUTED_VALUE"""),"Beginner")</f>
        <v>Beginner</v>
      </c>
      <c r="G491" s="190"/>
      <c r="H491" s="219">
        <f>IFERROR(__xludf.DUMMYFUNCTION("""COMPUTED_VALUE"""),45929.58333333333)</f>
        <v>45929.58333</v>
      </c>
      <c r="I491" s="219">
        <f>IFERROR(__xludf.DUMMYFUNCTION("""COMPUTED_VALUE"""),45917.58333333333)</f>
        <v>45917.58333</v>
      </c>
      <c r="J491" s="190">
        <f>IFERROR(__xludf.DUMMYFUNCTION("""COMPUTED_VALUE"""),1.0)</f>
        <v>1</v>
      </c>
      <c r="K491" s="190" t="str">
        <f>IFERROR(__xludf.DUMMYFUNCTION("""COMPUTED_VALUE"""),"")</f>
        <v/>
      </c>
      <c r="L491" s="190" t="str">
        <f>IFERROR(__xludf.DUMMYFUNCTION("""COMPUTED_VALUE"""),"GSD")</f>
        <v>GSD</v>
      </c>
      <c r="M491" s="190" t="str">
        <f>IFERROR(__xludf.DUMMYFUNCTION("""COMPUTED_VALUE"""),"LBU")</f>
        <v>LBU</v>
      </c>
      <c r="N491" s="220">
        <f>IFERROR(__xludf.DUMMYFUNCTION("""COMPUTED_VALUE"""),0.5)</f>
        <v>0.5</v>
      </c>
      <c r="O491" s="220">
        <f>IFERROR(__xludf.DUMMYFUNCTION("""COMPUTED_VALUE"""),0.5)</f>
        <v>0.5</v>
      </c>
      <c r="P491" s="220"/>
      <c r="R491" s="210"/>
      <c r="S491" s="210"/>
      <c r="T491" s="210"/>
      <c r="U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row>
    <row r="492">
      <c r="A492" s="223" t="str">
        <f>IFERROR(__xludf.DUMMYFUNCTION("""COMPUTED_VALUE"""),"257036")</f>
        <v>257036</v>
      </c>
      <c r="B492" s="190" t="str">
        <f>IFERROR(__xludf.DUMMYFUNCTION("""COMPUTED_VALUE"""),"NGUYỄN PHÚC VINH")</f>
        <v>NGUYỄN PHÚC VINH</v>
      </c>
      <c r="C492" s="223" t="str">
        <f>IFERROR(__xludf.DUMMYFUNCTION("""COMPUTED_VALUE"""),"EL044")</f>
        <v>EL044</v>
      </c>
      <c r="D492" s="223" t="str">
        <f>IFERROR(__xludf.DUMMYFUNCTION("""COMPUTED_VALUE"""),"Quyen Nguyen")</f>
        <v>Quyen Nguyen</v>
      </c>
      <c r="E492" s="190" t="str">
        <f>IFERROR(__xludf.DUMMYFUNCTION("""COMPUTED_VALUE"""),"Communication 1")</f>
        <v>Communication 1</v>
      </c>
      <c r="F492" s="190" t="str">
        <f>IFERROR(__xludf.DUMMYFUNCTION("""COMPUTED_VALUE"""),"Beginner")</f>
        <v>Beginner</v>
      </c>
      <c r="G492" s="190"/>
      <c r="H492" s="219">
        <f>IFERROR(__xludf.DUMMYFUNCTION("""COMPUTED_VALUE"""),45929.58333333333)</f>
        <v>45929.58333</v>
      </c>
      <c r="I492" s="219">
        <f>IFERROR(__xludf.DUMMYFUNCTION("""COMPUTED_VALUE"""),45929.58333333333)</f>
        <v>45929.58333</v>
      </c>
      <c r="J492" s="190">
        <f>IFERROR(__xludf.DUMMYFUNCTION("""COMPUTED_VALUE"""),1.0)</f>
        <v>1</v>
      </c>
      <c r="K492" s="190" t="str">
        <f>IFERROR(__xludf.DUMMYFUNCTION("""COMPUTED_VALUE"""),"")</f>
        <v/>
      </c>
      <c r="L492" s="190" t="str">
        <f>IFERROR(__xludf.DUMMYFUNCTION("""COMPUTED_VALUE"""),"GSD")</f>
        <v>GSD</v>
      </c>
      <c r="M492" s="190" t="str">
        <f>IFERROR(__xludf.DUMMYFUNCTION("""COMPUTED_VALUE"""),"LBU")</f>
        <v>LBU</v>
      </c>
      <c r="N492" s="220">
        <f>IFERROR(__xludf.DUMMYFUNCTION("""COMPUTED_VALUE"""),1.0)</f>
        <v>1</v>
      </c>
      <c r="O492" s="220">
        <f>IFERROR(__xludf.DUMMYFUNCTION("""COMPUTED_VALUE"""),0.0)</f>
        <v>0</v>
      </c>
      <c r="P492" s="220"/>
      <c r="R492" s="210"/>
      <c r="S492" s="210"/>
      <c r="T492" s="210"/>
      <c r="U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row>
    <row r="493">
      <c r="A493" s="223" t="str">
        <f>IFERROR(__xludf.DUMMYFUNCTION("""COMPUTED_VALUE"""),"193620")</f>
        <v>193620</v>
      </c>
      <c r="B493" s="190" t="str">
        <f>IFERROR(__xludf.DUMMYFUNCTION("""COMPUTED_VALUE"""),"TRẦN THỊ HUỲNH NHƯ")</f>
        <v>TRẦN THỊ HUỲNH NHƯ</v>
      </c>
      <c r="C493" s="223" t="str">
        <f>IFERROR(__xludf.DUMMYFUNCTION("""COMPUTED_VALUE"""),"EL044")</f>
        <v>EL044</v>
      </c>
      <c r="D493" s="223" t="str">
        <f>IFERROR(__xludf.DUMMYFUNCTION("""COMPUTED_VALUE"""),"Quyen Nguyen")</f>
        <v>Quyen Nguyen</v>
      </c>
      <c r="E493" s="190" t="str">
        <f>IFERROR(__xludf.DUMMYFUNCTION("""COMPUTED_VALUE"""),"Communication 1")</f>
        <v>Communication 1</v>
      </c>
      <c r="F493" s="190" t="str">
        <f>IFERROR(__xludf.DUMMYFUNCTION("""COMPUTED_VALUE"""),"Beginner")</f>
        <v>Beginner</v>
      </c>
      <c r="G493" s="190"/>
      <c r="H493" s="219">
        <f>IFERROR(__xludf.DUMMYFUNCTION("""COMPUTED_VALUE"""),45929.58333333333)</f>
        <v>45929.58333</v>
      </c>
      <c r="I493" s="219">
        <f>IFERROR(__xludf.DUMMYFUNCTION("""COMPUTED_VALUE"""),45929.58333333333)</f>
        <v>45929.58333</v>
      </c>
      <c r="J493" s="190">
        <f>IFERROR(__xludf.DUMMYFUNCTION("""COMPUTED_VALUE"""),1.0)</f>
        <v>1</v>
      </c>
      <c r="K493" s="190" t="str">
        <f>IFERROR(__xludf.DUMMYFUNCTION("""COMPUTED_VALUE"""),"")</f>
        <v/>
      </c>
      <c r="L493" s="190" t="str">
        <f>IFERROR(__xludf.DUMMYFUNCTION("""COMPUTED_VALUE"""),"GSD")</f>
        <v>GSD</v>
      </c>
      <c r="M493" s="190" t="str">
        <f>IFERROR(__xludf.DUMMYFUNCTION("""COMPUTED_VALUE"""),"LBU")</f>
        <v>LBU</v>
      </c>
      <c r="N493" s="220">
        <f>IFERROR(__xludf.DUMMYFUNCTION("""COMPUTED_VALUE"""),1.0)</f>
        <v>1</v>
      </c>
      <c r="O493" s="220">
        <f>IFERROR(__xludf.DUMMYFUNCTION("""COMPUTED_VALUE"""),0.0)</f>
        <v>0</v>
      </c>
      <c r="P493" s="220"/>
      <c r="R493" s="210"/>
      <c r="S493" s="210"/>
      <c r="T493" s="210"/>
      <c r="U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row>
    <row r="494">
      <c r="A494" s="223" t="str">
        <f>IFERROR(__xludf.DUMMYFUNCTION("""COMPUTED_VALUE"""),"163215")</f>
        <v>163215</v>
      </c>
      <c r="B494" s="190" t="str">
        <f>IFERROR(__xludf.DUMMYFUNCTION("""COMPUTED_VALUE"""),"VÕ THỊ HƯƠNG GIANG")</f>
        <v>VÕ THỊ HƯƠNG GIANG</v>
      </c>
      <c r="C494" s="223" t="str">
        <f>IFERROR(__xludf.DUMMYFUNCTION("""COMPUTED_VALUE"""),"EL044")</f>
        <v>EL044</v>
      </c>
      <c r="D494" s="223" t="str">
        <f>IFERROR(__xludf.DUMMYFUNCTION("""COMPUTED_VALUE"""),"Quyen Nguyen")</f>
        <v>Quyen Nguyen</v>
      </c>
      <c r="E494" s="190" t="str">
        <f>IFERROR(__xludf.DUMMYFUNCTION("""COMPUTED_VALUE"""),"Communication 1")</f>
        <v>Communication 1</v>
      </c>
      <c r="F494" s="190" t="str">
        <f>IFERROR(__xludf.DUMMYFUNCTION("""COMPUTED_VALUE"""),"Beginner")</f>
        <v>Beginner</v>
      </c>
      <c r="G494" s="190"/>
      <c r="H494" s="219">
        <f>IFERROR(__xludf.DUMMYFUNCTION("""COMPUTED_VALUE"""),45929.58333333333)</f>
        <v>45929.58333</v>
      </c>
      <c r="I494" s="219">
        <f>IFERROR(__xludf.DUMMYFUNCTION("""COMPUTED_VALUE"""),45929.58333333333)</f>
        <v>45929.58333</v>
      </c>
      <c r="J494" s="190">
        <f>IFERROR(__xludf.DUMMYFUNCTION("""COMPUTED_VALUE"""),1.0)</f>
        <v>1</v>
      </c>
      <c r="K494" s="190" t="str">
        <f>IFERROR(__xludf.DUMMYFUNCTION("""COMPUTED_VALUE"""),"")</f>
        <v/>
      </c>
      <c r="L494" s="190" t="str">
        <f>IFERROR(__xludf.DUMMYFUNCTION("""COMPUTED_VALUE"""),"BC")</f>
        <v>BC</v>
      </c>
      <c r="M494" s="190" t="str">
        <f>IFERROR(__xludf.DUMMYFUNCTION("""COMPUTED_VALUE"""),"LBU")</f>
        <v>LBU</v>
      </c>
      <c r="N494" s="220">
        <f>IFERROR(__xludf.DUMMYFUNCTION("""COMPUTED_VALUE"""),1.0)</f>
        <v>1</v>
      </c>
      <c r="O494" s="220">
        <f>IFERROR(__xludf.DUMMYFUNCTION("""COMPUTED_VALUE"""),0.0)</f>
        <v>0</v>
      </c>
      <c r="P494" s="220"/>
      <c r="R494" s="210"/>
      <c r="S494" s="210"/>
      <c r="T494" s="210"/>
      <c r="U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row>
    <row r="495">
      <c r="A495" s="223" t="str">
        <f>IFERROR(__xludf.DUMMYFUNCTION("""COMPUTED_VALUE"""),"227101")</f>
        <v>227101</v>
      </c>
      <c r="B495" s="190" t="str">
        <f>IFERROR(__xludf.DUMMYFUNCTION("""COMPUTED_VALUE"""),"Tạ Thiên Phước (Noah)")</f>
        <v>Tạ Thiên Phước (Noah)</v>
      </c>
      <c r="C495" s="223" t="str">
        <f>IFERROR(__xludf.DUMMYFUNCTION("""COMPUTED_VALUE"""),"EL045")</f>
        <v>EL045</v>
      </c>
      <c r="D495" s="223" t="str">
        <f>IFERROR(__xludf.DUMMYFUNCTION("""COMPUTED_VALUE"""),"Phuoc Ta")</f>
        <v>Phuoc Ta</v>
      </c>
      <c r="E495" s="190" t="str">
        <f>IFERROR(__xludf.DUMMYFUNCTION("""COMPUTED_VALUE"""),"Communication 1")</f>
        <v>Communication 1</v>
      </c>
      <c r="F495" s="190" t="str">
        <f>IFERROR(__xludf.DUMMYFUNCTION("""COMPUTED_VALUE"""),"Beginner")</f>
        <v>Beginner</v>
      </c>
      <c r="G495" s="190"/>
      <c r="H495" s="219">
        <f>IFERROR(__xludf.DUMMYFUNCTION("""COMPUTED_VALUE"""),46083.625)</f>
        <v>46083.625</v>
      </c>
      <c r="I495" s="219">
        <f>IFERROR(__xludf.DUMMYFUNCTION("""COMPUTED_VALUE"""),46083.625)</f>
        <v>46083.625</v>
      </c>
      <c r="J495" s="190">
        <f>IFERROR(__xludf.DUMMYFUNCTION("""COMPUTED_VALUE"""),1.0)</f>
        <v>1</v>
      </c>
      <c r="K495" s="190" t="str">
        <f>IFERROR(__xludf.DUMMYFUNCTION("""COMPUTED_VALUE"""),"")</f>
        <v/>
      </c>
      <c r="L495" s="190" t="str">
        <f>IFERROR(__xludf.DUMMYFUNCTION("""COMPUTED_VALUE"""),"DEV")</f>
        <v>DEV</v>
      </c>
      <c r="M495" s="190" t="str">
        <f>IFERROR(__xludf.DUMMYFUNCTION("""COMPUTED_VALUE"""),"ONC")</f>
        <v>ONC</v>
      </c>
      <c r="N495" s="220">
        <f>IFERROR(__xludf.DUMMYFUNCTION("""COMPUTED_VALUE"""),1.0)</f>
        <v>1</v>
      </c>
      <c r="O495" s="220">
        <f>IFERROR(__xludf.DUMMYFUNCTION("""COMPUTED_VALUE"""),0.0)</f>
        <v>0</v>
      </c>
      <c r="P495" s="220"/>
      <c r="R495" s="210"/>
      <c r="S495" s="210"/>
      <c r="T495" s="210"/>
      <c r="U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row>
    <row r="496">
      <c r="A496" s="223" t="str">
        <f>IFERROR(__xludf.DUMMYFUNCTION("""COMPUTED_VALUE"""),"213856")</f>
        <v>213856</v>
      </c>
      <c r="B496" s="190" t="str">
        <f>IFERROR(__xludf.DUMMYFUNCTION("""COMPUTED_VALUE"""),"Chu Thị Lệ Quỳnh")</f>
        <v>Chu Thị Lệ Quỳnh</v>
      </c>
      <c r="C496" s="223" t="str">
        <f>IFERROR(__xludf.DUMMYFUNCTION("""COMPUTED_VALUE"""),"EL045")</f>
        <v>EL045</v>
      </c>
      <c r="D496" s="223" t="str">
        <f>IFERROR(__xludf.DUMMYFUNCTION("""COMPUTED_VALUE"""),"Phuoc Ta")</f>
        <v>Phuoc Ta</v>
      </c>
      <c r="E496" s="190" t="str">
        <f>IFERROR(__xludf.DUMMYFUNCTION("""COMPUTED_VALUE"""),"Communication 1")</f>
        <v>Communication 1</v>
      </c>
      <c r="F496" s="190" t="str">
        <f>IFERROR(__xludf.DUMMYFUNCTION("""COMPUTED_VALUE"""),"Beginner")</f>
        <v>Beginner</v>
      </c>
      <c r="G496" s="190"/>
      <c r="H496" s="219">
        <f>IFERROR(__xludf.DUMMYFUNCTION("""COMPUTED_VALUE"""),46083.625)</f>
        <v>46083.625</v>
      </c>
      <c r="I496" s="219">
        <f>IFERROR(__xludf.DUMMYFUNCTION("""COMPUTED_VALUE"""),45637.375)</f>
        <v>45637.375</v>
      </c>
      <c r="J496" s="190">
        <f>IFERROR(__xludf.DUMMYFUNCTION("""COMPUTED_VALUE"""),1.0)</f>
        <v>1</v>
      </c>
      <c r="K496" s="190" t="str">
        <f>IFERROR(__xludf.DUMMYFUNCTION("""COMPUTED_VALUE"""),"")</f>
        <v/>
      </c>
      <c r="L496" s="190" t="str">
        <f>IFERROR(__xludf.DUMMYFUNCTION("""COMPUTED_VALUE"""),"QC")</f>
        <v>QC</v>
      </c>
      <c r="M496" s="190" t="str">
        <f>IFERROR(__xludf.DUMMYFUNCTION("""COMPUTED_VALUE"""),"ONC")</f>
        <v>ONC</v>
      </c>
      <c r="N496" s="220">
        <f>IFERROR(__xludf.DUMMYFUNCTION("""COMPUTED_VALUE"""),1.0)</f>
        <v>1</v>
      </c>
      <c r="O496" s="220">
        <f>IFERROR(__xludf.DUMMYFUNCTION("""COMPUTED_VALUE"""),2.5)</f>
        <v>2.5</v>
      </c>
      <c r="P496" s="220"/>
      <c r="R496" s="210"/>
      <c r="S496" s="210"/>
      <c r="T496" s="210"/>
      <c r="U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row>
    <row r="497">
      <c r="A497" s="223" t="str">
        <f>IFERROR(__xludf.DUMMYFUNCTION("""COMPUTED_VALUE"""),"237035")</f>
        <v>237035</v>
      </c>
      <c r="B497" s="190" t="str">
        <f>IFERROR(__xludf.DUMMYFUNCTION("""COMPUTED_VALUE"""),"Nguyễn Đặng Khương Duy (Dustin)")</f>
        <v>Nguyễn Đặng Khương Duy (Dustin)</v>
      </c>
      <c r="C497" s="223" t="str">
        <f>IFERROR(__xludf.DUMMYFUNCTION("""COMPUTED_VALUE"""),"EL045")</f>
        <v>EL045</v>
      </c>
      <c r="D497" s="223" t="str">
        <f>IFERROR(__xludf.DUMMYFUNCTION("""COMPUTED_VALUE"""),"Phuoc Ta")</f>
        <v>Phuoc Ta</v>
      </c>
      <c r="E497" s="190" t="str">
        <f>IFERROR(__xludf.DUMMYFUNCTION("""COMPUTED_VALUE"""),"Communication 1")</f>
        <v>Communication 1</v>
      </c>
      <c r="F497" s="190" t="str">
        <f>IFERROR(__xludf.DUMMYFUNCTION("""COMPUTED_VALUE"""),"Beginner")</f>
        <v>Beginner</v>
      </c>
      <c r="G497" s="190"/>
      <c r="H497" s="219">
        <f>IFERROR(__xludf.DUMMYFUNCTION("""COMPUTED_VALUE"""),46083.625)</f>
        <v>46083.625</v>
      </c>
      <c r="I497" s="219">
        <f>IFERROR(__xludf.DUMMYFUNCTION("""COMPUTED_VALUE"""),46083.625)</f>
        <v>46083.625</v>
      </c>
      <c r="J497" s="190">
        <f>IFERROR(__xludf.DUMMYFUNCTION("""COMPUTED_VALUE"""),1.0)</f>
        <v>1</v>
      </c>
      <c r="K497" s="190" t="str">
        <f>IFERROR(__xludf.DUMMYFUNCTION("""COMPUTED_VALUE"""),"")</f>
        <v/>
      </c>
      <c r="L497" s="190" t="str">
        <f>IFERROR(__xludf.DUMMYFUNCTION("""COMPUTED_VALUE"""),"DEV")</f>
        <v>DEV</v>
      </c>
      <c r="M497" s="190" t="str">
        <f>IFERROR(__xludf.DUMMYFUNCTION("""COMPUTED_VALUE"""),"ONC")</f>
        <v>ONC</v>
      </c>
      <c r="N497" s="220">
        <f>IFERROR(__xludf.DUMMYFUNCTION("""COMPUTED_VALUE"""),1.0)</f>
        <v>1</v>
      </c>
      <c r="O497" s="220">
        <f>IFERROR(__xludf.DUMMYFUNCTION("""COMPUTED_VALUE"""),0.0)</f>
        <v>0</v>
      </c>
      <c r="P497" s="220"/>
      <c r="R497" s="210"/>
      <c r="S497" s="210"/>
      <c r="T497" s="210"/>
      <c r="U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row>
    <row r="498">
      <c r="A498" s="223" t="str">
        <f>IFERROR(__xludf.DUMMYFUNCTION("""COMPUTED_VALUE"""),"203664")</f>
        <v>203664</v>
      </c>
      <c r="B498" s="190" t="str">
        <f>IFERROR(__xludf.DUMMYFUNCTION("""COMPUTED_VALUE"""),"Nguyễn Hà Vi (V)")</f>
        <v>Nguyễn Hà Vi (V)</v>
      </c>
      <c r="C498" s="223" t="str">
        <f>IFERROR(__xludf.DUMMYFUNCTION("""COMPUTED_VALUE"""),"EL045")</f>
        <v>EL045</v>
      </c>
      <c r="D498" s="223" t="str">
        <f>IFERROR(__xludf.DUMMYFUNCTION("""COMPUTED_VALUE"""),"Phuoc Ta")</f>
        <v>Phuoc Ta</v>
      </c>
      <c r="E498" s="190" t="str">
        <f>IFERROR(__xludf.DUMMYFUNCTION("""COMPUTED_VALUE"""),"Communication 1")</f>
        <v>Communication 1</v>
      </c>
      <c r="F498" s="190" t="str">
        <f>IFERROR(__xludf.DUMMYFUNCTION("""COMPUTED_VALUE"""),"Pre-Intermediate 1")</f>
        <v>Pre-Intermediate 1</v>
      </c>
      <c r="G498" s="190"/>
      <c r="H498" s="219">
        <f>IFERROR(__xludf.DUMMYFUNCTION("""COMPUTED_VALUE"""),46083.625)</f>
        <v>46083.625</v>
      </c>
      <c r="I498" s="219">
        <f>IFERROR(__xludf.DUMMYFUNCTION("""COMPUTED_VALUE"""),46083.625)</f>
        <v>46083.625</v>
      </c>
      <c r="J498" s="190">
        <f>IFERROR(__xludf.DUMMYFUNCTION("""COMPUTED_VALUE"""),3.0)</f>
        <v>3</v>
      </c>
      <c r="K498" s="190" t="str">
        <f>IFERROR(__xludf.DUMMYFUNCTION("""COMPUTED_VALUE"""),"")</f>
        <v/>
      </c>
      <c r="L498" s="190" t="str">
        <f>IFERROR(__xludf.DUMMYFUNCTION("""COMPUTED_VALUE"""),"DEV")</f>
        <v>DEV</v>
      </c>
      <c r="M498" s="190" t="str">
        <f>IFERROR(__xludf.DUMMYFUNCTION("""COMPUTED_VALUE"""),"ONC")</f>
        <v>ONC</v>
      </c>
      <c r="N498" s="220">
        <f>IFERROR(__xludf.DUMMYFUNCTION("""COMPUTED_VALUE"""),3.0)</f>
        <v>3</v>
      </c>
      <c r="O498" s="220">
        <f>IFERROR(__xludf.DUMMYFUNCTION("""COMPUTED_VALUE"""),0.0)</f>
        <v>0</v>
      </c>
      <c r="P498" s="220"/>
      <c r="R498" s="210"/>
      <c r="S498" s="210"/>
      <c r="T498" s="210"/>
      <c r="U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row>
    <row r="499">
      <c r="A499" s="223" t="str">
        <f>IFERROR(__xludf.DUMMYFUNCTION("""COMPUTED_VALUE"""),"247065")</f>
        <v>247065</v>
      </c>
      <c r="B499" s="190" t="str">
        <f>IFERROR(__xludf.DUMMYFUNCTION("""COMPUTED_VALUE"""),"Phạm Ngọc Hưng (Zero)")</f>
        <v>Phạm Ngọc Hưng (Zero)</v>
      </c>
      <c r="C499" s="223" t="str">
        <f>IFERROR(__xludf.DUMMYFUNCTION("""COMPUTED_VALUE"""),"EL045")</f>
        <v>EL045</v>
      </c>
      <c r="D499" s="223" t="str">
        <f>IFERROR(__xludf.DUMMYFUNCTION("""COMPUTED_VALUE"""),"Phuoc Ta")</f>
        <v>Phuoc Ta</v>
      </c>
      <c r="E499" s="190" t="str">
        <f>IFERROR(__xludf.DUMMYFUNCTION("""COMPUTED_VALUE"""),"Communication 1")</f>
        <v>Communication 1</v>
      </c>
      <c r="F499" s="190" t="str">
        <f>IFERROR(__xludf.DUMMYFUNCTION("""COMPUTED_VALUE"""),"Pre-Intermediate 1")</f>
        <v>Pre-Intermediate 1</v>
      </c>
      <c r="G499" s="190"/>
      <c r="H499" s="219">
        <f>IFERROR(__xludf.DUMMYFUNCTION("""COMPUTED_VALUE"""),46083.625)</f>
        <v>46083.625</v>
      </c>
      <c r="I499" s="219">
        <f>IFERROR(__xludf.DUMMYFUNCTION("""COMPUTED_VALUE"""),46083.625)</f>
        <v>46083.625</v>
      </c>
      <c r="J499" s="190">
        <f>IFERROR(__xludf.DUMMYFUNCTION("""COMPUTED_VALUE"""),3.0)</f>
        <v>3</v>
      </c>
      <c r="K499" s="190" t="str">
        <f>IFERROR(__xludf.DUMMYFUNCTION("""COMPUTED_VALUE"""),"")</f>
        <v/>
      </c>
      <c r="L499" s="190" t="str">
        <f>IFERROR(__xludf.DUMMYFUNCTION("""COMPUTED_VALUE"""),"DEV")</f>
        <v>DEV</v>
      </c>
      <c r="M499" s="190" t="str">
        <f>IFERROR(__xludf.DUMMYFUNCTION("""COMPUTED_VALUE"""),"ONC")</f>
        <v>ONC</v>
      </c>
      <c r="N499" s="220">
        <f>IFERROR(__xludf.DUMMYFUNCTION("""COMPUTED_VALUE"""),3.0)</f>
        <v>3</v>
      </c>
      <c r="O499" s="220">
        <f>IFERROR(__xludf.DUMMYFUNCTION("""COMPUTED_VALUE"""),0.0)</f>
        <v>0</v>
      </c>
      <c r="P499" s="220"/>
      <c r="R499" s="210"/>
      <c r="S499" s="210"/>
      <c r="T499" s="210"/>
      <c r="U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row>
    <row r="500">
      <c r="A500" s="223" t="str">
        <f>IFERROR(__xludf.DUMMYFUNCTION("""COMPUTED_VALUE"""),"183379")</f>
        <v>183379</v>
      </c>
      <c r="B500" s="190" t="str">
        <f>IFERROR(__xludf.DUMMYFUNCTION("""COMPUTED_VALUE"""),"Tạ Phạm Minh Chương (Chivas)")</f>
        <v>Tạ Phạm Minh Chương (Chivas)</v>
      </c>
      <c r="C500" s="223" t="str">
        <f>IFERROR(__xludf.DUMMYFUNCTION("""COMPUTED_VALUE"""),"EL045")</f>
        <v>EL045</v>
      </c>
      <c r="D500" s="223" t="str">
        <f>IFERROR(__xludf.DUMMYFUNCTION("""COMPUTED_VALUE"""),"Phuoc Ta")</f>
        <v>Phuoc Ta</v>
      </c>
      <c r="E500" s="190" t="str">
        <f>IFERROR(__xludf.DUMMYFUNCTION("""COMPUTED_VALUE"""),"Communication 1")</f>
        <v>Communication 1</v>
      </c>
      <c r="F500" s="190" t="str">
        <f>IFERROR(__xludf.DUMMYFUNCTION("""COMPUTED_VALUE"""),"Beginner")</f>
        <v>Beginner</v>
      </c>
      <c r="G500" s="190"/>
      <c r="H500" s="219">
        <f>IFERROR(__xludf.DUMMYFUNCTION("""COMPUTED_VALUE"""),46083.625)</f>
        <v>46083.625</v>
      </c>
      <c r="I500" s="219">
        <f>IFERROR(__xludf.DUMMYFUNCTION("""COMPUTED_VALUE"""),46083.625)</f>
        <v>46083.625</v>
      </c>
      <c r="J500" s="190">
        <f>IFERROR(__xludf.DUMMYFUNCTION("""COMPUTED_VALUE"""),1.0)</f>
        <v>1</v>
      </c>
      <c r="K500" s="190" t="str">
        <f>IFERROR(__xludf.DUMMYFUNCTION("""COMPUTED_VALUE"""),"")</f>
        <v/>
      </c>
      <c r="L500" s="190" t="str">
        <f>IFERROR(__xludf.DUMMYFUNCTION("""COMPUTED_VALUE"""),"DEV")</f>
        <v>DEV</v>
      </c>
      <c r="M500" s="190" t="str">
        <f>IFERROR(__xludf.DUMMYFUNCTION("""COMPUTED_VALUE"""),"ONC")</f>
        <v>ONC</v>
      </c>
      <c r="N500" s="220">
        <f>IFERROR(__xludf.DUMMYFUNCTION("""COMPUTED_VALUE"""),1.0)</f>
        <v>1</v>
      </c>
      <c r="O500" s="220">
        <f>IFERROR(__xludf.DUMMYFUNCTION("""COMPUTED_VALUE"""),0.0)</f>
        <v>0</v>
      </c>
      <c r="P500" s="220"/>
      <c r="R500" s="210"/>
      <c r="S500" s="210"/>
      <c r="T500" s="210"/>
      <c r="U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row>
    <row r="501">
      <c r="A501" s="223" t="str">
        <f>IFERROR(__xludf.DUMMYFUNCTION("""COMPUTED_VALUE"""),"193530")</f>
        <v>193530</v>
      </c>
      <c r="B501" s="190" t="str">
        <f>IFERROR(__xludf.DUMMYFUNCTION("""COMPUTED_VALUE"""),"Trần Hùng Cường (Ethan)")</f>
        <v>Trần Hùng Cường (Ethan)</v>
      </c>
      <c r="C501" s="223" t="str">
        <f>IFERROR(__xludf.DUMMYFUNCTION("""COMPUTED_VALUE"""),"EL045")</f>
        <v>EL045</v>
      </c>
      <c r="D501" s="223" t="str">
        <f>IFERROR(__xludf.DUMMYFUNCTION("""COMPUTED_VALUE"""),"Phuoc Ta")</f>
        <v>Phuoc Ta</v>
      </c>
      <c r="E501" s="190" t="str">
        <f>IFERROR(__xludf.DUMMYFUNCTION("""COMPUTED_VALUE"""),"Communication 1")</f>
        <v>Communication 1</v>
      </c>
      <c r="F501" s="190" t="str">
        <f>IFERROR(__xludf.DUMMYFUNCTION("""COMPUTED_VALUE"""),"Beginner")</f>
        <v>Beginner</v>
      </c>
      <c r="G501" s="190"/>
      <c r="H501" s="219">
        <f>IFERROR(__xludf.DUMMYFUNCTION("""COMPUTED_VALUE"""),46083.625)</f>
        <v>46083.625</v>
      </c>
      <c r="I501" s="219">
        <f>IFERROR(__xludf.DUMMYFUNCTION("""COMPUTED_VALUE"""),46083.625)</f>
        <v>46083.625</v>
      </c>
      <c r="J501" s="190">
        <f>IFERROR(__xludf.DUMMYFUNCTION("""COMPUTED_VALUE"""),1.0)</f>
        <v>1</v>
      </c>
      <c r="K501" s="190" t="str">
        <f>IFERROR(__xludf.DUMMYFUNCTION("""COMPUTED_VALUE"""),"")</f>
        <v/>
      </c>
      <c r="L501" s="190" t="str">
        <f>IFERROR(__xludf.DUMMYFUNCTION("""COMPUTED_VALUE"""),"DEV")</f>
        <v>DEV</v>
      </c>
      <c r="M501" s="190" t="str">
        <f>IFERROR(__xludf.DUMMYFUNCTION("""COMPUTED_VALUE"""),"ONC")</f>
        <v>ONC</v>
      </c>
      <c r="N501" s="220">
        <f>IFERROR(__xludf.DUMMYFUNCTION("""COMPUTED_VALUE"""),1.0)</f>
        <v>1</v>
      </c>
      <c r="O501" s="220">
        <f>IFERROR(__xludf.DUMMYFUNCTION("""COMPUTED_VALUE"""),0.0)</f>
        <v>0</v>
      </c>
      <c r="P501" s="220"/>
      <c r="R501" s="210"/>
      <c r="S501" s="210"/>
      <c r="T501" s="210"/>
      <c r="U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row>
    <row r="502">
      <c r="A502" s="223" t="str">
        <f>IFERROR(__xludf.DUMMYFUNCTION("""COMPUTED_VALUE"""),"193470")</f>
        <v>193470</v>
      </c>
      <c r="B502" s="190" t="str">
        <f>IFERROR(__xludf.DUMMYFUNCTION("""COMPUTED_VALUE"""),"Nguyễn Quốc Thái")</f>
        <v>Nguyễn Quốc Thái</v>
      </c>
      <c r="C502" s="223" t="str">
        <f>IFERROR(__xludf.DUMMYFUNCTION("""COMPUTED_VALUE"""),"EL046")</f>
        <v>EL046</v>
      </c>
      <c r="D502" s="223" t="str">
        <f>IFERROR(__xludf.DUMMYFUNCTION("""COMPUTED_VALUE"""),"Thai Nguyen 1")</f>
        <v>Thai Nguyen 1</v>
      </c>
      <c r="E502" s="190" t="str">
        <f>IFERROR(__xludf.DUMMYFUNCTION("""COMPUTED_VALUE"""),"Communication 1")</f>
        <v>Communication 1</v>
      </c>
      <c r="F502" s="190" t="str">
        <f>IFERROR(__xludf.DUMMYFUNCTION("""COMPUTED_VALUE"""),"Beginner")</f>
        <v>Beginner</v>
      </c>
      <c r="G502" s="190"/>
      <c r="H502" s="219">
        <f>IFERROR(__xludf.DUMMYFUNCTION("""COMPUTED_VALUE"""),46085.58333333333)</f>
        <v>46085.58333</v>
      </c>
      <c r="I502" s="219">
        <f>IFERROR(__xludf.DUMMYFUNCTION("""COMPUTED_VALUE"""),46085.58333333333)</f>
        <v>46085.58333</v>
      </c>
      <c r="J502" s="190">
        <f>IFERROR(__xludf.DUMMYFUNCTION("""COMPUTED_VALUE"""),1.0)</f>
        <v>1</v>
      </c>
      <c r="K502" s="190" t="str">
        <f>IFERROR(__xludf.DUMMYFUNCTION("""COMPUTED_VALUE"""),"")</f>
        <v/>
      </c>
      <c r="L502" s="190" t="str">
        <f>IFERROR(__xludf.DUMMYFUNCTION("""COMPUTED_VALUE"""),"DEV")</f>
        <v>DEV</v>
      </c>
      <c r="M502" s="190" t="str">
        <f>IFERROR(__xludf.DUMMYFUNCTION("""COMPUTED_VALUE"""),"ONC")</f>
        <v>ONC</v>
      </c>
      <c r="N502" s="220">
        <f>IFERROR(__xludf.DUMMYFUNCTION("""COMPUTED_VALUE"""),1.0)</f>
        <v>1</v>
      </c>
      <c r="O502" s="220">
        <f>IFERROR(__xludf.DUMMYFUNCTION("""COMPUTED_VALUE"""),0.0)</f>
        <v>0</v>
      </c>
      <c r="P502" s="220"/>
      <c r="R502" s="210"/>
      <c r="S502" s="210"/>
      <c r="T502" s="210"/>
      <c r="U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row>
    <row r="503">
      <c r="A503" s="223" t="str">
        <f>IFERROR(__xludf.DUMMYFUNCTION("""COMPUTED_VALUE"""),"153138")</f>
        <v>153138</v>
      </c>
      <c r="B503" s="190" t="str">
        <f>IFERROR(__xludf.DUMMYFUNCTION("""COMPUTED_VALUE"""),"Nguyễn Đình Mạnh")</f>
        <v>Nguyễn Đình Mạnh</v>
      </c>
      <c r="C503" s="223" t="str">
        <f>IFERROR(__xludf.DUMMYFUNCTION("""COMPUTED_VALUE"""),"EL046")</f>
        <v>EL046</v>
      </c>
      <c r="D503" s="223" t="str">
        <f>IFERROR(__xludf.DUMMYFUNCTION("""COMPUTED_VALUE"""),"Thai Nguyen 1")</f>
        <v>Thai Nguyen 1</v>
      </c>
      <c r="E503" s="190" t="str">
        <f>IFERROR(__xludf.DUMMYFUNCTION("""COMPUTED_VALUE"""),"Communication 1")</f>
        <v>Communication 1</v>
      </c>
      <c r="F503" s="190" t="str">
        <f>IFERROR(__xludf.DUMMYFUNCTION("""COMPUTED_VALUE"""),"Beginner")</f>
        <v>Beginner</v>
      </c>
      <c r="G503" s="190"/>
      <c r="H503" s="219">
        <f>IFERROR(__xludf.DUMMYFUNCTION("""COMPUTED_VALUE"""),46085.58333333333)</f>
        <v>46085.58333</v>
      </c>
      <c r="I503" s="219">
        <f>IFERROR(__xludf.DUMMYFUNCTION("""COMPUTED_VALUE"""),46085.58333333333)</f>
        <v>46085.58333</v>
      </c>
      <c r="J503" s="190">
        <f>IFERROR(__xludf.DUMMYFUNCTION("""COMPUTED_VALUE"""),1.0)</f>
        <v>1</v>
      </c>
      <c r="K503" s="190" t="str">
        <f>IFERROR(__xludf.DUMMYFUNCTION("""COMPUTED_VALUE"""),"")</f>
        <v/>
      </c>
      <c r="L503" s="190" t="str">
        <f>IFERROR(__xludf.DUMMYFUNCTION("""COMPUTED_VALUE"""),"DEV")</f>
        <v>DEV</v>
      </c>
      <c r="M503" s="190" t="str">
        <f>IFERROR(__xludf.DUMMYFUNCTION("""COMPUTED_VALUE"""),"ONC")</f>
        <v>ONC</v>
      </c>
      <c r="N503" s="220">
        <f>IFERROR(__xludf.DUMMYFUNCTION("""COMPUTED_VALUE"""),1.0)</f>
        <v>1</v>
      </c>
      <c r="O503" s="220">
        <f>IFERROR(__xludf.DUMMYFUNCTION("""COMPUTED_VALUE"""),0.0)</f>
        <v>0</v>
      </c>
      <c r="P503" s="220"/>
      <c r="R503" s="210"/>
      <c r="S503" s="210"/>
      <c r="T503" s="210"/>
      <c r="U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row>
    <row r="504">
      <c r="A504" s="223" t="str">
        <f>IFERROR(__xludf.DUMMYFUNCTION("""COMPUTED_VALUE"""),"193522")</f>
        <v>193522</v>
      </c>
      <c r="B504" s="190" t="str">
        <f>IFERROR(__xludf.DUMMYFUNCTION("""COMPUTED_VALUE"""),"Đinh Bộ Lĩnh")</f>
        <v>Đinh Bộ Lĩnh</v>
      </c>
      <c r="C504" s="223" t="str">
        <f>IFERROR(__xludf.DUMMYFUNCTION("""COMPUTED_VALUE"""),"EL046")</f>
        <v>EL046</v>
      </c>
      <c r="D504" s="223" t="str">
        <f>IFERROR(__xludf.DUMMYFUNCTION("""COMPUTED_VALUE"""),"Thai Nguyen 1")</f>
        <v>Thai Nguyen 1</v>
      </c>
      <c r="E504" s="190" t="str">
        <f>IFERROR(__xludf.DUMMYFUNCTION("""COMPUTED_VALUE"""),"Communication 1")</f>
        <v>Communication 1</v>
      </c>
      <c r="F504" s="190" t="str">
        <f>IFERROR(__xludf.DUMMYFUNCTION("""COMPUTED_VALUE"""),"Beginner")</f>
        <v>Beginner</v>
      </c>
      <c r="G504" s="190"/>
      <c r="H504" s="219">
        <f>IFERROR(__xludf.DUMMYFUNCTION("""COMPUTED_VALUE"""),46085.58333333333)</f>
        <v>46085.58333</v>
      </c>
      <c r="I504" s="219">
        <f>IFERROR(__xludf.DUMMYFUNCTION("""COMPUTED_VALUE"""),46085.58333333333)</f>
        <v>46085.58333</v>
      </c>
      <c r="J504" s="190">
        <f>IFERROR(__xludf.DUMMYFUNCTION("""COMPUTED_VALUE"""),1.0)</f>
        <v>1</v>
      </c>
      <c r="K504" s="190" t="str">
        <f>IFERROR(__xludf.DUMMYFUNCTION("""COMPUTED_VALUE"""),"")</f>
        <v/>
      </c>
      <c r="L504" s="190" t="str">
        <f>IFERROR(__xludf.DUMMYFUNCTION("""COMPUTED_VALUE"""),"DEV")</f>
        <v>DEV</v>
      </c>
      <c r="M504" s="190" t="str">
        <f>IFERROR(__xludf.DUMMYFUNCTION("""COMPUTED_VALUE"""),"ONC")</f>
        <v>ONC</v>
      </c>
      <c r="N504" s="220">
        <f>IFERROR(__xludf.DUMMYFUNCTION("""COMPUTED_VALUE"""),1.0)</f>
        <v>1</v>
      </c>
      <c r="O504" s="220">
        <f>IFERROR(__xludf.DUMMYFUNCTION("""COMPUTED_VALUE"""),0.0)</f>
        <v>0</v>
      </c>
      <c r="P504" s="220"/>
      <c r="R504" s="210"/>
      <c r="S504" s="210"/>
      <c r="T504" s="210"/>
      <c r="U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row>
    <row r="505">
      <c r="A505" s="223" t="str">
        <f>IFERROR(__xludf.DUMMYFUNCTION("""COMPUTED_VALUE"""),"237070")</f>
        <v>237070</v>
      </c>
      <c r="B505" s="190" t="str">
        <f>IFERROR(__xludf.DUMMYFUNCTION("""COMPUTED_VALUE"""),"Cao Ngọc Nguyên")</f>
        <v>Cao Ngọc Nguyên</v>
      </c>
      <c r="C505" s="223" t="str">
        <f>IFERROR(__xludf.DUMMYFUNCTION("""COMPUTED_VALUE"""),"EL046")</f>
        <v>EL046</v>
      </c>
      <c r="D505" s="223" t="str">
        <f>IFERROR(__xludf.DUMMYFUNCTION("""COMPUTED_VALUE"""),"Thai Nguyen 1")</f>
        <v>Thai Nguyen 1</v>
      </c>
      <c r="E505" s="190" t="str">
        <f>IFERROR(__xludf.DUMMYFUNCTION("""COMPUTED_VALUE"""),"Communication 1")</f>
        <v>Communication 1</v>
      </c>
      <c r="F505" s="190" t="str">
        <f>IFERROR(__xludf.DUMMYFUNCTION("""COMPUTED_VALUE"""),"Beginner")</f>
        <v>Beginner</v>
      </c>
      <c r="G505" s="190"/>
      <c r="H505" s="219">
        <f>IFERROR(__xludf.DUMMYFUNCTION("""COMPUTED_VALUE"""),46085.58333333333)</f>
        <v>46085.58333</v>
      </c>
      <c r="I505" s="219">
        <f>IFERROR(__xludf.DUMMYFUNCTION("""COMPUTED_VALUE"""),46085.58333333333)</f>
        <v>46085.58333</v>
      </c>
      <c r="J505" s="190">
        <f>IFERROR(__xludf.DUMMYFUNCTION("""COMPUTED_VALUE"""),1.0)</f>
        <v>1</v>
      </c>
      <c r="K505" s="190" t="str">
        <f>IFERROR(__xludf.DUMMYFUNCTION("""COMPUTED_VALUE"""),"")</f>
        <v/>
      </c>
      <c r="L505" s="190" t="str">
        <f>IFERROR(__xludf.DUMMYFUNCTION("""COMPUTED_VALUE"""),"DEV")</f>
        <v>DEV</v>
      </c>
      <c r="M505" s="190" t="str">
        <f>IFERROR(__xludf.DUMMYFUNCTION("""COMPUTED_VALUE"""),"ONC")</f>
        <v>ONC</v>
      </c>
      <c r="N505" s="220">
        <f>IFERROR(__xludf.DUMMYFUNCTION("""COMPUTED_VALUE"""),1.0)</f>
        <v>1</v>
      </c>
      <c r="O505" s="220">
        <f>IFERROR(__xludf.DUMMYFUNCTION("""COMPUTED_VALUE"""),0.0)</f>
        <v>0</v>
      </c>
      <c r="P505" s="229"/>
      <c r="R505" s="210"/>
      <c r="S505" s="210"/>
      <c r="T505" s="210"/>
      <c r="U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row>
    <row r="506">
      <c r="A506" s="223" t="str">
        <f>IFERROR(__xludf.DUMMYFUNCTION("""COMPUTED_VALUE"""),"203757")</f>
        <v>203757</v>
      </c>
      <c r="B506" s="190" t="str">
        <f>IFERROR(__xludf.DUMMYFUNCTION("""COMPUTED_VALUE"""),"Trần Hoàng Tuấn")</f>
        <v>Trần Hoàng Tuấn</v>
      </c>
      <c r="C506" s="223" t="str">
        <f>IFERROR(__xludf.DUMMYFUNCTION("""COMPUTED_VALUE"""),"EL046")</f>
        <v>EL046</v>
      </c>
      <c r="D506" s="223" t="str">
        <f>IFERROR(__xludf.DUMMYFUNCTION("""COMPUTED_VALUE"""),"Thai Nguyen 1")</f>
        <v>Thai Nguyen 1</v>
      </c>
      <c r="E506" s="190" t="str">
        <f>IFERROR(__xludf.DUMMYFUNCTION("""COMPUTED_VALUE"""),"Communication 1")</f>
        <v>Communication 1</v>
      </c>
      <c r="F506" s="190" t="str">
        <f>IFERROR(__xludf.DUMMYFUNCTION("""COMPUTED_VALUE"""),"Beginner")</f>
        <v>Beginner</v>
      </c>
      <c r="G506" s="190"/>
      <c r="H506" s="219">
        <f>IFERROR(__xludf.DUMMYFUNCTION("""COMPUTED_VALUE"""),46085.58333333333)</f>
        <v>46085.58333</v>
      </c>
      <c r="I506" s="219">
        <f>IFERROR(__xludf.DUMMYFUNCTION("""COMPUTED_VALUE"""),46085.58333333333)</f>
        <v>46085.58333</v>
      </c>
      <c r="J506" s="190">
        <f>IFERROR(__xludf.DUMMYFUNCTION("""COMPUTED_VALUE"""),1.0)</f>
        <v>1</v>
      </c>
      <c r="K506" s="190" t="str">
        <f>IFERROR(__xludf.DUMMYFUNCTION("""COMPUTED_VALUE"""),"")</f>
        <v/>
      </c>
      <c r="L506" s="190" t="str">
        <f>IFERROR(__xludf.DUMMYFUNCTION("""COMPUTED_VALUE"""),"DEV")</f>
        <v>DEV</v>
      </c>
      <c r="M506" s="190" t="str">
        <f>IFERROR(__xludf.DUMMYFUNCTION("""COMPUTED_VALUE"""),"ONC")</f>
        <v>ONC</v>
      </c>
      <c r="N506" s="220">
        <f>IFERROR(__xludf.DUMMYFUNCTION("""COMPUTED_VALUE"""),1.0)</f>
        <v>1</v>
      </c>
      <c r="O506" s="220">
        <f>IFERROR(__xludf.DUMMYFUNCTION("""COMPUTED_VALUE"""),0.0)</f>
        <v>0</v>
      </c>
      <c r="P506" s="229"/>
      <c r="R506" s="210"/>
      <c r="S506" s="210"/>
      <c r="T506" s="210"/>
      <c r="U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row>
    <row r="507">
      <c r="A507" s="223" t="str">
        <f>IFERROR(__xludf.DUMMYFUNCTION("""COMPUTED_VALUE"""),"213911")</f>
        <v>213911</v>
      </c>
      <c r="B507" s="190" t="str">
        <f>IFERROR(__xludf.DUMMYFUNCTION("""COMPUTED_VALUE"""),"Hồ Phạm Sĩ Hùng")</f>
        <v>Hồ Phạm Sĩ Hùng</v>
      </c>
      <c r="C507" s="223" t="str">
        <f>IFERROR(__xludf.DUMMYFUNCTION("""COMPUTED_VALUE"""),"EL046")</f>
        <v>EL046</v>
      </c>
      <c r="D507" s="223" t="str">
        <f>IFERROR(__xludf.DUMMYFUNCTION("""COMPUTED_VALUE"""),"Thai Nguyen 1")</f>
        <v>Thai Nguyen 1</v>
      </c>
      <c r="E507" s="190" t="str">
        <f>IFERROR(__xludf.DUMMYFUNCTION("""COMPUTED_VALUE"""),"Communication 1")</f>
        <v>Communication 1</v>
      </c>
      <c r="F507" s="190" t="str">
        <f>IFERROR(__xludf.DUMMYFUNCTION("""COMPUTED_VALUE"""),"Beginner")</f>
        <v>Beginner</v>
      </c>
      <c r="G507" s="190"/>
      <c r="H507" s="219">
        <f>IFERROR(__xludf.DUMMYFUNCTION("""COMPUTED_VALUE"""),46085.58333333333)</f>
        <v>46085.58333</v>
      </c>
      <c r="I507" s="219">
        <f>IFERROR(__xludf.DUMMYFUNCTION("""COMPUTED_VALUE"""),46085.58333333333)</f>
        <v>46085.58333</v>
      </c>
      <c r="J507" s="190">
        <f>IFERROR(__xludf.DUMMYFUNCTION("""COMPUTED_VALUE"""),1.0)</f>
        <v>1</v>
      </c>
      <c r="K507" s="190" t="str">
        <f>IFERROR(__xludf.DUMMYFUNCTION("""COMPUTED_VALUE"""),"")</f>
        <v/>
      </c>
      <c r="L507" s="190" t="str">
        <f>IFERROR(__xludf.DUMMYFUNCTION("""COMPUTED_VALUE"""),"DEV")</f>
        <v>DEV</v>
      </c>
      <c r="M507" s="190" t="str">
        <f>IFERROR(__xludf.DUMMYFUNCTION("""COMPUTED_VALUE"""),"ONC")</f>
        <v>ONC</v>
      </c>
      <c r="N507" s="220">
        <f>IFERROR(__xludf.DUMMYFUNCTION("""COMPUTED_VALUE"""),1.0)</f>
        <v>1</v>
      </c>
      <c r="O507" s="220">
        <f>IFERROR(__xludf.DUMMYFUNCTION("""COMPUTED_VALUE"""),0.0)</f>
        <v>0</v>
      </c>
      <c r="P507" s="229"/>
      <c r="R507" s="210"/>
      <c r="S507" s="210"/>
      <c r="T507" s="210"/>
      <c r="U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row>
    <row r="508">
      <c r="A508" s="223" t="str">
        <f>IFERROR(__xludf.DUMMYFUNCTION("""COMPUTED_VALUE"""),"203791")</f>
        <v>203791</v>
      </c>
      <c r="B508" s="190" t="str">
        <f>IFERROR(__xludf.DUMMYFUNCTION("""COMPUTED_VALUE"""),"Trương Quốc Quy")</f>
        <v>Trương Quốc Quy</v>
      </c>
      <c r="C508" s="223" t="str">
        <f>IFERROR(__xludf.DUMMYFUNCTION("""COMPUTED_VALUE"""),"EL047")</f>
        <v>EL047</v>
      </c>
      <c r="D508" s="223" t="str">
        <f>IFERROR(__xludf.DUMMYFUNCTION("""COMPUTED_VALUE"""),"Thai Nguyen 2")</f>
        <v>Thai Nguyen 2</v>
      </c>
      <c r="E508" s="190" t="str">
        <f>IFERROR(__xludf.DUMMYFUNCTION("""COMPUTED_VALUE"""),"Communication 1")</f>
        <v>Communication 1</v>
      </c>
      <c r="F508" s="190" t="str">
        <f>IFERROR(__xludf.DUMMYFUNCTION("""COMPUTED_VALUE"""),"Beginner")</f>
        <v>Beginner</v>
      </c>
      <c r="G508" s="190"/>
      <c r="H508" s="219">
        <f>IFERROR(__xludf.DUMMYFUNCTION("""COMPUTED_VALUE"""),46085.625)</f>
        <v>46085.625</v>
      </c>
      <c r="I508" s="219">
        <f>IFERROR(__xludf.DUMMYFUNCTION("""COMPUTED_VALUE"""),46085.625)</f>
        <v>46085.625</v>
      </c>
      <c r="J508" s="190">
        <f>IFERROR(__xludf.DUMMYFUNCTION("""COMPUTED_VALUE"""),1.0)</f>
        <v>1</v>
      </c>
      <c r="K508" s="190" t="str">
        <f>IFERROR(__xludf.DUMMYFUNCTION("""COMPUTED_VALUE"""),"")</f>
        <v/>
      </c>
      <c r="L508" s="190" t="str">
        <f>IFERROR(__xludf.DUMMYFUNCTION("""COMPUTED_VALUE"""),"DEV")</f>
        <v>DEV</v>
      </c>
      <c r="M508" s="190" t="str">
        <f>IFERROR(__xludf.DUMMYFUNCTION("""COMPUTED_VALUE"""),"ONC")</f>
        <v>ONC</v>
      </c>
      <c r="N508" s="220">
        <f>IFERROR(__xludf.DUMMYFUNCTION("""COMPUTED_VALUE"""),1.0)</f>
        <v>1</v>
      </c>
      <c r="O508" s="220">
        <f>IFERROR(__xludf.DUMMYFUNCTION("""COMPUTED_VALUE"""),0.0)</f>
        <v>0</v>
      </c>
      <c r="P508" s="229"/>
      <c r="R508" s="210"/>
      <c r="S508" s="210"/>
      <c r="T508" s="210"/>
      <c r="U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row>
    <row r="509">
      <c r="A509" s="223" t="str">
        <f>IFERROR(__xludf.DUMMYFUNCTION("""COMPUTED_VALUE"""),"237031")</f>
        <v>237031</v>
      </c>
      <c r="B509" s="190" t="str">
        <f>IFERROR(__xludf.DUMMYFUNCTION("""COMPUTED_VALUE"""),"Nguyễn Ngọc Thạch")</f>
        <v>Nguyễn Ngọc Thạch</v>
      </c>
      <c r="C509" s="223" t="str">
        <f>IFERROR(__xludf.DUMMYFUNCTION("""COMPUTED_VALUE"""),"EL047")</f>
        <v>EL047</v>
      </c>
      <c r="D509" s="223" t="str">
        <f>IFERROR(__xludf.DUMMYFUNCTION("""COMPUTED_VALUE"""),"Thai Nguyen 2")</f>
        <v>Thai Nguyen 2</v>
      </c>
      <c r="E509" s="190" t="str">
        <f>IFERROR(__xludf.DUMMYFUNCTION("""COMPUTED_VALUE"""),"Communication 1")</f>
        <v>Communication 1</v>
      </c>
      <c r="F509" s="190" t="str">
        <f>IFERROR(__xludf.DUMMYFUNCTION("""COMPUTED_VALUE"""),"Beginner")</f>
        <v>Beginner</v>
      </c>
      <c r="G509" s="190"/>
      <c r="H509" s="219">
        <f>IFERROR(__xludf.DUMMYFUNCTION("""COMPUTED_VALUE"""),46085.625)</f>
        <v>46085.625</v>
      </c>
      <c r="I509" s="219">
        <f>IFERROR(__xludf.DUMMYFUNCTION("""COMPUTED_VALUE"""),46085.625)</f>
        <v>46085.625</v>
      </c>
      <c r="J509" s="190">
        <f>IFERROR(__xludf.DUMMYFUNCTION("""COMPUTED_VALUE"""),1.0)</f>
        <v>1</v>
      </c>
      <c r="K509" s="190" t="str">
        <f>IFERROR(__xludf.DUMMYFUNCTION("""COMPUTED_VALUE"""),"")</f>
        <v/>
      </c>
      <c r="L509" s="190" t="str">
        <f>IFERROR(__xludf.DUMMYFUNCTION("""COMPUTED_VALUE"""),"DEV")</f>
        <v>DEV</v>
      </c>
      <c r="M509" s="190" t="str">
        <f>IFERROR(__xludf.DUMMYFUNCTION("""COMPUTED_VALUE"""),"ONC")</f>
        <v>ONC</v>
      </c>
      <c r="N509" s="220">
        <f>IFERROR(__xludf.DUMMYFUNCTION("""COMPUTED_VALUE"""),1.0)</f>
        <v>1</v>
      </c>
      <c r="O509" s="220">
        <f>IFERROR(__xludf.DUMMYFUNCTION("""COMPUTED_VALUE"""),0.0)</f>
        <v>0</v>
      </c>
      <c r="P509" s="229"/>
      <c r="R509" s="210"/>
      <c r="S509" s="210"/>
      <c r="T509" s="210"/>
      <c r="U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row>
    <row r="510">
      <c r="A510" s="223" t="str">
        <f>IFERROR(__xludf.DUMMYFUNCTION("""COMPUTED_VALUE"""),"203713")</f>
        <v>203713</v>
      </c>
      <c r="B510" s="190" t="str">
        <f>IFERROR(__xludf.DUMMYFUNCTION("""COMPUTED_VALUE"""),"Bùi Quang Khôi")</f>
        <v>Bùi Quang Khôi</v>
      </c>
      <c r="C510" s="223" t="str">
        <f>IFERROR(__xludf.DUMMYFUNCTION("""COMPUTED_VALUE"""),"EL047")</f>
        <v>EL047</v>
      </c>
      <c r="D510" s="223" t="str">
        <f>IFERROR(__xludf.DUMMYFUNCTION("""COMPUTED_VALUE"""),"Thai Nguyen 2")</f>
        <v>Thai Nguyen 2</v>
      </c>
      <c r="E510" s="190" t="str">
        <f>IFERROR(__xludf.DUMMYFUNCTION("""COMPUTED_VALUE"""),"Communication 1")</f>
        <v>Communication 1</v>
      </c>
      <c r="F510" s="190" t="str">
        <f>IFERROR(__xludf.DUMMYFUNCTION("""COMPUTED_VALUE"""),"Beginner")</f>
        <v>Beginner</v>
      </c>
      <c r="G510" s="190"/>
      <c r="H510" s="219">
        <f>IFERROR(__xludf.DUMMYFUNCTION("""COMPUTED_VALUE"""),46085.625)</f>
        <v>46085.625</v>
      </c>
      <c r="I510" s="219">
        <f>IFERROR(__xludf.DUMMYFUNCTION("""COMPUTED_VALUE"""),46085.625)</f>
        <v>46085.625</v>
      </c>
      <c r="J510" s="190">
        <f>IFERROR(__xludf.DUMMYFUNCTION("""COMPUTED_VALUE"""),1.0)</f>
        <v>1</v>
      </c>
      <c r="K510" s="190" t="str">
        <f>IFERROR(__xludf.DUMMYFUNCTION("""COMPUTED_VALUE"""),"")</f>
        <v/>
      </c>
      <c r="L510" s="190" t="str">
        <f>IFERROR(__xludf.DUMMYFUNCTION("""COMPUTED_VALUE"""),"DEV")</f>
        <v>DEV</v>
      </c>
      <c r="M510" s="190" t="str">
        <f>IFERROR(__xludf.DUMMYFUNCTION("""COMPUTED_VALUE"""),"ONC")</f>
        <v>ONC</v>
      </c>
      <c r="N510" s="220">
        <f>IFERROR(__xludf.DUMMYFUNCTION("""COMPUTED_VALUE"""),1.0)</f>
        <v>1</v>
      </c>
      <c r="O510" s="220">
        <f>IFERROR(__xludf.DUMMYFUNCTION("""COMPUTED_VALUE"""),0.0)</f>
        <v>0</v>
      </c>
      <c r="P510" s="229"/>
      <c r="R510" s="210"/>
      <c r="S510" s="210"/>
      <c r="T510" s="210"/>
      <c r="U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row>
    <row r="511">
      <c r="A511" s="223" t="str">
        <f>IFERROR(__xludf.DUMMYFUNCTION("""COMPUTED_VALUE"""),"213874")</f>
        <v>213874</v>
      </c>
      <c r="B511" s="190" t="str">
        <f>IFERROR(__xludf.DUMMYFUNCTION("""COMPUTED_VALUE"""),"Nguyễn Hoàng Hải")</f>
        <v>Nguyễn Hoàng Hải</v>
      </c>
      <c r="C511" s="223" t="str">
        <f>IFERROR(__xludf.DUMMYFUNCTION("""COMPUTED_VALUE"""),"EL047")</f>
        <v>EL047</v>
      </c>
      <c r="D511" s="223" t="str">
        <f>IFERROR(__xludf.DUMMYFUNCTION("""COMPUTED_VALUE"""),"Thai Nguyen 2")</f>
        <v>Thai Nguyen 2</v>
      </c>
      <c r="E511" s="190" t="str">
        <f>IFERROR(__xludf.DUMMYFUNCTION("""COMPUTED_VALUE"""),"Communication 1")</f>
        <v>Communication 1</v>
      </c>
      <c r="F511" s="190" t="str">
        <f>IFERROR(__xludf.DUMMYFUNCTION("""COMPUTED_VALUE"""),"Beginner")</f>
        <v>Beginner</v>
      </c>
      <c r="G511" s="190"/>
      <c r="H511" s="219">
        <f>IFERROR(__xludf.DUMMYFUNCTION("""COMPUTED_VALUE"""),46085.625)</f>
        <v>46085.625</v>
      </c>
      <c r="I511" s="219">
        <f>IFERROR(__xludf.DUMMYFUNCTION("""COMPUTED_VALUE"""),46085.625)</f>
        <v>46085.625</v>
      </c>
      <c r="J511" s="190">
        <f>IFERROR(__xludf.DUMMYFUNCTION("""COMPUTED_VALUE"""),1.0)</f>
        <v>1</v>
      </c>
      <c r="K511" s="190" t="str">
        <f>IFERROR(__xludf.DUMMYFUNCTION("""COMPUTED_VALUE"""),"")</f>
        <v/>
      </c>
      <c r="L511" s="190" t="str">
        <f>IFERROR(__xludf.DUMMYFUNCTION("""COMPUTED_VALUE"""),"DEV")</f>
        <v>DEV</v>
      </c>
      <c r="M511" s="190" t="str">
        <f>IFERROR(__xludf.DUMMYFUNCTION("""COMPUTED_VALUE"""),"ONC")</f>
        <v>ONC</v>
      </c>
      <c r="N511" s="220">
        <f>IFERROR(__xludf.DUMMYFUNCTION("""COMPUTED_VALUE"""),1.0)</f>
        <v>1</v>
      </c>
      <c r="O511" s="220">
        <f>IFERROR(__xludf.DUMMYFUNCTION("""COMPUTED_VALUE"""),0.0)</f>
        <v>0</v>
      </c>
      <c r="P511" s="229"/>
      <c r="R511" s="210"/>
      <c r="S511" s="210"/>
      <c r="T511" s="210"/>
      <c r="U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row>
    <row r="512">
      <c r="A512" s="223" t="str">
        <f>IFERROR(__xludf.DUMMYFUNCTION("""COMPUTED_VALUE"""),"203725")</f>
        <v>203725</v>
      </c>
      <c r="B512" s="190" t="str">
        <f>IFERROR(__xludf.DUMMYFUNCTION("""COMPUTED_VALUE"""),"Đặng Thanh Túc")</f>
        <v>Đặng Thanh Túc</v>
      </c>
      <c r="C512" s="223" t="str">
        <f>IFERROR(__xludf.DUMMYFUNCTION("""COMPUTED_VALUE"""),"EL047")</f>
        <v>EL047</v>
      </c>
      <c r="D512" s="223" t="str">
        <f>IFERROR(__xludf.DUMMYFUNCTION("""COMPUTED_VALUE"""),"Thai Nguyen 2")</f>
        <v>Thai Nguyen 2</v>
      </c>
      <c r="E512" s="190" t="str">
        <f>IFERROR(__xludf.DUMMYFUNCTION("""COMPUTED_VALUE"""),"Communication 1")</f>
        <v>Communication 1</v>
      </c>
      <c r="F512" s="190" t="str">
        <f>IFERROR(__xludf.DUMMYFUNCTION("""COMPUTED_VALUE"""),"Beginner")</f>
        <v>Beginner</v>
      </c>
      <c r="G512" s="190"/>
      <c r="H512" s="219">
        <f>IFERROR(__xludf.DUMMYFUNCTION("""COMPUTED_VALUE"""),46085.625)</f>
        <v>46085.625</v>
      </c>
      <c r="I512" s="219">
        <f>IFERROR(__xludf.DUMMYFUNCTION("""COMPUTED_VALUE"""),46085.625)</f>
        <v>46085.625</v>
      </c>
      <c r="J512" s="190">
        <f>IFERROR(__xludf.DUMMYFUNCTION("""COMPUTED_VALUE"""),1.0)</f>
        <v>1</v>
      </c>
      <c r="K512" s="190" t="str">
        <f>IFERROR(__xludf.DUMMYFUNCTION("""COMPUTED_VALUE"""),"")</f>
        <v/>
      </c>
      <c r="L512" s="190" t="str">
        <f>IFERROR(__xludf.DUMMYFUNCTION("""COMPUTED_VALUE"""),"DEV")</f>
        <v>DEV</v>
      </c>
      <c r="M512" s="190" t="str">
        <f>IFERROR(__xludf.DUMMYFUNCTION("""COMPUTED_VALUE"""),"ONC")</f>
        <v>ONC</v>
      </c>
      <c r="N512" s="220">
        <f>IFERROR(__xludf.DUMMYFUNCTION("""COMPUTED_VALUE"""),1.0)</f>
        <v>1</v>
      </c>
      <c r="O512" s="220">
        <f>IFERROR(__xludf.DUMMYFUNCTION("""COMPUTED_VALUE"""),0.0)</f>
        <v>0</v>
      </c>
      <c r="P512" s="229"/>
      <c r="R512" s="210"/>
      <c r="S512" s="210"/>
      <c r="T512" s="210"/>
      <c r="U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row>
    <row r="513">
      <c r="A513" s="223" t="str">
        <f>IFERROR(__xludf.DUMMYFUNCTION("""COMPUTED_VALUE"""),"193607")</f>
        <v>193607</v>
      </c>
      <c r="B513" s="190" t="str">
        <f>IFERROR(__xludf.DUMMYFUNCTION("""COMPUTED_VALUE"""),"Nguyen Tran Minh Nghia")</f>
        <v>Nguyen Tran Minh Nghia</v>
      </c>
      <c r="C513" s="223" t="str">
        <f>IFERROR(__xludf.DUMMYFUNCTION("""COMPUTED_VALUE"""),"EL047")</f>
        <v>EL047</v>
      </c>
      <c r="D513" s="223" t="str">
        <f>IFERROR(__xludf.DUMMYFUNCTION("""COMPUTED_VALUE"""),"Thai Nguyen 2")</f>
        <v>Thai Nguyen 2</v>
      </c>
      <c r="E513" s="190" t="str">
        <f>IFERROR(__xludf.DUMMYFUNCTION("""COMPUTED_VALUE"""),"Communication 1")</f>
        <v>Communication 1</v>
      </c>
      <c r="F513" s="190" t="str">
        <f>IFERROR(__xludf.DUMMYFUNCTION("""COMPUTED_VALUE"""),"Beginner")</f>
        <v>Beginner</v>
      </c>
      <c r="G513" s="190"/>
      <c r="H513" s="219">
        <f>IFERROR(__xludf.DUMMYFUNCTION("""COMPUTED_VALUE"""),46085.625)</f>
        <v>46085.625</v>
      </c>
      <c r="I513" s="219">
        <f>IFERROR(__xludf.DUMMYFUNCTION("""COMPUTED_VALUE"""),45917.58333333333)</f>
        <v>45917.58333</v>
      </c>
      <c r="J513" s="190">
        <f>IFERROR(__xludf.DUMMYFUNCTION("""COMPUTED_VALUE"""),1.0)</f>
        <v>1</v>
      </c>
      <c r="K513" s="190" t="str">
        <f>IFERROR(__xludf.DUMMYFUNCTION("""COMPUTED_VALUE"""),"")</f>
        <v/>
      </c>
      <c r="L513" s="190" t="str">
        <f>IFERROR(__xludf.DUMMYFUNCTION("""COMPUTED_VALUE"""),"DEV")</f>
        <v>DEV</v>
      </c>
      <c r="M513" s="190" t="str">
        <f>IFERROR(__xludf.DUMMYFUNCTION("""COMPUTED_VALUE"""),"ONC")</f>
        <v>ONC</v>
      </c>
      <c r="N513" s="220">
        <f>IFERROR(__xludf.DUMMYFUNCTION("""COMPUTED_VALUE"""),1.0)</f>
        <v>1</v>
      </c>
      <c r="O513" s="220">
        <f>IFERROR(__xludf.DUMMYFUNCTION("""COMPUTED_VALUE"""),0.0)</f>
        <v>0</v>
      </c>
      <c r="P513" s="220"/>
      <c r="R513" s="210"/>
      <c r="S513" s="210"/>
      <c r="T513" s="210"/>
      <c r="U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row>
    <row r="514">
      <c r="A514" s="223" t="str">
        <f>IFERROR(__xludf.DUMMYFUNCTION("""COMPUTED_VALUE"""),"227005")</f>
        <v>227005</v>
      </c>
      <c r="B514" s="190" t="str">
        <f>IFERROR(__xludf.DUMMYFUNCTION("""COMPUTED_VALUE"""),"Ngô Thị Huyền Trang (Joyce)")</f>
        <v>Ngô Thị Huyền Trang (Joyce)</v>
      </c>
      <c r="C514" s="223" t="str">
        <f>IFERROR(__xludf.DUMMYFUNCTION("""COMPUTED_VALUE"""),"EL048")</f>
        <v>EL048</v>
      </c>
      <c r="D514" s="223" t="str">
        <f>IFERROR(__xludf.DUMMYFUNCTION("""COMPUTED_VALUE"""),"Trang Nguyen")</f>
        <v>Trang Nguyen</v>
      </c>
      <c r="E514" s="190" t="str">
        <f>IFERROR(__xludf.DUMMYFUNCTION("""COMPUTED_VALUE"""),"Communication 1")</f>
        <v>Communication 1</v>
      </c>
      <c r="F514" s="190" t="str">
        <f>IFERROR(__xludf.DUMMYFUNCTION("""COMPUTED_VALUE"""),"Pre-Intermediate 2")</f>
        <v>Pre-Intermediate 2</v>
      </c>
      <c r="G514" s="190"/>
      <c r="H514" s="219">
        <f>IFERROR(__xludf.DUMMYFUNCTION("""COMPUTED_VALUE"""),46113.58333333333)</f>
        <v>46113.58333</v>
      </c>
      <c r="I514" s="219">
        <f>IFERROR(__xludf.DUMMYFUNCTION("""COMPUTED_VALUE"""),46113.58333333333)</f>
        <v>46113.58333</v>
      </c>
      <c r="J514" s="190">
        <f>IFERROR(__xludf.DUMMYFUNCTION("""COMPUTED_VALUE"""),3.5)</f>
        <v>3.5</v>
      </c>
      <c r="K514" s="190" t="str">
        <f>IFERROR(__xludf.DUMMYFUNCTION("""COMPUTED_VALUE"""),"")</f>
        <v/>
      </c>
      <c r="L514" s="190" t="str">
        <f>IFERROR(__xludf.DUMMYFUNCTION("""COMPUTED_VALUE"""),"IM")</f>
        <v>IM</v>
      </c>
      <c r="M514" s="190" t="str">
        <f>IFERROR(__xludf.DUMMYFUNCTION("""COMPUTED_VALUE"""),"CHORUS")</f>
        <v>CHORUS</v>
      </c>
      <c r="N514" s="220">
        <f>IFERROR(__xludf.DUMMYFUNCTION("""COMPUTED_VALUE"""),3.5)</f>
        <v>3.5</v>
      </c>
      <c r="O514" s="220">
        <f>IFERROR(__xludf.DUMMYFUNCTION("""COMPUTED_VALUE"""),0.0)</f>
        <v>0</v>
      </c>
      <c r="P514" s="220"/>
      <c r="R514" s="210"/>
      <c r="S514" s="210"/>
      <c r="T514" s="210"/>
      <c r="U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row>
    <row r="515">
      <c r="A515" s="223" t="str">
        <f>IFERROR(__xludf.DUMMYFUNCTION("""COMPUTED_VALUE"""),"213813")</f>
        <v>213813</v>
      </c>
      <c r="B515" s="190" t="str">
        <f>IFERROR(__xludf.DUMMYFUNCTION("""COMPUTED_VALUE"""),"Lê Trọng Ân")</f>
        <v>Lê Trọng Ân</v>
      </c>
      <c r="C515" s="223" t="str">
        <f>IFERROR(__xludf.DUMMYFUNCTION("""COMPUTED_VALUE"""),"EL048")</f>
        <v>EL048</v>
      </c>
      <c r="D515" s="223" t="str">
        <f>IFERROR(__xludf.DUMMYFUNCTION("""COMPUTED_VALUE"""),"Trang Nguyen")</f>
        <v>Trang Nguyen</v>
      </c>
      <c r="E515" s="190" t="str">
        <f>IFERROR(__xludf.DUMMYFUNCTION("""COMPUTED_VALUE"""),"Communication 1")</f>
        <v>Communication 1</v>
      </c>
      <c r="F515" s="190" t="str">
        <f>IFERROR(__xludf.DUMMYFUNCTION("""COMPUTED_VALUE"""),"Beginner")</f>
        <v>Beginner</v>
      </c>
      <c r="G515" s="190"/>
      <c r="H515" s="219">
        <f>IFERROR(__xludf.DUMMYFUNCTION("""COMPUTED_VALUE"""),46113.58333333333)</f>
        <v>46113.58333</v>
      </c>
      <c r="I515" s="219">
        <f>IFERROR(__xludf.DUMMYFUNCTION("""COMPUTED_VALUE"""),46113.58333333333)</f>
        <v>46113.58333</v>
      </c>
      <c r="J515" s="190">
        <f>IFERROR(__xludf.DUMMYFUNCTION("""COMPUTED_VALUE"""),1.0)</f>
        <v>1</v>
      </c>
      <c r="K515" s="190" t="str">
        <f>IFERROR(__xludf.DUMMYFUNCTION("""COMPUTED_VALUE"""),"")</f>
        <v/>
      </c>
      <c r="L515" s="190" t="str">
        <f>IFERROR(__xludf.DUMMYFUNCTION("""COMPUTED_VALUE"""),"DEV")</f>
        <v>DEV</v>
      </c>
      <c r="M515" s="190" t="str">
        <f>IFERROR(__xludf.DUMMYFUNCTION("""COMPUTED_VALUE"""),"LBU")</f>
        <v>LBU</v>
      </c>
      <c r="N515" s="220">
        <f>IFERROR(__xludf.DUMMYFUNCTION("""COMPUTED_VALUE"""),1.0)</f>
        <v>1</v>
      </c>
      <c r="O515" s="220">
        <f>IFERROR(__xludf.DUMMYFUNCTION("""COMPUTED_VALUE"""),0.0)</f>
        <v>0</v>
      </c>
      <c r="P515" s="220"/>
      <c r="R515" s="210"/>
      <c r="S515" s="210"/>
      <c r="T515" s="210"/>
      <c r="U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row>
    <row r="516">
      <c r="A516" s="223" t="str">
        <f>IFERROR(__xludf.DUMMYFUNCTION("""COMPUTED_VALUE"""),"203786")</f>
        <v>203786</v>
      </c>
      <c r="B516" s="190" t="str">
        <f>IFERROR(__xludf.DUMMYFUNCTION("""COMPUTED_VALUE"""),"Trần Ánh Tuyết (Taylor)")</f>
        <v>Trần Ánh Tuyết (Taylor)</v>
      </c>
      <c r="C516" s="223" t="str">
        <f>IFERROR(__xludf.DUMMYFUNCTION("""COMPUTED_VALUE"""),"EL048")</f>
        <v>EL048</v>
      </c>
      <c r="D516" s="223" t="str">
        <f>IFERROR(__xludf.DUMMYFUNCTION("""COMPUTED_VALUE"""),"Trang Nguyen")</f>
        <v>Trang Nguyen</v>
      </c>
      <c r="E516" s="190" t="str">
        <f>IFERROR(__xludf.DUMMYFUNCTION("""COMPUTED_VALUE"""),"Communication 1")</f>
        <v>Communication 1</v>
      </c>
      <c r="F516" s="190" t="str">
        <f>IFERROR(__xludf.DUMMYFUNCTION("""COMPUTED_VALUE"""),"Pre-Intermediate 2")</f>
        <v>Pre-Intermediate 2</v>
      </c>
      <c r="G516" s="190"/>
      <c r="H516" s="219">
        <f>IFERROR(__xludf.DUMMYFUNCTION("""COMPUTED_VALUE"""),46113.58333333333)</f>
        <v>46113.58333</v>
      </c>
      <c r="I516" s="219">
        <f>IFERROR(__xludf.DUMMYFUNCTION("""COMPUTED_VALUE"""),46113.58333333333)</f>
        <v>46113.58333</v>
      </c>
      <c r="J516" s="190">
        <f>IFERROR(__xludf.DUMMYFUNCTION("""COMPUTED_VALUE"""),3.5)</f>
        <v>3.5</v>
      </c>
      <c r="K516" s="190" t="str">
        <f>IFERROR(__xludf.DUMMYFUNCTION("""COMPUTED_VALUE"""),"")</f>
        <v/>
      </c>
      <c r="L516" s="190" t="str">
        <f>IFERROR(__xludf.DUMMYFUNCTION("""COMPUTED_VALUE"""),"BA")</f>
        <v>BA</v>
      </c>
      <c r="M516" s="190" t="str">
        <f>IFERROR(__xludf.DUMMYFUNCTION("""COMPUTED_VALUE"""),"LBU")</f>
        <v>LBU</v>
      </c>
      <c r="N516" s="220">
        <f>IFERROR(__xludf.DUMMYFUNCTION("""COMPUTED_VALUE"""),3.5)</f>
        <v>3.5</v>
      </c>
      <c r="O516" s="220">
        <f>IFERROR(__xludf.DUMMYFUNCTION("""COMPUTED_VALUE"""),0.0)</f>
        <v>0</v>
      </c>
      <c r="P516" s="220"/>
      <c r="R516" s="210"/>
      <c r="S516" s="210"/>
      <c r="T516" s="210"/>
      <c r="U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row>
    <row r="517">
      <c r="A517" s="223" t="str">
        <f>IFERROR(__xludf.DUMMYFUNCTION("""COMPUTED_VALUE"""),"257121")</f>
        <v>257121</v>
      </c>
      <c r="B517" s="190" t="str">
        <f>IFERROR(__xludf.DUMMYFUNCTION("""COMPUTED_VALUE"""),"Nguyễn Kim Khánh (Annie)")</f>
        <v>Nguyễn Kim Khánh (Annie)</v>
      </c>
      <c r="C517" s="223" t="str">
        <f>IFERROR(__xludf.DUMMYFUNCTION("""COMPUTED_VALUE"""),"EL048")</f>
        <v>EL048</v>
      </c>
      <c r="D517" s="223" t="str">
        <f>IFERROR(__xludf.DUMMYFUNCTION("""COMPUTED_VALUE"""),"Trang Nguyen")</f>
        <v>Trang Nguyen</v>
      </c>
      <c r="E517" s="190" t="str">
        <f>IFERROR(__xludf.DUMMYFUNCTION("""COMPUTED_VALUE"""),"Communication 1")</f>
        <v>Communication 1</v>
      </c>
      <c r="F517" s="190" t="str">
        <f>IFERROR(__xludf.DUMMYFUNCTION("""COMPUTED_VALUE"""),"Beginner 2")</f>
        <v>Beginner 2</v>
      </c>
      <c r="G517" s="190"/>
      <c r="H517" s="219">
        <f>IFERROR(__xludf.DUMMYFUNCTION("""COMPUTED_VALUE"""),46113.58333333333)</f>
        <v>46113.58333</v>
      </c>
      <c r="I517" s="219">
        <f>IFERROR(__xludf.DUMMYFUNCTION("""COMPUTED_VALUE"""),46113.58333333333)</f>
        <v>46113.58333</v>
      </c>
      <c r="J517" s="190">
        <f>IFERROR(__xludf.DUMMYFUNCTION("""COMPUTED_VALUE"""),1.5)</f>
        <v>1.5</v>
      </c>
      <c r="K517" s="190" t="str">
        <f>IFERROR(__xludf.DUMMYFUNCTION("""COMPUTED_VALUE"""),"")</f>
        <v/>
      </c>
      <c r="L517" s="190" t="str">
        <f>IFERROR(__xludf.DUMMYFUNCTION("""COMPUTED_VALUE"""),"GSD")</f>
        <v>GSD</v>
      </c>
      <c r="M517" s="190" t="str">
        <f>IFERROR(__xludf.DUMMYFUNCTION("""COMPUTED_VALUE"""),"POC")</f>
        <v>POC</v>
      </c>
      <c r="N517" s="220">
        <f>IFERROR(__xludf.DUMMYFUNCTION("""COMPUTED_VALUE"""),1.5)</f>
        <v>1.5</v>
      </c>
      <c r="O517" s="220">
        <f>IFERROR(__xludf.DUMMYFUNCTION("""COMPUTED_VALUE"""),0.0)</f>
        <v>0</v>
      </c>
      <c r="P517" s="220"/>
      <c r="R517" s="210"/>
      <c r="S517" s="210"/>
      <c r="T517" s="210"/>
      <c r="U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row>
    <row r="518">
      <c r="A518" s="223" t="str">
        <f>IFERROR(__xludf.DUMMYFUNCTION("""COMPUTED_VALUE"""),"257135")</f>
        <v>257135</v>
      </c>
      <c r="B518" s="190" t="str">
        <f>IFERROR(__xludf.DUMMYFUNCTION("""COMPUTED_VALUE"""),"Lê Tuyết Ngân")</f>
        <v>Lê Tuyết Ngân</v>
      </c>
      <c r="C518" s="223" t="str">
        <f>IFERROR(__xludf.DUMMYFUNCTION("""COMPUTED_VALUE"""),"EL048")</f>
        <v>EL048</v>
      </c>
      <c r="D518" s="223" t="str">
        <f>IFERROR(__xludf.DUMMYFUNCTION("""COMPUTED_VALUE"""),"Trang Nguyen")</f>
        <v>Trang Nguyen</v>
      </c>
      <c r="E518" s="190" t="str">
        <f>IFERROR(__xludf.DUMMYFUNCTION("""COMPUTED_VALUE"""),"Communication 1")</f>
        <v>Communication 1</v>
      </c>
      <c r="F518" s="190" t="str">
        <f>IFERROR(__xludf.DUMMYFUNCTION("""COMPUTED_VALUE"""),"Beginner")</f>
        <v>Beginner</v>
      </c>
      <c r="G518" s="190"/>
      <c r="H518" s="219">
        <f>IFERROR(__xludf.DUMMYFUNCTION("""COMPUTED_VALUE"""),46113.58333333333)</f>
        <v>46113.58333</v>
      </c>
      <c r="I518" s="219">
        <f>IFERROR(__xludf.DUMMYFUNCTION("""COMPUTED_VALUE"""),46113.58333333333)</f>
        <v>46113.58333</v>
      </c>
      <c r="J518" s="190">
        <f>IFERROR(__xludf.DUMMYFUNCTION("""COMPUTED_VALUE"""),1.0)</f>
        <v>1</v>
      </c>
      <c r="K518" s="190" t="str">
        <f>IFERROR(__xludf.DUMMYFUNCTION("""COMPUTED_VALUE"""),"")</f>
        <v/>
      </c>
      <c r="L518" s="190" t="str">
        <f>IFERROR(__xludf.DUMMYFUNCTION("""COMPUTED_VALUE"""),"Designer")</f>
        <v>Designer</v>
      </c>
      <c r="M518" s="190" t="str">
        <f>IFERROR(__xludf.DUMMYFUNCTION("""COMPUTED_VALUE"""),"LBU")</f>
        <v>LBU</v>
      </c>
      <c r="N518" s="220">
        <f>IFERROR(__xludf.DUMMYFUNCTION("""COMPUTED_VALUE"""),1.0)</f>
        <v>1</v>
      </c>
      <c r="O518" s="220">
        <f>IFERROR(__xludf.DUMMYFUNCTION("""COMPUTED_VALUE"""),0.0)</f>
        <v>0</v>
      </c>
      <c r="P518" s="220"/>
      <c r="R518" s="210"/>
      <c r="S518" s="210"/>
      <c r="T518" s="210"/>
      <c r="U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row>
    <row r="519">
      <c r="A519" s="223" t="str">
        <f>IFERROR(__xludf.DUMMYFUNCTION("""COMPUTED_VALUE"""),"257059")</f>
        <v>257059</v>
      </c>
      <c r="B519" s="190" t="str">
        <f>IFERROR(__xludf.DUMMYFUNCTION("""COMPUTED_VALUE"""),"Nguyễn Ngọc Hào")</f>
        <v>Nguyễn Ngọc Hào</v>
      </c>
      <c r="C519" s="223" t="str">
        <f>IFERROR(__xludf.DUMMYFUNCTION("""COMPUTED_VALUE"""),"EL048")</f>
        <v>EL048</v>
      </c>
      <c r="D519" s="223" t="str">
        <f>IFERROR(__xludf.DUMMYFUNCTION("""COMPUTED_VALUE"""),"Trang Nguyen")</f>
        <v>Trang Nguyen</v>
      </c>
      <c r="E519" s="190" t="str">
        <f>IFERROR(__xludf.DUMMYFUNCTION("""COMPUTED_VALUE"""),"Communication 1")</f>
        <v>Communication 1</v>
      </c>
      <c r="F519" s="190" t="str">
        <f>IFERROR(__xludf.DUMMYFUNCTION("""COMPUTED_VALUE"""),"Beginner")</f>
        <v>Beginner</v>
      </c>
      <c r="G519" s="190"/>
      <c r="H519" s="219">
        <f>IFERROR(__xludf.DUMMYFUNCTION("""COMPUTED_VALUE"""),46113.58333333333)</f>
        <v>46113.58333</v>
      </c>
      <c r="I519" s="219">
        <f>IFERROR(__xludf.DUMMYFUNCTION("""COMPUTED_VALUE"""),46113.58333333333)</f>
        <v>46113.58333</v>
      </c>
      <c r="J519" s="190">
        <f>IFERROR(__xludf.DUMMYFUNCTION("""COMPUTED_VALUE"""),1.0)</f>
        <v>1</v>
      </c>
      <c r="K519" s="190" t="str">
        <f>IFERROR(__xludf.DUMMYFUNCTION("""COMPUTED_VALUE"""),"")</f>
        <v/>
      </c>
      <c r="L519" s="190" t="str">
        <f>IFERROR(__xludf.DUMMYFUNCTION("""COMPUTED_VALUE"""),"Designer")</f>
        <v>Designer</v>
      </c>
      <c r="M519" s="190" t="str">
        <f>IFERROR(__xludf.DUMMYFUNCTION("""COMPUTED_VALUE"""),"LBU")</f>
        <v>LBU</v>
      </c>
      <c r="N519" s="220">
        <f>IFERROR(__xludf.DUMMYFUNCTION("""COMPUTED_VALUE"""),1.0)</f>
        <v>1</v>
      </c>
      <c r="O519" s="220">
        <f>IFERROR(__xludf.DUMMYFUNCTION("""COMPUTED_VALUE"""),0.0)</f>
        <v>0</v>
      </c>
      <c r="P519" s="220"/>
      <c r="R519" s="210"/>
      <c r="S519" s="210"/>
      <c r="T519" s="210"/>
      <c r="U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row>
    <row r="520">
      <c r="A520" s="223" t="str">
        <f>IFERROR(__xludf.DUMMYFUNCTION("""COMPUTED_VALUE"""),"237103")</f>
        <v>237103</v>
      </c>
      <c r="B520" s="190" t="str">
        <f>IFERROR(__xludf.DUMMYFUNCTION("""COMPUTED_VALUE"""),"Nguyễn Thị Thùy Linh")</f>
        <v>Nguyễn Thị Thùy Linh</v>
      </c>
      <c r="C520" s="223" t="str">
        <f>IFERROR(__xludf.DUMMYFUNCTION("""COMPUTED_VALUE"""),"EL048")</f>
        <v>EL048</v>
      </c>
      <c r="D520" s="223" t="str">
        <f>IFERROR(__xludf.DUMMYFUNCTION("""COMPUTED_VALUE"""),"Trang Nguyen")</f>
        <v>Trang Nguyen</v>
      </c>
      <c r="E520" s="190" t="str">
        <f>IFERROR(__xludf.DUMMYFUNCTION("""COMPUTED_VALUE"""),"Communication 1")</f>
        <v>Communication 1</v>
      </c>
      <c r="F520" s="190" t="str">
        <f>IFERROR(__xludf.DUMMYFUNCTION("""COMPUTED_VALUE"""),"Beginner")</f>
        <v>Beginner</v>
      </c>
      <c r="G520" s="190"/>
      <c r="H520" s="219">
        <f>IFERROR(__xludf.DUMMYFUNCTION("""COMPUTED_VALUE"""),46113.58333333333)</f>
        <v>46113.58333</v>
      </c>
      <c r="I520" s="219">
        <f>IFERROR(__xludf.DUMMYFUNCTION("""COMPUTED_VALUE"""),46086.58333333333)</f>
        <v>46086.58333</v>
      </c>
      <c r="J520" s="190">
        <f>IFERROR(__xludf.DUMMYFUNCTION("""COMPUTED_VALUE"""),1.0)</f>
        <v>1</v>
      </c>
      <c r="K520" s="190" t="str">
        <f>IFERROR(__xludf.DUMMYFUNCTION("""COMPUTED_VALUE"""),"")</f>
        <v/>
      </c>
      <c r="L520" s="190" t="str">
        <f>IFERROR(__xludf.DUMMYFUNCTION("""COMPUTED_VALUE"""),"UI/UX")</f>
        <v>UI/UX</v>
      </c>
      <c r="M520" s="190" t="str">
        <f>IFERROR(__xludf.DUMMYFUNCTION("""COMPUTED_VALUE"""),"CHORUS")</f>
        <v>CHORUS</v>
      </c>
      <c r="N520" s="220">
        <f>IFERROR(__xludf.DUMMYFUNCTION("""COMPUTED_VALUE"""),0.5)</f>
        <v>0.5</v>
      </c>
      <c r="O520" s="220">
        <f>IFERROR(__xludf.DUMMYFUNCTION("""COMPUTED_VALUE"""),0.0)</f>
        <v>0</v>
      </c>
      <c r="P520" s="220"/>
      <c r="R520" s="210"/>
      <c r="S520" s="210"/>
      <c r="T520" s="210"/>
      <c r="U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row>
    <row r="521">
      <c r="A521" s="223" t="str">
        <f>IFERROR(__xludf.DUMMYFUNCTION("""COMPUTED_VALUE"""),"247423")</f>
        <v>247423</v>
      </c>
      <c r="B521" s="190" t="str">
        <f>IFERROR(__xludf.DUMMYFUNCTION("""COMPUTED_VALUE"""),"CHUNG QUANG PHƯƠNG")</f>
        <v>CHUNG QUANG PHƯƠNG</v>
      </c>
      <c r="C521" s="223" t="str">
        <f>IFERROR(__xludf.DUMMYFUNCTION("""COMPUTED_VALUE"""),"EL049")</f>
        <v>EL049</v>
      </c>
      <c r="D521" s="223" t="str">
        <f>IFERROR(__xludf.DUMMYFUNCTION("""COMPUTED_VALUE"""),"Phung Nguyen")</f>
        <v>Phung Nguyen</v>
      </c>
      <c r="E521" s="190" t="str">
        <f>IFERROR(__xludf.DUMMYFUNCTION("""COMPUTED_VALUE"""),"Foundation")</f>
        <v>Foundation</v>
      </c>
      <c r="F521" s="190" t="str">
        <f>IFERROR(__xludf.DUMMYFUNCTION("""COMPUTED_VALUE"""),"Foundation")</f>
        <v>Foundation</v>
      </c>
      <c r="G521" s="190"/>
      <c r="H521" s="219">
        <f>IFERROR(__xludf.DUMMYFUNCTION("""COMPUTED_VALUE"""),46086.58333333333)</f>
        <v>46086.58333</v>
      </c>
      <c r="I521" s="219">
        <f>IFERROR(__xludf.DUMMYFUNCTION("""COMPUTED_VALUE"""),46086.58333333333)</f>
        <v>46086.58333</v>
      </c>
      <c r="J521" s="190">
        <f>IFERROR(__xludf.DUMMYFUNCTION("""COMPUTED_VALUE"""),0.5)</f>
        <v>0.5</v>
      </c>
      <c r="K521" s="190" t="str">
        <f>IFERROR(__xludf.DUMMYFUNCTION("""COMPUTED_VALUE"""),"")</f>
        <v/>
      </c>
      <c r="L521" s="190" t="str">
        <f>IFERROR(__xludf.DUMMYFUNCTION("""COMPUTED_VALUE"""),"DEV")</f>
        <v>DEV</v>
      </c>
      <c r="M521" s="190" t="str">
        <f>IFERROR(__xludf.DUMMYFUNCTION("""COMPUTED_VALUE"""),"MOC")</f>
        <v>MOC</v>
      </c>
      <c r="N521" s="220">
        <f>IFERROR(__xludf.DUMMYFUNCTION("""COMPUTED_VALUE"""),0.5)</f>
        <v>0.5</v>
      </c>
      <c r="O521" s="220">
        <f>IFERROR(__xludf.DUMMYFUNCTION("""COMPUTED_VALUE"""),0.0)</f>
        <v>0</v>
      </c>
      <c r="P521" s="220"/>
      <c r="R521" s="210"/>
      <c r="S521" s="210"/>
      <c r="T521" s="210"/>
      <c r="U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row>
    <row r="522">
      <c r="A522" s="223" t="str">
        <f>IFERROR(__xludf.DUMMYFUNCTION("""COMPUTED_VALUE"""),"257134")</f>
        <v>257134</v>
      </c>
      <c r="B522" s="190" t="str">
        <f>IFERROR(__xludf.DUMMYFUNCTION("""COMPUTED_VALUE"""),"ĐINH QUỐC HUẤN")</f>
        <v>ĐINH QUỐC HUẤN</v>
      </c>
      <c r="C522" s="223" t="str">
        <f>IFERROR(__xludf.DUMMYFUNCTION("""COMPUTED_VALUE"""),"EL049")</f>
        <v>EL049</v>
      </c>
      <c r="D522" s="223" t="str">
        <f>IFERROR(__xludf.DUMMYFUNCTION("""COMPUTED_VALUE"""),"Phung Nguyen")</f>
        <v>Phung Nguyen</v>
      </c>
      <c r="E522" s="190" t="str">
        <f>IFERROR(__xludf.DUMMYFUNCTION("""COMPUTED_VALUE"""),"Foundation")</f>
        <v>Foundation</v>
      </c>
      <c r="F522" s="190" t="str">
        <f>IFERROR(__xludf.DUMMYFUNCTION("""COMPUTED_VALUE"""),"Foundation")</f>
        <v>Foundation</v>
      </c>
      <c r="G522" s="190"/>
      <c r="H522" s="219">
        <f>IFERROR(__xludf.DUMMYFUNCTION("""COMPUTED_VALUE"""),46086.58333333333)</f>
        <v>46086.58333</v>
      </c>
      <c r="I522" s="219">
        <f>IFERROR(__xludf.DUMMYFUNCTION("""COMPUTED_VALUE"""),46086.58333333333)</f>
        <v>46086.58333</v>
      </c>
      <c r="J522" s="190">
        <f>IFERROR(__xludf.DUMMYFUNCTION("""COMPUTED_VALUE"""),0.5)</f>
        <v>0.5</v>
      </c>
      <c r="K522" s="190" t="str">
        <f>IFERROR(__xludf.DUMMYFUNCTION("""COMPUTED_VALUE"""),"")</f>
        <v/>
      </c>
      <c r="L522" s="190" t="str">
        <f>IFERROR(__xludf.DUMMYFUNCTION("""COMPUTED_VALUE"""),"Designer")</f>
        <v>Designer</v>
      </c>
      <c r="M522" s="190" t="str">
        <f>IFERROR(__xludf.DUMMYFUNCTION("""COMPUTED_VALUE"""),"LBU")</f>
        <v>LBU</v>
      </c>
      <c r="N522" s="220">
        <f>IFERROR(__xludf.DUMMYFUNCTION("""COMPUTED_VALUE"""),0.5)</f>
        <v>0.5</v>
      </c>
      <c r="O522" s="220">
        <f>IFERROR(__xludf.DUMMYFUNCTION("""COMPUTED_VALUE"""),0.0)</f>
        <v>0</v>
      </c>
      <c r="P522" s="220"/>
      <c r="R522" s="210"/>
      <c r="S522" s="210"/>
      <c r="T522" s="210"/>
      <c r="U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row>
    <row r="523">
      <c r="A523" s="223" t="str">
        <f>IFERROR(__xludf.DUMMYFUNCTION("""COMPUTED_VALUE"""),"237239")</f>
        <v>237239</v>
      </c>
      <c r="B523" s="190" t="str">
        <f>IFERROR(__xludf.DUMMYFUNCTION("""COMPUTED_VALUE"""),"ĐỖ NGỌC THÀNH")</f>
        <v>ĐỖ NGỌC THÀNH</v>
      </c>
      <c r="C523" s="223" t="str">
        <f>IFERROR(__xludf.DUMMYFUNCTION("""COMPUTED_VALUE"""),"EL049")</f>
        <v>EL049</v>
      </c>
      <c r="D523" s="223" t="str">
        <f>IFERROR(__xludf.DUMMYFUNCTION("""COMPUTED_VALUE"""),"Phung Nguyen")</f>
        <v>Phung Nguyen</v>
      </c>
      <c r="E523" s="190" t="str">
        <f>IFERROR(__xludf.DUMMYFUNCTION("""COMPUTED_VALUE"""),"Foundation")</f>
        <v>Foundation</v>
      </c>
      <c r="F523" s="190" t="str">
        <f>IFERROR(__xludf.DUMMYFUNCTION("""COMPUTED_VALUE"""),"Foundation")</f>
        <v>Foundation</v>
      </c>
      <c r="G523" s="190"/>
      <c r="H523" s="219">
        <f>IFERROR(__xludf.DUMMYFUNCTION("""COMPUTED_VALUE"""),46086.58333333333)</f>
        <v>46086.58333</v>
      </c>
      <c r="I523" s="219">
        <f>IFERROR(__xludf.DUMMYFUNCTION("""COMPUTED_VALUE"""),46086.58333333333)</f>
        <v>46086.58333</v>
      </c>
      <c r="J523" s="190">
        <f>IFERROR(__xludf.DUMMYFUNCTION("""COMPUTED_VALUE"""),0.5)</f>
        <v>0.5</v>
      </c>
      <c r="K523" s="190" t="str">
        <f>IFERROR(__xludf.DUMMYFUNCTION("""COMPUTED_VALUE"""),"")</f>
        <v/>
      </c>
      <c r="L523" s="190" t="str">
        <f>IFERROR(__xludf.DUMMYFUNCTION("""COMPUTED_VALUE"""),"DEV")</f>
        <v>DEV</v>
      </c>
      <c r="M523" s="190" t="str">
        <f>IFERROR(__xludf.DUMMYFUNCTION("""COMPUTED_VALUE"""),"CHORUS")</f>
        <v>CHORUS</v>
      </c>
      <c r="N523" s="220">
        <f>IFERROR(__xludf.DUMMYFUNCTION("""COMPUTED_VALUE"""),0.5)</f>
        <v>0.5</v>
      </c>
      <c r="O523" s="220">
        <f>IFERROR(__xludf.DUMMYFUNCTION("""COMPUTED_VALUE"""),0.0)</f>
        <v>0</v>
      </c>
      <c r="P523" s="220"/>
      <c r="R523" s="210"/>
      <c r="S523" s="210"/>
      <c r="T523" s="210"/>
      <c r="U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row>
    <row r="524">
      <c r="A524" s="223" t="str">
        <f>IFERROR(__xludf.DUMMYFUNCTION("""COMPUTED_VALUE"""),"227116")</f>
        <v>227116</v>
      </c>
      <c r="B524" s="190" t="str">
        <f>IFERROR(__xludf.DUMMYFUNCTION("""COMPUTED_VALUE"""),"LÊ THẾ PHƯƠNG")</f>
        <v>LÊ THẾ PHƯƠNG</v>
      </c>
      <c r="C524" s="223" t="str">
        <f>IFERROR(__xludf.DUMMYFUNCTION("""COMPUTED_VALUE"""),"EL049")</f>
        <v>EL049</v>
      </c>
      <c r="D524" s="223" t="str">
        <f>IFERROR(__xludf.DUMMYFUNCTION("""COMPUTED_VALUE"""),"Phung Nguyen")</f>
        <v>Phung Nguyen</v>
      </c>
      <c r="E524" s="190" t="str">
        <f>IFERROR(__xludf.DUMMYFUNCTION("""COMPUTED_VALUE"""),"Foundation")</f>
        <v>Foundation</v>
      </c>
      <c r="F524" s="190" t="str">
        <f>IFERROR(__xludf.DUMMYFUNCTION("""COMPUTED_VALUE"""),"Foundation")</f>
        <v>Foundation</v>
      </c>
      <c r="G524" s="190"/>
      <c r="H524" s="219">
        <f>IFERROR(__xludf.DUMMYFUNCTION("""COMPUTED_VALUE"""),46086.58333333333)</f>
        <v>46086.58333</v>
      </c>
      <c r="I524" s="219">
        <f>IFERROR(__xludf.DUMMYFUNCTION("""COMPUTED_VALUE"""),46086.58333333333)</f>
        <v>46086.58333</v>
      </c>
      <c r="J524" s="190">
        <f>IFERROR(__xludf.DUMMYFUNCTION("""COMPUTED_VALUE"""),0.5)</f>
        <v>0.5</v>
      </c>
      <c r="K524" s="190" t="str">
        <f>IFERROR(__xludf.DUMMYFUNCTION("""COMPUTED_VALUE"""),"")</f>
        <v/>
      </c>
      <c r="L524" s="190" t="str">
        <f>IFERROR(__xludf.DUMMYFUNCTION("""COMPUTED_VALUE"""),"DEV")</f>
        <v>DEV</v>
      </c>
      <c r="M524" s="190" t="str">
        <f>IFERROR(__xludf.DUMMYFUNCTION("""COMPUTED_VALUE"""),"CHORUS")</f>
        <v>CHORUS</v>
      </c>
      <c r="N524" s="220">
        <f>IFERROR(__xludf.DUMMYFUNCTION("""COMPUTED_VALUE"""),0.5)</f>
        <v>0.5</v>
      </c>
      <c r="O524" s="220">
        <f>IFERROR(__xludf.DUMMYFUNCTION("""COMPUTED_VALUE"""),0.0)</f>
        <v>0</v>
      </c>
      <c r="P524" s="220"/>
      <c r="R524" s="210"/>
      <c r="S524" s="210"/>
      <c r="T524" s="210"/>
      <c r="U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row>
    <row r="525">
      <c r="A525" s="223" t="str">
        <f>IFERROR(__xludf.DUMMYFUNCTION("""COMPUTED_VALUE"""),"247413")</f>
        <v>247413</v>
      </c>
      <c r="B525" s="190" t="str">
        <f>IFERROR(__xludf.DUMMYFUNCTION("""COMPUTED_VALUE"""),"NGUYỄN ĐỨC TIẾN")</f>
        <v>NGUYỄN ĐỨC TIẾN</v>
      </c>
      <c r="C525" s="223" t="str">
        <f>IFERROR(__xludf.DUMMYFUNCTION("""COMPUTED_VALUE"""),"EL049")</f>
        <v>EL049</v>
      </c>
      <c r="D525" s="223" t="str">
        <f>IFERROR(__xludf.DUMMYFUNCTION("""COMPUTED_VALUE"""),"Phung Nguyen")</f>
        <v>Phung Nguyen</v>
      </c>
      <c r="E525" s="190" t="str">
        <f>IFERROR(__xludf.DUMMYFUNCTION("""COMPUTED_VALUE"""),"Foundation")</f>
        <v>Foundation</v>
      </c>
      <c r="F525" s="190" t="str">
        <f>IFERROR(__xludf.DUMMYFUNCTION("""COMPUTED_VALUE"""),"Foundation")</f>
        <v>Foundation</v>
      </c>
      <c r="G525" s="190"/>
      <c r="H525" s="219">
        <f>IFERROR(__xludf.DUMMYFUNCTION("""COMPUTED_VALUE"""),46086.58333333333)</f>
        <v>46086.58333</v>
      </c>
      <c r="I525" s="219">
        <f>IFERROR(__xludf.DUMMYFUNCTION("""COMPUTED_VALUE"""),46086.58333333333)</f>
        <v>46086.58333</v>
      </c>
      <c r="J525" s="190">
        <f>IFERROR(__xludf.DUMMYFUNCTION("""COMPUTED_VALUE"""),0.5)</f>
        <v>0.5</v>
      </c>
      <c r="K525" s="190" t="str">
        <f>IFERROR(__xludf.DUMMYFUNCTION("""COMPUTED_VALUE"""),"")</f>
        <v/>
      </c>
      <c r="L525" s="190" t="str">
        <f>IFERROR(__xludf.DUMMYFUNCTION("""COMPUTED_VALUE"""),"DEV")</f>
        <v>DEV</v>
      </c>
      <c r="M525" s="190" t="str">
        <f>IFERROR(__xludf.DUMMYFUNCTION("""COMPUTED_VALUE"""),"CHORUS")</f>
        <v>CHORUS</v>
      </c>
      <c r="N525" s="220">
        <f>IFERROR(__xludf.DUMMYFUNCTION("""COMPUTED_VALUE"""),0.5)</f>
        <v>0.5</v>
      </c>
      <c r="O525" s="220">
        <f>IFERROR(__xludf.DUMMYFUNCTION("""COMPUTED_VALUE"""),0.0)</f>
        <v>0</v>
      </c>
      <c r="P525" s="220"/>
      <c r="R525" s="210"/>
      <c r="S525" s="210"/>
      <c r="T525" s="210"/>
      <c r="U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row>
    <row r="526">
      <c r="A526" s="223" t="str">
        <f>IFERROR(__xludf.DUMMYFUNCTION("""COMPUTED_VALUE"""),"183382")</f>
        <v>183382</v>
      </c>
      <c r="B526" s="190" t="str">
        <f>IFERROR(__xludf.DUMMYFUNCTION("""COMPUTED_VALUE"""),"NGUYỄN DUY PHÚ")</f>
        <v>NGUYỄN DUY PHÚ</v>
      </c>
      <c r="C526" s="223" t="str">
        <f>IFERROR(__xludf.DUMMYFUNCTION("""COMPUTED_VALUE"""),"EL049")</f>
        <v>EL049</v>
      </c>
      <c r="D526" s="223" t="str">
        <f>IFERROR(__xludf.DUMMYFUNCTION("""COMPUTED_VALUE"""),"Phung Nguyen")</f>
        <v>Phung Nguyen</v>
      </c>
      <c r="E526" s="190" t="str">
        <f>IFERROR(__xludf.DUMMYFUNCTION("""COMPUTED_VALUE"""),"Foundation")</f>
        <v>Foundation</v>
      </c>
      <c r="F526" s="190" t="str">
        <f>IFERROR(__xludf.DUMMYFUNCTION("""COMPUTED_VALUE"""),"Foundation")</f>
        <v>Foundation</v>
      </c>
      <c r="G526" s="190"/>
      <c r="H526" s="219">
        <f>IFERROR(__xludf.DUMMYFUNCTION("""COMPUTED_VALUE"""),46086.58333333333)</f>
        <v>46086.58333</v>
      </c>
      <c r="I526" s="219">
        <f>IFERROR(__xludf.DUMMYFUNCTION("""COMPUTED_VALUE"""),46086.58333333333)</f>
        <v>46086.58333</v>
      </c>
      <c r="J526" s="190">
        <f>IFERROR(__xludf.DUMMYFUNCTION("""COMPUTED_VALUE"""),0.5)</f>
        <v>0.5</v>
      </c>
      <c r="K526" s="190" t="str">
        <f>IFERROR(__xludf.DUMMYFUNCTION("""COMPUTED_VALUE"""),"")</f>
        <v/>
      </c>
      <c r="L526" s="190" t="str">
        <f>IFERROR(__xludf.DUMMYFUNCTION("""COMPUTED_VALUE"""),"DEV")</f>
        <v>DEV</v>
      </c>
      <c r="M526" s="190" t="str">
        <f>IFERROR(__xludf.DUMMYFUNCTION("""COMPUTED_VALUE"""),"CHORUS")</f>
        <v>CHORUS</v>
      </c>
      <c r="N526" s="220">
        <f>IFERROR(__xludf.DUMMYFUNCTION("""COMPUTED_VALUE"""),0.5)</f>
        <v>0.5</v>
      </c>
      <c r="O526" s="220">
        <f>IFERROR(__xludf.DUMMYFUNCTION("""COMPUTED_VALUE"""),0.0)</f>
        <v>0</v>
      </c>
      <c r="P526" s="220"/>
      <c r="R526" s="210"/>
      <c r="S526" s="210"/>
      <c r="T526" s="210"/>
      <c r="U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row>
    <row r="527">
      <c r="A527" s="223" t="str">
        <f>IFERROR(__xludf.DUMMYFUNCTION("""COMPUTED_VALUE"""),"227103")</f>
        <v>227103</v>
      </c>
      <c r="B527" s="190" t="str">
        <f>IFERROR(__xludf.DUMMYFUNCTION("""COMPUTED_VALUE"""),"NGUYỄN HUỲNH SƠN")</f>
        <v>NGUYỄN HUỲNH SƠN</v>
      </c>
      <c r="C527" s="223" t="str">
        <f>IFERROR(__xludf.DUMMYFUNCTION("""COMPUTED_VALUE"""),"EL049")</f>
        <v>EL049</v>
      </c>
      <c r="D527" s="223" t="str">
        <f>IFERROR(__xludf.DUMMYFUNCTION("""COMPUTED_VALUE"""),"Phung Nguyen")</f>
        <v>Phung Nguyen</v>
      </c>
      <c r="E527" s="190" t="str">
        <f>IFERROR(__xludf.DUMMYFUNCTION("""COMPUTED_VALUE"""),"Foundation")</f>
        <v>Foundation</v>
      </c>
      <c r="F527" s="190" t="str">
        <f>IFERROR(__xludf.DUMMYFUNCTION("""COMPUTED_VALUE"""),"Foundation")</f>
        <v>Foundation</v>
      </c>
      <c r="G527" s="190"/>
      <c r="H527" s="219">
        <f>IFERROR(__xludf.DUMMYFUNCTION("""COMPUTED_VALUE"""),46086.58333333333)</f>
        <v>46086.58333</v>
      </c>
      <c r="I527" s="219">
        <f>IFERROR(__xludf.DUMMYFUNCTION("""COMPUTED_VALUE"""),46086.58333333333)</f>
        <v>46086.58333</v>
      </c>
      <c r="J527" s="190">
        <f>IFERROR(__xludf.DUMMYFUNCTION("""COMPUTED_VALUE"""),0.5)</f>
        <v>0.5</v>
      </c>
      <c r="K527" s="190" t="str">
        <f>IFERROR(__xludf.DUMMYFUNCTION("""COMPUTED_VALUE"""),"")</f>
        <v/>
      </c>
      <c r="L527" s="190" t="str">
        <f>IFERROR(__xludf.DUMMYFUNCTION("""COMPUTED_VALUE"""),"DEV")</f>
        <v>DEV</v>
      </c>
      <c r="M527" s="190" t="str">
        <f>IFERROR(__xludf.DUMMYFUNCTION("""COMPUTED_VALUE"""),"CHORUS")</f>
        <v>CHORUS</v>
      </c>
      <c r="N527" s="220">
        <f>IFERROR(__xludf.DUMMYFUNCTION("""COMPUTED_VALUE"""),0.5)</f>
        <v>0.5</v>
      </c>
      <c r="O527" s="220">
        <f>IFERROR(__xludf.DUMMYFUNCTION("""COMPUTED_VALUE"""),0.0)</f>
        <v>0</v>
      </c>
      <c r="P527" s="220"/>
      <c r="R527" s="210"/>
      <c r="S527" s="210"/>
      <c r="T527" s="210"/>
      <c r="U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row>
    <row r="528">
      <c r="A528" s="223" t="str">
        <f>IFERROR(__xludf.DUMMYFUNCTION("""COMPUTED_VALUE"""),"237201")</f>
        <v>237201</v>
      </c>
      <c r="B528" s="190" t="str">
        <f>IFERROR(__xludf.DUMMYFUNCTION("""COMPUTED_VALUE"""),"NGUYỄN MINH QUANG")</f>
        <v>NGUYỄN MINH QUANG</v>
      </c>
      <c r="C528" s="223" t="str">
        <f>IFERROR(__xludf.DUMMYFUNCTION("""COMPUTED_VALUE"""),"EL049")</f>
        <v>EL049</v>
      </c>
      <c r="D528" s="223" t="str">
        <f>IFERROR(__xludf.DUMMYFUNCTION("""COMPUTED_VALUE"""),"Phung Nguyen")</f>
        <v>Phung Nguyen</v>
      </c>
      <c r="E528" s="190" t="str">
        <f>IFERROR(__xludf.DUMMYFUNCTION("""COMPUTED_VALUE"""),"Foundation")</f>
        <v>Foundation</v>
      </c>
      <c r="F528" s="190" t="str">
        <f>IFERROR(__xludf.DUMMYFUNCTION("""COMPUTED_VALUE"""),"Foundation")</f>
        <v>Foundation</v>
      </c>
      <c r="G528" s="190"/>
      <c r="H528" s="219">
        <f>IFERROR(__xludf.DUMMYFUNCTION("""COMPUTED_VALUE"""),46086.58333333333)</f>
        <v>46086.58333</v>
      </c>
      <c r="I528" s="219">
        <f>IFERROR(__xludf.DUMMYFUNCTION("""COMPUTED_VALUE"""),46086.58333333333)</f>
        <v>46086.58333</v>
      </c>
      <c r="J528" s="190">
        <f>IFERROR(__xludf.DUMMYFUNCTION("""COMPUTED_VALUE"""),0.5)</f>
        <v>0.5</v>
      </c>
      <c r="K528" s="190" t="str">
        <f>IFERROR(__xludf.DUMMYFUNCTION("""COMPUTED_VALUE"""),"")</f>
        <v/>
      </c>
      <c r="L528" s="190" t="str">
        <f>IFERROR(__xludf.DUMMYFUNCTION("""COMPUTED_VALUE"""),"QC")</f>
        <v>QC</v>
      </c>
      <c r="M528" s="190" t="str">
        <f>IFERROR(__xludf.DUMMYFUNCTION("""COMPUTED_VALUE"""),"CHORUS")</f>
        <v>CHORUS</v>
      </c>
      <c r="N528" s="220">
        <f>IFERROR(__xludf.DUMMYFUNCTION("""COMPUTED_VALUE"""),0.5)</f>
        <v>0.5</v>
      </c>
      <c r="O528" s="220">
        <f>IFERROR(__xludf.DUMMYFUNCTION("""COMPUTED_VALUE"""),0.0)</f>
        <v>0</v>
      </c>
      <c r="P528" s="220"/>
      <c r="R528" s="210"/>
      <c r="S528" s="210"/>
      <c r="T528" s="210"/>
      <c r="U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row>
    <row r="529">
      <c r="A529" s="223" t="str">
        <f>IFERROR(__xludf.DUMMYFUNCTION("""COMPUTED_VALUE"""),"237103")</f>
        <v>237103</v>
      </c>
      <c r="B529" s="190" t="str">
        <f>IFERROR(__xludf.DUMMYFUNCTION("""COMPUTED_VALUE"""),"NGUYỄN THỊ THÙY LINH")</f>
        <v>NGUYỄN THỊ THÙY LINH</v>
      </c>
      <c r="C529" s="223" t="str">
        <f>IFERROR(__xludf.DUMMYFUNCTION("""COMPUTED_VALUE"""),"EL049")</f>
        <v>EL049</v>
      </c>
      <c r="D529" s="223" t="str">
        <f>IFERROR(__xludf.DUMMYFUNCTION("""COMPUTED_VALUE"""),"Phung Nguyen")</f>
        <v>Phung Nguyen</v>
      </c>
      <c r="E529" s="190" t="str">
        <f>IFERROR(__xludf.DUMMYFUNCTION("""COMPUTED_VALUE"""),"Foundation")</f>
        <v>Foundation</v>
      </c>
      <c r="F529" s="190" t="str">
        <f>IFERROR(__xludf.DUMMYFUNCTION("""COMPUTED_VALUE"""),"Foundation")</f>
        <v>Foundation</v>
      </c>
      <c r="G529" s="190"/>
      <c r="H529" s="219">
        <f>IFERROR(__xludf.DUMMYFUNCTION("""COMPUTED_VALUE"""),46086.58333333333)</f>
        <v>46086.58333</v>
      </c>
      <c r="I529" s="219">
        <f>IFERROR(__xludf.DUMMYFUNCTION("""COMPUTED_VALUE"""),46086.58333333333)</f>
        <v>46086.58333</v>
      </c>
      <c r="J529" s="190">
        <f>IFERROR(__xludf.DUMMYFUNCTION("""COMPUTED_VALUE"""),0.5)</f>
        <v>0.5</v>
      </c>
      <c r="K529" s="190" t="str">
        <f>IFERROR(__xludf.DUMMYFUNCTION("""COMPUTED_VALUE"""),"")</f>
        <v/>
      </c>
      <c r="L529" s="190" t="str">
        <f>IFERROR(__xludf.DUMMYFUNCTION("""COMPUTED_VALUE"""),"UI/UX")</f>
        <v>UI/UX</v>
      </c>
      <c r="M529" s="190" t="str">
        <f>IFERROR(__xludf.DUMMYFUNCTION("""COMPUTED_VALUE"""),"CHORUS")</f>
        <v>CHORUS</v>
      </c>
      <c r="N529" s="220">
        <f>IFERROR(__xludf.DUMMYFUNCTION("""COMPUTED_VALUE"""),0.5)</f>
        <v>0.5</v>
      </c>
      <c r="O529" s="220">
        <f>IFERROR(__xludf.DUMMYFUNCTION("""COMPUTED_VALUE"""),0.0)</f>
        <v>0</v>
      </c>
      <c r="P529" s="220"/>
      <c r="R529" s="210"/>
      <c r="S529" s="210"/>
      <c r="T529" s="210"/>
      <c r="U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row>
    <row r="530">
      <c r="A530" s="223" t="str">
        <f>IFERROR(__xludf.DUMMYFUNCTION("""COMPUTED_VALUE"""),"193495")</f>
        <v>193495</v>
      </c>
      <c r="B530" s="190" t="str">
        <f>IFERROR(__xludf.DUMMYFUNCTION("""COMPUTED_VALUE"""),"THẠCH THÁI HUY")</f>
        <v>THẠCH THÁI HUY</v>
      </c>
      <c r="C530" s="223" t="str">
        <f>IFERROR(__xludf.DUMMYFUNCTION("""COMPUTED_VALUE"""),"EL049")</f>
        <v>EL049</v>
      </c>
      <c r="D530" s="223" t="str">
        <f>IFERROR(__xludf.DUMMYFUNCTION("""COMPUTED_VALUE"""),"Phung Nguyen")</f>
        <v>Phung Nguyen</v>
      </c>
      <c r="E530" s="190" t="str">
        <f>IFERROR(__xludf.DUMMYFUNCTION("""COMPUTED_VALUE"""),"Foundation")</f>
        <v>Foundation</v>
      </c>
      <c r="F530" s="190" t="str">
        <f>IFERROR(__xludf.DUMMYFUNCTION("""COMPUTED_VALUE"""),"Foundation")</f>
        <v>Foundation</v>
      </c>
      <c r="G530" s="190"/>
      <c r="H530" s="219">
        <f>IFERROR(__xludf.DUMMYFUNCTION("""COMPUTED_VALUE"""),46086.58333333333)</f>
        <v>46086.58333</v>
      </c>
      <c r="I530" s="219">
        <f>IFERROR(__xludf.DUMMYFUNCTION("""COMPUTED_VALUE"""),46086.58333333333)</f>
        <v>46086.58333</v>
      </c>
      <c r="J530" s="190">
        <f>IFERROR(__xludf.DUMMYFUNCTION("""COMPUTED_VALUE"""),0.5)</f>
        <v>0.5</v>
      </c>
      <c r="K530" s="190" t="str">
        <f>IFERROR(__xludf.DUMMYFUNCTION("""COMPUTED_VALUE"""),"")</f>
        <v/>
      </c>
      <c r="L530" s="190" t="str">
        <f>IFERROR(__xludf.DUMMYFUNCTION("""COMPUTED_VALUE"""),"DEV")</f>
        <v>DEV</v>
      </c>
      <c r="M530" s="190" t="str">
        <f>IFERROR(__xludf.DUMMYFUNCTION("""COMPUTED_VALUE"""),"CHORUS")</f>
        <v>CHORUS</v>
      </c>
      <c r="N530" s="220">
        <f>IFERROR(__xludf.DUMMYFUNCTION("""COMPUTED_VALUE"""),0.5)</f>
        <v>0.5</v>
      </c>
      <c r="O530" s="220">
        <f>IFERROR(__xludf.DUMMYFUNCTION("""COMPUTED_VALUE"""),0.0)</f>
        <v>0</v>
      </c>
      <c r="P530" s="220"/>
      <c r="R530" s="210"/>
      <c r="S530" s="210"/>
      <c r="T530" s="210"/>
      <c r="U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row>
    <row r="531">
      <c r="A531" s="223" t="str">
        <f>IFERROR(__xludf.DUMMYFUNCTION("""COMPUTED_VALUE"""),"193633")</f>
        <v>193633</v>
      </c>
      <c r="B531" s="190" t="str">
        <f>IFERROR(__xludf.DUMMYFUNCTION("""COMPUTED_VALUE"""),"Nguyen Hoai Nam")</f>
        <v>Nguyen Hoai Nam</v>
      </c>
      <c r="C531" s="223" t="str">
        <f>IFERROR(__xludf.DUMMYFUNCTION("""COMPUTED_VALUE"""),"EL050")</f>
        <v>EL050</v>
      </c>
      <c r="D531" s="223" t="str">
        <f>IFERROR(__xludf.DUMMYFUNCTION("""COMPUTED_VALUE"""),"Nam Nguyen")</f>
        <v>Nam Nguyen</v>
      </c>
      <c r="E531" s="190" t="str">
        <f>IFERROR(__xludf.DUMMYFUNCTION("""COMPUTED_VALUE"""),"Communication 1")</f>
        <v>Communication 1</v>
      </c>
      <c r="F531" s="190" t="str">
        <f>IFERROR(__xludf.DUMMYFUNCTION("""COMPUTED_VALUE"""),"Foundation")</f>
        <v>Foundation</v>
      </c>
      <c r="G531" s="190"/>
      <c r="H531" s="219">
        <f>IFERROR(__xludf.DUMMYFUNCTION("""COMPUTED_VALUE"""),46120.45833333333)</f>
        <v>46120.45833</v>
      </c>
      <c r="I531" s="219">
        <f>IFERROR(__xludf.DUMMYFUNCTION("""COMPUTED_VALUE"""),45635.4375)</f>
        <v>45635.4375</v>
      </c>
      <c r="J531" s="190">
        <f>IFERROR(__xludf.DUMMYFUNCTION("""COMPUTED_VALUE"""),0.5)</f>
        <v>0.5</v>
      </c>
      <c r="K531" s="190" t="str">
        <f>IFERROR(__xludf.DUMMYFUNCTION("""COMPUTED_VALUE"""),"")</f>
        <v/>
      </c>
      <c r="L531" s="190" t="str">
        <f>IFERROR(__xludf.DUMMYFUNCTION("""COMPUTED_VALUE"""),"QC")</f>
        <v>QC</v>
      </c>
      <c r="M531" s="190" t="str">
        <f>IFERROR(__xludf.DUMMYFUNCTION("""COMPUTED_VALUE"""),"ONC")</f>
        <v>ONC</v>
      </c>
      <c r="N531" s="220">
        <f>IFERROR(__xludf.DUMMYFUNCTION("""COMPUTED_VALUE"""),1.0)</f>
        <v>1</v>
      </c>
      <c r="O531" s="220">
        <f>IFERROR(__xludf.DUMMYFUNCTION("""COMPUTED_VALUE"""),1.0)</f>
        <v>1</v>
      </c>
      <c r="P531" s="220"/>
      <c r="R531" s="210"/>
      <c r="S531" s="210"/>
      <c r="T531" s="210"/>
      <c r="U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row>
    <row r="532">
      <c r="A532" s="223" t="str">
        <f>IFERROR(__xludf.DUMMYFUNCTION("""COMPUTED_VALUE"""),"213817")</f>
        <v>213817</v>
      </c>
      <c r="B532" s="190" t="str">
        <f>IFERROR(__xludf.DUMMYFUNCTION("""COMPUTED_VALUE"""),"Bui Duy Tan")</f>
        <v>Bui Duy Tan</v>
      </c>
      <c r="C532" s="223" t="str">
        <f>IFERROR(__xludf.DUMMYFUNCTION("""COMPUTED_VALUE"""),"EL050")</f>
        <v>EL050</v>
      </c>
      <c r="D532" s="223" t="str">
        <f>IFERROR(__xludf.DUMMYFUNCTION("""COMPUTED_VALUE"""),"Nam Nguyen")</f>
        <v>Nam Nguyen</v>
      </c>
      <c r="E532" s="190" t="str">
        <f>IFERROR(__xludf.DUMMYFUNCTION("""COMPUTED_VALUE"""),"Communication 1")</f>
        <v>Communication 1</v>
      </c>
      <c r="F532" s="190" t="str">
        <f>IFERROR(__xludf.DUMMYFUNCTION("""COMPUTED_VALUE"""),"Beginner 2")</f>
        <v>Beginner 2</v>
      </c>
      <c r="G532" s="190"/>
      <c r="H532" s="219">
        <f>IFERROR(__xludf.DUMMYFUNCTION("""COMPUTED_VALUE"""),46120.45833333333)</f>
        <v>46120.45833</v>
      </c>
      <c r="I532" s="219">
        <f>IFERROR(__xludf.DUMMYFUNCTION("""COMPUTED_VALUE"""),46120.45833333333)</f>
        <v>46120.45833</v>
      </c>
      <c r="J532" s="190">
        <f>IFERROR(__xludf.DUMMYFUNCTION("""COMPUTED_VALUE"""),1.5)</f>
        <v>1.5</v>
      </c>
      <c r="K532" s="190" t="str">
        <f>IFERROR(__xludf.DUMMYFUNCTION("""COMPUTED_VALUE"""),"")</f>
        <v/>
      </c>
      <c r="L532" s="190" t="str">
        <f>IFERROR(__xludf.DUMMYFUNCTION("""COMPUTED_VALUE"""),"QC")</f>
        <v>QC</v>
      </c>
      <c r="M532" s="190" t="str">
        <f>IFERROR(__xludf.DUMMYFUNCTION("""COMPUTED_VALUE"""),"ONC")</f>
        <v>ONC</v>
      </c>
      <c r="N532" s="220">
        <f>IFERROR(__xludf.DUMMYFUNCTION("""COMPUTED_VALUE"""),1.5)</f>
        <v>1.5</v>
      </c>
      <c r="O532" s="220">
        <f>IFERROR(__xludf.DUMMYFUNCTION("""COMPUTED_VALUE"""),0.0)</f>
        <v>0</v>
      </c>
      <c r="P532" s="220"/>
      <c r="R532" s="210"/>
      <c r="S532" s="210"/>
      <c r="T532" s="210"/>
      <c r="U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row>
    <row r="533">
      <c r="A533" s="223" t="str">
        <f>IFERROR(__xludf.DUMMYFUNCTION("""COMPUTED_VALUE"""),"247185")</f>
        <v>247185</v>
      </c>
      <c r="B533" s="190" t="str">
        <f>IFERROR(__xludf.DUMMYFUNCTION("""COMPUTED_VALUE"""),"LÊ MINH DUY")</f>
        <v>LÊ MINH DUY</v>
      </c>
      <c r="C533" s="223" t="str">
        <f>IFERROR(__xludf.DUMMYFUNCTION("""COMPUTED_VALUE"""),"EL050")</f>
        <v>EL050</v>
      </c>
      <c r="D533" s="223" t="str">
        <f>IFERROR(__xludf.DUMMYFUNCTION("""COMPUTED_VALUE"""),"Nam Nguyen")</f>
        <v>Nam Nguyen</v>
      </c>
      <c r="E533" s="190" t="str">
        <f>IFERROR(__xludf.DUMMYFUNCTION("""COMPUTED_VALUE"""),"Communication 1")</f>
        <v>Communication 1</v>
      </c>
      <c r="F533" s="190" t="str">
        <f>IFERROR(__xludf.DUMMYFUNCTION("""COMPUTED_VALUE"""),"Foundation")</f>
        <v>Foundation</v>
      </c>
      <c r="G533" s="190"/>
      <c r="H533" s="219">
        <f>IFERROR(__xludf.DUMMYFUNCTION("""COMPUTED_VALUE"""),46120.45833333333)</f>
        <v>46120.45833</v>
      </c>
      <c r="I533" s="219">
        <f>IFERROR(__xludf.DUMMYFUNCTION("""COMPUTED_VALUE"""),45637.375)</f>
        <v>45637.375</v>
      </c>
      <c r="J533" s="190">
        <f>IFERROR(__xludf.DUMMYFUNCTION("""COMPUTED_VALUE"""),0.5)</f>
        <v>0.5</v>
      </c>
      <c r="K533" s="190" t="str">
        <f>IFERROR(__xludf.DUMMYFUNCTION("""COMPUTED_VALUE"""),"")</f>
        <v/>
      </c>
      <c r="L533" s="190" t="str">
        <f>IFERROR(__xludf.DUMMYFUNCTION("""COMPUTED_VALUE"""),"QC")</f>
        <v>QC</v>
      </c>
      <c r="M533" s="190" t="str">
        <f>IFERROR(__xludf.DUMMYFUNCTION("""COMPUTED_VALUE"""),"ONC")</f>
        <v>ONC</v>
      </c>
      <c r="N533" s="220">
        <f>IFERROR(__xludf.DUMMYFUNCTION("""COMPUTED_VALUE"""),1.0)</f>
        <v>1</v>
      </c>
      <c r="O533" s="220">
        <f>IFERROR(__xludf.DUMMYFUNCTION("""COMPUTED_VALUE"""),2.5)</f>
        <v>2.5</v>
      </c>
      <c r="P533" s="220"/>
      <c r="R533" s="210"/>
      <c r="S533" s="210"/>
      <c r="T533" s="210"/>
      <c r="U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row>
    <row r="534">
      <c r="A534" s="223" t="str">
        <f>IFERROR(__xludf.DUMMYFUNCTION("""COMPUTED_VALUE"""),"257133")</f>
        <v>257133</v>
      </c>
      <c r="B534" s="190" t="str">
        <f>IFERROR(__xludf.DUMMYFUNCTION("""COMPUTED_VALUE"""),"Le Thi Diem Phuong")</f>
        <v>Le Thi Diem Phuong</v>
      </c>
      <c r="C534" s="223" t="str">
        <f>IFERROR(__xludf.DUMMYFUNCTION("""COMPUTED_VALUE"""),"EL050")</f>
        <v>EL050</v>
      </c>
      <c r="D534" s="223" t="str">
        <f>IFERROR(__xludf.DUMMYFUNCTION("""COMPUTED_VALUE"""),"Nam Nguyen")</f>
        <v>Nam Nguyen</v>
      </c>
      <c r="E534" s="190" t="str">
        <f>IFERROR(__xludf.DUMMYFUNCTION("""COMPUTED_VALUE"""),"Communication 1")</f>
        <v>Communication 1</v>
      </c>
      <c r="F534" s="190" t="str">
        <f>IFERROR(__xludf.DUMMYFUNCTION("""COMPUTED_VALUE"""),"Foundation")</f>
        <v>Foundation</v>
      </c>
      <c r="G534" s="190"/>
      <c r="H534" s="219">
        <f>IFERROR(__xludf.DUMMYFUNCTION("""COMPUTED_VALUE"""),46120.45833333333)</f>
        <v>46120.45833</v>
      </c>
      <c r="I534" s="219">
        <f>IFERROR(__xludf.DUMMYFUNCTION("""COMPUTED_VALUE"""),46120.45833333333)</f>
        <v>46120.45833</v>
      </c>
      <c r="J534" s="190">
        <f>IFERROR(__xludf.DUMMYFUNCTION("""COMPUTED_VALUE"""),0.5)</f>
        <v>0.5</v>
      </c>
      <c r="K534" s="190" t="str">
        <f>IFERROR(__xludf.DUMMYFUNCTION("""COMPUTED_VALUE"""),"")</f>
        <v/>
      </c>
      <c r="L534" s="190" t="str">
        <f>IFERROR(__xludf.DUMMYFUNCTION("""COMPUTED_VALUE"""),"QC")</f>
        <v>QC</v>
      </c>
      <c r="M534" s="190" t="str">
        <f>IFERROR(__xludf.DUMMYFUNCTION("""COMPUTED_VALUE"""),"ONC")</f>
        <v>ONC</v>
      </c>
      <c r="N534" s="220">
        <f>IFERROR(__xludf.DUMMYFUNCTION("""COMPUTED_VALUE"""),0.5)</f>
        <v>0.5</v>
      </c>
      <c r="O534" s="220">
        <f>IFERROR(__xludf.DUMMYFUNCTION("""COMPUTED_VALUE"""),0.0)</f>
        <v>0</v>
      </c>
      <c r="P534" s="220"/>
      <c r="R534" s="210"/>
      <c r="S534" s="210"/>
      <c r="T534" s="210"/>
      <c r="U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row>
    <row r="535">
      <c r="A535" s="223" t="str">
        <f>IFERROR(__xludf.DUMMYFUNCTION("""COMPUTED_VALUE"""),"227177")</f>
        <v>227177</v>
      </c>
      <c r="B535" s="190" t="str">
        <f>IFERROR(__xludf.DUMMYFUNCTION("""COMPUTED_VALUE"""),"NGUYỄN NGỌC HOÀNG BẢO TRÂN")</f>
        <v>NGUYỄN NGỌC HOÀNG BẢO TRÂN</v>
      </c>
      <c r="C535" s="223" t="str">
        <f>IFERROR(__xludf.DUMMYFUNCTION("""COMPUTED_VALUE"""),"EL050")</f>
        <v>EL050</v>
      </c>
      <c r="D535" s="223" t="str">
        <f>IFERROR(__xludf.DUMMYFUNCTION("""COMPUTED_VALUE"""),"Nam Nguyen")</f>
        <v>Nam Nguyen</v>
      </c>
      <c r="E535" s="190" t="str">
        <f>IFERROR(__xludf.DUMMYFUNCTION("""COMPUTED_VALUE"""),"Communication 1")</f>
        <v>Communication 1</v>
      </c>
      <c r="F535" s="190" t="str">
        <f>IFERROR(__xludf.DUMMYFUNCTION("""COMPUTED_VALUE"""),"Foundation")</f>
        <v>Foundation</v>
      </c>
      <c r="G535" s="190"/>
      <c r="H535" s="219">
        <f>IFERROR(__xludf.DUMMYFUNCTION("""COMPUTED_VALUE"""),46120.45833333333)</f>
        <v>46120.45833</v>
      </c>
      <c r="I535" s="219">
        <f>IFERROR(__xludf.DUMMYFUNCTION("""COMPUTED_VALUE"""),45637.375)</f>
        <v>45637.375</v>
      </c>
      <c r="J535" s="190">
        <f>IFERROR(__xludf.DUMMYFUNCTION("""COMPUTED_VALUE"""),0.5)</f>
        <v>0.5</v>
      </c>
      <c r="K535" s="190" t="str">
        <f>IFERROR(__xludf.DUMMYFUNCTION("""COMPUTED_VALUE"""),"")</f>
        <v/>
      </c>
      <c r="L535" s="190" t="str">
        <f>IFERROR(__xludf.DUMMYFUNCTION("""COMPUTED_VALUE"""),"QC")</f>
        <v>QC</v>
      </c>
      <c r="M535" s="190" t="str">
        <f>IFERROR(__xludf.DUMMYFUNCTION("""COMPUTED_VALUE"""),"ONC")</f>
        <v>ONC</v>
      </c>
      <c r="N535" s="220">
        <f>IFERROR(__xludf.DUMMYFUNCTION("""COMPUTED_VALUE"""),1.0)</f>
        <v>1</v>
      </c>
      <c r="O535" s="220">
        <f>IFERROR(__xludf.DUMMYFUNCTION("""COMPUTED_VALUE"""),2.5)</f>
        <v>2.5</v>
      </c>
      <c r="P535" s="220"/>
      <c r="R535" s="210"/>
      <c r="S535" s="210"/>
      <c r="T535" s="210"/>
      <c r="U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row>
    <row r="536">
      <c r="A536" s="223" t="str">
        <f>IFERROR(__xludf.DUMMYFUNCTION("""COMPUTED_VALUE"""),"257132")</f>
        <v>257132</v>
      </c>
      <c r="B536" s="190" t="str">
        <f>IFERROR(__xludf.DUMMYFUNCTION("""COMPUTED_VALUE"""),"Tran Thi Huyen Tran")</f>
        <v>Tran Thi Huyen Tran</v>
      </c>
      <c r="C536" s="223" t="str">
        <f>IFERROR(__xludf.DUMMYFUNCTION("""COMPUTED_VALUE"""),"EL050")</f>
        <v>EL050</v>
      </c>
      <c r="D536" s="223" t="str">
        <f>IFERROR(__xludf.DUMMYFUNCTION("""COMPUTED_VALUE"""),"Nam Nguyen")</f>
        <v>Nam Nguyen</v>
      </c>
      <c r="E536" s="190" t="str">
        <f>IFERROR(__xludf.DUMMYFUNCTION("""COMPUTED_VALUE"""),"Communication 1")</f>
        <v>Communication 1</v>
      </c>
      <c r="F536" s="190" t="str">
        <f>IFERROR(__xludf.DUMMYFUNCTION("""COMPUTED_VALUE"""),"Foundation")</f>
        <v>Foundation</v>
      </c>
      <c r="G536" s="190"/>
      <c r="H536" s="219">
        <f>IFERROR(__xludf.DUMMYFUNCTION("""COMPUTED_VALUE"""),46120.45833333333)</f>
        <v>46120.45833</v>
      </c>
      <c r="I536" s="219">
        <f>IFERROR(__xludf.DUMMYFUNCTION("""COMPUTED_VALUE"""),46120.45833333333)</f>
        <v>46120.45833</v>
      </c>
      <c r="J536" s="190">
        <f>IFERROR(__xludf.DUMMYFUNCTION("""COMPUTED_VALUE"""),0.5)</f>
        <v>0.5</v>
      </c>
      <c r="K536" s="190" t="str">
        <f>IFERROR(__xludf.DUMMYFUNCTION("""COMPUTED_VALUE"""),"")</f>
        <v/>
      </c>
      <c r="L536" s="190" t="str">
        <f>IFERROR(__xludf.DUMMYFUNCTION("""COMPUTED_VALUE"""),"QC")</f>
        <v>QC</v>
      </c>
      <c r="M536" s="190" t="str">
        <f>IFERROR(__xludf.DUMMYFUNCTION("""COMPUTED_VALUE"""),"ONC")</f>
        <v>ONC</v>
      </c>
      <c r="N536" s="220">
        <f>IFERROR(__xludf.DUMMYFUNCTION("""COMPUTED_VALUE"""),0.5)</f>
        <v>0.5</v>
      </c>
      <c r="O536" s="220">
        <f>IFERROR(__xludf.DUMMYFUNCTION("""COMPUTED_VALUE"""),0.0)</f>
        <v>0</v>
      </c>
      <c r="P536" s="220"/>
      <c r="R536" s="210"/>
      <c r="S536" s="210"/>
      <c r="T536" s="210"/>
      <c r="U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row>
    <row r="537">
      <c r="A537" s="223" t="str">
        <f>IFERROR(__xludf.DUMMYFUNCTION("""COMPUTED_VALUE"""),"193511")</f>
        <v>193511</v>
      </c>
      <c r="B537" s="190" t="str">
        <f>IFERROR(__xludf.DUMMYFUNCTION("""COMPUTED_VALUE"""),"Trang Duy Thông")</f>
        <v>Trang Duy Thông</v>
      </c>
      <c r="C537" s="223" t="str">
        <f>IFERROR(__xludf.DUMMYFUNCTION("""COMPUTED_VALUE"""),"EL050")</f>
        <v>EL050</v>
      </c>
      <c r="D537" s="223" t="str">
        <f>IFERROR(__xludf.DUMMYFUNCTION("""COMPUTED_VALUE"""),"Nam Nguyen")</f>
        <v>Nam Nguyen</v>
      </c>
      <c r="E537" s="190" t="str">
        <f>IFERROR(__xludf.DUMMYFUNCTION("""COMPUTED_VALUE"""),"Communication 1")</f>
        <v>Communication 1</v>
      </c>
      <c r="F537" s="190" t="str">
        <f>IFERROR(__xludf.DUMMYFUNCTION("""COMPUTED_VALUE"""),"Foundation")</f>
        <v>Foundation</v>
      </c>
      <c r="G537" s="190"/>
      <c r="H537" s="219">
        <f>IFERROR(__xludf.DUMMYFUNCTION("""COMPUTED_VALUE"""),46120.45833333333)</f>
        <v>46120.45833</v>
      </c>
      <c r="I537" s="219">
        <f>IFERROR(__xludf.DUMMYFUNCTION("""COMPUTED_VALUE"""),46120.45833333333)</f>
        <v>46120.45833</v>
      </c>
      <c r="J537" s="190">
        <f>IFERROR(__xludf.DUMMYFUNCTION("""COMPUTED_VALUE"""),0.5)</f>
        <v>0.5</v>
      </c>
      <c r="K537" s="190" t="str">
        <f>IFERROR(__xludf.DUMMYFUNCTION("""COMPUTED_VALUE"""),"")</f>
        <v/>
      </c>
      <c r="L537" s="190" t="str">
        <f>IFERROR(__xludf.DUMMYFUNCTION("""COMPUTED_VALUE"""),"DEV")</f>
        <v>DEV</v>
      </c>
      <c r="M537" s="190" t="str">
        <f>IFERROR(__xludf.DUMMYFUNCTION("""COMPUTED_VALUE"""),"ONC")</f>
        <v>ONC</v>
      </c>
      <c r="N537" s="220">
        <f>IFERROR(__xludf.DUMMYFUNCTION("""COMPUTED_VALUE"""),0.5)</f>
        <v>0.5</v>
      </c>
      <c r="O537" s="220">
        <f>IFERROR(__xludf.DUMMYFUNCTION("""COMPUTED_VALUE"""),0.0)</f>
        <v>0</v>
      </c>
      <c r="P537" s="220"/>
      <c r="R537" s="210"/>
      <c r="S537" s="210"/>
      <c r="T537" s="210"/>
      <c r="U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row>
    <row r="538">
      <c r="A538" s="223" t="str">
        <f>IFERROR(__xludf.DUMMYFUNCTION("""COMPUTED_VALUE"""),"183330")</f>
        <v>183330</v>
      </c>
      <c r="B538" s="190" t="str">
        <f>IFERROR(__xludf.DUMMYFUNCTION("""COMPUTED_VALUE"""),"NGUYỄN THỊ KIM TRANG")</f>
        <v>NGUYỄN THỊ KIM TRANG</v>
      </c>
      <c r="C538" s="223" t="str">
        <f>IFERROR(__xludf.DUMMYFUNCTION("""COMPUTED_VALUE"""),"EL051")</f>
        <v>EL051</v>
      </c>
      <c r="D538" s="223" t="str">
        <f>IFERROR(__xludf.DUMMYFUNCTION("""COMPUTED_VALUE"""),"Trang Nguyen")</f>
        <v>Trang Nguyen</v>
      </c>
      <c r="E538" s="190" t="str">
        <f>IFERROR(__xludf.DUMMYFUNCTION("""COMPUTED_VALUE"""),"Communication 1")</f>
        <v>Communication 1</v>
      </c>
      <c r="F538" s="190" t="str">
        <f>IFERROR(__xludf.DUMMYFUNCTION("""COMPUTED_VALUE"""),"Beginner")</f>
        <v>Beginner</v>
      </c>
      <c r="G538" s="190"/>
      <c r="H538" s="219">
        <f>IFERROR(__xludf.DUMMYFUNCTION("""COMPUTED_VALUE"""),46126.625)</f>
        <v>46126.625</v>
      </c>
      <c r="I538" s="219">
        <f>IFERROR(__xludf.DUMMYFUNCTION("""COMPUTED_VALUE"""),45917.58333333333)</f>
        <v>45917.58333</v>
      </c>
      <c r="J538" s="190">
        <f>IFERROR(__xludf.DUMMYFUNCTION("""COMPUTED_VALUE"""),1.0)</f>
        <v>1</v>
      </c>
      <c r="K538" s="190" t="str">
        <f>IFERROR(__xludf.DUMMYFUNCTION("""COMPUTED_VALUE"""),"")</f>
        <v/>
      </c>
      <c r="L538" s="190" t="str">
        <f>IFERROR(__xludf.DUMMYFUNCTION("""COMPUTED_VALUE"""),"GSD")</f>
        <v>GSD</v>
      </c>
      <c r="M538" s="190" t="str">
        <f>IFERROR(__xludf.DUMMYFUNCTION("""COMPUTED_VALUE"""),"TBU")</f>
        <v>TBU</v>
      </c>
      <c r="N538" s="220">
        <f>IFERROR(__xludf.DUMMYFUNCTION("""COMPUTED_VALUE"""),0.5)</f>
        <v>0.5</v>
      </c>
      <c r="O538" s="220">
        <f>IFERROR(__xludf.DUMMYFUNCTION("""COMPUTED_VALUE"""),1.0)</f>
        <v>1</v>
      </c>
      <c r="P538" s="220"/>
      <c r="R538" s="210"/>
      <c r="S538" s="210"/>
      <c r="T538" s="210"/>
      <c r="U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row>
    <row r="539">
      <c r="A539" s="223" t="str">
        <f>IFERROR(__xludf.DUMMYFUNCTION("""COMPUTED_VALUE"""),"183322")</f>
        <v>183322</v>
      </c>
      <c r="B539" s="190" t="str">
        <f>IFERROR(__xludf.DUMMYFUNCTION("""COMPUTED_VALUE"""),"ĐÀO TRUNG HIẾU")</f>
        <v>ĐÀO TRUNG HIẾU</v>
      </c>
      <c r="C539" s="223" t="str">
        <f>IFERROR(__xludf.DUMMYFUNCTION("""COMPUTED_VALUE"""),"EL051")</f>
        <v>EL051</v>
      </c>
      <c r="D539" s="223" t="str">
        <f>IFERROR(__xludf.DUMMYFUNCTION("""COMPUTED_VALUE"""),"Trang Nguyen")</f>
        <v>Trang Nguyen</v>
      </c>
      <c r="E539" s="190" t="str">
        <f>IFERROR(__xludf.DUMMYFUNCTION("""COMPUTED_VALUE"""),"Communication 1")</f>
        <v>Communication 1</v>
      </c>
      <c r="F539" s="190" t="str">
        <f>IFERROR(__xludf.DUMMYFUNCTION("""COMPUTED_VALUE"""),"Foundation")</f>
        <v>Foundation</v>
      </c>
      <c r="G539" s="190"/>
      <c r="H539" s="219">
        <f>IFERROR(__xludf.DUMMYFUNCTION("""COMPUTED_VALUE"""),46126.625)</f>
        <v>46126.625</v>
      </c>
      <c r="I539" s="219">
        <f>IFERROR(__xludf.DUMMYFUNCTION("""COMPUTED_VALUE"""),45916.45833333333)</f>
        <v>45916.45833</v>
      </c>
      <c r="J539" s="190">
        <f>IFERROR(__xludf.DUMMYFUNCTION("""COMPUTED_VALUE"""),0.5)</f>
        <v>0.5</v>
      </c>
      <c r="K539" s="190" t="str">
        <f>IFERROR(__xludf.DUMMYFUNCTION("""COMPUTED_VALUE"""),"")</f>
        <v/>
      </c>
      <c r="L539" s="190" t="str">
        <f>IFERROR(__xludf.DUMMYFUNCTION("""COMPUTED_VALUE"""),"DEV")</f>
        <v>DEV</v>
      </c>
      <c r="M539" s="190" t="str">
        <f>IFERROR(__xludf.DUMMYFUNCTION("""COMPUTED_VALUE"""),"MOC")</f>
        <v>MOC</v>
      </c>
      <c r="N539" s="220">
        <f>IFERROR(__xludf.DUMMYFUNCTION("""COMPUTED_VALUE"""),0.5)</f>
        <v>0.5</v>
      </c>
      <c r="O539" s="220">
        <f>IFERROR(__xludf.DUMMYFUNCTION("""COMPUTED_VALUE"""),0.5)</f>
        <v>0.5</v>
      </c>
      <c r="P539" s="220"/>
      <c r="R539" s="210"/>
      <c r="S539" s="210"/>
      <c r="T539" s="210"/>
      <c r="U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row>
    <row r="540">
      <c r="A540" s="223" t="str">
        <f>IFERROR(__xludf.DUMMYFUNCTION("""COMPUTED_VALUE"""),"213844")</f>
        <v>213844</v>
      </c>
      <c r="B540" s="190" t="str">
        <f>IFERROR(__xludf.DUMMYFUNCTION("""COMPUTED_VALUE"""),"LÊ MINH HY")</f>
        <v>LÊ MINH HY</v>
      </c>
      <c r="C540" s="223" t="str">
        <f>IFERROR(__xludf.DUMMYFUNCTION("""COMPUTED_VALUE"""),"EL051")</f>
        <v>EL051</v>
      </c>
      <c r="D540" s="223" t="str">
        <f>IFERROR(__xludf.DUMMYFUNCTION("""COMPUTED_VALUE"""),"Trang Nguyen")</f>
        <v>Trang Nguyen</v>
      </c>
      <c r="E540" s="190" t="str">
        <f>IFERROR(__xludf.DUMMYFUNCTION("""COMPUTED_VALUE"""),"Communication 1")</f>
        <v>Communication 1</v>
      </c>
      <c r="F540" s="190" t="str">
        <f>IFERROR(__xludf.DUMMYFUNCTION("""COMPUTED_VALUE"""),"Foundation")</f>
        <v>Foundation</v>
      </c>
      <c r="G540" s="190"/>
      <c r="H540" s="219">
        <f>IFERROR(__xludf.DUMMYFUNCTION("""COMPUTED_VALUE"""),46126.625)</f>
        <v>46126.625</v>
      </c>
      <c r="I540" s="219">
        <f>IFERROR(__xludf.DUMMYFUNCTION("""COMPUTED_VALUE"""),45917.58333333333)</f>
        <v>45917.58333</v>
      </c>
      <c r="J540" s="190">
        <f>IFERROR(__xludf.DUMMYFUNCTION("""COMPUTED_VALUE"""),0.5)</f>
        <v>0.5</v>
      </c>
      <c r="K540" s="190" t="str">
        <f>IFERROR(__xludf.DUMMYFUNCTION("""COMPUTED_VALUE"""),"")</f>
        <v/>
      </c>
      <c r="L540" s="190" t="str">
        <f>IFERROR(__xludf.DUMMYFUNCTION("""COMPUTED_VALUE"""),"DEV")</f>
        <v>DEV</v>
      </c>
      <c r="M540" s="190" t="str">
        <f>IFERROR(__xludf.DUMMYFUNCTION("""COMPUTED_VALUE"""),"MOC")</f>
        <v>MOC</v>
      </c>
      <c r="N540" s="220">
        <f>IFERROR(__xludf.DUMMYFUNCTION("""COMPUTED_VALUE"""),0.5)</f>
        <v>0.5</v>
      </c>
      <c r="O540" s="220">
        <f>IFERROR(__xludf.DUMMYFUNCTION("""COMPUTED_VALUE"""),1.0)</f>
        <v>1</v>
      </c>
      <c r="P540" s="220"/>
      <c r="R540" s="210"/>
      <c r="S540" s="210"/>
      <c r="T540" s="210"/>
      <c r="U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row>
    <row r="541">
      <c r="A541" s="223" t="str">
        <f>IFERROR(__xludf.DUMMYFUNCTION("""COMPUTED_VALUE"""),"173246")</f>
        <v>173246</v>
      </c>
      <c r="B541" s="190" t="str">
        <f>IFERROR(__xludf.DUMMYFUNCTION("""COMPUTED_VALUE"""),"LÊ THỊ HOÀNG KIM")</f>
        <v>LÊ THỊ HOÀNG KIM</v>
      </c>
      <c r="C541" s="223" t="str">
        <f>IFERROR(__xludf.DUMMYFUNCTION("""COMPUTED_VALUE"""),"EL051")</f>
        <v>EL051</v>
      </c>
      <c r="D541" s="223" t="str">
        <f>IFERROR(__xludf.DUMMYFUNCTION("""COMPUTED_VALUE"""),"Trang Nguyen")</f>
        <v>Trang Nguyen</v>
      </c>
      <c r="E541" s="190" t="str">
        <f>IFERROR(__xludf.DUMMYFUNCTION("""COMPUTED_VALUE"""),"Communication 1")</f>
        <v>Communication 1</v>
      </c>
      <c r="F541" s="190" t="str">
        <f>IFERROR(__xludf.DUMMYFUNCTION("""COMPUTED_VALUE"""),"Foundation")</f>
        <v>Foundation</v>
      </c>
      <c r="G541" s="190"/>
      <c r="H541" s="219">
        <f>IFERROR(__xludf.DUMMYFUNCTION("""COMPUTED_VALUE"""),46126.625)</f>
        <v>46126.625</v>
      </c>
      <c r="I541" s="219">
        <f>IFERROR(__xludf.DUMMYFUNCTION("""COMPUTED_VALUE"""),45916.45833333333)</f>
        <v>45916.45833</v>
      </c>
      <c r="J541" s="190">
        <f>IFERROR(__xludf.DUMMYFUNCTION("""COMPUTED_VALUE"""),0.5)</f>
        <v>0.5</v>
      </c>
      <c r="K541" s="190" t="str">
        <f>IFERROR(__xludf.DUMMYFUNCTION("""COMPUTED_VALUE"""),"")</f>
        <v/>
      </c>
      <c r="L541" s="190" t="str">
        <f>IFERROR(__xludf.DUMMYFUNCTION("""COMPUTED_VALUE"""),"GSD")</f>
        <v>GSD</v>
      </c>
      <c r="M541" s="190" t="str">
        <f>IFERROR(__xludf.DUMMYFUNCTION("""COMPUTED_VALUE"""),"POC")</f>
        <v>POC</v>
      </c>
      <c r="N541" s="220">
        <f>IFERROR(__xludf.DUMMYFUNCTION("""COMPUTED_VALUE"""),0.5)</f>
        <v>0.5</v>
      </c>
      <c r="O541" s="220">
        <f>IFERROR(__xludf.DUMMYFUNCTION("""COMPUTED_VALUE"""),0.5)</f>
        <v>0.5</v>
      </c>
      <c r="P541" s="220"/>
      <c r="R541" s="210"/>
      <c r="S541" s="210"/>
      <c r="T541" s="210"/>
      <c r="U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row>
    <row r="542">
      <c r="A542" s="223" t="str">
        <f>IFERROR(__xludf.DUMMYFUNCTION("""COMPUTED_VALUE"""),"247064")</f>
        <v>247064</v>
      </c>
      <c r="B542" s="190" t="str">
        <f>IFERROR(__xludf.DUMMYFUNCTION("""COMPUTED_VALUE"""),"NGUYỄN THỊ KIM OANH")</f>
        <v>NGUYỄN THỊ KIM OANH</v>
      </c>
      <c r="C542" s="223" t="str">
        <f>IFERROR(__xludf.DUMMYFUNCTION("""COMPUTED_VALUE"""),"EL051")</f>
        <v>EL051</v>
      </c>
      <c r="D542" s="223" t="str">
        <f>IFERROR(__xludf.DUMMYFUNCTION("""COMPUTED_VALUE"""),"Trang Nguyen")</f>
        <v>Trang Nguyen</v>
      </c>
      <c r="E542" s="190" t="str">
        <f>IFERROR(__xludf.DUMMYFUNCTION("""COMPUTED_VALUE"""),"Communication 1")</f>
        <v>Communication 1</v>
      </c>
      <c r="F542" s="190" t="str">
        <f>IFERROR(__xludf.DUMMYFUNCTION("""COMPUTED_VALUE"""),"Foundation")</f>
        <v>Foundation</v>
      </c>
      <c r="G542" s="190"/>
      <c r="H542" s="219">
        <f>IFERROR(__xludf.DUMMYFUNCTION("""COMPUTED_VALUE"""),46126.625)</f>
        <v>46126.625</v>
      </c>
      <c r="I542" s="219">
        <f>IFERROR(__xludf.DUMMYFUNCTION("""COMPUTED_VALUE"""),45916.45833333333)</f>
        <v>45916.45833</v>
      </c>
      <c r="J542" s="190">
        <f>IFERROR(__xludf.DUMMYFUNCTION("""COMPUTED_VALUE"""),0.5)</f>
        <v>0.5</v>
      </c>
      <c r="K542" s="190" t="str">
        <f>IFERROR(__xludf.DUMMYFUNCTION("""COMPUTED_VALUE"""),"")</f>
        <v/>
      </c>
      <c r="L542" s="190" t="str">
        <f>IFERROR(__xludf.DUMMYFUNCTION("""COMPUTED_VALUE"""),"GSD")</f>
        <v>GSD</v>
      </c>
      <c r="M542" s="190" t="str">
        <f>IFERROR(__xludf.DUMMYFUNCTION("""COMPUTED_VALUE"""),"POC")</f>
        <v>POC</v>
      </c>
      <c r="N542" s="220">
        <f>IFERROR(__xludf.DUMMYFUNCTION("""COMPUTED_VALUE"""),0.5)</f>
        <v>0.5</v>
      </c>
      <c r="O542" s="220">
        <f>IFERROR(__xludf.DUMMYFUNCTION("""COMPUTED_VALUE"""),0.5)</f>
        <v>0.5</v>
      </c>
      <c r="P542" s="220"/>
      <c r="R542" s="210"/>
      <c r="S542" s="210"/>
      <c r="T542" s="210"/>
      <c r="U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row>
    <row r="543">
      <c r="A543" s="223" t="str">
        <f>IFERROR(__xludf.DUMMYFUNCTION("""COMPUTED_VALUE"""),"227091")</f>
        <v>227091</v>
      </c>
      <c r="B543" s="190" t="str">
        <f>IFERROR(__xludf.DUMMYFUNCTION("""COMPUTED_VALUE"""),"NGUYỄN VŨ LUÂN")</f>
        <v>NGUYỄN VŨ LUÂN</v>
      </c>
      <c r="C543" s="223" t="str">
        <f>IFERROR(__xludf.DUMMYFUNCTION("""COMPUTED_VALUE"""),"EL051")</f>
        <v>EL051</v>
      </c>
      <c r="D543" s="223" t="str">
        <f>IFERROR(__xludf.DUMMYFUNCTION("""COMPUTED_VALUE"""),"Trang Nguyen")</f>
        <v>Trang Nguyen</v>
      </c>
      <c r="E543" s="190" t="str">
        <f>IFERROR(__xludf.DUMMYFUNCTION("""COMPUTED_VALUE"""),"Communication 1")</f>
        <v>Communication 1</v>
      </c>
      <c r="F543" s="190" t="str">
        <f>IFERROR(__xludf.DUMMYFUNCTION("""COMPUTED_VALUE"""),"Foundation")</f>
        <v>Foundation</v>
      </c>
      <c r="G543" s="190"/>
      <c r="H543" s="219">
        <f>IFERROR(__xludf.DUMMYFUNCTION("""COMPUTED_VALUE"""),46126.625)</f>
        <v>46126.625</v>
      </c>
      <c r="I543" s="219">
        <f>IFERROR(__xludf.DUMMYFUNCTION("""COMPUTED_VALUE"""),45916.45833333333)</f>
        <v>45916.45833</v>
      </c>
      <c r="J543" s="190">
        <f>IFERROR(__xludf.DUMMYFUNCTION("""COMPUTED_VALUE"""),0.5)</f>
        <v>0.5</v>
      </c>
      <c r="K543" s="190" t="str">
        <f>IFERROR(__xludf.DUMMYFUNCTION("""COMPUTED_VALUE"""),"")</f>
        <v/>
      </c>
      <c r="L543" s="190" t="str">
        <f>IFERROR(__xludf.DUMMYFUNCTION("""COMPUTED_VALUE"""),"GSD")</f>
        <v>GSD</v>
      </c>
      <c r="M543" s="190" t="str">
        <f>IFERROR(__xludf.DUMMYFUNCTION("""COMPUTED_VALUE"""),"POC")</f>
        <v>POC</v>
      </c>
      <c r="N543" s="220">
        <f>IFERROR(__xludf.DUMMYFUNCTION("""COMPUTED_VALUE"""),0.5)</f>
        <v>0.5</v>
      </c>
      <c r="O543" s="220">
        <f>IFERROR(__xludf.DUMMYFUNCTION("""COMPUTED_VALUE"""),0.5)</f>
        <v>0.5</v>
      </c>
      <c r="P543" s="220"/>
      <c r="R543" s="210"/>
      <c r="S543" s="210"/>
      <c r="T543" s="210"/>
      <c r="U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row>
    <row r="544">
      <c r="A544" s="223"/>
      <c r="B544" s="190"/>
      <c r="C544" s="190"/>
      <c r="D544" s="190"/>
      <c r="E544" s="190"/>
      <c r="F544" s="190"/>
      <c r="G544" s="190"/>
      <c r="H544" s="190"/>
      <c r="I544" s="190"/>
      <c r="J544" s="190"/>
      <c r="K544" s="190"/>
      <c r="L544" s="190"/>
      <c r="M544" s="190"/>
      <c r="N544" s="220"/>
      <c r="O544" s="220"/>
      <c r="P544" s="220"/>
      <c r="R544" s="210"/>
      <c r="S544" s="210"/>
      <c r="T544" s="210"/>
      <c r="U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row>
    <row r="545">
      <c r="A545" s="223"/>
      <c r="B545" s="190"/>
      <c r="C545" s="190"/>
      <c r="D545" s="190"/>
      <c r="E545" s="190"/>
      <c r="F545" s="190"/>
      <c r="G545" s="190"/>
      <c r="H545" s="190"/>
      <c r="I545" s="190"/>
      <c r="J545" s="190"/>
      <c r="K545" s="190"/>
      <c r="L545" s="190"/>
      <c r="M545" s="190"/>
      <c r="N545" s="220"/>
      <c r="O545" s="220"/>
      <c r="P545" s="220"/>
      <c r="R545" s="210"/>
      <c r="S545" s="210"/>
      <c r="T545" s="210"/>
      <c r="U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row>
    <row r="546">
      <c r="A546" s="223"/>
      <c r="B546" s="190"/>
      <c r="C546" s="190"/>
      <c r="D546" s="190"/>
      <c r="E546" s="190"/>
      <c r="F546" s="190"/>
      <c r="G546" s="190"/>
      <c r="H546" s="190"/>
      <c r="I546" s="190"/>
      <c r="J546" s="190"/>
      <c r="K546" s="190"/>
      <c r="L546" s="190"/>
      <c r="M546" s="190"/>
      <c r="N546" s="220"/>
      <c r="O546" s="220"/>
      <c r="P546" s="220"/>
      <c r="R546" s="210"/>
      <c r="S546" s="210"/>
      <c r="T546" s="210"/>
      <c r="U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row>
    <row r="547">
      <c r="A547" s="223"/>
      <c r="B547" s="190"/>
      <c r="C547" s="190"/>
      <c r="D547" s="190"/>
      <c r="E547" s="190"/>
      <c r="F547" s="190"/>
      <c r="G547" s="190"/>
      <c r="H547" s="190"/>
      <c r="I547" s="190"/>
      <c r="J547" s="190"/>
      <c r="K547" s="190"/>
      <c r="L547" s="190"/>
      <c r="M547" s="190"/>
      <c r="N547" s="220"/>
      <c r="O547" s="220"/>
      <c r="P547" s="220"/>
      <c r="R547" s="210"/>
      <c r="S547" s="210"/>
      <c r="T547" s="210"/>
      <c r="U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row>
    <row r="548">
      <c r="A548" s="223"/>
      <c r="B548" s="190"/>
      <c r="C548" s="190"/>
      <c r="D548" s="190"/>
      <c r="E548" s="190"/>
      <c r="F548" s="190"/>
      <c r="G548" s="190"/>
      <c r="H548" s="190"/>
      <c r="I548" s="190"/>
      <c r="J548" s="190"/>
      <c r="K548" s="190"/>
      <c r="L548" s="190"/>
      <c r="M548" s="190"/>
      <c r="N548" s="220"/>
      <c r="O548" s="220"/>
      <c r="P548" s="220"/>
      <c r="R548" s="210"/>
      <c r="S548" s="210"/>
      <c r="T548" s="210"/>
      <c r="U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row>
    <row r="549">
      <c r="A549" s="223"/>
      <c r="B549" s="190"/>
      <c r="C549" s="190"/>
      <c r="D549" s="190"/>
      <c r="E549" s="190"/>
      <c r="F549" s="190"/>
      <c r="G549" s="190"/>
      <c r="H549" s="190"/>
      <c r="I549" s="190"/>
      <c r="J549" s="190"/>
      <c r="K549" s="190"/>
      <c r="L549" s="190"/>
      <c r="M549" s="190"/>
      <c r="N549" s="220"/>
      <c r="O549" s="220"/>
      <c r="P549" s="220"/>
      <c r="R549" s="210"/>
      <c r="S549" s="210"/>
      <c r="T549" s="210"/>
      <c r="U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row>
    <row r="550">
      <c r="A550" s="223"/>
      <c r="B550" s="190"/>
      <c r="C550" s="190"/>
      <c r="D550" s="190"/>
      <c r="E550" s="190"/>
      <c r="F550" s="190"/>
      <c r="G550" s="190"/>
      <c r="H550" s="190"/>
      <c r="I550" s="190"/>
      <c r="J550" s="190"/>
      <c r="K550" s="190"/>
      <c r="L550" s="190"/>
      <c r="M550" s="190"/>
      <c r="N550" s="220"/>
      <c r="O550" s="220"/>
      <c r="P550" s="220"/>
      <c r="R550" s="210"/>
      <c r="S550" s="210"/>
      <c r="T550" s="210"/>
      <c r="U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row>
    <row r="551">
      <c r="A551" s="190"/>
      <c r="B551" s="190"/>
      <c r="C551" s="190"/>
      <c r="D551" s="190"/>
      <c r="E551" s="190"/>
      <c r="F551" s="190"/>
      <c r="G551" s="190"/>
      <c r="H551" s="190"/>
      <c r="I551" s="190"/>
      <c r="J551" s="190"/>
      <c r="K551" s="190"/>
      <c r="L551" s="190"/>
      <c r="M551" s="190"/>
      <c r="N551" s="220"/>
      <c r="O551" s="220"/>
      <c r="P551" s="220"/>
      <c r="R551" s="210"/>
      <c r="S551" s="210"/>
      <c r="T551" s="210"/>
      <c r="U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row>
    <row r="552">
      <c r="A552" s="190"/>
      <c r="B552" s="190"/>
      <c r="C552" s="190"/>
      <c r="D552" s="190"/>
      <c r="E552" s="190"/>
      <c r="F552" s="190"/>
      <c r="G552" s="190"/>
      <c r="H552" s="190"/>
      <c r="I552" s="190"/>
      <c r="J552" s="190"/>
      <c r="K552" s="190"/>
      <c r="L552" s="190"/>
      <c r="M552" s="190"/>
      <c r="N552" s="220"/>
      <c r="O552" s="220"/>
      <c r="P552" s="220"/>
      <c r="R552" s="210"/>
      <c r="S552" s="210"/>
      <c r="T552" s="210"/>
      <c r="U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row>
    <row r="553">
      <c r="A553" s="190"/>
      <c r="B553" s="190"/>
      <c r="C553" s="190"/>
      <c r="D553" s="190"/>
      <c r="E553" s="190"/>
      <c r="F553" s="190"/>
      <c r="G553" s="190"/>
      <c r="H553" s="190"/>
      <c r="I553" s="190"/>
      <c r="J553" s="190"/>
      <c r="K553" s="190"/>
      <c r="L553" s="190"/>
      <c r="M553" s="190"/>
      <c r="N553" s="220"/>
      <c r="O553" s="220"/>
      <c r="P553" s="220"/>
      <c r="R553" s="210"/>
      <c r="S553" s="210"/>
      <c r="T553" s="210"/>
      <c r="U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row>
    <row r="554">
      <c r="A554" s="190"/>
      <c r="B554" s="190"/>
      <c r="C554" s="190"/>
      <c r="D554" s="190"/>
      <c r="E554" s="190"/>
      <c r="F554" s="190"/>
      <c r="G554" s="190"/>
      <c r="H554" s="190"/>
      <c r="I554" s="190"/>
      <c r="J554" s="190"/>
      <c r="K554" s="190"/>
      <c r="L554" s="190"/>
      <c r="M554" s="190"/>
      <c r="N554" s="220"/>
      <c r="O554" s="220"/>
      <c r="P554" s="220"/>
      <c r="R554" s="210"/>
      <c r="S554" s="210"/>
      <c r="T554" s="210"/>
      <c r="U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row>
    <row r="555">
      <c r="A555" s="190"/>
      <c r="B555" s="190"/>
      <c r="C555" s="190"/>
      <c r="D555" s="190"/>
      <c r="E555" s="190"/>
      <c r="F555" s="190"/>
      <c r="G555" s="190"/>
      <c r="H555" s="190"/>
      <c r="I555" s="190"/>
      <c r="J555" s="190"/>
      <c r="K555" s="190"/>
      <c r="L555" s="190"/>
      <c r="M555" s="190"/>
      <c r="N555" s="220"/>
      <c r="O555" s="220"/>
      <c r="P555" s="220"/>
      <c r="R555" s="210"/>
      <c r="S555" s="210"/>
      <c r="T555" s="210"/>
      <c r="U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row>
    <row r="556">
      <c r="A556" s="190"/>
      <c r="B556" s="190"/>
      <c r="C556" s="190"/>
      <c r="D556" s="190"/>
      <c r="E556" s="190"/>
      <c r="F556" s="190"/>
      <c r="G556" s="190"/>
      <c r="H556" s="190"/>
      <c r="I556" s="190"/>
      <c r="J556" s="190"/>
      <c r="K556" s="190"/>
      <c r="L556" s="190"/>
      <c r="M556" s="190"/>
      <c r="N556" s="220"/>
      <c r="O556" s="220"/>
      <c r="P556" s="220"/>
      <c r="R556" s="210"/>
      <c r="S556" s="210"/>
      <c r="T556" s="210"/>
      <c r="U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row>
    <row r="557">
      <c r="A557" s="190"/>
      <c r="B557" s="190"/>
      <c r="C557" s="190"/>
      <c r="D557" s="190"/>
      <c r="E557" s="190"/>
      <c r="F557" s="190"/>
      <c r="G557" s="190"/>
      <c r="H557" s="190"/>
      <c r="I557" s="190"/>
      <c r="J557" s="190"/>
      <c r="K557" s="190"/>
      <c r="L557" s="190"/>
      <c r="M557" s="190"/>
      <c r="N557" s="220"/>
      <c r="O557" s="220"/>
      <c r="P557" s="220"/>
      <c r="R557" s="210"/>
      <c r="S557" s="210"/>
      <c r="T557" s="210"/>
      <c r="U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row>
    <row r="558">
      <c r="A558" s="190"/>
      <c r="B558" s="190"/>
      <c r="C558" s="190"/>
      <c r="D558" s="190"/>
      <c r="E558" s="190"/>
      <c r="F558" s="190"/>
      <c r="G558" s="190"/>
      <c r="H558" s="190"/>
      <c r="I558" s="190"/>
      <c r="J558" s="190"/>
      <c r="K558" s="190"/>
      <c r="L558" s="190"/>
      <c r="M558" s="190"/>
      <c r="N558" s="220"/>
      <c r="O558" s="220"/>
      <c r="P558" s="220"/>
      <c r="R558" s="210"/>
      <c r="S558" s="210"/>
      <c r="T558" s="210"/>
      <c r="U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row>
    <row r="559">
      <c r="A559" s="190"/>
      <c r="B559" s="190"/>
      <c r="C559" s="190"/>
      <c r="D559" s="190"/>
      <c r="E559" s="190"/>
      <c r="F559" s="190"/>
      <c r="G559" s="190"/>
      <c r="H559" s="190"/>
      <c r="I559" s="190"/>
      <c r="J559" s="190"/>
      <c r="K559" s="190"/>
      <c r="L559" s="190"/>
      <c r="M559" s="190"/>
      <c r="N559" s="220"/>
      <c r="O559" s="220"/>
      <c r="P559" s="220"/>
      <c r="R559" s="210"/>
      <c r="S559" s="210"/>
      <c r="T559" s="210"/>
      <c r="U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row>
    <row r="560">
      <c r="A560" s="190"/>
      <c r="B560" s="190"/>
      <c r="C560" s="190"/>
      <c r="D560" s="190"/>
      <c r="E560" s="190"/>
      <c r="F560" s="190"/>
      <c r="G560" s="190"/>
      <c r="H560" s="190"/>
      <c r="I560" s="190"/>
      <c r="J560" s="190"/>
      <c r="K560" s="190"/>
      <c r="L560" s="190"/>
      <c r="M560" s="190"/>
      <c r="N560" s="220"/>
      <c r="O560" s="220"/>
      <c r="P560" s="220"/>
      <c r="R560" s="210"/>
      <c r="S560" s="210"/>
      <c r="T560" s="210"/>
      <c r="U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row>
    <row r="561">
      <c r="A561" s="190"/>
      <c r="B561" s="190"/>
      <c r="C561" s="190"/>
      <c r="D561" s="190"/>
      <c r="E561" s="190"/>
      <c r="F561" s="190"/>
      <c r="G561" s="190"/>
      <c r="H561" s="190"/>
      <c r="I561" s="190"/>
      <c r="J561" s="190"/>
      <c r="K561" s="190"/>
      <c r="L561" s="190"/>
      <c r="M561" s="190"/>
      <c r="N561" s="220"/>
      <c r="O561" s="220"/>
      <c r="P561" s="220"/>
      <c r="R561" s="210"/>
      <c r="S561" s="210"/>
      <c r="T561" s="210"/>
      <c r="U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row>
    <row r="562">
      <c r="A562" s="190"/>
      <c r="B562" s="190"/>
      <c r="C562" s="190"/>
      <c r="D562" s="190"/>
      <c r="E562" s="190"/>
      <c r="F562" s="190"/>
      <c r="G562" s="190"/>
      <c r="H562" s="190"/>
      <c r="I562" s="190"/>
      <c r="J562" s="190"/>
      <c r="K562" s="190"/>
      <c r="L562" s="190"/>
      <c r="M562" s="190"/>
      <c r="N562" s="220"/>
      <c r="O562" s="220"/>
      <c r="P562" s="220"/>
      <c r="R562" s="210"/>
      <c r="S562" s="210"/>
      <c r="T562" s="210"/>
      <c r="U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row>
    <row r="563">
      <c r="A563" s="190"/>
      <c r="B563" s="190"/>
      <c r="C563" s="190"/>
      <c r="D563" s="190"/>
      <c r="E563" s="190"/>
      <c r="F563" s="190"/>
      <c r="G563" s="190"/>
      <c r="H563" s="190"/>
      <c r="I563" s="190"/>
      <c r="J563" s="190"/>
      <c r="K563" s="190"/>
      <c r="L563" s="190"/>
      <c r="M563" s="190"/>
      <c r="N563" s="220"/>
      <c r="O563" s="220"/>
      <c r="P563" s="220"/>
      <c r="R563" s="210"/>
      <c r="S563" s="210"/>
      <c r="T563" s="210"/>
      <c r="U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row>
    <row r="564">
      <c r="A564" s="190"/>
      <c r="B564" s="190"/>
      <c r="C564" s="190"/>
      <c r="D564" s="190"/>
      <c r="E564" s="190"/>
      <c r="F564" s="190"/>
      <c r="G564" s="190"/>
      <c r="H564" s="190"/>
      <c r="I564" s="190"/>
      <c r="J564" s="190"/>
      <c r="K564" s="190"/>
      <c r="L564" s="190"/>
      <c r="M564" s="190"/>
      <c r="N564" s="220"/>
      <c r="O564" s="220"/>
      <c r="P564" s="220"/>
      <c r="R564" s="210"/>
      <c r="S564" s="210"/>
      <c r="T564" s="210"/>
      <c r="U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row>
    <row r="565">
      <c r="A565" s="190"/>
      <c r="B565" s="190"/>
      <c r="C565" s="190"/>
      <c r="D565" s="190"/>
      <c r="E565" s="190"/>
      <c r="F565" s="190"/>
      <c r="G565" s="190"/>
      <c r="H565" s="190"/>
      <c r="I565" s="190"/>
      <c r="J565" s="190"/>
      <c r="K565" s="190"/>
      <c r="L565" s="190"/>
      <c r="M565" s="190"/>
      <c r="N565" s="220"/>
      <c r="O565" s="220"/>
      <c r="P565" s="220"/>
      <c r="R565" s="210"/>
      <c r="S565" s="210"/>
      <c r="T565" s="210"/>
      <c r="U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row>
    <row r="566">
      <c r="A566" s="190"/>
      <c r="B566" s="190"/>
      <c r="C566" s="190"/>
      <c r="D566" s="190"/>
      <c r="E566" s="190"/>
      <c r="F566" s="190"/>
      <c r="G566" s="190"/>
      <c r="H566" s="190"/>
      <c r="I566" s="190"/>
      <c r="J566" s="190"/>
      <c r="K566" s="190"/>
      <c r="L566" s="190"/>
      <c r="M566" s="190"/>
      <c r="N566" s="220"/>
      <c r="O566" s="220"/>
      <c r="P566" s="220"/>
      <c r="R566" s="210"/>
      <c r="S566" s="210"/>
      <c r="T566" s="210"/>
      <c r="U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row>
    <row r="567">
      <c r="A567" s="190"/>
      <c r="B567" s="190"/>
      <c r="C567" s="190"/>
      <c r="D567" s="190"/>
      <c r="E567" s="190"/>
      <c r="F567" s="190"/>
      <c r="G567" s="190"/>
      <c r="H567" s="190"/>
      <c r="I567" s="190"/>
      <c r="J567" s="190"/>
      <c r="K567" s="190"/>
      <c r="L567" s="190"/>
      <c r="M567" s="190"/>
      <c r="N567" s="220"/>
      <c r="O567" s="220"/>
      <c r="P567" s="220"/>
      <c r="R567" s="210"/>
      <c r="S567" s="210"/>
      <c r="T567" s="210"/>
      <c r="U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row>
    <row r="568">
      <c r="A568" s="190"/>
      <c r="B568" s="190"/>
      <c r="C568" s="190"/>
      <c r="D568" s="190"/>
      <c r="E568" s="190"/>
      <c r="F568" s="190"/>
      <c r="G568" s="190"/>
      <c r="H568" s="190"/>
      <c r="I568" s="190"/>
      <c r="J568" s="190"/>
      <c r="K568" s="190"/>
      <c r="L568" s="190"/>
      <c r="M568" s="190"/>
      <c r="N568" s="220"/>
      <c r="O568" s="220"/>
      <c r="P568" s="220"/>
      <c r="R568" s="210"/>
      <c r="S568" s="210"/>
      <c r="T568" s="210"/>
      <c r="U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row>
    <row r="569">
      <c r="A569" s="190"/>
      <c r="B569" s="190"/>
      <c r="C569" s="190"/>
      <c r="D569" s="190"/>
      <c r="E569" s="190"/>
      <c r="F569" s="190"/>
      <c r="G569" s="190"/>
      <c r="H569" s="190"/>
      <c r="I569" s="190"/>
      <c r="J569" s="190"/>
      <c r="K569" s="190"/>
      <c r="L569" s="190"/>
      <c r="M569" s="190"/>
      <c r="N569" s="220"/>
      <c r="O569" s="220"/>
      <c r="P569" s="220"/>
      <c r="R569" s="210"/>
      <c r="S569" s="210"/>
      <c r="T569" s="210"/>
      <c r="U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row>
    <row r="570">
      <c r="A570" s="190"/>
      <c r="B570" s="190"/>
      <c r="C570" s="190"/>
      <c r="D570" s="190"/>
      <c r="E570" s="190"/>
      <c r="F570" s="190"/>
      <c r="G570" s="190"/>
      <c r="H570" s="190"/>
      <c r="I570" s="190"/>
      <c r="J570" s="190"/>
      <c r="K570" s="190"/>
      <c r="L570" s="190"/>
      <c r="M570" s="190"/>
      <c r="N570" s="220"/>
      <c r="O570" s="220"/>
      <c r="P570" s="220"/>
      <c r="R570" s="210"/>
      <c r="S570" s="210"/>
      <c r="T570" s="210"/>
      <c r="U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row>
    <row r="571">
      <c r="A571" s="190"/>
      <c r="B571" s="190"/>
      <c r="C571" s="190"/>
      <c r="D571" s="190"/>
      <c r="E571" s="190"/>
      <c r="F571" s="190"/>
      <c r="G571" s="190"/>
      <c r="H571" s="190"/>
      <c r="I571" s="190"/>
      <c r="J571" s="190"/>
      <c r="K571" s="190"/>
      <c r="L571" s="190"/>
      <c r="M571" s="190"/>
      <c r="N571" s="220"/>
      <c r="O571" s="220"/>
      <c r="P571" s="220"/>
      <c r="R571" s="210"/>
      <c r="S571" s="210"/>
      <c r="T571" s="210"/>
      <c r="U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row>
    <row r="572">
      <c r="A572" s="190"/>
      <c r="B572" s="190"/>
      <c r="C572" s="190"/>
      <c r="D572" s="190"/>
      <c r="E572" s="190"/>
      <c r="F572" s="190"/>
      <c r="G572" s="190"/>
      <c r="H572" s="190"/>
      <c r="I572" s="190"/>
      <c r="J572" s="190"/>
      <c r="K572" s="190"/>
      <c r="L572" s="190"/>
      <c r="M572" s="190"/>
      <c r="N572" s="220"/>
      <c r="O572" s="220"/>
      <c r="P572" s="220"/>
      <c r="R572" s="210"/>
      <c r="S572" s="210"/>
      <c r="T572" s="210"/>
      <c r="U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row>
    <row r="573">
      <c r="A573" s="190"/>
      <c r="B573" s="190"/>
      <c r="C573" s="190"/>
      <c r="D573" s="190"/>
      <c r="E573" s="190"/>
      <c r="F573" s="190"/>
      <c r="G573" s="190"/>
      <c r="H573" s="190"/>
      <c r="I573" s="190"/>
      <c r="J573" s="190"/>
      <c r="K573" s="190"/>
      <c r="L573" s="190"/>
      <c r="M573" s="190"/>
      <c r="N573" s="220"/>
      <c r="O573" s="220"/>
      <c r="P573" s="220"/>
      <c r="R573" s="210"/>
      <c r="S573" s="210"/>
      <c r="T573" s="210"/>
      <c r="U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row>
    <row r="574">
      <c r="A574" s="190"/>
      <c r="B574" s="190"/>
      <c r="C574" s="190"/>
      <c r="D574" s="190"/>
      <c r="E574" s="190"/>
      <c r="F574" s="190"/>
      <c r="G574" s="190"/>
      <c r="H574" s="190"/>
      <c r="I574" s="190"/>
      <c r="J574" s="190"/>
      <c r="K574" s="190"/>
      <c r="L574" s="190"/>
      <c r="M574" s="190"/>
      <c r="N574" s="220"/>
      <c r="O574" s="220"/>
      <c r="P574" s="220"/>
      <c r="R574" s="210"/>
      <c r="S574" s="210"/>
      <c r="T574" s="210"/>
      <c r="U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row>
    <row r="575">
      <c r="A575" s="190"/>
      <c r="B575" s="190"/>
      <c r="C575" s="190"/>
      <c r="D575" s="190"/>
      <c r="E575" s="190"/>
      <c r="F575" s="190"/>
      <c r="G575" s="190"/>
      <c r="H575" s="190"/>
      <c r="I575" s="190"/>
      <c r="J575" s="190"/>
      <c r="K575" s="190"/>
      <c r="L575" s="190"/>
      <c r="M575" s="190"/>
      <c r="N575" s="220"/>
      <c r="O575" s="220"/>
      <c r="P575" s="220"/>
      <c r="R575" s="210"/>
      <c r="S575" s="210"/>
      <c r="T575" s="210"/>
      <c r="U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row>
    <row r="576">
      <c r="A576" s="190"/>
      <c r="B576" s="190"/>
      <c r="C576" s="190"/>
      <c r="D576" s="190"/>
      <c r="E576" s="190"/>
      <c r="F576" s="190"/>
      <c r="G576" s="190"/>
      <c r="H576" s="190"/>
      <c r="I576" s="190"/>
      <c r="J576" s="190"/>
      <c r="K576" s="190"/>
      <c r="L576" s="190"/>
      <c r="M576" s="190"/>
      <c r="N576" s="220"/>
      <c r="O576" s="220"/>
      <c r="P576" s="220"/>
      <c r="R576" s="210"/>
      <c r="S576" s="210"/>
      <c r="T576" s="210"/>
      <c r="U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row>
    <row r="577">
      <c r="A577" s="190"/>
      <c r="B577" s="190"/>
      <c r="C577" s="190"/>
      <c r="D577" s="190"/>
      <c r="E577" s="190"/>
      <c r="F577" s="190"/>
      <c r="G577" s="190"/>
      <c r="H577" s="190"/>
      <c r="I577" s="190"/>
      <c r="J577" s="190"/>
      <c r="K577" s="190"/>
      <c r="L577" s="190"/>
      <c r="M577" s="190"/>
      <c r="N577" s="220"/>
      <c r="O577" s="220"/>
      <c r="P577" s="220"/>
      <c r="R577" s="210"/>
      <c r="S577" s="210"/>
      <c r="T577" s="210"/>
      <c r="U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row>
    <row r="578">
      <c r="A578" s="190"/>
      <c r="B578" s="190"/>
      <c r="C578" s="190"/>
      <c r="D578" s="190"/>
      <c r="E578" s="190"/>
      <c r="F578" s="190"/>
      <c r="G578" s="190"/>
      <c r="H578" s="190"/>
      <c r="I578" s="190"/>
      <c r="J578" s="190"/>
      <c r="K578" s="190"/>
      <c r="L578" s="190"/>
      <c r="M578" s="190"/>
      <c r="N578" s="220"/>
      <c r="O578" s="220"/>
      <c r="P578" s="220"/>
      <c r="R578" s="210"/>
      <c r="S578" s="210"/>
      <c r="T578" s="210"/>
      <c r="U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row>
    <row r="579">
      <c r="A579" s="190"/>
      <c r="B579" s="190"/>
      <c r="C579" s="190"/>
      <c r="D579" s="190"/>
      <c r="E579" s="190"/>
      <c r="F579" s="190"/>
      <c r="G579" s="190"/>
      <c r="H579" s="190"/>
      <c r="I579" s="190"/>
      <c r="J579" s="190"/>
      <c r="K579" s="190"/>
      <c r="L579" s="190"/>
      <c r="M579" s="190"/>
      <c r="N579" s="220"/>
      <c r="O579" s="220"/>
      <c r="P579" s="220"/>
      <c r="R579" s="210"/>
      <c r="S579" s="210"/>
      <c r="T579" s="210"/>
      <c r="U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row>
    <row r="580">
      <c r="A580" s="190"/>
      <c r="B580" s="190"/>
      <c r="C580" s="190"/>
      <c r="D580" s="190"/>
      <c r="E580" s="190"/>
      <c r="F580" s="190"/>
      <c r="G580" s="190"/>
      <c r="H580" s="190"/>
      <c r="I580" s="190"/>
      <c r="J580" s="190"/>
      <c r="K580" s="190"/>
      <c r="L580" s="190"/>
      <c r="M580" s="190"/>
      <c r="N580" s="220"/>
      <c r="O580" s="220"/>
      <c r="P580" s="220"/>
      <c r="R580" s="210"/>
      <c r="S580" s="210"/>
      <c r="T580" s="210"/>
      <c r="U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row>
    <row r="581">
      <c r="A581" s="190"/>
      <c r="B581" s="190"/>
      <c r="C581" s="190"/>
      <c r="D581" s="190"/>
      <c r="E581" s="190"/>
      <c r="F581" s="190"/>
      <c r="G581" s="190"/>
      <c r="H581" s="190"/>
      <c r="I581" s="190"/>
      <c r="J581" s="190"/>
      <c r="K581" s="190"/>
      <c r="L581" s="190"/>
      <c r="M581" s="190"/>
      <c r="N581" s="220"/>
      <c r="O581" s="220"/>
      <c r="P581" s="220"/>
      <c r="R581" s="210"/>
      <c r="S581" s="210"/>
      <c r="T581" s="210"/>
      <c r="U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row>
    <row r="582">
      <c r="A582" s="190"/>
      <c r="B582" s="190"/>
      <c r="C582" s="190"/>
      <c r="D582" s="190"/>
      <c r="E582" s="190"/>
      <c r="F582" s="190"/>
      <c r="G582" s="190"/>
      <c r="H582" s="190"/>
      <c r="I582" s="190"/>
      <c r="J582" s="190"/>
      <c r="K582" s="190"/>
      <c r="L582" s="190"/>
      <c r="M582" s="190"/>
      <c r="N582" s="220"/>
      <c r="O582" s="220"/>
      <c r="P582" s="220"/>
      <c r="R582" s="210"/>
      <c r="S582" s="210"/>
      <c r="T582" s="210"/>
      <c r="U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row>
    <row r="583">
      <c r="A583" s="190"/>
      <c r="B583" s="190"/>
      <c r="C583" s="190"/>
      <c r="D583" s="190"/>
      <c r="E583" s="190"/>
      <c r="F583" s="190"/>
      <c r="G583" s="190"/>
      <c r="H583" s="190"/>
      <c r="I583" s="190"/>
      <c r="J583" s="190"/>
      <c r="K583" s="190"/>
      <c r="L583" s="190"/>
      <c r="M583" s="190"/>
      <c r="N583" s="220"/>
      <c r="O583" s="220"/>
      <c r="P583" s="220"/>
      <c r="R583" s="210"/>
      <c r="S583" s="210"/>
      <c r="T583" s="210"/>
      <c r="U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row>
    <row r="584">
      <c r="A584" s="190"/>
      <c r="B584" s="190"/>
      <c r="C584" s="190"/>
      <c r="D584" s="190"/>
      <c r="E584" s="190"/>
      <c r="F584" s="190"/>
      <c r="G584" s="190"/>
      <c r="H584" s="190"/>
      <c r="I584" s="190"/>
      <c r="J584" s="190"/>
      <c r="K584" s="190"/>
      <c r="L584" s="190"/>
      <c r="M584" s="190"/>
      <c r="N584" s="220"/>
      <c r="O584" s="220"/>
      <c r="P584" s="220"/>
      <c r="R584" s="210"/>
      <c r="S584" s="210"/>
      <c r="T584" s="210"/>
      <c r="U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row>
    <row r="585">
      <c r="A585" s="190"/>
      <c r="B585" s="190"/>
      <c r="C585" s="190"/>
      <c r="D585" s="190"/>
      <c r="E585" s="190"/>
      <c r="F585" s="190"/>
      <c r="G585" s="190"/>
      <c r="H585" s="190"/>
      <c r="I585" s="190"/>
      <c r="J585" s="190"/>
      <c r="K585" s="190"/>
      <c r="L585" s="190"/>
      <c r="M585" s="190"/>
      <c r="N585" s="220"/>
      <c r="O585" s="220"/>
      <c r="P585" s="220"/>
      <c r="R585" s="210"/>
      <c r="S585" s="210"/>
      <c r="T585" s="210"/>
      <c r="U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row>
    <row r="586">
      <c r="A586" s="190"/>
      <c r="B586" s="190"/>
      <c r="C586" s="190"/>
      <c r="D586" s="190"/>
      <c r="E586" s="190"/>
      <c r="F586" s="190"/>
      <c r="G586" s="190"/>
      <c r="H586" s="190"/>
      <c r="I586" s="190"/>
      <c r="J586" s="190"/>
      <c r="K586" s="190"/>
      <c r="L586" s="190"/>
      <c r="M586" s="190"/>
      <c r="N586" s="220"/>
      <c r="O586" s="220"/>
      <c r="P586" s="220"/>
      <c r="R586" s="210"/>
      <c r="S586" s="210"/>
      <c r="T586" s="210"/>
      <c r="U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row>
    <row r="587">
      <c r="A587" s="190"/>
      <c r="B587" s="190"/>
      <c r="C587" s="190"/>
      <c r="D587" s="190"/>
      <c r="E587" s="190"/>
      <c r="F587" s="190"/>
      <c r="G587" s="190"/>
      <c r="H587" s="190"/>
      <c r="I587" s="190"/>
      <c r="J587" s="190"/>
      <c r="K587" s="190"/>
      <c r="L587" s="190"/>
      <c r="M587" s="190"/>
      <c r="N587" s="220"/>
      <c r="O587" s="220"/>
      <c r="P587" s="220"/>
      <c r="R587" s="210"/>
      <c r="S587" s="210"/>
      <c r="T587" s="210"/>
      <c r="U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row>
    <row r="588">
      <c r="A588" s="190"/>
      <c r="B588" s="190"/>
      <c r="C588" s="190"/>
      <c r="D588" s="190"/>
      <c r="E588" s="190"/>
      <c r="F588" s="190"/>
      <c r="G588" s="190"/>
      <c r="H588" s="190"/>
      <c r="I588" s="190"/>
      <c r="J588" s="190"/>
      <c r="K588" s="190"/>
      <c r="L588" s="190"/>
      <c r="M588" s="190"/>
      <c r="N588" s="220"/>
      <c r="O588" s="220"/>
      <c r="P588" s="220"/>
      <c r="R588" s="210"/>
      <c r="S588" s="210"/>
      <c r="T588" s="210"/>
      <c r="U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row>
    <row r="589">
      <c r="A589" s="190"/>
      <c r="B589" s="190"/>
      <c r="C589" s="190"/>
      <c r="D589" s="190"/>
      <c r="E589" s="190"/>
      <c r="F589" s="190"/>
      <c r="G589" s="190"/>
      <c r="H589" s="190"/>
      <c r="I589" s="190"/>
      <c r="J589" s="190"/>
      <c r="K589" s="190"/>
      <c r="L589" s="190"/>
      <c r="M589" s="190"/>
      <c r="N589" s="220"/>
      <c r="O589" s="220"/>
      <c r="P589" s="220"/>
      <c r="R589" s="210"/>
      <c r="S589" s="210"/>
      <c r="T589" s="210"/>
      <c r="U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row>
    <row r="590">
      <c r="A590" s="190"/>
      <c r="B590" s="190"/>
      <c r="C590" s="190"/>
      <c r="D590" s="190"/>
      <c r="E590" s="190"/>
      <c r="F590" s="190"/>
      <c r="G590" s="190"/>
      <c r="H590" s="190"/>
      <c r="I590" s="190"/>
      <c r="J590" s="190"/>
      <c r="K590" s="190"/>
      <c r="L590" s="190"/>
      <c r="M590" s="190"/>
      <c r="N590" s="220"/>
      <c r="O590" s="220"/>
      <c r="P590" s="220"/>
      <c r="R590" s="210"/>
      <c r="S590" s="210"/>
      <c r="T590" s="210"/>
      <c r="U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row>
    <row r="591">
      <c r="A591" s="190"/>
      <c r="B591" s="190"/>
      <c r="C591" s="190"/>
      <c r="D591" s="190"/>
      <c r="E591" s="190"/>
      <c r="F591" s="190"/>
      <c r="G591" s="190"/>
      <c r="H591" s="190"/>
      <c r="I591" s="190"/>
      <c r="J591" s="190"/>
      <c r="K591" s="190"/>
      <c r="L591" s="190"/>
      <c r="M591" s="190"/>
      <c r="N591" s="220"/>
      <c r="O591" s="220"/>
      <c r="P591" s="220"/>
      <c r="R591" s="210"/>
      <c r="S591" s="210"/>
      <c r="T591" s="210"/>
      <c r="U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row>
    <row r="592">
      <c r="A592" s="190"/>
      <c r="B592" s="190"/>
      <c r="C592" s="190"/>
      <c r="D592" s="190"/>
      <c r="E592" s="190"/>
      <c r="F592" s="190"/>
      <c r="G592" s="190"/>
      <c r="H592" s="190"/>
      <c r="I592" s="190"/>
      <c r="J592" s="190"/>
      <c r="K592" s="190"/>
      <c r="L592" s="190"/>
      <c r="M592" s="190"/>
      <c r="N592" s="220"/>
      <c r="O592" s="220"/>
      <c r="P592" s="220"/>
      <c r="R592" s="210"/>
      <c r="S592" s="210"/>
      <c r="T592" s="210"/>
      <c r="U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row>
    <row r="593">
      <c r="A593" s="190"/>
      <c r="B593" s="190"/>
      <c r="C593" s="190"/>
      <c r="D593" s="190"/>
      <c r="E593" s="190"/>
      <c r="F593" s="190"/>
      <c r="G593" s="190"/>
      <c r="H593" s="190"/>
      <c r="I593" s="190"/>
      <c r="J593" s="190"/>
      <c r="K593" s="190"/>
      <c r="L593" s="190"/>
      <c r="M593" s="190"/>
      <c r="N593" s="220"/>
      <c r="O593" s="220"/>
      <c r="P593" s="220"/>
      <c r="R593" s="210"/>
      <c r="S593" s="210"/>
      <c r="T593" s="210"/>
      <c r="U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row>
    <row r="594">
      <c r="A594" s="190"/>
      <c r="B594" s="190"/>
      <c r="C594" s="190"/>
      <c r="D594" s="190"/>
      <c r="E594" s="190"/>
      <c r="F594" s="190"/>
      <c r="G594" s="190"/>
      <c r="H594" s="190"/>
      <c r="I594" s="190"/>
      <c r="J594" s="190"/>
      <c r="K594" s="190"/>
      <c r="L594" s="190"/>
      <c r="M594" s="190"/>
      <c r="N594" s="220"/>
      <c r="O594" s="220"/>
      <c r="P594" s="220"/>
      <c r="R594" s="210"/>
      <c r="S594" s="210"/>
      <c r="T594" s="210"/>
      <c r="U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row>
    <row r="595">
      <c r="A595" s="190"/>
      <c r="B595" s="190"/>
      <c r="C595" s="190"/>
      <c r="D595" s="190"/>
      <c r="E595" s="190"/>
      <c r="F595" s="190"/>
      <c r="G595" s="190"/>
      <c r="H595" s="190"/>
      <c r="I595" s="190"/>
      <c r="J595" s="190"/>
      <c r="K595" s="190"/>
      <c r="L595" s="190"/>
      <c r="M595" s="190"/>
      <c r="N595" s="220"/>
      <c r="O595" s="220"/>
      <c r="P595" s="220"/>
      <c r="R595" s="210"/>
      <c r="S595" s="210"/>
      <c r="T595" s="210"/>
      <c r="U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row>
    <row r="596">
      <c r="A596" s="190"/>
      <c r="B596" s="190"/>
      <c r="C596" s="190"/>
      <c r="D596" s="190"/>
      <c r="E596" s="190"/>
      <c r="F596" s="190"/>
      <c r="G596" s="190"/>
      <c r="H596" s="190"/>
      <c r="I596" s="190"/>
      <c r="J596" s="190"/>
      <c r="K596" s="190"/>
      <c r="L596" s="190"/>
      <c r="M596" s="190"/>
      <c r="N596" s="220"/>
      <c r="O596" s="220"/>
      <c r="P596" s="220"/>
      <c r="R596" s="210"/>
      <c r="S596" s="210"/>
      <c r="T596" s="210"/>
      <c r="U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row>
    <row r="597">
      <c r="A597" s="190"/>
      <c r="B597" s="190"/>
      <c r="C597" s="190"/>
      <c r="D597" s="190"/>
      <c r="E597" s="190"/>
      <c r="F597" s="190"/>
      <c r="G597" s="190"/>
      <c r="H597" s="190"/>
      <c r="I597" s="190"/>
      <c r="J597" s="190"/>
      <c r="K597" s="190"/>
      <c r="L597" s="190"/>
      <c r="M597" s="190"/>
      <c r="N597" s="220"/>
      <c r="O597" s="220"/>
      <c r="P597" s="220"/>
      <c r="R597" s="210"/>
      <c r="S597" s="210"/>
      <c r="T597" s="210"/>
      <c r="U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row>
    <row r="598">
      <c r="A598" s="190"/>
      <c r="B598" s="190"/>
      <c r="C598" s="190"/>
      <c r="D598" s="190"/>
      <c r="E598" s="190"/>
      <c r="F598" s="190"/>
      <c r="G598" s="190"/>
      <c r="H598" s="190"/>
      <c r="I598" s="190"/>
      <c r="J598" s="190"/>
      <c r="K598" s="190"/>
      <c r="L598" s="190"/>
      <c r="M598" s="190"/>
      <c r="N598" s="220"/>
      <c r="O598" s="220"/>
      <c r="P598" s="220"/>
      <c r="R598" s="210"/>
      <c r="S598" s="210"/>
      <c r="T598" s="210"/>
      <c r="U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row>
    <row r="599">
      <c r="A599" s="190"/>
      <c r="B599" s="190"/>
      <c r="C599" s="190"/>
      <c r="D599" s="190"/>
      <c r="E599" s="190"/>
      <c r="F599" s="190"/>
      <c r="G599" s="190"/>
      <c r="H599" s="190"/>
      <c r="I599" s="190"/>
      <c r="J599" s="190"/>
      <c r="K599" s="190"/>
      <c r="L599" s="190"/>
      <c r="M599" s="190"/>
      <c r="N599" s="220"/>
      <c r="O599" s="220"/>
      <c r="P599" s="220"/>
      <c r="R599" s="210"/>
      <c r="S599" s="210"/>
      <c r="T599" s="210"/>
      <c r="U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row>
    <row r="600">
      <c r="A600" s="190"/>
      <c r="B600" s="190"/>
      <c r="C600" s="190"/>
      <c r="D600" s="190"/>
      <c r="E600" s="190"/>
      <c r="F600" s="190"/>
      <c r="G600" s="190"/>
      <c r="H600" s="190"/>
      <c r="I600" s="190"/>
      <c r="J600" s="190"/>
      <c r="K600" s="190"/>
      <c r="L600" s="190"/>
      <c r="M600" s="190"/>
      <c r="N600" s="220"/>
      <c r="O600" s="220"/>
      <c r="P600" s="220"/>
      <c r="R600" s="210"/>
      <c r="S600" s="210"/>
      <c r="T600" s="210"/>
      <c r="U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row>
    <row r="601">
      <c r="A601" s="190"/>
      <c r="B601" s="190"/>
      <c r="C601" s="190"/>
      <c r="D601" s="190"/>
      <c r="E601" s="190"/>
      <c r="F601" s="190"/>
      <c r="G601" s="190"/>
      <c r="H601" s="190"/>
      <c r="I601" s="190"/>
      <c r="J601" s="190"/>
      <c r="K601" s="190"/>
      <c r="L601" s="190"/>
      <c r="M601" s="190"/>
      <c r="N601" s="220"/>
      <c r="O601" s="220"/>
      <c r="P601" s="220"/>
      <c r="R601" s="210"/>
      <c r="S601" s="210"/>
      <c r="T601" s="210"/>
      <c r="U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row>
    <row r="602">
      <c r="A602" s="190"/>
      <c r="B602" s="190"/>
      <c r="C602" s="190"/>
      <c r="D602" s="190"/>
      <c r="E602" s="190"/>
      <c r="F602" s="190"/>
      <c r="G602" s="190"/>
      <c r="H602" s="190"/>
      <c r="I602" s="190"/>
      <c r="J602" s="190"/>
      <c r="K602" s="190"/>
      <c r="L602" s="190"/>
      <c r="M602" s="190"/>
      <c r="N602" s="220"/>
      <c r="O602" s="220"/>
      <c r="P602" s="220"/>
      <c r="R602" s="210"/>
      <c r="S602" s="210"/>
      <c r="T602" s="210"/>
      <c r="U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row>
    <row r="603">
      <c r="A603" s="190"/>
      <c r="B603" s="190"/>
      <c r="C603" s="190"/>
      <c r="D603" s="190"/>
      <c r="E603" s="190"/>
      <c r="F603" s="190"/>
      <c r="G603" s="190"/>
      <c r="H603" s="190"/>
      <c r="I603" s="190"/>
      <c r="J603" s="190"/>
      <c r="K603" s="190"/>
      <c r="L603" s="190"/>
      <c r="M603" s="190"/>
      <c r="N603" s="220"/>
      <c r="O603" s="220"/>
      <c r="P603" s="220"/>
      <c r="R603" s="210"/>
      <c r="S603" s="210"/>
      <c r="T603" s="210"/>
      <c r="U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row>
    <row r="604">
      <c r="A604" s="190"/>
      <c r="B604" s="190"/>
      <c r="C604" s="190"/>
      <c r="D604" s="190"/>
      <c r="E604" s="190"/>
      <c r="F604" s="190"/>
      <c r="G604" s="190"/>
      <c r="H604" s="190"/>
      <c r="I604" s="190"/>
      <c r="J604" s="190"/>
      <c r="K604" s="190"/>
      <c r="L604" s="190"/>
      <c r="M604" s="190"/>
      <c r="N604" s="220"/>
      <c r="O604" s="220"/>
      <c r="P604" s="220"/>
      <c r="R604" s="210"/>
      <c r="S604" s="210"/>
      <c r="T604" s="210"/>
      <c r="U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row>
    <row r="605">
      <c r="A605" s="190"/>
      <c r="B605" s="190"/>
      <c r="C605" s="190"/>
      <c r="D605" s="190"/>
      <c r="E605" s="190"/>
      <c r="F605" s="190"/>
      <c r="G605" s="190"/>
      <c r="H605" s="190"/>
      <c r="I605" s="190"/>
      <c r="J605" s="190"/>
      <c r="K605" s="190"/>
      <c r="L605" s="190"/>
      <c r="M605" s="190"/>
      <c r="N605" s="220"/>
      <c r="O605" s="220"/>
      <c r="P605" s="220"/>
      <c r="R605" s="210"/>
      <c r="S605" s="210"/>
      <c r="T605" s="210"/>
      <c r="U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row>
    <row r="606">
      <c r="A606" s="190"/>
      <c r="B606" s="190"/>
      <c r="C606" s="190"/>
      <c r="D606" s="190"/>
      <c r="E606" s="190"/>
      <c r="F606" s="190"/>
      <c r="G606" s="190"/>
      <c r="H606" s="190"/>
      <c r="I606" s="190"/>
      <c r="J606" s="190"/>
      <c r="K606" s="190"/>
      <c r="L606" s="190"/>
      <c r="M606" s="190"/>
      <c r="N606" s="220"/>
      <c r="O606" s="220"/>
      <c r="P606" s="220"/>
      <c r="R606" s="210"/>
      <c r="S606" s="210"/>
      <c r="T606" s="210"/>
      <c r="U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row>
    <row r="607">
      <c r="A607" s="190"/>
      <c r="B607" s="190"/>
      <c r="C607" s="190"/>
      <c r="D607" s="190"/>
      <c r="E607" s="190"/>
      <c r="F607" s="190"/>
      <c r="G607" s="190"/>
      <c r="H607" s="190"/>
      <c r="I607" s="190"/>
      <c r="J607" s="190"/>
      <c r="K607" s="190"/>
      <c r="L607" s="190"/>
      <c r="M607" s="190"/>
      <c r="N607" s="220"/>
      <c r="O607" s="220"/>
      <c r="P607" s="220"/>
      <c r="R607" s="210"/>
      <c r="S607" s="210"/>
      <c r="T607" s="210"/>
      <c r="U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row>
    <row r="608">
      <c r="A608" s="190"/>
      <c r="B608" s="190"/>
      <c r="C608" s="190"/>
      <c r="D608" s="190"/>
      <c r="E608" s="190"/>
      <c r="F608" s="190"/>
      <c r="G608" s="190"/>
      <c r="H608" s="190"/>
      <c r="I608" s="190"/>
      <c r="J608" s="190"/>
      <c r="K608" s="190"/>
      <c r="L608" s="190"/>
      <c r="M608" s="190"/>
      <c r="N608" s="220"/>
      <c r="O608" s="220"/>
      <c r="P608" s="220"/>
      <c r="R608" s="210"/>
      <c r="S608" s="210"/>
      <c r="T608" s="210"/>
      <c r="U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row>
    <row r="609">
      <c r="A609" s="190"/>
      <c r="B609" s="190"/>
      <c r="C609" s="190"/>
      <c r="D609" s="190"/>
      <c r="E609" s="190"/>
      <c r="F609" s="190"/>
      <c r="G609" s="190"/>
      <c r="H609" s="190"/>
      <c r="I609" s="190"/>
      <c r="J609" s="190"/>
      <c r="K609" s="190"/>
      <c r="L609" s="190"/>
      <c r="M609" s="190"/>
      <c r="N609" s="220"/>
      <c r="O609" s="220"/>
      <c r="P609" s="220"/>
      <c r="R609" s="210"/>
      <c r="S609" s="210"/>
      <c r="T609" s="210"/>
      <c r="U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row>
    <row r="610">
      <c r="A610" s="190"/>
      <c r="B610" s="190"/>
      <c r="C610" s="190"/>
      <c r="D610" s="190"/>
      <c r="E610" s="190"/>
      <c r="F610" s="190"/>
      <c r="G610" s="190"/>
      <c r="H610" s="190"/>
      <c r="I610" s="190"/>
      <c r="J610" s="190"/>
      <c r="K610" s="190"/>
      <c r="L610" s="190"/>
      <c r="M610" s="190"/>
      <c r="N610" s="220"/>
      <c r="O610" s="220"/>
      <c r="P610" s="220"/>
      <c r="R610" s="210"/>
      <c r="S610" s="210"/>
      <c r="T610" s="210"/>
      <c r="U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row>
    <row r="611">
      <c r="A611" s="190"/>
      <c r="B611" s="190"/>
      <c r="C611" s="190"/>
      <c r="D611" s="190"/>
      <c r="E611" s="190"/>
      <c r="F611" s="190"/>
      <c r="G611" s="190"/>
      <c r="H611" s="190"/>
      <c r="I611" s="190"/>
      <c r="J611" s="190"/>
      <c r="K611" s="190"/>
      <c r="L611" s="190"/>
      <c r="M611" s="190"/>
      <c r="N611" s="220"/>
      <c r="O611" s="220"/>
      <c r="P611" s="220"/>
      <c r="R611" s="210"/>
      <c r="S611" s="210"/>
      <c r="T611" s="210"/>
      <c r="U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row>
    <row r="612">
      <c r="A612" s="190"/>
      <c r="B612" s="190"/>
      <c r="C612" s="190"/>
      <c r="D612" s="190"/>
      <c r="E612" s="190"/>
      <c r="F612" s="190"/>
      <c r="G612" s="190"/>
      <c r="H612" s="190"/>
      <c r="I612" s="190"/>
      <c r="J612" s="190"/>
      <c r="K612" s="190"/>
      <c r="L612" s="190"/>
      <c r="M612" s="190"/>
      <c r="N612" s="220"/>
      <c r="O612" s="220"/>
      <c r="P612" s="220"/>
      <c r="R612" s="210"/>
      <c r="S612" s="210"/>
      <c r="T612" s="210"/>
      <c r="U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row>
    <row r="613">
      <c r="A613" s="190"/>
      <c r="B613" s="190"/>
      <c r="C613" s="190"/>
      <c r="D613" s="190"/>
      <c r="E613" s="190"/>
      <c r="F613" s="190"/>
      <c r="G613" s="190"/>
      <c r="H613" s="190"/>
      <c r="I613" s="190"/>
      <c r="J613" s="190"/>
      <c r="K613" s="190"/>
      <c r="L613" s="190"/>
      <c r="M613" s="190"/>
      <c r="N613" s="220"/>
      <c r="O613" s="220"/>
      <c r="P613" s="220"/>
      <c r="R613" s="210"/>
      <c r="S613" s="210"/>
      <c r="T613" s="210"/>
      <c r="U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row>
    <row r="614">
      <c r="A614" s="190"/>
      <c r="B614" s="190"/>
      <c r="C614" s="190"/>
      <c r="D614" s="190"/>
      <c r="E614" s="190"/>
      <c r="F614" s="190"/>
      <c r="G614" s="190"/>
      <c r="H614" s="190"/>
      <c r="I614" s="190"/>
      <c r="J614" s="190"/>
      <c r="K614" s="190"/>
      <c r="L614" s="190"/>
      <c r="M614" s="190"/>
      <c r="N614" s="220"/>
      <c r="O614" s="220"/>
      <c r="P614" s="220"/>
      <c r="R614" s="210"/>
      <c r="S614" s="210"/>
      <c r="T614" s="210"/>
      <c r="U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row>
    <row r="615">
      <c r="A615" s="190"/>
      <c r="B615" s="190"/>
      <c r="C615" s="190"/>
      <c r="D615" s="190"/>
      <c r="E615" s="190"/>
      <c r="F615" s="190"/>
      <c r="G615" s="190"/>
      <c r="H615" s="190"/>
      <c r="I615" s="190"/>
      <c r="J615" s="190"/>
      <c r="K615" s="190"/>
      <c r="L615" s="190"/>
      <c r="M615" s="190"/>
      <c r="N615" s="220"/>
      <c r="O615" s="220"/>
      <c r="P615" s="220"/>
      <c r="R615" s="210"/>
      <c r="S615" s="210"/>
      <c r="T615" s="210"/>
      <c r="U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row>
    <row r="616">
      <c r="A616" s="190"/>
      <c r="B616" s="190"/>
      <c r="C616" s="190"/>
      <c r="D616" s="190"/>
      <c r="E616" s="190"/>
      <c r="F616" s="190"/>
      <c r="G616" s="190"/>
      <c r="H616" s="190"/>
      <c r="I616" s="190"/>
      <c r="J616" s="190"/>
      <c r="K616" s="190"/>
      <c r="L616" s="190"/>
      <c r="M616" s="190"/>
      <c r="N616" s="220"/>
      <c r="O616" s="220"/>
      <c r="P616" s="220"/>
      <c r="R616" s="210"/>
      <c r="S616" s="210"/>
      <c r="T616" s="210"/>
      <c r="U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row>
    <row r="617">
      <c r="A617" s="190"/>
      <c r="B617" s="190"/>
      <c r="C617" s="190"/>
      <c r="D617" s="190"/>
      <c r="E617" s="190"/>
      <c r="F617" s="190"/>
      <c r="G617" s="190"/>
      <c r="H617" s="190"/>
      <c r="I617" s="190"/>
      <c r="J617" s="190"/>
      <c r="K617" s="190"/>
      <c r="L617" s="190"/>
      <c r="M617" s="190"/>
      <c r="N617" s="220"/>
      <c r="O617" s="220"/>
      <c r="P617" s="220"/>
      <c r="R617" s="210"/>
      <c r="S617" s="210"/>
      <c r="T617" s="210"/>
      <c r="U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row>
    <row r="618">
      <c r="A618" s="190"/>
      <c r="B618" s="190"/>
      <c r="C618" s="190"/>
      <c r="D618" s="190"/>
      <c r="E618" s="190"/>
      <c r="F618" s="190"/>
      <c r="G618" s="190"/>
      <c r="H618" s="190"/>
      <c r="I618" s="190"/>
      <c r="J618" s="190"/>
      <c r="K618" s="190"/>
      <c r="L618" s="190"/>
      <c r="M618" s="190"/>
      <c r="N618" s="220"/>
      <c r="O618" s="220"/>
      <c r="P618" s="220"/>
      <c r="R618" s="210"/>
      <c r="S618" s="210"/>
      <c r="T618" s="210"/>
      <c r="U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row>
    <row r="619">
      <c r="A619" s="190"/>
      <c r="B619" s="190"/>
      <c r="C619" s="190"/>
      <c r="D619" s="190"/>
      <c r="E619" s="190"/>
      <c r="F619" s="190"/>
      <c r="G619" s="190"/>
      <c r="H619" s="190"/>
      <c r="I619" s="190"/>
      <c r="J619" s="190"/>
      <c r="K619" s="190"/>
      <c r="L619" s="190"/>
      <c r="M619" s="190"/>
      <c r="N619" s="220"/>
      <c r="O619" s="220"/>
      <c r="P619" s="220"/>
      <c r="R619" s="210"/>
      <c r="S619" s="210"/>
      <c r="T619" s="210"/>
      <c r="U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row>
    <row r="620">
      <c r="A620" s="190"/>
      <c r="B620" s="190"/>
      <c r="C620" s="190"/>
      <c r="D620" s="190"/>
      <c r="E620" s="190"/>
      <c r="F620" s="190"/>
      <c r="G620" s="190"/>
      <c r="H620" s="190"/>
      <c r="I620" s="190"/>
      <c r="J620" s="190"/>
      <c r="K620" s="190"/>
      <c r="L620" s="190"/>
      <c r="M620" s="190"/>
      <c r="N620" s="220"/>
      <c r="O620" s="220"/>
      <c r="P620" s="220"/>
      <c r="R620" s="210"/>
      <c r="S620" s="210"/>
      <c r="T620" s="210"/>
      <c r="U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row>
    <row r="621">
      <c r="A621" s="190"/>
      <c r="B621" s="190"/>
      <c r="C621" s="190"/>
      <c r="D621" s="190"/>
      <c r="E621" s="190"/>
      <c r="F621" s="190"/>
      <c r="G621" s="190"/>
      <c r="H621" s="190"/>
      <c r="I621" s="190"/>
      <c r="J621" s="190"/>
      <c r="K621" s="190"/>
      <c r="L621" s="190"/>
      <c r="M621" s="190"/>
      <c r="N621" s="220"/>
      <c r="O621" s="220"/>
      <c r="P621" s="220"/>
      <c r="R621" s="210"/>
      <c r="S621" s="210"/>
      <c r="T621" s="210"/>
      <c r="U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row>
    <row r="622">
      <c r="A622" s="190"/>
      <c r="B622" s="190"/>
      <c r="C622" s="190"/>
      <c r="D622" s="190"/>
      <c r="E622" s="190"/>
      <c r="F622" s="190"/>
      <c r="G622" s="190"/>
      <c r="H622" s="190"/>
      <c r="I622" s="190"/>
      <c r="J622" s="190"/>
      <c r="K622" s="190"/>
      <c r="L622" s="190"/>
      <c r="M622" s="190"/>
      <c r="N622" s="220"/>
      <c r="O622" s="220"/>
      <c r="P622" s="220"/>
      <c r="R622" s="210"/>
      <c r="S622" s="210"/>
      <c r="T622" s="210"/>
      <c r="U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row>
    <row r="623">
      <c r="A623" s="190"/>
      <c r="B623" s="190"/>
      <c r="C623" s="190"/>
      <c r="D623" s="190"/>
      <c r="E623" s="190"/>
      <c r="F623" s="190"/>
      <c r="G623" s="190"/>
      <c r="H623" s="190"/>
      <c r="I623" s="190"/>
      <c r="J623" s="190"/>
      <c r="K623" s="190"/>
      <c r="L623" s="190"/>
      <c r="M623" s="190"/>
      <c r="N623" s="220"/>
      <c r="O623" s="220"/>
      <c r="P623" s="220"/>
      <c r="R623" s="210"/>
      <c r="S623" s="210"/>
      <c r="T623" s="210"/>
      <c r="U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row>
    <row r="624">
      <c r="A624" s="190"/>
      <c r="B624" s="190"/>
      <c r="C624" s="190"/>
      <c r="D624" s="190"/>
      <c r="E624" s="190"/>
      <c r="F624" s="190"/>
      <c r="G624" s="190"/>
      <c r="H624" s="190"/>
      <c r="I624" s="190"/>
      <c r="J624" s="190"/>
      <c r="K624" s="190"/>
      <c r="L624" s="190"/>
      <c r="M624" s="190"/>
      <c r="N624" s="220"/>
      <c r="O624" s="220"/>
      <c r="P624" s="220"/>
      <c r="R624" s="210"/>
      <c r="S624" s="210"/>
      <c r="T624" s="210"/>
      <c r="U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row>
    <row r="625">
      <c r="A625" s="190"/>
      <c r="B625" s="190"/>
      <c r="C625" s="190"/>
      <c r="D625" s="190"/>
      <c r="E625" s="190"/>
      <c r="F625" s="190"/>
      <c r="G625" s="190"/>
      <c r="H625" s="190"/>
      <c r="I625" s="190"/>
      <c r="J625" s="190"/>
      <c r="K625" s="190"/>
      <c r="L625" s="190"/>
      <c r="M625" s="190"/>
      <c r="N625" s="220"/>
      <c r="O625" s="220"/>
      <c r="P625" s="220"/>
      <c r="R625" s="210"/>
      <c r="S625" s="210"/>
      <c r="T625" s="210"/>
      <c r="U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row>
    <row r="626">
      <c r="A626" s="190"/>
      <c r="B626" s="190"/>
      <c r="C626" s="190"/>
      <c r="D626" s="190"/>
      <c r="E626" s="190"/>
      <c r="F626" s="190"/>
      <c r="G626" s="190"/>
      <c r="H626" s="190"/>
      <c r="I626" s="190"/>
      <c r="J626" s="190"/>
      <c r="K626" s="190"/>
      <c r="L626" s="190"/>
      <c r="M626" s="190"/>
      <c r="N626" s="220"/>
      <c r="O626" s="220"/>
      <c r="P626" s="220"/>
      <c r="R626" s="210"/>
      <c r="S626" s="210"/>
      <c r="T626" s="210"/>
      <c r="U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row>
    <row r="627">
      <c r="A627" s="190"/>
      <c r="B627" s="190"/>
      <c r="C627" s="190"/>
      <c r="D627" s="190"/>
      <c r="E627" s="190"/>
      <c r="F627" s="190"/>
      <c r="G627" s="190"/>
      <c r="H627" s="190"/>
      <c r="I627" s="190"/>
      <c r="J627" s="190"/>
      <c r="K627" s="190"/>
      <c r="L627" s="190"/>
      <c r="M627" s="190"/>
      <c r="N627" s="220"/>
      <c r="O627" s="220"/>
      <c r="P627" s="220"/>
      <c r="R627" s="210"/>
      <c r="S627" s="210"/>
      <c r="T627" s="210"/>
      <c r="U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row>
    <row r="628">
      <c r="A628" s="190"/>
      <c r="B628" s="190"/>
      <c r="C628" s="190"/>
      <c r="D628" s="190"/>
      <c r="E628" s="190"/>
      <c r="F628" s="190"/>
      <c r="G628" s="190"/>
      <c r="H628" s="190"/>
      <c r="I628" s="190"/>
      <c r="J628" s="190"/>
      <c r="K628" s="190"/>
      <c r="L628" s="190"/>
      <c r="M628" s="190"/>
      <c r="N628" s="220"/>
      <c r="O628" s="220"/>
      <c r="P628" s="220"/>
      <c r="R628" s="210"/>
      <c r="S628" s="210"/>
      <c r="T628" s="210"/>
      <c r="U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row>
    <row r="629">
      <c r="A629" s="190"/>
      <c r="B629" s="190"/>
      <c r="C629" s="190"/>
      <c r="D629" s="190"/>
      <c r="E629" s="190"/>
      <c r="F629" s="190"/>
      <c r="G629" s="190"/>
      <c r="H629" s="190"/>
      <c r="I629" s="190"/>
      <c r="J629" s="190"/>
      <c r="K629" s="190"/>
      <c r="L629" s="190"/>
      <c r="M629" s="190"/>
      <c r="N629" s="220"/>
      <c r="O629" s="220"/>
      <c r="P629" s="220"/>
      <c r="R629" s="210"/>
      <c r="S629" s="210"/>
      <c r="T629" s="210"/>
      <c r="U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row>
    <row r="630">
      <c r="A630" s="190"/>
      <c r="B630" s="190"/>
      <c r="C630" s="190"/>
      <c r="D630" s="190"/>
      <c r="E630" s="190"/>
      <c r="F630" s="190"/>
      <c r="G630" s="190"/>
      <c r="H630" s="190"/>
      <c r="I630" s="190"/>
      <c r="J630" s="190"/>
      <c r="K630" s="190"/>
      <c r="L630" s="190"/>
      <c r="M630" s="190"/>
      <c r="N630" s="220"/>
      <c r="O630" s="220"/>
      <c r="P630" s="220"/>
      <c r="R630" s="210"/>
      <c r="S630" s="210"/>
      <c r="T630" s="210"/>
      <c r="U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row>
    <row r="631">
      <c r="A631" s="190"/>
      <c r="B631" s="190"/>
      <c r="C631" s="190"/>
      <c r="D631" s="190"/>
      <c r="E631" s="190"/>
      <c r="F631" s="190"/>
      <c r="G631" s="190"/>
      <c r="H631" s="190"/>
      <c r="I631" s="190"/>
      <c r="J631" s="190"/>
      <c r="K631" s="190"/>
      <c r="L631" s="190"/>
      <c r="M631" s="190"/>
      <c r="N631" s="220"/>
      <c r="O631" s="220"/>
      <c r="P631" s="220"/>
      <c r="R631" s="210"/>
      <c r="S631" s="210"/>
      <c r="T631" s="210"/>
      <c r="U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row>
    <row r="632">
      <c r="A632" s="190"/>
      <c r="B632" s="190"/>
      <c r="C632" s="190"/>
      <c r="D632" s="190"/>
      <c r="E632" s="190"/>
      <c r="F632" s="190"/>
      <c r="G632" s="190"/>
      <c r="H632" s="190"/>
      <c r="I632" s="190"/>
      <c r="J632" s="190"/>
      <c r="K632" s="190"/>
      <c r="L632" s="190"/>
      <c r="M632" s="190"/>
      <c r="N632" s="220"/>
      <c r="O632" s="220"/>
      <c r="P632" s="220"/>
      <c r="R632" s="210"/>
      <c r="S632" s="210"/>
      <c r="T632" s="210"/>
      <c r="U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row>
    <row r="633">
      <c r="A633" s="190"/>
      <c r="B633" s="190"/>
      <c r="C633" s="190"/>
      <c r="D633" s="190"/>
      <c r="E633" s="190"/>
      <c r="F633" s="190"/>
      <c r="G633" s="190"/>
      <c r="H633" s="190"/>
      <c r="I633" s="190"/>
      <c r="J633" s="190"/>
      <c r="K633" s="190"/>
      <c r="L633" s="190"/>
      <c r="M633" s="190"/>
      <c r="N633" s="220"/>
      <c r="O633" s="220"/>
      <c r="P633" s="220"/>
      <c r="R633" s="210"/>
      <c r="S633" s="210"/>
      <c r="T633" s="210"/>
      <c r="U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row>
    <row r="634">
      <c r="A634" s="190"/>
      <c r="B634" s="190"/>
      <c r="C634" s="190"/>
      <c r="D634" s="190"/>
      <c r="E634" s="190"/>
      <c r="F634" s="190"/>
      <c r="G634" s="190"/>
      <c r="H634" s="190"/>
      <c r="I634" s="190"/>
      <c r="J634" s="190"/>
      <c r="K634" s="190"/>
      <c r="L634" s="190"/>
      <c r="M634" s="190"/>
      <c r="N634" s="220"/>
      <c r="O634" s="220"/>
      <c r="P634" s="220"/>
      <c r="R634" s="210"/>
      <c r="S634" s="210"/>
      <c r="T634" s="210"/>
      <c r="U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row>
    <row r="635">
      <c r="A635" s="190"/>
      <c r="B635" s="190"/>
      <c r="C635" s="190"/>
      <c r="D635" s="190"/>
      <c r="E635" s="190"/>
      <c r="F635" s="190"/>
      <c r="G635" s="190"/>
      <c r="H635" s="190"/>
      <c r="I635" s="190"/>
      <c r="J635" s="190"/>
      <c r="K635" s="190"/>
      <c r="L635" s="190"/>
      <c r="M635" s="190"/>
      <c r="N635" s="220"/>
      <c r="O635" s="220"/>
      <c r="P635" s="220"/>
      <c r="R635" s="210"/>
      <c r="S635" s="210"/>
      <c r="T635" s="210"/>
      <c r="U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row>
    <row r="636">
      <c r="A636" s="190"/>
      <c r="B636" s="190"/>
      <c r="C636" s="190"/>
      <c r="D636" s="190"/>
      <c r="E636" s="190"/>
      <c r="F636" s="190"/>
      <c r="G636" s="190"/>
      <c r="H636" s="190"/>
      <c r="I636" s="190"/>
      <c r="J636" s="190"/>
      <c r="K636" s="190"/>
      <c r="L636" s="190"/>
      <c r="M636" s="190"/>
      <c r="N636" s="220"/>
      <c r="O636" s="220"/>
      <c r="P636" s="220"/>
      <c r="R636" s="210"/>
      <c r="S636" s="210"/>
      <c r="T636" s="210"/>
      <c r="U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row>
    <row r="637">
      <c r="A637" s="190"/>
      <c r="B637" s="190"/>
      <c r="C637" s="190"/>
      <c r="D637" s="190"/>
      <c r="E637" s="190"/>
      <c r="F637" s="190"/>
      <c r="G637" s="190"/>
      <c r="H637" s="190"/>
      <c r="I637" s="190"/>
      <c r="J637" s="190"/>
      <c r="K637" s="190"/>
      <c r="L637" s="190"/>
      <c r="M637" s="190"/>
      <c r="N637" s="220"/>
      <c r="O637" s="220"/>
      <c r="P637" s="220"/>
      <c r="R637" s="210"/>
      <c r="S637" s="210"/>
      <c r="T637" s="210"/>
      <c r="U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row>
    <row r="638">
      <c r="A638" s="190"/>
      <c r="B638" s="190"/>
      <c r="C638" s="190"/>
      <c r="D638" s="190"/>
      <c r="E638" s="190"/>
      <c r="F638" s="190"/>
      <c r="G638" s="190"/>
      <c r="H638" s="190"/>
      <c r="I638" s="190"/>
      <c r="J638" s="190"/>
      <c r="K638" s="190"/>
      <c r="L638" s="190"/>
      <c r="M638" s="190"/>
      <c r="N638" s="220"/>
      <c r="O638" s="220"/>
      <c r="P638" s="220"/>
      <c r="R638" s="210"/>
      <c r="S638" s="210"/>
      <c r="T638" s="210"/>
      <c r="U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row>
    <row r="639">
      <c r="A639" s="190"/>
      <c r="B639" s="190"/>
      <c r="C639" s="190"/>
      <c r="D639" s="190"/>
      <c r="E639" s="190"/>
      <c r="F639" s="190"/>
      <c r="G639" s="190"/>
      <c r="H639" s="190"/>
      <c r="I639" s="190"/>
      <c r="J639" s="190"/>
      <c r="K639" s="190"/>
      <c r="L639" s="190"/>
      <c r="M639" s="190"/>
      <c r="N639" s="220"/>
      <c r="O639" s="220"/>
      <c r="P639" s="220"/>
      <c r="R639" s="210"/>
      <c r="S639" s="210"/>
      <c r="T639" s="210"/>
      <c r="U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row>
    <row r="640">
      <c r="A640" s="190"/>
      <c r="B640" s="190"/>
      <c r="C640" s="190"/>
      <c r="D640" s="190"/>
      <c r="E640" s="190"/>
      <c r="F640" s="190"/>
      <c r="G640" s="190"/>
      <c r="H640" s="190"/>
      <c r="I640" s="190"/>
      <c r="J640" s="190"/>
      <c r="K640" s="190"/>
      <c r="L640" s="190"/>
      <c r="M640" s="190"/>
      <c r="N640" s="220"/>
      <c r="O640" s="220"/>
      <c r="P640" s="220"/>
      <c r="R640" s="210"/>
      <c r="S640" s="210"/>
      <c r="T640" s="210"/>
      <c r="U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row>
    <row r="641">
      <c r="A641" s="190"/>
      <c r="B641" s="190"/>
      <c r="C641" s="190"/>
      <c r="D641" s="190"/>
      <c r="E641" s="190"/>
      <c r="F641" s="190"/>
      <c r="G641" s="190"/>
      <c r="H641" s="190"/>
      <c r="I641" s="190"/>
      <c r="J641" s="190"/>
      <c r="K641" s="190"/>
      <c r="L641" s="190"/>
      <c r="M641" s="190"/>
      <c r="N641" s="220"/>
      <c r="O641" s="220"/>
      <c r="P641" s="220"/>
      <c r="R641" s="210"/>
      <c r="S641" s="210"/>
      <c r="T641" s="210"/>
      <c r="U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row>
    <row r="642">
      <c r="A642" s="190"/>
      <c r="B642" s="190"/>
      <c r="C642" s="190"/>
      <c r="D642" s="190"/>
      <c r="E642" s="190"/>
      <c r="F642" s="190"/>
      <c r="G642" s="190"/>
      <c r="H642" s="190"/>
      <c r="I642" s="190"/>
      <c r="J642" s="190"/>
      <c r="K642" s="190"/>
      <c r="L642" s="190"/>
      <c r="M642" s="190"/>
      <c r="N642" s="220"/>
      <c r="O642" s="220"/>
      <c r="P642" s="220"/>
      <c r="R642" s="210"/>
      <c r="S642" s="210"/>
      <c r="T642" s="210"/>
      <c r="U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row>
    <row r="643">
      <c r="A643" s="190"/>
      <c r="B643" s="190"/>
      <c r="C643" s="190"/>
      <c r="D643" s="190"/>
      <c r="E643" s="190"/>
      <c r="F643" s="190"/>
      <c r="G643" s="190"/>
      <c r="H643" s="190"/>
      <c r="I643" s="190"/>
      <c r="J643" s="190"/>
      <c r="K643" s="190"/>
      <c r="L643" s="190"/>
      <c r="M643" s="190"/>
      <c r="N643" s="220"/>
      <c r="O643" s="220"/>
      <c r="P643" s="220"/>
      <c r="R643" s="210"/>
      <c r="S643" s="210"/>
      <c r="T643" s="210"/>
      <c r="U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row>
    <row r="644">
      <c r="A644" s="190"/>
      <c r="B644" s="190"/>
      <c r="C644" s="190"/>
      <c r="D644" s="190"/>
      <c r="E644" s="190"/>
      <c r="F644" s="190"/>
      <c r="G644" s="190"/>
      <c r="H644" s="190"/>
      <c r="I644" s="190"/>
      <c r="J644" s="190"/>
      <c r="K644" s="190"/>
      <c r="L644" s="190"/>
      <c r="M644" s="190"/>
      <c r="N644" s="220"/>
      <c r="O644" s="220"/>
      <c r="P644" s="220"/>
      <c r="R644" s="210"/>
      <c r="S644" s="210"/>
      <c r="T644" s="210"/>
      <c r="U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row>
    <row r="645">
      <c r="A645" s="190"/>
      <c r="B645" s="190"/>
      <c r="C645" s="190"/>
      <c r="D645" s="190"/>
      <c r="E645" s="190"/>
      <c r="F645" s="190"/>
      <c r="G645" s="190"/>
      <c r="H645" s="190"/>
      <c r="I645" s="190"/>
      <c r="J645" s="190"/>
      <c r="K645" s="190"/>
      <c r="L645" s="190"/>
      <c r="M645" s="190"/>
      <c r="N645" s="220"/>
      <c r="O645" s="220"/>
      <c r="P645" s="220"/>
      <c r="R645" s="210"/>
      <c r="S645" s="210"/>
      <c r="T645" s="210"/>
      <c r="U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row>
    <row r="646">
      <c r="A646" s="190"/>
      <c r="B646" s="190"/>
      <c r="C646" s="190"/>
      <c r="D646" s="190"/>
      <c r="E646" s="190"/>
      <c r="F646" s="190"/>
      <c r="G646" s="190"/>
      <c r="H646" s="190"/>
      <c r="I646" s="190"/>
      <c r="J646" s="190"/>
      <c r="K646" s="190"/>
      <c r="L646" s="190"/>
      <c r="M646" s="190"/>
      <c r="N646" s="220"/>
      <c r="O646" s="220"/>
      <c r="P646" s="220"/>
      <c r="R646" s="210"/>
      <c r="S646" s="210"/>
      <c r="T646" s="210"/>
      <c r="U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row>
    <row r="647">
      <c r="A647" s="190"/>
      <c r="B647" s="190"/>
      <c r="C647" s="190"/>
      <c r="D647" s="190"/>
      <c r="E647" s="190"/>
      <c r="F647" s="190"/>
      <c r="G647" s="190"/>
      <c r="H647" s="190"/>
      <c r="I647" s="190"/>
      <c r="J647" s="190"/>
      <c r="K647" s="190"/>
      <c r="L647" s="190"/>
      <c r="M647" s="190"/>
      <c r="N647" s="220"/>
      <c r="O647" s="220"/>
      <c r="P647" s="220"/>
      <c r="R647" s="210"/>
      <c r="S647" s="210"/>
      <c r="T647" s="210"/>
      <c r="U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row>
    <row r="648">
      <c r="A648" s="190"/>
      <c r="B648" s="190"/>
      <c r="C648" s="190"/>
      <c r="D648" s="190"/>
      <c r="E648" s="190"/>
      <c r="F648" s="190"/>
      <c r="G648" s="190"/>
      <c r="H648" s="190"/>
      <c r="I648" s="190"/>
      <c r="J648" s="190"/>
      <c r="K648" s="190"/>
      <c r="L648" s="190"/>
      <c r="M648" s="190"/>
      <c r="N648" s="220"/>
      <c r="O648" s="220"/>
      <c r="P648" s="220"/>
      <c r="R648" s="210"/>
      <c r="S648" s="210"/>
      <c r="T648" s="210"/>
      <c r="U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row>
    <row r="649">
      <c r="A649" s="190"/>
      <c r="B649" s="190"/>
      <c r="C649" s="190"/>
      <c r="D649" s="190"/>
      <c r="E649" s="190"/>
      <c r="F649" s="190"/>
      <c r="G649" s="190"/>
      <c r="H649" s="190"/>
      <c r="I649" s="190"/>
      <c r="J649" s="190"/>
      <c r="K649" s="190"/>
      <c r="L649" s="190"/>
      <c r="M649" s="190"/>
      <c r="N649" s="220"/>
      <c r="O649" s="220"/>
      <c r="P649" s="220"/>
      <c r="R649" s="210"/>
      <c r="S649" s="210"/>
      <c r="T649" s="210"/>
      <c r="U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row>
    <row r="650">
      <c r="A650" s="190"/>
      <c r="B650" s="190"/>
      <c r="C650" s="190"/>
      <c r="D650" s="190"/>
      <c r="E650" s="190"/>
      <c r="F650" s="190"/>
      <c r="G650" s="190"/>
      <c r="H650" s="190"/>
      <c r="I650" s="190"/>
      <c r="J650" s="190"/>
      <c r="K650" s="190"/>
      <c r="L650" s="190"/>
      <c r="M650" s="190"/>
      <c r="N650" s="220"/>
      <c r="O650" s="220"/>
      <c r="P650" s="220"/>
      <c r="R650" s="210"/>
      <c r="S650" s="210"/>
      <c r="T650" s="210"/>
      <c r="U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row>
    <row r="651">
      <c r="A651" s="190"/>
      <c r="B651" s="190"/>
      <c r="C651" s="190"/>
      <c r="D651" s="190"/>
      <c r="E651" s="190"/>
      <c r="F651" s="190"/>
      <c r="G651" s="190"/>
      <c r="H651" s="190"/>
      <c r="I651" s="190"/>
      <c r="J651" s="190"/>
      <c r="K651" s="190"/>
      <c r="L651" s="190"/>
      <c r="M651" s="190"/>
      <c r="N651" s="220"/>
      <c r="O651" s="220"/>
      <c r="P651" s="220"/>
      <c r="R651" s="210"/>
      <c r="S651" s="210"/>
      <c r="T651" s="210"/>
      <c r="U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row>
    <row r="652">
      <c r="A652" s="190"/>
      <c r="B652" s="190"/>
      <c r="C652" s="190"/>
      <c r="D652" s="190"/>
      <c r="E652" s="190"/>
      <c r="F652" s="190"/>
      <c r="G652" s="190"/>
      <c r="H652" s="190"/>
      <c r="I652" s="190"/>
      <c r="J652" s="190"/>
      <c r="K652" s="190"/>
      <c r="L652" s="190"/>
      <c r="M652" s="190"/>
      <c r="N652" s="220"/>
      <c r="O652" s="220"/>
      <c r="P652" s="220"/>
      <c r="R652" s="210"/>
      <c r="S652" s="210"/>
      <c r="T652" s="210"/>
      <c r="U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row>
    <row r="653">
      <c r="A653" s="190"/>
      <c r="B653" s="190"/>
      <c r="C653" s="190"/>
      <c r="D653" s="190"/>
      <c r="E653" s="190"/>
      <c r="F653" s="190"/>
      <c r="G653" s="190"/>
      <c r="H653" s="190"/>
      <c r="I653" s="190"/>
      <c r="J653" s="190"/>
      <c r="K653" s="190"/>
      <c r="L653" s="190"/>
      <c r="M653" s="190"/>
      <c r="N653" s="220"/>
      <c r="O653" s="220"/>
      <c r="P653" s="220"/>
      <c r="R653" s="210"/>
      <c r="S653" s="210"/>
      <c r="T653" s="210"/>
      <c r="U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row>
    <row r="654">
      <c r="A654" s="190"/>
      <c r="B654" s="190"/>
      <c r="C654" s="190"/>
      <c r="D654" s="190"/>
      <c r="E654" s="190"/>
      <c r="F654" s="190"/>
      <c r="G654" s="190"/>
      <c r="H654" s="190"/>
      <c r="I654" s="190"/>
      <c r="J654" s="190"/>
      <c r="K654" s="190"/>
      <c r="L654" s="190"/>
      <c r="M654" s="190"/>
      <c r="N654" s="220"/>
      <c r="O654" s="220"/>
      <c r="P654" s="220"/>
      <c r="R654" s="210"/>
      <c r="S654" s="210"/>
      <c r="T654" s="210"/>
      <c r="U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row>
    <row r="655">
      <c r="A655" s="190"/>
      <c r="B655" s="190"/>
      <c r="C655" s="190"/>
      <c r="D655" s="190"/>
      <c r="E655" s="190"/>
      <c r="F655" s="190"/>
      <c r="G655" s="190"/>
      <c r="H655" s="190"/>
      <c r="I655" s="190"/>
      <c r="J655" s="190"/>
      <c r="K655" s="190"/>
      <c r="L655" s="190"/>
      <c r="M655" s="190"/>
      <c r="N655" s="220"/>
      <c r="O655" s="220"/>
      <c r="P655" s="220"/>
      <c r="R655" s="210"/>
      <c r="S655" s="210"/>
      <c r="T655" s="210"/>
      <c r="U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row>
    <row r="656">
      <c r="A656" s="190"/>
      <c r="B656" s="190"/>
      <c r="C656" s="190"/>
      <c r="D656" s="190"/>
      <c r="E656" s="190"/>
      <c r="F656" s="190"/>
      <c r="G656" s="190"/>
      <c r="H656" s="190"/>
      <c r="I656" s="190"/>
      <c r="J656" s="190"/>
      <c r="K656" s="190"/>
      <c r="L656" s="190"/>
      <c r="M656" s="190"/>
      <c r="N656" s="220"/>
      <c r="O656" s="220"/>
      <c r="P656" s="220"/>
      <c r="R656" s="210"/>
      <c r="S656" s="210"/>
      <c r="T656" s="210"/>
      <c r="U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row>
    <row r="657">
      <c r="A657" s="190"/>
      <c r="B657" s="190"/>
      <c r="C657" s="190"/>
      <c r="D657" s="190"/>
      <c r="E657" s="190"/>
      <c r="F657" s="190"/>
      <c r="G657" s="190"/>
      <c r="H657" s="190"/>
      <c r="I657" s="190"/>
      <c r="J657" s="190"/>
      <c r="K657" s="190"/>
      <c r="L657" s="190"/>
      <c r="M657" s="190"/>
      <c r="N657" s="220"/>
      <c r="O657" s="220"/>
      <c r="P657" s="220"/>
      <c r="R657" s="210"/>
      <c r="S657" s="210"/>
      <c r="T657" s="210"/>
      <c r="U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row>
    <row r="658">
      <c r="A658" s="190"/>
      <c r="B658" s="190"/>
      <c r="C658" s="190"/>
      <c r="D658" s="190"/>
      <c r="E658" s="190"/>
      <c r="F658" s="190"/>
      <c r="G658" s="190"/>
      <c r="H658" s="190"/>
      <c r="I658" s="190"/>
      <c r="J658" s="190"/>
      <c r="K658" s="190"/>
      <c r="L658" s="190"/>
      <c r="M658" s="190"/>
      <c r="N658" s="220"/>
      <c r="O658" s="220"/>
      <c r="P658" s="220"/>
      <c r="R658" s="210"/>
      <c r="S658" s="210"/>
      <c r="T658" s="210"/>
      <c r="U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row>
    <row r="659">
      <c r="A659" s="190"/>
      <c r="B659" s="190"/>
      <c r="C659" s="190"/>
      <c r="D659" s="190"/>
      <c r="E659" s="190"/>
      <c r="F659" s="190"/>
      <c r="G659" s="190"/>
      <c r="H659" s="190"/>
      <c r="I659" s="190"/>
      <c r="J659" s="190"/>
      <c r="K659" s="190"/>
      <c r="L659" s="190"/>
      <c r="M659" s="190"/>
      <c r="N659" s="220"/>
      <c r="O659" s="220"/>
      <c r="P659" s="220"/>
      <c r="R659" s="210"/>
      <c r="S659" s="210"/>
      <c r="T659" s="210"/>
      <c r="U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row>
    <row r="660">
      <c r="A660" s="190"/>
      <c r="B660" s="190"/>
      <c r="C660" s="190"/>
      <c r="D660" s="190"/>
      <c r="E660" s="190"/>
      <c r="F660" s="190"/>
      <c r="G660" s="190"/>
      <c r="H660" s="190"/>
      <c r="I660" s="190"/>
      <c r="J660" s="190"/>
      <c r="K660" s="190"/>
      <c r="L660" s="190"/>
      <c r="M660" s="190"/>
      <c r="N660" s="220"/>
      <c r="O660" s="220"/>
      <c r="P660" s="220"/>
      <c r="R660" s="210"/>
      <c r="S660" s="210"/>
      <c r="T660" s="210"/>
      <c r="U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row>
    <row r="661">
      <c r="A661" s="190"/>
      <c r="B661" s="190"/>
      <c r="C661" s="190"/>
      <c r="D661" s="190"/>
      <c r="E661" s="190"/>
      <c r="F661" s="190"/>
      <c r="G661" s="190"/>
      <c r="H661" s="190"/>
      <c r="I661" s="190"/>
      <c r="J661" s="190"/>
      <c r="K661" s="190"/>
      <c r="L661" s="190"/>
      <c r="M661" s="190"/>
      <c r="N661" s="220"/>
      <c r="O661" s="220"/>
      <c r="P661" s="220"/>
      <c r="R661" s="210"/>
      <c r="S661" s="210"/>
      <c r="T661" s="210"/>
      <c r="U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row>
    <row r="662">
      <c r="A662" s="190"/>
      <c r="B662" s="190"/>
      <c r="C662" s="190"/>
      <c r="D662" s="190"/>
      <c r="E662" s="190"/>
      <c r="F662" s="190"/>
      <c r="G662" s="190"/>
      <c r="H662" s="190"/>
      <c r="I662" s="190"/>
      <c r="J662" s="190"/>
      <c r="K662" s="190"/>
      <c r="L662" s="190"/>
      <c r="M662" s="190"/>
      <c r="N662" s="220"/>
      <c r="O662" s="220"/>
      <c r="P662" s="220"/>
      <c r="R662" s="210"/>
      <c r="S662" s="210"/>
      <c r="T662" s="210"/>
      <c r="U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row>
    <row r="663">
      <c r="A663" s="190"/>
      <c r="B663" s="190"/>
      <c r="C663" s="190"/>
      <c r="D663" s="190"/>
      <c r="E663" s="190"/>
      <c r="F663" s="190"/>
      <c r="G663" s="190"/>
      <c r="H663" s="190"/>
      <c r="I663" s="190"/>
      <c r="J663" s="190"/>
      <c r="K663" s="190"/>
      <c r="L663" s="190"/>
      <c r="M663" s="190"/>
      <c r="N663" s="220"/>
      <c r="O663" s="220"/>
      <c r="P663" s="220"/>
      <c r="R663" s="210"/>
      <c r="S663" s="210"/>
      <c r="T663" s="210"/>
      <c r="U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row>
    <row r="664">
      <c r="A664" s="190"/>
      <c r="B664" s="190"/>
      <c r="C664" s="190"/>
      <c r="D664" s="190"/>
      <c r="E664" s="190"/>
      <c r="F664" s="190"/>
      <c r="G664" s="190"/>
      <c r="H664" s="190"/>
      <c r="I664" s="190"/>
      <c r="J664" s="190"/>
      <c r="K664" s="190"/>
      <c r="L664" s="190"/>
      <c r="M664" s="190"/>
      <c r="N664" s="220"/>
      <c r="O664" s="220"/>
      <c r="P664" s="220"/>
      <c r="R664" s="210"/>
      <c r="S664" s="210"/>
      <c r="T664" s="210"/>
      <c r="U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row>
    <row r="665">
      <c r="A665" s="190"/>
      <c r="B665" s="190"/>
      <c r="C665" s="190"/>
      <c r="D665" s="190"/>
      <c r="E665" s="190"/>
      <c r="F665" s="190"/>
      <c r="G665" s="190"/>
      <c r="H665" s="190"/>
      <c r="I665" s="190"/>
      <c r="J665" s="190"/>
      <c r="K665" s="190"/>
      <c r="L665" s="190"/>
      <c r="M665" s="190"/>
      <c r="N665" s="220"/>
      <c r="O665" s="220"/>
      <c r="P665" s="220"/>
      <c r="R665" s="210"/>
      <c r="S665" s="210"/>
      <c r="T665" s="210"/>
      <c r="U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row>
    <row r="666">
      <c r="A666" s="190"/>
      <c r="B666" s="190"/>
      <c r="C666" s="190"/>
      <c r="D666" s="190"/>
      <c r="E666" s="190"/>
      <c r="F666" s="190"/>
      <c r="G666" s="190"/>
      <c r="H666" s="190"/>
      <c r="I666" s="190"/>
      <c r="J666" s="190"/>
      <c r="K666" s="190"/>
      <c r="L666" s="190"/>
      <c r="M666" s="190"/>
      <c r="N666" s="220"/>
      <c r="O666" s="220"/>
      <c r="P666" s="220"/>
      <c r="R666" s="210"/>
      <c r="S666" s="210"/>
      <c r="T666" s="210"/>
      <c r="U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row>
    <row r="667">
      <c r="A667" s="190"/>
      <c r="B667" s="190"/>
      <c r="C667" s="190"/>
      <c r="D667" s="190"/>
      <c r="E667" s="190"/>
      <c r="F667" s="190"/>
      <c r="G667" s="190"/>
      <c r="H667" s="190"/>
      <c r="I667" s="190"/>
      <c r="J667" s="190"/>
      <c r="K667" s="190"/>
      <c r="L667" s="190"/>
      <c r="M667" s="190"/>
      <c r="N667" s="220"/>
      <c r="O667" s="220"/>
      <c r="P667" s="220"/>
      <c r="R667" s="210"/>
      <c r="S667" s="210"/>
      <c r="T667" s="210"/>
      <c r="U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row>
    <row r="668">
      <c r="A668" s="190"/>
      <c r="B668" s="190"/>
      <c r="C668" s="190"/>
      <c r="D668" s="190"/>
      <c r="E668" s="190"/>
      <c r="F668" s="190"/>
      <c r="G668" s="190"/>
      <c r="H668" s="190"/>
      <c r="I668" s="190"/>
      <c r="J668" s="190"/>
      <c r="K668" s="190"/>
      <c r="L668" s="190"/>
      <c r="M668" s="190"/>
      <c r="N668" s="220"/>
      <c r="O668" s="220"/>
      <c r="P668" s="220"/>
      <c r="R668" s="210"/>
      <c r="S668" s="210"/>
      <c r="T668" s="210"/>
      <c r="U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row>
    <row r="669">
      <c r="A669" s="190"/>
      <c r="B669" s="190"/>
      <c r="C669" s="190"/>
      <c r="D669" s="190"/>
      <c r="E669" s="190"/>
      <c r="F669" s="190"/>
      <c r="G669" s="190"/>
      <c r="H669" s="190"/>
      <c r="I669" s="190"/>
      <c r="J669" s="190"/>
      <c r="K669" s="190"/>
      <c r="L669" s="190"/>
      <c r="M669" s="190"/>
      <c r="N669" s="220"/>
      <c r="O669" s="220"/>
      <c r="P669" s="220"/>
      <c r="R669" s="210"/>
      <c r="S669" s="210"/>
      <c r="T669" s="210"/>
      <c r="U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row>
    <row r="670">
      <c r="A670" s="190"/>
      <c r="B670" s="190"/>
      <c r="C670" s="190"/>
      <c r="D670" s="190"/>
      <c r="E670" s="190"/>
      <c r="F670" s="190"/>
      <c r="G670" s="190"/>
      <c r="H670" s="190"/>
      <c r="I670" s="190"/>
      <c r="J670" s="190"/>
      <c r="K670" s="190"/>
      <c r="L670" s="190"/>
      <c r="M670" s="190"/>
      <c r="N670" s="220"/>
      <c r="O670" s="220"/>
      <c r="P670" s="220"/>
      <c r="R670" s="210"/>
      <c r="S670" s="210"/>
      <c r="T670" s="210"/>
      <c r="U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row>
    <row r="671">
      <c r="A671" s="190"/>
      <c r="B671" s="190"/>
      <c r="C671" s="190"/>
      <c r="D671" s="190"/>
      <c r="E671" s="190"/>
      <c r="F671" s="190"/>
      <c r="G671" s="190"/>
      <c r="H671" s="190"/>
      <c r="I671" s="190"/>
      <c r="J671" s="190"/>
      <c r="K671" s="190"/>
      <c r="L671" s="190"/>
      <c r="M671" s="190"/>
      <c r="N671" s="220"/>
      <c r="O671" s="220"/>
      <c r="P671" s="220"/>
      <c r="R671" s="210"/>
      <c r="S671" s="210"/>
      <c r="T671" s="210"/>
      <c r="U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row>
    <row r="672">
      <c r="A672" s="190"/>
      <c r="B672" s="190"/>
      <c r="C672" s="190"/>
      <c r="D672" s="190"/>
      <c r="E672" s="190"/>
      <c r="F672" s="190"/>
      <c r="G672" s="190"/>
      <c r="H672" s="190"/>
      <c r="I672" s="190"/>
      <c r="J672" s="190"/>
      <c r="K672" s="190"/>
      <c r="L672" s="190"/>
      <c r="M672" s="190"/>
      <c r="N672" s="220"/>
      <c r="O672" s="220"/>
      <c r="P672" s="220"/>
      <c r="R672" s="210"/>
      <c r="S672" s="210"/>
      <c r="T672" s="210"/>
      <c r="U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row>
    <row r="673">
      <c r="A673" s="190"/>
      <c r="B673" s="190"/>
      <c r="C673" s="190"/>
      <c r="D673" s="190"/>
      <c r="E673" s="190"/>
      <c r="F673" s="190"/>
      <c r="G673" s="190"/>
      <c r="H673" s="190"/>
      <c r="I673" s="190"/>
      <c r="J673" s="190"/>
      <c r="K673" s="190"/>
      <c r="L673" s="190"/>
      <c r="M673" s="190"/>
      <c r="N673" s="220"/>
      <c r="O673" s="220"/>
      <c r="P673" s="220"/>
      <c r="R673" s="210"/>
      <c r="S673" s="210"/>
      <c r="T673" s="210"/>
      <c r="U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row>
    <row r="674">
      <c r="A674" s="190"/>
      <c r="B674" s="190"/>
      <c r="C674" s="190"/>
      <c r="D674" s="190"/>
      <c r="E674" s="190"/>
      <c r="F674" s="190"/>
      <c r="G674" s="190"/>
      <c r="H674" s="190"/>
      <c r="I674" s="190"/>
      <c r="J674" s="190"/>
      <c r="K674" s="190"/>
      <c r="L674" s="190"/>
      <c r="M674" s="190"/>
      <c r="N674" s="220"/>
      <c r="O674" s="220"/>
      <c r="P674" s="220"/>
      <c r="R674" s="210"/>
      <c r="S674" s="210"/>
      <c r="T674" s="210"/>
      <c r="U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row>
    <row r="675">
      <c r="A675" s="190"/>
      <c r="B675" s="190"/>
      <c r="C675" s="190"/>
      <c r="D675" s="190"/>
      <c r="E675" s="190"/>
      <c r="F675" s="190"/>
      <c r="G675" s="190"/>
      <c r="H675" s="190"/>
      <c r="I675" s="190"/>
      <c r="J675" s="190"/>
      <c r="K675" s="190"/>
      <c r="L675" s="190"/>
      <c r="M675" s="190"/>
      <c r="N675" s="220"/>
      <c r="O675" s="220"/>
      <c r="P675" s="220"/>
      <c r="R675" s="210"/>
      <c r="S675" s="210"/>
      <c r="T675" s="210"/>
      <c r="U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row>
    <row r="676">
      <c r="A676" s="190"/>
      <c r="B676" s="190"/>
      <c r="C676" s="190"/>
      <c r="D676" s="190"/>
      <c r="E676" s="190"/>
      <c r="F676" s="190"/>
      <c r="G676" s="190"/>
      <c r="H676" s="190"/>
      <c r="I676" s="190"/>
      <c r="J676" s="190"/>
      <c r="K676" s="190"/>
      <c r="L676" s="190"/>
      <c r="M676" s="190"/>
      <c r="N676" s="220"/>
      <c r="O676" s="220"/>
      <c r="P676" s="220"/>
      <c r="R676" s="210"/>
      <c r="S676" s="210"/>
      <c r="T676" s="210"/>
      <c r="U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row>
    <row r="677">
      <c r="A677" s="190"/>
      <c r="B677" s="190"/>
      <c r="C677" s="190"/>
      <c r="D677" s="190"/>
      <c r="E677" s="190"/>
      <c r="F677" s="190"/>
      <c r="G677" s="190"/>
      <c r="H677" s="190"/>
      <c r="I677" s="190"/>
      <c r="J677" s="190"/>
      <c r="K677" s="190"/>
      <c r="L677" s="190"/>
      <c r="M677" s="190"/>
      <c r="N677" s="220"/>
      <c r="O677" s="220"/>
      <c r="P677" s="220"/>
      <c r="R677" s="210"/>
      <c r="S677" s="210"/>
      <c r="T677" s="210"/>
      <c r="U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row>
    <row r="678">
      <c r="A678" s="190"/>
      <c r="B678" s="190"/>
      <c r="C678" s="190"/>
      <c r="D678" s="190"/>
      <c r="E678" s="190"/>
      <c r="F678" s="190"/>
      <c r="G678" s="190"/>
      <c r="H678" s="190"/>
      <c r="I678" s="190"/>
      <c r="J678" s="190"/>
      <c r="K678" s="190"/>
      <c r="L678" s="190"/>
      <c r="M678" s="190"/>
      <c r="N678" s="220"/>
      <c r="O678" s="220"/>
      <c r="P678" s="220"/>
      <c r="R678" s="210"/>
      <c r="S678" s="210"/>
      <c r="T678" s="210"/>
      <c r="U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row>
    <row r="679">
      <c r="A679" s="190"/>
      <c r="B679" s="190"/>
      <c r="C679" s="190"/>
      <c r="D679" s="190"/>
      <c r="E679" s="190"/>
      <c r="F679" s="190"/>
      <c r="G679" s="190"/>
      <c r="H679" s="190"/>
      <c r="I679" s="190"/>
      <c r="J679" s="190"/>
      <c r="K679" s="190"/>
      <c r="L679" s="190"/>
      <c r="M679" s="190"/>
      <c r="N679" s="220"/>
      <c r="O679" s="220"/>
      <c r="P679" s="220"/>
      <c r="R679" s="210"/>
      <c r="S679" s="210"/>
      <c r="T679" s="210"/>
      <c r="U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row>
    <row r="680">
      <c r="A680" s="190"/>
      <c r="B680" s="190"/>
      <c r="C680" s="190"/>
      <c r="D680" s="190"/>
      <c r="E680" s="190"/>
      <c r="F680" s="190"/>
      <c r="G680" s="190"/>
      <c r="H680" s="190"/>
      <c r="I680" s="190"/>
      <c r="J680" s="190"/>
      <c r="K680" s="190"/>
      <c r="L680" s="190"/>
      <c r="M680" s="190"/>
      <c r="N680" s="220"/>
      <c r="O680" s="220"/>
      <c r="P680" s="220"/>
      <c r="R680" s="210"/>
      <c r="S680" s="210"/>
      <c r="T680" s="210"/>
      <c r="U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row>
    <row r="681">
      <c r="A681" s="190"/>
      <c r="B681" s="190"/>
      <c r="C681" s="190"/>
      <c r="D681" s="190"/>
      <c r="E681" s="190"/>
      <c r="F681" s="190"/>
      <c r="G681" s="190"/>
      <c r="H681" s="190"/>
      <c r="I681" s="190"/>
      <c r="J681" s="190"/>
      <c r="K681" s="190"/>
      <c r="L681" s="190"/>
      <c r="M681" s="190"/>
      <c r="N681" s="220"/>
      <c r="O681" s="220"/>
      <c r="P681" s="220"/>
      <c r="R681" s="210"/>
      <c r="S681" s="210"/>
      <c r="T681" s="210"/>
      <c r="U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row>
    <row r="682">
      <c r="A682" s="190"/>
      <c r="B682" s="190"/>
      <c r="C682" s="190"/>
      <c r="D682" s="190"/>
      <c r="E682" s="190"/>
      <c r="F682" s="190"/>
      <c r="G682" s="190"/>
      <c r="H682" s="190"/>
      <c r="I682" s="190"/>
      <c r="J682" s="190"/>
      <c r="K682" s="190"/>
      <c r="L682" s="190"/>
      <c r="M682" s="190"/>
      <c r="N682" s="220"/>
      <c r="O682" s="220"/>
      <c r="P682" s="220"/>
      <c r="R682" s="210"/>
      <c r="S682" s="210"/>
      <c r="T682" s="210"/>
      <c r="U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row>
    <row r="683">
      <c r="A683" s="190"/>
      <c r="B683" s="190"/>
      <c r="C683" s="190"/>
      <c r="D683" s="190"/>
      <c r="E683" s="190"/>
      <c r="F683" s="190"/>
      <c r="G683" s="190"/>
      <c r="H683" s="190"/>
      <c r="I683" s="190"/>
      <c r="J683" s="190"/>
      <c r="K683" s="190"/>
      <c r="L683" s="190"/>
      <c r="M683" s="190"/>
      <c r="N683" s="220"/>
      <c r="O683" s="220"/>
      <c r="P683" s="220"/>
      <c r="R683" s="210"/>
      <c r="S683" s="210"/>
      <c r="T683" s="210"/>
      <c r="U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row>
    <row r="684">
      <c r="A684" s="190"/>
      <c r="B684" s="190"/>
      <c r="C684" s="190"/>
      <c r="D684" s="190"/>
      <c r="E684" s="190"/>
      <c r="F684" s="190"/>
      <c r="G684" s="190"/>
      <c r="H684" s="190"/>
      <c r="I684" s="190"/>
      <c r="J684" s="190"/>
      <c r="K684" s="190"/>
      <c r="L684" s="190"/>
      <c r="M684" s="190"/>
      <c r="N684" s="220"/>
      <c r="O684" s="220"/>
      <c r="P684" s="220"/>
      <c r="R684" s="210"/>
      <c r="S684" s="210"/>
      <c r="T684" s="210"/>
      <c r="U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row>
    <row r="685">
      <c r="A685" s="190"/>
      <c r="B685" s="190"/>
      <c r="C685" s="190"/>
      <c r="D685" s="190"/>
      <c r="E685" s="190"/>
      <c r="F685" s="190"/>
      <c r="G685" s="190"/>
      <c r="H685" s="190"/>
      <c r="I685" s="190"/>
      <c r="J685" s="190"/>
      <c r="K685" s="190"/>
      <c r="L685" s="190"/>
      <c r="M685" s="190"/>
      <c r="N685" s="220"/>
      <c r="O685" s="220"/>
      <c r="P685" s="220"/>
      <c r="R685" s="210"/>
      <c r="S685" s="210"/>
      <c r="T685" s="210"/>
      <c r="U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row>
    <row r="686">
      <c r="A686" s="190"/>
      <c r="B686" s="190"/>
      <c r="C686" s="190"/>
      <c r="D686" s="190"/>
      <c r="E686" s="190"/>
      <c r="F686" s="190"/>
      <c r="G686" s="190"/>
      <c r="H686" s="190"/>
      <c r="I686" s="190"/>
      <c r="J686" s="190"/>
      <c r="K686" s="190"/>
      <c r="L686" s="190"/>
      <c r="M686" s="190"/>
      <c r="N686" s="220"/>
      <c r="O686" s="220"/>
      <c r="P686" s="220"/>
      <c r="R686" s="210"/>
      <c r="S686" s="210"/>
      <c r="T686" s="210"/>
      <c r="U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row>
    <row r="687">
      <c r="A687" s="190"/>
      <c r="B687" s="190"/>
      <c r="C687" s="190"/>
      <c r="D687" s="190"/>
      <c r="E687" s="190"/>
      <c r="F687" s="190"/>
      <c r="G687" s="190"/>
      <c r="H687" s="190"/>
      <c r="I687" s="190"/>
      <c r="J687" s="190"/>
      <c r="K687" s="190"/>
      <c r="L687" s="190"/>
      <c r="M687" s="190"/>
      <c r="N687" s="220"/>
      <c r="O687" s="220"/>
      <c r="P687" s="220"/>
      <c r="R687" s="210"/>
      <c r="S687" s="210"/>
      <c r="T687" s="210"/>
      <c r="U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row>
    <row r="688">
      <c r="A688" s="190"/>
      <c r="B688" s="190"/>
      <c r="C688" s="190"/>
      <c r="D688" s="190"/>
      <c r="E688" s="190"/>
      <c r="F688" s="190"/>
      <c r="G688" s="190"/>
      <c r="H688" s="190"/>
      <c r="I688" s="190"/>
      <c r="J688" s="190"/>
      <c r="K688" s="190"/>
      <c r="L688" s="190"/>
      <c r="M688" s="190"/>
      <c r="N688" s="220"/>
      <c r="O688" s="220"/>
      <c r="P688" s="220"/>
      <c r="R688" s="210"/>
      <c r="S688" s="210"/>
      <c r="T688" s="210"/>
      <c r="U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row>
    <row r="689">
      <c r="A689" s="190"/>
      <c r="B689" s="190"/>
      <c r="C689" s="190"/>
      <c r="D689" s="190"/>
      <c r="E689" s="190"/>
      <c r="F689" s="190"/>
      <c r="G689" s="190"/>
      <c r="H689" s="190"/>
      <c r="I689" s="190"/>
      <c r="J689" s="190"/>
      <c r="K689" s="190"/>
      <c r="L689" s="190"/>
      <c r="M689" s="190"/>
      <c r="N689" s="220"/>
      <c r="O689" s="220"/>
      <c r="P689" s="220"/>
      <c r="R689" s="210"/>
      <c r="S689" s="210"/>
      <c r="T689" s="210"/>
      <c r="U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row>
    <row r="690">
      <c r="A690" s="190"/>
      <c r="B690" s="190"/>
      <c r="C690" s="190"/>
      <c r="D690" s="190"/>
      <c r="E690" s="190"/>
      <c r="F690" s="190"/>
      <c r="G690" s="190"/>
      <c r="H690" s="190"/>
      <c r="I690" s="190"/>
      <c r="J690" s="190"/>
      <c r="K690" s="190"/>
      <c r="L690" s="190"/>
      <c r="M690" s="190"/>
      <c r="N690" s="220"/>
      <c r="O690" s="220"/>
      <c r="P690" s="220"/>
      <c r="R690" s="210"/>
      <c r="S690" s="210"/>
      <c r="T690" s="210"/>
      <c r="U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row>
    <row r="691">
      <c r="A691" s="190"/>
      <c r="B691" s="190"/>
      <c r="C691" s="190"/>
      <c r="D691" s="190"/>
      <c r="E691" s="190"/>
      <c r="F691" s="190"/>
      <c r="G691" s="190"/>
      <c r="H691" s="190"/>
      <c r="I691" s="190"/>
      <c r="J691" s="190"/>
      <c r="K691" s="190"/>
      <c r="L691" s="190"/>
      <c r="M691" s="190"/>
      <c r="N691" s="220"/>
      <c r="O691" s="220"/>
      <c r="P691" s="220"/>
      <c r="R691" s="210"/>
      <c r="S691" s="210"/>
      <c r="T691" s="210"/>
      <c r="U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row>
    <row r="692">
      <c r="A692" s="190"/>
      <c r="B692" s="190"/>
      <c r="C692" s="190"/>
      <c r="D692" s="190"/>
      <c r="E692" s="190"/>
      <c r="F692" s="190"/>
      <c r="G692" s="190"/>
      <c r="H692" s="190"/>
      <c r="I692" s="190"/>
      <c r="J692" s="190"/>
      <c r="K692" s="190"/>
      <c r="L692" s="190"/>
      <c r="M692" s="190"/>
      <c r="N692" s="220"/>
      <c r="O692" s="220"/>
      <c r="P692" s="220"/>
      <c r="R692" s="210"/>
      <c r="S692" s="210"/>
      <c r="T692" s="210"/>
      <c r="U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row>
    <row r="693">
      <c r="A693" s="190"/>
      <c r="B693" s="190"/>
      <c r="C693" s="190"/>
      <c r="D693" s="190"/>
      <c r="E693" s="190"/>
      <c r="F693" s="190"/>
      <c r="G693" s="190"/>
      <c r="H693" s="190"/>
      <c r="I693" s="190"/>
      <c r="J693" s="190"/>
      <c r="K693" s="190"/>
      <c r="L693" s="190"/>
      <c r="M693" s="190"/>
      <c r="N693" s="220"/>
      <c r="O693" s="220"/>
      <c r="P693" s="220"/>
      <c r="R693" s="210"/>
      <c r="S693" s="210"/>
      <c r="T693" s="210"/>
      <c r="U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row>
    <row r="694">
      <c r="A694" s="190"/>
      <c r="B694" s="190"/>
      <c r="C694" s="190"/>
      <c r="D694" s="190"/>
      <c r="E694" s="190"/>
      <c r="F694" s="190"/>
      <c r="G694" s="190"/>
      <c r="H694" s="190"/>
      <c r="I694" s="190"/>
      <c r="J694" s="190"/>
      <c r="K694" s="190"/>
      <c r="L694" s="190"/>
      <c r="M694" s="190"/>
      <c r="N694" s="220"/>
      <c r="O694" s="220"/>
      <c r="P694" s="220"/>
      <c r="R694" s="210"/>
      <c r="S694" s="210"/>
      <c r="T694" s="210"/>
      <c r="U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row>
    <row r="695">
      <c r="A695" s="190"/>
      <c r="B695" s="190"/>
      <c r="C695" s="190"/>
      <c r="D695" s="190"/>
      <c r="E695" s="190"/>
      <c r="F695" s="190"/>
      <c r="G695" s="190"/>
      <c r="H695" s="190"/>
      <c r="I695" s="190"/>
      <c r="J695" s="190"/>
      <c r="K695" s="190"/>
      <c r="L695" s="190"/>
      <c r="M695" s="190"/>
      <c r="N695" s="220"/>
      <c r="O695" s="220"/>
      <c r="P695" s="220"/>
      <c r="R695" s="210"/>
      <c r="S695" s="210"/>
      <c r="T695" s="210"/>
      <c r="U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row>
    <row r="696">
      <c r="A696" s="190"/>
      <c r="B696" s="190"/>
      <c r="C696" s="190"/>
      <c r="D696" s="190"/>
      <c r="E696" s="190"/>
      <c r="F696" s="190"/>
      <c r="G696" s="190"/>
      <c r="H696" s="190"/>
      <c r="I696" s="190"/>
      <c r="J696" s="190"/>
      <c r="K696" s="190"/>
      <c r="L696" s="190"/>
      <c r="M696" s="190"/>
      <c r="N696" s="220"/>
      <c r="O696" s="220"/>
      <c r="P696" s="220"/>
      <c r="R696" s="210"/>
      <c r="S696" s="210"/>
      <c r="T696" s="210"/>
      <c r="U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row>
    <row r="697">
      <c r="A697" s="190"/>
      <c r="B697" s="190"/>
      <c r="C697" s="190"/>
      <c r="D697" s="190"/>
      <c r="E697" s="190"/>
      <c r="F697" s="190"/>
      <c r="G697" s="190"/>
      <c r="H697" s="190"/>
      <c r="I697" s="190"/>
      <c r="J697" s="190"/>
      <c r="K697" s="190"/>
      <c r="L697" s="190"/>
      <c r="M697" s="190"/>
      <c r="N697" s="220"/>
      <c r="O697" s="220"/>
      <c r="P697" s="220"/>
      <c r="R697" s="210"/>
      <c r="S697" s="210"/>
      <c r="T697" s="210"/>
      <c r="U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row>
    <row r="698">
      <c r="A698" s="190"/>
      <c r="B698" s="190"/>
      <c r="C698" s="190"/>
      <c r="D698" s="190"/>
      <c r="E698" s="190"/>
      <c r="F698" s="190"/>
      <c r="G698" s="190"/>
      <c r="H698" s="190"/>
      <c r="I698" s="190"/>
      <c r="J698" s="190"/>
      <c r="K698" s="190"/>
      <c r="L698" s="190"/>
      <c r="M698" s="190"/>
      <c r="N698" s="220"/>
      <c r="O698" s="220"/>
      <c r="P698" s="220"/>
      <c r="R698" s="210"/>
      <c r="S698" s="210"/>
      <c r="T698" s="210"/>
      <c r="U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row>
    <row r="699">
      <c r="A699" s="190"/>
      <c r="B699" s="190"/>
      <c r="C699" s="190"/>
      <c r="D699" s="190"/>
      <c r="E699" s="190"/>
      <c r="F699" s="190"/>
      <c r="G699" s="190"/>
      <c r="H699" s="190"/>
      <c r="I699" s="190"/>
      <c r="J699" s="190"/>
      <c r="K699" s="190"/>
      <c r="L699" s="190"/>
      <c r="M699" s="190"/>
      <c r="N699" s="220"/>
      <c r="O699" s="220"/>
      <c r="P699" s="220"/>
      <c r="R699" s="210"/>
      <c r="S699" s="210"/>
      <c r="T699" s="210"/>
      <c r="U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row>
    <row r="700">
      <c r="A700" s="190"/>
      <c r="B700" s="190"/>
      <c r="C700" s="190"/>
      <c r="D700" s="190"/>
      <c r="E700" s="190"/>
      <c r="F700" s="190"/>
      <c r="G700" s="190"/>
      <c r="H700" s="190"/>
      <c r="I700" s="190"/>
      <c r="J700" s="190"/>
      <c r="K700" s="190"/>
      <c r="L700" s="190"/>
      <c r="M700" s="190"/>
      <c r="N700" s="220"/>
      <c r="O700" s="220"/>
      <c r="P700" s="220"/>
      <c r="R700" s="210"/>
      <c r="S700" s="210"/>
      <c r="T700" s="210"/>
      <c r="U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row>
    <row r="701">
      <c r="A701" s="190"/>
      <c r="B701" s="190"/>
      <c r="C701" s="190"/>
      <c r="D701" s="190"/>
      <c r="E701" s="190"/>
      <c r="F701" s="190"/>
      <c r="G701" s="190"/>
      <c r="H701" s="190"/>
      <c r="I701" s="190"/>
      <c r="J701" s="190"/>
      <c r="K701" s="190"/>
      <c r="L701" s="190"/>
      <c r="M701" s="190"/>
      <c r="N701" s="220"/>
      <c r="O701" s="220"/>
      <c r="P701" s="220"/>
      <c r="R701" s="210"/>
      <c r="S701" s="210"/>
      <c r="T701" s="210"/>
      <c r="U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row>
    <row r="702">
      <c r="A702" s="190"/>
      <c r="B702" s="190"/>
      <c r="C702" s="190"/>
      <c r="D702" s="190"/>
      <c r="E702" s="190"/>
      <c r="F702" s="190"/>
      <c r="G702" s="190"/>
      <c r="H702" s="190"/>
      <c r="I702" s="190"/>
      <c r="J702" s="190"/>
      <c r="K702" s="190"/>
      <c r="L702" s="190"/>
      <c r="M702" s="190"/>
      <c r="N702" s="220"/>
      <c r="O702" s="220"/>
      <c r="P702" s="220"/>
      <c r="R702" s="210"/>
      <c r="S702" s="210"/>
      <c r="T702" s="210"/>
      <c r="U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row>
    <row r="703">
      <c r="A703" s="190"/>
      <c r="B703" s="190"/>
      <c r="C703" s="190"/>
      <c r="D703" s="190"/>
      <c r="E703" s="190"/>
      <c r="F703" s="190"/>
      <c r="G703" s="190"/>
      <c r="H703" s="190"/>
      <c r="I703" s="190"/>
      <c r="J703" s="190"/>
      <c r="K703" s="190"/>
      <c r="L703" s="190"/>
      <c r="M703" s="190"/>
      <c r="N703" s="220"/>
      <c r="O703" s="220"/>
      <c r="P703" s="220"/>
      <c r="R703" s="210"/>
      <c r="S703" s="210"/>
      <c r="T703" s="210"/>
      <c r="U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row>
    <row r="704">
      <c r="A704" s="190"/>
      <c r="B704" s="190"/>
      <c r="C704" s="190"/>
      <c r="D704" s="190"/>
      <c r="E704" s="190"/>
      <c r="F704" s="190"/>
      <c r="G704" s="190"/>
      <c r="H704" s="190"/>
      <c r="I704" s="190"/>
      <c r="J704" s="190"/>
      <c r="K704" s="190"/>
      <c r="L704" s="190"/>
      <c r="M704" s="190"/>
      <c r="N704" s="220"/>
      <c r="O704" s="220"/>
      <c r="P704" s="220"/>
      <c r="R704" s="210"/>
      <c r="S704" s="210"/>
      <c r="T704" s="210"/>
      <c r="U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row>
    <row r="705">
      <c r="A705" s="190"/>
      <c r="B705" s="190"/>
      <c r="C705" s="190"/>
      <c r="D705" s="190"/>
      <c r="E705" s="190"/>
      <c r="F705" s="190"/>
      <c r="G705" s="190"/>
      <c r="H705" s="190"/>
      <c r="I705" s="190"/>
      <c r="J705" s="190"/>
      <c r="K705" s="190"/>
      <c r="L705" s="190"/>
      <c r="M705" s="190"/>
      <c r="N705" s="220"/>
      <c r="O705" s="220"/>
      <c r="P705" s="220"/>
      <c r="R705" s="210"/>
      <c r="S705" s="210"/>
      <c r="T705" s="210"/>
      <c r="U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row>
    <row r="706">
      <c r="A706" s="190"/>
      <c r="B706" s="190"/>
      <c r="C706" s="190"/>
      <c r="D706" s="190"/>
      <c r="E706" s="190"/>
      <c r="F706" s="190"/>
      <c r="G706" s="190"/>
      <c r="H706" s="190"/>
      <c r="I706" s="190"/>
      <c r="J706" s="190"/>
      <c r="K706" s="190"/>
      <c r="L706" s="190"/>
      <c r="M706" s="190"/>
      <c r="N706" s="220"/>
      <c r="O706" s="220"/>
      <c r="P706" s="220"/>
      <c r="R706" s="210"/>
      <c r="S706" s="210"/>
      <c r="T706" s="210"/>
      <c r="U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row>
    <row r="707">
      <c r="A707" s="190"/>
      <c r="B707" s="190"/>
      <c r="C707" s="190"/>
      <c r="D707" s="190"/>
      <c r="E707" s="190"/>
      <c r="F707" s="190"/>
      <c r="G707" s="190"/>
      <c r="H707" s="190"/>
      <c r="I707" s="190"/>
      <c r="J707" s="190"/>
      <c r="K707" s="190"/>
      <c r="L707" s="190"/>
      <c r="M707" s="190"/>
      <c r="N707" s="220"/>
      <c r="O707" s="220"/>
      <c r="P707" s="220"/>
      <c r="R707" s="210"/>
      <c r="S707" s="210"/>
      <c r="T707" s="210"/>
      <c r="U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row>
    <row r="708">
      <c r="A708" s="190"/>
      <c r="B708" s="190"/>
      <c r="C708" s="190"/>
      <c r="D708" s="190"/>
      <c r="E708" s="190"/>
      <c r="F708" s="190"/>
      <c r="G708" s="190"/>
      <c r="H708" s="190"/>
      <c r="I708" s="190"/>
      <c r="J708" s="190"/>
      <c r="K708" s="190"/>
      <c r="L708" s="190"/>
      <c r="M708" s="190"/>
      <c r="N708" s="220"/>
      <c r="O708" s="220"/>
      <c r="P708" s="220"/>
      <c r="R708" s="210"/>
      <c r="S708" s="210"/>
      <c r="T708" s="210"/>
      <c r="U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row>
    <row r="709">
      <c r="A709" s="190"/>
      <c r="B709" s="190"/>
      <c r="C709" s="190"/>
      <c r="D709" s="190"/>
      <c r="E709" s="190"/>
      <c r="F709" s="190"/>
      <c r="G709" s="190"/>
      <c r="H709" s="190"/>
      <c r="I709" s="190"/>
      <c r="J709" s="190"/>
      <c r="K709" s="190"/>
      <c r="L709" s="190"/>
      <c r="M709" s="190"/>
      <c r="N709" s="220"/>
      <c r="O709" s="220"/>
      <c r="P709" s="220"/>
      <c r="R709" s="210"/>
      <c r="S709" s="210"/>
      <c r="T709" s="210"/>
      <c r="U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row>
    <row r="710">
      <c r="A710" s="190"/>
      <c r="B710" s="190"/>
      <c r="C710" s="190"/>
      <c r="D710" s="190"/>
      <c r="E710" s="190"/>
      <c r="F710" s="190"/>
      <c r="G710" s="190"/>
      <c r="H710" s="190"/>
      <c r="I710" s="190"/>
      <c r="J710" s="190"/>
      <c r="K710" s="190"/>
      <c r="L710" s="190"/>
      <c r="M710" s="190"/>
      <c r="N710" s="220"/>
      <c r="O710" s="220"/>
      <c r="P710" s="220"/>
      <c r="R710" s="210"/>
      <c r="S710" s="210"/>
      <c r="T710" s="210"/>
      <c r="U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row>
    <row r="711">
      <c r="A711" s="190"/>
      <c r="B711" s="190"/>
      <c r="C711" s="190"/>
      <c r="D711" s="190"/>
      <c r="E711" s="190"/>
      <c r="F711" s="190"/>
      <c r="G711" s="190"/>
      <c r="H711" s="190"/>
      <c r="I711" s="190"/>
      <c r="J711" s="190"/>
      <c r="K711" s="190"/>
      <c r="L711" s="190"/>
      <c r="M711" s="190"/>
      <c r="N711" s="220"/>
      <c r="O711" s="220"/>
      <c r="P711" s="220"/>
      <c r="R711" s="210"/>
      <c r="S711" s="210"/>
      <c r="T711" s="210"/>
      <c r="U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row>
    <row r="712">
      <c r="A712" s="190"/>
      <c r="B712" s="190"/>
      <c r="C712" s="190"/>
      <c r="D712" s="190"/>
      <c r="E712" s="190"/>
      <c r="F712" s="190"/>
      <c r="G712" s="190"/>
      <c r="H712" s="190"/>
      <c r="I712" s="190"/>
      <c r="J712" s="190"/>
      <c r="K712" s="190"/>
      <c r="L712" s="190"/>
      <c r="M712" s="190"/>
      <c r="N712" s="220"/>
      <c r="O712" s="220"/>
      <c r="P712" s="220"/>
      <c r="R712" s="210"/>
      <c r="S712" s="210"/>
      <c r="T712" s="210"/>
      <c r="U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row>
    <row r="713">
      <c r="A713" s="190"/>
      <c r="B713" s="190"/>
      <c r="C713" s="190"/>
      <c r="D713" s="190"/>
      <c r="E713" s="190"/>
      <c r="F713" s="190"/>
      <c r="G713" s="190"/>
      <c r="H713" s="190"/>
      <c r="I713" s="190"/>
      <c r="J713" s="190"/>
      <c r="K713" s="190"/>
      <c r="L713" s="190"/>
      <c r="M713" s="190"/>
      <c r="N713" s="220"/>
      <c r="O713" s="220"/>
      <c r="P713" s="220"/>
      <c r="R713" s="210"/>
      <c r="S713" s="210"/>
      <c r="T713" s="210"/>
      <c r="U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row>
    <row r="714">
      <c r="A714" s="190"/>
      <c r="B714" s="190"/>
      <c r="C714" s="190"/>
      <c r="D714" s="190"/>
      <c r="E714" s="190"/>
      <c r="F714" s="190"/>
      <c r="G714" s="190"/>
      <c r="H714" s="190"/>
      <c r="I714" s="190"/>
      <c r="J714" s="190"/>
      <c r="K714" s="190"/>
      <c r="L714" s="190"/>
      <c r="M714" s="190"/>
      <c r="N714" s="220"/>
      <c r="O714" s="220"/>
      <c r="P714" s="220"/>
      <c r="R714" s="210"/>
      <c r="S714" s="210"/>
      <c r="T714" s="210"/>
      <c r="U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row>
    <row r="715">
      <c r="A715" s="190"/>
      <c r="B715" s="190"/>
      <c r="C715" s="190"/>
      <c r="D715" s="190"/>
      <c r="E715" s="190"/>
      <c r="F715" s="190"/>
      <c r="G715" s="190"/>
      <c r="H715" s="190"/>
      <c r="I715" s="190"/>
      <c r="J715" s="190"/>
      <c r="K715" s="190"/>
      <c r="L715" s="190"/>
      <c r="M715" s="190"/>
      <c r="N715" s="220"/>
      <c r="O715" s="220"/>
      <c r="P715" s="220"/>
      <c r="R715" s="210"/>
      <c r="S715" s="210"/>
      <c r="T715" s="210"/>
      <c r="U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row>
    <row r="716">
      <c r="A716" s="190"/>
      <c r="B716" s="190"/>
      <c r="C716" s="190"/>
      <c r="D716" s="190"/>
      <c r="E716" s="190"/>
      <c r="F716" s="190"/>
      <c r="G716" s="190"/>
      <c r="H716" s="190"/>
      <c r="I716" s="190"/>
      <c r="J716" s="190"/>
      <c r="K716" s="190"/>
      <c r="L716" s="190"/>
      <c r="M716" s="190"/>
      <c r="N716" s="220"/>
      <c r="O716" s="220"/>
      <c r="P716" s="220"/>
      <c r="R716" s="210"/>
      <c r="S716" s="210"/>
      <c r="T716" s="210"/>
      <c r="U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row>
    <row r="717">
      <c r="A717" s="190"/>
      <c r="B717" s="190"/>
      <c r="C717" s="190"/>
      <c r="D717" s="190"/>
      <c r="E717" s="190"/>
      <c r="F717" s="190"/>
      <c r="G717" s="190"/>
      <c r="H717" s="190"/>
      <c r="I717" s="190"/>
      <c r="J717" s="190"/>
      <c r="K717" s="190"/>
      <c r="L717" s="190"/>
      <c r="M717" s="190"/>
      <c r="N717" s="220"/>
      <c r="O717" s="220"/>
      <c r="P717" s="220"/>
      <c r="R717" s="210"/>
      <c r="S717" s="210"/>
      <c r="T717" s="210"/>
      <c r="U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row>
    <row r="718">
      <c r="A718" s="190"/>
      <c r="B718" s="190"/>
      <c r="C718" s="190"/>
      <c r="D718" s="190"/>
      <c r="E718" s="190"/>
      <c r="F718" s="190"/>
      <c r="G718" s="190"/>
      <c r="H718" s="190"/>
      <c r="I718" s="190"/>
      <c r="J718" s="190"/>
      <c r="K718" s="190"/>
      <c r="L718" s="190"/>
      <c r="M718" s="190"/>
      <c r="N718" s="220"/>
      <c r="O718" s="220"/>
      <c r="P718" s="220"/>
      <c r="R718" s="210"/>
      <c r="S718" s="210"/>
      <c r="T718" s="210"/>
      <c r="U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row>
    <row r="719">
      <c r="A719" s="190"/>
      <c r="B719" s="190"/>
      <c r="C719" s="190"/>
      <c r="D719" s="190"/>
      <c r="E719" s="190"/>
      <c r="F719" s="190"/>
      <c r="G719" s="190"/>
      <c r="H719" s="190"/>
      <c r="I719" s="190"/>
      <c r="J719" s="190"/>
      <c r="K719" s="190"/>
      <c r="L719" s="190"/>
      <c r="M719" s="190"/>
      <c r="N719" s="220"/>
      <c r="O719" s="220"/>
      <c r="P719" s="220"/>
      <c r="R719" s="210"/>
      <c r="S719" s="210"/>
      <c r="T719" s="210"/>
      <c r="U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row>
    <row r="720">
      <c r="A720" s="190"/>
      <c r="B720" s="190"/>
      <c r="C720" s="190"/>
      <c r="D720" s="190"/>
      <c r="E720" s="190"/>
      <c r="F720" s="190"/>
      <c r="G720" s="190"/>
      <c r="H720" s="190"/>
      <c r="I720" s="190"/>
      <c r="J720" s="190"/>
      <c r="K720" s="190"/>
      <c r="L720" s="190"/>
      <c r="M720" s="190"/>
      <c r="N720" s="220"/>
      <c r="O720" s="220"/>
      <c r="P720" s="220"/>
      <c r="R720" s="210"/>
      <c r="S720" s="210"/>
      <c r="T720" s="210"/>
      <c r="U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row>
    <row r="721">
      <c r="A721" s="190"/>
      <c r="B721" s="190"/>
      <c r="C721" s="190"/>
      <c r="D721" s="190"/>
      <c r="E721" s="190"/>
      <c r="F721" s="190"/>
      <c r="G721" s="190"/>
      <c r="H721" s="190"/>
      <c r="I721" s="190"/>
      <c r="J721" s="190"/>
      <c r="K721" s="190"/>
      <c r="L721" s="190"/>
      <c r="M721" s="190"/>
      <c r="N721" s="220"/>
      <c r="O721" s="220"/>
      <c r="P721" s="220"/>
      <c r="R721" s="210"/>
      <c r="S721" s="210"/>
      <c r="T721" s="210"/>
      <c r="U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row>
    <row r="722">
      <c r="A722" s="190"/>
      <c r="B722" s="190"/>
      <c r="C722" s="190"/>
      <c r="D722" s="190"/>
      <c r="E722" s="190"/>
      <c r="F722" s="190"/>
      <c r="G722" s="190"/>
      <c r="H722" s="190"/>
      <c r="I722" s="190"/>
      <c r="J722" s="190"/>
      <c r="K722" s="190"/>
      <c r="L722" s="190"/>
      <c r="M722" s="190"/>
      <c r="N722" s="220"/>
      <c r="O722" s="220"/>
      <c r="P722" s="220"/>
      <c r="R722" s="210"/>
      <c r="S722" s="210"/>
      <c r="T722" s="210"/>
      <c r="U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row>
    <row r="723">
      <c r="A723" s="190"/>
      <c r="B723" s="190"/>
      <c r="C723" s="190"/>
      <c r="D723" s="190"/>
      <c r="E723" s="190"/>
      <c r="F723" s="190"/>
      <c r="G723" s="190"/>
      <c r="H723" s="190"/>
      <c r="I723" s="190"/>
      <c r="J723" s="190"/>
      <c r="K723" s="190"/>
      <c r="L723" s="190"/>
      <c r="M723" s="190"/>
      <c r="N723" s="220"/>
      <c r="O723" s="220"/>
      <c r="P723" s="220"/>
      <c r="R723" s="210"/>
      <c r="S723" s="210"/>
      <c r="T723" s="210"/>
      <c r="U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row>
    <row r="724">
      <c r="A724" s="190"/>
      <c r="B724" s="190"/>
      <c r="C724" s="190"/>
      <c r="D724" s="190"/>
      <c r="E724" s="190"/>
      <c r="F724" s="190"/>
      <c r="G724" s="190"/>
      <c r="H724" s="190"/>
      <c r="I724" s="190"/>
      <c r="J724" s="190"/>
      <c r="K724" s="190"/>
      <c r="L724" s="190"/>
      <c r="M724" s="190"/>
      <c r="N724" s="220"/>
      <c r="O724" s="220"/>
      <c r="P724" s="220"/>
      <c r="R724" s="210"/>
      <c r="S724" s="210"/>
      <c r="T724" s="210"/>
      <c r="U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row>
    <row r="725">
      <c r="A725" s="190"/>
      <c r="B725" s="190"/>
      <c r="C725" s="190"/>
      <c r="D725" s="190"/>
      <c r="E725" s="190"/>
      <c r="F725" s="190"/>
      <c r="G725" s="190"/>
      <c r="H725" s="190"/>
      <c r="I725" s="190"/>
      <c r="J725" s="190"/>
      <c r="K725" s="190"/>
      <c r="L725" s="190"/>
      <c r="M725" s="190"/>
      <c r="N725" s="220"/>
      <c r="O725" s="220"/>
      <c r="P725" s="220"/>
      <c r="R725" s="210"/>
      <c r="S725" s="210"/>
      <c r="T725" s="210"/>
      <c r="U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row>
    <row r="726">
      <c r="A726" s="190"/>
      <c r="B726" s="190"/>
      <c r="C726" s="190"/>
      <c r="D726" s="190"/>
      <c r="E726" s="190"/>
      <c r="F726" s="190"/>
      <c r="G726" s="190"/>
      <c r="H726" s="190"/>
      <c r="I726" s="190"/>
      <c r="J726" s="190"/>
      <c r="K726" s="190"/>
      <c r="L726" s="190"/>
      <c r="M726" s="190"/>
      <c r="N726" s="220"/>
      <c r="O726" s="220"/>
      <c r="P726" s="220"/>
      <c r="R726" s="210"/>
      <c r="S726" s="210"/>
      <c r="T726" s="210"/>
      <c r="U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row>
    <row r="727">
      <c r="A727" s="190"/>
      <c r="B727" s="190"/>
      <c r="C727" s="190"/>
      <c r="D727" s="190"/>
      <c r="E727" s="190"/>
      <c r="F727" s="190"/>
      <c r="G727" s="190"/>
      <c r="H727" s="190"/>
      <c r="I727" s="190"/>
      <c r="J727" s="190"/>
      <c r="K727" s="190"/>
      <c r="L727" s="190"/>
      <c r="M727" s="190"/>
      <c r="N727" s="220"/>
      <c r="O727" s="220"/>
      <c r="P727" s="220"/>
      <c r="R727" s="210"/>
      <c r="S727" s="210"/>
      <c r="T727" s="210"/>
      <c r="U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row>
    <row r="728">
      <c r="A728" s="190"/>
      <c r="B728" s="190"/>
      <c r="C728" s="190"/>
      <c r="D728" s="190"/>
      <c r="E728" s="190"/>
      <c r="F728" s="190"/>
      <c r="G728" s="190"/>
      <c r="H728" s="190"/>
      <c r="I728" s="190"/>
      <c r="J728" s="190"/>
      <c r="K728" s="190"/>
      <c r="L728" s="190"/>
      <c r="M728" s="190"/>
      <c r="N728" s="220"/>
      <c r="O728" s="220"/>
      <c r="P728" s="220"/>
      <c r="R728" s="210"/>
      <c r="S728" s="210"/>
      <c r="T728" s="210"/>
      <c r="U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row>
    <row r="729">
      <c r="A729" s="190"/>
      <c r="B729" s="190"/>
      <c r="C729" s="190"/>
      <c r="D729" s="190"/>
      <c r="E729" s="190"/>
      <c r="F729" s="190"/>
      <c r="G729" s="190"/>
      <c r="H729" s="190"/>
      <c r="I729" s="190"/>
      <c r="J729" s="190"/>
      <c r="K729" s="190"/>
      <c r="L729" s="190"/>
      <c r="M729" s="190"/>
      <c r="N729" s="220"/>
      <c r="O729" s="220"/>
      <c r="P729" s="220"/>
      <c r="R729" s="210"/>
      <c r="S729" s="210"/>
      <c r="T729" s="210"/>
      <c r="U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row>
    <row r="730">
      <c r="A730" s="190"/>
      <c r="B730" s="190"/>
      <c r="C730" s="190"/>
      <c r="D730" s="190"/>
      <c r="E730" s="190"/>
      <c r="F730" s="190"/>
      <c r="G730" s="190"/>
      <c r="H730" s="190"/>
      <c r="I730" s="190"/>
      <c r="J730" s="190"/>
      <c r="K730" s="190"/>
      <c r="L730" s="190"/>
      <c r="M730" s="190"/>
      <c r="N730" s="220"/>
      <c r="O730" s="220"/>
      <c r="P730" s="220"/>
      <c r="R730" s="210"/>
      <c r="S730" s="210"/>
      <c r="T730" s="210"/>
      <c r="U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row>
    <row r="731">
      <c r="A731" s="190"/>
      <c r="B731" s="190"/>
      <c r="C731" s="190"/>
      <c r="D731" s="190"/>
      <c r="E731" s="190"/>
      <c r="F731" s="190"/>
      <c r="G731" s="190"/>
      <c r="H731" s="190"/>
      <c r="I731" s="190"/>
      <c r="J731" s="190"/>
      <c r="K731" s="190"/>
      <c r="L731" s="190"/>
      <c r="M731" s="190"/>
      <c r="N731" s="220"/>
      <c r="O731" s="220"/>
      <c r="P731" s="220"/>
      <c r="R731" s="210"/>
      <c r="S731" s="210"/>
      <c r="T731" s="210"/>
      <c r="U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row>
    <row r="732">
      <c r="A732" s="190"/>
      <c r="B732" s="190"/>
      <c r="C732" s="190"/>
      <c r="D732" s="190"/>
      <c r="E732" s="190"/>
      <c r="F732" s="190"/>
      <c r="G732" s="190"/>
      <c r="H732" s="190"/>
      <c r="I732" s="190"/>
      <c r="J732" s="190"/>
      <c r="K732" s="190"/>
      <c r="L732" s="190"/>
      <c r="M732" s="190"/>
      <c r="N732" s="220"/>
      <c r="O732" s="220"/>
      <c r="P732" s="220"/>
      <c r="R732" s="210"/>
      <c r="S732" s="210"/>
      <c r="T732" s="210"/>
      <c r="U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row>
    <row r="733">
      <c r="A733" s="190"/>
      <c r="B733" s="190"/>
      <c r="C733" s="190"/>
      <c r="D733" s="190"/>
      <c r="E733" s="190"/>
      <c r="F733" s="190"/>
      <c r="G733" s="190"/>
      <c r="H733" s="190"/>
      <c r="I733" s="190"/>
      <c r="J733" s="190"/>
      <c r="K733" s="190"/>
      <c r="L733" s="190"/>
      <c r="M733" s="190"/>
      <c r="N733" s="220"/>
      <c r="O733" s="220"/>
      <c r="P733" s="220"/>
      <c r="R733" s="210"/>
      <c r="S733" s="210"/>
      <c r="T733" s="210"/>
      <c r="U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row>
    <row r="734">
      <c r="A734" s="190"/>
      <c r="B734" s="190"/>
      <c r="C734" s="190"/>
      <c r="D734" s="190"/>
      <c r="E734" s="190"/>
      <c r="F734" s="190"/>
      <c r="G734" s="190"/>
      <c r="H734" s="190"/>
      <c r="I734" s="190"/>
      <c r="J734" s="190"/>
      <c r="K734" s="190"/>
      <c r="L734" s="190"/>
      <c r="M734" s="190"/>
      <c r="N734" s="220"/>
      <c r="O734" s="220"/>
      <c r="P734" s="220"/>
      <c r="R734" s="210"/>
      <c r="S734" s="210"/>
      <c r="T734" s="210"/>
      <c r="U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row>
    <row r="735">
      <c r="A735" s="190"/>
      <c r="B735" s="190"/>
      <c r="C735" s="190"/>
      <c r="D735" s="190"/>
      <c r="E735" s="190"/>
      <c r="F735" s="190"/>
      <c r="G735" s="190"/>
      <c r="H735" s="190"/>
      <c r="I735" s="190"/>
      <c r="J735" s="190"/>
      <c r="K735" s="190"/>
      <c r="L735" s="190"/>
      <c r="M735" s="190"/>
      <c r="N735" s="220"/>
      <c r="O735" s="220"/>
      <c r="P735" s="220"/>
      <c r="R735" s="210"/>
      <c r="S735" s="210"/>
      <c r="T735" s="210"/>
      <c r="U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row>
    <row r="736">
      <c r="A736" s="190"/>
      <c r="B736" s="190"/>
      <c r="C736" s="190"/>
      <c r="D736" s="190"/>
      <c r="E736" s="190"/>
      <c r="F736" s="190"/>
      <c r="G736" s="190"/>
      <c r="H736" s="190"/>
      <c r="I736" s="190"/>
      <c r="J736" s="190"/>
      <c r="K736" s="190"/>
      <c r="L736" s="190"/>
      <c r="M736" s="190"/>
      <c r="N736" s="220"/>
      <c r="O736" s="220"/>
      <c r="P736" s="220"/>
      <c r="R736" s="210"/>
      <c r="S736" s="210"/>
      <c r="T736" s="210"/>
      <c r="U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row>
    <row r="737">
      <c r="A737" s="190"/>
      <c r="B737" s="190"/>
      <c r="C737" s="190"/>
      <c r="D737" s="190"/>
      <c r="E737" s="190"/>
      <c r="F737" s="190"/>
      <c r="G737" s="190"/>
      <c r="H737" s="190"/>
      <c r="I737" s="190"/>
      <c r="J737" s="190"/>
      <c r="K737" s="190"/>
      <c r="L737" s="190"/>
      <c r="M737" s="190"/>
      <c r="N737" s="220"/>
      <c r="O737" s="220"/>
      <c r="P737" s="220"/>
      <c r="R737" s="210"/>
      <c r="S737" s="210"/>
      <c r="T737" s="210"/>
      <c r="U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row>
    <row r="738">
      <c r="A738" s="190"/>
      <c r="B738" s="190"/>
      <c r="C738" s="190"/>
      <c r="D738" s="190"/>
      <c r="E738" s="190"/>
      <c r="F738" s="190"/>
      <c r="G738" s="190"/>
      <c r="H738" s="190"/>
      <c r="I738" s="190"/>
      <c r="J738" s="190"/>
      <c r="K738" s="190"/>
      <c r="L738" s="190"/>
      <c r="M738" s="190"/>
      <c r="N738" s="220"/>
      <c r="O738" s="220"/>
      <c r="P738" s="220"/>
      <c r="R738" s="210"/>
      <c r="S738" s="210"/>
      <c r="T738" s="210"/>
      <c r="U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row>
    <row r="739">
      <c r="A739" s="190"/>
      <c r="B739" s="190"/>
      <c r="C739" s="190"/>
      <c r="D739" s="190"/>
      <c r="E739" s="190"/>
      <c r="F739" s="190"/>
      <c r="G739" s="190"/>
      <c r="H739" s="190"/>
      <c r="I739" s="190"/>
      <c r="J739" s="190"/>
      <c r="K739" s="190"/>
      <c r="L739" s="190"/>
      <c r="M739" s="190"/>
      <c r="N739" s="220"/>
      <c r="O739" s="220"/>
      <c r="P739" s="220"/>
      <c r="R739" s="210"/>
      <c r="S739" s="210"/>
      <c r="T739" s="210"/>
      <c r="U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row>
    <row r="740">
      <c r="A740" s="190"/>
      <c r="B740" s="190"/>
      <c r="C740" s="190"/>
      <c r="D740" s="190"/>
      <c r="E740" s="190"/>
      <c r="F740" s="190"/>
      <c r="G740" s="190"/>
      <c r="H740" s="190"/>
      <c r="I740" s="190"/>
      <c r="J740" s="190"/>
      <c r="K740" s="190"/>
      <c r="L740" s="190"/>
      <c r="M740" s="190"/>
      <c r="N740" s="220"/>
      <c r="O740" s="220"/>
      <c r="P740" s="220"/>
      <c r="R740" s="210"/>
      <c r="S740" s="210"/>
      <c r="T740" s="210"/>
      <c r="U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row>
    <row r="741">
      <c r="A741" s="190"/>
      <c r="B741" s="190"/>
      <c r="C741" s="190"/>
      <c r="D741" s="190"/>
      <c r="E741" s="190"/>
      <c r="F741" s="190"/>
      <c r="G741" s="190"/>
      <c r="H741" s="190"/>
      <c r="I741" s="190"/>
      <c r="J741" s="190"/>
      <c r="K741" s="190"/>
      <c r="L741" s="190"/>
      <c r="M741" s="190"/>
      <c r="N741" s="220"/>
      <c r="O741" s="220"/>
      <c r="P741" s="220"/>
      <c r="R741" s="210"/>
      <c r="S741" s="210"/>
      <c r="T741" s="210"/>
      <c r="U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row>
    <row r="742">
      <c r="A742" s="190"/>
      <c r="B742" s="190"/>
      <c r="C742" s="190"/>
      <c r="D742" s="190"/>
      <c r="E742" s="190"/>
      <c r="F742" s="190"/>
      <c r="G742" s="190"/>
      <c r="H742" s="190"/>
      <c r="I742" s="190"/>
      <c r="J742" s="190"/>
      <c r="K742" s="190"/>
      <c r="L742" s="190"/>
      <c r="M742" s="190"/>
      <c r="N742" s="220"/>
      <c r="O742" s="220"/>
      <c r="P742" s="220"/>
      <c r="R742" s="210"/>
      <c r="S742" s="210"/>
      <c r="T742" s="210"/>
      <c r="U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row>
    <row r="743">
      <c r="A743" s="190"/>
      <c r="B743" s="190"/>
      <c r="C743" s="190"/>
      <c r="D743" s="190"/>
      <c r="E743" s="190"/>
      <c r="F743" s="190"/>
      <c r="G743" s="190"/>
      <c r="H743" s="190"/>
      <c r="I743" s="190"/>
      <c r="J743" s="190"/>
      <c r="K743" s="190"/>
      <c r="L743" s="190"/>
      <c r="M743" s="190"/>
      <c r="N743" s="220"/>
      <c r="O743" s="220"/>
      <c r="P743" s="220"/>
      <c r="R743" s="210"/>
      <c r="S743" s="210"/>
      <c r="T743" s="210"/>
      <c r="U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row>
    <row r="744">
      <c r="A744" s="190"/>
      <c r="B744" s="190"/>
      <c r="C744" s="190"/>
      <c r="D744" s="190"/>
      <c r="E744" s="190"/>
      <c r="F744" s="190"/>
      <c r="G744" s="190"/>
      <c r="H744" s="190"/>
      <c r="I744" s="190"/>
      <c r="J744" s="190"/>
      <c r="K744" s="190"/>
      <c r="L744" s="190"/>
      <c r="M744" s="190"/>
      <c r="N744" s="220"/>
      <c r="O744" s="220"/>
      <c r="P744" s="220"/>
      <c r="R744" s="210"/>
      <c r="S744" s="210"/>
      <c r="T744" s="210"/>
      <c r="U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row>
    <row r="745">
      <c r="A745" s="190"/>
      <c r="B745" s="190"/>
      <c r="C745" s="190"/>
      <c r="D745" s="190"/>
      <c r="E745" s="190"/>
      <c r="F745" s="190"/>
      <c r="G745" s="190"/>
      <c r="H745" s="190"/>
      <c r="I745" s="190"/>
      <c r="J745" s="190"/>
      <c r="K745" s="190"/>
      <c r="L745" s="190"/>
      <c r="M745" s="190"/>
      <c r="N745" s="220"/>
      <c r="O745" s="220"/>
      <c r="P745" s="220"/>
      <c r="R745" s="210"/>
      <c r="S745" s="210"/>
      <c r="T745" s="210"/>
      <c r="U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row>
    <row r="746">
      <c r="A746" s="190"/>
      <c r="B746" s="190"/>
      <c r="C746" s="190"/>
      <c r="D746" s="190"/>
      <c r="E746" s="190"/>
      <c r="F746" s="190"/>
      <c r="G746" s="190"/>
      <c r="H746" s="190"/>
      <c r="I746" s="190"/>
      <c r="J746" s="190"/>
      <c r="K746" s="190"/>
      <c r="L746" s="190"/>
      <c r="M746" s="190"/>
      <c r="N746" s="220"/>
      <c r="O746" s="220"/>
      <c r="P746" s="220"/>
      <c r="R746" s="210"/>
      <c r="S746" s="210"/>
      <c r="T746" s="210"/>
      <c r="U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row>
    <row r="747">
      <c r="A747" s="190"/>
      <c r="B747" s="190"/>
      <c r="C747" s="190"/>
      <c r="D747" s="190"/>
      <c r="E747" s="190"/>
      <c r="F747" s="190"/>
      <c r="G747" s="190"/>
      <c r="H747" s="190"/>
      <c r="I747" s="190"/>
      <c r="J747" s="190"/>
      <c r="K747" s="190"/>
      <c r="L747" s="190"/>
      <c r="M747" s="190"/>
      <c r="N747" s="220"/>
      <c r="O747" s="220"/>
      <c r="P747" s="220"/>
      <c r="R747" s="210"/>
      <c r="S747" s="210"/>
      <c r="T747" s="210"/>
      <c r="U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row>
    <row r="748">
      <c r="A748" s="190"/>
      <c r="B748" s="190"/>
      <c r="C748" s="190"/>
      <c r="D748" s="190"/>
      <c r="E748" s="190"/>
      <c r="F748" s="190"/>
      <c r="G748" s="190"/>
      <c r="H748" s="190"/>
      <c r="I748" s="190"/>
      <c r="J748" s="190"/>
      <c r="K748" s="190"/>
      <c r="L748" s="190"/>
      <c r="M748" s="190"/>
      <c r="N748" s="220"/>
      <c r="O748" s="220"/>
      <c r="P748" s="220"/>
      <c r="R748" s="210"/>
      <c r="S748" s="210"/>
      <c r="T748" s="210"/>
      <c r="U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row>
    <row r="749">
      <c r="A749" s="190"/>
      <c r="B749" s="190"/>
      <c r="C749" s="190"/>
      <c r="D749" s="190"/>
      <c r="E749" s="190"/>
      <c r="F749" s="190"/>
      <c r="G749" s="190"/>
      <c r="H749" s="190"/>
      <c r="I749" s="190"/>
      <c r="J749" s="190"/>
      <c r="K749" s="190"/>
      <c r="L749" s="190"/>
      <c r="M749" s="190"/>
      <c r="N749" s="220"/>
      <c r="O749" s="220"/>
      <c r="P749" s="220"/>
      <c r="R749" s="210"/>
      <c r="S749" s="210"/>
      <c r="T749" s="210"/>
      <c r="U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row>
    <row r="750">
      <c r="A750" s="190"/>
      <c r="B750" s="190"/>
      <c r="C750" s="190"/>
      <c r="D750" s="190"/>
      <c r="E750" s="190"/>
      <c r="F750" s="190"/>
      <c r="G750" s="190"/>
      <c r="H750" s="190"/>
      <c r="I750" s="190"/>
      <c r="J750" s="190"/>
      <c r="K750" s="190"/>
      <c r="L750" s="190"/>
      <c r="M750" s="190"/>
      <c r="N750" s="220"/>
      <c r="O750" s="220"/>
      <c r="P750" s="220"/>
      <c r="R750" s="210"/>
      <c r="S750" s="210"/>
      <c r="T750" s="210"/>
      <c r="U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row>
    <row r="751">
      <c r="A751" s="190"/>
      <c r="B751" s="190"/>
      <c r="C751" s="190"/>
      <c r="D751" s="190"/>
      <c r="E751" s="190"/>
      <c r="F751" s="190"/>
      <c r="G751" s="190"/>
      <c r="H751" s="190"/>
      <c r="I751" s="190"/>
      <c r="J751" s="190"/>
      <c r="K751" s="190"/>
      <c r="L751" s="190"/>
      <c r="M751" s="190"/>
      <c r="N751" s="220"/>
      <c r="O751" s="220"/>
      <c r="P751" s="220"/>
      <c r="R751" s="210"/>
      <c r="S751" s="210"/>
      <c r="T751" s="210"/>
      <c r="U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row>
    <row r="752">
      <c r="A752" s="190"/>
      <c r="B752" s="190"/>
      <c r="C752" s="190"/>
      <c r="D752" s="190"/>
      <c r="E752" s="190"/>
      <c r="F752" s="190"/>
      <c r="G752" s="190"/>
      <c r="H752" s="190"/>
      <c r="I752" s="190"/>
      <c r="J752" s="190"/>
      <c r="K752" s="190"/>
      <c r="L752" s="190"/>
      <c r="M752" s="190"/>
      <c r="N752" s="220"/>
      <c r="O752" s="220"/>
      <c r="P752" s="220"/>
      <c r="R752" s="210"/>
      <c r="S752" s="210"/>
      <c r="T752" s="210"/>
      <c r="U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row>
    <row r="753">
      <c r="A753" s="190"/>
      <c r="B753" s="190"/>
      <c r="C753" s="190"/>
      <c r="D753" s="190"/>
      <c r="E753" s="190"/>
      <c r="F753" s="190"/>
      <c r="G753" s="190"/>
      <c r="H753" s="190"/>
      <c r="I753" s="190"/>
      <c r="J753" s="190"/>
      <c r="K753" s="190"/>
      <c r="L753" s="190"/>
      <c r="M753" s="190"/>
      <c r="N753" s="220"/>
      <c r="O753" s="220"/>
      <c r="P753" s="220"/>
      <c r="R753" s="210"/>
      <c r="S753" s="210"/>
      <c r="T753" s="210"/>
      <c r="U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row>
    <row r="754">
      <c r="A754" s="190"/>
      <c r="B754" s="190"/>
      <c r="C754" s="190"/>
      <c r="D754" s="190"/>
      <c r="E754" s="190"/>
      <c r="F754" s="190"/>
      <c r="G754" s="190"/>
      <c r="H754" s="190"/>
      <c r="I754" s="190"/>
      <c r="J754" s="190"/>
      <c r="K754" s="190"/>
      <c r="L754" s="190"/>
      <c r="M754" s="190"/>
      <c r="N754" s="220"/>
      <c r="O754" s="220"/>
      <c r="P754" s="220"/>
      <c r="R754" s="210"/>
      <c r="S754" s="210"/>
      <c r="T754" s="210"/>
      <c r="U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row>
    <row r="755">
      <c r="A755" s="190"/>
      <c r="B755" s="190"/>
      <c r="C755" s="190"/>
      <c r="D755" s="190"/>
      <c r="E755" s="190"/>
      <c r="F755" s="190"/>
      <c r="G755" s="190"/>
      <c r="H755" s="190"/>
      <c r="I755" s="190"/>
      <c r="J755" s="190"/>
      <c r="K755" s="190"/>
      <c r="L755" s="190"/>
      <c r="M755" s="190"/>
      <c r="N755" s="220"/>
      <c r="O755" s="220"/>
      <c r="P755" s="220"/>
      <c r="R755" s="210"/>
      <c r="S755" s="210"/>
      <c r="T755" s="210"/>
      <c r="U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row>
    <row r="756">
      <c r="A756" s="190"/>
      <c r="B756" s="190"/>
      <c r="C756" s="190"/>
      <c r="D756" s="190"/>
      <c r="E756" s="190"/>
      <c r="F756" s="190"/>
      <c r="G756" s="190"/>
      <c r="H756" s="190"/>
      <c r="I756" s="190"/>
      <c r="J756" s="190"/>
      <c r="K756" s="190"/>
      <c r="L756" s="190"/>
      <c r="M756" s="190"/>
      <c r="N756" s="220"/>
      <c r="O756" s="220"/>
      <c r="P756" s="220"/>
      <c r="R756" s="210"/>
      <c r="S756" s="210"/>
      <c r="T756" s="210"/>
      <c r="U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row>
    <row r="757">
      <c r="A757" s="190"/>
      <c r="B757" s="190"/>
      <c r="C757" s="190"/>
      <c r="D757" s="190"/>
      <c r="E757" s="190"/>
      <c r="F757" s="190"/>
      <c r="G757" s="190"/>
      <c r="H757" s="190"/>
      <c r="I757" s="190"/>
      <c r="J757" s="190"/>
      <c r="K757" s="190"/>
      <c r="L757" s="190"/>
      <c r="M757" s="190"/>
      <c r="N757" s="220"/>
      <c r="O757" s="220"/>
      <c r="P757" s="220"/>
      <c r="R757" s="210"/>
      <c r="S757" s="210"/>
      <c r="T757" s="210"/>
      <c r="U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row>
    <row r="758">
      <c r="A758" s="190"/>
      <c r="B758" s="190"/>
      <c r="C758" s="190"/>
      <c r="D758" s="190"/>
      <c r="E758" s="190"/>
      <c r="F758" s="190"/>
      <c r="G758" s="190"/>
      <c r="H758" s="190"/>
      <c r="I758" s="190"/>
      <c r="J758" s="190"/>
      <c r="K758" s="190"/>
      <c r="L758" s="190"/>
      <c r="M758" s="190"/>
      <c r="N758" s="220"/>
      <c r="O758" s="220"/>
      <c r="P758" s="220"/>
      <c r="R758" s="210"/>
      <c r="S758" s="210"/>
      <c r="T758" s="210"/>
      <c r="U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row>
    <row r="759">
      <c r="A759" s="190"/>
      <c r="B759" s="190"/>
      <c r="C759" s="190"/>
      <c r="D759" s="190"/>
      <c r="E759" s="190"/>
      <c r="F759" s="190"/>
      <c r="G759" s="190"/>
      <c r="H759" s="190"/>
      <c r="I759" s="190"/>
      <c r="J759" s="190"/>
      <c r="K759" s="190"/>
      <c r="L759" s="190"/>
      <c r="M759" s="190"/>
      <c r="N759" s="220"/>
      <c r="O759" s="220"/>
      <c r="P759" s="220"/>
      <c r="R759" s="210"/>
      <c r="S759" s="210"/>
      <c r="T759" s="210"/>
      <c r="U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row>
    <row r="760">
      <c r="A760" s="190"/>
      <c r="B760" s="190"/>
      <c r="C760" s="190"/>
      <c r="D760" s="190"/>
      <c r="E760" s="190"/>
      <c r="F760" s="190"/>
      <c r="G760" s="190"/>
      <c r="H760" s="190"/>
      <c r="I760" s="190"/>
      <c r="J760" s="190"/>
      <c r="K760" s="190"/>
      <c r="L760" s="190"/>
      <c r="M760" s="190"/>
      <c r="N760" s="220"/>
      <c r="O760" s="220"/>
      <c r="P760" s="220"/>
      <c r="R760" s="210"/>
      <c r="S760" s="210"/>
      <c r="T760" s="210"/>
      <c r="U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row>
    <row r="761">
      <c r="A761" s="190"/>
      <c r="B761" s="190"/>
      <c r="C761" s="190"/>
      <c r="D761" s="190"/>
      <c r="E761" s="190"/>
      <c r="F761" s="190"/>
      <c r="G761" s="190"/>
      <c r="H761" s="190"/>
      <c r="I761" s="190"/>
      <c r="J761" s="190"/>
      <c r="K761" s="190"/>
      <c r="L761" s="190"/>
      <c r="M761" s="190"/>
      <c r="N761" s="220"/>
      <c r="O761" s="220"/>
      <c r="P761" s="220"/>
      <c r="R761" s="210"/>
      <c r="S761" s="210"/>
      <c r="T761" s="210"/>
      <c r="U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row>
    <row r="762">
      <c r="A762" s="190"/>
      <c r="B762" s="190"/>
      <c r="C762" s="190"/>
      <c r="D762" s="190"/>
      <c r="E762" s="190"/>
      <c r="F762" s="190"/>
      <c r="G762" s="190"/>
      <c r="H762" s="190"/>
      <c r="I762" s="190"/>
      <c r="J762" s="190"/>
      <c r="K762" s="190"/>
      <c r="L762" s="190"/>
      <c r="M762" s="190"/>
      <c r="N762" s="220"/>
      <c r="O762" s="220"/>
      <c r="P762" s="220"/>
      <c r="R762" s="210"/>
      <c r="S762" s="210"/>
      <c r="T762" s="210"/>
      <c r="U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row>
    <row r="763">
      <c r="A763" s="190"/>
      <c r="B763" s="190"/>
      <c r="C763" s="190"/>
      <c r="D763" s="190"/>
      <c r="E763" s="190"/>
      <c r="F763" s="190"/>
      <c r="G763" s="190"/>
      <c r="H763" s="190"/>
      <c r="I763" s="190"/>
      <c r="J763" s="190"/>
      <c r="K763" s="190"/>
      <c r="L763" s="190"/>
      <c r="M763" s="190"/>
      <c r="N763" s="220"/>
      <c r="O763" s="220"/>
      <c r="P763" s="220"/>
      <c r="R763" s="210"/>
      <c r="S763" s="210"/>
      <c r="T763" s="210"/>
      <c r="U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row>
    <row r="764">
      <c r="A764" s="190"/>
      <c r="B764" s="190"/>
      <c r="C764" s="190"/>
      <c r="D764" s="190"/>
      <c r="E764" s="190"/>
      <c r="F764" s="190"/>
      <c r="G764" s="190"/>
      <c r="H764" s="190"/>
      <c r="I764" s="190"/>
      <c r="J764" s="190"/>
      <c r="K764" s="190"/>
      <c r="L764" s="190"/>
      <c r="M764" s="190"/>
      <c r="N764" s="220"/>
      <c r="O764" s="220"/>
      <c r="P764" s="220"/>
      <c r="R764" s="210"/>
      <c r="S764" s="210"/>
      <c r="T764" s="210"/>
      <c r="U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row>
    <row r="765">
      <c r="A765" s="190"/>
      <c r="B765" s="190"/>
      <c r="C765" s="190"/>
      <c r="D765" s="190"/>
      <c r="E765" s="190"/>
      <c r="F765" s="190"/>
      <c r="G765" s="190"/>
      <c r="H765" s="190"/>
      <c r="I765" s="190"/>
      <c r="J765" s="190"/>
      <c r="K765" s="190"/>
      <c r="L765" s="190"/>
      <c r="M765" s="190"/>
      <c r="N765" s="220"/>
      <c r="O765" s="220"/>
      <c r="P765" s="220"/>
      <c r="R765" s="210"/>
      <c r="S765" s="210"/>
      <c r="T765" s="210"/>
      <c r="U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row>
    <row r="766">
      <c r="A766" s="190"/>
      <c r="B766" s="190"/>
      <c r="C766" s="190"/>
      <c r="D766" s="190"/>
      <c r="E766" s="190"/>
      <c r="F766" s="190"/>
      <c r="G766" s="190"/>
      <c r="H766" s="190"/>
      <c r="I766" s="190"/>
      <c r="J766" s="190"/>
      <c r="K766" s="190"/>
      <c r="L766" s="190"/>
      <c r="M766" s="190"/>
      <c r="N766" s="220"/>
      <c r="O766" s="220"/>
      <c r="P766" s="220"/>
      <c r="R766" s="210"/>
      <c r="S766" s="210"/>
      <c r="T766" s="210"/>
      <c r="U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row>
    <row r="767">
      <c r="A767" s="190"/>
      <c r="B767" s="190"/>
      <c r="C767" s="190"/>
      <c r="D767" s="190"/>
      <c r="E767" s="190"/>
      <c r="F767" s="190"/>
      <c r="G767" s="190"/>
      <c r="H767" s="190"/>
      <c r="I767" s="190"/>
      <c r="J767" s="190"/>
      <c r="K767" s="190"/>
      <c r="L767" s="190"/>
      <c r="M767" s="190"/>
      <c r="N767" s="220"/>
      <c r="O767" s="220"/>
      <c r="P767" s="220"/>
      <c r="R767" s="210"/>
      <c r="S767" s="210"/>
      <c r="T767" s="210"/>
      <c r="U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row>
    <row r="768">
      <c r="A768" s="190"/>
      <c r="B768" s="190"/>
      <c r="C768" s="190"/>
      <c r="D768" s="190"/>
      <c r="E768" s="190"/>
      <c r="F768" s="190"/>
      <c r="G768" s="190"/>
      <c r="H768" s="190"/>
      <c r="I768" s="190"/>
      <c r="J768" s="190"/>
      <c r="K768" s="190"/>
      <c r="L768" s="190"/>
      <c r="M768" s="190"/>
      <c r="N768" s="220"/>
      <c r="O768" s="220"/>
      <c r="P768" s="220"/>
      <c r="R768" s="210"/>
      <c r="S768" s="210"/>
      <c r="T768" s="210"/>
      <c r="U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row>
    <row r="769">
      <c r="A769" s="190"/>
      <c r="B769" s="190"/>
      <c r="C769" s="190"/>
      <c r="D769" s="190"/>
      <c r="E769" s="190"/>
      <c r="F769" s="190"/>
      <c r="G769" s="190"/>
      <c r="H769" s="190"/>
      <c r="I769" s="190"/>
      <c r="J769" s="190"/>
      <c r="K769" s="190"/>
      <c r="L769" s="190"/>
      <c r="M769" s="190"/>
      <c r="N769" s="220"/>
      <c r="O769" s="220"/>
      <c r="P769" s="220"/>
      <c r="R769" s="210"/>
      <c r="S769" s="210"/>
      <c r="T769" s="210"/>
      <c r="U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row>
    <row r="770">
      <c r="A770" s="190"/>
      <c r="B770" s="190"/>
      <c r="C770" s="190"/>
      <c r="D770" s="190"/>
      <c r="E770" s="190"/>
      <c r="F770" s="190"/>
      <c r="G770" s="190"/>
      <c r="H770" s="190"/>
      <c r="I770" s="190"/>
      <c r="J770" s="190"/>
      <c r="K770" s="190"/>
      <c r="L770" s="190"/>
      <c r="M770" s="190"/>
      <c r="N770" s="220"/>
      <c r="O770" s="220"/>
      <c r="P770" s="220"/>
      <c r="R770" s="210"/>
      <c r="S770" s="210"/>
      <c r="T770" s="210"/>
      <c r="U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row>
    <row r="771">
      <c r="A771" s="190"/>
      <c r="B771" s="190"/>
      <c r="C771" s="190"/>
      <c r="D771" s="190"/>
      <c r="E771" s="190"/>
      <c r="F771" s="190"/>
      <c r="G771" s="190"/>
      <c r="H771" s="190"/>
      <c r="I771" s="190"/>
      <c r="J771" s="190"/>
      <c r="K771" s="190"/>
      <c r="L771" s="190"/>
      <c r="M771" s="190"/>
      <c r="N771" s="220"/>
      <c r="O771" s="220"/>
      <c r="P771" s="220"/>
      <c r="R771" s="210"/>
      <c r="S771" s="210"/>
      <c r="T771" s="210"/>
      <c r="U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row>
    <row r="772">
      <c r="A772" s="190"/>
      <c r="B772" s="190"/>
      <c r="C772" s="190"/>
      <c r="D772" s="190"/>
      <c r="E772" s="190"/>
      <c r="F772" s="190"/>
      <c r="G772" s="190"/>
      <c r="H772" s="190"/>
      <c r="I772" s="190"/>
      <c r="J772" s="190"/>
      <c r="K772" s="190"/>
      <c r="L772" s="190"/>
      <c r="M772" s="190"/>
      <c r="N772" s="220"/>
      <c r="O772" s="220"/>
      <c r="P772" s="220"/>
      <c r="R772" s="210"/>
      <c r="S772" s="210"/>
      <c r="T772" s="210"/>
      <c r="U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row>
    <row r="773">
      <c r="A773" s="190"/>
      <c r="B773" s="190"/>
      <c r="C773" s="190"/>
      <c r="D773" s="190"/>
      <c r="E773" s="190"/>
      <c r="F773" s="190"/>
      <c r="G773" s="190"/>
      <c r="H773" s="190"/>
      <c r="I773" s="190"/>
      <c r="J773" s="190"/>
      <c r="K773" s="190"/>
      <c r="L773" s="190"/>
      <c r="M773" s="190"/>
      <c r="N773" s="220"/>
      <c r="O773" s="220"/>
      <c r="P773" s="220"/>
      <c r="R773" s="210"/>
      <c r="S773" s="210"/>
      <c r="T773" s="210"/>
      <c r="U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row>
    <row r="774">
      <c r="A774" s="190"/>
      <c r="B774" s="190"/>
      <c r="C774" s="190"/>
      <c r="D774" s="190"/>
      <c r="E774" s="190"/>
      <c r="F774" s="190"/>
      <c r="G774" s="190"/>
      <c r="H774" s="190"/>
      <c r="I774" s="190"/>
      <c r="J774" s="190"/>
      <c r="K774" s="190"/>
      <c r="L774" s="190"/>
      <c r="M774" s="190"/>
      <c r="N774" s="220"/>
      <c r="O774" s="220"/>
      <c r="P774" s="220"/>
      <c r="R774" s="210"/>
      <c r="S774" s="210"/>
      <c r="T774" s="210"/>
      <c r="U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row>
    <row r="775">
      <c r="A775" s="190"/>
      <c r="B775" s="190"/>
      <c r="C775" s="190"/>
      <c r="D775" s="190"/>
      <c r="E775" s="190"/>
      <c r="F775" s="190"/>
      <c r="G775" s="190"/>
      <c r="H775" s="190"/>
      <c r="I775" s="190"/>
      <c r="J775" s="190"/>
      <c r="K775" s="190"/>
      <c r="L775" s="190"/>
      <c r="M775" s="190"/>
      <c r="N775" s="220"/>
      <c r="O775" s="220"/>
      <c r="P775" s="220"/>
      <c r="R775" s="210"/>
      <c r="S775" s="210"/>
      <c r="T775" s="210"/>
      <c r="U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row>
    <row r="776">
      <c r="A776" s="190"/>
      <c r="B776" s="190"/>
      <c r="C776" s="190"/>
      <c r="D776" s="190"/>
      <c r="E776" s="190"/>
      <c r="F776" s="190"/>
      <c r="G776" s="190"/>
      <c r="H776" s="190"/>
      <c r="I776" s="190"/>
      <c r="J776" s="190"/>
      <c r="K776" s="190"/>
      <c r="L776" s="190"/>
      <c r="M776" s="190"/>
      <c r="N776" s="220"/>
      <c r="O776" s="220"/>
      <c r="P776" s="220"/>
      <c r="R776" s="210"/>
      <c r="S776" s="210"/>
      <c r="T776" s="210"/>
      <c r="U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row>
    <row r="777">
      <c r="A777" s="190"/>
      <c r="B777" s="190"/>
      <c r="C777" s="190"/>
      <c r="D777" s="190"/>
      <c r="E777" s="190"/>
      <c r="F777" s="190"/>
      <c r="G777" s="190"/>
      <c r="H777" s="190"/>
      <c r="I777" s="190"/>
      <c r="J777" s="190"/>
      <c r="K777" s="190"/>
      <c r="L777" s="190"/>
      <c r="M777" s="190"/>
      <c r="N777" s="220"/>
      <c r="O777" s="220"/>
      <c r="P777" s="220"/>
      <c r="R777" s="210"/>
      <c r="S777" s="210"/>
      <c r="T777" s="210"/>
      <c r="U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row>
    <row r="778">
      <c r="A778" s="190"/>
      <c r="B778" s="190"/>
      <c r="C778" s="190"/>
      <c r="D778" s="190"/>
      <c r="E778" s="190"/>
      <c r="F778" s="190"/>
      <c r="G778" s="190"/>
      <c r="H778" s="190"/>
      <c r="I778" s="190"/>
      <c r="J778" s="190"/>
      <c r="K778" s="190"/>
      <c r="L778" s="190"/>
      <c r="M778" s="190"/>
      <c r="N778" s="220"/>
      <c r="O778" s="220"/>
      <c r="P778" s="220"/>
      <c r="R778" s="210"/>
      <c r="S778" s="210"/>
      <c r="T778" s="210"/>
      <c r="U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row>
    <row r="779">
      <c r="A779" s="190"/>
      <c r="B779" s="190"/>
      <c r="C779" s="190"/>
      <c r="D779" s="190"/>
      <c r="E779" s="190"/>
      <c r="F779" s="190"/>
      <c r="G779" s="190"/>
      <c r="H779" s="190"/>
      <c r="I779" s="190"/>
      <c r="J779" s="190"/>
      <c r="K779" s="190"/>
      <c r="L779" s="190"/>
      <c r="M779" s="190"/>
      <c r="N779" s="220"/>
      <c r="O779" s="220"/>
      <c r="P779" s="220"/>
      <c r="R779" s="210"/>
      <c r="S779" s="210"/>
      <c r="T779" s="210"/>
      <c r="U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row>
    <row r="780">
      <c r="A780" s="190"/>
      <c r="B780" s="190"/>
      <c r="C780" s="190"/>
      <c r="D780" s="190"/>
      <c r="E780" s="190"/>
      <c r="F780" s="190"/>
      <c r="G780" s="190"/>
      <c r="H780" s="190"/>
      <c r="I780" s="190"/>
      <c r="J780" s="190"/>
      <c r="K780" s="190"/>
      <c r="L780" s="190"/>
      <c r="M780" s="190"/>
      <c r="N780" s="220"/>
      <c r="O780" s="220"/>
      <c r="P780" s="220"/>
      <c r="R780" s="210"/>
      <c r="S780" s="210"/>
      <c r="T780" s="210"/>
      <c r="U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row>
    <row r="781">
      <c r="A781" s="190"/>
      <c r="B781" s="190"/>
      <c r="C781" s="190"/>
      <c r="D781" s="190"/>
      <c r="E781" s="190"/>
      <c r="F781" s="190"/>
      <c r="G781" s="190"/>
      <c r="H781" s="190"/>
      <c r="I781" s="190"/>
      <c r="J781" s="190"/>
      <c r="K781" s="190"/>
      <c r="L781" s="190"/>
      <c r="M781" s="190"/>
      <c r="N781" s="220"/>
      <c r="O781" s="220"/>
      <c r="P781" s="220"/>
      <c r="R781" s="210"/>
      <c r="S781" s="210"/>
      <c r="T781" s="210"/>
      <c r="U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row>
    <row r="782">
      <c r="A782" s="190"/>
      <c r="B782" s="190"/>
      <c r="C782" s="190"/>
      <c r="D782" s="190"/>
      <c r="E782" s="190"/>
      <c r="F782" s="190"/>
      <c r="G782" s="190"/>
      <c r="H782" s="190"/>
      <c r="I782" s="190"/>
      <c r="J782" s="190"/>
      <c r="K782" s="190"/>
      <c r="L782" s="190"/>
      <c r="M782" s="190"/>
      <c r="N782" s="220"/>
      <c r="O782" s="220"/>
      <c r="P782" s="220"/>
      <c r="R782" s="210"/>
      <c r="S782" s="210"/>
      <c r="T782" s="210"/>
      <c r="U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row>
    <row r="783">
      <c r="A783" s="190"/>
      <c r="B783" s="190"/>
      <c r="C783" s="190"/>
      <c r="D783" s="190"/>
      <c r="E783" s="190"/>
      <c r="F783" s="190"/>
      <c r="G783" s="190"/>
      <c r="H783" s="190"/>
      <c r="I783" s="190"/>
      <c r="J783" s="190"/>
      <c r="K783" s="190"/>
      <c r="L783" s="190"/>
      <c r="M783" s="190"/>
      <c r="N783" s="220"/>
      <c r="O783" s="220"/>
      <c r="P783" s="220"/>
      <c r="R783" s="210"/>
      <c r="S783" s="210"/>
      <c r="T783" s="210"/>
      <c r="U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row>
    <row r="784">
      <c r="A784" s="190"/>
      <c r="B784" s="190"/>
      <c r="C784" s="190"/>
      <c r="D784" s="190"/>
      <c r="E784" s="190"/>
      <c r="F784" s="190"/>
      <c r="G784" s="190"/>
      <c r="H784" s="190"/>
      <c r="I784" s="190"/>
      <c r="J784" s="190"/>
      <c r="K784" s="190"/>
      <c r="L784" s="190"/>
      <c r="M784" s="190"/>
      <c r="N784" s="220"/>
      <c r="O784" s="220"/>
      <c r="P784" s="220"/>
      <c r="R784" s="210"/>
      <c r="S784" s="210"/>
      <c r="T784" s="210"/>
      <c r="U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row>
    <row r="785">
      <c r="A785" s="190"/>
      <c r="B785" s="190"/>
      <c r="C785" s="190"/>
      <c r="D785" s="190"/>
      <c r="E785" s="190"/>
      <c r="F785" s="190"/>
      <c r="G785" s="190"/>
      <c r="H785" s="190"/>
      <c r="I785" s="190"/>
      <c r="J785" s="190"/>
      <c r="K785" s="190"/>
      <c r="L785" s="190"/>
      <c r="M785" s="190"/>
      <c r="N785" s="220"/>
      <c r="O785" s="220"/>
      <c r="P785" s="220"/>
      <c r="R785" s="210"/>
      <c r="S785" s="210"/>
      <c r="T785" s="210"/>
      <c r="U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row>
    <row r="786">
      <c r="A786" s="190"/>
      <c r="B786" s="190"/>
      <c r="C786" s="190"/>
      <c r="D786" s="190"/>
      <c r="E786" s="190"/>
      <c r="F786" s="190"/>
      <c r="G786" s="190"/>
      <c r="H786" s="190"/>
      <c r="I786" s="190"/>
      <c r="J786" s="190"/>
      <c r="K786" s="190"/>
      <c r="L786" s="190"/>
      <c r="M786" s="190"/>
      <c r="N786" s="220"/>
      <c r="O786" s="220"/>
      <c r="P786" s="220"/>
      <c r="R786" s="210"/>
      <c r="S786" s="210"/>
      <c r="T786" s="210"/>
      <c r="U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row>
    <row r="787">
      <c r="A787" s="190"/>
      <c r="B787" s="190"/>
      <c r="C787" s="190"/>
      <c r="D787" s="190"/>
      <c r="E787" s="190"/>
      <c r="F787" s="190"/>
      <c r="G787" s="190"/>
      <c r="H787" s="190"/>
      <c r="I787" s="190"/>
      <c r="J787" s="190"/>
      <c r="K787" s="190"/>
      <c r="L787" s="190"/>
      <c r="M787" s="190"/>
      <c r="N787" s="220"/>
      <c r="O787" s="220"/>
      <c r="P787" s="220"/>
      <c r="R787" s="210"/>
      <c r="S787" s="210"/>
      <c r="T787" s="210"/>
      <c r="U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row>
    <row r="788">
      <c r="A788" s="190"/>
      <c r="B788" s="190"/>
      <c r="C788" s="190"/>
      <c r="D788" s="190"/>
      <c r="E788" s="190"/>
      <c r="F788" s="190"/>
      <c r="G788" s="190"/>
      <c r="H788" s="190"/>
      <c r="I788" s="190"/>
      <c r="J788" s="190"/>
      <c r="K788" s="190"/>
      <c r="L788" s="190"/>
      <c r="M788" s="190"/>
      <c r="N788" s="220"/>
      <c r="O788" s="220"/>
      <c r="P788" s="220"/>
      <c r="R788" s="210"/>
      <c r="S788" s="210"/>
      <c r="T788" s="210"/>
      <c r="U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row>
    <row r="789">
      <c r="A789" s="190"/>
      <c r="B789" s="190"/>
      <c r="C789" s="190"/>
      <c r="D789" s="190"/>
      <c r="E789" s="190"/>
      <c r="F789" s="190"/>
      <c r="G789" s="190"/>
      <c r="H789" s="190"/>
      <c r="I789" s="190"/>
      <c r="J789" s="190"/>
      <c r="K789" s="190"/>
      <c r="L789" s="190"/>
      <c r="M789" s="190"/>
      <c r="N789" s="220"/>
      <c r="O789" s="220"/>
      <c r="P789" s="220"/>
      <c r="R789" s="210"/>
      <c r="S789" s="210"/>
      <c r="T789" s="210"/>
      <c r="U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row>
    <row r="790">
      <c r="A790" s="190"/>
      <c r="B790" s="190"/>
      <c r="C790" s="190"/>
      <c r="D790" s="190"/>
      <c r="E790" s="190"/>
      <c r="F790" s="190"/>
      <c r="G790" s="190"/>
      <c r="H790" s="190"/>
      <c r="I790" s="190"/>
      <c r="J790" s="190"/>
      <c r="K790" s="190"/>
      <c r="L790" s="190"/>
      <c r="M790" s="190"/>
      <c r="N790" s="220"/>
      <c r="O790" s="220"/>
      <c r="P790" s="220"/>
      <c r="R790" s="210"/>
      <c r="S790" s="210"/>
      <c r="T790" s="210"/>
      <c r="U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row>
    <row r="791">
      <c r="A791" s="190"/>
      <c r="B791" s="190"/>
      <c r="C791" s="190"/>
      <c r="D791" s="190"/>
      <c r="E791" s="190"/>
      <c r="F791" s="190"/>
      <c r="G791" s="190"/>
      <c r="H791" s="190"/>
      <c r="I791" s="190"/>
      <c r="J791" s="190"/>
      <c r="K791" s="190"/>
      <c r="L791" s="190"/>
      <c r="M791" s="190"/>
      <c r="N791" s="220"/>
      <c r="O791" s="220"/>
      <c r="P791" s="220"/>
      <c r="R791" s="210"/>
      <c r="S791" s="210"/>
      <c r="T791" s="210"/>
      <c r="U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row>
    <row r="792">
      <c r="A792" s="190"/>
      <c r="B792" s="190"/>
      <c r="C792" s="190"/>
      <c r="D792" s="190"/>
      <c r="E792" s="190"/>
      <c r="F792" s="190"/>
      <c r="G792" s="190"/>
      <c r="H792" s="190"/>
      <c r="I792" s="190"/>
      <c r="J792" s="190"/>
      <c r="K792" s="190"/>
      <c r="L792" s="190"/>
      <c r="M792" s="190"/>
      <c r="N792" s="220"/>
      <c r="O792" s="220"/>
      <c r="P792" s="220"/>
      <c r="R792" s="210"/>
      <c r="S792" s="210"/>
      <c r="T792" s="210"/>
      <c r="U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row>
    <row r="793">
      <c r="A793" s="190"/>
      <c r="B793" s="190"/>
      <c r="C793" s="190"/>
      <c r="D793" s="190"/>
      <c r="E793" s="190"/>
      <c r="F793" s="190"/>
      <c r="G793" s="190"/>
      <c r="H793" s="190"/>
      <c r="I793" s="190"/>
      <c r="J793" s="190"/>
      <c r="K793" s="190"/>
      <c r="L793" s="190"/>
      <c r="M793" s="190"/>
      <c r="N793" s="220"/>
      <c r="O793" s="220"/>
      <c r="P793" s="220"/>
      <c r="R793" s="210"/>
      <c r="S793" s="210"/>
      <c r="T793" s="210"/>
      <c r="U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row>
    <row r="794">
      <c r="A794" s="190"/>
      <c r="B794" s="190"/>
      <c r="C794" s="190"/>
      <c r="D794" s="190"/>
      <c r="E794" s="190"/>
      <c r="F794" s="190"/>
      <c r="G794" s="190"/>
      <c r="H794" s="190"/>
      <c r="I794" s="190"/>
      <c r="J794" s="190"/>
      <c r="K794" s="190"/>
      <c r="L794" s="190"/>
      <c r="M794" s="190"/>
      <c r="N794" s="220"/>
      <c r="O794" s="220"/>
      <c r="P794" s="220"/>
      <c r="R794" s="210"/>
      <c r="S794" s="210"/>
      <c r="T794" s="210"/>
      <c r="U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row>
    <row r="795">
      <c r="A795" s="190"/>
      <c r="B795" s="190"/>
      <c r="C795" s="190"/>
      <c r="D795" s="190"/>
      <c r="E795" s="190"/>
      <c r="F795" s="190"/>
      <c r="G795" s="190"/>
      <c r="H795" s="190"/>
      <c r="I795" s="190"/>
      <c r="J795" s="190"/>
      <c r="K795" s="190"/>
      <c r="L795" s="190"/>
      <c r="M795" s="190"/>
      <c r="N795" s="220"/>
      <c r="O795" s="220"/>
      <c r="P795" s="220"/>
      <c r="R795" s="210"/>
      <c r="S795" s="210"/>
      <c r="T795" s="210"/>
      <c r="U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row>
    <row r="796">
      <c r="A796" s="190"/>
      <c r="B796" s="190"/>
      <c r="C796" s="190"/>
      <c r="D796" s="190"/>
      <c r="E796" s="190"/>
      <c r="F796" s="190"/>
      <c r="G796" s="190"/>
      <c r="H796" s="190"/>
      <c r="I796" s="190"/>
      <c r="J796" s="190"/>
      <c r="K796" s="190"/>
      <c r="L796" s="190"/>
      <c r="M796" s="190"/>
      <c r="N796" s="220"/>
      <c r="O796" s="220"/>
      <c r="P796" s="220"/>
      <c r="R796" s="210"/>
      <c r="S796" s="210"/>
      <c r="T796" s="210"/>
      <c r="U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row>
    <row r="797">
      <c r="A797" s="190"/>
      <c r="B797" s="190"/>
      <c r="C797" s="190"/>
      <c r="D797" s="190"/>
      <c r="E797" s="190"/>
      <c r="F797" s="190"/>
      <c r="G797" s="190"/>
      <c r="H797" s="190"/>
      <c r="I797" s="190"/>
      <c r="J797" s="190"/>
      <c r="K797" s="190"/>
      <c r="L797" s="190"/>
      <c r="M797" s="190"/>
      <c r="N797" s="220"/>
      <c r="O797" s="220"/>
      <c r="P797" s="220"/>
      <c r="R797" s="210"/>
      <c r="S797" s="210"/>
      <c r="T797" s="210"/>
      <c r="U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row>
    <row r="798">
      <c r="A798" s="190"/>
      <c r="B798" s="190"/>
      <c r="C798" s="190"/>
      <c r="D798" s="190"/>
      <c r="E798" s="190"/>
      <c r="F798" s="190"/>
      <c r="G798" s="190"/>
      <c r="H798" s="190"/>
      <c r="I798" s="190"/>
      <c r="J798" s="190"/>
      <c r="K798" s="190"/>
      <c r="L798" s="190"/>
      <c r="M798" s="190"/>
      <c r="N798" s="220"/>
      <c r="O798" s="220"/>
      <c r="P798" s="220"/>
      <c r="R798" s="210"/>
      <c r="S798" s="210"/>
      <c r="T798" s="210"/>
      <c r="U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row>
    <row r="799">
      <c r="A799" s="190"/>
      <c r="B799" s="190"/>
      <c r="C799" s="190"/>
      <c r="D799" s="190"/>
      <c r="E799" s="190"/>
      <c r="F799" s="190"/>
      <c r="G799" s="190"/>
      <c r="H799" s="190"/>
      <c r="I799" s="190"/>
      <c r="J799" s="190"/>
      <c r="K799" s="190"/>
      <c r="L799" s="190"/>
      <c r="M799" s="190"/>
      <c r="N799" s="220"/>
      <c r="O799" s="220"/>
      <c r="P799" s="220"/>
      <c r="R799" s="210"/>
      <c r="S799" s="210"/>
      <c r="T799" s="210"/>
      <c r="U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row>
    <row r="800">
      <c r="A800" s="190"/>
      <c r="B800" s="190"/>
      <c r="C800" s="190"/>
      <c r="D800" s="190"/>
      <c r="E800" s="190"/>
      <c r="F800" s="190"/>
      <c r="G800" s="190"/>
      <c r="H800" s="190"/>
      <c r="I800" s="190"/>
      <c r="J800" s="190"/>
      <c r="K800" s="190"/>
      <c r="L800" s="190"/>
      <c r="M800" s="190"/>
      <c r="N800" s="220"/>
      <c r="O800" s="220"/>
      <c r="P800" s="220"/>
      <c r="R800" s="210"/>
      <c r="S800" s="210"/>
      <c r="T800" s="210"/>
      <c r="U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row>
    <row r="801">
      <c r="A801" s="190"/>
      <c r="B801" s="190"/>
      <c r="C801" s="190"/>
      <c r="D801" s="190"/>
      <c r="E801" s="190"/>
      <c r="F801" s="190"/>
      <c r="G801" s="190"/>
      <c r="H801" s="190"/>
      <c r="I801" s="190"/>
      <c r="J801" s="190"/>
      <c r="K801" s="190"/>
      <c r="L801" s="190"/>
      <c r="M801" s="190"/>
      <c r="N801" s="220"/>
      <c r="O801" s="220"/>
      <c r="P801" s="220"/>
      <c r="R801" s="210"/>
      <c r="S801" s="210"/>
      <c r="T801" s="210"/>
      <c r="U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row>
    <row r="802">
      <c r="A802" s="190"/>
      <c r="B802" s="190"/>
      <c r="C802" s="190"/>
      <c r="D802" s="190"/>
      <c r="E802" s="190"/>
      <c r="F802" s="190"/>
      <c r="G802" s="190"/>
      <c r="H802" s="190"/>
      <c r="I802" s="190"/>
      <c r="J802" s="190"/>
      <c r="K802" s="190"/>
      <c r="L802" s="190"/>
      <c r="M802" s="190"/>
      <c r="N802" s="220"/>
      <c r="O802" s="220"/>
      <c r="P802" s="220"/>
      <c r="R802" s="210"/>
      <c r="S802" s="210"/>
      <c r="T802" s="210"/>
      <c r="U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row>
    <row r="803">
      <c r="A803" s="190"/>
      <c r="B803" s="190"/>
      <c r="C803" s="190"/>
      <c r="D803" s="190"/>
      <c r="E803" s="190"/>
      <c r="F803" s="190"/>
      <c r="G803" s="190"/>
      <c r="H803" s="190"/>
      <c r="I803" s="190"/>
      <c r="J803" s="190"/>
      <c r="K803" s="190"/>
      <c r="L803" s="190"/>
      <c r="M803" s="190"/>
      <c r="N803" s="220"/>
      <c r="O803" s="220"/>
      <c r="P803" s="220"/>
      <c r="R803" s="210"/>
      <c r="S803" s="210"/>
      <c r="T803" s="210"/>
      <c r="U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row>
    <row r="804">
      <c r="A804" s="190"/>
      <c r="B804" s="190"/>
      <c r="C804" s="190"/>
      <c r="D804" s="190"/>
      <c r="E804" s="190"/>
      <c r="F804" s="190"/>
      <c r="G804" s="190"/>
      <c r="H804" s="190"/>
      <c r="I804" s="190"/>
      <c r="J804" s="190"/>
      <c r="K804" s="190"/>
      <c r="L804" s="190"/>
      <c r="M804" s="190"/>
      <c r="N804" s="220"/>
      <c r="O804" s="220"/>
      <c r="P804" s="220"/>
      <c r="R804" s="210"/>
      <c r="S804" s="210"/>
      <c r="T804" s="210"/>
      <c r="U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row>
    <row r="805">
      <c r="A805" s="190"/>
      <c r="B805" s="190"/>
      <c r="C805" s="190"/>
      <c r="D805" s="190"/>
      <c r="E805" s="190"/>
      <c r="F805" s="190"/>
      <c r="G805" s="190"/>
      <c r="H805" s="190"/>
      <c r="I805" s="190"/>
      <c r="J805" s="190"/>
      <c r="K805" s="190"/>
      <c r="L805" s="190"/>
      <c r="M805" s="190"/>
      <c r="N805" s="220"/>
      <c r="O805" s="220"/>
      <c r="P805" s="220"/>
      <c r="R805" s="210"/>
      <c r="S805" s="210"/>
      <c r="T805" s="210"/>
      <c r="U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row>
    <row r="806">
      <c r="A806" s="190"/>
      <c r="B806" s="190"/>
      <c r="C806" s="190"/>
      <c r="D806" s="190"/>
      <c r="E806" s="190"/>
      <c r="F806" s="190"/>
      <c r="G806" s="190"/>
      <c r="H806" s="190"/>
      <c r="I806" s="190"/>
      <c r="J806" s="190"/>
      <c r="K806" s="190"/>
      <c r="L806" s="190"/>
      <c r="M806" s="190"/>
      <c r="N806" s="220"/>
      <c r="O806" s="220"/>
      <c r="P806" s="220"/>
      <c r="R806" s="210"/>
      <c r="S806" s="210"/>
      <c r="T806" s="210"/>
      <c r="U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row>
    <row r="807">
      <c r="A807" s="190"/>
      <c r="B807" s="190"/>
      <c r="C807" s="190"/>
      <c r="D807" s="190"/>
      <c r="E807" s="190"/>
      <c r="F807" s="190"/>
      <c r="G807" s="190"/>
      <c r="H807" s="190"/>
      <c r="I807" s="190"/>
      <c r="J807" s="190"/>
      <c r="K807" s="190"/>
      <c r="L807" s="190"/>
      <c r="M807" s="190"/>
      <c r="N807" s="220"/>
      <c r="O807" s="220"/>
      <c r="P807" s="220"/>
      <c r="R807" s="210"/>
      <c r="S807" s="210"/>
      <c r="T807" s="210"/>
      <c r="U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row>
    <row r="808">
      <c r="A808" s="190"/>
      <c r="B808" s="190"/>
      <c r="C808" s="190"/>
      <c r="D808" s="190"/>
      <c r="E808" s="190"/>
      <c r="F808" s="190"/>
      <c r="G808" s="190"/>
      <c r="H808" s="190"/>
      <c r="I808" s="190"/>
      <c r="J808" s="190"/>
      <c r="K808" s="190"/>
      <c r="L808" s="190"/>
      <c r="M808" s="190"/>
      <c r="N808" s="220"/>
      <c r="O808" s="220"/>
      <c r="P808" s="220"/>
      <c r="R808" s="210"/>
      <c r="S808" s="210"/>
      <c r="T808" s="210"/>
      <c r="U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row>
    <row r="809">
      <c r="A809" s="190"/>
      <c r="B809" s="190"/>
      <c r="C809" s="190"/>
      <c r="D809" s="190"/>
      <c r="E809" s="190"/>
      <c r="F809" s="190"/>
      <c r="G809" s="190"/>
      <c r="H809" s="190"/>
      <c r="I809" s="190"/>
      <c r="J809" s="190"/>
      <c r="K809" s="190"/>
      <c r="L809" s="190"/>
      <c r="M809" s="190"/>
      <c r="N809" s="220"/>
      <c r="O809" s="220"/>
      <c r="P809" s="220"/>
      <c r="R809" s="210"/>
      <c r="S809" s="210"/>
      <c r="T809" s="210"/>
      <c r="U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row>
    <row r="810">
      <c r="A810" s="190"/>
      <c r="B810" s="190"/>
      <c r="C810" s="190"/>
      <c r="D810" s="190"/>
      <c r="E810" s="190"/>
      <c r="F810" s="190"/>
      <c r="G810" s="190"/>
      <c r="H810" s="190"/>
      <c r="I810" s="190"/>
      <c r="J810" s="190"/>
      <c r="K810" s="190"/>
      <c r="L810" s="190"/>
      <c r="M810" s="190"/>
      <c r="N810" s="220"/>
      <c r="O810" s="220"/>
      <c r="P810" s="220"/>
      <c r="R810" s="210"/>
      <c r="S810" s="210"/>
      <c r="T810" s="210"/>
      <c r="U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row>
    <row r="811">
      <c r="A811" s="190"/>
      <c r="B811" s="190"/>
      <c r="C811" s="190"/>
      <c r="D811" s="190"/>
      <c r="E811" s="190"/>
      <c r="F811" s="190"/>
      <c r="G811" s="190"/>
      <c r="H811" s="190"/>
      <c r="I811" s="190"/>
      <c r="J811" s="190"/>
      <c r="K811" s="190"/>
      <c r="L811" s="190"/>
      <c r="M811" s="190"/>
      <c r="N811" s="220"/>
      <c r="O811" s="220"/>
      <c r="P811" s="220"/>
      <c r="R811" s="210"/>
      <c r="S811" s="210"/>
      <c r="T811" s="210"/>
      <c r="U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row>
    <row r="812">
      <c r="A812" s="190"/>
      <c r="B812" s="190"/>
      <c r="C812" s="190"/>
      <c r="D812" s="190"/>
      <c r="E812" s="190"/>
      <c r="F812" s="190"/>
      <c r="G812" s="190"/>
      <c r="H812" s="190"/>
      <c r="I812" s="190"/>
      <c r="J812" s="190"/>
      <c r="K812" s="190"/>
      <c r="L812" s="190"/>
      <c r="M812" s="190"/>
      <c r="N812" s="220"/>
      <c r="O812" s="220"/>
      <c r="P812" s="220"/>
      <c r="R812" s="210"/>
      <c r="S812" s="210"/>
      <c r="T812" s="210"/>
      <c r="U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row>
    <row r="813">
      <c r="A813" s="190"/>
      <c r="B813" s="190"/>
      <c r="C813" s="190"/>
      <c r="D813" s="190"/>
      <c r="E813" s="190"/>
      <c r="F813" s="190"/>
      <c r="G813" s="190"/>
      <c r="H813" s="190"/>
      <c r="I813" s="190"/>
      <c r="J813" s="190"/>
      <c r="K813" s="190"/>
      <c r="L813" s="190"/>
      <c r="M813" s="190"/>
      <c r="N813" s="220"/>
      <c r="O813" s="220"/>
      <c r="P813" s="220"/>
      <c r="R813" s="210"/>
      <c r="S813" s="210"/>
      <c r="T813" s="210"/>
      <c r="U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row>
    <row r="814">
      <c r="A814" s="190"/>
      <c r="B814" s="190"/>
      <c r="C814" s="190"/>
      <c r="D814" s="190"/>
      <c r="E814" s="190"/>
      <c r="F814" s="190"/>
      <c r="G814" s="190"/>
      <c r="H814" s="190"/>
      <c r="I814" s="190"/>
      <c r="J814" s="190"/>
      <c r="K814" s="190"/>
      <c r="L814" s="190"/>
      <c r="M814" s="190"/>
      <c r="N814" s="220"/>
      <c r="O814" s="220"/>
      <c r="P814" s="220"/>
      <c r="R814" s="210"/>
      <c r="S814" s="210"/>
      <c r="T814" s="210"/>
      <c r="U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row>
    <row r="815">
      <c r="A815" s="190"/>
      <c r="B815" s="190"/>
      <c r="C815" s="190"/>
      <c r="D815" s="190"/>
      <c r="E815" s="190"/>
      <c r="F815" s="190"/>
      <c r="G815" s="190"/>
      <c r="H815" s="190"/>
      <c r="I815" s="190"/>
      <c r="J815" s="190"/>
      <c r="K815" s="190"/>
      <c r="L815" s="190"/>
      <c r="M815" s="190"/>
      <c r="N815" s="220"/>
      <c r="O815" s="220"/>
      <c r="P815" s="220"/>
      <c r="R815" s="210"/>
      <c r="S815" s="210"/>
      <c r="T815" s="210"/>
      <c r="U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row>
    <row r="816">
      <c r="A816" s="190"/>
      <c r="B816" s="190"/>
      <c r="C816" s="190"/>
      <c r="D816" s="190"/>
      <c r="E816" s="190"/>
      <c r="F816" s="190"/>
      <c r="G816" s="190"/>
      <c r="H816" s="190"/>
      <c r="I816" s="190"/>
      <c r="J816" s="190"/>
      <c r="K816" s="190"/>
      <c r="L816" s="190"/>
      <c r="M816" s="190"/>
      <c r="N816" s="220"/>
      <c r="O816" s="220"/>
      <c r="P816" s="220"/>
      <c r="R816" s="210"/>
      <c r="S816" s="210"/>
      <c r="T816" s="210"/>
      <c r="U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row>
    <row r="817">
      <c r="A817" s="190"/>
      <c r="B817" s="190"/>
      <c r="C817" s="190"/>
      <c r="D817" s="190"/>
      <c r="E817" s="190"/>
      <c r="F817" s="190"/>
      <c r="G817" s="190"/>
      <c r="H817" s="190"/>
      <c r="I817" s="190"/>
      <c r="J817" s="190"/>
      <c r="K817" s="190"/>
      <c r="L817" s="190"/>
      <c r="M817" s="190"/>
      <c r="N817" s="220"/>
      <c r="O817" s="220"/>
      <c r="P817" s="220"/>
      <c r="R817" s="210"/>
      <c r="S817" s="210"/>
      <c r="T817" s="210"/>
      <c r="U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row>
    <row r="818">
      <c r="A818" s="190"/>
      <c r="B818" s="190"/>
      <c r="C818" s="190"/>
      <c r="D818" s="190"/>
      <c r="E818" s="190"/>
      <c r="F818" s="190"/>
      <c r="G818" s="190"/>
      <c r="H818" s="190"/>
      <c r="I818" s="190"/>
      <c r="J818" s="190"/>
      <c r="K818" s="190"/>
      <c r="L818" s="190"/>
      <c r="M818" s="190"/>
      <c r="N818" s="220"/>
      <c r="O818" s="220"/>
      <c r="P818" s="220"/>
      <c r="R818" s="210"/>
      <c r="S818" s="210"/>
      <c r="T818" s="210"/>
      <c r="U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row>
    <row r="819">
      <c r="A819" s="190"/>
      <c r="B819" s="190"/>
      <c r="C819" s="190"/>
      <c r="D819" s="190"/>
      <c r="E819" s="190"/>
      <c r="F819" s="190"/>
      <c r="G819" s="190"/>
      <c r="H819" s="190"/>
      <c r="I819" s="190"/>
      <c r="J819" s="190"/>
      <c r="K819" s="190"/>
      <c r="L819" s="190"/>
      <c r="M819" s="190"/>
      <c r="N819" s="220"/>
      <c r="O819" s="220"/>
      <c r="P819" s="220"/>
      <c r="R819" s="210"/>
      <c r="S819" s="210"/>
      <c r="T819" s="210"/>
      <c r="U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row>
    <row r="820">
      <c r="A820" s="190"/>
      <c r="B820" s="190"/>
      <c r="C820" s="190"/>
      <c r="D820" s="190"/>
      <c r="E820" s="190"/>
      <c r="F820" s="190"/>
      <c r="G820" s="190"/>
      <c r="H820" s="190"/>
      <c r="I820" s="190"/>
      <c r="J820" s="190"/>
      <c r="K820" s="190"/>
      <c r="L820" s="190"/>
      <c r="M820" s="190"/>
      <c r="N820" s="220"/>
      <c r="O820" s="220"/>
      <c r="P820" s="220"/>
      <c r="R820" s="210"/>
      <c r="S820" s="210"/>
      <c r="T820" s="210"/>
      <c r="U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row>
    <row r="821">
      <c r="A821" s="190"/>
      <c r="B821" s="190"/>
      <c r="C821" s="190"/>
      <c r="D821" s="190"/>
      <c r="E821" s="190"/>
      <c r="F821" s="190"/>
      <c r="G821" s="190"/>
      <c r="H821" s="190"/>
      <c r="I821" s="190"/>
      <c r="J821" s="190"/>
      <c r="K821" s="190"/>
      <c r="L821" s="190"/>
      <c r="M821" s="190"/>
      <c r="N821" s="220"/>
      <c r="O821" s="220"/>
      <c r="P821" s="220"/>
      <c r="R821" s="210"/>
      <c r="S821" s="210"/>
      <c r="T821" s="210"/>
      <c r="U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row>
    <row r="822">
      <c r="A822" s="190"/>
      <c r="B822" s="190"/>
      <c r="C822" s="190"/>
      <c r="D822" s="190"/>
      <c r="E822" s="190"/>
      <c r="F822" s="190"/>
      <c r="G822" s="190"/>
      <c r="H822" s="190"/>
      <c r="I822" s="190"/>
      <c r="J822" s="190"/>
      <c r="K822" s="190"/>
      <c r="L822" s="190"/>
      <c r="M822" s="190"/>
      <c r="N822" s="220"/>
      <c r="O822" s="220"/>
      <c r="P822" s="220"/>
      <c r="R822" s="210"/>
      <c r="S822" s="210"/>
      <c r="T822" s="210"/>
      <c r="U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row>
    <row r="823">
      <c r="A823" s="190"/>
      <c r="B823" s="190"/>
      <c r="C823" s="190"/>
      <c r="D823" s="190"/>
      <c r="E823" s="190"/>
      <c r="F823" s="190"/>
      <c r="G823" s="190"/>
      <c r="H823" s="190"/>
      <c r="I823" s="190"/>
      <c r="J823" s="190"/>
      <c r="K823" s="190"/>
      <c r="L823" s="190"/>
      <c r="M823" s="190"/>
      <c r="N823" s="220"/>
      <c r="O823" s="220"/>
      <c r="P823" s="220"/>
      <c r="R823" s="210"/>
      <c r="S823" s="210"/>
      <c r="T823" s="210"/>
      <c r="U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row>
    <row r="824">
      <c r="A824" s="190"/>
      <c r="B824" s="190"/>
      <c r="C824" s="190"/>
      <c r="D824" s="190"/>
      <c r="E824" s="190"/>
      <c r="F824" s="190"/>
      <c r="G824" s="190"/>
      <c r="H824" s="190"/>
      <c r="I824" s="190"/>
      <c r="J824" s="190"/>
      <c r="K824" s="190"/>
      <c r="L824" s="190"/>
      <c r="M824" s="190"/>
      <c r="N824" s="220"/>
      <c r="O824" s="220"/>
      <c r="P824" s="220"/>
      <c r="R824" s="210"/>
      <c r="S824" s="210"/>
      <c r="T824" s="210"/>
      <c r="U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row>
    <row r="825">
      <c r="A825" s="190"/>
      <c r="B825" s="190"/>
      <c r="C825" s="190"/>
      <c r="D825" s="190"/>
      <c r="E825" s="190"/>
      <c r="F825" s="190"/>
      <c r="G825" s="190"/>
      <c r="H825" s="190"/>
      <c r="I825" s="190"/>
      <c r="J825" s="190"/>
      <c r="K825" s="190"/>
      <c r="L825" s="190"/>
      <c r="M825" s="190"/>
      <c r="N825" s="220"/>
      <c r="O825" s="220"/>
      <c r="P825" s="220"/>
      <c r="R825" s="210"/>
      <c r="S825" s="210"/>
      <c r="T825" s="210"/>
      <c r="U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row>
    <row r="826">
      <c r="A826" s="190"/>
      <c r="B826" s="190"/>
      <c r="C826" s="190"/>
      <c r="D826" s="190"/>
      <c r="E826" s="190"/>
      <c r="F826" s="190"/>
      <c r="G826" s="190"/>
      <c r="H826" s="190"/>
      <c r="I826" s="190"/>
      <c r="J826" s="190"/>
      <c r="K826" s="190"/>
      <c r="L826" s="190"/>
      <c r="M826" s="190"/>
      <c r="N826" s="220"/>
      <c r="O826" s="220"/>
      <c r="P826" s="220"/>
      <c r="R826" s="210"/>
      <c r="S826" s="210"/>
      <c r="T826" s="210"/>
      <c r="U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row>
    <row r="827">
      <c r="A827" s="190"/>
      <c r="B827" s="190"/>
      <c r="C827" s="190"/>
      <c r="D827" s="190"/>
      <c r="E827" s="190"/>
      <c r="F827" s="190"/>
      <c r="G827" s="190"/>
      <c r="H827" s="190"/>
      <c r="I827" s="190"/>
      <c r="J827" s="190"/>
      <c r="K827" s="190"/>
      <c r="L827" s="190"/>
      <c r="M827" s="190"/>
      <c r="N827" s="220"/>
      <c r="O827" s="220"/>
      <c r="P827" s="220"/>
      <c r="R827" s="210"/>
      <c r="S827" s="210"/>
      <c r="T827" s="210"/>
      <c r="U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row>
    <row r="828">
      <c r="A828" s="190"/>
      <c r="B828" s="190"/>
      <c r="C828" s="190"/>
      <c r="D828" s="190"/>
      <c r="E828" s="190"/>
      <c r="F828" s="190"/>
      <c r="G828" s="190"/>
      <c r="H828" s="190"/>
      <c r="I828" s="190"/>
      <c r="J828" s="190"/>
      <c r="K828" s="190"/>
      <c r="L828" s="190"/>
      <c r="M828" s="190"/>
      <c r="N828" s="220"/>
      <c r="O828" s="220"/>
      <c r="P828" s="220"/>
      <c r="R828" s="210"/>
      <c r="S828" s="210"/>
      <c r="T828" s="210"/>
      <c r="U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row>
    <row r="829">
      <c r="A829" s="190"/>
      <c r="B829" s="190"/>
      <c r="C829" s="190"/>
      <c r="D829" s="190"/>
      <c r="E829" s="190"/>
      <c r="F829" s="190"/>
      <c r="G829" s="190"/>
      <c r="H829" s="190"/>
      <c r="I829" s="190"/>
      <c r="J829" s="190"/>
      <c r="K829" s="190"/>
      <c r="L829" s="190"/>
      <c r="M829" s="190"/>
      <c r="N829" s="220"/>
      <c r="O829" s="220"/>
      <c r="P829" s="220"/>
      <c r="R829" s="210"/>
      <c r="S829" s="210"/>
      <c r="T829" s="210"/>
      <c r="U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row>
    <row r="830">
      <c r="A830" s="190"/>
      <c r="B830" s="190"/>
      <c r="C830" s="190"/>
      <c r="D830" s="190"/>
      <c r="E830" s="190"/>
      <c r="F830" s="190"/>
      <c r="G830" s="190"/>
      <c r="H830" s="190"/>
      <c r="I830" s="190"/>
      <c r="J830" s="190"/>
      <c r="K830" s="190"/>
      <c r="L830" s="190"/>
      <c r="M830" s="190"/>
      <c r="N830" s="220"/>
      <c r="O830" s="220"/>
      <c r="P830" s="220"/>
      <c r="R830" s="210"/>
      <c r="S830" s="210"/>
      <c r="T830" s="210"/>
      <c r="U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row>
    <row r="831">
      <c r="A831" s="190"/>
      <c r="B831" s="190"/>
      <c r="C831" s="190"/>
      <c r="D831" s="190"/>
      <c r="E831" s="190"/>
      <c r="F831" s="190"/>
      <c r="G831" s="190"/>
      <c r="H831" s="190"/>
      <c r="I831" s="190"/>
      <c r="J831" s="190"/>
      <c r="K831" s="190"/>
      <c r="L831" s="190"/>
      <c r="M831" s="190"/>
      <c r="N831" s="220"/>
      <c r="O831" s="220"/>
      <c r="P831" s="220"/>
      <c r="R831" s="210"/>
      <c r="S831" s="210"/>
      <c r="T831" s="210"/>
      <c r="U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row>
    <row r="832">
      <c r="A832" s="190"/>
      <c r="B832" s="190"/>
      <c r="C832" s="190"/>
      <c r="D832" s="190"/>
      <c r="E832" s="190"/>
      <c r="F832" s="190"/>
      <c r="G832" s="190"/>
      <c r="H832" s="190"/>
      <c r="I832" s="190"/>
      <c r="J832" s="190"/>
      <c r="K832" s="190"/>
      <c r="L832" s="190"/>
      <c r="M832" s="190"/>
      <c r="N832" s="220"/>
      <c r="O832" s="220"/>
      <c r="P832" s="220"/>
      <c r="R832" s="210"/>
      <c r="S832" s="210"/>
      <c r="T832" s="210"/>
      <c r="U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row>
    <row r="833">
      <c r="A833" s="190"/>
      <c r="B833" s="190"/>
      <c r="C833" s="190"/>
      <c r="D833" s="190"/>
      <c r="E833" s="190"/>
      <c r="F833" s="190"/>
      <c r="G833" s="190"/>
      <c r="H833" s="190"/>
      <c r="I833" s="190"/>
      <c r="J833" s="190"/>
      <c r="K833" s="190"/>
      <c r="L833" s="190"/>
      <c r="M833" s="190"/>
      <c r="N833" s="220"/>
      <c r="O833" s="220"/>
      <c r="P833" s="220"/>
      <c r="R833" s="210"/>
      <c r="S833" s="210"/>
      <c r="T833" s="210"/>
      <c r="U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row>
    <row r="834">
      <c r="A834" s="190"/>
      <c r="B834" s="190"/>
      <c r="C834" s="190"/>
      <c r="D834" s="190"/>
      <c r="E834" s="190"/>
      <c r="F834" s="190"/>
      <c r="G834" s="190"/>
      <c r="H834" s="190"/>
      <c r="I834" s="190"/>
      <c r="J834" s="190"/>
      <c r="K834" s="190"/>
      <c r="L834" s="190"/>
      <c r="M834" s="190"/>
      <c r="N834" s="220"/>
      <c r="O834" s="220"/>
      <c r="P834" s="220"/>
      <c r="R834" s="210"/>
      <c r="S834" s="210"/>
      <c r="T834" s="210"/>
      <c r="U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row>
    <row r="835">
      <c r="A835" s="190"/>
      <c r="B835" s="190"/>
      <c r="C835" s="190"/>
      <c r="D835" s="190"/>
      <c r="E835" s="190"/>
      <c r="F835" s="190"/>
      <c r="G835" s="190"/>
      <c r="H835" s="190"/>
      <c r="I835" s="190"/>
      <c r="J835" s="190"/>
      <c r="K835" s="190"/>
      <c r="L835" s="190"/>
      <c r="M835" s="190"/>
      <c r="N835" s="220"/>
      <c r="O835" s="220"/>
      <c r="P835" s="220"/>
      <c r="R835" s="210"/>
      <c r="S835" s="210"/>
      <c r="T835" s="210"/>
      <c r="U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row>
    <row r="836">
      <c r="A836" s="190"/>
      <c r="B836" s="190"/>
      <c r="C836" s="190"/>
      <c r="D836" s="190"/>
      <c r="E836" s="190"/>
      <c r="F836" s="190"/>
      <c r="G836" s="190"/>
      <c r="H836" s="190"/>
      <c r="I836" s="190"/>
      <c r="J836" s="190"/>
      <c r="K836" s="190"/>
      <c r="L836" s="190"/>
      <c r="M836" s="190"/>
      <c r="N836" s="220"/>
      <c r="O836" s="220"/>
      <c r="P836" s="220"/>
      <c r="R836" s="210"/>
      <c r="S836" s="210"/>
      <c r="T836" s="210"/>
      <c r="U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row>
    <row r="837">
      <c r="A837" s="190"/>
      <c r="B837" s="190"/>
      <c r="C837" s="190"/>
      <c r="D837" s="190"/>
      <c r="E837" s="190"/>
      <c r="F837" s="190"/>
      <c r="G837" s="190"/>
      <c r="H837" s="190"/>
      <c r="I837" s="190"/>
      <c r="J837" s="190"/>
      <c r="K837" s="190"/>
      <c r="L837" s="190"/>
      <c r="M837" s="190"/>
      <c r="N837" s="220"/>
      <c r="O837" s="220"/>
      <c r="P837" s="220"/>
      <c r="R837" s="210"/>
      <c r="S837" s="210"/>
      <c r="T837" s="210"/>
      <c r="U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row>
    <row r="838">
      <c r="A838" s="190"/>
      <c r="B838" s="190"/>
      <c r="C838" s="190"/>
      <c r="D838" s="190"/>
      <c r="E838" s="190"/>
      <c r="F838" s="190"/>
      <c r="G838" s="190"/>
      <c r="H838" s="190"/>
      <c r="I838" s="190"/>
      <c r="J838" s="190"/>
      <c r="K838" s="190"/>
      <c r="L838" s="190"/>
      <c r="M838" s="190"/>
      <c r="N838" s="220"/>
      <c r="O838" s="220"/>
      <c r="P838" s="220"/>
      <c r="R838" s="210"/>
      <c r="S838" s="210"/>
      <c r="T838" s="210"/>
      <c r="U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row>
    <row r="839">
      <c r="A839" s="190"/>
      <c r="B839" s="190"/>
      <c r="C839" s="190"/>
      <c r="D839" s="190"/>
      <c r="E839" s="190"/>
      <c r="F839" s="190"/>
      <c r="G839" s="190"/>
      <c r="H839" s="190"/>
      <c r="I839" s="190"/>
      <c r="J839" s="190"/>
      <c r="K839" s="190"/>
      <c r="L839" s="190"/>
      <c r="M839" s="190"/>
      <c r="N839" s="220"/>
      <c r="O839" s="220"/>
      <c r="P839" s="220"/>
      <c r="R839" s="210"/>
      <c r="S839" s="210"/>
      <c r="T839" s="210"/>
      <c r="U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row>
    <row r="840">
      <c r="A840" s="190"/>
      <c r="B840" s="190"/>
      <c r="C840" s="190"/>
      <c r="D840" s="190"/>
      <c r="E840" s="190"/>
      <c r="F840" s="190"/>
      <c r="G840" s="190"/>
      <c r="H840" s="190"/>
      <c r="I840" s="190"/>
      <c r="J840" s="190"/>
      <c r="K840" s="190"/>
      <c r="L840" s="190"/>
      <c r="M840" s="190"/>
      <c r="N840" s="220"/>
      <c r="O840" s="220"/>
      <c r="P840" s="220"/>
      <c r="R840" s="210"/>
      <c r="S840" s="210"/>
      <c r="T840" s="210"/>
      <c r="U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row>
    <row r="841">
      <c r="A841" s="190"/>
      <c r="B841" s="190"/>
      <c r="C841" s="190"/>
      <c r="D841" s="190"/>
      <c r="E841" s="190"/>
      <c r="F841" s="190"/>
      <c r="G841" s="190"/>
      <c r="H841" s="190"/>
      <c r="I841" s="190"/>
      <c r="J841" s="190"/>
      <c r="K841" s="190"/>
      <c r="L841" s="190"/>
      <c r="M841" s="190"/>
      <c r="N841" s="220"/>
      <c r="O841" s="220"/>
      <c r="P841" s="220"/>
      <c r="R841" s="210"/>
      <c r="S841" s="210"/>
      <c r="T841" s="210"/>
      <c r="U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row>
    <row r="842">
      <c r="A842" s="190"/>
      <c r="B842" s="190"/>
      <c r="C842" s="190"/>
      <c r="D842" s="190"/>
      <c r="E842" s="190"/>
      <c r="F842" s="190"/>
      <c r="G842" s="190"/>
      <c r="H842" s="190"/>
      <c r="I842" s="190"/>
      <c r="J842" s="190"/>
      <c r="K842" s="190"/>
      <c r="L842" s="190"/>
      <c r="M842" s="190"/>
      <c r="N842" s="220"/>
      <c r="O842" s="220"/>
      <c r="P842" s="220"/>
      <c r="R842" s="210"/>
      <c r="S842" s="210"/>
      <c r="T842" s="210"/>
      <c r="U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row>
    <row r="843">
      <c r="A843" s="190"/>
      <c r="B843" s="190"/>
      <c r="C843" s="190"/>
      <c r="D843" s="190"/>
      <c r="E843" s="190"/>
      <c r="F843" s="190"/>
      <c r="G843" s="190"/>
      <c r="H843" s="190"/>
      <c r="I843" s="190"/>
      <c r="J843" s="190"/>
      <c r="K843" s="190"/>
      <c r="L843" s="190"/>
      <c r="M843" s="190"/>
      <c r="N843" s="220"/>
      <c r="O843" s="220"/>
      <c r="P843" s="220"/>
      <c r="R843" s="210"/>
      <c r="S843" s="210"/>
      <c r="T843" s="210"/>
      <c r="U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row>
    <row r="844">
      <c r="A844" s="190"/>
      <c r="B844" s="190"/>
      <c r="C844" s="190"/>
      <c r="D844" s="190"/>
      <c r="E844" s="190"/>
      <c r="F844" s="190"/>
      <c r="G844" s="190"/>
      <c r="H844" s="190"/>
      <c r="I844" s="190"/>
      <c r="J844" s="190"/>
      <c r="K844" s="190"/>
      <c r="L844" s="190"/>
      <c r="M844" s="190"/>
      <c r="N844" s="220"/>
      <c r="O844" s="220"/>
      <c r="P844" s="220"/>
      <c r="R844" s="210"/>
      <c r="S844" s="210"/>
      <c r="T844" s="210"/>
      <c r="U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row>
    <row r="845">
      <c r="A845" s="190"/>
      <c r="B845" s="190"/>
      <c r="C845" s="190"/>
      <c r="D845" s="190"/>
      <c r="E845" s="190"/>
      <c r="F845" s="190"/>
      <c r="G845" s="190"/>
      <c r="H845" s="190"/>
      <c r="I845" s="190"/>
      <c r="J845" s="190"/>
      <c r="K845" s="190"/>
      <c r="L845" s="190"/>
      <c r="M845" s="190"/>
      <c r="N845" s="220"/>
      <c r="O845" s="220"/>
      <c r="P845" s="220"/>
      <c r="R845" s="210"/>
      <c r="S845" s="210"/>
      <c r="T845" s="210"/>
      <c r="U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row>
    <row r="846">
      <c r="A846" s="190"/>
      <c r="B846" s="190"/>
      <c r="C846" s="190"/>
      <c r="D846" s="190"/>
      <c r="E846" s="190"/>
      <c r="F846" s="190"/>
      <c r="G846" s="190"/>
      <c r="H846" s="190"/>
      <c r="I846" s="190"/>
      <c r="J846" s="190"/>
      <c r="K846" s="190"/>
      <c r="L846" s="190"/>
      <c r="M846" s="190"/>
      <c r="N846" s="220"/>
      <c r="O846" s="220"/>
      <c r="P846" s="220"/>
      <c r="R846" s="210"/>
      <c r="S846" s="210"/>
      <c r="T846" s="210"/>
      <c r="U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row>
    <row r="847">
      <c r="A847" s="190"/>
      <c r="B847" s="190"/>
      <c r="C847" s="190"/>
      <c r="D847" s="190"/>
      <c r="E847" s="190"/>
      <c r="F847" s="190"/>
      <c r="G847" s="190"/>
      <c r="H847" s="190"/>
      <c r="I847" s="190"/>
      <c r="J847" s="190"/>
      <c r="K847" s="190"/>
      <c r="L847" s="190"/>
      <c r="M847" s="190"/>
      <c r="N847" s="220"/>
      <c r="O847" s="220"/>
      <c r="P847" s="220"/>
      <c r="R847" s="210"/>
      <c r="S847" s="210"/>
      <c r="T847" s="210"/>
      <c r="U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row>
    <row r="848">
      <c r="A848" s="190"/>
      <c r="B848" s="190"/>
      <c r="C848" s="190"/>
      <c r="D848" s="190"/>
      <c r="E848" s="190"/>
      <c r="F848" s="190"/>
      <c r="G848" s="190"/>
      <c r="H848" s="190"/>
      <c r="I848" s="190"/>
      <c r="J848" s="190"/>
      <c r="K848" s="190"/>
      <c r="L848" s="190"/>
      <c r="M848" s="190"/>
      <c r="N848" s="220"/>
      <c r="O848" s="220"/>
      <c r="P848" s="220"/>
      <c r="R848" s="210"/>
      <c r="S848" s="210"/>
      <c r="T848" s="210"/>
      <c r="U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row>
    <row r="849">
      <c r="A849" s="190"/>
      <c r="B849" s="190"/>
      <c r="C849" s="190"/>
      <c r="D849" s="190"/>
      <c r="E849" s="190"/>
      <c r="F849" s="190"/>
      <c r="G849" s="190"/>
      <c r="H849" s="190"/>
      <c r="I849" s="190"/>
      <c r="J849" s="190"/>
      <c r="K849" s="190"/>
      <c r="L849" s="190"/>
      <c r="M849" s="190"/>
      <c r="N849" s="220"/>
      <c r="O849" s="220"/>
      <c r="P849" s="220"/>
      <c r="R849" s="210"/>
      <c r="S849" s="210"/>
      <c r="T849" s="210"/>
      <c r="U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row>
    <row r="850">
      <c r="A850" s="190"/>
      <c r="B850" s="190"/>
      <c r="C850" s="190"/>
      <c r="D850" s="190"/>
      <c r="E850" s="190"/>
      <c r="F850" s="190"/>
      <c r="G850" s="190"/>
      <c r="H850" s="190"/>
      <c r="I850" s="190"/>
      <c r="J850" s="190"/>
      <c r="K850" s="190"/>
      <c r="L850" s="190"/>
      <c r="M850" s="190"/>
      <c r="N850" s="220"/>
      <c r="O850" s="220"/>
      <c r="P850" s="220"/>
      <c r="R850" s="210"/>
      <c r="S850" s="210"/>
      <c r="T850" s="210"/>
      <c r="U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row>
    <row r="851">
      <c r="A851" s="190"/>
      <c r="B851" s="190"/>
      <c r="C851" s="190"/>
      <c r="D851" s="190"/>
      <c r="E851" s="190"/>
      <c r="F851" s="190"/>
      <c r="G851" s="190"/>
      <c r="H851" s="190"/>
      <c r="I851" s="190"/>
      <c r="J851" s="190"/>
      <c r="K851" s="190"/>
      <c r="L851" s="190"/>
      <c r="M851" s="190"/>
      <c r="N851" s="220"/>
      <c r="O851" s="220"/>
      <c r="P851" s="220"/>
      <c r="R851" s="210"/>
      <c r="S851" s="210"/>
      <c r="T851" s="210"/>
      <c r="U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row>
    <row r="852">
      <c r="A852" s="190"/>
      <c r="B852" s="190"/>
      <c r="C852" s="190"/>
      <c r="D852" s="190"/>
      <c r="E852" s="190"/>
      <c r="F852" s="190"/>
      <c r="G852" s="190"/>
      <c r="H852" s="190"/>
      <c r="I852" s="190"/>
      <c r="J852" s="190"/>
      <c r="K852" s="190"/>
      <c r="L852" s="190"/>
      <c r="M852" s="190"/>
      <c r="N852" s="220"/>
      <c r="O852" s="220"/>
      <c r="P852" s="220"/>
      <c r="R852" s="210"/>
      <c r="S852" s="210"/>
      <c r="T852" s="210"/>
      <c r="U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row>
    <row r="853">
      <c r="A853" s="190"/>
      <c r="B853" s="190"/>
      <c r="C853" s="190"/>
      <c r="D853" s="190"/>
      <c r="E853" s="190"/>
      <c r="F853" s="190"/>
      <c r="G853" s="190"/>
      <c r="H853" s="190"/>
      <c r="I853" s="190"/>
      <c r="J853" s="190"/>
      <c r="K853" s="190"/>
      <c r="L853" s="190"/>
      <c r="M853" s="190"/>
      <c r="N853" s="220"/>
      <c r="O853" s="220"/>
      <c r="P853" s="220"/>
      <c r="R853" s="210"/>
      <c r="S853" s="210"/>
      <c r="T853" s="210"/>
      <c r="U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row>
    <row r="854">
      <c r="A854" s="190"/>
      <c r="B854" s="190"/>
      <c r="C854" s="190"/>
      <c r="D854" s="190"/>
      <c r="E854" s="190"/>
      <c r="F854" s="190"/>
      <c r="G854" s="190"/>
      <c r="H854" s="190"/>
      <c r="I854" s="190"/>
      <c r="J854" s="190"/>
      <c r="K854" s="190"/>
      <c r="L854" s="190"/>
      <c r="M854" s="190"/>
      <c r="N854" s="220"/>
      <c r="O854" s="220"/>
      <c r="P854" s="220"/>
      <c r="R854" s="210"/>
      <c r="S854" s="210"/>
      <c r="T854" s="210"/>
      <c r="U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row>
    <row r="855">
      <c r="A855" s="190"/>
      <c r="B855" s="190"/>
      <c r="C855" s="190"/>
      <c r="D855" s="190"/>
      <c r="E855" s="190"/>
      <c r="F855" s="190"/>
      <c r="G855" s="190"/>
      <c r="H855" s="190"/>
      <c r="I855" s="190"/>
      <c r="J855" s="190"/>
      <c r="K855" s="190"/>
      <c r="L855" s="190"/>
      <c r="M855" s="190"/>
      <c r="N855" s="220"/>
      <c r="O855" s="220"/>
      <c r="P855" s="220"/>
      <c r="R855" s="210"/>
      <c r="S855" s="210"/>
      <c r="T855" s="210"/>
      <c r="U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row>
    <row r="856">
      <c r="A856" s="190"/>
      <c r="B856" s="190"/>
      <c r="C856" s="190"/>
      <c r="D856" s="190"/>
      <c r="E856" s="190"/>
      <c r="F856" s="190"/>
      <c r="G856" s="190"/>
      <c r="H856" s="190"/>
      <c r="I856" s="190"/>
      <c r="J856" s="190"/>
      <c r="K856" s="190"/>
      <c r="L856" s="190"/>
      <c r="M856" s="190"/>
      <c r="N856" s="220"/>
      <c r="O856" s="220"/>
      <c r="P856" s="220"/>
      <c r="R856" s="210"/>
      <c r="S856" s="210"/>
      <c r="T856" s="210"/>
      <c r="U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row>
    <row r="857">
      <c r="A857" s="190"/>
      <c r="B857" s="190"/>
      <c r="C857" s="190"/>
      <c r="D857" s="190"/>
      <c r="E857" s="190"/>
      <c r="F857" s="190"/>
      <c r="G857" s="190"/>
      <c r="H857" s="190"/>
      <c r="I857" s="190"/>
      <c r="J857" s="190"/>
      <c r="K857" s="190"/>
      <c r="L857" s="190"/>
      <c r="M857" s="190"/>
      <c r="N857" s="220"/>
      <c r="O857" s="220"/>
      <c r="P857" s="220"/>
      <c r="R857" s="210"/>
      <c r="S857" s="210"/>
      <c r="T857" s="210"/>
      <c r="U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row>
    <row r="858">
      <c r="A858" s="190"/>
      <c r="B858" s="190"/>
      <c r="C858" s="190"/>
      <c r="D858" s="190"/>
      <c r="E858" s="190"/>
      <c r="F858" s="190"/>
      <c r="G858" s="190"/>
      <c r="H858" s="190"/>
      <c r="I858" s="190"/>
      <c r="J858" s="190"/>
      <c r="K858" s="190"/>
      <c r="L858" s="190"/>
      <c r="M858" s="190"/>
      <c r="N858" s="220"/>
      <c r="O858" s="220"/>
      <c r="P858" s="220"/>
      <c r="R858" s="210"/>
      <c r="S858" s="210"/>
      <c r="T858" s="210"/>
      <c r="U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row>
    <row r="859">
      <c r="A859" s="190"/>
      <c r="B859" s="190"/>
      <c r="C859" s="190"/>
      <c r="D859" s="190"/>
      <c r="E859" s="190"/>
      <c r="F859" s="190"/>
      <c r="G859" s="190"/>
      <c r="H859" s="190"/>
      <c r="I859" s="190"/>
      <c r="J859" s="190"/>
      <c r="K859" s="190"/>
      <c r="L859" s="190"/>
      <c r="M859" s="190"/>
      <c r="N859" s="220"/>
      <c r="O859" s="220"/>
      <c r="P859" s="220"/>
      <c r="R859" s="210"/>
      <c r="S859" s="210"/>
      <c r="T859" s="210"/>
      <c r="U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row>
    <row r="860">
      <c r="A860" s="190"/>
      <c r="B860" s="190"/>
      <c r="C860" s="190"/>
      <c r="D860" s="190"/>
      <c r="E860" s="190"/>
      <c r="F860" s="190"/>
      <c r="G860" s="190"/>
      <c r="H860" s="190"/>
      <c r="I860" s="190"/>
      <c r="J860" s="190"/>
      <c r="K860" s="190"/>
      <c r="L860" s="190"/>
      <c r="M860" s="190"/>
      <c r="N860" s="220"/>
      <c r="O860" s="220"/>
      <c r="P860" s="220"/>
      <c r="R860" s="210"/>
      <c r="S860" s="210"/>
      <c r="T860" s="210"/>
      <c r="U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row>
    <row r="861">
      <c r="A861" s="190"/>
      <c r="B861" s="190"/>
      <c r="C861" s="190"/>
      <c r="D861" s="190"/>
      <c r="E861" s="190"/>
      <c r="F861" s="190"/>
      <c r="G861" s="190"/>
      <c r="H861" s="190"/>
      <c r="I861" s="190"/>
      <c r="J861" s="190"/>
      <c r="K861" s="190"/>
      <c r="L861" s="190"/>
      <c r="M861" s="190"/>
      <c r="N861" s="220"/>
      <c r="O861" s="220"/>
      <c r="P861" s="220"/>
      <c r="R861" s="210"/>
      <c r="S861" s="210"/>
      <c r="T861" s="210"/>
      <c r="U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row>
    <row r="862">
      <c r="A862" s="190"/>
      <c r="B862" s="190"/>
      <c r="C862" s="190"/>
      <c r="D862" s="190"/>
      <c r="E862" s="190"/>
      <c r="F862" s="190"/>
      <c r="G862" s="190"/>
      <c r="H862" s="190"/>
      <c r="I862" s="190"/>
      <c r="J862" s="190"/>
      <c r="K862" s="190"/>
      <c r="L862" s="190"/>
      <c r="M862" s="190"/>
      <c r="N862" s="220"/>
      <c r="O862" s="220"/>
      <c r="P862" s="220"/>
      <c r="R862" s="210"/>
      <c r="S862" s="210"/>
      <c r="T862" s="210"/>
      <c r="U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row>
    <row r="863">
      <c r="A863" s="190"/>
      <c r="B863" s="190"/>
      <c r="C863" s="190"/>
      <c r="D863" s="190"/>
      <c r="E863" s="190"/>
      <c r="F863" s="190"/>
      <c r="G863" s="190"/>
      <c r="H863" s="190"/>
      <c r="I863" s="190"/>
      <c r="J863" s="190"/>
      <c r="K863" s="190"/>
      <c r="L863" s="190"/>
      <c r="M863" s="190"/>
      <c r="N863" s="220"/>
      <c r="O863" s="220"/>
      <c r="P863" s="220"/>
      <c r="R863" s="210"/>
      <c r="S863" s="210"/>
      <c r="T863" s="210"/>
      <c r="U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row>
    <row r="864">
      <c r="A864" s="190"/>
      <c r="B864" s="190"/>
      <c r="C864" s="190"/>
      <c r="D864" s="190"/>
      <c r="E864" s="190"/>
      <c r="F864" s="190"/>
      <c r="G864" s="190"/>
      <c r="H864" s="190"/>
      <c r="I864" s="190"/>
      <c r="J864" s="190"/>
      <c r="K864" s="190"/>
      <c r="L864" s="190"/>
      <c r="M864" s="190"/>
      <c r="N864" s="220"/>
      <c r="O864" s="220"/>
      <c r="P864" s="220"/>
      <c r="R864" s="210"/>
      <c r="S864" s="210"/>
      <c r="T864" s="210"/>
      <c r="U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row>
    <row r="865">
      <c r="A865" s="190"/>
      <c r="B865" s="190"/>
      <c r="C865" s="190"/>
      <c r="D865" s="190"/>
      <c r="E865" s="190"/>
      <c r="F865" s="190"/>
      <c r="G865" s="190"/>
      <c r="H865" s="190"/>
      <c r="I865" s="190"/>
      <c r="J865" s="190"/>
      <c r="K865" s="190"/>
      <c r="L865" s="190"/>
      <c r="M865" s="190"/>
      <c r="N865" s="220"/>
      <c r="O865" s="220"/>
      <c r="P865" s="220"/>
      <c r="R865" s="210"/>
      <c r="S865" s="210"/>
      <c r="T865" s="210"/>
      <c r="U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row>
    <row r="866">
      <c r="A866" s="190"/>
      <c r="B866" s="190"/>
      <c r="C866" s="190"/>
      <c r="D866" s="190"/>
      <c r="E866" s="190"/>
      <c r="F866" s="190"/>
      <c r="G866" s="190"/>
      <c r="H866" s="190"/>
      <c r="I866" s="190"/>
      <c r="J866" s="190"/>
      <c r="K866" s="190"/>
      <c r="L866" s="190"/>
      <c r="M866" s="190"/>
      <c r="N866" s="220"/>
      <c r="O866" s="220"/>
      <c r="P866" s="220"/>
      <c r="R866" s="210"/>
      <c r="S866" s="210"/>
      <c r="T866" s="210"/>
      <c r="U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row>
    <row r="867">
      <c r="A867" s="190"/>
      <c r="B867" s="190"/>
      <c r="C867" s="190"/>
      <c r="D867" s="190"/>
      <c r="E867" s="190"/>
      <c r="F867" s="190"/>
      <c r="G867" s="190"/>
      <c r="H867" s="190"/>
      <c r="I867" s="190"/>
      <c r="J867" s="190"/>
      <c r="K867" s="190"/>
      <c r="L867" s="190"/>
      <c r="M867" s="190"/>
      <c r="N867" s="220"/>
      <c r="O867" s="220"/>
      <c r="P867" s="220"/>
      <c r="R867" s="210"/>
      <c r="S867" s="210"/>
      <c r="T867" s="210"/>
      <c r="U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row>
    <row r="868">
      <c r="A868" s="190"/>
      <c r="B868" s="190"/>
      <c r="C868" s="190"/>
      <c r="D868" s="190"/>
      <c r="E868" s="190"/>
      <c r="F868" s="190"/>
      <c r="G868" s="190"/>
      <c r="H868" s="190"/>
      <c r="I868" s="190"/>
      <c r="J868" s="190"/>
      <c r="K868" s="190"/>
      <c r="L868" s="190"/>
      <c r="M868" s="190"/>
      <c r="N868" s="220"/>
      <c r="O868" s="220"/>
      <c r="P868" s="220"/>
      <c r="R868" s="210"/>
      <c r="S868" s="210"/>
      <c r="T868" s="210"/>
      <c r="U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row>
    <row r="869">
      <c r="A869" s="190"/>
      <c r="B869" s="190"/>
      <c r="C869" s="190"/>
      <c r="D869" s="190"/>
      <c r="E869" s="190"/>
      <c r="F869" s="190"/>
      <c r="G869" s="190"/>
      <c r="H869" s="190"/>
      <c r="I869" s="190"/>
      <c r="J869" s="190"/>
      <c r="K869" s="190"/>
      <c r="L869" s="190"/>
      <c r="M869" s="190"/>
      <c r="N869" s="220"/>
      <c r="O869" s="220"/>
      <c r="P869" s="220"/>
      <c r="R869" s="210"/>
      <c r="S869" s="210"/>
      <c r="T869" s="210"/>
      <c r="U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row>
    <row r="870">
      <c r="A870" s="190"/>
      <c r="B870" s="190"/>
      <c r="C870" s="190"/>
      <c r="D870" s="190"/>
      <c r="E870" s="190"/>
      <c r="F870" s="190"/>
      <c r="G870" s="190"/>
      <c r="H870" s="190"/>
      <c r="I870" s="190"/>
      <c r="J870" s="190"/>
      <c r="K870" s="190"/>
      <c r="L870" s="190"/>
      <c r="M870" s="190"/>
      <c r="N870" s="220"/>
      <c r="O870" s="220"/>
      <c r="P870" s="220"/>
      <c r="R870" s="210"/>
      <c r="S870" s="210"/>
      <c r="T870" s="210"/>
      <c r="U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row>
    <row r="871">
      <c r="A871" s="190"/>
      <c r="B871" s="190"/>
      <c r="C871" s="190"/>
      <c r="D871" s="190"/>
      <c r="E871" s="190"/>
      <c r="F871" s="190"/>
      <c r="G871" s="190"/>
      <c r="H871" s="190"/>
      <c r="I871" s="190"/>
      <c r="J871" s="190"/>
      <c r="K871" s="190"/>
      <c r="L871" s="190"/>
      <c r="M871" s="190"/>
      <c r="N871" s="220"/>
      <c r="O871" s="220"/>
      <c r="P871" s="220"/>
      <c r="R871" s="210"/>
      <c r="S871" s="210"/>
      <c r="T871" s="210"/>
      <c r="U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row>
    <row r="872">
      <c r="A872" s="190"/>
      <c r="B872" s="190"/>
      <c r="C872" s="190"/>
      <c r="D872" s="190"/>
      <c r="E872" s="190"/>
      <c r="F872" s="190"/>
      <c r="G872" s="190"/>
      <c r="H872" s="190"/>
      <c r="I872" s="190"/>
      <c r="J872" s="190"/>
      <c r="K872" s="190"/>
      <c r="L872" s="190"/>
      <c r="M872" s="190"/>
      <c r="N872" s="220"/>
      <c r="O872" s="220"/>
      <c r="P872" s="220"/>
      <c r="R872" s="210"/>
      <c r="S872" s="210"/>
      <c r="T872" s="210"/>
      <c r="U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row>
    <row r="873">
      <c r="A873" s="190"/>
      <c r="B873" s="190"/>
      <c r="C873" s="190"/>
      <c r="D873" s="190"/>
      <c r="E873" s="190"/>
      <c r="F873" s="190"/>
      <c r="G873" s="190"/>
      <c r="H873" s="190"/>
      <c r="I873" s="190"/>
      <c r="J873" s="190"/>
      <c r="K873" s="190"/>
      <c r="L873" s="190"/>
      <c r="M873" s="190"/>
      <c r="N873" s="220"/>
      <c r="O873" s="220"/>
      <c r="P873" s="220"/>
      <c r="R873" s="210"/>
      <c r="S873" s="210"/>
      <c r="T873" s="210"/>
      <c r="U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row>
    <row r="874">
      <c r="A874" s="190"/>
      <c r="B874" s="190"/>
      <c r="C874" s="190"/>
      <c r="D874" s="190"/>
      <c r="E874" s="190"/>
      <c r="F874" s="190"/>
      <c r="G874" s="190"/>
      <c r="H874" s="190"/>
      <c r="I874" s="190"/>
      <c r="J874" s="190"/>
      <c r="K874" s="190"/>
      <c r="L874" s="190"/>
      <c r="M874" s="190"/>
      <c r="N874" s="220"/>
      <c r="O874" s="220"/>
      <c r="P874" s="220"/>
      <c r="R874" s="210"/>
      <c r="S874" s="210"/>
      <c r="T874" s="210"/>
      <c r="U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row>
    <row r="875">
      <c r="A875" s="190"/>
      <c r="B875" s="190"/>
      <c r="C875" s="190"/>
      <c r="D875" s="190"/>
      <c r="E875" s="190"/>
      <c r="F875" s="190"/>
      <c r="G875" s="190"/>
      <c r="H875" s="190"/>
      <c r="I875" s="190"/>
      <c r="J875" s="190"/>
      <c r="K875" s="190"/>
      <c r="L875" s="190"/>
      <c r="M875" s="190"/>
      <c r="N875" s="220"/>
      <c r="O875" s="220"/>
      <c r="P875" s="220"/>
      <c r="R875" s="210"/>
      <c r="S875" s="210"/>
      <c r="T875" s="210"/>
      <c r="U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row>
    <row r="876">
      <c r="A876" s="190"/>
      <c r="B876" s="190"/>
      <c r="C876" s="190"/>
      <c r="D876" s="190"/>
      <c r="E876" s="190"/>
      <c r="F876" s="190"/>
      <c r="G876" s="190"/>
      <c r="H876" s="190"/>
      <c r="I876" s="190"/>
      <c r="J876" s="190"/>
      <c r="K876" s="190"/>
      <c r="L876" s="190"/>
      <c r="M876" s="190"/>
      <c r="N876" s="220"/>
      <c r="O876" s="220"/>
      <c r="P876" s="220"/>
      <c r="R876" s="210"/>
      <c r="S876" s="210"/>
      <c r="T876" s="210"/>
      <c r="U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row>
    <row r="877">
      <c r="A877" s="190"/>
      <c r="B877" s="190"/>
      <c r="C877" s="190"/>
      <c r="D877" s="190"/>
      <c r="E877" s="190"/>
      <c r="F877" s="190"/>
      <c r="G877" s="190"/>
      <c r="H877" s="190"/>
      <c r="I877" s="190"/>
      <c r="J877" s="190"/>
      <c r="K877" s="190"/>
      <c r="L877" s="190"/>
      <c r="M877" s="190"/>
      <c r="N877" s="220"/>
      <c r="O877" s="220"/>
      <c r="P877" s="220"/>
      <c r="R877" s="210"/>
      <c r="S877" s="210"/>
      <c r="T877" s="210"/>
      <c r="U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row>
    <row r="878">
      <c r="A878" s="190"/>
      <c r="B878" s="190"/>
      <c r="C878" s="190"/>
      <c r="D878" s="190"/>
      <c r="E878" s="190"/>
      <c r="F878" s="190"/>
      <c r="G878" s="190"/>
      <c r="H878" s="190"/>
      <c r="I878" s="190"/>
      <c r="J878" s="190"/>
      <c r="K878" s="190"/>
      <c r="L878" s="190"/>
      <c r="M878" s="190"/>
      <c r="N878" s="220"/>
      <c r="O878" s="220"/>
      <c r="P878" s="220"/>
      <c r="R878" s="210"/>
      <c r="S878" s="210"/>
      <c r="T878" s="210"/>
      <c r="U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row>
    <row r="879">
      <c r="A879" s="190"/>
      <c r="B879" s="190"/>
      <c r="C879" s="190"/>
      <c r="D879" s="190"/>
      <c r="E879" s="190"/>
      <c r="F879" s="190"/>
      <c r="G879" s="190"/>
      <c r="H879" s="190"/>
      <c r="I879" s="190"/>
      <c r="J879" s="190"/>
      <c r="K879" s="190"/>
      <c r="L879" s="190"/>
      <c r="M879" s="190"/>
      <c r="N879" s="220"/>
      <c r="O879" s="220"/>
      <c r="P879" s="220"/>
      <c r="R879" s="210"/>
      <c r="S879" s="210"/>
      <c r="T879" s="210"/>
      <c r="U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row>
    <row r="880">
      <c r="A880" s="190"/>
      <c r="B880" s="190"/>
      <c r="C880" s="190"/>
      <c r="D880" s="190"/>
      <c r="E880" s="190"/>
      <c r="F880" s="190"/>
      <c r="G880" s="190"/>
      <c r="H880" s="190"/>
      <c r="I880" s="190"/>
      <c r="J880" s="190"/>
      <c r="K880" s="190"/>
      <c r="L880" s="190"/>
      <c r="M880" s="190"/>
      <c r="N880" s="220"/>
      <c r="O880" s="220"/>
      <c r="P880" s="220"/>
      <c r="R880" s="210"/>
      <c r="S880" s="210"/>
      <c r="T880" s="210"/>
      <c r="U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row>
    <row r="881">
      <c r="A881" s="190"/>
      <c r="B881" s="190"/>
      <c r="C881" s="190"/>
      <c r="D881" s="190"/>
      <c r="E881" s="190"/>
      <c r="F881" s="190"/>
      <c r="G881" s="190"/>
      <c r="H881" s="190"/>
      <c r="I881" s="190"/>
      <c r="J881" s="190"/>
      <c r="K881" s="190"/>
      <c r="L881" s="190"/>
      <c r="M881" s="190"/>
      <c r="N881" s="220"/>
      <c r="O881" s="220"/>
      <c r="P881" s="220"/>
      <c r="R881" s="210"/>
      <c r="S881" s="210"/>
      <c r="T881" s="210"/>
      <c r="U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row>
    <row r="882">
      <c r="A882" s="190"/>
      <c r="B882" s="190"/>
      <c r="C882" s="190"/>
      <c r="D882" s="190"/>
      <c r="E882" s="190"/>
      <c r="F882" s="190"/>
      <c r="G882" s="190"/>
      <c r="H882" s="190"/>
      <c r="I882" s="190"/>
      <c r="J882" s="190"/>
      <c r="K882" s="190"/>
      <c r="L882" s="190"/>
      <c r="M882" s="190"/>
      <c r="N882" s="220"/>
      <c r="O882" s="220"/>
      <c r="P882" s="220"/>
      <c r="R882" s="210"/>
      <c r="S882" s="210"/>
      <c r="T882" s="210"/>
      <c r="U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row>
    <row r="883">
      <c r="A883" s="190"/>
      <c r="B883" s="190"/>
      <c r="C883" s="190"/>
      <c r="D883" s="190"/>
      <c r="E883" s="190"/>
      <c r="F883" s="190"/>
      <c r="G883" s="190"/>
      <c r="H883" s="190"/>
      <c r="I883" s="190"/>
      <c r="J883" s="190"/>
      <c r="K883" s="190"/>
      <c r="L883" s="190"/>
      <c r="M883" s="190"/>
      <c r="N883" s="220"/>
      <c r="O883" s="220"/>
      <c r="P883" s="220"/>
      <c r="R883" s="210"/>
      <c r="S883" s="210"/>
      <c r="T883" s="210"/>
      <c r="U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row>
    <row r="884">
      <c r="A884" s="190"/>
      <c r="B884" s="190"/>
      <c r="C884" s="190"/>
      <c r="D884" s="190"/>
      <c r="E884" s="190"/>
      <c r="F884" s="190"/>
      <c r="G884" s="190"/>
      <c r="H884" s="190"/>
      <c r="I884" s="190"/>
      <c r="J884" s="190"/>
      <c r="K884" s="190"/>
      <c r="L884" s="190"/>
      <c r="M884" s="190"/>
      <c r="N884" s="220"/>
      <c r="O884" s="220"/>
      <c r="P884" s="220"/>
      <c r="R884" s="210"/>
      <c r="S884" s="210"/>
      <c r="T884" s="210"/>
      <c r="U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row>
    <row r="885">
      <c r="A885" s="190"/>
      <c r="B885" s="190"/>
      <c r="C885" s="190"/>
      <c r="D885" s="190"/>
      <c r="E885" s="190"/>
      <c r="F885" s="190"/>
      <c r="G885" s="190"/>
      <c r="H885" s="190"/>
      <c r="I885" s="190"/>
      <c r="J885" s="190"/>
      <c r="K885" s="190"/>
      <c r="L885" s="190"/>
      <c r="M885" s="190"/>
      <c r="N885" s="220"/>
      <c r="O885" s="220"/>
      <c r="P885" s="220"/>
      <c r="R885" s="210"/>
      <c r="S885" s="210"/>
      <c r="T885" s="210"/>
      <c r="U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row>
    <row r="886">
      <c r="A886" s="190"/>
      <c r="B886" s="190"/>
      <c r="C886" s="190"/>
      <c r="D886" s="190"/>
      <c r="E886" s="190"/>
      <c r="F886" s="190"/>
      <c r="G886" s="190"/>
      <c r="H886" s="190"/>
      <c r="I886" s="190"/>
      <c r="J886" s="190"/>
      <c r="K886" s="190"/>
      <c r="L886" s="190"/>
      <c r="M886" s="190"/>
      <c r="N886" s="220"/>
      <c r="O886" s="220"/>
      <c r="P886" s="220"/>
      <c r="R886" s="210"/>
      <c r="S886" s="210"/>
      <c r="T886" s="210"/>
      <c r="U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row>
    <row r="887">
      <c r="A887" s="190"/>
      <c r="B887" s="190"/>
      <c r="C887" s="190"/>
      <c r="D887" s="190"/>
      <c r="E887" s="190"/>
      <c r="F887" s="190"/>
      <c r="G887" s="190"/>
      <c r="H887" s="190"/>
      <c r="I887" s="190"/>
      <c r="J887" s="190"/>
      <c r="K887" s="190"/>
      <c r="L887" s="190"/>
      <c r="M887" s="190"/>
      <c r="N887" s="220"/>
      <c r="O887" s="220"/>
      <c r="P887" s="220"/>
      <c r="R887" s="210"/>
      <c r="S887" s="210"/>
      <c r="T887" s="210"/>
      <c r="U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row>
    <row r="888">
      <c r="A888" s="190"/>
      <c r="B888" s="190"/>
      <c r="C888" s="190"/>
      <c r="D888" s="190"/>
      <c r="E888" s="190"/>
      <c r="F888" s="190"/>
      <c r="G888" s="190"/>
      <c r="H888" s="190"/>
      <c r="I888" s="190"/>
      <c r="J888" s="190"/>
      <c r="K888" s="190"/>
      <c r="L888" s="190"/>
      <c r="M888" s="190"/>
      <c r="N888" s="220"/>
      <c r="O888" s="220"/>
      <c r="P888" s="220"/>
      <c r="R888" s="210"/>
      <c r="S888" s="210"/>
      <c r="T888" s="210"/>
      <c r="U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row>
    <row r="889">
      <c r="A889" s="190"/>
      <c r="B889" s="190"/>
      <c r="C889" s="190"/>
      <c r="D889" s="190"/>
      <c r="E889" s="190"/>
      <c r="F889" s="190"/>
      <c r="G889" s="190"/>
      <c r="H889" s="190"/>
      <c r="I889" s="190"/>
      <c r="J889" s="190"/>
      <c r="K889" s="190"/>
      <c r="L889" s="190"/>
      <c r="M889" s="190"/>
      <c r="N889" s="220"/>
      <c r="O889" s="220"/>
      <c r="P889" s="220"/>
      <c r="R889" s="210"/>
      <c r="S889" s="210"/>
      <c r="T889" s="210"/>
      <c r="U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row>
    <row r="890">
      <c r="A890" s="190"/>
      <c r="B890" s="190"/>
      <c r="C890" s="190"/>
      <c r="D890" s="190"/>
      <c r="E890" s="190"/>
      <c r="F890" s="190"/>
      <c r="G890" s="190"/>
      <c r="H890" s="190"/>
      <c r="I890" s="190"/>
      <c r="J890" s="190"/>
      <c r="K890" s="190"/>
      <c r="L890" s="190"/>
      <c r="M890" s="190"/>
      <c r="N890" s="220"/>
      <c r="O890" s="220"/>
      <c r="P890" s="220"/>
      <c r="R890" s="210"/>
      <c r="S890" s="210"/>
      <c r="T890" s="210"/>
      <c r="U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row>
    <row r="891">
      <c r="A891" s="190"/>
      <c r="B891" s="190"/>
      <c r="C891" s="190"/>
      <c r="D891" s="190"/>
      <c r="E891" s="190"/>
      <c r="F891" s="190"/>
      <c r="G891" s="190"/>
      <c r="H891" s="190"/>
      <c r="I891" s="190"/>
      <c r="J891" s="190"/>
      <c r="K891" s="190"/>
      <c r="L891" s="190"/>
      <c r="M891" s="190"/>
      <c r="N891" s="220"/>
      <c r="O891" s="220"/>
      <c r="P891" s="220"/>
      <c r="R891" s="210"/>
      <c r="S891" s="210"/>
      <c r="T891" s="210"/>
      <c r="U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row>
    <row r="892">
      <c r="A892" s="190"/>
      <c r="B892" s="190"/>
      <c r="C892" s="190"/>
      <c r="D892" s="190"/>
      <c r="E892" s="190"/>
      <c r="F892" s="190"/>
      <c r="G892" s="190"/>
      <c r="H892" s="190"/>
      <c r="I892" s="190"/>
      <c r="J892" s="190"/>
      <c r="K892" s="190"/>
      <c r="L892" s="190"/>
      <c r="M892" s="190"/>
      <c r="N892" s="220"/>
      <c r="O892" s="220"/>
      <c r="P892" s="220"/>
      <c r="R892" s="210"/>
      <c r="S892" s="210"/>
      <c r="T892" s="210"/>
      <c r="U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row>
    <row r="893">
      <c r="A893" s="190"/>
      <c r="B893" s="190"/>
      <c r="C893" s="190"/>
      <c r="D893" s="190"/>
      <c r="E893" s="190"/>
      <c r="F893" s="190"/>
      <c r="G893" s="190"/>
      <c r="H893" s="190"/>
      <c r="I893" s="190"/>
      <c r="J893" s="190"/>
      <c r="K893" s="190"/>
      <c r="L893" s="190"/>
      <c r="M893" s="190"/>
      <c r="N893" s="220"/>
      <c r="O893" s="220"/>
      <c r="P893" s="220"/>
      <c r="R893" s="210"/>
      <c r="S893" s="210"/>
      <c r="T893" s="210"/>
      <c r="U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row>
    <row r="894">
      <c r="A894" s="190"/>
      <c r="B894" s="190"/>
      <c r="C894" s="190"/>
      <c r="D894" s="190"/>
      <c r="E894" s="190"/>
      <c r="F894" s="190"/>
      <c r="G894" s="190"/>
      <c r="H894" s="190"/>
      <c r="I894" s="190"/>
      <c r="J894" s="190"/>
      <c r="K894" s="190"/>
      <c r="L894" s="190"/>
      <c r="M894" s="190"/>
      <c r="N894" s="220"/>
      <c r="O894" s="220"/>
      <c r="P894" s="220"/>
      <c r="R894" s="210"/>
      <c r="S894" s="210"/>
      <c r="T894" s="210"/>
      <c r="U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row>
    <row r="895">
      <c r="A895" s="190"/>
      <c r="B895" s="190"/>
      <c r="C895" s="190"/>
      <c r="D895" s="190"/>
      <c r="E895" s="190"/>
      <c r="F895" s="190"/>
      <c r="G895" s="190"/>
      <c r="H895" s="190"/>
      <c r="I895" s="190"/>
      <c r="J895" s="190"/>
      <c r="K895" s="190"/>
      <c r="L895" s="190"/>
      <c r="M895" s="190"/>
      <c r="N895" s="220"/>
      <c r="O895" s="220"/>
      <c r="P895" s="220"/>
      <c r="R895" s="210"/>
      <c r="S895" s="210"/>
      <c r="T895" s="210"/>
      <c r="U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row>
    <row r="896">
      <c r="A896" s="190"/>
      <c r="B896" s="190"/>
      <c r="C896" s="190"/>
      <c r="D896" s="190"/>
      <c r="E896" s="190"/>
      <c r="F896" s="190"/>
      <c r="G896" s="190"/>
      <c r="H896" s="190"/>
      <c r="I896" s="190"/>
      <c r="J896" s="190"/>
      <c r="K896" s="190"/>
      <c r="L896" s="190"/>
      <c r="M896" s="190"/>
      <c r="N896" s="220"/>
      <c r="O896" s="220"/>
      <c r="P896" s="220"/>
      <c r="R896" s="210"/>
      <c r="S896" s="210"/>
      <c r="T896" s="210"/>
      <c r="U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row>
    <row r="897">
      <c r="A897" s="190"/>
      <c r="B897" s="190"/>
      <c r="C897" s="190"/>
      <c r="D897" s="190"/>
      <c r="E897" s="190"/>
      <c r="F897" s="190"/>
      <c r="G897" s="190"/>
      <c r="H897" s="190"/>
      <c r="I897" s="190"/>
      <c r="J897" s="190"/>
      <c r="K897" s="190"/>
      <c r="L897" s="190"/>
      <c r="M897" s="190"/>
      <c r="N897" s="220"/>
      <c r="O897" s="220"/>
      <c r="P897" s="220"/>
      <c r="R897" s="210"/>
      <c r="S897" s="210"/>
      <c r="T897" s="210"/>
      <c r="U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row>
    <row r="898">
      <c r="A898" s="190"/>
      <c r="B898" s="190"/>
      <c r="C898" s="190"/>
      <c r="D898" s="190"/>
      <c r="E898" s="190"/>
      <c r="F898" s="190"/>
      <c r="G898" s="190"/>
      <c r="H898" s="190"/>
      <c r="I898" s="190"/>
      <c r="J898" s="190"/>
      <c r="K898" s="190"/>
      <c r="L898" s="190"/>
      <c r="M898" s="190"/>
      <c r="N898" s="220"/>
      <c r="O898" s="220"/>
      <c r="P898" s="220"/>
      <c r="R898" s="210"/>
      <c r="S898" s="210"/>
      <c r="T898" s="210"/>
      <c r="U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row>
    <row r="899">
      <c r="A899" s="190"/>
      <c r="B899" s="190"/>
      <c r="C899" s="190"/>
      <c r="D899" s="190"/>
      <c r="E899" s="190"/>
      <c r="F899" s="190"/>
      <c r="G899" s="190"/>
      <c r="H899" s="190"/>
      <c r="I899" s="190"/>
      <c r="J899" s="190"/>
      <c r="K899" s="190"/>
      <c r="L899" s="190"/>
      <c r="M899" s="190"/>
      <c r="N899" s="220"/>
      <c r="O899" s="220"/>
      <c r="P899" s="220"/>
      <c r="R899" s="210"/>
      <c r="S899" s="210"/>
      <c r="T899" s="210"/>
      <c r="U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row>
    <row r="900">
      <c r="A900" s="190"/>
      <c r="B900" s="190"/>
      <c r="C900" s="190"/>
      <c r="D900" s="190"/>
      <c r="E900" s="190"/>
      <c r="F900" s="190"/>
      <c r="G900" s="190"/>
      <c r="H900" s="190"/>
      <c r="I900" s="190"/>
      <c r="J900" s="190"/>
      <c r="K900" s="190"/>
      <c r="L900" s="190"/>
      <c r="M900" s="190"/>
      <c r="N900" s="220"/>
      <c r="O900" s="220"/>
      <c r="P900" s="220"/>
      <c r="R900" s="210"/>
      <c r="S900" s="210"/>
      <c r="T900" s="210"/>
      <c r="U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row>
    <row r="901">
      <c r="A901" s="190"/>
      <c r="B901" s="190"/>
      <c r="C901" s="190"/>
      <c r="D901" s="190"/>
      <c r="E901" s="190"/>
      <c r="F901" s="190"/>
      <c r="G901" s="190"/>
      <c r="H901" s="190"/>
      <c r="I901" s="190"/>
      <c r="J901" s="190"/>
      <c r="K901" s="190"/>
      <c r="L901" s="190"/>
      <c r="M901" s="190"/>
      <c r="N901" s="220"/>
      <c r="O901" s="220"/>
      <c r="P901" s="220"/>
      <c r="R901" s="210"/>
      <c r="S901" s="210"/>
      <c r="T901" s="210"/>
      <c r="U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row>
    <row r="902">
      <c r="A902" s="190"/>
      <c r="B902" s="190"/>
      <c r="C902" s="190"/>
      <c r="D902" s="190"/>
      <c r="E902" s="190"/>
      <c r="F902" s="190"/>
      <c r="G902" s="190"/>
      <c r="H902" s="190"/>
      <c r="I902" s="190"/>
      <c r="J902" s="190"/>
      <c r="K902" s="190"/>
      <c r="L902" s="190"/>
      <c r="M902" s="190"/>
      <c r="N902" s="220"/>
      <c r="O902" s="220"/>
      <c r="P902" s="220"/>
      <c r="R902" s="210"/>
      <c r="S902" s="210"/>
      <c r="T902" s="210"/>
      <c r="U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row>
    <row r="903">
      <c r="A903" s="190"/>
      <c r="B903" s="190"/>
      <c r="C903" s="190"/>
      <c r="D903" s="190"/>
      <c r="E903" s="190"/>
      <c r="F903" s="190"/>
      <c r="G903" s="190"/>
      <c r="H903" s="190"/>
      <c r="I903" s="190"/>
      <c r="J903" s="190"/>
      <c r="K903" s="190"/>
      <c r="L903" s="190"/>
      <c r="M903" s="190"/>
      <c r="N903" s="220"/>
      <c r="O903" s="220"/>
      <c r="P903" s="220"/>
      <c r="R903" s="210"/>
      <c r="S903" s="210"/>
      <c r="T903" s="210"/>
      <c r="U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row>
    <row r="904">
      <c r="A904" s="190"/>
      <c r="B904" s="190"/>
      <c r="C904" s="190"/>
      <c r="D904" s="190"/>
      <c r="E904" s="190"/>
      <c r="F904" s="190"/>
      <c r="G904" s="190"/>
      <c r="H904" s="190"/>
      <c r="I904" s="190"/>
      <c r="J904" s="190"/>
      <c r="K904" s="190"/>
      <c r="L904" s="190"/>
      <c r="M904" s="190"/>
      <c r="N904" s="220"/>
      <c r="O904" s="220"/>
      <c r="P904" s="220"/>
      <c r="R904" s="210"/>
      <c r="S904" s="210"/>
      <c r="T904" s="210"/>
      <c r="U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row>
    <row r="905">
      <c r="A905" s="190"/>
      <c r="B905" s="190"/>
      <c r="C905" s="190"/>
      <c r="D905" s="190"/>
      <c r="E905" s="190"/>
      <c r="F905" s="190"/>
      <c r="G905" s="190"/>
      <c r="H905" s="190"/>
      <c r="I905" s="190"/>
      <c r="J905" s="190"/>
      <c r="K905" s="190"/>
      <c r="L905" s="190"/>
      <c r="M905" s="190"/>
      <c r="N905" s="220"/>
      <c r="O905" s="220"/>
      <c r="P905" s="220"/>
      <c r="R905" s="210"/>
      <c r="S905" s="210"/>
      <c r="T905" s="210"/>
      <c r="U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row>
    <row r="906">
      <c r="A906" s="190"/>
      <c r="B906" s="190"/>
      <c r="C906" s="190"/>
      <c r="D906" s="190"/>
      <c r="E906" s="190"/>
      <c r="F906" s="190"/>
      <c r="G906" s="190"/>
      <c r="H906" s="190"/>
      <c r="I906" s="190"/>
      <c r="J906" s="190"/>
      <c r="K906" s="190"/>
      <c r="L906" s="190"/>
      <c r="M906" s="190"/>
      <c r="N906" s="220"/>
      <c r="O906" s="220"/>
      <c r="P906" s="220"/>
      <c r="R906" s="210"/>
      <c r="S906" s="210"/>
      <c r="T906" s="210"/>
      <c r="U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row>
    <row r="907">
      <c r="A907" s="190"/>
      <c r="B907" s="190"/>
      <c r="C907" s="190"/>
      <c r="D907" s="190"/>
      <c r="E907" s="190"/>
      <c r="F907" s="190"/>
      <c r="G907" s="190"/>
      <c r="H907" s="190"/>
      <c r="I907" s="190"/>
      <c r="J907" s="190"/>
      <c r="K907" s="190"/>
      <c r="L907" s="190"/>
      <c r="M907" s="190"/>
      <c r="N907" s="220"/>
      <c r="O907" s="220"/>
      <c r="P907" s="220"/>
      <c r="R907" s="210"/>
      <c r="S907" s="210"/>
      <c r="T907" s="210"/>
      <c r="U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row>
    <row r="908">
      <c r="A908" s="190"/>
      <c r="B908" s="190"/>
      <c r="C908" s="190"/>
      <c r="D908" s="190"/>
      <c r="E908" s="190"/>
      <c r="F908" s="190"/>
      <c r="G908" s="190"/>
      <c r="H908" s="190"/>
      <c r="I908" s="190"/>
      <c r="J908" s="190"/>
      <c r="K908" s="190"/>
      <c r="L908" s="190"/>
      <c r="M908" s="190"/>
      <c r="N908" s="220"/>
      <c r="O908" s="220"/>
      <c r="P908" s="220"/>
      <c r="R908" s="210"/>
      <c r="S908" s="210"/>
      <c r="T908" s="210"/>
      <c r="U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row>
    <row r="909">
      <c r="A909" s="190"/>
      <c r="B909" s="190"/>
      <c r="C909" s="190"/>
      <c r="D909" s="190"/>
      <c r="E909" s="190"/>
      <c r="F909" s="190"/>
      <c r="G909" s="190"/>
      <c r="H909" s="190"/>
      <c r="I909" s="190"/>
      <c r="J909" s="190"/>
      <c r="K909" s="190"/>
      <c r="L909" s="190"/>
      <c r="M909" s="190"/>
      <c r="N909" s="220"/>
      <c r="O909" s="220"/>
      <c r="P909" s="220"/>
      <c r="R909" s="210"/>
      <c r="S909" s="210"/>
      <c r="T909" s="210"/>
      <c r="U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row>
    <row r="910">
      <c r="A910" s="190"/>
      <c r="B910" s="190"/>
      <c r="C910" s="190"/>
      <c r="D910" s="190"/>
      <c r="E910" s="190"/>
      <c r="F910" s="190"/>
      <c r="G910" s="190"/>
      <c r="H910" s="190"/>
      <c r="I910" s="190"/>
      <c r="J910" s="190"/>
      <c r="K910" s="190"/>
      <c r="L910" s="190"/>
      <c r="M910" s="190"/>
      <c r="N910" s="220"/>
      <c r="O910" s="220"/>
      <c r="P910" s="220"/>
      <c r="R910" s="210"/>
      <c r="S910" s="210"/>
      <c r="T910" s="210"/>
      <c r="U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row>
    <row r="911">
      <c r="A911" s="190"/>
      <c r="B911" s="190"/>
      <c r="C911" s="190"/>
      <c r="D911" s="190"/>
      <c r="E911" s="190"/>
      <c r="F911" s="190"/>
      <c r="G911" s="190"/>
      <c r="H911" s="190"/>
      <c r="I911" s="190"/>
      <c r="J911" s="190"/>
      <c r="K911" s="190"/>
      <c r="L911" s="190"/>
      <c r="M911" s="190"/>
      <c r="N911" s="220"/>
      <c r="O911" s="220"/>
      <c r="P911" s="220"/>
      <c r="R911" s="210"/>
      <c r="S911" s="210"/>
      <c r="T911" s="210"/>
      <c r="U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row>
    <row r="912">
      <c r="A912" s="190"/>
      <c r="B912" s="190"/>
      <c r="C912" s="190"/>
      <c r="D912" s="190"/>
      <c r="E912" s="190"/>
      <c r="F912" s="190"/>
      <c r="G912" s="190"/>
      <c r="H912" s="190"/>
      <c r="I912" s="190"/>
      <c r="J912" s="190"/>
      <c r="K912" s="190"/>
      <c r="L912" s="190"/>
      <c r="M912" s="190"/>
      <c r="N912" s="220"/>
      <c r="O912" s="220"/>
      <c r="P912" s="220"/>
      <c r="R912" s="210"/>
      <c r="S912" s="210"/>
      <c r="T912" s="210"/>
      <c r="U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row>
    <row r="913">
      <c r="A913" s="190"/>
      <c r="B913" s="190"/>
      <c r="C913" s="190"/>
      <c r="D913" s="190"/>
      <c r="E913" s="190"/>
      <c r="F913" s="190"/>
      <c r="G913" s="190"/>
      <c r="H913" s="190"/>
      <c r="I913" s="190"/>
      <c r="J913" s="190"/>
      <c r="K913" s="190"/>
      <c r="L913" s="190"/>
      <c r="M913" s="190"/>
      <c r="N913" s="220"/>
      <c r="O913" s="220"/>
      <c r="P913" s="220"/>
      <c r="R913" s="210"/>
      <c r="S913" s="210"/>
      <c r="T913" s="210"/>
      <c r="U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row>
    <row r="914">
      <c r="A914" s="190"/>
      <c r="B914" s="190"/>
      <c r="C914" s="190"/>
      <c r="D914" s="190"/>
      <c r="E914" s="190"/>
      <c r="F914" s="190"/>
      <c r="G914" s="190"/>
      <c r="H914" s="190"/>
      <c r="I914" s="190"/>
      <c r="J914" s="190"/>
      <c r="K914" s="190"/>
      <c r="L914" s="190"/>
      <c r="M914" s="190"/>
      <c r="N914" s="220"/>
      <c r="O914" s="220"/>
      <c r="P914" s="220"/>
      <c r="R914" s="210"/>
      <c r="S914" s="210"/>
      <c r="T914" s="210"/>
      <c r="U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row>
    <row r="915">
      <c r="A915" s="190"/>
      <c r="B915" s="190"/>
      <c r="C915" s="190"/>
      <c r="D915" s="190"/>
      <c r="E915" s="190"/>
      <c r="F915" s="190"/>
      <c r="G915" s="190"/>
      <c r="H915" s="190"/>
      <c r="I915" s="190"/>
      <c r="J915" s="190"/>
      <c r="K915" s="190"/>
      <c r="L915" s="190"/>
      <c r="M915" s="190"/>
      <c r="N915" s="220"/>
      <c r="O915" s="220"/>
      <c r="P915" s="220"/>
      <c r="R915" s="210"/>
      <c r="S915" s="210"/>
      <c r="T915" s="210"/>
      <c r="U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row>
    <row r="916">
      <c r="A916" s="190"/>
      <c r="B916" s="190"/>
      <c r="C916" s="190"/>
      <c r="D916" s="190"/>
      <c r="E916" s="190"/>
      <c r="F916" s="190"/>
      <c r="G916" s="190"/>
      <c r="H916" s="190"/>
      <c r="I916" s="190"/>
      <c r="J916" s="190"/>
      <c r="K916" s="190"/>
      <c r="L916" s="190"/>
      <c r="M916" s="190"/>
      <c r="N916" s="220"/>
      <c r="O916" s="220"/>
      <c r="P916" s="220"/>
      <c r="R916" s="210"/>
      <c r="S916" s="210"/>
      <c r="T916" s="210"/>
      <c r="U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row>
    <row r="917">
      <c r="A917" s="190"/>
      <c r="B917" s="190"/>
      <c r="C917" s="190"/>
      <c r="D917" s="190"/>
      <c r="E917" s="190"/>
      <c r="F917" s="190"/>
      <c r="G917" s="190"/>
      <c r="H917" s="190"/>
      <c r="I917" s="190"/>
      <c r="J917" s="190"/>
      <c r="K917" s="190"/>
      <c r="L917" s="190"/>
      <c r="M917" s="190"/>
      <c r="N917" s="220"/>
      <c r="O917" s="220"/>
      <c r="P917" s="220"/>
      <c r="R917" s="210"/>
      <c r="S917" s="210"/>
      <c r="T917" s="210"/>
      <c r="U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row>
    <row r="918">
      <c r="A918" s="190"/>
      <c r="B918" s="190"/>
      <c r="C918" s="190"/>
      <c r="D918" s="190"/>
      <c r="E918" s="190"/>
      <c r="F918" s="190"/>
      <c r="G918" s="190"/>
      <c r="H918" s="190"/>
      <c r="I918" s="190"/>
      <c r="J918" s="190"/>
      <c r="K918" s="190"/>
      <c r="L918" s="190"/>
      <c r="M918" s="190"/>
      <c r="N918" s="220"/>
      <c r="O918" s="220"/>
      <c r="P918" s="220"/>
      <c r="R918" s="210"/>
      <c r="S918" s="210"/>
      <c r="T918" s="210"/>
      <c r="U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row>
    <row r="919">
      <c r="A919" s="190"/>
      <c r="B919" s="190"/>
      <c r="C919" s="190"/>
      <c r="D919" s="190"/>
      <c r="E919" s="190"/>
      <c r="F919" s="190"/>
      <c r="G919" s="190"/>
      <c r="H919" s="190"/>
      <c r="I919" s="190"/>
      <c r="J919" s="190"/>
      <c r="K919" s="190"/>
      <c r="L919" s="190"/>
      <c r="M919" s="190"/>
      <c r="N919" s="220"/>
      <c r="O919" s="220"/>
      <c r="P919" s="220"/>
      <c r="R919" s="210"/>
      <c r="S919" s="210"/>
      <c r="T919" s="210"/>
      <c r="U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row>
    <row r="920">
      <c r="A920" s="190"/>
      <c r="B920" s="190"/>
      <c r="C920" s="190"/>
      <c r="D920" s="190"/>
      <c r="E920" s="190"/>
      <c r="F920" s="190"/>
      <c r="G920" s="190"/>
      <c r="H920" s="190"/>
      <c r="I920" s="190"/>
      <c r="J920" s="190"/>
      <c r="K920" s="190"/>
      <c r="L920" s="190"/>
      <c r="M920" s="190"/>
      <c r="N920" s="220"/>
      <c r="O920" s="220"/>
      <c r="P920" s="220"/>
      <c r="R920" s="210"/>
      <c r="S920" s="210"/>
      <c r="T920" s="210"/>
      <c r="U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row>
    <row r="921">
      <c r="A921" s="190"/>
      <c r="B921" s="190"/>
      <c r="C921" s="190"/>
      <c r="D921" s="190"/>
      <c r="E921" s="190"/>
      <c r="F921" s="190"/>
      <c r="G921" s="190"/>
      <c r="H921" s="190"/>
      <c r="I921" s="190"/>
      <c r="J921" s="190"/>
      <c r="K921" s="190"/>
      <c r="L921" s="190"/>
      <c r="M921" s="190"/>
      <c r="N921" s="220"/>
      <c r="O921" s="220"/>
      <c r="P921" s="220"/>
      <c r="R921" s="210"/>
      <c r="S921" s="210"/>
      <c r="T921" s="210"/>
      <c r="U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row>
    <row r="922">
      <c r="A922" s="190"/>
      <c r="B922" s="190"/>
      <c r="C922" s="190"/>
      <c r="D922" s="190"/>
      <c r="E922" s="190"/>
      <c r="F922" s="190"/>
      <c r="G922" s="190"/>
      <c r="H922" s="190"/>
      <c r="I922" s="190"/>
      <c r="J922" s="190"/>
      <c r="K922" s="190"/>
      <c r="L922" s="190"/>
      <c r="M922" s="190"/>
      <c r="N922" s="220"/>
      <c r="O922" s="220"/>
      <c r="P922" s="220"/>
      <c r="R922" s="210"/>
      <c r="S922" s="210"/>
      <c r="T922" s="210"/>
      <c r="U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row>
    <row r="923">
      <c r="A923" s="190"/>
      <c r="B923" s="190"/>
      <c r="C923" s="190"/>
      <c r="D923" s="190"/>
      <c r="E923" s="190"/>
      <c r="F923" s="190"/>
      <c r="G923" s="190"/>
      <c r="H923" s="190"/>
      <c r="I923" s="190"/>
      <c r="J923" s="190"/>
      <c r="K923" s="190"/>
      <c r="L923" s="190"/>
      <c r="M923" s="190"/>
      <c r="N923" s="220"/>
      <c r="O923" s="220"/>
      <c r="P923" s="220"/>
      <c r="R923" s="210"/>
      <c r="S923" s="210"/>
      <c r="T923" s="210"/>
      <c r="U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row>
    <row r="924">
      <c r="A924" s="190"/>
      <c r="B924" s="190"/>
      <c r="C924" s="190"/>
      <c r="D924" s="190"/>
      <c r="E924" s="190"/>
      <c r="F924" s="190"/>
      <c r="G924" s="190"/>
      <c r="H924" s="190"/>
      <c r="I924" s="190"/>
      <c r="J924" s="190"/>
      <c r="K924" s="190"/>
      <c r="L924" s="190"/>
      <c r="M924" s="190"/>
      <c r="N924" s="220"/>
      <c r="O924" s="220"/>
      <c r="P924" s="220"/>
      <c r="R924" s="210"/>
      <c r="S924" s="210"/>
      <c r="T924" s="210"/>
      <c r="U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row>
    <row r="925">
      <c r="A925" s="190"/>
      <c r="B925" s="190"/>
      <c r="C925" s="190"/>
      <c r="D925" s="190"/>
      <c r="E925" s="190"/>
      <c r="F925" s="190"/>
      <c r="G925" s="190"/>
      <c r="H925" s="190"/>
      <c r="I925" s="190"/>
      <c r="J925" s="190"/>
      <c r="K925" s="190"/>
      <c r="L925" s="190"/>
      <c r="M925" s="190"/>
      <c r="N925" s="220"/>
      <c r="O925" s="220"/>
      <c r="P925" s="220"/>
      <c r="R925" s="210"/>
      <c r="S925" s="210"/>
      <c r="T925" s="210"/>
      <c r="U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row>
    <row r="926">
      <c r="A926" s="190"/>
      <c r="B926" s="190"/>
      <c r="C926" s="190"/>
      <c r="D926" s="190"/>
      <c r="E926" s="190"/>
      <c r="F926" s="190"/>
      <c r="G926" s="190"/>
      <c r="H926" s="190"/>
      <c r="I926" s="190"/>
      <c r="J926" s="190"/>
      <c r="K926" s="190"/>
      <c r="L926" s="190"/>
      <c r="M926" s="190"/>
      <c r="N926" s="220"/>
      <c r="O926" s="220"/>
      <c r="P926" s="220"/>
      <c r="R926" s="210"/>
      <c r="S926" s="210"/>
      <c r="T926" s="210"/>
      <c r="U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row>
    <row r="927">
      <c r="A927" s="190"/>
      <c r="B927" s="190"/>
      <c r="C927" s="190"/>
      <c r="D927" s="190"/>
      <c r="E927" s="190"/>
      <c r="F927" s="190"/>
      <c r="G927" s="190"/>
      <c r="H927" s="190"/>
      <c r="I927" s="190"/>
      <c r="J927" s="190"/>
      <c r="K927" s="190"/>
      <c r="L927" s="190"/>
      <c r="M927" s="190"/>
      <c r="N927" s="220"/>
      <c r="O927" s="220"/>
      <c r="P927" s="220"/>
      <c r="R927" s="210"/>
      <c r="S927" s="210"/>
      <c r="T927" s="210"/>
      <c r="U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row>
    <row r="928">
      <c r="A928" s="190"/>
      <c r="B928" s="190"/>
      <c r="C928" s="190"/>
      <c r="D928" s="190"/>
      <c r="E928" s="190"/>
      <c r="F928" s="190"/>
      <c r="G928" s="190"/>
      <c r="H928" s="190"/>
      <c r="I928" s="190"/>
      <c r="J928" s="190"/>
      <c r="K928" s="190"/>
      <c r="L928" s="190"/>
      <c r="M928" s="190"/>
      <c r="N928" s="220"/>
      <c r="O928" s="220"/>
      <c r="P928" s="220"/>
      <c r="R928" s="210"/>
      <c r="S928" s="210"/>
      <c r="T928" s="210"/>
      <c r="U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row>
    <row r="929">
      <c r="A929" s="190"/>
      <c r="B929" s="190"/>
      <c r="C929" s="190"/>
      <c r="D929" s="190"/>
      <c r="E929" s="190"/>
      <c r="F929" s="190"/>
      <c r="G929" s="190"/>
      <c r="H929" s="190"/>
      <c r="I929" s="190"/>
      <c r="J929" s="190"/>
      <c r="K929" s="190"/>
      <c r="L929" s="190"/>
      <c r="M929" s="190"/>
      <c r="N929" s="220"/>
      <c r="O929" s="220"/>
      <c r="P929" s="220"/>
      <c r="R929" s="210"/>
      <c r="S929" s="210"/>
      <c r="T929" s="210"/>
      <c r="U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row>
    <row r="930">
      <c r="A930" s="190"/>
      <c r="B930" s="190"/>
      <c r="C930" s="190"/>
      <c r="D930" s="190"/>
      <c r="E930" s="190"/>
      <c r="F930" s="190"/>
      <c r="G930" s="190"/>
      <c r="H930" s="190"/>
      <c r="I930" s="190"/>
      <c r="J930" s="190"/>
      <c r="K930" s="190"/>
      <c r="L930" s="190"/>
      <c r="M930" s="190"/>
      <c r="N930" s="220"/>
      <c r="O930" s="220"/>
      <c r="P930" s="220"/>
      <c r="R930" s="210"/>
      <c r="S930" s="210"/>
      <c r="T930" s="210"/>
      <c r="U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row>
    <row r="931">
      <c r="A931" s="190"/>
      <c r="B931" s="190"/>
      <c r="C931" s="190"/>
      <c r="D931" s="190"/>
      <c r="E931" s="190"/>
      <c r="F931" s="190"/>
      <c r="G931" s="190"/>
      <c r="H931" s="190"/>
      <c r="I931" s="190"/>
      <c r="J931" s="190"/>
      <c r="K931" s="190"/>
      <c r="L931" s="190"/>
      <c r="M931" s="190"/>
      <c r="N931" s="220"/>
      <c r="O931" s="220"/>
      <c r="P931" s="220"/>
      <c r="R931" s="210"/>
      <c r="S931" s="210"/>
      <c r="T931" s="210"/>
      <c r="U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row>
    <row r="932">
      <c r="A932" s="190"/>
      <c r="B932" s="190"/>
      <c r="C932" s="190"/>
      <c r="D932" s="190"/>
      <c r="E932" s="190"/>
      <c r="F932" s="190"/>
      <c r="G932" s="190"/>
      <c r="H932" s="190"/>
      <c r="I932" s="190"/>
      <c r="J932" s="190"/>
      <c r="K932" s="190"/>
      <c r="L932" s="190"/>
      <c r="M932" s="190"/>
      <c r="N932" s="220"/>
      <c r="O932" s="220"/>
      <c r="P932" s="220"/>
      <c r="R932" s="210"/>
      <c r="S932" s="210"/>
      <c r="T932" s="210"/>
      <c r="U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row>
    <row r="933">
      <c r="A933" s="190"/>
      <c r="B933" s="190"/>
      <c r="C933" s="190"/>
      <c r="D933" s="190"/>
      <c r="E933" s="190"/>
      <c r="F933" s="190"/>
      <c r="G933" s="190"/>
      <c r="H933" s="190"/>
      <c r="I933" s="190"/>
      <c r="J933" s="190"/>
      <c r="K933" s="190"/>
      <c r="L933" s="190"/>
      <c r="M933" s="190"/>
      <c r="N933" s="220"/>
      <c r="O933" s="220"/>
      <c r="P933" s="220"/>
      <c r="R933" s="210"/>
      <c r="S933" s="210"/>
      <c r="T933" s="210"/>
      <c r="U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row>
    <row r="934">
      <c r="A934" s="190"/>
      <c r="B934" s="190"/>
      <c r="C934" s="190"/>
      <c r="D934" s="190"/>
      <c r="E934" s="190"/>
      <c r="F934" s="190"/>
      <c r="G934" s="190"/>
      <c r="H934" s="190"/>
      <c r="I934" s="190"/>
      <c r="J934" s="190"/>
      <c r="K934" s="190"/>
      <c r="L934" s="190"/>
      <c r="M934" s="190"/>
      <c r="N934" s="220"/>
      <c r="O934" s="220"/>
      <c r="P934" s="220"/>
      <c r="R934" s="210"/>
      <c r="S934" s="210"/>
      <c r="T934" s="210"/>
      <c r="U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row>
    <row r="935">
      <c r="A935" s="190"/>
      <c r="B935" s="190"/>
      <c r="C935" s="190"/>
      <c r="D935" s="190"/>
      <c r="E935" s="190"/>
      <c r="F935" s="190"/>
      <c r="G935" s="190"/>
      <c r="H935" s="190"/>
      <c r="I935" s="190"/>
      <c r="J935" s="190"/>
      <c r="K935" s="190"/>
      <c r="L935" s="190"/>
      <c r="M935" s="190"/>
      <c r="N935" s="220"/>
      <c r="O935" s="220"/>
      <c r="P935" s="220"/>
      <c r="R935" s="210"/>
      <c r="S935" s="210"/>
      <c r="T935" s="210"/>
      <c r="U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row>
    <row r="936">
      <c r="A936" s="190"/>
      <c r="B936" s="190"/>
      <c r="C936" s="190"/>
      <c r="D936" s="190"/>
      <c r="E936" s="190"/>
      <c r="F936" s="190"/>
      <c r="G936" s="190"/>
      <c r="H936" s="190"/>
      <c r="I936" s="190"/>
      <c r="J936" s="190"/>
      <c r="K936" s="190"/>
      <c r="L936" s="190"/>
      <c r="M936" s="190"/>
      <c r="N936" s="220"/>
      <c r="O936" s="220"/>
      <c r="P936" s="220"/>
      <c r="R936" s="210"/>
      <c r="S936" s="210"/>
      <c r="T936" s="210"/>
      <c r="U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row>
    <row r="937">
      <c r="A937" s="190"/>
      <c r="B937" s="190"/>
      <c r="C937" s="190"/>
      <c r="D937" s="190"/>
      <c r="E937" s="190"/>
      <c r="F937" s="190"/>
      <c r="G937" s="190"/>
      <c r="H937" s="190"/>
      <c r="I937" s="190"/>
      <c r="J937" s="190"/>
      <c r="K937" s="190"/>
      <c r="L937" s="190"/>
      <c r="M937" s="190"/>
      <c r="N937" s="220"/>
      <c r="O937" s="220"/>
      <c r="P937" s="220"/>
      <c r="R937" s="210"/>
      <c r="S937" s="210"/>
      <c r="T937" s="210"/>
      <c r="U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row>
    <row r="938">
      <c r="A938" s="190"/>
      <c r="B938" s="190"/>
      <c r="C938" s="190"/>
      <c r="D938" s="190"/>
      <c r="E938" s="190"/>
      <c r="F938" s="190"/>
      <c r="G938" s="190"/>
      <c r="H938" s="190"/>
      <c r="I938" s="190"/>
      <c r="J938" s="190"/>
      <c r="K938" s="190"/>
      <c r="L938" s="190"/>
      <c r="M938" s="190"/>
      <c r="N938" s="220"/>
      <c r="O938" s="220"/>
      <c r="P938" s="220"/>
      <c r="R938" s="210"/>
      <c r="S938" s="210"/>
      <c r="T938" s="210"/>
      <c r="U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row>
    <row r="939">
      <c r="A939" s="190"/>
      <c r="B939" s="190"/>
      <c r="C939" s="190"/>
      <c r="D939" s="190"/>
      <c r="E939" s="190"/>
      <c r="F939" s="190"/>
      <c r="G939" s="190"/>
      <c r="H939" s="190"/>
      <c r="I939" s="190"/>
      <c r="J939" s="190"/>
      <c r="K939" s="190"/>
      <c r="L939" s="190"/>
      <c r="M939" s="190"/>
      <c r="N939" s="220"/>
      <c r="O939" s="220"/>
      <c r="P939" s="220"/>
      <c r="R939" s="210"/>
      <c r="S939" s="210"/>
      <c r="T939" s="210"/>
      <c r="U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row>
    <row r="940">
      <c r="A940" s="190"/>
      <c r="B940" s="190"/>
      <c r="C940" s="190"/>
      <c r="D940" s="190"/>
      <c r="E940" s="190"/>
      <c r="F940" s="190"/>
      <c r="G940" s="190"/>
      <c r="H940" s="190"/>
      <c r="I940" s="190"/>
      <c r="J940" s="190"/>
      <c r="K940" s="190"/>
      <c r="L940" s="190"/>
      <c r="M940" s="190"/>
      <c r="N940" s="220"/>
      <c r="O940" s="220"/>
      <c r="P940" s="220"/>
      <c r="R940" s="210"/>
      <c r="S940" s="210"/>
      <c r="T940" s="210"/>
      <c r="U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row>
    <row r="941">
      <c r="A941" s="190"/>
      <c r="B941" s="190"/>
      <c r="C941" s="190"/>
      <c r="D941" s="190"/>
      <c r="E941" s="190"/>
      <c r="F941" s="190"/>
      <c r="G941" s="190"/>
      <c r="H941" s="190"/>
      <c r="I941" s="190"/>
      <c r="J941" s="190"/>
      <c r="K941" s="190"/>
      <c r="L941" s="190"/>
      <c r="M941" s="190"/>
      <c r="N941" s="220"/>
      <c r="O941" s="220"/>
      <c r="P941" s="220"/>
      <c r="R941" s="210"/>
      <c r="S941" s="210"/>
      <c r="T941" s="210"/>
      <c r="U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row>
    <row r="942">
      <c r="A942" s="190"/>
      <c r="B942" s="190"/>
      <c r="C942" s="190"/>
      <c r="D942" s="190"/>
      <c r="E942" s="190"/>
      <c r="F942" s="190"/>
      <c r="G942" s="190"/>
      <c r="H942" s="190"/>
      <c r="I942" s="190"/>
      <c r="J942" s="190"/>
      <c r="K942" s="190"/>
      <c r="L942" s="190"/>
      <c r="M942" s="190"/>
      <c r="N942" s="220"/>
      <c r="O942" s="220"/>
      <c r="P942" s="220"/>
      <c r="R942" s="210"/>
      <c r="S942" s="210"/>
      <c r="T942" s="210"/>
      <c r="U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row>
    <row r="943">
      <c r="A943" s="190"/>
      <c r="B943" s="190"/>
      <c r="C943" s="190"/>
      <c r="D943" s="190"/>
      <c r="E943" s="190"/>
      <c r="F943" s="190"/>
      <c r="G943" s="190"/>
      <c r="H943" s="190"/>
      <c r="I943" s="190"/>
      <c r="J943" s="190"/>
      <c r="K943" s="190"/>
      <c r="L943" s="190"/>
      <c r="M943" s="190"/>
      <c r="N943" s="220"/>
      <c r="O943" s="220"/>
      <c r="P943" s="220"/>
      <c r="R943" s="210"/>
      <c r="S943" s="210"/>
      <c r="T943" s="210"/>
      <c r="U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row>
    <row r="944">
      <c r="A944" s="190"/>
      <c r="B944" s="190"/>
      <c r="C944" s="190"/>
      <c r="D944" s="190"/>
      <c r="E944" s="190"/>
      <c r="F944" s="190"/>
      <c r="G944" s="190"/>
      <c r="H944" s="190"/>
      <c r="I944" s="190"/>
      <c r="J944" s="190"/>
      <c r="K944" s="190"/>
      <c r="L944" s="190"/>
      <c r="M944" s="190"/>
      <c r="N944" s="220"/>
      <c r="O944" s="220"/>
      <c r="P944" s="220"/>
      <c r="R944" s="210"/>
      <c r="S944" s="210"/>
      <c r="T944" s="210"/>
      <c r="U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row>
    <row r="945">
      <c r="A945" s="190"/>
      <c r="B945" s="190"/>
      <c r="C945" s="190"/>
      <c r="D945" s="190"/>
      <c r="E945" s="190"/>
      <c r="F945" s="190"/>
      <c r="G945" s="190"/>
      <c r="H945" s="190"/>
      <c r="I945" s="190"/>
      <c r="J945" s="190"/>
      <c r="K945" s="190"/>
      <c r="L945" s="190"/>
      <c r="M945" s="190"/>
      <c r="N945" s="220"/>
      <c r="O945" s="220"/>
      <c r="P945" s="220"/>
      <c r="R945" s="210"/>
      <c r="S945" s="210"/>
      <c r="T945" s="210"/>
      <c r="U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row>
    <row r="946">
      <c r="A946" s="190"/>
      <c r="B946" s="190"/>
      <c r="C946" s="190"/>
      <c r="D946" s="190"/>
      <c r="E946" s="190"/>
      <c r="F946" s="190"/>
      <c r="G946" s="190"/>
      <c r="H946" s="190"/>
      <c r="I946" s="190"/>
      <c r="J946" s="190"/>
      <c r="K946" s="190"/>
      <c r="L946" s="190"/>
      <c r="M946" s="190"/>
      <c r="N946" s="220"/>
      <c r="O946" s="220"/>
      <c r="P946" s="220"/>
      <c r="R946" s="210"/>
      <c r="S946" s="210"/>
      <c r="T946" s="210"/>
      <c r="U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row>
    <row r="947">
      <c r="A947" s="190"/>
      <c r="B947" s="190"/>
      <c r="C947" s="190"/>
      <c r="D947" s="190"/>
      <c r="E947" s="190"/>
      <c r="F947" s="190"/>
      <c r="G947" s="190"/>
      <c r="H947" s="190"/>
      <c r="I947" s="190"/>
      <c r="J947" s="190"/>
      <c r="K947" s="190"/>
      <c r="L947" s="190"/>
      <c r="M947" s="190"/>
      <c r="N947" s="220"/>
      <c r="O947" s="220"/>
      <c r="P947" s="220"/>
      <c r="R947" s="210"/>
      <c r="S947" s="210"/>
      <c r="T947" s="210"/>
      <c r="U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row>
    <row r="948">
      <c r="A948" s="190"/>
      <c r="B948" s="190"/>
      <c r="C948" s="190"/>
      <c r="D948" s="190"/>
      <c r="E948" s="190"/>
      <c r="F948" s="190"/>
      <c r="G948" s="190"/>
      <c r="H948" s="190"/>
      <c r="I948" s="190"/>
      <c r="J948" s="190"/>
      <c r="K948" s="190"/>
      <c r="L948" s="190"/>
      <c r="M948" s="190"/>
      <c r="N948" s="220"/>
      <c r="O948" s="220"/>
      <c r="P948" s="220"/>
      <c r="R948" s="210"/>
      <c r="S948" s="210"/>
      <c r="T948" s="210"/>
      <c r="U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row>
    <row r="949">
      <c r="A949" s="190"/>
      <c r="B949" s="190"/>
      <c r="C949" s="190"/>
      <c r="D949" s="190"/>
      <c r="E949" s="190"/>
      <c r="F949" s="190"/>
      <c r="G949" s="190"/>
      <c r="H949" s="190"/>
      <c r="I949" s="190"/>
      <c r="J949" s="190"/>
      <c r="K949" s="190"/>
      <c r="L949" s="190"/>
      <c r="M949" s="190"/>
      <c r="N949" s="220"/>
      <c r="O949" s="220"/>
      <c r="P949" s="220"/>
      <c r="R949" s="210"/>
      <c r="S949" s="210"/>
      <c r="T949" s="210"/>
      <c r="U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row>
    <row r="950">
      <c r="A950" s="190"/>
      <c r="B950" s="190"/>
      <c r="C950" s="190"/>
      <c r="D950" s="190"/>
      <c r="E950" s="190"/>
      <c r="F950" s="190"/>
      <c r="G950" s="190"/>
      <c r="H950" s="190"/>
      <c r="I950" s="190"/>
      <c r="J950" s="190"/>
      <c r="K950" s="190"/>
      <c r="L950" s="190"/>
      <c r="M950" s="190"/>
      <c r="N950" s="220"/>
      <c r="O950" s="220"/>
      <c r="P950" s="220"/>
      <c r="R950" s="210"/>
      <c r="S950" s="210"/>
      <c r="T950" s="210"/>
      <c r="U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row>
    <row r="951">
      <c r="A951" s="190"/>
      <c r="B951" s="190"/>
      <c r="C951" s="190"/>
      <c r="D951" s="190"/>
      <c r="E951" s="190"/>
      <c r="F951" s="190"/>
      <c r="G951" s="190"/>
      <c r="H951" s="190"/>
      <c r="I951" s="190"/>
      <c r="J951" s="190"/>
      <c r="K951" s="190"/>
      <c r="L951" s="190"/>
      <c r="M951" s="190"/>
      <c r="N951" s="220"/>
      <c r="O951" s="220"/>
      <c r="P951" s="220"/>
      <c r="R951" s="210"/>
      <c r="S951" s="210"/>
      <c r="T951" s="210"/>
      <c r="U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row>
    <row r="952">
      <c r="A952" s="190"/>
      <c r="B952" s="190"/>
      <c r="C952" s="190"/>
      <c r="D952" s="190"/>
      <c r="E952" s="190"/>
      <c r="F952" s="190"/>
      <c r="G952" s="190"/>
      <c r="H952" s="190"/>
      <c r="I952" s="190"/>
      <c r="J952" s="190"/>
      <c r="K952" s="190"/>
      <c r="L952" s="190"/>
      <c r="M952" s="190"/>
      <c r="N952" s="220"/>
      <c r="O952" s="220"/>
      <c r="P952" s="220"/>
      <c r="R952" s="210"/>
      <c r="S952" s="210"/>
      <c r="T952" s="210"/>
      <c r="U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row>
    <row r="953">
      <c r="A953" s="190"/>
      <c r="B953" s="190"/>
      <c r="C953" s="190"/>
      <c r="D953" s="190"/>
      <c r="E953" s="190"/>
      <c r="F953" s="190"/>
      <c r="G953" s="190"/>
      <c r="H953" s="190"/>
      <c r="I953" s="190"/>
      <c r="J953" s="190"/>
      <c r="K953" s="190"/>
      <c r="L953" s="190"/>
      <c r="M953" s="190"/>
      <c r="N953" s="220"/>
      <c r="O953" s="220"/>
      <c r="P953" s="220"/>
      <c r="R953" s="210"/>
      <c r="S953" s="210"/>
      <c r="T953" s="210"/>
      <c r="U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row>
    <row r="954">
      <c r="A954" s="190"/>
      <c r="B954" s="190"/>
      <c r="C954" s="190"/>
      <c r="D954" s="190"/>
      <c r="E954" s="190"/>
      <c r="F954" s="190"/>
      <c r="G954" s="190"/>
      <c r="H954" s="190"/>
      <c r="I954" s="190"/>
      <c r="J954" s="190"/>
      <c r="K954" s="190"/>
      <c r="L954" s="190"/>
      <c r="M954" s="190"/>
      <c r="N954" s="220"/>
      <c r="O954" s="220"/>
      <c r="P954" s="220"/>
      <c r="R954" s="210"/>
      <c r="S954" s="210"/>
      <c r="T954" s="210"/>
      <c r="U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row>
    <row r="955">
      <c r="A955" s="190"/>
      <c r="B955" s="190"/>
      <c r="C955" s="190"/>
      <c r="D955" s="190"/>
      <c r="E955" s="190"/>
      <c r="F955" s="190"/>
      <c r="G955" s="190"/>
      <c r="H955" s="190"/>
      <c r="I955" s="190"/>
      <c r="J955" s="190"/>
      <c r="K955" s="190"/>
      <c r="L955" s="190"/>
      <c r="M955" s="190"/>
      <c r="N955" s="220"/>
      <c r="O955" s="220"/>
      <c r="P955" s="220"/>
      <c r="R955" s="210"/>
      <c r="S955" s="210"/>
      <c r="T955" s="210"/>
      <c r="U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row>
    <row r="956">
      <c r="A956" s="190"/>
      <c r="B956" s="190"/>
      <c r="C956" s="190"/>
      <c r="D956" s="190"/>
      <c r="E956" s="190"/>
      <c r="F956" s="190"/>
      <c r="G956" s="190"/>
      <c r="H956" s="190"/>
      <c r="I956" s="190"/>
      <c r="J956" s="190"/>
      <c r="K956" s="190"/>
      <c r="L956" s="190"/>
      <c r="M956" s="190"/>
      <c r="N956" s="220"/>
      <c r="O956" s="220"/>
      <c r="P956" s="220"/>
      <c r="R956" s="210"/>
      <c r="S956" s="210"/>
      <c r="T956" s="210"/>
      <c r="U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row>
    <row r="957">
      <c r="A957" s="190"/>
      <c r="B957" s="190"/>
      <c r="C957" s="190"/>
      <c r="D957" s="190"/>
      <c r="E957" s="190"/>
      <c r="F957" s="190"/>
      <c r="G957" s="190"/>
      <c r="H957" s="190"/>
      <c r="I957" s="190"/>
      <c r="J957" s="190"/>
      <c r="K957" s="190"/>
      <c r="L957" s="190"/>
      <c r="M957" s="190"/>
      <c r="N957" s="220"/>
      <c r="O957" s="220"/>
      <c r="P957" s="220"/>
      <c r="R957" s="210"/>
      <c r="S957" s="210"/>
      <c r="T957" s="210"/>
      <c r="U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row>
    <row r="958">
      <c r="A958" s="190"/>
      <c r="B958" s="190"/>
      <c r="C958" s="190"/>
      <c r="D958" s="190"/>
      <c r="E958" s="190"/>
      <c r="F958" s="190"/>
      <c r="G958" s="190"/>
      <c r="H958" s="190"/>
      <c r="I958" s="190"/>
      <c r="J958" s="190"/>
      <c r="K958" s="190"/>
      <c r="L958" s="190"/>
      <c r="M958" s="190"/>
      <c r="N958" s="220"/>
      <c r="O958" s="220"/>
      <c r="P958" s="220"/>
      <c r="R958" s="210"/>
      <c r="S958" s="210"/>
      <c r="T958" s="210"/>
      <c r="U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row>
    <row r="959">
      <c r="A959" s="190"/>
      <c r="B959" s="190"/>
      <c r="C959" s="190"/>
      <c r="D959" s="190"/>
      <c r="E959" s="190"/>
      <c r="F959" s="190"/>
      <c r="G959" s="190"/>
      <c r="H959" s="190"/>
      <c r="I959" s="190"/>
      <c r="J959" s="190"/>
      <c r="K959" s="190"/>
      <c r="L959" s="190"/>
      <c r="M959" s="190"/>
      <c r="N959" s="220"/>
      <c r="O959" s="220"/>
      <c r="P959" s="220"/>
      <c r="R959" s="210"/>
      <c r="S959" s="210"/>
      <c r="T959" s="210"/>
      <c r="U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row>
    <row r="960">
      <c r="A960" s="190"/>
      <c r="B960" s="190"/>
      <c r="C960" s="190"/>
      <c r="D960" s="190"/>
      <c r="E960" s="190"/>
      <c r="F960" s="190"/>
      <c r="G960" s="190"/>
      <c r="H960" s="190"/>
      <c r="I960" s="190"/>
      <c r="J960" s="190"/>
      <c r="K960" s="190"/>
      <c r="L960" s="190"/>
      <c r="M960" s="190"/>
      <c r="N960" s="220"/>
      <c r="O960" s="220"/>
      <c r="P960" s="220"/>
      <c r="R960" s="210"/>
      <c r="S960" s="210"/>
      <c r="T960" s="210"/>
      <c r="U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row>
    <row r="961">
      <c r="A961" s="190"/>
      <c r="B961" s="190"/>
      <c r="C961" s="190"/>
      <c r="D961" s="190"/>
      <c r="E961" s="190"/>
      <c r="F961" s="190"/>
      <c r="G961" s="190"/>
      <c r="H961" s="190"/>
      <c r="I961" s="190"/>
      <c r="J961" s="190"/>
      <c r="K961" s="190"/>
      <c r="L961" s="190"/>
      <c r="M961" s="190"/>
      <c r="N961" s="220"/>
      <c r="O961" s="220"/>
      <c r="P961" s="220"/>
      <c r="R961" s="210"/>
      <c r="S961" s="210"/>
      <c r="T961" s="210"/>
      <c r="U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row>
    <row r="962">
      <c r="A962" s="190"/>
      <c r="B962" s="190"/>
      <c r="C962" s="190"/>
      <c r="D962" s="190"/>
      <c r="E962" s="190"/>
      <c r="F962" s="190"/>
      <c r="G962" s="190"/>
      <c r="H962" s="190"/>
      <c r="I962" s="190"/>
      <c r="J962" s="190"/>
      <c r="K962" s="190"/>
      <c r="L962" s="190"/>
      <c r="M962" s="190"/>
      <c r="N962" s="220"/>
      <c r="O962" s="220"/>
      <c r="P962" s="220"/>
      <c r="R962" s="210"/>
      <c r="S962" s="210"/>
      <c r="T962" s="210"/>
      <c r="U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row>
    <row r="963">
      <c r="A963" s="190"/>
      <c r="B963" s="190"/>
      <c r="C963" s="190"/>
      <c r="D963" s="190"/>
      <c r="E963" s="190"/>
      <c r="F963" s="190"/>
      <c r="G963" s="190"/>
      <c r="H963" s="190"/>
      <c r="I963" s="190"/>
      <c r="J963" s="190"/>
      <c r="K963" s="190"/>
      <c r="L963" s="190"/>
      <c r="M963" s="190"/>
      <c r="N963" s="220"/>
      <c r="O963" s="220"/>
      <c r="P963" s="220"/>
      <c r="R963" s="210"/>
      <c r="S963" s="210"/>
      <c r="T963" s="210"/>
      <c r="U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row>
    <row r="964">
      <c r="A964" s="190"/>
      <c r="B964" s="190"/>
      <c r="C964" s="190"/>
      <c r="D964" s="190"/>
      <c r="E964" s="190"/>
      <c r="F964" s="190"/>
      <c r="G964" s="190"/>
      <c r="H964" s="190"/>
      <c r="I964" s="190"/>
      <c r="J964" s="190"/>
      <c r="K964" s="190"/>
      <c r="L964" s="190"/>
      <c r="M964" s="190"/>
      <c r="N964" s="220"/>
      <c r="O964" s="220"/>
      <c r="P964" s="220"/>
      <c r="R964" s="210"/>
      <c r="S964" s="210"/>
      <c r="T964" s="210"/>
      <c r="U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row>
    <row r="965">
      <c r="A965" s="190"/>
      <c r="B965" s="190"/>
      <c r="C965" s="190"/>
      <c r="D965" s="190"/>
      <c r="E965" s="190"/>
      <c r="F965" s="190"/>
      <c r="G965" s="190"/>
      <c r="H965" s="190"/>
      <c r="I965" s="190"/>
      <c r="J965" s="190"/>
      <c r="K965" s="190"/>
      <c r="L965" s="190"/>
      <c r="M965" s="190"/>
      <c r="N965" s="220"/>
      <c r="O965" s="220"/>
      <c r="P965" s="220"/>
      <c r="R965" s="210"/>
      <c r="S965" s="210"/>
      <c r="T965" s="210"/>
      <c r="U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row>
    <row r="966">
      <c r="A966" s="190"/>
      <c r="B966" s="190"/>
      <c r="C966" s="190"/>
      <c r="D966" s="190"/>
      <c r="E966" s="190"/>
      <c r="F966" s="190"/>
      <c r="G966" s="190"/>
      <c r="H966" s="190"/>
      <c r="I966" s="190"/>
      <c r="J966" s="190"/>
      <c r="K966" s="190"/>
      <c r="L966" s="190"/>
      <c r="M966" s="190"/>
      <c r="N966" s="220"/>
      <c r="O966" s="220"/>
      <c r="P966" s="220"/>
      <c r="R966" s="210"/>
      <c r="S966" s="210"/>
      <c r="T966" s="210"/>
      <c r="U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row>
    <row r="967">
      <c r="A967" s="190"/>
      <c r="B967" s="190"/>
      <c r="C967" s="190"/>
      <c r="D967" s="190"/>
      <c r="E967" s="190"/>
      <c r="F967" s="190"/>
      <c r="G967" s="190"/>
      <c r="H967" s="190"/>
      <c r="I967" s="190"/>
      <c r="J967" s="190"/>
      <c r="K967" s="190"/>
      <c r="L967" s="190"/>
      <c r="M967" s="190"/>
      <c r="N967" s="220"/>
      <c r="O967" s="220"/>
      <c r="P967" s="220"/>
      <c r="R967" s="210"/>
      <c r="S967" s="210"/>
      <c r="T967" s="210"/>
      <c r="U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row>
    <row r="968">
      <c r="A968" s="190"/>
      <c r="B968" s="190"/>
      <c r="C968" s="190"/>
      <c r="D968" s="190"/>
      <c r="E968" s="190"/>
      <c r="F968" s="190"/>
      <c r="G968" s="190"/>
      <c r="H968" s="190"/>
      <c r="I968" s="190"/>
      <c r="J968" s="190"/>
      <c r="K968" s="190"/>
      <c r="L968" s="190"/>
      <c r="M968" s="190"/>
      <c r="N968" s="220"/>
      <c r="O968" s="220"/>
      <c r="P968" s="220"/>
      <c r="R968" s="210"/>
      <c r="S968" s="210"/>
      <c r="T968" s="210"/>
      <c r="U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row>
    <row r="969">
      <c r="A969" s="190"/>
      <c r="B969" s="190"/>
      <c r="C969" s="190"/>
      <c r="D969" s="190"/>
      <c r="E969" s="190"/>
      <c r="F969" s="190"/>
      <c r="G969" s="190"/>
      <c r="H969" s="190"/>
      <c r="I969" s="190"/>
      <c r="J969" s="190"/>
      <c r="K969" s="190"/>
      <c r="L969" s="190"/>
      <c r="M969" s="190"/>
      <c r="N969" s="220"/>
      <c r="O969" s="220"/>
      <c r="P969" s="220"/>
      <c r="R969" s="210"/>
      <c r="S969" s="210"/>
      <c r="T969" s="210"/>
      <c r="U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row>
    <row r="970">
      <c r="A970" s="190"/>
      <c r="B970" s="190"/>
      <c r="C970" s="190"/>
      <c r="D970" s="190"/>
      <c r="E970" s="190"/>
      <c r="F970" s="190"/>
      <c r="G970" s="190"/>
      <c r="H970" s="190"/>
      <c r="I970" s="190"/>
      <c r="J970" s="190"/>
      <c r="K970" s="190"/>
      <c r="L970" s="190"/>
      <c r="M970" s="190"/>
      <c r="N970" s="220"/>
      <c r="O970" s="220"/>
      <c r="P970" s="220"/>
      <c r="R970" s="210"/>
      <c r="S970" s="210"/>
      <c r="T970" s="210"/>
      <c r="U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row>
    <row r="971">
      <c r="A971" s="190"/>
      <c r="B971" s="190"/>
      <c r="C971" s="190"/>
      <c r="D971" s="190"/>
      <c r="E971" s="190"/>
      <c r="F971" s="190"/>
      <c r="G971" s="190"/>
      <c r="H971" s="190"/>
      <c r="I971" s="190"/>
      <c r="J971" s="190"/>
      <c r="K971" s="190"/>
      <c r="L971" s="190"/>
      <c r="M971" s="190"/>
      <c r="N971" s="220"/>
      <c r="O971" s="220"/>
      <c r="P971" s="220"/>
      <c r="R971" s="210"/>
      <c r="S971" s="210"/>
      <c r="T971" s="210"/>
      <c r="U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row>
    <row r="972">
      <c r="A972" s="190"/>
      <c r="B972" s="190"/>
      <c r="C972" s="190"/>
      <c r="D972" s="190"/>
      <c r="E972" s="190"/>
      <c r="F972" s="190"/>
      <c r="G972" s="190"/>
      <c r="H972" s="190"/>
      <c r="I972" s="190"/>
      <c r="J972" s="190"/>
      <c r="K972" s="190"/>
      <c r="L972" s="190"/>
      <c r="M972" s="190"/>
      <c r="N972" s="220"/>
      <c r="O972" s="220"/>
      <c r="P972" s="220"/>
      <c r="R972" s="210"/>
      <c r="S972" s="210"/>
      <c r="T972" s="210"/>
      <c r="U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row>
    <row r="973">
      <c r="A973" s="190"/>
      <c r="B973" s="190"/>
      <c r="C973" s="190"/>
      <c r="D973" s="190"/>
      <c r="E973" s="190"/>
      <c r="F973" s="190"/>
      <c r="G973" s="190"/>
      <c r="H973" s="190"/>
      <c r="I973" s="190"/>
      <c r="J973" s="190"/>
      <c r="K973" s="190"/>
      <c r="L973" s="190"/>
      <c r="M973" s="190"/>
      <c r="N973" s="220"/>
      <c r="O973" s="220"/>
      <c r="P973" s="220"/>
      <c r="R973" s="210"/>
      <c r="S973" s="210"/>
      <c r="T973" s="210"/>
      <c r="U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row>
    <row r="974">
      <c r="A974" s="190"/>
      <c r="B974" s="190"/>
      <c r="C974" s="190"/>
      <c r="D974" s="190"/>
      <c r="E974" s="190"/>
      <c r="F974" s="190"/>
      <c r="G974" s="190"/>
      <c r="H974" s="190"/>
      <c r="I974" s="190"/>
      <c r="J974" s="190"/>
      <c r="K974" s="190"/>
      <c r="L974" s="190"/>
      <c r="M974" s="190"/>
      <c r="N974" s="220"/>
      <c r="O974" s="220"/>
      <c r="P974" s="220"/>
      <c r="R974" s="210"/>
      <c r="S974" s="210"/>
      <c r="T974" s="210"/>
      <c r="U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row>
    <row r="975">
      <c r="A975" s="190"/>
      <c r="B975" s="190"/>
      <c r="C975" s="190"/>
      <c r="D975" s="190"/>
      <c r="E975" s="190"/>
      <c r="F975" s="190"/>
      <c r="G975" s="190"/>
      <c r="H975" s="190"/>
      <c r="I975" s="190"/>
      <c r="J975" s="190"/>
      <c r="K975" s="190"/>
      <c r="L975" s="190"/>
      <c r="M975" s="190"/>
      <c r="N975" s="220"/>
      <c r="O975" s="220"/>
      <c r="P975" s="220"/>
      <c r="R975" s="210"/>
      <c r="S975" s="210"/>
      <c r="T975" s="210"/>
      <c r="U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row>
    <row r="976">
      <c r="A976" s="190"/>
      <c r="B976" s="190"/>
      <c r="C976" s="190"/>
      <c r="D976" s="190"/>
      <c r="E976" s="190"/>
      <c r="F976" s="190"/>
      <c r="G976" s="190"/>
      <c r="H976" s="190"/>
      <c r="I976" s="190"/>
      <c r="J976" s="190"/>
      <c r="K976" s="190"/>
      <c r="L976" s="190"/>
      <c r="M976" s="190"/>
      <c r="N976" s="220"/>
      <c r="O976" s="220"/>
      <c r="P976" s="220"/>
      <c r="R976" s="210"/>
      <c r="S976" s="210"/>
      <c r="T976" s="210"/>
      <c r="U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row>
    <row r="977">
      <c r="A977" s="190"/>
      <c r="B977" s="190"/>
      <c r="C977" s="190"/>
      <c r="D977" s="190"/>
      <c r="E977" s="190"/>
      <c r="F977" s="190"/>
      <c r="G977" s="190"/>
      <c r="H977" s="190"/>
      <c r="I977" s="190"/>
      <c r="J977" s="190"/>
      <c r="K977" s="190"/>
      <c r="L977" s="190"/>
      <c r="M977" s="190"/>
      <c r="N977" s="220"/>
      <c r="O977" s="220"/>
      <c r="P977" s="220"/>
      <c r="R977" s="210"/>
      <c r="S977" s="210"/>
      <c r="T977" s="210"/>
      <c r="U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row>
    <row r="978">
      <c r="A978" s="190"/>
      <c r="B978" s="190"/>
      <c r="C978" s="190"/>
      <c r="D978" s="190"/>
      <c r="E978" s="190"/>
      <c r="F978" s="190"/>
      <c r="G978" s="190"/>
      <c r="H978" s="190"/>
      <c r="I978" s="190"/>
      <c r="J978" s="190"/>
      <c r="K978" s="190"/>
      <c r="L978" s="190"/>
      <c r="M978" s="190"/>
      <c r="N978" s="220"/>
      <c r="O978" s="220"/>
      <c r="P978" s="220"/>
      <c r="R978" s="210"/>
      <c r="S978" s="210"/>
      <c r="T978" s="210"/>
      <c r="U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row>
    <row r="979">
      <c r="A979" s="190"/>
      <c r="B979" s="190"/>
      <c r="C979" s="190"/>
      <c r="D979" s="190"/>
      <c r="E979" s="190"/>
      <c r="F979" s="190"/>
      <c r="G979" s="190"/>
      <c r="H979" s="190"/>
      <c r="I979" s="190"/>
      <c r="J979" s="190"/>
      <c r="K979" s="190"/>
      <c r="L979" s="190"/>
      <c r="M979" s="190"/>
      <c r="N979" s="220"/>
      <c r="O979" s="220"/>
      <c r="P979" s="220"/>
      <c r="R979" s="210"/>
      <c r="S979" s="210"/>
      <c r="T979" s="210"/>
      <c r="U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row>
    <row r="980">
      <c r="A980" s="190"/>
      <c r="B980" s="190"/>
      <c r="C980" s="190"/>
      <c r="D980" s="190"/>
      <c r="E980" s="190"/>
      <c r="F980" s="190"/>
      <c r="G980" s="190"/>
      <c r="H980" s="190"/>
      <c r="I980" s="190"/>
      <c r="J980" s="190"/>
      <c r="K980" s="190"/>
      <c r="L980" s="190"/>
      <c r="M980" s="190"/>
      <c r="N980" s="220"/>
      <c r="O980" s="220"/>
      <c r="P980" s="220"/>
      <c r="R980" s="210"/>
      <c r="S980" s="210"/>
      <c r="T980" s="210"/>
      <c r="U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row>
    <row r="981">
      <c r="A981" s="190"/>
      <c r="B981" s="190"/>
      <c r="C981" s="190"/>
      <c r="D981" s="190"/>
      <c r="E981" s="190"/>
      <c r="F981" s="190"/>
      <c r="G981" s="190"/>
      <c r="H981" s="190"/>
      <c r="I981" s="190"/>
      <c r="J981" s="190"/>
      <c r="K981" s="190"/>
      <c r="L981" s="190"/>
      <c r="M981" s="190"/>
      <c r="N981" s="220"/>
      <c r="O981" s="220"/>
      <c r="P981" s="220"/>
      <c r="R981" s="210"/>
      <c r="S981" s="210"/>
      <c r="T981" s="210"/>
      <c r="U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row>
    <row r="982">
      <c r="A982" s="190"/>
      <c r="B982" s="190"/>
      <c r="C982" s="190"/>
      <c r="D982" s="190"/>
      <c r="E982" s="190"/>
      <c r="F982" s="190"/>
      <c r="G982" s="190"/>
      <c r="H982" s="190"/>
      <c r="I982" s="190"/>
      <c r="J982" s="190"/>
      <c r="K982" s="190"/>
      <c r="L982" s="190"/>
      <c r="M982" s="190"/>
      <c r="N982" s="220"/>
      <c r="O982" s="220"/>
      <c r="P982" s="220"/>
      <c r="R982" s="210"/>
      <c r="S982" s="210"/>
      <c r="T982" s="210"/>
      <c r="U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row>
    <row r="983">
      <c r="A983" s="190"/>
      <c r="B983" s="190"/>
      <c r="C983" s="190"/>
      <c r="D983" s="190"/>
      <c r="E983" s="190"/>
      <c r="F983" s="190"/>
      <c r="G983" s="190"/>
      <c r="H983" s="190"/>
      <c r="I983" s="190"/>
      <c r="J983" s="190"/>
      <c r="K983" s="190"/>
      <c r="L983" s="190"/>
      <c r="M983" s="190"/>
      <c r="N983" s="220"/>
      <c r="O983" s="220"/>
      <c r="P983" s="220"/>
      <c r="R983" s="210"/>
      <c r="S983" s="210"/>
      <c r="T983" s="210"/>
      <c r="U983" s="210"/>
      <c r="X983" s="210"/>
      <c r="Y983" s="210"/>
      <c r="Z983" s="210"/>
      <c r="AA983" s="210"/>
      <c r="AB983" s="210"/>
      <c r="AC983" s="210"/>
      <c r="AD983" s="210"/>
      <c r="AE983" s="210"/>
      <c r="AF983" s="210"/>
      <c r="AG983" s="210"/>
      <c r="AH983" s="210"/>
      <c r="AI983" s="210"/>
      <c r="AJ983" s="210"/>
      <c r="AK983" s="210"/>
      <c r="AL983" s="210"/>
      <c r="AM983" s="210"/>
      <c r="AN983" s="210"/>
      <c r="AO983" s="210"/>
      <c r="AP983" s="210"/>
      <c r="AQ983" s="210"/>
    </row>
    <row r="984">
      <c r="A984" s="190"/>
      <c r="B984" s="190"/>
      <c r="C984" s="190"/>
      <c r="D984" s="190"/>
      <c r="E984" s="190"/>
      <c r="F984" s="190"/>
      <c r="G984" s="190"/>
      <c r="H984" s="190"/>
      <c r="I984" s="190"/>
      <c r="J984" s="190"/>
      <c r="K984" s="190"/>
      <c r="L984" s="190"/>
      <c r="M984" s="190"/>
      <c r="N984" s="220"/>
      <c r="O984" s="220"/>
      <c r="P984" s="220"/>
      <c r="R984" s="210"/>
      <c r="S984" s="210"/>
      <c r="T984" s="210"/>
      <c r="U984" s="210"/>
      <c r="X984" s="210"/>
      <c r="Y984" s="210"/>
      <c r="Z984" s="210"/>
      <c r="AA984" s="210"/>
      <c r="AB984" s="210"/>
      <c r="AC984" s="210"/>
      <c r="AD984" s="210"/>
      <c r="AE984" s="210"/>
      <c r="AF984" s="210"/>
      <c r="AG984" s="210"/>
      <c r="AH984" s="210"/>
      <c r="AI984" s="210"/>
      <c r="AJ984" s="210"/>
      <c r="AK984" s="210"/>
      <c r="AL984" s="210"/>
      <c r="AM984" s="210"/>
      <c r="AN984" s="210"/>
      <c r="AO984" s="210"/>
      <c r="AP984" s="210"/>
      <c r="AQ984" s="210"/>
    </row>
    <row r="985">
      <c r="A985" s="190"/>
      <c r="B985" s="190"/>
      <c r="C985" s="190"/>
      <c r="D985" s="190"/>
      <c r="E985" s="190"/>
      <c r="F985" s="190"/>
      <c r="G985" s="190"/>
      <c r="H985" s="190"/>
      <c r="I985" s="190"/>
      <c r="J985" s="190"/>
      <c r="K985" s="190"/>
      <c r="L985" s="190"/>
      <c r="M985" s="190"/>
      <c r="N985" s="220"/>
      <c r="O985" s="220"/>
      <c r="P985" s="220"/>
      <c r="R985" s="210"/>
      <c r="S985" s="210"/>
      <c r="T985" s="210"/>
      <c r="U985" s="210"/>
      <c r="X985" s="210"/>
      <c r="Y985" s="210"/>
      <c r="Z985" s="210"/>
      <c r="AA985" s="210"/>
      <c r="AB985" s="210"/>
      <c r="AC985" s="210"/>
      <c r="AD985" s="210"/>
      <c r="AE985" s="210"/>
      <c r="AF985" s="210"/>
      <c r="AG985" s="210"/>
      <c r="AH985" s="210"/>
      <c r="AI985" s="210"/>
      <c r="AJ985" s="210"/>
      <c r="AK985" s="210"/>
      <c r="AL985" s="210"/>
      <c r="AM985" s="210"/>
      <c r="AN985" s="210"/>
      <c r="AO985" s="210"/>
      <c r="AP985" s="210"/>
      <c r="AQ985" s="210"/>
    </row>
    <row r="986">
      <c r="A986" s="190"/>
      <c r="B986" s="190"/>
      <c r="C986" s="190"/>
      <c r="D986" s="190"/>
      <c r="E986" s="190"/>
      <c r="F986" s="190"/>
      <c r="G986" s="190"/>
      <c r="H986" s="190"/>
      <c r="I986" s="190"/>
      <c r="J986" s="190"/>
      <c r="K986" s="190"/>
      <c r="L986" s="190"/>
      <c r="M986" s="190"/>
      <c r="N986" s="220"/>
      <c r="O986" s="220"/>
      <c r="P986" s="220"/>
      <c r="R986" s="210"/>
      <c r="S986" s="210"/>
      <c r="T986" s="210"/>
      <c r="U986" s="210"/>
      <c r="X986" s="210"/>
      <c r="Y986" s="210"/>
      <c r="Z986" s="210"/>
      <c r="AA986" s="210"/>
      <c r="AB986" s="210"/>
      <c r="AC986" s="210"/>
      <c r="AD986" s="210"/>
      <c r="AE986" s="210"/>
      <c r="AF986" s="210"/>
      <c r="AG986" s="210"/>
      <c r="AH986" s="210"/>
      <c r="AI986" s="210"/>
      <c r="AJ986" s="210"/>
      <c r="AK986" s="210"/>
      <c r="AL986" s="210"/>
      <c r="AM986" s="210"/>
      <c r="AN986" s="210"/>
      <c r="AO986" s="210"/>
      <c r="AP986" s="210"/>
      <c r="AQ986" s="210"/>
    </row>
    <row r="987">
      <c r="A987" s="190"/>
      <c r="B987" s="190"/>
      <c r="C987" s="190"/>
      <c r="D987" s="190"/>
      <c r="E987" s="190"/>
      <c r="F987" s="190"/>
      <c r="G987" s="190"/>
      <c r="H987" s="190"/>
      <c r="I987" s="190"/>
      <c r="J987" s="190"/>
      <c r="K987" s="190"/>
      <c r="L987" s="190"/>
      <c r="M987" s="190"/>
      <c r="N987" s="220"/>
      <c r="O987" s="220"/>
      <c r="P987" s="220"/>
      <c r="R987" s="210"/>
      <c r="S987" s="210"/>
      <c r="T987" s="210"/>
      <c r="U987" s="210"/>
      <c r="X987" s="210"/>
      <c r="Y987" s="210"/>
      <c r="Z987" s="210"/>
      <c r="AA987" s="210"/>
      <c r="AB987" s="210"/>
      <c r="AC987" s="210"/>
      <c r="AD987" s="210"/>
      <c r="AE987" s="210"/>
      <c r="AF987" s="210"/>
      <c r="AG987" s="210"/>
      <c r="AH987" s="210"/>
      <c r="AI987" s="210"/>
      <c r="AJ987" s="210"/>
      <c r="AK987" s="210"/>
      <c r="AL987" s="210"/>
      <c r="AM987" s="210"/>
      <c r="AN987" s="210"/>
      <c r="AO987" s="210"/>
      <c r="AP987" s="210"/>
      <c r="AQ987" s="210"/>
    </row>
    <row r="988">
      <c r="A988" s="190"/>
      <c r="B988" s="190"/>
      <c r="C988" s="190"/>
      <c r="D988" s="190"/>
      <c r="E988" s="190"/>
      <c r="F988" s="190"/>
      <c r="G988" s="190"/>
      <c r="H988" s="190"/>
      <c r="I988" s="190"/>
      <c r="J988" s="190"/>
      <c r="K988" s="190"/>
      <c r="L988" s="190"/>
      <c r="M988" s="190"/>
      <c r="N988" s="220"/>
      <c r="O988" s="220"/>
      <c r="P988" s="220"/>
      <c r="R988" s="210"/>
      <c r="S988" s="210"/>
      <c r="T988" s="210"/>
      <c r="U988" s="210"/>
      <c r="X988" s="210"/>
      <c r="Y988" s="210"/>
      <c r="Z988" s="210"/>
      <c r="AA988" s="210"/>
      <c r="AB988" s="210"/>
      <c r="AC988" s="210"/>
      <c r="AD988" s="210"/>
      <c r="AE988" s="210"/>
      <c r="AF988" s="210"/>
      <c r="AG988" s="210"/>
      <c r="AH988" s="210"/>
      <c r="AI988" s="210"/>
      <c r="AJ988" s="210"/>
      <c r="AK988" s="210"/>
      <c r="AL988" s="210"/>
      <c r="AM988" s="210"/>
      <c r="AN988" s="210"/>
      <c r="AO988" s="210"/>
      <c r="AP988" s="210"/>
      <c r="AQ988" s="210"/>
    </row>
    <row r="989">
      <c r="A989" s="190"/>
      <c r="B989" s="190"/>
      <c r="C989" s="190"/>
      <c r="D989" s="190"/>
      <c r="E989" s="190"/>
      <c r="F989" s="190"/>
      <c r="G989" s="190"/>
      <c r="H989" s="190"/>
      <c r="I989" s="190"/>
      <c r="J989" s="190"/>
      <c r="K989" s="190"/>
      <c r="L989" s="190"/>
      <c r="M989" s="190"/>
      <c r="N989" s="220"/>
      <c r="O989" s="220"/>
      <c r="P989" s="220"/>
      <c r="R989" s="210"/>
      <c r="S989" s="210"/>
      <c r="T989" s="210"/>
      <c r="U989" s="210"/>
      <c r="X989" s="210"/>
      <c r="Y989" s="210"/>
      <c r="Z989" s="210"/>
      <c r="AA989" s="210"/>
      <c r="AB989" s="210"/>
      <c r="AC989" s="210"/>
      <c r="AD989" s="210"/>
      <c r="AE989" s="210"/>
      <c r="AF989" s="210"/>
      <c r="AG989" s="210"/>
      <c r="AH989" s="210"/>
      <c r="AI989" s="210"/>
      <c r="AJ989" s="210"/>
      <c r="AK989" s="210"/>
      <c r="AL989" s="210"/>
      <c r="AM989" s="210"/>
      <c r="AN989" s="210"/>
      <c r="AO989" s="210"/>
      <c r="AP989" s="210"/>
      <c r="AQ989" s="210"/>
    </row>
    <row r="990">
      <c r="A990" s="190"/>
      <c r="B990" s="190"/>
      <c r="C990" s="190"/>
      <c r="D990" s="190"/>
      <c r="E990" s="190"/>
      <c r="F990" s="190"/>
      <c r="G990" s="190"/>
      <c r="H990" s="190"/>
      <c r="I990" s="190"/>
      <c r="J990" s="190"/>
      <c r="K990" s="190"/>
      <c r="L990" s="190"/>
      <c r="M990" s="190"/>
      <c r="N990" s="220"/>
      <c r="O990" s="220"/>
      <c r="P990" s="220"/>
      <c r="R990" s="210"/>
      <c r="S990" s="210"/>
      <c r="T990" s="210"/>
      <c r="U990" s="210"/>
      <c r="X990" s="210"/>
      <c r="Y990" s="210"/>
      <c r="Z990" s="210"/>
      <c r="AA990" s="210"/>
      <c r="AB990" s="210"/>
      <c r="AC990" s="210"/>
      <c r="AD990" s="210"/>
      <c r="AE990" s="210"/>
      <c r="AF990" s="210"/>
      <c r="AG990" s="210"/>
      <c r="AH990" s="210"/>
      <c r="AI990" s="210"/>
      <c r="AJ990" s="210"/>
      <c r="AK990" s="210"/>
      <c r="AL990" s="210"/>
      <c r="AM990" s="210"/>
      <c r="AN990" s="210"/>
      <c r="AO990" s="210"/>
      <c r="AP990" s="210"/>
      <c r="AQ990" s="210"/>
    </row>
    <row r="991">
      <c r="A991" s="190"/>
      <c r="B991" s="190"/>
      <c r="C991" s="190"/>
      <c r="D991" s="190"/>
      <c r="E991" s="190"/>
      <c r="F991" s="190"/>
      <c r="G991" s="190"/>
      <c r="H991" s="190"/>
      <c r="I991" s="190"/>
      <c r="J991" s="190"/>
      <c r="K991" s="190"/>
      <c r="L991" s="190"/>
      <c r="M991" s="190"/>
      <c r="N991" s="220"/>
      <c r="O991" s="220"/>
      <c r="P991" s="220"/>
      <c r="R991" s="210"/>
      <c r="S991" s="210"/>
      <c r="T991" s="210"/>
      <c r="U991" s="210"/>
      <c r="X991" s="210"/>
      <c r="Y991" s="210"/>
      <c r="Z991" s="210"/>
      <c r="AA991" s="210"/>
      <c r="AB991" s="210"/>
      <c r="AC991" s="210"/>
      <c r="AD991" s="210"/>
      <c r="AE991" s="210"/>
      <c r="AF991" s="210"/>
      <c r="AG991" s="210"/>
      <c r="AH991" s="210"/>
      <c r="AI991" s="210"/>
      <c r="AJ991" s="210"/>
      <c r="AK991" s="210"/>
      <c r="AL991" s="210"/>
      <c r="AM991" s="210"/>
      <c r="AN991" s="210"/>
      <c r="AO991" s="210"/>
      <c r="AP991" s="210"/>
      <c r="AQ991" s="210"/>
    </row>
    <row r="992">
      <c r="A992" s="190"/>
      <c r="B992" s="190"/>
      <c r="C992" s="190"/>
      <c r="D992" s="190"/>
      <c r="E992" s="190"/>
      <c r="F992" s="190"/>
      <c r="G992" s="190"/>
      <c r="H992" s="190"/>
      <c r="I992" s="190"/>
      <c r="J992" s="190"/>
      <c r="K992" s="190"/>
      <c r="L992" s="190"/>
      <c r="M992" s="190"/>
      <c r="N992" s="220"/>
      <c r="O992" s="220"/>
      <c r="P992" s="220"/>
      <c r="R992" s="210"/>
      <c r="S992" s="210"/>
      <c r="T992" s="210"/>
      <c r="U992" s="210"/>
      <c r="X992" s="210"/>
      <c r="Y992" s="210"/>
      <c r="Z992" s="210"/>
      <c r="AA992" s="210"/>
      <c r="AB992" s="210"/>
      <c r="AC992" s="210"/>
      <c r="AD992" s="210"/>
      <c r="AE992" s="210"/>
      <c r="AF992" s="210"/>
      <c r="AG992" s="210"/>
      <c r="AH992" s="210"/>
      <c r="AI992" s="210"/>
      <c r="AJ992" s="210"/>
      <c r="AK992" s="210"/>
      <c r="AL992" s="210"/>
      <c r="AM992" s="210"/>
      <c r="AN992" s="210"/>
      <c r="AO992" s="210"/>
      <c r="AP992" s="210"/>
      <c r="AQ992" s="210"/>
    </row>
    <row r="993">
      <c r="A993" s="190"/>
      <c r="B993" s="190"/>
      <c r="C993" s="190"/>
      <c r="D993" s="190"/>
      <c r="E993" s="190"/>
      <c r="F993" s="190"/>
      <c r="G993" s="190"/>
      <c r="H993" s="190"/>
      <c r="I993" s="190"/>
      <c r="J993" s="190"/>
      <c r="K993" s="190"/>
      <c r="L993" s="190"/>
      <c r="M993" s="190"/>
      <c r="N993" s="220"/>
      <c r="O993" s="220"/>
      <c r="P993" s="220"/>
      <c r="R993" s="210"/>
      <c r="S993" s="210"/>
      <c r="T993" s="210"/>
      <c r="U993" s="210"/>
      <c r="X993" s="210"/>
      <c r="Y993" s="210"/>
      <c r="Z993" s="210"/>
      <c r="AA993" s="210"/>
      <c r="AB993" s="210"/>
      <c r="AC993" s="210"/>
      <c r="AD993" s="210"/>
      <c r="AE993" s="210"/>
      <c r="AF993" s="210"/>
      <c r="AG993" s="210"/>
      <c r="AH993" s="210"/>
      <c r="AI993" s="210"/>
      <c r="AJ993" s="210"/>
      <c r="AK993" s="210"/>
      <c r="AL993" s="210"/>
      <c r="AM993" s="210"/>
      <c r="AN993" s="210"/>
      <c r="AO993" s="210"/>
      <c r="AP993" s="210"/>
      <c r="AQ993" s="210"/>
    </row>
    <row r="994">
      <c r="A994" s="190"/>
      <c r="B994" s="190"/>
      <c r="C994" s="190"/>
      <c r="D994" s="190"/>
      <c r="E994" s="190"/>
      <c r="F994" s="190"/>
      <c r="G994" s="190"/>
      <c r="H994" s="190"/>
      <c r="I994" s="190"/>
      <c r="J994" s="190"/>
      <c r="K994" s="190"/>
      <c r="L994" s="190"/>
      <c r="M994" s="190"/>
      <c r="N994" s="220"/>
      <c r="O994" s="220"/>
      <c r="P994" s="220"/>
      <c r="R994" s="210"/>
      <c r="S994" s="210"/>
      <c r="T994" s="210"/>
      <c r="U994" s="210"/>
      <c r="X994" s="210"/>
      <c r="Y994" s="210"/>
      <c r="Z994" s="210"/>
      <c r="AA994" s="210"/>
      <c r="AB994" s="210"/>
      <c r="AC994" s="210"/>
      <c r="AD994" s="210"/>
      <c r="AE994" s="210"/>
      <c r="AF994" s="210"/>
      <c r="AG994" s="210"/>
      <c r="AH994" s="210"/>
      <c r="AI994" s="210"/>
      <c r="AJ994" s="210"/>
      <c r="AK994" s="210"/>
      <c r="AL994" s="210"/>
      <c r="AM994" s="210"/>
      <c r="AN994" s="210"/>
      <c r="AO994" s="210"/>
      <c r="AP994" s="210"/>
      <c r="AQ994" s="210"/>
    </row>
    <row r="995">
      <c r="A995" s="190"/>
      <c r="B995" s="190"/>
      <c r="C995" s="190"/>
      <c r="D995" s="190"/>
      <c r="E995" s="190"/>
      <c r="F995" s="190"/>
      <c r="G995" s="190"/>
      <c r="H995" s="190"/>
      <c r="I995" s="190"/>
      <c r="J995" s="190"/>
      <c r="K995" s="190"/>
      <c r="L995" s="190"/>
      <c r="M995" s="190"/>
      <c r="N995" s="220"/>
      <c r="O995" s="220"/>
      <c r="P995" s="220"/>
      <c r="R995" s="210"/>
      <c r="S995" s="210"/>
      <c r="T995" s="210"/>
      <c r="U995" s="210"/>
      <c r="X995" s="210"/>
      <c r="Y995" s="210"/>
      <c r="Z995" s="210"/>
      <c r="AA995" s="210"/>
      <c r="AB995" s="210"/>
      <c r="AC995" s="210"/>
      <c r="AD995" s="210"/>
      <c r="AE995" s="210"/>
      <c r="AF995" s="210"/>
      <c r="AG995" s="210"/>
      <c r="AH995" s="210"/>
      <c r="AI995" s="210"/>
      <c r="AJ995" s="210"/>
      <c r="AK995" s="210"/>
      <c r="AL995" s="210"/>
      <c r="AM995" s="210"/>
      <c r="AN995" s="210"/>
      <c r="AO995" s="210"/>
      <c r="AP995" s="210"/>
      <c r="AQ995" s="210"/>
    </row>
    <row r="996">
      <c r="A996" s="190"/>
      <c r="B996" s="190"/>
      <c r="C996" s="190"/>
      <c r="D996" s="190"/>
      <c r="E996" s="190"/>
      <c r="F996" s="190"/>
      <c r="G996" s="190"/>
      <c r="H996" s="190"/>
      <c r="I996" s="190"/>
      <c r="J996" s="190"/>
      <c r="K996" s="190"/>
      <c r="L996" s="190"/>
      <c r="M996" s="190"/>
      <c r="N996" s="220"/>
      <c r="O996" s="220"/>
      <c r="P996" s="220"/>
      <c r="R996" s="210"/>
      <c r="S996" s="210"/>
      <c r="T996" s="210"/>
      <c r="U996" s="210"/>
      <c r="X996" s="210"/>
      <c r="Y996" s="210"/>
      <c r="Z996" s="210"/>
      <c r="AA996" s="210"/>
      <c r="AB996" s="210"/>
      <c r="AC996" s="210"/>
      <c r="AD996" s="210"/>
      <c r="AE996" s="210"/>
      <c r="AF996" s="210"/>
      <c r="AG996" s="210"/>
      <c r="AH996" s="210"/>
      <c r="AI996" s="210"/>
      <c r="AJ996" s="210"/>
      <c r="AK996" s="210"/>
      <c r="AL996" s="210"/>
      <c r="AM996" s="210"/>
      <c r="AN996" s="210"/>
      <c r="AO996" s="210"/>
      <c r="AP996" s="210"/>
      <c r="AQ996" s="210"/>
    </row>
    <row r="997">
      <c r="A997" s="190"/>
      <c r="B997" s="190"/>
      <c r="C997" s="190"/>
      <c r="D997" s="190"/>
      <c r="E997" s="190"/>
      <c r="F997" s="190"/>
      <c r="G997" s="190"/>
      <c r="H997" s="190"/>
      <c r="I997" s="190"/>
      <c r="J997" s="190"/>
      <c r="K997" s="190"/>
      <c r="L997" s="190"/>
      <c r="M997" s="190"/>
      <c r="N997" s="220"/>
      <c r="O997" s="220"/>
      <c r="P997" s="220"/>
      <c r="R997" s="210"/>
      <c r="S997" s="210"/>
      <c r="T997" s="210"/>
      <c r="U997" s="210"/>
      <c r="X997" s="210"/>
      <c r="Y997" s="210"/>
      <c r="Z997" s="210"/>
      <c r="AA997" s="210"/>
      <c r="AB997" s="210"/>
      <c r="AC997" s="210"/>
      <c r="AD997" s="210"/>
      <c r="AE997" s="210"/>
      <c r="AF997" s="210"/>
      <c r="AG997" s="210"/>
      <c r="AH997" s="210"/>
      <c r="AI997" s="210"/>
      <c r="AJ997" s="210"/>
      <c r="AK997" s="210"/>
      <c r="AL997" s="210"/>
      <c r="AM997" s="210"/>
      <c r="AN997" s="210"/>
      <c r="AO997" s="210"/>
      <c r="AP997" s="210"/>
      <c r="AQ997" s="210"/>
    </row>
    <row r="998">
      <c r="A998" s="190"/>
      <c r="B998" s="190"/>
      <c r="C998" s="190"/>
      <c r="D998" s="190"/>
      <c r="E998" s="190"/>
      <c r="F998" s="190"/>
      <c r="G998" s="190"/>
      <c r="H998" s="190"/>
      <c r="I998" s="190"/>
      <c r="J998" s="190"/>
      <c r="K998" s="190"/>
      <c r="L998" s="190"/>
      <c r="M998" s="190"/>
      <c r="N998" s="220"/>
      <c r="O998" s="220"/>
      <c r="P998" s="220"/>
      <c r="R998" s="210"/>
      <c r="S998" s="210"/>
      <c r="T998" s="210"/>
      <c r="U998" s="210"/>
      <c r="X998" s="210"/>
      <c r="Y998" s="210"/>
      <c r="Z998" s="210"/>
      <c r="AA998" s="210"/>
      <c r="AB998" s="210"/>
      <c r="AC998" s="210"/>
      <c r="AD998" s="210"/>
      <c r="AE998" s="210"/>
      <c r="AF998" s="210"/>
      <c r="AG998" s="210"/>
      <c r="AH998" s="210"/>
      <c r="AI998" s="210"/>
      <c r="AJ998" s="210"/>
      <c r="AK998" s="210"/>
      <c r="AL998" s="210"/>
      <c r="AM998" s="210"/>
      <c r="AN998" s="210"/>
      <c r="AO998" s="210"/>
      <c r="AP998" s="210"/>
      <c r="AQ998" s="210"/>
    </row>
    <row r="999">
      <c r="A999" s="190"/>
      <c r="B999" s="190"/>
      <c r="C999" s="190"/>
      <c r="D999" s="190"/>
      <c r="E999" s="190"/>
      <c r="F999" s="190"/>
      <c r="G999" s="190"/>
      <c r="H999" s="190"/>
      <c r="I999" s="190"/>
      <c r="J999" s="190"/>
      <c r="K999" s="190"/>
      <c r="L999" s="190"/>
      <c r="M999" s="190"/>
      <c r="N999" s="220"/>
      <c r="O999" s="220"/>
      <c r="P999" s="220"/>
      <c r="R999" s="210"/>
      <c r="S999" s="210"/>
      <c r="T999" s="210"/>
      <c r="U999" s="210"/>
      <c r="X999" s="210"/>
      <c r="Y999" s="210"/>
      <c r="Z999" s="210"/>
      <c r="AA999" s="210"/>
      <c r="AB999" s="210"/>
      <c r="AC999" s="210"/>
      <c r="AD999" s="210"/>
      <c r="AE999" s="210"/>
      <c r="AF999" s="210"/>
      <c r="AG999" s="210"/>
      <c r="AH999" s="210"/>
      <c r="AI999" s="210"/>
      <c r="AJ999" s="210"/>
      <c r="AK999" s="210"/>
      <c r="AL999" s="210"/>
      <c r="AM999" s="210"/>
      <c r="AN999" s="210"/>
      <c r="AO999" s="210"/>
      <c r="AP999" s="210"/>
      <c r="AQ999" s="210"/>
    </row>
    <row r="1000">
      <c r="A1000" s="190"/>
      <c r="B1000" s="190"/>
      <c r="C1000" s="190"/>
      <c r="D1000" s="190"/>
      <c r="E1000" s="190"/>
      <c r="F1000" s="190"/>
      <c r="G1000" s="190"/>
      <c r="H1000" s="190"/>
      <c r="I1000" s="190"/>
      <c r="J1000" s="190"/>
      <c r="K1000" s="190"/>
      <c r="L1000" s="190"/>
      <c r="M1000" s="190"/>
      <c r="N1000" s="220"/>
      <c r="O1000" s="220"/>
      <c r="P1000" s="220"/>
      <c r="R1000" s="210"/>
      <c r="S1000" s="210"/>
      <c r="T1000" s="210"/>
      <c r="U1000" s="210"/>
      <c r="X1000" s="210"/>
      <c r="Y1000" s="210"/>
      <c r="Z1000" s="210"/>
      <c r="AA1000" s="210"/>
      <c r="AB1000" s="210"/>
      <c r="AC1000" s="210"/>
      <c r="AD1000" s="210"/>
      <c r="AE1000" s="210"/>
      <c r="AF1000" s="210"/>
      <c r="AG1000" s="210"/>
      <c r="AH1000" s="210"/>
      <c r="AI1000" s="210"/>
      <c r="AJ1000" s="210"/>
      <c r="AK1000" s="210"/>
      <c r="AL1000" s="210"/>
      <c r="AM1000" s="210"/>
      <c r="AN1000" s="210"/>
      <c r="AO1000" s="210"/>
      <c r="AP1000" s="210"/>
      <c r="AQ1000" s="210"/>
    </row>
    <row r="1001">
      <c r="A1001" s="190"/>
      <c r="B1001" s="190"/>
      <c r="C1001" s="190"/>
      <c r="D1001" s="190"/>
      <c r="E1001" s="190"/>
      <c r="F1001" s="190"/>
      <c r="G1001" s="190"/>
      <c r="H1001" s="190"/>
      <c r="I1001" s="190"/>
      <c r="J1001" s="190"/>
      <c r="K1001" s="190"/>
      <c r="L1001" s="190"/>
      <c r="M1001" s="190"/>
      <c r="N1001" s="220"/>
      <c r="O1001" s="220"/>
      <c r="P1001" s="220"/>
      <c r="R1001" s="210"/>
      <c r="S1001" s="210"/>
      <c r="T1001" s="210"/>
      <c r="U1001" s="210"/>
      <c r="X1001" s="210"/>
      <c r="Y1001" s="210"/>
      <c r="Z1001" s="210"/>
      <c r="AA1001" s="210"/>
      <c r="AB1001" s="210"/>
      <c r="AC1001" s="210"/>
      <c r="AD1001" s="210"/>
      <c r="AE1001" s="210"/>
      <c r="AF1001" s="210"/>
      <c r="AG1001" s="210"/>
      <c r="AH1001" s="210"/>
      <c r="AI1001" s="210"/>
      <c r="AJ1001" s="210"/>
      <c r="AK1001" s="210"/>
      <c r="AL1001" s="210"/>
      <c r="AM1001" s="210"/>
      <c r="AN1001" s="210"/>
      <c r="AO1001" s="210"/>
      <c r="AP1001" s="210"/>
      <c r="AQ1001" s="210"/>
    </row>
    <row r="1002">
      <c r="A1002" s="190"/>
      <c r="B1002" s="190"/>
      <c r="C1002" s="190"/>
      <c r="D1002" s="190"/>
      <c r="E1002" s="190"/>
      <c r="F1002" s="190"/>
      <c r="G1002" s="190"/>
      <c r="H1002" s="190"/>
      <c r="I1002" s="190"/>
      <c r="J1002" s="190"/>
      <c r="K1002" s="190"/>
      <c r="L1002" s="190"/>
      <c r="M1002" s="190"/>
      <c r="N1002" s="220"/>
      <c r="O1002" s="220"/>
      <c r="P1002" s="220"/>
      <c r="R1002" s="210"/>
      <c r="S1002" s="210"/>
      <c r="T1002" s="210"/>
      <c r="U1002" s="210"/>
      <c r="X1002" s="210"/>
      <c r="Y1002" s="210"/>
      <c r="Z1002" s="210"/>
      <c r="AA1002" s="210"/>
      <c r="AB1002" s="210"/>
      <c r="AC1002" s="210"/>
      <c r="AD1002" s="210"/>
      <c r="AE1002" s="210"/>
      <c r="AF1002" s="210"/>
      <c r="AG1002" s="210"/>
      <c r="AH1002" s="210"/>
      <c r="AI1002" s="210"/>
      <c r="AJ1002" s="210"/>
      <c r="AK1002" s="210"/>
      <c r="AL1002" s="210"/>
      <c r="AM1002" s="210"/>
      <c r="AN1002" s="210"/>
      <c r="AO1002" s="210"/>
      <c r="AP1002" s="210"/>
      <c r="AQ1002" s="210"/>
    </row>
    <row r="1003">
      <c r="A1003" s="190"/>
      <c r="B1003" s="190"/>
      <c r="C1003" s="190"/>
      <c r="D1003" s="190"/>
      <c r="E1003" s="190"/>
      <c r="F1003" s="190"/>
      <c r="G1003" s="190"/>
      <c r="H1003" s="190"/>
      <c r="I1003" s="190"/>
      <c r="J1003" s="190"/>
      <c r="K1003" s="190"/>
      <c r="L1003" s="190"/>
      <c r="M1003" s="190"/>
      <c r="N1003" s="220"/>
      <c r="O1003" s="220"/>
      <c r="P1003" s="220"/>
      <c r="R1003" s="210"/>
      <c r="S1003" s="210"/>
      <c r="T1003" s="210"/>
      <c r="U1003" s="210"/>
      <c r="X1003" s="210"/>
      <c r="Y1003" s="210"/>
      <c r="Z1003" s="210"/>
      <c r="AA1003" s="210"/>
      <c r="AB1003" s="210"/>
      <c r="AC1003" s="210"/>
      <c r="AD1003" s="210"/>
      <c r="AE1003" s="210"/>
      <c r="AF1003" s="210"/>
      <c r="AG1003" s="210"/>
      <c r="AH1003" s="210"/>
      <c r="AI1003" s="210"/>
      <c r="AJ1003" s="210"/>
      <c r="AK1003" s="210"/>
      <c r="AL1003" s="210"/>
      <c r="AM1003" s="210"/>
      <c r="AN1003" s="210"/>
      <c r="AO1003" s="210"/>
      <c r="AP1003" s="210"/>
      <c r="AQ1003" s="210"/>
    </row>
    <row r="1004">
      <c r="A1004" s="190"/>
      <c r="B1004" s="190"/>
      <c r="C1004" s="190"/>
      <c r="D1004" s="190"/>
      <c r="E1004" s="190"/>
      <c r="F1004" s="190"/>
      <c r="G1004" s="190"/>
      <c r="H1004" s="190"/>
      <c r="I1004" s="190"/>
      <c r="J1004" s="190"/>
      <c r="K1004" s="190"/>
      <c r="L1004" s="190"/>
      <c r="M1004" s="190"/>
      <c r="N1004" s="220"/>
      <c r="O1004" s="220"/>
      <c r="P1004" s="220"/>
      <c r="R1004" s="210"/>
      <c r="S1004" s="210"/>
      <c r="T1004" s="210"/>
      <c r="U1004" s="210"/>
      <c r="X1004" s="210"/>
      <c r="Y1004" s="210"/>
      <c r="Z1004" s="210"/>
      <c r="AA1004" s="210"/>
      <c r="AB1004" s="210"/>
      <c r="AC1004" s="210"/>
      <c r="AD1004" s="210"/>
      <c r="AE1004" s="210"/>
      <c r="AF1004" s="210"/>
      <c r="AG1004" s="210"/>
      <c r="AH1004" s="210"/>
      <c r="AI1004" s="210"/>
      <c r="AJ1004" s="210"/>
      <c r="AK1004" s="210"/>
      <c r="AL1004" s="210"/>
      <c r="AM1004" s="210"/>
      <c r="AN1004" s="210"/>
      <c r="AO1004" s="210"/>
      <c r="AP1004" s="210"/>
      <c r="AQ1004" s="210"/>
    </row>
    <row r="1005">
      <c r="A1005" s="190"/>
      <c r="B1005" s="190"/>
      <c r="C1005" s="190"/>
      <c r="D1005" s="190"/>
      <c r="E1005" s="190"/>
      <c r="F1005" s="190"/>
      <c r="G1005" s="190"/>
      <c r="H1005" s="190"/>
      <c r="I1005" s="190"/>
      <c r="J1005" s="190"/>
      <c r="K1005" s="190"/>
      <c r="L1005" s="190"/>
      <c r="M1005" s="190"/>
      <c r="N1005" s="220"/>
      <c r="O1005" s="220"/>
      <c r="P1005" s="220"/>
      <c r="R1005" s="210"/>
      <c r="S1005" s="210"/>
      <c r="T1005" s="210"/>
      <c r="U1005" s="210"/>
      <c r="X1005" s="210"/>
      <c r="Y1005" s="210"/>
      <c r="Z1005" s="210"/>
      <c r="AA1005" s="210"/>
      <c r="AB1005" s="210"/>
      <c r="AC1005" s="210"/>
      <c r="AD1005" s="210"/>
      <c r="AE1005" s="210"/>
      <c r="AF1005" s="210"/>
      <c r="AG1005" s="210"/>
      <c r="AH1005" s="210"/>
      <c r="AI1005" s="210"/>
      <c r="AJ1005" s="210"/>
      <c r="AK1005" s="210"/>
      <c r="AL1005" s="210"/>
      <c r="AM1005" s="210"/>
      <c r="AN1005" s="210"/>
      <c r="AO1005" s="210"/>
      <c r="AP1005" s="210"/>
      <c r="AQ1005" s="210"/>
    </row>
    <row r="1006">
      <c r="A1006" s="190"/>
      <c r="B1006" s="190"/>
      <c r="C1006" s="190"/>
      <c r="D1006" s="190"/>
      <c r="E1006" s="190"/>
      <c r="F1006" s="190"/>
      <c r="G1006" s="190"/>
      <c r="H1006" s="190"/>
      <c r="I1006" s="190"/>
      <c r="J1006" s="190"/>
      <c r="K1006" s="190"/>
      <c r="L1006" s="190"/>
      <c r="M1006" s="190"/>
      <c r="N1006" s="220"/>
      <c r="O1006" s="220"/>
      <c r="P1006" s="220"/>
      <c r="R1006" s="210"/>
      <c r="S1006" s="210"/>
      <c r="T1006" s="210"/>
      <c r="U1006" s="210"/>
      <c r="X1006" s="210"/>
      <c r="Y1006" s="210"/>
      <c r="Z1006" s="210"/>
      <c r="AA1006" s="210"/>
      <c r="AB1006" s="210"/>
      <c r="AC1006" s="210"/>
      <c r="AD1006" s="210"/>
      <c r="AE1006" s="210"/>
      <c r="AF1006" s="210"/>
      <c r="AG1006" s="210"/>
      <c r="AH1006" s="210"/>
      <c r="AI1006" s="210"/>
      <c r="AJ1006" s="210"/>
      <c r="AK1006" s="210"/>
      <c r="AL1006" s="210"/>
      <c r="AM1006" s="210"/>
      <c r="AN1006" s="210"/>
      <c r="AO1006" s="210"/>
      <c r="AP1006" s="210"/>
      <c r="AQ1006" s="210"/>
    </row>
    <row r="1007">
      <c r="A1007" s="190"/>
      <c r="B1007" s="190"/>
      <c r="C1007" s="190"/>
      <c r="D1007" s="190"/>
      <c r="E1007" s="190"/>
      <c r="F1007" s="190"/>
      <c r="G1007" s="190"/>
      <c r="H1007" s="190"/>
      <c r="I1007" s="190"/>
      <c r="J1007" s="190"/>
      <c r="K1007" s="190"/>
      <c r="L1007" s="190"/>
      <c r="M1007" s="190"/>
      <c r="N1007" s="220"/>
      <c r="O1007" s="220"/>
      <c r="P1007" s="220"/>
      <c r="R1007" s="210"/>
      <c r="S1007" s="210"/>
      <c r="T1007" s="210"/>
      <c r="U1007" s="210"/>
      <c r="X1007" s="210"/>
      <c r="Y1007" s="210"/>
      <c r="Z1007" s="210"/>
      <c r="AA1007" s="210"/>
      <c r="AB1007" s="210"/>
      <c r="AC1007" s="210"/>
      <c r="AD1007" s="210"/>
      <c r="AE1007" s="210"/>
      <c r="AF1007" s="210"/>
      <c r="AG1007" s="210"/>
      <c r="AH1007" s="210"/>
      <c r="AI1007" s="210"/>
      <c r="AJ1007" s="210"/>
      <c r="AK1007" s="210"/>
      <c r="AL1007" s="210"/>
      <c r="AM1007" s="210"/>
      <c r="AN1007" s="210"/>
      <c r="AO1007" s="210"/>
      <c r="AP1007" s="210"/>
      <c r="AQ1007" s="210"/>
    </row>
    <row r="1008">
      <c r="A1008" s="190"/>
      <c r="B1008" s="190"/>
      <c r="C1008" s="190"/>
      <c r="D1008" s="190"/>
      <c r="E1008" s="190"/>
      <c r="F1008" s="190"/>
      <c r="G1008" s="190"/>
      <c r="H1008" s="190"/>
      <c r="I1008" s="190"/>
      <c r="J1008" s="190"/>
      <c r="K1008" s="190"/>
      <c r="L1008" s="190"/>
      <c r="M1008" s="190"/>
      <c r="N1008" s="220"/>
      <c r="O1008" s="220"/>
      <c r="P1008" s="220"/>
      <c r="R1008" s="210"/>
      <c r="S1008" s="210"/>
      <c r="T1008" s="210"/>
      <c r="U1008" s="210"/>
      <c r="X1008" s="210"/>
      <c r="Y1008" s="210"/>
      <c r="Z1008" s="210"/>
      <c r="AA1008" s="210"/>
      <c r="AB1008" s="210"/>
      <c r="AC1008" s="210"/>
      <c r="AD1008" s="210"/>
      <c r="AE1008" s="210"/>
      <c r="AF1008" s="210"/>
      <c r="AG1008" s="210"/>
      <c r="AH1008" s="210"/>
      <c r="AI1008" s="210"/>
      <c r="AJ1008" s="210"/>
      <c r="AK1008" s="210"/>
      <c r="AL1008" s="210"/>
      <c r="AM1008" s="210"/>
      <c r="AN1008" s="210"/>
      <c r="AO1008" s="210"/>
      <c r="AP1008" s="210"/>
      <c r="AQ1008" s="210"/>
    </row>
    <row r="1009">
      <c r="A1009" s="190"/>
      <c r="B1009" s="190"/>
      <c r="C1009" s="190"/>
      <c r="D1009" s="190"/>
      <c r="E1009" s="190"/>
      <c r="F1009" s="190"/>
      <c r="G1009" s="190"/>
      <c r="H1009" s="190"/>
      <c r="I1009" s="190"/>
      <c r="J1009" s="190"/>
      <c r="K1009" s="190"/>
      <c r="L1009" s="190"/>
      <c r="M1009" s="190"/>
      <c r="N1009" s="220"/>
      <c r="O1009" s="220"/>
      <c r="P1009" s="220"/>
      <c r="R1009" s="210"/>
      <c r="S1009" s="210"/>
      <c r="T1009" s="210"/>
      <c r="U1009" s="210"/>
      <c r="X1009" s="210"/>
      <c r="Y1009" s="210"/>
      <c r="Z1009" s="210"/>
      <c r="AA1009" s="210"/>
      <c r="AB1009" s="210"/>
      <c r="AC1009" s="210"/>
      <c r="AD1009" s="210"/>
      <c r="AE1009" s="210"/>
      <c r="AF1009" s="210"/>
      <c r="AG1009" s="210"/>
      <c r="AH1009" s="210"/>
      <c r="AI1009" s="210"/>
      <c r="AJ1009" s="210"/>
      <c r="AK1009" s="210"/>
      <c r="AL1009" s="210"/>
      <c r="AM1009" s="210"/>
      <c r="AN1009" s="210"/>
      <c r="AO1009" s="210"/>
      <c r="AP1009" s="210"/>
      <c r="AQ1009" s="210"/>
    </row>
    <row r="1010">
      <c r="A1010" s="190"/>
      <c r="B1010" s="190"/>
      <c r="C1010" s="190"/>
      <c r="D1010" s="190"/>
      <c r="E1010" s="190"/>
      <c r="F1010" s="190"/>
      <c r="G1010" s="190"/>
      <c r="H1010" s="190"/>
      <c r="I1010" s="190"/>
      <c r="J1010" s="190"/>
      <c r="K1010" s="190"/>
      <c r="L1010" s="190"/>
      <c r="M1010" s="190"/>
      <c r="N1010" s="220"/>
      <c r="O1010" s="220"/>
      <c r="P1010" s="220"/>
      <c r="R1010" s="210"/>
      <c r="S1010" s="210"/>
      <c r="T1010" s="210"/>
      <c r="U1010" s="210"/>
      <c r="X1010" s="210"/>
      <c r="Y1010" s="210"/>
      <c r="Z1010" s="210"/>
      <c r="AA1010" s="210"/>
      <c r="AB1010" s="210"/>
      <c r="AC1010" s="210"/>
      <c r="AD1010" s="210"/>
      <c r="AE1010" s="210"/>
      <c r="AF1010" s="210"/>
      <c r="AG1010" s="210"/>
      <c r="AH1010" s="210"/>
      <c r="AI1010" s="210"/>
      <c r="AJ1010" s="210"/>
      <c r="AK1010" s="210"/>
      <c r="AL1010" s="210"/>
      <c r="AM1010" s="210"/>
      <c r="AN1010" s="210"/>
      <c r="AO1010" s="210"/>
      <c r="AP1010" s="210"/>
      <c r="AQ1010" s="210"/>
    </row>
    <row r="1011">
      <c r="A1011" s="190"/>
      <c r="B1011" s="190"/>
      <c r="C1011" s="190"/>
      <c r="D1011" s="190"/>
      <c r="E1011" s="190"/>
      <c r="F1011" s="190"/>
      <c r="G1011" s="190"/>
      <c r="H1011" s="190"/>
      <c r="I1011" s="190"/>
      <c r="J1011" s="190"/>
      <c r="K1011" s="190"/>
      <c r="L1011" s="190"/>
      <c r="M1011" s="190"/>
      <c r="N1011" s="220"/>
      <c r="O1011" s="220"/>
      <c r="P1011" s="220"/>
      <c r="R1011" s="210"/>
      <c r="S1011" s="210"/>
      <c r="T1011" s="210"/>
      <c r="U1011" s="210"/>
      <c r="X1011" s="210"/>
      <c r="Y1011" s="210"/>
      <c r="Z1011" s="210"/>
      <c r="AA1011" s="210"/>
      <c r="AB1011" s="210"/>
      <c r="AC1011" s="210"/>
      <c r="AD1011" s="210"/>
      <c r="AE1011" s="210"/>
      <c r="AF1011" s="210"/>
      <c r="AG1011" s="210"/>
      <c r="AH1011" s="210"/>
      <c r="AI1011" s="210"/>
      <c r="AJ1011" s="210"/>
      <c r="AK1011" s="210"/>
      <c r="AL1011" s="210"/>
      <c r="AM1011" s="210"/>
      <c r="AN1011" s="210"/>
      <c r="AO1011" s="210"/>
      <c r="AP1011" s="210"/>
      <c r="AQ1011" s="210"/>
    </row>
    <row r="1012">
      <c r="A1012" s="190"/>
      <c r="B1012" s="190"/>
      <c r="C1012" s="190"/>
      <c r="D1012" s="190"/>
      <c r="E1012" s="190"/>
      <c r="F1012" s="190"/>
      <c r="G1012" s="190"/>
      <c r="H1012" s="190"/>
      <c r="I1012" s="190"/>
      <c r="J1012" s="190"/>
      <c r="K1012" s="190"/>
      <c r="L1012" s="190"/>
      <c r="M1012" s="190"/>
      <c r="N1012" s="220"/>
      <c r="O1012" s="220"/>
      <c r="P1012" s="220"/>
      <c r="R1012" s="210"/>
      <c r="S1012" s="210"/>
      <c r="T1012" s="210"/>
      <c r="U1012" s="210"/>
      <c r="X1012" s="210"/>
      <c r="Y1012" s="210"/>
      <c r="Z1012" s="210"/>
      <c r="AA1012" s="210"/>
      <c r="AB1012" s="210"/>
      <c r="AC1012" s="210"/>
      <c r="AD1012" s="210"/>
      <c r="AE1012" s="210"/>
      <c r="AF1012" s="210"/>
      <c r="AG1012" s="210"/>
      <c r="AH1012" s="210"/>
      <c r="AI1012" s="210"/>
      <c r="AJ1012" s="210"/>
      <c r="AK1012" s="210"/>
      <c r="AL1012" s="210"/>
      <c r="AM1012" s="210"/>
      <c r="AN1012" s="210"/>
      <c r="AO1012" s="210"/>
      <c r="AP1012" s="210"/>
      <c r="AQ1012" s="210"/>
    </row>
    <row r="1013">
      <c r="A1013" s="190"/>
      <c r="B1013" s="190"/>
      <c r="C1013" s="190"/>
      <c r="D1013" s="190"/>
      <c r="E1013" s="190"/>
      <c r="F1013" s="190"/>
      <c r="G1013" s="190"/>
      <c r="H1013" s="190"/>
      <c r="I1013" s="190"/>
      <c r="J1013" s="190"/>
      <c r="K1013" s="190"/>
      <c r="L1013" s="190"/>
      <c r="M1013" s="190"/>
      <c r="N1013" s="220"/>
      <c r="O1013" s="220"/>
      <c r="P1013" s="220"/>
      <c r="R1013" s="210"/>
      <c r="S1013" s="210"/>
      <c r="T1013" s="210"/>
      <c r="U1013" s="210"/>
      <c r="X1013" s="210"/>
      <c r="Y1013" s="210"/>
      <c r="Z1013" s="210"/>
      <c r="AA1013" s="210"/>
      <c r="AB1013" s="210"/>
      <c r="AC1013" s="210"/>
      <c r="AD1013" s="210"/>
      <c r="AE1013" s="210"/>
      <c r="AF1013" s="210"/>
      <c r="AG1013" s="210"/>
      <c r="AH1013" s="210"/>
      <c r="AI1013" s="210"/>
      <c r="AJ1013" s="210"/>
      <c r="AK1013" s="210"/>
      <c r="AL1013" s="210"/>
      <c r="AM1013" s="210"/>
      <c r="AN1013" s="210"/>
      <c r="AO1013" s="210"/>
      <c r="AP1013" s="210"/>
      <c r="AQ1013" s="210"/>
    </row>
    <row r="1014">
      <c r="A1014" s="190"/>
      <c r="B1014" s="190"/>
      <c r="C1014" s="190"/>
      <c r="D1014" s="190"/>
      <c r="E1014" s="190"/>
      <c r="F1014" s="190"/>
      <c r="G1014" s="190"/>
      <c r="H1014" s="190"/>
      <c r="I1014" s="190"/>
      <c r="J1014" s="190"/>
      <c r="K1014" s="190"/>
      <c r="L1014" s="190"/>
      <c r="M1014" s="190"/>
      <c r="N1014" s="220"/>
      <c r="O1014" s="220"/>
      <c r="P1014" s="220"/>
      <c r="R1014" s="210"/>
      <c r="S1014" s="210"/>
      <c r="T1014" s="210"/>
      <c r="U1014" s="210"/>
      <c r="X1014" s="210"/>
      <c r="Y1014" s="210"/>
      <c r="Z1014" s="210"/>
      <c r="AA1014" s="210"/>
      <c r="AB1014" s="210"/>
      <c r="AC1014" s="210"/>
      <c r="AD1014" s="210"/>
      <c r="AE1014" s="210"/>
      <c r="AF1014" s="210"/>
      <c r="AG1014" s="210"/>
      <c r="AH1014" s="210"/>
      <c r="AI1014" s="210"/>
      <c r="AJ1014" s="210"/>
      <c r="AK1014" s="210"/>
      <c r="AL1014" s="210"/>
      <c r="AM1014" s="210"/>
      <c r="AN1014" s="210"/>
      <c r="AO1014" s="210"/>
      <c r="AP1014" s="210"/>
      <c r="AQ1014" s="210"/>
    </row>
    <row r="1015">
      <c r="A1015" s="190"/>
      <c r="B1015" s="190"/>
      <c r="C1015" s="190"/>
      <c r="D1015" s="190"/>
      <c r="E1015" s="190"/>
      <c r="F1015" s="190"/>
      <c r="G1015" s="190"/>
      <c r="H1015" s="190"/>
      <c r="I1015" s="190"/>
      <c r="J1015" s="190"/>
      <c r="K1015" s="190"/>
      <c r="L1015" s="190"/>
      <c r="M1015" s="190"/>
      <c r="N1015" s="220"/>
      <c r="O1015" s="220"/>
      <c r="P1015" s="220"/>
      <c r="R1015" s="210"/>
      <c r="S1015" s="210"/>
      <c r="T1015" s="210"/>
      <c r="U1015" s="210"/>
      <c r="X1015" s="210"/>
      <c r="Y1015" s="210"/>
      <c r="Z1015" s="210"/>
      <c r="AA1015" s="210"/>
      <c r="AB1015" s="210"/>
      <c r="AC1015" s="210"/>
      <c r="AD1015" s="210"/>
      <c r="AE1015" s="210"/>
      <c r="AF1015" s="210"/>
      <c r="AG1015" s="210"/>
      <c r="AH1015" s="210"/>
      <c r="AI1015" s="210"/>
      <c r="AJ1015" s="210"/>
      <c r="AK1015" s="210"/>
      <c r="AL1015" s="210"/>
      <c r="AM1015" s="210"/>
      <c r="AN1015" s="210"/>
      <c r="AO1015" s="210"/>
      <c r="AP1015" s="210"/>
      <c r="AQ1015" s="210"/>
    </row>
    <row r="1016">
      <c r="A1016" s="190"/>
      <c r="B1016" s="190"/>
      <c r="C1016" s="190"/>
      <c r="D1016" s="190"/>
      <c r="E1016" s="190"/>
      <c r="F1016" s="190"/>
      <c r="G1016" s="190"/>
      <c r="H1016" s="190"/>
      <c r="I1016" s="190"/>
      <c r="J1016" s="190"/>
      <c r="K1016" s="190"/>
      <c r="L1016" s="190"/>
      <c r="M1016" s="190"/>
      <c r="N1016" s="220"/>
      <c r="O1016" s="220"/>
      <c r="P1016" s="220"/>
      <c r="R1016" s="210"/>
      <c r="S1016" s="210"/>
      <c r="T1016" s="210"/>
      <c r="U1016" s="210"/>
      <c r="X1016" s="210"/>
      <c r="Y1016" s="210"/>
      <c r="Z1016" s="210"/>
      <c r="AA1016" s="210"/>
      <c r="AB1016" s="210"/>
      <c r="AC1016" s="210"/>
      <c r="AD1016" s="210"/>
      <c r="AE1016" s="210"/>
      <c r="AF1016" s="210"/>
      <c r="AG1016" s="210"/>
      <c r="AH1016" s="210"/>
      <c r="AI1016" s="210"/>
      <c r="AJ1016" s="210"/>
      <c r="AK1016" s="210"/>
      <c r="AL1016" s="210"/>
      <c r="AM1016" s="210"/>
      <c r="AN1016" s="210"/>
      <c r="AO1016" s="210"/>
      <c r="AP1016" s="210"/>
      <c r="AQ1016" s="210"/>
    </row>
    <row r="1017">
      <c r="A1017" s="190"/>
      <c r="B1017" s="190"/>
      <c r="C1017" s="190"/>
      <c r="D1017" s="190"/>
      <c r="E1017" s="190"/>
      <c r="F1017" s="190"/>
      <c r="G1017" s="190"/>
      <c r="H1017" s="190"/>
      <c r="I1017" s="190"/>
      <c r="J1017" s="190"/>
      <c r="K1017" s="190"/>
      <c r="L1017" s="190"/>
      <c r="M1017" s="190"/>
      <c r="N1017" s="220"/>
      <c r="O1017" s="220"/>
      <c r="P1017" s="220"/>
      <c r="R1017" s="210"/>
      <c r="S1017" s="210"/>
      <c r="T1017" s="210"/>
      <c r="U1017" s="210"/>
      <c r="X1017" s="210"/>
      <c r="Y1017" s="210"/>
      <c r="Z1017" s="210"/>
      <c r="AA1017" s="210"/>
      <c r="AB1017" s="210"/>
      <c r="AC1017" s="210"/>
      <c r="AD1017" s="210"/>
      <c r="AE1017" s="210"/>
      <c r="AF1017" s="210"/>
      <c r="AG1017" s="210"/>
      <c r="AH1017" s="210"/>
      <c r="AI1017" s="210"/>
      <c r="AJ1017" s="210"/>
      <c r="AK1017" s="210"/>
      <c r="AL1017" s="210"/>
      <c r="AM1017" s="210"/>
      <c r="AN1017" s="210"/>
      <c r="AO1017" s="210"/>
      <c r="AP1017" s="210"/>
      <c r="AQ1017" s="210"/>
    </row>
    <row r="1018">
      <c r="A1018" s="190"/>
      <c r="B1018" s="190"/>
      <c r="C1018" s="190"/>
      <c r="D1018" s="190"/>
      <c r="E1018" s="190"/>
      <c r="F1018" s="190"/>
      <c r="G1018" s="190"/>
      <c r="H1018" s="190"/>
      <c r="I1018" s="190"/>
      <c r="J1018" s="190"/>
      <c r="K1018" s="190"/>
      <c r="L1018" s="190"/>
      <c r="M1018" s="190"/>
      <c r="N1018" s="220"/>
      <c r="O1018" s="220"/>
      <c r="P1018" s="220"/>
      <c r="R1018" s="210"/>
      <c r="S1018" s="210"/>
      <c r="T1018" s="210"/>
      <c r="U1018" s="210"/>
      <c r="X1018" s="210"/>
      <c r="Y1018" s="210"/>
      <c r="Z1018" s="210"/>
      <c r="AA1018" s="210"/>
      <c r="AB1018" s="210"/>
      <c r="AC1018" s="210"/>
      <c r="AD1018" s="210"/>
      <c r="AE1018" s="210"/>
      <c r="AF1018" s="210"/>
      <c r="AG1018" s="210"/>
      <c r="AH1018" s="210"/>
      <c r="AI1018" s="210"/>
      <c r="AJ1018" s="210"/>
      <c r="AK1018" s="210"/>
      <c r="AL1018" s="210"/>
      <c r="AM1018" s="210"/>
      <c r="AN1018" s="210"/>
      <c r="AO1018" s="210"/>
      <c r="AP1018" s="210"/>
      <c r="AQ1018" s="210"/>
    </row>
    <row r="1019">
      <c r="A1019" s="190"/>
      <c r="B1019" s="190"/>
      <c r="C1019" s="190"/>
      <c r="D1019" s="190"/>
      <c r="E1019" s="190"/>
      <c r="F1019" s="190"/>
      <c r="G1019" s="190"/>
      <c r="H1019" s="190"/>
      <c r="I1019" s="190"/>
      <c r="J1019" s="190"/>
      <c r="K1019" s="190"/>
      <c r="L1019" s="190"/>
      <c r="M1019" s="190"/>
      <c r="N1019" s="220"/>
      <c r="O1019" s="220"/>
      <c r="P1019" s="220"/>
      <c r="R1019" s="210"/>
      <c r="S1019" s="210"/>
      <c r="T1019" s="210"/>
      <c r="U1019" s="210"/>
      <c r="X1019" s="210"/>
      <c r="Y1019" s="210"/>
      <c r="Z1019" s="210"/>
      <c r="AA1019" s="210"/>
      <c r="AB1019" s="210"/>
      <c r="AC1019" s="210"/>
      <c r="AD1019" s="210"/>
      <c r="AE1019" s="210"/>
      <c r="AF1019" s="210"/>
      <c r="AG1019" s="210"/>
      <c r="AH1019" s="210"/>
      <c r="AI1019" s="210"/>
      <c r="AJ1019" s="210"/>
      <c r="AK1019" s="210"/>
      <c r="AL1019" s="210"/>
      <c r="AM1019" s="210"/>
      <c r="AN1019" s="210"/>
      <c r="AO1019" s="210"/>
      <c r="AP1019" s="210"/>
      <c r="AQ1019" s="210"/>
    </row>
    <row r="1020">
      <c r="A1020" s="190"/>
      <c r="B1020" s="190"/>
      <c r="C1020" s="190"/>
      <c r="D1020" s="190"/>
      <c r="E1020" s="190"/>
      <c r="F1020" s="190"/>
      <c r="G1020" s="190"/>
      <c r="H1020" s="190"/>
      <c r="I1020" s="190"/>
      <c r="J1020" s="190"/>
      <c r="K1020" s="190"/>
      <c r="L1020" s="190"/>
      <c r="M1020" s="190"/>
      <c r="N1020" s="220"/>
      <c r="O1020" s="220"/>
      <c r="P1020" s="220"/>
      <c r="R1020" s="210"/>
      <c r="S1020" s="210"/>
      <c r="T1020" s="210"/>
      <c r="U1020" s="210"/>
      <c r="X1020" s="210"/>
      <c r="Y1020" s="210"/>
      <c r="Z1020" s="210"/>
      <c r="AA1020" s="210"/>
      <c r="AB1020" s="210"/>
      <c r="AC1020" s="210"/>
      <c r="AD1020" s="210"/>
      <c r="AE1020" s="210"/>
      <c r="AF1020" s="210"/>
      <c r="AG1020" s="210"/>
      <c r="AH1020" s="210"/>
      <c r="AI1020" s="210"/>
      <c r="AJ1020" s="210"/>
      <c r="AK1020" s="210"/>
      <c r="AL1020" s="210"/>
      <c r="AM1020" s="210"/>
      <c r="AN1020" s="210"/>
      <c r="AO1020" s="210"/>
      <c r="AP1020" s="210"/>
      <c r="AQ1020" s="210"/>
    </row>
    <row r="1021">
      <c r="A1021" s="190"/>
      <c r="B1021" s="190"/>
      <c r="C1021" s="190"/>
      <c r="D1021" s="190"/>
      <c r="E1021" s="190"/>
      <c r="F1021" s="190"/>
      <c r="G1021" s="190"/>
      <c r="H1021" s="190"/>
      <c r="I1021" s="190"/>
      <c r="J1021" s="190"/>
      <c r="K1021" s="190"/>
      <c r="L1021" s="190"/>
      <c r="M1021" s="190"/>
      <c r="N1021" s="220"/>
      <c r="O1021" s="220"/>
      <c r="P1021" s="220"/>
      <c r="R1021" s="210"/>
      <c r="S1021" s="210"/>
      <c r="T1021" s="210"/>
      <c r="U1021" s="210"/>
      <c r="X1021" s="210"/>
      <c r="Y1021" s="210"/>
      <c r="Z1021" s="210"/>
      <c r="AA1021" s="210"/>
      <c r="AB1021" s="210"/>
      <c r="AC1021" s="210"/>
      <c r="AD1021" s="210"/>
      <c r="AE1021" s="210"/>
      <c r="AF1021" s="210"/>
      <c r="AG1021" s="210"/>
      <c r="AH1021" s="210"/>
      <c r="AI1021" s="210"/>
      <c r="AJ1021" s="210"/>
      <c r="AK1021" s="210"/>
      <c r="AL1021" s="210"/>
      <c r="AM1021" s="210"/>
      <c r="AN1021" s="210"/>
      <c r="AO1021" s="210"/>
      <c r="AP1021" s="210"/>
      <c r="AQ1021" s="210"/>
    </row>
    <row r="1022">
      <c r="A1022" s="190"/>
      <c r="B1022" s="190"/>
      <c r="C1022" s="190"/>
      <c r="D1022" s="190"/>
      <c r="E1022" s="190"/>
      <c r="F1022" s="190"/>
      <c r="G1022" s="190"/>
      <c r="H1022" s="190"/>
      <c r="I1022" s="190"/>
      <c r="J1022" s="190"/>
      <c r="K1022" s="190"/>
      <c r="L1022" s="190"/>
      <c r="M1022" s="190"/>
      <c r="N1022" s="220"/>
      <c r="O1022" s="220"/>
      <c r="P1022" s="220"/>
      <c r="R1022" s="210"/>
      <c r="S1022" s="210"/>
      <c r="T1022" s="210"/>
      <c r="U1022" s="210"/>
      <c r="X1022" s="210"/>
      <c r="Y1022" s="210"/>
      <c r="Z1022" s="210"/>
      <c r="AA1022" s="210"/>
      <c r="AB1022" s="210"/>
      <c r="AC1022" s="210"/>
      <c r="AD1022" s="210"/>
      <c r="AE1022" s="210"/>
      <c r="AF1022" s="210"/>
      <c r="AG1022" s="210"/>
      <c r="AH1022" s="210"/>
      <c r="AI1022" s="210"/>
      <c r="AJ1022" s="210"/>
      <c r="AK1022" s="210"/>
      <c r="AL1022" s="210"/>
      <c r="AM1022" s="210"/>
      <c r="AN1022" s="210"/>
      <c r="AO1022" s="210"/>
      <c r="AP1022" s="210"/>
      <c r="AQ1022" s="210"/>
    </row>
    <row r="1023">
      <c r="A1023" s="190"/>
      <c r="B1023" s="190"/>
      <c r="C1023" s="190"/>
      <c r="D1023" s="190"/>
      <c r="E1023" s="190"/>
      <c r="F1023" s="190"/>
      <c r="G1023" s="190"/>
      <c r="H1023" s="190"/>
      <c r="I1023" s="190"/>
      <c r="J1023" s="190"/>
      <c r="K1023" s="190"/>
      <c r="L1023" s="190"/>
      <c r="M1023" s="190"/>
      <c r="N1023" s="220"/>
      <c r="O1023" s="220"/>
      <c r="P1023" s="220"/>
      <c r="R1023" s="210"/>
      <c r="S1023" s="210"/>
      <c r="T1023" s="210"/>
      <c r="U1023" s="210"/>
      <c r="X1023" s="210"/>
      <c r="Y1023" s="210"/>
      <c r="Z1023" s="210"/>
      <c r="AA1023" s="210"/>
      <c r="AB1023" s="210"/>
      <c r="AC1023" s="210"/>
      <c r="AD1023" s="210"/>
      <c r="AE1023" s="210"/>
      <c r="AF1023" s="210"/>
      <c r="AG1023" s="210"/>
      <c r="AH1023" s="210"/>
      <c r="AI1023" s="210"/>
      <c r="AJ1023" s="210"/>
      <c r="AK1023" s="210"/>
      <c r="AL1023" s="210"/>
      <c r="AM1023" s="210"/>
      <c r="AN1023" s="210"/>
      <c r="AO1023" s="210"/>
      <c r="AP1023" s="210"/>
      <c r="AQ1023" s="210"/>
    </row>
    <row r="1024">
      <c r="A1024" s="190"/>
      <c r="B1024" s="190"/>
      <c r="C1024" s="190"/>
      <c r="D1024" s="190"/>
      <c r="E1024" s="190"/>
      <c r="F1024" s="190"/>
      <c r="G1024" s="190"/>
      <c r="H1024" s="190"/>
      <c r="I1024" s="190"/>
      <c r="J1024" s="190"/>
      <c r="K1024" s="190"/>
      <c r="L1024" s="190"/>
      <c r="M1024" s="190"/>
      <c r="N1024" s="220"/>
      <c r="O1024" s="220"/>
      <c r="P1024" s="220"/>
      <c r="R1024" s="210"/>
      <c r="S1024" s="210"/>
      <c r="T1024" s="210"/>
      <c r="U1024" s="210"/>
      <c r="X1024" s="210"/>
      <c r="Y1024" s="210"/>
      <c r="Z1024" s="210"/>
      <c r="AA1024" s="210"/>
      <c r="AB1024" s="210"/>
      <c r="AC1024" s="210"/>
      <c r="AD1024" s="210"/>
      <c r="AE1024" s="210"/>
      <c r="AF1024" s="210"/>
      <c r="AG1024" s="210"/>
      <c r="AH1024" s="210"/>
      <c r="AI1024" s="210"/>
      <c r="AJ1024" s="210"/>
      <c r="AK1024" s="210"/>
      <c r="AL1024" s="210"/>
      <c r="AM1024" s="210"/>
      <c r="AN1024" s="210"/>
      <c r="AO1024" s="210"/>
      <c r="AP1024" s="210"/>
      <c r="AQ1024" s="210"/>
    </row>
    <row r="1025">
      <c r="A1025" s="190"/>
      <c r="B1025" s="190"/>
      <c r="C1025" s="190"/>
      <c r="D1025" s="190"/>
      <c r="E1025" s="190"/>
      <c r="F1025" s="190"/>
      <c r="G1025" s="190"/>
      <c r="H1025" s="190"/>
      <c r="I1025" s="190"/>
      <c r="J1025" s="190"/>
      <c r="K1025" s="190"/>
      <c r="L1025" s="190"/>
      <c r="M1025" s="190"/>
      <c r="N1025" s="220"/>
      <c r="O1025" s="220"/>
      <c r="P1025" s="220"/>
      <c r="R1025" s="210"/>
      <c r="S1025" s="210"/>
      <c r="T1025" s="210"/>
      <c r="U1025" s="210"/>
      <c r="X1025" s="210"/>
      <c r="Y1025" s="210"/>
      <c r="Z1025" s="210"/>
      <c r="AA1025" s="210"/>
      <c r="AB1025" s="210"/>
      <c r="AC1025" s="210"/>
      <c r="AD1025" s="210"/>
      <c r="AE1025" s="210"/>
      <c r="AF1025" s="210"/>
      <c r="AG1025" s="210"/>
      <c r="AH1025" s="210"/>
      <c r="AI1025" s="210"/>
      <c r="AJ1025" s="210"/>
      <c r="AK1025" s="210"/>
      <c r="AL1025" s="210"/>
      <c r="AM1025" s="210"/>
      <c r="AN1025" s="210"/>
      <c r="AO1025" s="210"/>
      <c r="AP1025" s="210"/>
      <c r="AQ1025" s="210"/>
    </row>
    <row r="1026">
      <c r="A1026" s="190"/>
      <c r="B1026" s="190"/>
      <c r="C1026" s="190"/>
      <c r="D1026" s="190"/>
      <c r="E1026" s="190"/>
      <c r="F1026" s="190"/>
      <c r="G1026" s="190"/>
      <c r="H1026" s="190"/>
      <c r="I1026" s="190"/>
      <c r="J1026" s="190"/>
      <c r="K1026" s="190"/>
      <c r="L1026" s="190"/>
      <c r="M1026" s="190"/>
      <c r="N1026" s="220"/>
      <c r="O1026" s="220"/>
      <c r="P1026" s="220"/>
      <c r="R1026" s="210"/>
      <c r="S1026" s="210"/>
      <c r="T1026" s="210"/>
      <c r="U1026" s="210"/>
      <c r="X1026" s="210"/>
      <c r="Y1026" s="210"/>
      <c r="Z1026" s="210"/>
      <c r="AA1026" s="210"/>
      <c r="AB1026" s="210"/>
      <c r="AC1026" s="210"/>
      <c r="AD1026" s="210"/>
      <c r="AE1026" s="210"/>
      <c r="AF1026" s="210"/>
      <c r="AG1026" s="210"/>
      <c r="AH1026" s="210"/>
      <c r="AI1026" s="210"/>
      <c r="AJ1026" s="210"/>
      <c r="AK1026" s="210"/>
      <c r="AL1026" s="210"/>
      <c r="AM1026" s="210"/>
      <c r="AN1026" s="210"/>
      <c r="AO1026" s="210"/>
      <c r="AP1026" s="210"/>
      <c r="AQ1026" s="210"/>
    </row>
    <row r="1027">
      <c r="A1027" s="190"/>
      <c r="B1027" s="190"/>
      <c r="C1027" s="190"/>
      <c r="D1027" s="190"/>
      <c r="E1027" s="190"/>
      <c r="F1027" s="190"/>
      <c r="G1027" s="190"/>
      <c r="H1027" s="190"/>
      <c r="I1027" s="190"/>
      <c r="J1027" s="190"/>
      <c r="K1027" s="190"/>
      <c r="L1027" s="190"/>
      <c r="M1027" s="190"/>
      <c r="N1027" s="220"/>
      <c r="O1027" s="220"/>
      <c r="P1027" s="220"/>
      <c r="R1027" s="210"/>
      <c r="S1027" s="210"/>
      <c r="T1027" s="210"/>
      <c r="U1027" s="210"/>
      <c r="X1027" s="210"/>
      <c r="Y1027" s="210"/>
      <c r="Z1027" s="210"/>
      <c r="AA1027" s="210"/>
      <c r="AB1027" s="210"/>
      <c r="AC1027" s="210"/>
      <c r="AD1027" s="210"/>
      <c r="AE1027" s="210"/>
      <c r="AF1027" s="210"/>
      <c r="AG1027" s="210"/>
      <c r="AH1027" s="210"/>
      <c r="AI1027" s="210"/>
      <c r="AJ1027" s="210"/>
      <c r="AK1027" s="210"/>
      <c r="AL1027" s="210"/>
      <c r="AM1027" s="210"/>
      <c r="AN1027" s="210"/>
      <c r="AO1027" s="210"/>
      <c r="AP1027" s="210"/>
      <c r="AQ1027" s="210"/>
    </row>
    <row r="1028">
      <c r="A1028" s="190"/>
      <c r="B1028" s="190"/>
      <c r="C1028" s="190"/>
      <c r="D1028" s="190"/>
      <c r="E1028" s="190"/>
      <c r="F1028" s="190"/>
      <c r="G1028" s="190"/>
      <c r="H1028" s="190"/>
      <c r="I1028" s="190"/>
      <c r="J1028" s="190"/>
      <c r="K1028" s="190"/>
      <c r="L1028" s="190"/>
      <c r="M1028" s="190"/>
      <c r="N1028" s="220"/>
      <c r="O1028" s="220"/>
      <c r="P1028" s="220"/>
      <c r="R1028" s="210"/>
      <c r="S1028" s="210"/>
      <c r="T1028" s="210"/>
      <c r="U1028" s="210"/>
      <c r="X1028" s="210"/>
      <c r="Y1028" s="210"/>
      <c r="Z1028" s="210"/>
      <c r="AA1028" s="210"/>
      <c r="AB1028" s="210"/>
      <c r="AC1028" s="210"/>
      <c r="AD1028" s="210"/>
      <c r="AE1028" s="210"/>
      <c r="AF1028" s="210"/>
      <c r="AG1028" s="210"/>
      <c r="AH1028" s="210"/>
      <c r="AI1028" s="210"/>
      <c r="AJ1028" s="210"/>
      <c r="AK1028" s="210"/>
      <c r="AL1028" s="210"/>
      <c r="AM1028" s="210"/>
      <c r="AN1028" s="210"/>
      <c r="AO1028" s="210"/>
      <c r="AP1028" s="210"/>
      <c r="AQ1028" s="210"/>
    </row>
    <row r="1029">
      <c r="A1029" s="190"/>
      <c r="B1029" s="190"/>
      <c r="C1029" s="190"/>
      <c r="D1029" s="190"/>
      <c r="E1029" s="190"/>
      <c r="F1029" s="190"/>
      <c r="G1029" s="190"/>
      <c r="H1029" s="190"/>
      <c r="I1029" s="190"/>
      <c r="J1029" s="190"/>
      <c r="K1029" s="190"/>
      <c r="L1029" s="190"/>
      <c r="M1029" s="190"/>
      <c r="N1029" s="220"/>
      <c r="O1029" s="220"/>
      <c r="P1029" s="220"/>
      <c r="R1029" s="210"/>
      <c r="S1029" s="210"/>
      <c r="T1029" s="210"/>
      <c r="U1029" s="210"/>
      <c r="X1029" s="210"/>
      <c r="Y1029" s="210"/>
      <c r="Z1029" s="210"/>
      <c r="AA1029" s="210"/>
      <c r="AB1029" s="210"/>
      <c r="AC1029" s="210"/>
      <c r="AD1029" s="210"/>
      <c r="AE1029" s="210"/>
      <c r="AF1029" s="210"/>
      <c r="AG1029" s="210"/>
      <c r="AH1029" s="210"/>
      <c r="AI1029" s="210"/>
      <c r="AJ1029" s="210"/>
      <c r="AK1029" s="210"/>
      <c r="AL1029" s="210"/>
      <c r="AM1029" s="210"/>
      <c r="AN1029" s="210"/>
      <c r="AO1029" s="210"/>
      <c r="AP1029" s="210"/>
      <c r="AQ1029" s="210"/>
    </row>
    <row r="1030">
      <c r="A1030" s="190"/>
      <c r="B1030" s="190"/>
      <c r="C1030" s="190"/>
      <c r="D1030" s="190"/>
      <c r="E1030" s="190"/>
      <c r="F1030" s="190"/>
      <c r="G1030" s="190"/>
      <c r="H1030" s="190"/>
      <c r="I1030" s="190"/>
      <c r="J1030" s="190"/>
      <c r="K1030" s="190"/>
      <c r="L1030" s="190"/>
      <c r="M1030" s="190"/>
      <c r="N1030" s="220"/>
      <c r="O1030" s="220"/>
      <c r="P1030" s="220"/>
      <c r="R1030" s="210"/>
      <c r="S1030" s="210"/>
      <c r="T1030" s="210"/>
      <c r="U1030" s="210"/>
      <c r="X1030" s="210"/>
      <c r="Y1030" s="210"/>
      <c r="Z1030" s="210"/>
      <c r="AA1030" s="210"/>
      <c r="AB1030" s="210"/>
      <c r="AC1030" s="210"/>
      <c r="AD1030" s="210"/>
      <c r="AE1030" s="210"/>
      <c r="AF1030" s="210"/>
      <c r="AG1030" s="210"/>
      <c r="AH1030" s="210"/>
      <c r="AI1030" s="210"/>
      <c r="AJ1030" s="210"/>
      <c r="AK1030" s="210"/>
      <c r="AL1030" s="210"/>
      <c r="AM1030" s="210"/>
      <c r="AN1030" s="210"/>
      <c r="AO1030" s="210"/>
      <c r="AP1030" s="210"/>
      <c r="AQ1030" s="210"/>
    </row>
    <row r="1031">
      <c r="A1031" s="190"/>
      <c r="B1031" s="190"/>
      <c r="C1031" s="190"/>
      <c r="D1031" s="190"/>
      <c r="E1031" s="190"/>
      <c r="F1031" s="190"/>
      <c r="G1031" s="190"/>
      <c r="H1031" s="190"/>
      <c r="I1031" s="190"/>
      <c r="J1031" s="190"/>
      <c r="K1031" s="190"/>
      <c r="L1031" s="190"/>
      <c r="M1031" s="190"/>
      <c r="N1031" s="220"/>
      <c r="O1031" s="220"/>
      <c r="P1031" s="220"/>
      <c r="R1031" s="210"/>
      <c r="S1031" s="210"/>
      <c r="T1031" s="210"/>
      <c r="U1031" s="210"/>
      <c r="X1031" s="210"/>
      <c r="Y1031" s="210"/>
      <c r="Z1031" s="210"/>
      <c r="AA1031" s="210"/>
      <c r="AB1031" s="210"/>
      <c r="AC1031" s="210"/>
      <c r="AD1031" s="210"/>
      <c r="AE1031" s="210"/>
      <c r="AF1031" s="210"/>
      <c r="AG1031" s="210"/>
      <c r="AH1031" s="210"/>
      <c r="AI1031" s="210"/>
      <c r="AJ1031" s="210"/>
      <c r="AK1031" s="210"/>
      <c r="AL1031" s="210"/>
      <c r="AM1031" s="210"/>
      <c r="AN1031" s="210"/>
      <c r="AO1031" s="210"/>
      <c r="AP1031" s="210"/>
      <c r="AQ1031" s="210"/>
    </row>
    <row r="1032">
      <c r="A1032" s="190"/>
      <c r="B1032" s="190"/>
      <c r="C1032" s="190"/>
      <c r="D1032" s="190"/>
      <c r="E1032" s="190"/>
      <c r="F1032" s="190"/>
      <c r="G1032" s="190"/>
      <c r="H1032" s="190"/>
      <c r="I1032" s="190"/>
      <c r="J1032" s="190"/>
      <c r="K1032" s="190"/>
      <c r="L1032" s="190"/>
      <c r="M1032" s="190"/>
      <c r="N1032" s="220"/>
      <c r="O1032" s="220"/>
      <c r="P1032" s="220"/>
      <c r="R1032" s="210"/>
      <c r="S1032" s="210"/>
      <c r="T1032" s="210"/>
      <c r="U1032" s="210"/>
      <c r="X1032" s="210"/>
      <c r="Y1032" s="210"/>
      <c r="Z1032" s="210"/>
      <c r="AA1032" s="210"/>
      <c r="AB1032" s="210"/>
      <c r="AC1032" s="210"/>
      <c r="AD1032" s="210"/>
      <c r="AE1032" s="210"/>
      <c r="AF1032" s="210"/>
      <c r="AG1032" s="210"/>
      <c r="AH1032" s="210"/>
      <c r="AI1032" s="210"/>
      <c r="AJ1032" s="210"/>
      <c r="AK1032" s="210"/>
      <c r="AL1032" s="210"/>
      <c r="AM1032" s="210"/>
      <c r="AN1032" s="210"/>
      <c r="AO1032" s="210"/>
      <c r="AP1032" s="210"/>
      <c r="AQ1032" s="210"/>
    </row>
    <row r="1033">
      <c r="A1033" s="190"/>
      <c r="B1033" s="190"/>
      <c r="C1033" s="190"/>
      <c r="D1033" s="190"/>
      <c r="E1033" s="190"/>
      <c r="F1033" s="190"/>
      <c r="G1033" s="190"/>
      <c r="H1033" s="190"/>
      <c r="I1033" s="190"/>
      <c r="J1033" s="190"/>
      <c r="K1033" s="190"/>
      <c r="L1033" s="190"/>
      <c r="M1033" s="190"/>
      <c r="N1033" s="220"/>
      <c r="O1033" s="220"/>
      <c r="P1033" s="220"/>
      <c r="R1033" s="210"/>
      <c r="S1033" s="210"/>
      <c r="T1033" s="210"/>
      <c r="U1033" s="210"/>
      <c r="X1033" s="210"/>
      <c r="Y1033" s="210"/>
      <c r="Z1033" s="210"/>
      <c r="AA1033" s="210"/>
      <c r="AB1033" s="210"/>
      <c r="AC1033" s="210"/>
      <c r="AD1033" s="210"/>
      <c r="AE1033" s="210"/>
      <c r="AF1033" s="210"/>
      <c r="AG1033" s="210"/>
      <c r="AH1033" s="210"/>
      <c r="AI1033" s="210"/>
      <c r="AJ1033" s="210"/>
      <c r="AK1033" s="210"/>
      <c r="AL1033" s="210"/>
      <c r="AM1033" s="210"/>
      <c r="AN1033" s="210"/>
      <c r="AO1033" s="210"/>
      <c r="AP1033" s="210"/>
      <c r="AQ1033" s="210"/>
    </row>
    <row r="1034">
      <c r="A1034" s="190"/>
      <c r="B1034" s="190"/>
      <c r="C1034" s="190"/>
      <c r="D1034" s="190"/>
      <c r="E1034" s="190"/>
      <c r="F1034" s="190"/>
      <c r="G1034" s="190"/>
      <c r="H1034" s="190"/>
      <c r="I1034" s="190"/>
      <c r="J1034" s="190"/>
      <c r="K1034" s="190"/>
      <c r="L1034" s="190"/>
      <c r="M1034" s="190"/>
      <c r="N1034" s="220"/>
      <c r="O1034" s="220"/>
      <c r="P1034" s="220"/>
      <c r="R1034" s="210"/>
      <c r="S1034" s="210"/>
      <c r="T1034" s="210"/>
      <c r="U1034" s="210"/>
      <c r="X1034" s="210"/>
      <c r="Y1034" s="210"/>
      <c r="Z1034" s="210"/>
      <c r="AA1034" s="210"/>
      <c r="AB1034" s="210"/>
      <c r="AC1034" s="210"/>
      <c r="AD1034" s="210"/>
      <c r="AE1034" s="210"/>
      <c r="AF1034" s="210"/>
      <c r="AG1034" s="210"/>
      <c r="AH1034" s="210"/>
      <c r="AI1034" s="210"/>
      <c r="AJ1034" s="210"/>
      <c r="AK1034" s="210"/>
      <c r="AL1034" s="210"/>
      <c r="AM1034" s="210"/>
      <c r="AN1034" s="210"/>
      <c r="AO1034" s="210"/>
      <c r="AP1034" s="210"/>
      <c r="AQ1034" s="210"/>
    </row>
    <row r="1035">
      <c r="A1035" s="190"/>
      <c r="B1035" s="190"/>
      <c r="C1035" s="190"/>
      <c r="D1035" s="190"/>
      <c r="E1035" s="190"/>
      <c r="F1035" s="190"/>
      <c r="G1035" s="190"/>
      <c r="H1035" s="190"/>
      <c r="I1035" s="190"/>
      <c r="J1035" s="190"/>
      <c r="K1035" s="190"/>
      <c r="L1035" s="190"/>
      <c r="M1035" s="190"/>
      <c r="N1035" s="220"/>
      <c r="O1035" s="220"/>
      <c r="P1035" s="220"/>
      <c r="R1035" s="210"/>
      <c r="S1035" s="210"/>
      <c r="T1035" s="210"/>
      <c r="U1035" s="210"/>
      <c r="X1035" s="210"/>
      <c r="Y1035" s="210"/>
      <c r="Z1035" s="210"/>
      <c r="AA1035" s="210"/>
      <c r="AB1035" s="210"/>
      <c r="AC1035" s="210"/>
      <c r="AD1035" s="210"/>
      <c r="AE1035" s="210"/>
      <c r="AF1035" s="210"/>
      <c r="AG1035" s="210"/>
      <c r="AH1035" s="210"/>
      <c r="AI1035" s="210"/>
      <c r="AJ1035" s="210"/>
      <c r="AK1035" s="210"/>
      <c r="AL1035" s="210"/>
      <c r="AM1035" s="210"/>
      <c r="AN1035" s="210"/>
      <c r="AO1035" s="210"/>
      <c r="AP1035" s="210"/>
      <c r="AQ1035" s="210"/>
    </row>
    <row r="1036">
      <c r="A1036" s="190"/>
      <c r="B1036" s="190"/>
      <c r="C1036" s="190"/>
      <c r="D1036" s="190"/>
      <c r="E1036" s="190"/>
      <c r="F1036" s="190"/>
      <c r="G1036" s="190"/>
      <c r="H1036" s="190"/>
      <c r="I1036" s="190"/>
      <c r="J1036" s="190"/>
      <c r="K1036" s="190"/>
      <c r="L1036" s="190"/>
      <c r="M1036" s="190"/>
      <c r="N1036" s="220"/>
      <c r="O1036" s="220"/>
      <c r="P1036" s="220"/>
      <c r="R1036" s="210"/>
      <c r="S1036" s="210"/>
      <c r="T1036" s="210"/>
      <c r="U1036" s="210"/>
      <c r="X1036" s="210"/>
      <c r="Y1036" s="210"/>
      <c r="Z1036" s="210"/>
      <c r="AA1036" s="210"/>
      <c r="AB1036" s="210"/>
      <c r="AC1036" s="210"/>
      <c r="AD1036" s="210"/>
      <c r="AE1036" s="210"/>
      <c r="AF1036" s="210"/>
      <c r="AG1036" s="210"/>
      <c r="AH1036" s="210"/>
      <c r="AI1036" s="210"/>
      <c r="AJ1036" s="210"/>
      <c r="AK1036" s="210"/>
      <c r="AL1036" s="210"/>
      <c r="AM1036" s="210"/>
      <c r="AN1036" s="210"/>
      <c r="AO1036" s="210"/>
      <c r="AP1036" s="210"/>
      <c r="AQ1036" s="210"/>
    </row>
    <row r="1037">
      <c r="A1037" s="190"/>
      <c r="B1037" s="190"/>
      <c r="C1037" s="190"/>
      <c r="D1037" s="190"/>
      <c r="E1037" s="190"/>
      <c r="F1037" s="190"/>
      <c r="G1037" s="190"/>
      <c r="H1037" s="190"/>
      <c r="I1037" s="190"/>
      <c r="J1037" s="190"/>
      <c r="K1037" s="190"/>
      <c r="L1037" s="190"/>
      <c r="M1037" s="190"/>
      <c r="N1037" s="220"/>
      <c r="O1037" s="220"/>
      <c r="P1037" s="220"/>
      <c r="R1037" s="210"/>
      <c r="S1037" s="210"/>
      <c r="T1037" s="210"/>
      <c r="U1037" s="210"/>
      <c r="X1037" s="210"/>
      <c r="Y1037" s="210"/>
      <c r="Z1037" s="210"/>
      <c r="AA1037" s="210"/>
      <c r="AB1037" s="210"/>
      <c r="AC1037" s="210"/>
      <c r="AD1037" s="210"/>
      <c r="AE1037" s="210"/>
      <c r="AF1037" s="210"/>
      <c r="AG1037" s="210"/>
      <c r="AH1037" s="210"/>
      <c r="AI1037" s="210"/>
      <c r="AJ1037" s="210"/>
      <c r="AK1037" s="210"/>
      <c r="AL1037" s="210"/>
      <c r="AM1037" s="210"/>
      <c r="AN1037" s="210"/>
      <c r="AO1037" s="210"/>
      <c r="AP1037" s="210"/>
      <c r="AQ1037" s="210"/>
    </row>
    <row r="1038">
      <c r="A1038" s="190"/>
      <c r="B1038" s="190"/>
      <c r="C1038" s="190"/>
      <c r="D1038" s="190"/>
      <c r="E1038" s="190"/>
      <c r="F1038" s="190"/>
      <c r="G1038" s="190"/>
      <c r="H1038" s="190"/>
      <c r="I1038" s="190"/>
      <c r="J1038" s="190"/>
      <c r="K1038" s="190"/>
      <c r="L1038" s="190"/>
      <c r="M1038" s="190"/>
      <c r="N1038" s="220"/>
      <c r="O1038" s="220"/>
      <c r="P1038" s="220"/>
      <c r="R1038" s="210"/>
      <c r="S1038" s="210"/>
      <c r="T1038" s="210"/>
      <c r="U1038" s="210"/>
      <c r="X1038" s="210"/>
      <c r="Y1038" s="210"/>
      <c r="Z1038" s="210"/>
      <c r="AA1038" s="210"/>
      <c r="AB1038" s="210"/>
      <c r="AC1038" s="210"/>
      <c r="AD1038" s="210"/>
      <c r="AE1038" s="210"/>
      <c r="AF1038" s="210"/>
      <c r="AG1038" s="210"/>
      <c r="AH1038" s="210"/>
      <c r="AI1038" s="210"/>
      <c r="AJ1038" s="210"/>
      <c r="AK1038" s="210"/>
      <c r="AL1038" s="210"/>
      <c r="AM1038" s="210"/>
      <c r="AN1038" s="210"/>
      <c r="AO1038" s="210"/>
      <c r="AP1038" s="210"/>
      <c r="AQ1038" s="210"/>
    </row>
    <row r="1039">
      <c r="A1039" s="190"/>
      <c r="B1039" s="190"/>
      <c r="C1039" s="190"/>
      <c r="D1039" s="190"/>
      <c r="E1039" s="190"/>
      <c r="F1039" s="190"/>
      <c r="G1039" s="190"/>
      <c r="H1039" s="190"/>
      <c r="I1039" s="190"/>
      <c r="J1039" s="190"/>
      <c r="K1039" s="190"/>
      <c r="L1039" s="190"/>
      <c r="M1039" s="190"/>
      <c r="N1039" s="220"/>
      <c r="O1039" s="220"/>
      <c r="P1039" s="220"/>
      <c r="R1039" s="210"/>
      <c r="S1039" s="210"/>
      <c r="T1039" s="210"/>
      <c r="U1039" s="210"/>
      <c r="X1039" s="210"/>
      <c r="Y1039" s="210"/>
      <c r="Z1039" s="210"/>
      <c r="AA1039" s="210"/>
      <c r="AB1039" s="210"/>
      <c r="AC1039" s="210"/>
      <c r="AD1039" s="210"/>
      <c r="AE1039" s="210"/>
      <c r="AF1039" s="210"/>
      <c r="AG1039" s="210"/>
      <c r="AH1039" s="210"/>
      <c r="AI1039" s="210"/>
      <c r="AJ1039" s="210"/>
      <c r="AK1039" s="210"/>
      <c r="AL1039" s="210"/>
      <c r="AM1039" s="210"/>
      <c r="AN1039" s="210"/>
      <c r="AO1039" s="210"/>
      <c r="AP1039" s="210"/>
      <c r="AQ1039" s="210"/>
    </row>
    <row r="1040">
      <c r="A1040" s="190"/>
      <c r="B1040" s="190"/>
      <c r="C1040" s="190"/>
      <c r="D1040" s="190"/>
      <c r="E1040" s="190"/>
      <c r="F1040" s="190"/>
      <c r="G1040" s="190"/>
      <c r="H1040" s="190"/>
      <c r="I1040" s="190"/>
      <c r="J1040" s="190"/>
      <c r="K1040" s="190"/>
      <c r="L1040" s="190"/>
      <c r="M1040" s="190"/>
      <c r="N1040" s="220"/>
      <c r="O1040" s="220"/>
      <c r="P1040" s="220"/>
      <c r="R1040" s="210"/>
      <c r="S1040" s="210"/>
      <c r="T1040" s="210"/>
      <c r="U1040" s="210"/>
      <c r="X1040" s="210"/>
      <c r="Y1040" s="210"/>
      <c r="Z1040" s="210"/>
      <c r="AA1040" s="210"/>
      <c r="AB1040" s="210"/>
      <c r="AC1040" s="210"/>
      <c r="AD1040" s="210"/>
      <c r="AE1040" s="210"/>
      <c r="AF1040" s="210"/>
      <c r="AG1040" s="210"/>
      <c r="AH1040" s="210"/>
      <c r="AI1040" s="210"/>
      <c r="AJ1040" s="210"/>
      <c r="AK1040" s="210"/>
      <c r="AL1040" s="210"/>
      <c r="AM1040" s="210"/>
      <c r="AN1040" s="210"/>
      <c r="AO1040" s="210"/>
      <c r="AP1040" s="210"/>
      <c r="AQ1040" s="210"/>
    </row>
    <row r="1041">
      <c r="A1041" s="190"/>
      <c r="B1041" s="190"/>
      <c r="C1041" s="190"/>
      <c r="D1041" s="190"/>
      <c r="E1041" s="190"/>
      <c r="F1041" s="190"/>
      <c r="G1041" s="190"/>
      <c r="H1041" s="190"/>
      <c r="I1041" s="190"/>
      <c r="J1041" s="190"/>
      <c r="K1041" s="190"/>
      <c r="L1041" s="190"/>
      <c r="M1041" s="190"/>
      <c r="N1041" s="220"/>
      <c r="O1041" s="220"/>
      <c r="P1041" s="220"/>
      <c r="R1041" s="210"/>
      <c r="S1041" s="210"/>
      <c r="T1041" s="210"/>
      <c r="U1041" s="210"/>
      <c r="X1041" s="210"/>
      <c r="Y1041" s="210"/>
      <c r="Z1041" s="210"/>
      <c r="AA1041" s="210"/>
      <c r="AB1041" s="210"/>
      <c r="AC1041" s="210"/>
      <c r="AD1041" s="210"/>
      <c r="AE1041" s="210"/>
      <c r="AF1041" s="210"/>
      <c r="AG1041" s="210"/>
      <c r="AH1041" s="210"/>
      <c r="AI1041" s="210"/>
      <c r="AJ1041" s="210"/>
      <c r="AK1041" s="210"/>
      <c r="AL1041" s="210"/>
      <c r="AM1041" s="210"/>
      <c r="AN1041" s="210"/>
      <c r="AO1041" s="210"/>
      <c r="AP1041" s="210"/>
      <c r="AQ1041" s="210"/>
    </row>
    <row r="1042">
      <c r="A1042" s="190"/>
      <c r="B1042" s="190"/>
      <c r="C1042" s="190"/>
      <c r="D1042" s="190"/>
      <c r="E1042" s="190"/>
      <c r="F1042" s="190"/>
      <c r="G1042" s="190"/>
      <c r="H1042" s="190"/>
      <c r="I1042" s="190"/>
      <c r="J1042" s="190"/>
      <c r="K1042" s="190"/>
      <c r="L1042" s="190"/>
      <c r="M1042" s="190"/>
      <c r="N1042" s="220"/>
      <c r="O1042" s="220"/>
      <c r="P1042" s="220"/>
      <c r="R1042" s="210"/>
      <c r="S1042" s="210"/>
      <c r="T1042" s="210"/>
      <c r="U1042" s="210"/>
      <c r="X1042" s="210"/>
      <c r="Y1042" s="210"/>
      <c r="Z1042" s="210"/>
      <c r="AA1042" s="210"/>
      <c r="AB1042" s="210"/>
      <c r="AC1042" s="210"/>
      <c r="AD1042" s="210"/>
      <c r="AE1042" s="210"/>
      <c r="AF1042" s="210"/>
      <c r="AG1042" s="210"/>
      <c r="AH1042" s="210"/>
      <c r="AI1042" s="210"/>
      <c r="AJ1042" s="210"/>
      <c r="AK1042" s="210"/>
      <c r="AL1042" s="210"/>
      <c r="AM1042" s="210"/>
      <c r="AN1042" s="210"/>
      <c r="AO1042" s="210"/>
      <c r="AP1042" s="210"/>
      <c r="AQ1042" s="210"/>
    </row>
    <row r="1043">
      <c r="A1043" s="190"/>
      <c r="B1043" s="190"/>
      <c r="C1043" s="190"/>
      <c r="D1043" s="190"/>
      <c r="E1043" s="190"/>
      <c r="F1043" s="190"/>
      <c r="G1043" s="190"/>
      <c r="H1043" s="190"/>
      <c r="I1043" s="190"/>
      <c r="J1043" s="190"/>
      <c r="K1043" s="190"/>
      <c r="L1043" s="190"/>
      <c r="M1043" s="190"/>
      <c r="N1043" s="220"/>
      <c r="O1043" s="220"/>
      <c r="P1043" s="220"/>
      <c r="R1043" s="210"/>
      <c r="S1043" s="210"/>
      <c r="T1043" s="210"/>
      <c r="U1043" s="210"/>
      <c r="X1043" s="210"/>
      <c r="Y1043" s="210"/>
      <c r="Z1043" s="210"/>
      <c r="AA1043" s="210"/>
      <c r="AB1043" s="210"/>
      <c r="AC1043" s="210"/>
      <c r="AD1043" s="210"/>
      <c r="AE1043" s="210"/>
      <c r="AF1043" s="210"/>
      <c r="AG1043" s="210"/>
      <c r="AH1043" s="210"/>
      <c r="AI1043" s="210"/>
      <c r="AJ1043" s="210"/>
      <c r="AK1043" s="210"/>
      <c r="AL1043" s="210"/>
      <c r="AM1043" s="210"/>
      <c r="AN1043" s="210"/>
      <c r="AO1043" s="210"/>
      <c r="AP1043" s="210"/>
      <c r="AQ1043" s="210"/>
    </row>
    <row r="1044">
      <c r="A1044" s="190"/>
      <c r="B1044" s="190"/>
      <c r="C1044" s="190"/>
      <c r="D1044" s="190"/>
      <c r="E1044" s="190"/>
      <c r="F1044" s="190"/>
      <c r="G1044" s="190"/>
      <c r="H1044" s="190"/>
      <c r="I1044" s="190"/>
      <c r="J1044" s="190"/>
      <c r="K1044" s="190"/>
      <c r="L1044" s="190"/>
      <c r="M1044" s="190"/>
      <c r="N1044" s="220"/>
      <c r="O1044" s="220"/>
      <c r="P1044" s="220"/>
      <c r="R1044" s="210"/>
      <c r="S1044" s="210"/>
      <c r="T1044" s="210"/>
      <c r="U1044" s="210"/>
      <c r="X1044" s="210"/>
      <c r="Y1044" s="210"/>
      <c r="Z1044" s="210"/>
      <c r="AA1044" s="210"/>
      <c r="AB1044" s="210"/>
      <c r="AC1044" s="210"/>
      <c r="AD1044" s="210"/>
      <c r="AE1044" s="210"/>
      <c r="AF1044" s="210"/>
      <c r="AG1044" s="210"/>
      <c r="AH1044" s="210"/>
      <c r="AI1044" s="210"/>
      <c r="AJ1044" s="210"/>
      <c r="AK1044" s="210"/>
      <c r="AL1044" s="210"/>
      <c r="AM1044" s="210"/>
      <c r="AN1044" s="210"/>
      <c r="AO1044" s="210"/>
      <c r="AP1044" s="210"/>
      <c r="AQ1044" s="210"/>
    </row>
    <row r="1045">
      <c r="A1045" s="190"/>
      <c r="B1045" s="190"/>
      <c r="C1045" s="190"/>
      <c r="D1045" s="190"/>
      <c r="E1045" s="190"/>
      <c r="F1045" s="190"/>
      <c r="G1045" s="190"/>
      <c r="H1045" s="190"/>
      <c r="I1045" s="190"/>
      <c r="J1045" s="190"/>
      <c r="K1045" s="190"/>
      <c r="L1045" s="190"/>
      <c r="M1045" s="190"/>
      <c r="N1045" s="220"/>
      <c r="O1045" s="220"/>
      <c r="P1045" s="220"/>
      <c r="R1045" s="210"/>
      <c r="S1045" s="210"/>
      <c r="T1045" s="210"/>
      <c r="U1045" s="210"/>
      <c r="X1045" s="210"/>
      <c r="Y1045" s="210"/>
      <c r="Z1045" s="210"/>
      <c r="AA1045" s="210"/>
      <c r="AB1045" s="210"/>
      <c r="AC1045" s="210"/>
      <c r="AD1045" s="210"/>
      <c r="AE1045" s="210"/>
      <c r="AF1045" s="210"/>
      <c r="AG1045" s="210"/>
      <c r="AH1045" s="210"/>
      <c r="AI1045" s="210"/>
      <c r="AJ1045" s="210"/>
      <c r="AK1045" s="210"/>
      <c r="AL1045" s="210"/>
      <c r="AM1045" s="210"/>
      <c r="AN1045" s="210"/>
      <c r="AO1045" s="210"/>
      <c r="AP1045" s="210"/>
      <c r="AQ1045" s="210"/>
    </row>
    <row r="1046">
      <c r="A1046" s="190"/>
      <c r="B1046" s="190"/>
      <c r="C1046" s="190"/>
      <c r="D1046" s="190"/>
      <c r="E1046" s="190"/>
      <c r="F1046" s="190"/>
      <c r="G1046" s="190"/>
      <c r="H1046" s="190"/>
      <c r="I1046" s="190"/>
      <c r="J1046" s="190"/>
      <c r="K1046" s="190"/>
      <c r="L1046" s="190"/>
      <c r="M1046" s="190"/>
      <c r="N1046" s="220"/>
      <c r="O1046" s="220"/>
      <c r="P1046" s="220"/>
      <c r="R1046" s="210"/>
      <c r="S1046" s="210"/>
      <c r="T1046" s="210"/>
      <c r="U1046" s="210"/>
      <c r="X1046" s="210"/>
      <c r="Y1046" s="210"/>
      <c r="Z1046" s="210"/>
      <c r="AA1046" s="210"/>
      <c r="AB1046" s="210"/>
      <c r="AC1046" s="210"/>
      <c r="AD1046" s="210"/>
      <c r="AE1046" s="210"/>
      <c r="AF1046" s="210"/>
      <c r="AG1046" s="210"/>
      <c r="AH1046" s="210"/>
      <c r="AI1046" s="210"/>
      <c r="AJ1046" s="210"/>
      <c r="AK1046" s="210"/>
      <c r="AL1046" s="210"/>
      <c r="AM1046" s="210"/>
      <c r="AN1046" s="210"/>
      <c r="AO1046" s="210"/>
      <c r="AP1046" s="210"/>
      <c r="AQ1046" s="210"/>
    </row>
    <row r="1047">
      <c r="A1047" s="190"/>
      <c r="B1047" s="190"/>
      <c r="C1047" s="190"/>
      <c r="D1047" s="190"/>
      <c r="E1047" s="190"/>
      <c r="F1047" s="190"/>
      <c r="G1047" s="190"/>
      <c r="H1047" s="190"/>
      <c r="I1047" s="190"/>
      <c r="J1047" s="190"/>
      <c r="K1047" s="190"/>
      <c r="L1047" s="190"/>
      <c r="M1047" s="190"/>
      <c r="N1047" s="220"/>
      <c r="O1047" s="220"/>
      <c r="P1047" s="220"/>
      <c r="R1047" s="210"/>
      <c r="S1047" s="210"/>
      <c r="T1047" s="210"/>
      <c r="U1047" s="210"/>
      <c r="X1047" s="210"/>
      <c r="Y1047" s="210"/>
      <c r="Z1047" s="210"/>
      <c r="AA1047" s="210"/>
      <c r="AB1047" s="210"/>
      <c r="AC1047" s="210"/>
      <c r="AD1047" s="210"/>
      <c r="AE1047" s="210"/>
      <c r="AF1047" s="210"/>
      <c r="AG1047" s="210"/>
      <c r="AH1047" s="210"/>
      <c r="AI1047" s="210"/>
      <c r="AJ1047" s="210"/>
      <c r="AK1047" s="210"/>
      <c r="AL1047" s="210"/>
      <c r="AM1047" s="210"/>
      <c r="AN1047" s="210"/>
      <c r="AO1047" s="210"/>
      <c r="AP1047" s="210"/>
      <c r="AQ1047" s="210"/>
    </row>
    <row r="1048">
      <c r="A1048" s="190"/>
      <c r="B1048" s="190"/>
      <c r="C1048" s="190"/>
      <c r="D1048" s="190"/>
      <c r="E1048" s="190"/>
      <c r="F1048" s="190"/>
      <c r="G1048" s="190"/>
      <c r="H1048" s="190"/>
      <c r="I1048" s="190"/>
      <c r="J1048" s="190"/>
      <c r="K1048" s="190"/>
      <c r="L1048" s="190"/>
      <c r="M1048" s="190"/>
      <c r="N1048" s="220"/>
      <c r="O1048" s="220"/>
      <c r="P1048" s="220"/>
      <c r="R1048" s="210"/>
      <c r="S1048" s="210"/>
      <c r="T1048" s="210"/>
      <c r="U1048" s="210"/>
      <c r="X1048" s="210"/>
      <c r="Y1048" s="210"/>
      <c r="Z1048" s="210"/>
      <c r="AA1048" s="210"/>
      <c r="AB1048" s="210"/>
      <c r="AC1048" s="210"/>
      <c r="AD1048" s="210"/>
      <c r="AE1048" s="210"/>
      <c r="AF1048" s="210"/>
      <c r="AG1048" s="210"/>
      <c r="AH1048" s="210"/>
      <c r="AI1048" s="210"/>
      <c r="AJ1048" s="210"/>
      <c r="AK1048" s="210"/>
      <c r="AL1048" s="210"/>
      <c r="AM1048" s="210"/>
      <c r="AN1048" s="210"/>
      <c r="AO1048" s="210"/>
      <c r="AP1048" s="210"/>
      <c r="AQ1048" s="210"/>
    </row>
    <row r="1049">
      <c r="A1049" s="190"/>
      <c r="B1049" s="190"/>
      <c r="C1049" s="190"/>
      <c r="D1049" s="190"/>
      <c r="E1049" s="190"/>
      <c r="F1049" s="190"/>
      <c r="G1049" s="190"/>
      <c r="H1049" s="190"/>
      <c r="I1049" s="190"/>
      <c r="J1049" s="190"/>
      <c r="K1049" s="190"/>
      <c r="L1049" s="190"/>
      <c r="M1049" s="190"/>
      <c r="N1049" s="220"/>
      <c r="O1049" s="220"/>
      <c r="P1049" s="220"/>
      <c r="R1049" s="210"/>
      <c r="S1049" s="210"/>
      <c r="T1049" s="210"/>
      <c r="U1049" s="210"/>
      <c r="X1049" s="210"/>
      <c r="Y1049" s="210"/>
      <c r="Z1049" s="210"/>
      <c r="AA1049" s="210"/>
      <c r="AB1049" s="210"/>
      <c r="AC1049" s="210"/>
      <c r="AD1049" s="210"/>
      <c r="AE1049" s="210"/>
      <c r="AF1049" s="210"/>
      <c r="AG1049" s="210"/>
      <c r="AH1049" s="210"/>
      <c r="AI1049" s="210"/>
      <c r="AJ1049" s="210"/>
      <c r="AK1049" s="210"/>
      <c r="AL1049" s="210"/>
      <c r="AM1049" s="210"/>
      <c r="AN1049" s="210"/>
      <c r="AO1049" s="210"/>
      <c r="AP1049" s="210"/>
      <c r="AQ1049" s="210"/>
    </row>
    <row r="1050">
      <c r="A1050" s="190"/>
      <c r="B1050" s="190"/>
      <c r="C1050" s="190"/>
      <c r="D1050" s="190"/>
      <c r="E1050" s="190"/>
      <c r="F1050" s="190"/>
      <c r="G1050" s="190"/>
      <c r="H1050" s="190"/>
      <c r="I1050" s="190"/>
      <c r="J1050" s="190"/>
      <c r="K1050" s="190"/>
      <c r="L1050" s="190"/>
      <c r="M1050" s="190"/>
      <c r="N1050" s="220"/>
      <c r="O1050" s="220"/>
      <c r="P1050" s="220"/>
      <c r="R1050" s="210"/>
      <c r="S1050" s="210"/>
      <c r="T1050" s="210"/>
      <c r="U1050" s="210"/>
      <c r="X1050" s="210"/>
      <c r="Y1050" s="210"/>
      <c r="Z1050" s="210"/>
      <c r="AA1050" s="210"/>
      <c r="AB1050" s="210"/>
      <c r="AC1050" s="210"/>
      <c r="AD1050" s="210"/>
      <c r="AE1050" s="210"/>
      <c r="AF1050" s="210"/>
      <c r="AG1050" s="210"/>
      <c r="AH1050" s="210"/>
      <c r="AI1050" s="210"/>
      <c r="AJ1050" s="210"/>
      <c r="AK1050" s="210"/>
      <c r="AL1050" s="210"/>
      <c r="AM1050" s="210"/>
      <c r="AN1050" s="210"/>
      <c r="AO1050" s="210"/>
      <c r="AP1050" s="210"/>
      <c r="AQ1050" s="210"/>
    </row>
    <row r="1051">
      <c r="A1051" s="190"/>
      <c r="B1051" s="190"/>
      <c r="C1051" s="190"/>
      <c r="D1051" s="190"/>
      <c r="E1051" s="190"/>
      <c r="F1051" s="190"/>
      <c r="G1051" s="190"/>
      <c r="H1051" s="190"/>
      <c r="I1051" s="190"/>
      <c r="J1051" s="190"/>
      <c r="K1051" s="190"/>
      <c r="L1051" s="190"/>
      <c r="M1051" s="190"/>
      <c r="N1051" s="220"/>
      <c r="O1051" s="220"/>
      <c r="P1051" s="220"/>
      <c r="R1051" s="210"/>
      <c r="S1051" s="210"/>
      <c r="T1051" s="210"/>
      <c r="U1051" s="210"/>
      <c r="X1051" s="210"/>
      <c r="Y1051" s="210"/>
      <c r="Z1051" s="210"/>
      <c r="AA1051" s="210"/>
      <c r="AB1051" s="210"/>
      <c r="AC1051" s="210"/>
      <c r="AD1051" s="210"/>
      <c r="AE1051" s="210"/>
      <c r="AF1051" s="210"/>
      <c r="AG1051" s="210"/>
      <c r="AH1051" s="210"/>
      <c r="AI1051" s="210"/>
      <c r="AJ1051" s="210"/>
      <c r="AK1051" s="210"/>
      <c r="AL1051" s="210"/>
      <c r="AM1051" s="210"/>
      <c r="AN1051" s="210"/>
      <c r="AO1051" s="210"/>
      <c r="AP1051" s="210"/>
      <c r="AQ1051" s="210"/>
    </row>
    <row r="1052">
      <c r="A1052" s="190"/>
      <c r="B1052" s="190"/>
      <c r="C1052" s="190"/>
      <c r="D1052" s="190"/>
      <c r="E1052" s="190"/>
      <c r="F1052" s="190"/>
      <c r="G1052" s="190"/>
      <c r="H1052" s="190"/>
      <c r="I1052" s="190"/>
      <c r="J1052" s="190"/>
      <c r="K1052" s="190"/>
      <c r="L1052" s="190"/>
      <c r="M1052" s="190"/>
      <c r="N1052" s="220"/>
      <c r="O1052" s="220"/>
      <c r="P1052" s="220"/>
      <c r="R1052" s="210"/>
      <c r="S1052" s="210"/>
      <c r="T1052" s="210"/>
      <c r="U1052" s="210"/>
      <c r="X1052" s="210"/>
      <c r="Y1052" s="210"/>
      <c r="Z1052" s="210"/>
      <c r="AA1052" s="210"/>
      <c r="AB1052" s="210"/>
      <c r="AC1052" s="210"/>
      <c r="AD1052" s="210"/>
      <c r="AE1052" s="210"/>
      <c r="AF1052" s="210"/>
      <c r="AG1052" s="210"/>
      <c r="AH1052" s="210"/>
      <c r="AI1052" s="210"/>
      <c r="AJ1052" s="210"/>
      <c r="AK1052" s="210"/>
      <c r="AL1052" s="210"/>
      <c r="AM1052" s="210"/>
      <c r="AN1052" s="210"/>
      <c r="AO1052" s="210"/>
      <c r="AP1052" s="210"/>
      <c r="AQ1052" s="210"/>
    </row>
    <row r="1053">
      <c r="A1053" s="190"/>
      <c r="B1053" s="190"/>
      <c r="C1053" s="190"/>
      <c r="D1053" s="190"/>
      <c r="E1053" s="190"/>
      <c r="F1053" s="190"/>
      <c r="G1053" s="190"/>
      <c r="H1053" s="190"/>
      <c r="I1053" s="190"/>
      <c r="J1053" s="190"/>
      <c r="K1053" s="190"/>
      <c r="L1053" s="190"/>
      <c r="M1053" s="190"/>
      <c r="N1053" s="220"/>
      <c r="O1053" s="220"/>
      <c r="P1053" s="220"/>
      <c r="R1053" s="210"/>
      <c r="S1053" s="210"/>
      <c r="T1053" s="210"/>
      <c r="U1053" s="210"/>
      <c r="X1053" s="210"/>
      <c r="Y1053" s="210"/>
      <c r="Z1053" s="210"/>
      <c r="AA1053" s="210"/>
      <c r="AB1053" s="210"/>
      <c r="AC1053" s="210"/>
      <c r="AD1053" s="210"/>
      <c r="AE1053" s="210"/>
      <c r="AF1053" s="210"/>
      <c r="AG1053" s="210"/>
      <c r="AH1053" s="210"/>
      <c r="AI1053" s="210"/>
      <c r="AJ1053" s="210"/>
      <c r="AK1053" s="210"/>
      <c r="AL1053" s="210"/>
      <c r="AM1053" s="210"/>
      <c r="AN1053" s="210"/>
      <c r="AO1053" s="210"/>
      <c r="AP1053" s="210"/>
      <c r="AQ1053" s="210"/>
    </row>
    <row r="1054">
      <c r="A1054" s="190"/>
      <c r="B1054" s="190"/>
      <c r="C1054" s="190"/>
      <c r="D1054" s="190"/>
      <c r="E1054" s="190"/>
      <c r="F1054" s="190"/>
      <c r="G1054" s="190"/>
      <c r="H1054" s="190"/>
      <c r="I1054" s="190"/>
      <c r="J1054" s="190"/>
      <c r="K1054" s="190"/>
      <c r="L1054" s="190"/>
      <c r="M1054" s="190"/>
      <c r="N1054" s="220"/>
      <c r="O1054" s="220"/>
      <c r="P1054" s="220"/>
      <c r="R1054" s="210"/>
      <c r="S1054" s="210"/>
      <c r="T1054" s="210"/>
      <c r="U1054" s="210"/>
      <c r="X1054" s="210"/>
      <c r="Y1054" s="210"/>
      <c r="Z1054" s="210"/>
      <c r="AA1054" s="210"/>
      <c r="AB1054" s="210"/>
      <c r="AC1054" s="210"/>
      <c r="AD1054" s="210"/>
      <c r="AE1054" s="210"/>
      <c r="AF1054" s="210"/>
      <c r="AG1054" s="210"/>
      <c r="AH1054" s="210"/>
      <c r="AI1054" s="210"/>
      <c r="AJ1054" s="210"/>
      <c r="AK1054" s="210"/>
      <c r="AL1054" s="210"/>
      <c r="AM1054" s="210"/>
      <c r="AN1054" s="210"/>
      <c r="AO1054" s="210"/>
      <c r="AP1054" s="210"/>
      <c r="AQ1054" s="210"/>
    </row>
    <row r="1055">
      <c r="A1055" s="190"/>
      <c r="B1055" s="190"/>
      <c r="C1055" s="190"/>
      <c r="D1055" s="190"/>
      <c r="E1055" s="190"/>
      <c r="F1055" s="190"/>
      <c r="G1055" s="190"/>
      <c r="H1055" s="190"/>
      <c r="I1055" s="190"/>
      <c r="J1055" s="190"/>
      <c r="K1055" s="190"/>
      <c r="L1055" s="190"/>
      <c r="M1055" s="190"/>
      <c r="N1055" s="220"/>
      <c r="O1055" s="220"/>
      <c r="P1055" s="220"/>
      <c r="R1055" s="210"/>
      <c r="S1055" s="210"/>
      <c r="T1055" s="210"/>
      <c r="U1055" s="210"/>
      <c r="X1055" s="210"/>
      <c r="Y1055" s="210"/>
      <c r="Z1055" s="210"/>
      <c r="AA1055" s="210"/>
      <c r="AB1055" s="210"/>
      <c r="AC1055" s="210"/>
      <c r="AD1055" s="210"/>
      <c r="AE1055" s="210"/>
      <c r="AF1055" s="210"/>
      <c r="AG1055" s="210"/>
      <c r="AH1055" s="210"/>
      <c r="AI1055" s="210"/>
      <c r="AJ1055" s="210"/>
      <c r="AK1055" s="210"/>
      <c r="AL1055" s="210"/>
      <c r="AM1055" s="210"/>
      <c r="AN1055" s="210"/>
      <c r="AO1055" s="210"/>
      <c r="AP1055" s="210"/>
      <c r="AQ1055" s="210"/>
    </row>
    <row r="1056">
      <c r="A1056" s="190"/>
      <c r="B1056" s="190"/>
      <c r="C1056" s="190"/>
      <c r="D1056" s="190"/>
      <c r="E1056" s="190"/>
      <c r="F1056" s="190"/>
      <c r="G1056" s="190"/>
      <c r="H1056" s="190"/>
      <c r="I1056" s="190"/>
      <c r="J1056" s="190"/>
      <c r="K1056" s="190"/>
      <c r="L1056" s="190"/>
      <c r="M1056" s="190"/>
      <c r="N1056" s="220"/>
      <c r="O1056" s="220"/>
      <c r="P1056" s="220"/>
      <c r="R1056" s="210"/>
      <c r="S1056" s="210"/>
      <c r="T1056" s="210"/>
      <c r="U1056" s="210"/>
      <c r="X1056" s="210"/>
      <c r="Y1056" s="210"/>
      <c r="Z1056" s="210"/>
      <c r="AA1056" s="210"/>
      <c r="AB1056" s="210"/>
      <c r="AC1056" s="210"/>
      <c r="AD1056" s="210"/>
      <c r="AE1056" s="210"/>
      <c r="AF1056" s="210"/>
      <c r="AG1056" s="210"/>
      <c r="AH1056" s="210"/>
      <c r="AI1056" s="210"/>
      <c r="AJ1056" s="210"/>
      <c r="AK1056" s="210"/>
      <c r="AL1056" s="210"/>
      <c r="AM1056" s="210"/>
      <c r="AN1056" s="210"/>
      <c r="AO1056" s="210"/>
      <c r="AP1056" s="210"/>
      <c r="AQ1056" s="210"/>
    </row>
    <row r="1057">
      <c r="A1057" s="190"/>
      <c r="B1057" s="190"/>
      <c r="C1057" s="190"/>
      <c r="D1057" s="190"/>
      <c r="E1057" s="190"/>
      <c r="F1057" s="190"/>
      <c r="G1057" s="190"/>
      <c r="H1057" s="190"/>
      <c r="I1057" s="190"/>
      <c r="J1057" s="190"/>
      <c r="K1057" s="190"/>
      <c r="L1057" s="190"/>
      <c r="M1057" s="190"/>
      <c r="N1057" s="220"/>
      <c r="O1057" s="220"/>
      <c r="P1057" s="220"/>
      <c r="R1057" s="210"/>
      <c r="S1057" s="210"/>
      <c r="T1057" s="210"/>
      <c r="U1057" s="210"/>
      <c r="X1057" s="210"/>
      <c r="Y1057" s="210"/>
      <c r="Z1057" s="210"/>
      <c r="AA1057" s="210"/>
      <c r="AB1057" s="210"/>
      <c r="AC1057" s="210"/>
      <c r="AD1057" s="210"/>
      <c r="AE1057" s="210"/>
      <c r="AF1057" s="210"/>
      <c r="AG1057" s="210"/>
      <c r="AH1057" s="210"/>
      <c r="AI1057" s="210"/>
      <c r="AJ1057" s="210"/>
      <c r="AK1057" s="210"/>
      <c r="AL1057" s="210"/>
      <c r="AM1057" s="210"/>
      <c r="AN1057" s="210"/>
      <c r="AO1057" s="210"/>
      <c r="AP1057" s="210"/>
      <c r="AQ1057" s="210"/>
    </row>
    <row r="1058">
      <c r="A1058" s="190"/>
      <c r="B1058" s="190"/>
      <c r="C1058" s="190"/>
      <c r="D1058" s="190"/>
      <c r="E1058" s="190"/>
      <c r="F1058" s="190"/>
      <c r="G1058" s="190"/>
      <c r="H1058" s="190"/>
      <c r="I1058" s="190"/>
      <c r="J1058" s="190"/>
      <c r="K1058" s="190"/>
      <c r="L1058" s="190"/>
      <c r="M1058" s="190"/>
      <c r="N1058" s="220"/>
      <c r="O1058" s="220"/>
      <c r="P1058" s="220"/>
      <c r="R1058" s="210"/>
      <c r="S1058" s="210"/>
      <c r="T1058" s="210"/>
      <c r="U1058" s="210"/>
      <c r="X1058" s="210"/>
      <c r="Y1058" s="210"/>
      <c r="Z1058" s="210"/>
      <c r="AA1058" s="210"/>
      <c r="AB1058" s="210"/>
      <c r="AC1058" s="210"/>
      <c r="AD1058" s="210"/>
      <c r="AE1058" s="210"/>
      <c r="AF1058" s="210"/>
      <c r="AG1058" s="210"/>
      <c r="AH1058" s="210"/>
      <c r="AI1058" s="210"/>
      <c r="AJ1058" s="210"/>
      <c r="AK1058" s="210"/>
      <c r="AL1058" s="210"/>
      <c r="AM1058" s="210"/>
      <c r="AN1058" s="210"/>
      <c r="AO1058" s="210"/>
      <c r="AP1058" s="210"/>
      <c r="AQ1058" s="210"/>
    </row>
    <row r="1059">
      <c r="A1059" s="190"/>
      <c r="B1059" s="190"/>
      <c r="C1059" s="190"/>
      <c r="D1059" s="190"/>
      <c r="E1059" s="190"/>
      <c r="F1059" s="190"/>
      <c r="G1059" s="190"/>
      <c r="H1059" s="190"/>
      <c r="I1059" s="190"/>
      <c r="J1059" s="190"/>
      <c r="K1059" s="190"/>
      <c r="L1059" s="190"/>
      <c r="M1059" s="190"/>
      <c r="N1059" s="220"/>
      <c r="O1059" s="220"/>
      <c r="P1059" s="220"/>
      <c r="R1059" s="210"/>
      <c r="S1059" s="210"/>
      <c r="T1059" s="210"/>
      <c r="U1059" s="210"/>
      <c r="X1059" s="210"/>
      <c r="Y1059" s="210"/>
      <c r="Z1059" s="210"/>
      <c r="AA1059" s="210"/>
      <c r="AB1059" s="210"/>
      <c r="AC1059" s="210"/>
      <c r="AD1059" s="210"/>
      <c r="AE1059" s="210"/>
      <c r="AF1059" s="210"/>
      <c r="AG1059" s="210"/>
      <c r="AH1059" s="210"/>
      <c r="AI1059" s="210"/>
      <c r="AJ1059" s="210"/>
      <c r="AK1059" s="210"/>
      <c r="AL1059" s="210"/>
      <c r="AM1059" s="210"/>
      <c r="AN1059" s="210"/>
      <c r="AO1059" s="210"/>
      <c r="AP1059" s="210"/>
      <c r="AQ1059" s="210"/>
    </row>
    <row r="1060">
      <c r="A1060" s="190"/>
      <c r="B1060" s="190"/>
      <c r="C1060" s="190"/>
      <c r="D1060" s="190"/>
      <c r="E1060" s="190"/>
      <c r="F1060" s="190"/>
      <c r="G1060" s="190"/>
      <c r="H1060" s="190"/>
      <c r="I1060" s="190"/>
      <c r="J1060" s="190"/>
      <c r="K1060" s="190"/>
      <c r="L1060" s="190"/>
      <c r="M1060" s="190"/>
      <c r="N1060" s="220"/>
      <c r="O1060" s="220"/>
      <c r="P1060" s="220"/>
      <c r="R1060" s="210"/>
      <c r="S1060" s="210"/>
      <c r="T1060" s="210"/>
      <c r="U1060" s="210"/>
      <c r="X1060" s="210"/>
      <c r="Y1060" s="210"/>
      <c r="Z1060" s="210"/>
      <c r="AA1060" s="210"/>
      <c r="AB1060" s="210"/>
      <c r="AC1060" s="210"/>
      <c r="AD1060" s="210"/>
      <c r="AE1060" s="210"/>
      <c r="AF1060" s="210"/>
      <c r="AG1060" s="210"/>
      <c r="AH1060" s="210"/>
      <c r="AI1060" s="210"/>
      <c r="AJ1060" s="210"/>
      <c r="AK1060" s="210"/>
      <c r="AL1060" s="210"/>
      <c r="AM1060" s="210"/>
      <c r="AN1060" s="210"/>
      <c r="AO1060" s="210"/>
      <c r="AP1060" s="210"/>
      <c r="AQ1060" s="210"/>
    </row>
    <row r="1061">
      <c r="A1061" s="190"/>
      <c r="B1061" s="190"/>
      <c r="C1061" s="190"/>
      <c r="D1061" s="190"/>
      <c r="E1061" s="190"/>
      <c r="F1061" s="190"/>
      <c r="G1061" s="190"/>
      <c r="H1061" s="190"/>
      <c r="I1061" s="190"/>
      <c r="J1061" s="190"/>
      <c r="K1061" s="190"/>
      <c r="L1061" s="190"/>
      <c r="M1061" s="190"/>
      <c r="N1061" s="220"/>
      <c r="O1061" s="220"/>
      <c r="P1061" s="220"/>
      <c r="R1061" s="210"/>
      <c r="S1061" s="210"/>
      <c r="T1061" s="210"/>
      <c r="U1061" s="210"/>
      <c r="X1061" s="210"/>
      <c r="Y1061" s="210"/>
      <c r="Z1061" s="210"/>
      <c r="AA1061" s="210"/>
      <c r="AB1061" s="210"/>
      <c r="AC1061" s="210"/>
      <c r="AD1061" s="210"/>
      <c r="AE1061" s="210"/>
      <c r="AF1061" s="210"/>
      <c r="AG1061" s="210"/>
      <c r="AH1061" s="210"/>
      <c r="AI1061" s="210"/>
      <c r="AJ1061" s="210"/>
      <c r="AK1061" s="210"/>
      <c r="AL1061" s="210"/>
      <c r="AM1061" s="210"/>
      <c r="AN1061" s="210"/>
      <c r="AO1061" s="210"/>
      <c r="AP1061" s="210"/>
      <c r="AQ1061" s="210"/>
    </row>
    <row r="1062">
      <c r="A1062" s="190"/>
      <c r="B1062" s="190"/>
      <c r="C1062" s="190"/>
      <c r="D1062" s="190"/>
      <c r="E1062" s="190"/>
      <c r="F1062" s="190"/>
      <c r="G1062" s="190"/>
      <c r="H1062" s="190"/>
      <c r="I1062" s="190"/>
      <c r="J1062" s="190"/>
      <c r="K1062" s="190"/>
      <c r="L1062" s="190"/>
      <c r="M1062" s="190"/>
      <c r="N1062" s="220"/>
      <c r="O1062" s="220"/>
      <c r="P1062" s="220"/>
      <c r="R1062" s="210"/>
      <c r="S1062" s="210"/>
      <c r="T1062" s="210"/>
      <c r="U1062" s="210"/>
      <c r="X1062" s="210"/>
      <c r="Y1062" s="210"/>
      <c r="Z1062" s="210"/>
      <c r="AA1062" s="210"/>
      <c r="AB1062" s="210"/>
      <c r="AC1062" s="210"/>
      <c r="AD1062" s="210"/>
      <c r="AE1062" s="210"/>
      <c r="AF1062" s="210"/>
      <c r="AG1062" s="210"/>
      <c r="AH1062" s="210"/>
      <c r="AI1062" s="210"/>
      <c r="AJ1062" s="210"/>
      <c r="AK1062" s="210"/>
      <c r="AL1062" s="210"/>
      <c r="AM1062" s="210"/>
      <c r="AN1062" s="210"/>
      <c r="AO1062" s="210"/>
      <c r="AP1062" s="210"/>
      <c r="AQ1062" s="210"/>
    </row>
    <row r="1063">
      <c r="A1063" s="190"/>
      <c r="B1063" s="190"/>
      <c r="C1063" s="190"/>
      <c r="D1063" s="190"/>
      <c r="E1063" s="190"/>
      <c r="F1063" s="190"/>
      <c r="G1063" s="190"/>
      <c r="H1063" s="190"/>
      <c r="I1063" s="190"/>
      <c r="J1063" s="190"/>
      <c r="K1063" s="190"/>
      <c r="L1063" s="190"/>
      <c r="M1063" s="190"/>
      <c r="N1063" s="220"/>
      <c r="O1063" s="220"/>
      <c r="P1063" s="220"/>
      <c r="R1063" s="210"/>
      <c r="S1063" s="210"/>
      <c r="T1063" s="210"/>
      <c r="U1063" s="210"/>
      <c r="X1063" s="210"/>
      <c r="Y1063" s="210"/>
      <c r="Z1063" s="210"/>
      <c r="AA1063" s="210"/>
      <c r="AB1063" s="210"/>
      <c r="AC1063" s="210"/>
      <c r="AD1063" s="210"/>
      <c r="AE1063" s="210"/>
      <c r="AF1063" s="210"/>
      <c r="AG1063" s="210"/>
      <c r="AH1063" s="210"/>
      <c r="AI1063" s="210"/>
      <c r="AJ1063" s="210"/>
      <c r="AK1063" s="210"/>
      <c r="AL1063" s="210"/>
      <c r="AM1063" s="210"/>
      <c r="AN1063" s="210"/>
      <c r="AO1063" s="210"/>
      <c r="AP1063" s="210"/>
      <c r="AQ1063" s="210"/>
    </row>
    <row r="1064">
      <c r="A1064" s="190"/>
      <c r="B1064" s="190"/>
      <c r="C1064" s="190"/>
      <c r="D1064" s="190"/>
      <c r="E1064" s="190"/>
      <c r="F1064" s="190"/>
      <c r="G1064" s="190"/>
      <c r="H1064" s="190"/>
      <c r="I1064" s="190"/>
      <c r="J1064" s="190"/>
      <c r="K1064" s="190"/>
      <c r="L1064" s="190"/>
      <c r="M1064" s="190"/>
      <c r="N1064" s="220"/>
      <c r="O1064" s="220"/>
      <c r="P1064" s="220"/>
      <c r="R1064" s="210"/>
      <c r="S1064" s="210"/>
      <c r="T1064" s="210"/>
      <c r="U1064" s="210"/>
      <c r="X1064" s="210"/>
      <c r="Y1064" s="210"/>
      <c r="Z1064" s="210"/>
      <c r="AA1064" s="210"/>
      <c r="AB1064" s="210"/>
      <c r="AC1064" s="210"/>
      <c r="AD1064" s="210"/>
      <c r="AE1064" s="210"/>
      <c r="AF1064" s="210"/>
      <c r="AG1064" s="210"/>
      <c r="AH1064" s="210"/>
      <c r="AI1064" s="210"/>
      <c r="AJ1064" s="210"/>
      <c r="AK1064" s="210"/>
      <c r="AL1064" s="210"/>
      <c r="AM1064" s="210"/>
      <c r="AN1064" s="210"/>
      <c r="AO1064" s="210"/>
      <c r="AP1064" s="210"/>
      <c r="AQ1064" s="210"/>
    </row>
    <row r="1065">
      <c r="A1065" s="190"/>
      <c r="B1065" s="190"/>
      <c r="C1065" s="190"/>
      <c r="D1065" s="190"/>
      <c r="E1065" s="190"/>
      <c r="F1065" s="190"/>
      <c r="G1065" s="190"/>
      <c r="H1065" s="190"/>
      <c r="I1065" s="190"/>
      <c r="J1065" s="190"/>
      <c r="K1065" s="190"/>
      <c r="L1065" s="190"/>
      <c r="M1065" s="190"/>
      <c r="N1065" s="220"/>
      <c r="O1065" s="220"/>
      <c r="P1065" s="220"/>
      <c r="R1065" s="210"/>
      <c r="S1065" s="210"/>
      <c r="T1065" s="210"/>
      <c r="U1065" s="210"/>
      <c r="X1065" s="210"/>
      <c r="Y1065" s="210"/>
      <c r="Z1065" s="210"/>
      <c r="AA1065" s="210"/>
      <c r="AB1065" s="210"/>
      <c r="AC1065" s="210"/>
      <c r="AD1065" s="210"/>
      <c r="AE1065" s="210"/>
      <c r="AF1065" s="210"/>
      <c r="AG1065" s="210"/>
      <c r="AH1065" s="210"/>
      <c r="AI1065" s="210"/>
      <c r="AJ1065" s="210"/>
      <c r="AK1065" s="210"/>
      <c r="AL1065" s="210"/>
      <c r="AM1065" s="210"/>
      <c r="AN1065" s="210"/>
      <c r="AO1065" s="210"/>
      <c r="AP1065" s="210"/>
      <c r="AQ1065" s="210"/>
    </row>
    <row r="1066">
      <c r="A1066" s="190"/>
      <c r="B1066" s="190"/>
      <c r="C1066" s="190"/>
      <c r="D1066" s="190"/>
      <c r="E1066" s="190"/>
      <c r="F1066" s="190"/>
      <c r="G1066" s="190"/>
      <c r="H1066" s="190"/>
      <c r="I1066" s="190"/>
      <c r="J1066" s="190"/>
      <c r="K1066" s="190"/>
      <c r="L1066" s="190"/>
      <c r="M1066" s="190"/>
      <c r="N1066" s="220"/>
      <c r="O1066" s="220"/>
      <c r="P1066" s="220"/>
      <c r="R1066" s="210"/>
      <c r="S1066" s="210"/>
      <c r="T1066" s="210"/>
      <c r="U1066" s="210"/>
      <c r="X1066" s="210"/>
      <c r="Y1066" s="210"/>
      <c r="Z1066" s="210"/>
      <c r="AA1066" s="210"/>
      <c r="AB1066" s="210"/>
      <c r="AC1066" s="210"/>
      <c r="AD1066" s="210"/>
      <c r="AE1066" s="210"/>
      <c r="AF1066" s="210"/>
      <c r="AG1066" s="210"/>
      <c r="AH1066" s="210"/>
      <c r="AI1066" s="210"/>
      <c r="AJ1066" s="210"/>
      <c r="AK1066" s="210"/>
      <c r="AL1066" s="210"/>
      <c r="AM1066" s="210"/>
      <c r="AN1066" s="210"/>
      <c r="AO1066" s="210"/>
      <c r="AP1066" s="210"/>
      <c r="AQ1066" s="210"/>
    </row>
    <row r="1067">
      <c r="A1067" s="190"/>
      <c r="B1067" s="190"/>
      <c r="C1067" s="190"/>
      <c r="D1067" s="190"/>
      <c r="E1067" s="190"/>
      <c r="F1067" s="190"/>
      <c r="G1067" s="190"/>
      <c r="H1067" s="190"/>
      <c r="I1067" s="190"/>
      <c r="J1067" s="190"/>
      <c r="K1067" s="190"/>
      <c r="L1067" s="190"/>
      <c r="M1067" s="190"/>
      <c r="N1067" s="220"/>
      <c r="O1067" s="220"/>
      <c r="P1067" s="220"/>
      <c r="R1067" s="210"/>
      <c r="S1067" s="210"/>
      <c r="T1067" s="210"/>
      <c r="U1067" s="210"/>
      <c r="X1067" s="210"/>
      <c r="Y1067" s="210"/>
      <c r="Z1067" s="210"/>
      <c r="AA1067" s="210"/>
      <c r="AB1067" s="210"/>
      <c r="AC1067" s="210"/>
      <c r="AD1067" s="210"/>
      <c r="AE1067" s="210"/>
      <c r="AF1067" s="210"/>
      <c r="AG1067" s="210"/>
      <c r="AH1067" s="210"/>
      <c r="AI1067" s="210"/>
      <c r="AJ1067" s="210"/>
      <c r="AK1067" s="210"/>
      <c r="AL1067" s="210"/>
      <c r="AM1067" s="210"/>
      <c r="AN1067" s="210"/>
      <c r="AO1067" s="210"/>
      <c r="AP1067" s="210"/>
      <c r="AQ1067" s="210"/>
    </row>
    <row r="1068">
      <c r="A1068" s="190"/>
      <c r="B1068" s="190"/>
      <c r="C1068" s="190"/>
      <c r="D1068" s="190"/>
      <c r="E1068" s="190"/>
      <c r="F1068" s="190"/>
      <c r="G1068" s="190"/>
      <c r="H1068" s="190"/>
      <c r="I1068" s="190"/>
      <c r="J1068" s="190"/>
      <c r="K1068" s="190"/>
      <c r="L1068" s="190"/>
      <c r="M1068" s="190"/>
      <c r="N1068" s="220"/>
      <c r="O1068" s="220"/>
      <c r="P1068" s="220"/>
      <c r="R1068" s="210"/>
      <c r="S1068" s="210"/>
      <c r="T1068" s="210"/>
      <c r="U1068" s="210"/>
      <c r="X1068" s="210"/>
      <c r="Y1068" s="210"/>
      <c r="Z1068" s="210"/>
      <c r="AA1068" s="210"/>
      <c r="AB1068" s="210"/>
      <c r="AC1068" s="210"/>
      <c r="AD1068" s="210"/>
      <c r="AE1068" s="210"/>
      <c r="AF1068" s="210"/>
      <c r="AG1068" s="210"/>
      <c r="AH1068" s="210"/>
      <c r="AI1068" s="210"/>
      <c r="AJ1068" s="210"/>
      <c r="AK1068" s="210"/>
      <c r="AL1068" s="210"/>
      <c r="AM1068" s="210"/>
      <c r="AN1068" s="210"/>
      <c r="AO1068" s="210"/>
      <c r="AP1068" s="210"/>
      <c r="AQ1068" s="210"/>
    </row>
    <row r="1069">
      <c r="A1069" s="190"/>
      <c r="B1069" s="190"/>
      <c r="C1069" s="190"/>
      <c r="D1069" s="190"/>
      <c r="E1069" s="190"/>
      <c r="F1069" s="190"/>
      <c r="G1069" s="190"/>
      <c r="H1069" s="190"/>
      <c r="I1069" s="190"/>
      <c r="J1069" s="190"/>
      <c r="K1069" s="190"/>
      <c r="L1069" s="190"/>
      <c r="M1069" s="190"/>
      <c r="N1069" s="220"/>
      <c r="O1069" s="220"/>
      <c r="P1069" s="220"/>
      <c r="R1069" s="210"/>
      <c r="S1069" s="210"/>
      <c r="T1069" s="210"/>
      <c r="U1069" s="210"/>
      <c r="X1069" s="210"/>
      <c r="Y1069" s="210"/>
      <c r="Z1069" s="210"/>
      <c r="AA1069" s="210"/>
      <c r="AB1069" s="210"/>
      <c r="AC1069" s="210"/>
      <c r="AD1069" s="210"/>
      <c r="AE1069" s="210"/>
      <c r="AF1069" s="210"/>
      <c r="AG1069" s="210"/>
      <c r="AH1069" s="210"/>
      <c r="AI1069" s="210"/>
      <c r="AJ1069" s="210"/>
      <c r="AK1069" s="210"/>
      <c r="AL1069" s="210"/>
      <c r="AM1069" s="210"/>
      <c r="AN1069" s="210"/>
      <c r="AO1069" s="210"/>
      <c r="AP1069" s="210"/>
      <c r="AQ1069" s="210"/>
    </row>
    <row r="1070">
      <c r="A1070" s="190"/>
      <c r="B1070" s="190"/>
      <c r="C1070" s="190"/>
      <c r="D1070" s="190"/>
      <c r="E1070" s="190"/>
      <c r="F1070" s="190"/>
      <c r="G1070" s="190"/>
      <c r="H1070" s="190"/>
      <c r="I1070" s="190"/>
      <c r="J1070" s="190"/>
      <c r="K1070" s="190"/>
      <c r="L1070" s="190"/>
      <c r="M1070" s="190"/>
      <c r="N1070" s="220"/>
      <c r="O1070" s="220"/>
      <c r="P1070" s="220"/>
      <c r="R1070" s="210"/>
      <c r="S1070" s="210"/>
      <c r="T1070" s="210"/>
      <c r="U1070" s="210"/>
      <c r="X1070" s="210"/>
      <c r="Y1070" s="210"/>
      <c r="Z1070" s="210"/>
      <c r="AA1070" s="210"/>
      <c r="AB1070" s="210"/>
      <c r="AC1070" s="210"/>
      <c r="AD1070" s="210"/>
      <c r="AE1070" s="210"/>
      <c r="AF1070" s="210"/>
      <c r="AG1070" s="210"/>
      <c r="AH1070" s="210"/>
      <c r="AI1070" s="210"/>
      <c r="AJ1070" s="210"/>
      <c r="AK1070" s="210"/>
      <c r="AL1070" s="210"/>
      <c r="AM1070" s="210"/>
      <c r="AN1070" s="210"/>
      <c r="AO1070" s="210"/>
      <c r="AP1070" s="210"/>
      <c r="AQ1070" s="210"/>
    </row>
    <row r="1071">
      <c r="A1071" s="190"/>
      <c r="B1071" s="190"/>
      <c r="C1071" s="190"/>
      <c r="D1071" s="190"/>
      <c r="E1071" s="190"/>
      <c r="F1071" s="190"/>
      <c r="G1071" s="190"/>
      <c r="H1071" s="190"/>
      <c r="I1071" s="190"/>
      <c r="J1071" s="190"/>
      <c r="K1071" s="190"/>
      <c r="L1071" s="190"/>
      <c r="M1071" s="190"/>
      <c r="N1071" s="220"/>
      <c r="O1071" s="220"/>
      <c r="P1071" s="220"/>
      <c r="R1071" s="210"/>
      <c r="S1071" s="210"/>
      <c r="T1071" s="210"/>
      <c r="U1071" s="210"/>
      <c r="X1071" s="210"/>
      <c r="Y1071" s="210"/>
      <c r="Z1071" s="210"/>
      <c r="AA1071" s="210"/>
      <c r="AB1071" s="210"/>
      <c r="AC1071" s="210"/>
      <c r="AD1071" s="210"/>
      <c r="AE1071" s="210"/>
      <c r="AF1071" s="210"/>
      <c r="AG1071" s="210"/>
      <c r="AH1071" s="210"/>
      <c r="AI1071" s="210"/>
      <c r="AJ1071" s="210"/>
      <c r="AK1071" s="210"/>
      <c r="AL1071" s="210"/>
      <c r="AM1071" s="210"/>
      <c r="AN1071" s="210"/>
      <c r="AO1071" s="210"/>
      <c r="AP1071" s="210"/>
      <c r="AQ1071" s="210"/>
    </row>
    <row r="1072">
      <c r="A1072" s="190"/>
      <c r="B1072" s="190"/>
      <c r="C1072" s="190"/>
      <c r="D1072" s="190"/>
      <c r="E1072" s="190"/>
      <c r="F1072" s="190"/>
      <c r="G1072" s="190"/>
      <c r="H1072" s="190"/>
      <c r="I1072" s="190"/>
      <c r="J1072" s="190"/>
      <c r="K1072" s="190"/>
      <c r="L1072" s="190"/>
      <c r="M1072" s="190"/>
      <c r="N1072" s="220"/>
      <c r="O1072" s="220"/>
      <c r="P1072" s="220"/>
      <c r="R1072" s="210"/>
      <c r="S1072" s="210"/>
      <c r="T1072" s="210"/>
      <c r="U1072" s="210"/>
      <c r="X1072" s="210"/>
      <c r="Y1072" s="210"/>
      <c r="Z1072" s="210"/>
      <c r="AA1072" s="210"/>
      <c r="AB1072" s="210"/>
      <c r="AC1072" s="210"/>
      <c r="AD1072" s="210"/>
      <c r="AE1072" s="210"/>
      <c r="AF1072" s="210"/>
      <c r="AG1072" s="210"/>
      <c r="AH1072" s="210"/>
      <c r="AI1072" s="210"/>
      <c r="AJ1072" s="210"/>
      <c r="AK1072" s="210"/>
      <c r="AL1072" s="210"/>
      <c r="AM1072" s="210"/>
      <c r="AN1072" s="210"/>
      <c r="AO1072" s="210"/>
      <c r="AP1072" s="210"/>
      <c r="AQ1072" s="210"/>
    </row>
    <row r="1073">
      <c r="A1073" s="190"/>
      <c r="B1073" s="190"/>
      <c r="C1073" s="190"/>
      <c r="D1073" s="190"/>
      <c r="E1073" s="190"/>
      <c r="F1073" s="190"/>
      <c r="G1073" s="190"/>
      <c r="H1073" s="190"/>
      <c r="I1073" s="190"/>
      <c r="J1073" s="190"/>
      <c r="K1073" s="190"/>
      <c r="L1073" s="190"/>
      <c r="M1073" s="190"/>
      <c r="N1073" s="220"/>
      <c r="O1073" s="220"/>
      <c r="P1073" s="220"/>
      <c r="R1073" s="210"/>
      <c r="S1073" s="210"/>
      <c r="T1073" s="210"/>
      <c r="U1073" s="210"/>
      <c r="X1073" s="210"/>
      <c r="Y1073" s="210"/>
      <c r="Z1073" s="210"/>
      <c r="AA1073" s="210"/>
      <c r="AB1073" s="210"/>
      <c r="AC1073" s="210"/>
      <c r="AD1073" s="210"/>
      <c r="AE1073" s="210"/>
      <c r="AF1073" s="210"/>
      <c r="AG1073" s="210"/>
      <c r="AH1073" s="210"/>
      <c r="AI1073" s="210"/>
      <c r="AJ1073" s="210"/>
      <c r="AK1073" s="210"/>
      <c r="AL1073" s="210"/>
      <c r="AM1073" s="210"/>
      <c r="AN1073" s="210"/>
      <c r="AO1073" s="210"/>
      <c r="AP1073" s="210"/>
      <c r="AQ1073" s="210"/>
    </row>
    <row r="1074">
      <c r="A1074" s="190"/>
      <c r="B1074" s="190"/>
      <c r="C1074" s="190"/>
      <c r="D1074" s="190"/>
      <c r="E1074" s="190"/>
      <c r="F1074" s="190"/>
      <c r="G1074" s="190"/>
      <c r="H1074" s="190"/>
      <c r="I1074" s="190"/>
      <c r="J1074" s="190"/>
      <c r="K1074" s="190"/>
      <c r="L1074" s="190"/>
      <c r="M1074" s="190"/>
      <c r="N1074" s="220"/>
      <c r="O1074" s="220"/>
      <c r="P1074" s="220"/>
      <c r="R1074" s="210"/>
      <c r="S1074" s="210"/>
      <c r="T1074" s="210"/>
      <c r="U1074" s="210"/>
      <c r="X1074" s="210"/>
      <c r="Y1074" s="210"/>
      <c r="Z1074" s="210"/>
      <c r="AA1074" s="210"/>
      <c r="AB1074" s="210"/>
      <c r="AC1074" s="210"/>
      <c r="AD1074" s="210"/>
      <c r="AE1074" s="210"/>
      <c r="AF1074" s="210"/>
      <c r="AG1074" s="210"/>
      <c r="AH1074" s="210"/>
      <c r="AI1074" s="210"/>
      <c r="AJ1074" s="210"/>
      <c r="AK1074" s="210"/>
      <c r="AL1074" s="210"/>
      <c r="AM1074" s="210"/>
      <c r="AN1074" s="210"/>
      <c r="AO1074" s="210"/>
      <c r="AP1074" s="210"/>
      <c r="AQ1074" s="210"/>
    </row>
    <row r="1075">
      <c r="A1075" s="190"/>
      <c r="B1075" s="190"/>
      <c r="C1075" s="190"/>
      <c r="D1075" s="190"/>
      <c r="E1075" s="190"/>
      <c r="F1075" s="190"/>
      <c r="G1075" s="190"/>
      <c r="H1075" s="190"/>
      <c r="I1075" s="190"/>
      <c r="J1075" s="190"/>
      <c r="K1075" s="190"/>
      <c r="L1075" s="190"/>
      <c r="M1075" s="190"/>
      <c r="N1075" s="220"/>
      <c r="O1075" s="220"/>
      <c r="P1075" s="220"/>
      <c r="R1075" s="210"/>
      <c r="S1075" s="210"/>
      <c r="T1075" s="210"/>
      <c r="U1075" s="210"/>
      <c r="X1075" s="210"/>
      <c r="Y1075" s="210"/>
      <c r="Z1075" s="210"/>
      <c r="AA1075" s="210"/>
      <c r="AB1075" s="210"/>
      <c r="AC1075" s="210"/>
      <c r="AD1075" s="210"/>
      <c r="AE1075" s="210"/>
      <c r="AF1075" s="210"/>
      <c r="AG1075" s="210"/>
      <c r="AH1075" s="210"/>
      <c r="AI1075" s="210"/>
      <c r="AJ1075" s="210"/>
      <c r="AK1075" s="210"/>
      <c r="AL1075" s="210"/>
      <c r="AM1075" s="210"/>
      <c r="AN1075" s="210"/>
      <c r="AO1075" s="210"/>
      <c r="AP1075" s="210"/>
      <c r="AQ1075" s="210"/>
    </row>
    <row r="1076">
      <c r="A1076" s="190"/>
      <c r="B1076" s="190"/>
      <c r="C1076" s="190"/>
      <c r="D1076" s="190"/>
      <c r="E1076" s="190"/>
      <c r="F1076" s="190"/>
      <c r="G1076" s="190"/>
      <c r="H1076" s="190"/>
      <c r="I1076" s="190"/>
      <c r="J1076" s="190"/>
      <c r="K1076" s="190"/>
      <c r="L1076" s="190"/>
      <c r="M1076" s="190"/>
      <c r="N1076" s="220"/>
      <c r="O1076" s="220"/>
      <c r="P1076" s="220"/>
      <c r="R1076" s="210"/>
      <c r="S1076" s="210"/>
      <c r="T1076" s="210"/>
      <c r="U1076" s="210"/>
      <c r="X1076" s="210"/>
      <c r="Y1076" s="210"/>
      <c r="Z1076" s="210"/>
      <c r="AA1076" s="210"/>
      <c r="AB1076" s="210"/>
      <c r="AC1076" s="210"/>
      <c r="AD1076" s="210"/>
      <c r="AE1076" s="210"/>
      <c r="AF1076" s="210"/>
      <c r="AG1076" s="210"/>
      <c r="AH1076" s="210"/>
      <c r="AI1076" s="210"/>
      <c r="AJ1076" s="210"/>
      <c r="AK1076" s="210"/>
      <c r="AL1076" s="210"/>
      <c r="AM1076" s="210"/>
      <c r="AN1076" s="210"/>
      <c r="AO1076" s="210"/>
      <c r="AP1076" s="210"/>
      <c r="AQ1076" s="210"/>
    </row>
    <row r="1077">
      <c r="A1077" s="190"/>
      <c r="B1077" s="190"/>
      <c r="C1077" s="190"/>
      <c r="D1077" s="190"/>
      <c r="E1077" s="190"/>
      <c r="F1077" s="190"/>
      <c r="G1077" s="190"/>
      <c r="H1077" s="190"/>
      <c r="I1077" s="190"/>
      <c r="J1077" s="190"/>
      <c r="K1077" s="190"/>
      <c r="L1077" s="190"/>
      <c r="M1077" s="190"/>
      <c r="N1077" s="220"/>
      <c r="O1077" s="220"/>
      <c r="P1077" s="220"/>
      <c r="R1077" s="210"/>
      <c r="S1077" s="210"/>
      <c r="T1077" s="210"/>
      <c r="U1077" s="210"/>
      <c r="X1077" s="210"/>
      <c r="Y1077" s="210"/>
      <c r="Z1077" s="210"/>
      <c r="AA1077" s="210"/>
      <c r="AB1077" s="210"/>
      <c r="AC1077" s="210"/>
      <c r="AD1077" s="210"/>
      <c r="AE1077" s="210"/>
      <c r="AF1077" s="210"/>
      <c r="AG1077" s="210"/>
      <c r="AH1077" s="210"/>
      <c r="AI1077" s="210"/>
      <c r="AJ1077" s="210"/>
      <c r="AK1077" s="210"/>
      <c r="AL1077" s="210"/>
      <c r="AM1077" s="210"/>
      <c r="AN1077" s="210"/>
      <c r="AO1077" s="210"/>
      <c r="AP1077" s="210"/>
      <c r="AQ1077" s="210"/>
    </row>
    <row r="1078">
      <c r="A1078" s="190"/>
      <c r="B1078" s="190"/>
      <c r="C1078" s="190"/>
      <c r="D1078" s="190"/>
      <c r="E1078" s="190"/>
      <c r="F1078" s="190"/>
      <c r="G1078" s="190"/>
      <c r="H1078" s="190"/>
      <c r="I1078" s="190"/>
      <c r="J1078" s="190"/>
      <c r="K1078" s="190"/>
      <c r="L1078" s="190"/>
      <c r="M1078" s="190"/>
      <c r="N1078" s="220"/>
      <c r="O1078" s="220"/>
      <c r="P1078" s="220"/>
      <c r="R1078" s="210"/>
      <c r="S1078" s="210"/>
      <c r="T1078" s="210"/>
      <c r="U1078" s="210"/>
      <c r="X1078" s="210"/>
      <c r="Y1078" s="210"/>
      <c r="Z1078" s="210"/>
      <c r="AA1078" s="210"/>
      <c r="AB1078" s="210"/>
      <c r="AC1078" s="210"/>
      <c r="AD1078" s="210"/>
      <c r="AE1078" s="210"/>
      <c r="AF1078" s="210"/>
      <c r="AG1078" s="210"/>
      <c r="AH1078" s="210"/>
      <c r="AI1078" s="210"/>
      <c r="AJ1078" s="210"/>
      <c r="AK1078" s="210"/>
      <c r="AL1078" s="210"/>
      <c r="AM1078" s="210"/>
      <c r="AN1078" s="210"/>
      <c r="AO1078" s="210"/>
      <c r="AP1078" s="210"/>
      <c r="AQ1078" s="210"/>
    </row>
    <row r="1079">
      <c r="A1079" s="190"/>
      <c r="B1079" s="190"/>
      <c r="C1079" s="190"/>
      <c r="D1079" s="190"/>
      <c r="E1079" s="190"/>
      <c r="F1079" s="190"/>
      <c r="G1079" s="190"/>
      <c r="H1079" s="190"/>
      <c r="I1079" s="190"/>
      <c r="J1079" s="190"/>
      <c r="K1079" s="190"/>
      <c r="L1079" s="190"/>
      <c r="M1079" s="190"/>
      <c r="N1079" s="220"/>
      <c r="O1079" s="220"/>
      <c r="P1079" s="220"/>
      <c r="R1079" s="210"/>
      <c r="S1079" s="210"/>
      <c r="T1079" s="210"/>
      <c r="U1079" s="210"/>
      <c r="X1079" s="210"/>
      <c r="Y1079" s="210"/>
      <c r="Z1079" s="210"/>
      <c r="AA1079" s="210"/>
      <c r="AB1079" s="210"/>
      <c r="AC1079" s="210"/>
      <c r="AD1079" s="210"/>
      <c r="AE1079" s="210"/>
      <c r="AF1079" s="210"/>
      <c r="AG1079" s="210"/>
      <c r="AH1079" s="210"/>
      <c r="AI1079" s="210"/>
      <c r="AJ1079" s="210"/>
      <c r="AK1079" s="210"/>
      <c r="AL1079" s="210"/>
      <c r="AM1079" s="210"/>
      <c r="AN1079" s="210"/>
      <c r="AO1079" s="210"/>
      <c r="AP1079" s="210"/>
      <c r="AQ1079" s="210"/>
    </row>
    <row r="1080">
      <c r="A1080" s="190"/>
      <c r="B1080" s="190"/>
      <c r="C1080" s="190"/>
      <c r="D1080" s="190"/>
      <c r="E1080" s="190"/>
      <c r="F1080" s="190"/>
      <c r="G1080" s="190"/>
      <c r="H1080" s="190"/>
      <c r="I1080" s="190"/>
      <c r="J1080" s="190"/>
      <c r="K1080" s="190"/>
      <c r="L1080" s="190"/>
      <c r="M1080" s="190"/>
      <c r="N1080" s="220"/>
      <c r="O1080" s="220"/>
      <c r="P1080" s="220"/>
      <c r="R1080" s="210"/>
      <c r="S1080" s="210"/>
      <c r="T1080" s="210"/>
      <c r="U1080" s="210"/>
      <c r="X1080" s="210"/>
      <c r="Y1080" s="210"/>
      <c r="Z1080" s="210"/>
      <c r="AA1080" s="210"/>
      <c r="AB1080" s="210"/>
      <c r="AC1080" s="210"/>
      <c r="AD1080" s="210"/>
      <c r="AE1080" s="210"/>
      <c r="AF1080" s="210"/>
      <c r="AG1080" s="210"/>
      <c r="AH1080" s="210"/>
      <c r="AI1080" s="210"/>
      <c r="AJ1080" s="210"/>
      <c r="AK1080" s="210"/>
      <c r="AL1080" s="210"/>
      <c r="AM1080" s="210"/>
      <c r="AN1080" s="210"/>
      <c r="AO1080" s="210"/>
      <c r="AP1080" s="210"/>
      <c r="AQ1080" s="210"/>
    </row>
    <row r="1081">
      <c r="A1081" s="190"/>
      <c r="B1081" s="190"/>
      <c r="C1081" s="190"/>
      <c r="D1081" s="190"/>
      <c r="E1081" s="190"/>
      <c r="F1081" s="190"/>
      <c r="G1081" s="190"/>
      <c r="H1081" s="190"/>
      <c r="I1081" s="190"/>
      <c r="J1081" s="190"/>
      <c r="K1081" s="190"/>
      <c r="L1081" s="190"/>
      <c r="M1081" s="190"/>
      <c r="N1081" s="220"/>
      <c r="O1081" s="220"/>
      <c r="P1081" s="220"/>
      <c r="R1081" s="210"/>
      <c r="S1081" s="210"/>
      <c r="T1081" s="210"/>
      <c r="U1081" s="210"/>
      <c r="X1081" s="210"/>
      <c r="Y1081" s="210"/>
      <c r="Z1081" s="210"/>
      <c r="AA1081" s="210"/>
      <c r="AB1081" s="210"/>
      <c r="AC1081" s="210"/>
      <c r="AD1081" s="210"/>
      <c r="AE1081" s="210"/>
      <c r="AF1081" s="210"/>
      <c r="AG1081" s="210"/>
      <c r="AH1081" s="210"/>
      <c r="AI1081" s="210"/>
      <c r="AJ1081" s="210"/>
      <c r="AK1081" s="210"/>
      <c r="AL1081" s="210"/>
      <c r="AM1081" s="210"/>
      <c r="AN1081" s="210"/>
      <c r="AO1081" s="210"/>
      <c r="AP1081" s="210"/>
      <c r="AQ1081" s="210"/>
    </row>
    <row r="1082">
      <c r="A1082" s="190"/>
      <c r="B1082" s="190"/>
      <c r="C1082" s="190"/>
      <c r="D1082" s="190"/>
      <c r="E1082" s="190"/>
      <c r="F1082" s="190"/>
      <c r="G1082" s="190"/>
      <c r="H1082" s="190"/>
      <c r="I1082" s="190"/>
      <c r="J1082" s="190"/>
      <c r="K1082" s="190"/>
      <c r="L1082" s="190"/>
      <c r="M1082" s="190"/>
      <c r="N1082" s="220"/>
      <c r="O1082" s="220"/>
      <c r="P1082" s="220"/>
      <c r="R1082" s="210"/>
      <c r="S1082" s="210"/>
      <c r="T1082" s="210"/>
      <c r="U1082" s="210"/>
      <c r="X1082" s="210"/>
      <c r="Y1082" s="210"/>
      <c r="Z1082" s="210"/>
      <c r="AA1082" s="210"/>
      <c r="AB1082" s="210"/>
      <c r="AC1082" s="210"/>
      <c r="AD1082" s="210"/>
      <c r="AE1082" s="210"/>
      <c r="AF1082" s="210"/>
      <c r="AG1082" s="210"/>
      <c r="AH1082" s="210"/>
      <c r="AI1082" s="210"/>
      <c r="AJ1082" s="210"/>
      <c r="AK1082" s="210"/>
      <c r="AL1082" s="210"/>
      <c r="AM1082" s="210"/>
      <c r="AN1082" s="210"/>
      <c r="AO1082" s="210"/>
      <c r="AP1082" s="210"/>
      <c r="AQ1082" s="210"/>
    </row>
    <row r="1083">
      <c r="A1083" s="190"/>
      <c r="B1083" s="190"/>
      <c r="C1083" s="190"/>
      <c r="D1083" s="190"/>
      <c r="E1083" s="190"/>
      <c r="F1083" s="190"/>
      <c r="G1083" s="190"/>
      <c r="H1083" s="190"/>
      <c r="I1083" s="190"/>
      <c r="J1083" s="190"/>
      <c r="K1083" s="190"/>
      <c r="L1083" s="190"/>
      <c r="M1083" s="190"/>
      <c r="N1083" s="220"/>
      <c r="O1083" s="220"/>
      <c r="P1083" s="220"/>
      <c r="R1083" s="210"/>
      <c r="S1083" s="210"/>
      <c r="T1083" s="210"/>
      <c r="U1083" s="210"/>
      <c r="X1083" s="210"/>
      <c r="Y1083" s="210"/>
      <c r="Z1083" s="210"/>
      <c r="AA1083" s="210"/>
      <c r="AB1083" s="210"/>
      <c r="AC1083" s="210"/>
      <c r="AD1083" s="210"/>
      <c r="AE1083" s="210"/>
      <c r="AF1083" s="210"/>
      <c r="AG1083" s="210"/>
      <c r="AH1083" s="210"/>
      <c r="AI1083" s="210"/>
      <c r="AJ1083" s="210"/>
      <c r="AK1083" s="210"/>
      <c r="AL1083" s="210"/>
      <c r="AM1083" s="210"/>
      <c r="AN1083" s="210"/>
      <c r="AO1083" s="210"/>
      <c r="AP1083" s="210"/>
      <c r="AQ1083" s="210"/>
    </row>
    <row r="1084">
      <c r="A1084" s="190"/>
      <c r="B1084" s="190"/>
      <c r="C1084" s="190"/>
      <c r="D1084" s="190"/>
      <c r="E1084" s="190"/>
      <c r="F1084" s="190"/>
      <c r="G1084" s="190"/>
      <c r="H1084" s="190"/>
      <c r="I1084" s="190"/>
      <c r="J1084" s="190"/>
      <c r="K1084" s="190"/>
      <c r="L1084" s="190"/>
      <c r="M1084" s="190"/>
      <c r="N1084" s="220"/>
      <c r="O1084" s="220"/>
      <c r="P1084" s="220"/>
      <c r="R1084" s="210"/>
      <c r="S1084" s="210"/>
      <c r="T1084" s="210"/>
      <c r="U1084" s="210"/>
      <c r="X1084" s="210"/>
      <c r="Y1084" s="210"/>
      <c r="Z1084" s="210"/>
      <c r="AA1084" s="210"/>
      <c r="AB1084" s="210"/>
      <c r="AC1084" s="210"/>
      <c r="AD1084" s="210"/>
      <c r="AE1084" s="210"/>
      <c r="AF1084" s="210"/>
      <c r="AG1084" s="210"/>
      <c r="AH1084" s="210"/>
      <c r="AI1084" s="210"/>
      <c r="AJ1084" s="210"/>
      <c r="AK1084" s="210"/>
      <c r="AL1084" s="210"/>
      <c r="AM1084" s="210"/>
      <c r="AN1084" s="210"/>
      <c r="AO1084" s="210"/>
      <c r="AP1084" s="210"/>
      <c r="AQ1084" s="210"/>
    </row>
    <row r="1085">
      <c r="A1085" s="190"/>
      <c r="B1085" s="190"/>
      <c r="C1085" s="190"/>
      <c r="D1085" s="190"/>
      <c r="E1085" s="190"/>
      <c r="F1085" s="190"/>
      <c r="G1085" s="190"/>
      <c r="H1085" s="190"/>
      <c r="I1085" s="190"/>
      <c r="J1085" s="190"/>
      <c r="K1085" s="190"/>
      <c r="L1085" s="190"/>
      <c r="M1085" s="190"/>
      <c r="N1085" s="220"/>
      <c r="O1085" s="220"/>
      <c r="P1085" s="220"/>
      <c r="R1085" s="210"/>
      <c r="S1085" s="210"/>
      <c r="T1085" s="210"/>
      <c r="U1085" s="210"/>
      <c r="X1085" s="210"/>
      <c r="Y1085" s="210"/>
      <c r="Z1085" s="210"/>
      <c r="AA1085" s="210"/>
      <c r="AB1085" s="210"/>
      <c r="AC1085" s="210"/>
      <c r="AD1085" s="210"/>
      <c r="AE1085" s="210"/>
      <c r="AF1085" s="210"/>
      <c r="AG1085" s="210"/>
      <c r="AH1085" s="210"/>
      <c r="AI1085" s="210"/>
      <c r="AJ1085" s="210"/>
      <c r="AK1085" s="210"/>
      <c r="AL1085" s="210"/>
      <c r="AM1085" s="210"/>
      <c r="AN1085" s="210"/>
      <c r="AO1085" s="210"/>
      <c r="AP1085" s="210"/>
      <c r="AQ1085" s="210"/>
    </row>
    <row r="1086">
      <c r="A1086" s="190"/>
      <c r="B1086" s="190"/>
      <c r="C1086" s="190"/>
      <c r="D1086" s="190"/>
      <c r="E1086" s="190"/>
      <c r="F1086" s="190"/>
      <c r="G1086" s="190"/>
      <c r="H1086" s="190"/>
      <c r="I1086" s="190"/>
      <c r="J1086" s="190"/>
      <c r="K1086" s="190"/>
      <c r="L1086" s="190"/>
      <c r="M1086" s="190"/>
      <c r="N1086" s="220"/>
      <c r="O1086" s="220"/>
      <c r="P1086" s="220"/>
      <c r="R1086" s="210"/>
      <c r="S1086" s="210"/>
      <c r="T1086" s="210"/>
      <c r="U1086" s="210"/>
      <c r="X1086" s="210"/>
      <c r="Y1086" s="210"/>
      <c r="Z1086" s="210"/>
      <c r="AA1086" s="210"/>
      <c r="AB1086" s="210"/>
      <c r="AC1086" s="210"/>
      <c r="AD1086" s="210"/>
      <c r="AE1086" s="210"/>
      <c r="AF1086" s="210"/>
      <c r="AG1086" s="210"/>
      <c r="AH1086" s="210"/>
      <c r="AI1086" s="210"/>
      <c r="AJ1086" s="210"/>
      <c r="AK1086" s="210"/>
      <c r="AL1086" s="210"/>
      <c r="AM1086" s="210"/>
      <c r="AN1086" s="210"/>
      <c r="AO1086" s="210"/>
      <c r="AP1086" s="210"/>
      <c r="AQ1086" s="210"/>
    </row>
    <row r="1087">
      <c r="A1087" s="190"/>
      <c r="B1087" s="190"/>
      <c r="C1087" s="190"/>
      <c r="D1087" s="190"/>
      <c r="E1087" s="190"/>
      <c r="F1087" s="190"/>
      <c r="G1087" s="190"/>
      <c r="H1087" s="190"/>
      <c r="I1087" s="190"/>
      <c r="J1087" s="190"/>
      <c r="K1087" s="190"/>
      <c r="L1087" s="190"/>
      <c r="M1087" s="190"/>
      <c r="N1087" s="220"/>
      <c r="O1087" s="220"/>
      <c r="P1087" s="220"/>
      <c r="R1087" s="210"/>
      <c r="S1087" s="210"/>
      <c r="T1087" s="210"/>
      <c r="U1087" s="210"/>
      <c r="X1087" s="210"/>
      <c r="Y1087" s="210"/>
      <c r="Z1087" s="210"/>
      <c r="AA1087" s="210"/>
      <c r="AB1087" s="210"/>
      <c r="AC1087" s="210"/>
      <c r="AD1087" s="210"/>
      <c r="AE1087" s="210"/>
      <c r="AF1087" s="210"/>
      <c r="AG1087" s="210"/>
      <c r="AH1087" s="210"/>
      <c r="AI1087" s="210"/>
      <c r="AJ1087" s="210"/>
      <c r="AK1087" s="210"/>
      <c r="AL1087" s="210"/>
      <c r="AM1087" s="210"/>
      <c r="AN1087" s="210"/>
      <c r="AO1087" s="210"/>
      <c r="AP1087" s="210"/>
      <c r="AQ1087" s="210"/>
    </row>
    <row r="1088">
      <c r="A1088" s="190"/>
      <c r="B1088" s="190"/>
      <c r="C1088" s="190"/>
      <c r="D1088" s="190"/>
      <c r="E1088" s="190"/>
      <c r="F1088" s="190"/>
      <c r="G1088" s="190"/>
      <c r="H1088" s="190"/>
      <c r="I1088" s="190"/>
      <c r="J1088" s="190"/>
      <c r="K1088" s="190"/>
      <c r="L1088" s="190"/>
      <c r="M1088" s="190"/>
      <c r="N1088" s="220"/>
      <c r="O1088" s="220"/>
      <c r="P1088" s="220"/>
      <c r="R1088" s="210"/>
      <c r="S1088" s="210"/>
      <c r="T1088" s="210"/>
      <c r="U1088" s="210"/>
      <c r="X1088" s="210"/>
      <c r="Y1088" s="210"/>
      <c r="Z1088" s="210"/>
      <c r="AA1088" s="210"/>
      <c r="AB1088" s="210"/>
      <c r="AC1088" s="210"/>
      <c r="AD1088" s="210"/>
      <c r="AE1088" s="210"/>
      <c r="AF1088" s="210"/>
      <c r="AG1088" s="210"/>
      <c r="AH1088" s="210"/>
      <c r="AI1088" s="210"/>
      <c r="AJ1088" s="210"/>
      <c r="AK1088" s="210"/>
      <c r="AL1088" s="210"/>
      <c r="AM1088" s="210"/>
      <c r="AN1088" s="210"/>
      <c r="AO1088" s="210"/>
      <c r="AP1088" s="210"/>
      <c r="AQ1088" s="210"/>
    </row>
    <row r="1089">
      <c r="A1089" s="190"/>
      <c r="B1089" s="190"/>
      <c r="C1089" s="190"/>
      <c r="D1089" s="190"/>
      <c r="E1089" s="190"/>
      <c r="F1089" s="190"/>
      <c r="G1089" s="190"/>
      <c r="H1089" s="190"/>
      <c r="I1089" s="190"/>
      <c r="J1089" s="190"/>
      <c r="K1089" s="190"/>
      <c r="L1089" s="190"/>
      <c r="M1089" s="190"/>
      <c r="N1089" s="220"/>
      <c r="O1089" s="220"/>
      <c r="P1089" s="220"/>
      <c r="R1089" s="210"/>
      <c r="S1089" s="210"/>
      <c r="T1089" s="210"/>
      <c r="U1089" s="210"/>
      <c r="X1089" s="210"/>
      <c r="Y1089" s="210"/>
      <c r="Z1089" s="210"/>
      <c r="AA1089" s="210"/>
      <c r="AB1089" s="210"/>
      <c r="AC1089" s="210"/>
      <c r="AD1089" s="210"/>
      <c r="AE1089" s="210"/>
      <c r="AF1089" s="210"/>
      <c r="AG1089" s="210"/>
      <c r="AH1089" s="210"/>
      <c r="AI1089" s="210"/>
      <c r="AJ1089" s="210"/>
      <c r="AK1089" s="210"/>
      <c r="AL1089" s="210"/>
      <c r="AM1089" s="210"/>
      <c r="AN1089" s="210"/>
      <c r="AO1089" s="210"/>
      <c r="AP1089" s="210"/>
      <c r="AQ1089" s="210"/>
    </row>
    <row r="1090">
      <c r="A1090" s="190"/>
      <c r="B1090" s="190"/>
      <c r="C1090" s="190"/>
      <c r="D1090" s="190"/>
      <c r="E1090" s="190"/>
      <c r="F1090" s="190"/>
      <c r="G1090" s="190"/>
      <c r="H1090" s="190"/>
      <c r="I1090" s="190"/>
      <c r="J1090" s="190"/>
      <c r="K1090" s="190"/>
      <c r="L1090" s="190"/>
      <c r="M1090" s="190"/>
      <c r="N1090" s="220"/>
      <c r="O1090" s="220"/>
      <c r="P1090" s="220"/>
      <c r="R1090" s="210"/>
      <c r="S1090" s="210"/>
      <c r="T1090" s="210"/>
      <c r="U1090" s="210"/>
      <c r="X1090" s="210"/>
      <c r="Y1090" s="210"/>
      <c r="Z1090" s="210"/>
      <c r="AA1090" s="210"/>
      <c r="AB1090" s="210"/>
      <c r="AC1090" s="210"/>
      <c r="AD1090" s="210"/>
      <c r="AE1090" s="210"/>
      <c r="AF1090" s="210"/>
      <c r="AG1090" s="210"/>
      <c r="AH1090" s="210"/>
      <c r="AI1090" s="210"/>
      <c r="AJ1090" s="210"/>
      <c r="AK1090" s="210"/>
      <c r="AL1090" s="210"/>
      <c r="AM1090" s="210"/>
      <c r="AN1090" s="210"/>
      <c r="AO1090" s="210"/>
      <c r="AP1090" s="210"/>
      <c r="AQ1090" s="210"/>
    </row>
    <row r="1091">
      <c r="A1091" s="190"/>
      <c r="B1091" s="190"/>
      <c r="C1091" s="190"/>
      <c r="D1091" s="190"/>
      <c r="E1091" s="190"/>
      <c r="F1091" s="190"/>
      <c r="G1091" s="190"/>
      <c r="H1091" s="190"/>
      <c r="I1091" s="190"/>
      <c r="J1091" s="190"/>
      <c r="K1091" s="190"/>
      <c r="L1091" s="190"/>
      <c r="M1091" s="190"/>
      <c r="N1091" s="220"/>
      <c r="O1091" s="220"/>
      <c r="P1091" s="220"/>
      <c r="R1091" s="210"/>
      <c r="S1091" s="210"/>
      <c r="T1091" s="210"/>
      <c r="U1091" s="210"/>
      <c r="X1091" s="210"/>
      <c r="Y1091" s="210"/>
      <c r="Z1091" s="210"/>
      <c r="AA1091" s="210"/>
      <c r="AB1091" s="210"/>
      <c r="AC1091" s="210"/>
      <c r="AD1091" s="210"/>
      <c r="AE1091" s="210"/>
      <c r="AF1091" s="210"/>
      <c r="AG1091" s="210"/>
      <c r="AH1091" s="210"/>
      <c r="AI1091" s="210"/>
      <c r="AJ1091" s="210"/>
      <c r="AK1091" s="210"/>
      <c r="AL1091" s="210"/>
      <c r="AM1091" s="210"/>
      <c r="AN1091" s="210"/>
      <c r="AO1091" s="210"/>
      <c r="AP1091" s="210"/>
      <c r="AQ1091" s="210"/>
    </row>
    <row r="1092">
      <c r="A1092" s="190"/>
      <c r="B1092" s="190"/>
      <c r="C1092" s="190"/>
      <c r="D1092" s="190"/>
      <c r="E1092" s="190"/>
      <c r="F1092" s="190"/>
      <c r="G1092" s="190"/>
      <c r="H1092" s="190"/>
      <c r="I1092" s="190"/>
      <c r="J1092" s="190"/>
      <c r="K1092" s="190"/>
      <c r="L1092" s="190"/>
      <c r="M1092" s="190"/>
      <c r="N1092" s="220"/>
      <c r="O1092" s="220"/>
      <c r="P1092" s="220"/>
      <c r="R1092" s="210"/>
      <c r="S1092" s="210"/>
      <c r="T1092" s="210"/>
      <c r="U1092" s="210"/>
      <c r="X1092" s="210"/>
      <c r="Y1092" s="210"/>
      <c r="Z1092" s="210"/>
      <c r="AA1092" s="210"/>
      <c r="AB1092" s="210"/>
      <c r="AC1092" s="210"/>
      <c r="AD1092" s="210"/>
      <c r="AE1092" s="210"/>
      <c r="AF1092" s="210"/>
      <c r="AG1092" s="210"/>
      <c r="AH1092" s="210"/>
      <c r="AI1092" s="210"/>
      <c r="AJ1092" s="210"/>
      <c r="AK1092" s="210"/>
      <c r="AL1092" s="210"/>
      <c r="AM1092" s="210"/>
      <c r="AN1092" s="210"/>
      <c r="AO1092" s="210"/>
      <c r="AP1092" s="210"/>
      <c r="AQ1092" s="210"/>
    </row>
    <row r="1093">
      <c r="A1093" s="190"/>
      <c r="B1093" s="190"/>
      <c r="C1093" s="190"/>
      <c r="D1093" s="190"/>
      <c r="E1093" s="190"/>
      <c r="F1093" s="190"/>
      <c r="G1093" s="190"/>
      <c r="H1093" s="190"/>
      <c r="I1093" s="190"/>
      <c r="J1093" s="190"/>
      <c r="K1093" s="190"/>
      <c r="L1093" s="190"/>
      <c r="M1093" s="190"/>
      <c r="N1093" s="220"/>
      <c r="O1093" s="220"/>
      <c r="P1093" s="220"/>
      <c r="R1093" s="210"/>
      <c r="S1093" s="210"/>
      <c r="T1093" s="210"/>
      <c r="U1093" s="210"/>
      <c r="X1093" s="210"/>
      <c r="Y1093" s="210"/>
      <c r="Z1093" s="210"/>
      <c r="AA1093" s="210"/>
      <c r="AB1093" s="210"/>
      <c r="AC1093" s="210"/>
      <c r="AD1093" s="210"/>
      <c r="AE1093" s="210"/>
      <c r="AF1093" s="210"/>
      <c r="AG1093" s="210"/>
      <c r="AH1093" s="210"/>
      <c r="AI1093" s="210"/>
      <c r="AJ1093" s="210"/>
      <c r="AK1093" s="210"/>
      <c r="AL1093" s="210"/>
      <c r="AM1093" s="210"/>
      <c r="AN1093" s="210"/>
      <c r="AO1093" s="210"/>
      <c r="AP1093" s="210"/>
      <c r="AQ1093" s="210"/>
    </row>
    <row r="1094">
      <c r="A1094" s="190"/>
      <c r="B1094" s="190"/>
      <c r="C1094" s="190"/>
      <c r="D1094" s="190"/>
      <c r="E1094" s="190"/>
      <c r="F1094" s="190"/>
      <c r="G1094" s="190"/>
      <c r="H1094" s="190"/>
      <c r="I1094" s="190"/>
      <c r="J1094" s="190"/>
      <c r="K1094" s="190"/>
      <c r="L1094" s="190"/>
      <c r="M1094" s="190"/>
      <c r="N1094" s="220"/>
      <c r="O1094" s="220"/>
      <c r="P1094" s="220"/>
      <c r="R1094" s="210"/>
      <c r="S1094" s="210"/>
      <c r="T1094" s="210"/>
      <c r="U1094" s="210"/>
      <c r="X1094" s="210"/>
      <c r="Y1094" s="210"/>
      <c r="Z1094" s="210"/>
      <c r="AA1094" s="210"/>
      <c r="AB1094" s="210"/>
      <c r="AC1094" s="210"/>
      <c r="AD1094" s="210"/>
      <c r="AE1094" s="210"/>
      <c r="AF1094" s="210"/>
      <c r="AG1094" s="210"/>
      <c r="AH1094" s="210"/>
      <c r="AI1094" s="210"/>
      <c r="AJ1094" s="210"/>
      <c r="AK1094" s="210"/>
      <c r="AL1094" s="210"/>
      <c r="AM1094" s="210"/>
      <c r="AN1094" s="210"/>
      <c r="AO1094" s="210"/>
      <c r="AP1094" s="210"/>
      <c r="AQ1094" s="210"/>
    </row>
    <row r="1095">
      <c r="A1095" s="190"/>
      <c r="B1095" s="190"/>
      <c r="C1095" s="190"/>
      <c r="D1095" s="190"/>
      <c r="E1095" s="190"/>
      <c r="F1095" s="190"/>
      <c r="G1095" s="190"/>
      <c r="H1095" s="190"/>
      <c r="I1095" s="190"/>
      <c r="J1095" s="190"/>
      <c r="K1095" s="190"/>
      <c r="L1095" s="190"/>
      <c r="M1095" s="190"/>
      <c r="N1095" s="220"/>
      <c r="O1095" s="220"/>
      <c r="P1095" s="220"/>
      <c r="R1095" s="210"/>
      <c r="S1095" s="210"/>
      <c r="T1095" s="210"/>
      <c r="U1095" s="210"/>
      <c r="X1095" s="210"/>
      <c r="Y1095" s="210"/>
      <c r="Z1095" s="210"/>
      <c r="AA1095" s="210"/>
      <c r="AB1095" s="210"/>
      <c r="AC1095" s="210"/>
      <c r="AD1095" s="210"/>
      <c r="AE1095" s="210"/>
      <c r="AF1095" s="210"/>
      <c r="AG1095" s="210"/>
      <c r="AH1095" s="210"/>
      <c r="AI1095" s="210"/>
      <c r="AJ1095" s="210"/>
      <c r="AK1095" s="210"/>
      <c r="AL1095" s="210"/>
      <c r="AM1095" s="210"/>
      <c r="AN1095" s="210"/>
      <c r="AO1095" s="210"/>
      <c r="AP1095" s="210"/>
      <c r="AQ1095" s="210"/>
    </row>
    <row r="1096">
      <c r="A1096" s="190"/>
      <c r="B1096" s="190"/>
      <c r="C1096" s="190"/>
      <c r="D1096" s="190"/>
      <c r="E1096" s="190"/>
      <c r="F1096" s="190"/>
      <c r="G1096" s="190"/>
      <c r="H1096" s="190"/>
      <c r="I1096" s="190"/>
      <c r="J1096" s="190"/>
      <c r="K1096" s="190"/>
      <c r="L1096" s="190"/>
      <c r="M1096" s="190"/>
      <c r="N1096" s="220"/>
      <c r="O1096" s="220"/>
      <c r="P1096" s="220"/>
      <c r="R1096" s="210"/>
      <c r="S1096" s="210"/>
      <c r="T1096" s="210"/>
      <c r="U1096" s="210"/>
      <c r="X1096" s="210"/>
      <c r="Y1096" s="210"/>
      <c r="Z1096" s="210"/>
      <c r="AA1096" s="210"/>
      <c r="AB1096" s="210"/>
      <c r="AC1096" s="210"/>
      <c r="AD1096" s="210"/>
      <c r="AE1096" s="210"/>
      <c r="AF1096" s="210"/>
      <c r="AG1096" s="210"/>
      <c r="AH1096" s="210"/>
      <c r="AI1096" s="210"/>
      <c r="AJ1096" s="210"/>
      <c r="AK1096" s="210"/>
      <c r="AL1096" s="210"/>
      <c r="AM1096" s="210"/>
      <c r="AN1096" s="210"/>
      <c r="AO1096" s="210"/>
      <c r="AP1096" s="210"/>
      <c r="AQ1096" s="210"/>
    </row>
    <row r="1097">
      <c r="A1097" s="190"/>
      <c r="B1097" s="190"/>
      <c r="C1097" s="190"/>
      <c r="D1097" s="190"/>
      <c r="E1097" s="190"/>
      <c r="F1097" s="190"/>
      <c r="G1097" s="190"/>
      <c r="H1097" s="190"/>
      <c r="I1097" s="190"/>
      <c r="J1097" s="190"/>
      <c r="K1097" s="190"/>
      <c r="L1097" s="190"/>
      <c r="M1097" s="190"/>
      <c r="N1097" s="220"/>
      <c r="O1097" s="220"/>
      <c r="P1097" s="220"/>
      <c r="R1097" s="210"/>
      <c r="S1097" s="210"/>
      <c r="T1097" s="210"/>
      <c r="U1097" s="210"/>
      <c r="X1097" s="210"/>
      <c r="Y1097" s="210"/>
      <c r="Z1097" s="210"/>
      <c r="AA1097" s="210"/>
      <c r="AB1097" s="210"/>
      <c r="AC1097" s="210"/>
      <c r="AD1097" s="210"/>
      <c r="AE1097" s="210"/>
      <c r="AF1097" s="210"/>
      <c r="AG1097" s="210"/>
      <c r="AH1097" s="210"/>
      <c r="AI1097" s="210"/>
      <c r="AJ1097" s="210"/>
      <c r="AK1097" s="210"/>
      <c r="AL1097" s="210"/>
      <c r="AM1097" s="210"/>
      <c r="AN1097" s="210"/>
      <c r="AO1097" s="210"/>
      <c r="AP1097" s="210"/>
      <c r="AQ1097" s="210"/>
    </row>
    <row r="1098">
      <c r="A1098" s="190"/>
      <c r="B1098" s="190"/>
      <c r="C1098" s="190"/>
      <c r="D1098" s="190"/>
      <c r="E1098" s="190"/>
      <c r="F1098" s="190"/>
      <c r="G1098" s="190"/>
      <c r="H1098" s="190"/>
      <c r="I1098" s="190"/>
      <c r="J1098" s="190"/>
      <c r="K1098" s="190"/>
      <c r="L1098" s="190"/>
      <c r="M1098" s="190"/>
      <c r="N1098" s="220"/>
      <c r="O1098" s="220"/>
      <c r="P1098" s="220"/>
      <c r="R1098" s="210"/>
      <c r="S1098" s="210"/>
      <c r="T1098" s="210"/>
      <c r="U1098" s="210"/>
      <c r="X1098" s="210"/>
      <c r="Y1098" s="210"/>
      <c r="Z1098" s="210"/>
      <c r="AA1098" s="210"/>
      <c r="AB1098" s="210"/>
      <c r="AC1098" s="210"/>
      <c r="AD1098" s="210"/>
      <c r="AE1098" s="210"/>
      <c r="AF1098" s="210"/>
      <c r="AG1098" s="210"/>
      <c r="AH1098" s="210"/>
      <c r="AI1098" s="210"/>
      <c r="AJ1098" s="210"/>
      <c r="AK1098" s="210"/>
      <c r="AL1098" s="210"/>
      <c r="AM1098" s="210"/>
      <c r="AN1098" s="210"/>
      <c r="AO1098" s="210"/>
      <c r="AP1098" s="210"/>
      <c r="AQ1098" s="210"/>
    </row>
    <row r="1099">
      <c r="A1099" s="190"/>
      <c r="B1099" s="190"/>
      <c r="C1099" s="190"/>
      <c r="D1099" s="190"/>
      <c r="E1099" s="190"/>
      <c r="F1099" s="190"/>
      <c r="G1099" s="190"/>
      <c r="H1099" s="190"/>
      <c r="I1099" s="190"/>
      <c r="J1099" s="190"/>
      <c r="K1099" s="190"/>
      <c r="L1099" s="190"/>
      <c r="M1099" s="190"/>
      <c r="N1099" s="220"/>
      <c r="O1099" s="220"/>
      <c r="P1099" s="220"/>
      <c r="R1099" s="210"/>
      <c r="S1099" s="210"/>
      <c r="T1099" s="210"/>
      <c r="U1099" s="210"/>
      <c r="X1099" s="210"/>
      <c r="Y1099" s="210"/>
      <c r="Z1099" s="210"/>
      <c r="AA1099" s="210"/>
      <c r="AB1099" s="210"/>
      <c r="AC1099" s="210"/>
      <c r="AD1099" s="210"/>
      <c r="AE1099" s="210"/>
      <c r="AF1099" s="210"/>
      <c r="AG1099" s="210"/>
      <c r="AH1099" s="210"/>
      <c r="AI1099" s="210"/>
      <c r="AJ1099" s="210"/>
      <c r="AK1099" s="210"/>
      <c r="AL1099" s="210"/>
      <c r="AM1099" s="210"/>
      <c r="AN1099" s="210"/>
      <c r="AO1099" s="210"/>
      <c r="AP1099" s="210"/>
      <c r="AQ1099" s="210"/>
    </row>
    <row r="1100">
      <c r="A1100" s="190"/>
      <c r="B1100" s="190"/>
      <c r="C1100" s="190"/>
      <c r="D1100" s="190"/>
      <c r="E1100" s="190"/>
      <c r="F1100" s="190"/>
      <c r="G1100" s="190"/>
      <c r="H1100" s="190"/>
      <c r="I1100" s="190"/>
      <c r="J1100" s="190"/>
      <c r="K1100" s="190"/>
      <c r="L1100" s="190"/>
      <c r="M1100" s="190"/>
      <c r="N1100" s="220"/>
      <c r="O1100" s="220"/>
      <c r="P1100" s="220"/>
      <c r="R1100" s="210"/>
      <c r="S1100" s="210"/>
      <c r="T1100" s="210"/>
      <c r="U1100" s="210"/>
      <c r="X1100" s="210"/>
      <c r="Y1100" s="210"/>
      <c r="Z1100" s="210"/>
      <c r="AA1100" s="210"/>
      <c r="AB1100" s="210"/>
      <c r="AC1100" s="210"/>
      <c r="AD1100" s="210"/>
      <c r="AE1100" s="210"/>
      <c r="AF1100" s="210"/>
      <c r="AG1100" s="210"/>
      <c r="AH1100" s="210"/>
      <c r="AI1100" s="210"/>
      <c r="AJ1100" s="210"/>
      <c r="AK1100" s="210"/>
      <c r="AL1100" s="210"/>
      <c r="AM1100" s="210"/>
      <c r="AN1100" s="210"/>
      <c r="AO1100" s="210"/>
      <c r="AP1100" s="210"/>
      <c r="AQ1100" s="210"/>
    </row>
    <row r="1101">
      <c r="A1101" s="190"/>
      <c r="B1101" s="190"/>
      <c r="C1101" s="190"/>
      <c r="D1101" s="190"/>
      <c r="E1101" s="190"/>
      <c r="F1101" s="190"/>
      <c r="G1101" s="190"/>
      <c r="H1101" s="190"/>
      <c r="I1101" s="190"/>
      <c r="J1101" s="190"/>
      <c r="K1101" s="190"/>
      <c r="L1101" s="190"/>
      <c r="M1101" s="190"/>
      <c r="N1101" s="220"/>
      <c r="O1101" s="220"/>
      <c r="P1101" s="220"/>
      <c r="R1101" s="210"/>
      <c r="S1101" s="210"/>
      <c r="T1101" s="210"/>
      <c r="U1101" s="210"/>
      <c r="X1101" s="210"/>
      <c r="Y1101" s="210"/>
      <c r="Z1101" s="210"/>
      <c r="AA1101" s="210"/>
      <c r="AB1101" s="210"/>
      <c r="AC1101" s="210"/>
      <c r="AD1101" s="210"/>
      <c r="AE1101" s="210"/>
      <c r="AF1101" s="210"/>
      <c r="AG1101" s="210"/>
      <c r="AH1101" s="210"/>
      <c r="AI1101" s="210"/>
      <c r="AJ1101" s="210"/>
      <c r="AK1101" s="210"/>
      <c r="AL1101" s="210"/>
      <c r="AM1101" s="210"/>
      <c r="AN1101" s="210"/>
      <c r="AO1101" s="210"/>
      <c r="AP1101" s="210"/>
      <c r="AQ1101" s="210"/>
    </row>
    <row r="1102">
      <c r="A1102" s="190"/>
      <c r="B1102" s="190"/>
      <c r="C1102" s="190"/>
      <c r="D1102" s="190"/>
      <c r="E1102" s="190"/>
      <c r="F1102" s="190"/>
      <c r="G1102" s="190"/>
      <c r="H1102" s="190"/>
      <c r="I1102" s="190"/>
      <c r="J1102" s="190"/>
      <c r="K1102" s="190"/>
      <c r="L1102" s="190"/>
      <c r="M1102" s="190"/>
      <c r="N1102" s="220"/>
      <c r="O1102" s="220"/>
      <c r="P1102" s="220"/>
      <c r="R1102" s="210"/>
      <c r="S1102" s="210"/>
      <c r="T1102" s="210"/>
      <c r="U1102" s="210"/>
      <c r="X1102" s="210"/>
      <c r="Y1102" s="210"/>
      <c r="Z1102" s="210"/>
      <c r="AA1102" s="210"/>
      <c r="AB1102" s="210"/>
      <c r="AC1102" s="210"/>
      <c r="AD1102" s="210"/>
      <c r="AE1102" s="210"/>
      <c r="AF1102" s="210"/>
      <c r="AG1102" s="210"/>
      <c r="AH1102" s="210"/>
      <c r="AI1102" s="210"/>
      <c r="AJ1102" s="210"/>
      <c r="AK1102" s="210"/>
      <c r="AL1102" s="210"/>
      <c r="AM1102" s="210"/>
      <c r="AN1102" s="210"/>
      <c r="AO1102" s="210"/>
      <c r="AP1102" s="210"/>
      <c r="AQ1102" s="210"/>
    </row>
    <row r="1103">
      <c r="A1103" s="190"/>
      <c r="B1103" s="190"/>
      <c r="C1103" s="190"/>
      <c r="D1103" s="190"/>
      <c r="E1103" s="190"/>
      <c r="F1103" s="190"/>
      <c r="G1103" s="190"/>
      <c r="H1103" s="190"/>
      <c r="I1103" s="190"/>
      <c r="J1103" s="190"/>
      <c r="K1103" s="190"/>
      <c r="L1103" s="190"/>
      <c r="M1103" s="190"/>
      <c r="N1103" s="220"/>
      <c r="O1103" s="220"/>
      <c r="P1103" s="220"/>
      <c r="R1103" s="210"/>
      <c r="S1103" s="210"/>
      <c r="T1103" s="210"/>
      <c r="U1103" s="210"/>
      <c r="X1103" s="210"/>
      <c r="Y1103" s="210"/>
      <c r="Z1103" s="210"/>
      <c r="AA1103" s="210"/>
      <c r="AB1103" s="210"/>
      <c r="AC1103" s="210"/>
      <c r="AD1103" s="210"/>
      <c r="AE1103" s="210"/>
      <c r="AF1103" s="210"/>
      <c r="AG1103" s="210"/>
      <c r="AH1103" s="210"/>
      <c r="AI1103" s="210"/>
      <c r="AJ1103" s="210"/>
      <c r="AK1103" s="210"/>
      <c r="AL1103" s="210"/>
      <c r="AM1103" s="210"/>
      <c r="AN1103" s="210"/>
      <c r="AO1103" s="210"/>
      <c r="AP1103" s="210"/>
      <c r="AQ1103" s="210"/>
    </row>
    <row r="1104">
      <c r="A1104" s="190"/>
      <c r="B1104" s="190"/>
      <c r="C1104" s="190"/>
      <c r="D1104" s="190"/>
      <c r="E1104" s="190"/>
      <c r="F1104" s="190"/>
      <c r="G1104" s="190"/>
      <c r="H1104" s="190"/>
      <c r="I1104" s="190"/>
      <c r="J1104" s="190"/>
      <c r="K1104" s="190"/>
      <c r="L1104" s="190"/>
      <c r="M1104" s="190"/>
      <c r="N1104" s="220"/>
      <c r="O1104" s="220"/>
      <c r="P1104" s="220"/>
      <c r="R1104" s="210"/>
      <c r="S1104" s="210"/>
      <c r="T1104" s="210"/>
      <c r="U1104" s="210"/>
      <c r="X1104" s="210"/>
      <c r="Y1104" s="210"/>
      <c r="Z1104" s="210"/>
      <c r="AA1104" s="210"/>
      <c r="AB1104" s="210"/>
      <c r="AC1104" s="210"/>
      <c r="AD1104" s="210"/>
      <c r="AE1104" s="210"/>
      <c r="AF1104" s="210"/>
      <c r="AG1104" s="210"/>
      <c r="AH1104" s="210"/>
      <c r="AI1104" s="210"/>
      <c r="AJ1104" s="210"/>
      <c r="AK1104" s="210"/>
      <c r="AL1104" s="210"/>
      <c r="AM1104" s="210"/>
      <c r="AN1104" s="210"/>
      <c r="AO1104" s="210"/>
      <c r="AP1104" s="210"/>
      <c r="AQ1104" s="210"/>
    </row>
    <row r="1105">
      <c r="A1105" s="190"/>
      <c r="B1105" s="190"/>
      <c r="C1105" s="190"/>
      <c r="D1105" s="190"/>
      <c r="E1105" s="190"/>
      <c r="F1105" s="190"/>
      <c r="G1105" s="190"/>
      <c r="H1105" s="190"/>
      <c r="I1105" s="190"/>
      <c r="J1105" s="190"/>
      <c r="K1105" s="190"/>
      <c r="L1105" s="190"/>
      <c r="M1105" s="190"/>
      <c r="N1105" s="220"/>
      <c r="O1105" s="220"/>
      <c r="P1105" s="220"/>
      <c r="R1105" s="210"/>
      <c r="S1105" s="210"/>
      <c r="T1105" s="210"/>
      <c r="U1105" s="210"/>
      <c r="X1105" s="210"/>
      <c r="Y1105" s="210"/>
      <c r="Z1105" s="210"/>
      <c r="AA1105" s="210"/>
      <c r="AB1105" s="210"/>
      <c r="AC1105" s="210"/>
      <c r="AD1105" s="210"/>
      <c r="AE1105" s="210"/>
      <c r="AF1105" s="210"/>
      <c r="AG1105" s="210"/>
      <c r="AH1105" s="210"/>
      <c r="AI1105" s="210"/>
      <c r="AJ1105" s="210"/>
      <c r="AK1105" s="210"/>
      <c r="AL1105" s="210"/>
      <c r="AM1105" s="210"/>
      <c r="AN1105" s="210"/>
      <c r="AO1105" s="210"/>
      <c r="AP1105" s="210"/>
      <c r="AQ1105" s="210"/>
    </row>
    <row r="1106">
      <c r="A1106" s="190"/>
      <c r="B1106" s="190"/>
      <c r="C1106" s="190"/>
      <c r="D1106" s="190"/>
      <c r="E1106" s="190"/>
      <c r="F1106" s="190"/>
      <c r="G1106" s="190"/>
      <c r="H1106" s="190"/>
      <c r="I1106" s="190"/>
      <c r="J1106" s="190"/>
      <c r="K1106" s="190"/>
      <c r="L1106" s="190"/>
      <c r="M1106" s="190"/>
      <c r="N1106" s="220"/>
      <c r="O1106" s="220"/>
      <c r="P1106" s="220"/>
      <c r="R1106" s="210"/>
      <c r="S1106" s="210"/>
      <c r="T1106" s="210"/>
      <c r="U1106" s="210"/>
      <c r="X1106" s="210"/>
      <c r="Y1106" s="210"/>
      <c r="Z1106" s="210"/>
      <c r="AA1106" s="210"/>
      <c r="AB1106" s="210"/>
      <c r="AC1106" s="210"/>
      <c r="AD1106" s="210"/>
      <c r="AE1106" s="210"/>
      <c r="AF1106" s="210"/>
      <c r="AG1106" s="210"/>
      <c r="AH1106" s="210"/>
      <c r="AI1106" s="210"/>
      <c r="AJ1106" s="210"/>
      <c r="AK1106" s="210"/>
      <c r="AL1106" s="210"/>
      <c r="AM1106" s="210"/>
      <c r="AN1106" s="210"/>
      <c r="AO1106" s="210"/>
      <c r="AP1106" s="210"/>
      <c r="AQ1106" s="210"/>
    </row>
    <row r="1107">
      <c r="A1107" s="190"/>
      <c r="B1107" s="190"/>
      <c r="C1107" s="190"/>
      <c r="D1107" s="190"/>
      <c r="E1107" s="190"/>
      <c r="F1107" s="190"/>
      <c r="G1107" s="190"/>
      <c r="H1107" s="190"/>
      <c r="I1107" s="190"/>
      <c r="J1107" s="190"/>
      <c r="K1107" s="190"/>
      <c r="L1107" s="190"/>
      <c r="M1107" s="190"/>
      <c r="N1107" s="220"/>
      <c r="O1107" s="220"/>
      <c r="P1107" s="220"/>
      <c r="R1107" s="210"/>
      <c r="S1107" s="210"/>
      <c r="T1107" s="210"/>
      <c r="U1107" s="210"/>
      <c r="X1107" s="210"/>
      <c r="Y1107" s="210"/>
      <c r="Z1107" s="210"/>
      <c r="AA1107" s="210"/>
      <c r="AB1107" s="210"/>
      <c r="AC1107" s="210"/>
      <c r="AD1107" s="210"/>
      <c r="AE1107" s="210"/>
      <c r="AF1107" s="210"/>
      <c r="AG1107" s="210"/>
      <c r="AH1107" s="210"/>
      <c r="AI1107" s="210"/>
      <c r="AJ1107" s="210"/>
      <c r="AK1107" s="210"/>
      <c r="AL1107" s="210"/>
      <c r="AM1107" s="210"/>
      <c r="AN1107" s="210"/>
      <c r="AO1107" s="210"/>
      <c r="AP1107" s="210"/>
      <c r="AQ1107" s="210"/>
    </row>
    <row r="1108">
      <c r="A1108" s="190"/>
      <c r="B1108" s="190"/>
      <c r="C1108" s="190"/>
      <c r="D1108" s="190"/>
      <c r="E1108" s="190"/>
      <c r="F1108" s="190"/>
      <c r="G1108" s="190"/>
      <c r="H1108" s="190"/>
      <c r="I1108" s="190"/>
      <c r="J1108" s="190"/>
      <c r="K1108" s="190"/>
      <c r="L1108" s="190"/>
      <c r="M1108" s="190"/>
      <c r="N1108" s="220"/>
      <c r="O1108" s="220"/>
      <c r="P1108" s="220"/>
      <c r="R1108" s="210"/>
      <c r="S1108" s="210"/>
      <c r="T1108" s="210"/>
      <c r="U1108" s="210"/>
      <c r="X1108" s="210"/>
      <c r="Y1108" s="210"/>
      <c r="Z1108" s="210"/>
      <c r="AA1108" s="210"/>
      <c r="AB1108" s="210"/>
      <c r="AC1108" s="210"/>
      <c r="AD1108" s="210"/>
      <c r="AE1108" s="210"/>
      <c r="AF1108" s="210"/>
      <c r="AG1108" s="210"/>
      <c r="AH1108" s="210"/>
      <c r="AI1108" s="210"/>
      <c r="AJ1108" s="210"/>
      <c r="AK1108" s="210"/>
      <c r="AL1108" s="210"/>
      <c r="AM1108" s="210"/>
      <c r="AN1108" s="210"/>
      <c r="AO1108" s="210"/>
      <c r="AP1108" s="210"/>
      <c r="AQ1108" s="210"/>
    </row>
    <row r="1109">
      <c r="A1109" s="190"/>
      <c r="B1109" s="190"/>
      <c r="C1109" s="190"/>
      <c r="D1109" s="190"/>
      <c r="E1109" s="190"/>
      <c r="F1109" s="190"/>
      <c r="G1109" s="190"/>
      <c r="H1109" s="190"/>
      <c r="I1109" s="190"/>
      <c r="J1109" s="190"/>
      <c r="K1109" s="190"/>
      <c r="L1109" s="190"/>
      <c r="M1109" s="190"/>
      <c r="N1109" s="220"/>
      <c r="O1109" s="220"/>
      <c r="P1109" s="220"/>
      <c r="R1109" s="210"/>
      <c r="S1109" s="210"/>
      <c r="T1109" s="210"/>
      <c r="U1109" s="210"/>
      <c r="X1109" s="210"/>
      <c r="Y1109" s="210"/>
      <c r="Z1109" s="210"/>
      <c r="AA1109" s="210"/>
      <c r="AB1109" s="210"/>
      <c r="AC1109" s="210"/>
      <c r="AD1109" s="210"/>
      <c r="AE1109" s="210"/>
      <c r="AF1109" s="210"/>
      <c r="AG1109" s="210"/>
      <c r="AH1109" s="210"/>
      <c r="AI1109" s="210"/>
      <c r="AJ1109" s="210"/>
      <c r="AK1109" s="210"/>
      <c r="AL1109" s="210"/>
      <c r="AM1109" s="210"/>
      <c r="AN1109" s="210"/>
      <c r="AO1109" s="210"/>
      <c r="AP1109" s="210"/>
      <c r="AQ1109" s="210"/>
    </row>
    <row r="1110">
      <c r="A1110" s="190"/>
      <c r="B1110" s="190"/>
      <c r="C1110" s="190"/>
      <c r="D1110" s="190"/>
      <c r="E1110" s="190"/>
      <c r="F1110" s="190"/>
      <c r="G1110" s="190"/>
      <c r="H1110" s="190"/>
      <c r="I1110" s="190"/>
      <c r="J1110" s="190"/>
      <c r="K1110" s="190"/>
      <c r="L1110" s="190"/>
      <c r="M1110" s="190"/>
      <c r="N1110" s="220"/>
      <c r="O1110" s="220"/>
      <c r="P1110" s="220"/>
      <c r="R1110" s="210"/>
      <c r="S1110" s="210"/>
      <c r="T1110" s="210"/>
      <c r="U1110" s="210"/>
      <c r="X1110" s="210"/>
      <c r="Y1110" s="210"/>
      <c r="Z1110" s="210"/>
      <c r="AA1110" s="210"/>
      <c r="AB1110" s="210"/>
      <c r="AC1110" s="210"/>
      <c r="AD1110" s="210"/>
      <c r="AE1110" s="210"/>
      <c r="AF1110" s="210"/>
      <c r="AG1110" s="210"/>
      <c r="AH1110" s="210"/>
      <c r="AI1110" s="210"/>
      <c r="AJ1110" s="210"/>
      <c r="AK1110" s="210"/>
      <c r="AL1110" s="210"/>
      <c r="AM1110" s="210"/>
      <c r="AN1110" s="210"/>
      <c r="AO1110" s="210"/>
      <c r="AP1110" s="210"/>
      <c r="AQ1110" s="210"/>
    </row>
    <row r="1111">
      <c r="A1111" s="190"/>
      <c r="B1111" s="190"/>
      <c r="C1111" s="190"/>
      <c r="D1111" s="190"/>
      <c r="E1111" s="190"/>
      <c r="F1111" s="190"/>
      <c r="G1111" s="190"/>
      <c r="H1111" s="190"/>
      <c r="I1111" s="190"/>
      <c r="J1111" s="190"/>
      <c r="K1111" s="190"/>
      <c r="L1111" s="190"/>
      <c r="M1111" s="190"/>
      <c r="N1111" s="220"/>
      <c r="O1111" s="220"/>
      <c r="P1111" s="220"/>
      <c r="R1111" s="210"/>
      <c r="S1111" s="210"/>
      <c r="T1111" s="210"/>
      <c r="U1111" s="210"/>
      <c r="X1111" s="210"/>
      <c r="Y1111" s="210"/>
      <c r="Z1111" s="210"/>
      <c r="AA1111" s="210"/>
      <c r="AB1111" s="210"/>
      <c r="AC1111" s="210"/>
      <c r="AD1111" s="210"/>
      <c r="AE1111" s="210"/>
      <c r="AF1111" s="210"/>
      <c r="AG1111" s="210"/>
      <c r="AH1111" s="210"/>
      <c r="AI1111" s="210"/>
      <c r="AJ1111" s="210"/>
      <c r="AK1111" s="210"/>
      <c r="AL1111" s="210"/>
      <c r="AM1111" s="210"/>
      <c r="AN1111" s="210"/>
      <c r="AO1111" s="210"/>
      <c r="AP1111" s="210"/>
      <c r="AQ1111" s="210"/>
    </row>
    <row r="1112">
      <c r="A1112" s="190"/>
      <c r="B1112" s="190"/>
      <c r="C1112" s="190"/>
      <c r="D1112" s="190"/>
      <c r="E1112" s="190"/>
      <c r="F1112" s="190"/>
      <c r="G1112" s="190"/>
      <c r="H1112" s="190"/>
      <c r="I1112" s="190"/>
      <c r="J1112" s="190"/>
      <c r="K1112" s="190"/>
      <c r="L1112" s="190"/>
      <c r="M1112" s="190"/>
      <c r="N1112" s="220"/>
      <c r="O1112" s="220"/>
      <c r="P1112" s="220"/>
      <c r="R1112" s="210"/>
      <c r="S1112" s="210"/>
      <c r="T1112" s="210"/>
      <c r="U1112" s="210"/>
      <c r="X1112" s="210"/>
      <c r="Y1112" s="210"/>
      <c r="Z1112" s="210"/>
      <c r="AA1112" s="210"/>
      <c r="AB1112" s="210"/>
      <c r="AC1112" s="210"/>
      <c r="AD1112" s="210"/>
      <c r="AE1112" s="210"/>
      <c r="AF1112" s="210"/>
      <c r="AG1112" s="210"/>
      <c r="AH1112" s="210"/>
      <c r="AI1112" s="210"/>
      <c r="AJ1112" s="210"/>
      <c r="AK1112" s="210"/>
      <c r="AL1112" s="210"/>
      <c r="AM1112" s="210"/>
      <c r="AN1112" s="210"/>
      <c r="AO1112" s="210"/>
      <c r="AP1112" s="210"/>
      <c r="AQ1112" s="210"/>
    </row>
    <row r="1113">
      <c r="A1113" s="190"/>
      <c r="B1113" s="190"/>
      <c r="C1113" s="190"/>
      <c r="D1113" s="190"/>
      <c r="E1113" s="190"/>
      <c r="F1113" s="190"/>
      <c r="G1113" s="190"/>
      <c r="H1113" s="190"/>
      <c r="I1113" s="190"/>
      <c r="J1113" s="190"/>
      <c r="K1113" s="190"/>
      <c r="L1113" s="190"/>
      <c r="M1113" s="190"/>
      <c r="N1113" s="220"/>
      <c r="O1113" s="220"/>
      <c r="P1113" s="220"/>
      <c r="R1113" s="210"/>
      <c r="S1113" s="210"/>
      <c r="T1113" s="210"/>
      <c r="U1113" s="210"/>
      <c r="X1113" s="210"/>
      <c r="Y1113" s="210"/>
      <c r="Z1113" s="210"/>
      <c r="AA1113" s="210"/>
      <c r="AB1113" s="210"/>
      <c r="AC1113" s="210"/>
      <c r="AD1113" s="210"/>
      <c r="AE1113" s="210"/>
      <c r="AF1113" s="210"/>
      <c r="AG1113" s="210"/>
      <c r="AH1113" s="210"/>
      <c r="AI1113" s="210"/>
      <c r="AJ1113" s="210"/>
      <c r="AK1113" s="210"/>
      <c r="AL1113" s="210"/>
      <c r="AM1113" s="210"/>
      <c r="AN1113" s="210"/>
      <c r="AO1113" s="210"/>
      <c r="AP1113" s="210"/>
      <c r="AQ1113" s="210"/>
    </row>
    <row r="1114">
      <c r="A1114" s="190"/>
      <c r="B1114" s="190"/>
      <c r="C1114" s="190"/>
      <c r="D1114" s="190"/>
      <c r="E1114" s="190"/>
      <c r="F1114" s="190"/>
      <c r="G1114" s="190"/>
      <c r="H1114" s="190"/>
      <c r="I1114" s="190"/>
      <c r="J1114" s="190"/>
      <c r="K1114" s="190"/>
      <c r="L1114" s="190"/>
      <c r="M1114" s="190"/>
      <c r="N1114" s="220"/>
      <c r="O1114" s="220"/>
      <c r="P1114" s="220"/>
      <c r="R1114" s="210"/>
      <c r="S1114" s="210"/>
      <c r="T1114" s="210"/>
      <c r="U1114" s="210"/>
      <c r="X1114" s="210"/>
      <c r="Y1114" s="210"/>
      <c r="Z1114" s="210"/>
      <c r="AA1114" s="210"/>
      <c r="AB1114" s="210"/>
      <c r="AC1114" s="210"/>
      <c r="AD1114" s="210"/>
      <c r="AE1114" s="210"/>
      <c r="AF1114" s="210"/>
      <c r="AG1114" s="210"/>
      <c r="AH1114" s="210"/>
      <c r="AI1114" s="210"/>
      <c r="AJ1114" s="210"/>
      <c r="AK1114" s="210"/>
      <c r="AL1114" s="210"/>
      <c r="AM1114" s="210"/>
      <c r="AN1114" s="210"/>
      <c r="AO1114" s="210"/>
      <c r="AP1114" s="210"/>
      <c r="AQ1114" s="210"/>
    </row>
    <row r="1115">
      <c r="A1115" s="190"/>
      <c r="B1115" s="190"/>
      <c r="C1115" s="190"/>
      <c r="D1115" s="190"/>
      <c r="E1115" s="190"/>
      <c r="F1115" s="190"/>
      <c r="G1115" s="190"/>
      <c r="H1115" s="190"/>
      <c r="I1115" s="190"/>
      <c r="J1115" s="190"/>
      <c r="K1115" s="190"/>
      <c r="L1115" s="190"/>
      <c r="M1115" s="190"/>
      <c r="N1115" s="220"/>
      <c r="O1115" s="220"/>
      <c r="P1115" s="220"/>
      <c r="R1115" s="210"/>
      <c r="S1115" s="210"/>
      <c r="T1115" s="210"/>
      <c r="U1115" s="210"/>
      <c r="X1115" s="210"/>
      <c r="Y1115" s="210"/>
      <c r="Z1115" s="210"/>
      <c r="AA1115" s="210"/>
      <c r="AB1115" s="210"/>
      <c r="AC1115" s="210"/>
      <c r="AD1115" s="210"/>
      <c r="AE1115" s="210"/>
      <c r="AF1115" s="210"/>
      <c r="AG1115" s="210"/>
      <c r="AH1115" s="210"/>
      <c r="AI1115" s="210"/>
      <c r="AJ1115" s="210"/>
      <c r="AK1115" s="210"/>
      <c r="AL1115" s="210"/>
      <c r="AM1115" s="210"/>
      <c r="AN1115" s="210"/>
      <c r="AO1115" s="210"/>
      <c r="AP1115" s="210"/>
      <c r="AQ1115" s="210"/>
    </row>
    <row r="1116">
      <c r="A1116" s="190"/>
      <c r="B1116" s="190"/>
      <c r="C1116" s="190"/>
      <c r="D1116" s="190"/>
      <c r="E1116" s="190"/>
      <c r="F1116" s="190"/>
      <c r="G1116" s="190"/>
      <c r="H1116" s="190"/>
      <c r="I1116" s="190"/>
      <c r="J1116" s="190"/>
      <c r="K1116" s="190"/>
      <c r="L1116" s="190"/>
      <c r="M1116" s="190"/>
      <c r="N1116" s="220"/>
      <c r="O1116" s="220"/>
      <c r="P1116" s="220"/>
      <c r="R1116" s="210"/>
      <c r="S1116" s="210"/>
      <c r="T1116" s="210"/>
      <c r="U1116" s="210"/>
      <c r="X1116" s="210"/>
      <c r="Y1116" s="210"/>
      <c r="Z1116" s="210"/>
      <c r="AA1116" s="210"/>
      <c r="AB1116" s="210"/>
      <c r="AC1116" s="210"/>
      <c r="AD1116" s="210"/>
      <c r="AE1116" s="210"/>
      <c r="AF1116" s="210"/>
      <c r="AG1116" s="210"/>
      <c r="AH1116" s="210"/>
      <c r="AI1116" s="210"/>
      <c r="AJ1116" s="210"/>
      <c r="AK1116" s="210"/>
      <c r="AL1116" s="210"/>
      <c r="AM1116" s="210"/>
      <c r="AN1116" s="210"/>
      <c r="AO1116" s="210"/>
      <c r="AP1116" s="210"/>
      <c r="AQ1116" s="210"/>
    </row>
    <row r="1117">
      <c r="A1117" s="190"/>
      <c r="B1117" s="190"/>
      <c r="C1117" s="190"/>
      <c r="D1117" s="190"/>
      <c r="E1117" s="190"/>
      <c r="F1117" s="190"/>
      <c r="G1117" s="190"/>
      <c r="H1117" s="190"/>
      <c r="I1117" s="190"/>
      <c r="J1117" s="190"/>
      <c r="K1117" s="190"/>
      <c r="L1117" s="190"/>
      <c r="M1117" s="190"/>
      <c r="N1117" s="220"/>
      <c r="O1117" s="220"/>
      <c r="P1117" s="220"/>
      <c r="R1117" s="210"/>
      <c r="S1117" s="210"/>
      <c r="T1117" s="210"/>
      <c r="U1117" s="210"/>
      <c r="X1117" s="210"/>
      <c r="Y1117" s="210"/>
      <c r="Z1117" s="210"/>
      <c r="AA1117" s="210"/>
      <c r="AB1117" s="210"/>
      <c r="AC1117" s="210"/>
      <c r="AD1117" s="210"/>
      <c r="AE1117" s="210"/>
      <c r="AF1117" s="210"/>
      <c r="AG1117" s="210"/>
      <c r="AH1117" s="210"/>
      <c r="AI1117" s="210"/>
      <c r="AJ1117" s="210"/>
      <c r="AK1117" s="210"/>
      <c r="AL1117" s="210"/>
      <c r="AM1117" s="210"/>
      <c r="AN1117" s="210"/>
      <c r="AO1117" s="210"/>
      <c r="AP1117" s="210"/>
      <c r="AQ1117" s="210"/>
    </row>
    <row r="1118">
      <c r="A1118" s="190"/>
      <c r="B1118" s="190"/>
      <c r="C1118" s="190"/>
      <c r="D1118" s="190"/>
      <c r="E1118" s="190"/>
      <c r="F1118" s="190"/>
      <c r="G1118" s="190"/>
      <c r="H1118" s="190"/>
      <c r="I1118" s="190"/>
      <c r="J1118" s="190"/>
      <c r="K1118" s="190"/>
      <c r="L1118" s="190"/>
      <c r="M1118" s="190"/>
      <c r="N1118" s="220"/>
      <c r="O1118" s="220"/>
      <c r="P1118" s="220"/>
      <c r="R1118" s="210"/>
      <c r="S1118" s="210"/>
      <c r="T1118" s="210"/>
      <c r="U1118" s="210"/>
      <c r="X1118" s="210"/>
      <c r="Y1118" s="210"/>
      <c r="Z1118" s="210"/>
      <c r="AA1118" s="210"/>
      <c r="AB1118" s="210"/>
      <c r="AC1118" s="210"/>
      <c r="AD1118" s="210"/>
      <c r="AE1118" s="210"/>
      <c r="AF1118" s="210"/>
      <c r="AG1118" s="210"/>
      <c r="AH1118" s="210"/>
      <c r="AI1118" s="210"/>
      <c r="AJ1118" s="210"/>
      <c r="AK1118" s="210"/>
      <c r="AL1118" s="210"/>
      <c r="AM1118" s="210"/>
      <c r="AN1118" s="210"/>
      <c r="AO1118" s="210"/>
      <c r="AP1118" s="210"/>
      <c r="AQ1118" s="210"/>
    </row>
    <row r="1119">
      <c r="A1119" s="190"/>
      <c r="B1119" s="190"/>
      <c r="C1119" s="190"/>
      <c r="D1119" s="190"/>
      <c r="E1119" s="190"/>
      <c r="F1119" s="190"/>
      <c r="G1119" s="190"/>
      <c r="H1119" s="190"/>
      <c r="I1119" s="190"/>
      <c r="J1119" s="190"/>
      <c r="K1119" s="190"/>
      <c r="L1119" s="190"/>
      <c r="M1119" s="190"/>
      <c r="N1119" s="220"/>
      <c r="O1119" s="220"/>
      <c r="P1119" s="220"/>
      <c r="R1119" s="210"/>
      <c r="S1119" s="210"/>
      <c r="T1119" s="210"/>
      <c r="U1119" s="210"/>
      <c r="X1119" s="210"/>
      <c r="Y1119" s="210"/>
      <c r="Z1119" s="210"/>
      <c r="AA1119" s="210"/>
      <c r="AB1119" s="210"/>
      <c r="AC1119" s="210"/>
      <c r="AD1119" s="210"/>
      <c r="AE1119" s="210"/>
      <c r="AF1119" s="210"/>
      <c r="AG1119" s="210"/>
      <c r="AH1119" s="210"/>
      <c r="AI1119" s="210"/>
      <c r="AJ1119" s="210"/>
      <c r="AK1119" s="210"/>
      <c r="AL1119" s="210"/>
      <c r="AM1119" s="210"/>
      <c r="AN1119" s="210"/>
      <c r="AO1119" s="210"/>
      <c r="AP1119" s="210"/>
      <c r="AQ1119" s="210"/>
    </row>
    <row r="1120">
      <c r="A1120" s="190"/>
      <c r="B1120" s="190"/>
      <c r="C1120" s="190"/>
      <c r="D1120" s="190"/>
      <c r="E1120" s="190"/>
      <c r="F1120" s="190"/>
      <c r="G1120" s="190"/>
      <c r="H1120" s="190"/>
      <c r="I1120" s="190"/>
      <c r="J1120" s="190"/>
      <c r="K1120" s="190"/>
      <c r="L1120" s="190"/>
      <c r="M1120" s="190"/>
      <c r="N1120" s="220"/>
      <c r="O1120" s="220"/>
      <c r="P1120" s="220"/>
      <c r="R1120" s="210"/>
      <c r="S1120" s="210"/>
      <c r="T1120" s="210"/>
      <c r="U1120" s="210"/>
      <c r="X1120" s="210"/>
      <c r="Y1120" s="210"/>
      <c r="Z1120" s="210"/>
      <c r="AA1120" s="210"/>
      <c r="AB1120" s="210"/>
      <c r="AC1120" s="210"/>
      <c r="AD1120" s="210"/>
      <c r="AE1120" s="210"/>
      <c r="AF1120" s="210"/>
      <c r="AG1120" s="210"/>
      <c r="AH1120" s="210"/>
      <c r="AI1120" s="210"/>
      <c r="AJ1120" s="210"/>
      <c r="AK1120" s="210"/>
      <c r="AL1120" s="210"/>
      <c r="AM1120" s="210"/>
      <c r="AN1120" s="210"/>
      <c r="AO1120" s="210"/>
      <c r="AP1120" s="210"/>
      <c r="AQ1120" s="210"/>
    </row>
    <row r="1121">
      <c r="A1121" s="190"/>
      <c r="B1121" s="190"/>
      <c r="C1121" s="190"/>
      <c r="D1121" s="190"/>
      <c r="E1121" s="190"/>
      <c r="F1121" s="190"/>
      <c r="G1121" s="190"/>
      <c r="H1121" s="190"/>
      <c r="I1121" s="190"/>
      <c r="J1121" s="190"/>
      <c r="K1121" s="190"/>
      <c r="L1121" s="190"/>
      <c r="M1121" s="190"/>
      <c r="N1121" s="220"/>
      <c r="O1121" s="220"/>
      <c r="P1121" s="220"/>
      <c r="R1121" s="210"/>
      <c r="S1121" s="210"/>
      <c r="T1121" s="210"/>
      <c r="U1121" s="210"/>
      <c r="X1121" s="210"/>
      <c r="Y1121" s="210"/>
      <c r="Z1121" s="210"/>
      <c r="AA1121" s="210"/>
      <c r="AB1121" s="210"/>
      <c r="AC1121" s="210"/>
      <c r="AD1121" s="210"/>
      <c r="AE1121" s="210"/>
      <c r="AF1121" s="210"/>
      <c r="AG1121" s="210"/>
      <c r="AH1121" s="210"/>
      <c r="AI1121" s="210"/>
      <c r="AJ1121" s="210"/>
      <c r="AK1121" s="210"/>
      <c r="AL1121" s="210"/>
      <c r="AM1121" s="210"/>
      <c r="AN1121" s="210"/>
      <c r="AO1121" s="210"/>
      <c r="AP1121" s="210"/>
      <c r="AQ1121" s="210"/>
    </row>
    <row r="1122">
      <c r="A1122" s="190"/>
      <c r="B1122" s="190"/>
      <c r="C1122" s="190"/>
      <c r="D1122" s="190"/>
      <c r="E1122" s="190"/>
      <c r="F1122" s="190"/>
      <c r="G1122" s="190"/>
      <c r="H1122" s="190"/>
      <c r="I1122" s="190"/>
      <c r="J1122" s="190"/>
      <c r="K1122" s="190"/>
      <c r="L1122" s="190"/>
      <c r="M1122" s="190"/>
      <c r="N1122" s="220"/>
      <c r="O1122" s="220"/>
      <c r="P1122" s="220"/>
      <c r="R1122" s="210"/>
      <c r="S1122" s="210"/>
      <c r="T1122" s="210"/>
      <c r="U1122" s="210"/>
      <c r="X1122" s="210"/>
      <c r="Y1122" s="210"/>
      <c r="Z1122" s="210"/>
      <c r="AA1122" s="210"/>
      <c r="AB1122" s="210"/>
      <c r="AC1122" s="210"/>
      <c r="AD1122" s="210"/>
      <c r="AE1122" s="210"/>
      <c r="AF1122" s="210"/>
      <c r="AG1122" s="210"/>
      <c r="AH1122" s="210"/>
      <c r="AI1122" s="210"/>
      <c r="AJ1122" s="210"/>
      <c r="AK1122" s="210"/>
      <c r="AL1122" s="210"/>
      <c r="AM1122" s="210"/>
      <c r="AN1122" s="210"/>
      <c r="AO1122" s="210"/>
      <c r="AP1122" s="210"/>
      <c r="AQ1122" s="210"/>
    </row>
    <row r="1123">
      <c r="A1123" s="190"/>
      <c r="B1123" s="190"/>
      <c r="C1123" s="190"/>
      <c r="D1123" s="190"/>
      <c r="E1123" s="190"/>
      <c r="F1123" s="190"/>
      <c r="G1123" s="190"/>
      <c r="H1123" s="190"/>
      <c r="I1123" s="190"/>
      <c r="J1123" s="190"/>
      <c r="K1123" s="190"/>
      <c r="L1123" s="190"/>
      <c r="M1123" s="190"/>
      <c r="N1123" s="220"/>
      <c r="O1123" s="220"/>
      <c r="P1123" s="220"/>
      <c r="R1123" s="210"/>
      <c r="S1123" s="210"/>
      <c r="T1123" s="210"/>
      <c r="U1123" s="210"/>
      <c r="X1123" s="210"/>
      <c r="Y1123" s="210"/>
      <c r="Z1123" s="210"/>
      <c r="AA1123" s="210"/>
      <c r="AB1123" s="210"/>
      <c r="AC1123" s="210"/>
      <c r="AD1123" s="210"/>
      <c r="AE1123" s="210"/>
      <c r="AF1123" s="210"/>
      <c r="AG1123" s="210"/>
      <c r="AH1123" s="210"/>
      <c r="AI1123" s="210"/>
      <c r="AJ1123" s="210"/>
      <c r="AK1123" s="210"/>
      <c r="AL1123" s="210"/>
      <c r="AM1123" s="210"/>
      <c r="AN1123" s="210"/>
      <c r="AO1123" s="210"/>
      <c r="AP1123" s="210"/>
      <c r="AQ1123" s="210"/>
    </row>
    <row r="1124">
      <c r="A1124" s="190"/>
      <c r="B1124" s="190"/>
      <c r="C1124" s="190"/>
      <c r="D1124" s="190"/>
      <c r="E1124" s="190"/>
      <c r="F1124" s="190"/>
      <c r="G1124" s="190"/>
      <c r="H1124" s="190"/>
      <c r="I1124" s="190"/>
      <c r="J1124" s="190"/>
      <c r="K1124" s="190"/>
      <c r="L1124" s="190"/>
      <c r="M1124" s="190"/>
      <c r="N1124" s="220"/>
      <c r="O1124" s="220"/>
      <c r="P1124" s="220"/>
      <c r="R1124" s="210"/>
      <c r="S1124" s="210"/>
      <c r="T1124" s="210"/>
      <c r="U1124" s="210"/>
      <c r="X1124" s="210"/>
      <c r="Y1124" s="210"/>
      <c r="Z1124" s="210"/>
      <c r="AA1124" s="210"/>
      <c r="AB1124" s="210"/>
      <c r="AC1124" s="210"/>
      <c r="AD1124" s="210"/>
      <c r="AE1124" s="210"/>
      <c r="AF1124" s="210"/>
      <c r="AG1124" s="210"/>
      <c r="AH1124" s="210"/>
      <c r="AI1124" s="210"/>
      <c r="AJ1124" s="210"/>
      <c r="AK1124" s="210"/>
      <c r="AL1124" s="210"/>
      <c r="AM1124" s="210"/>
      <c r="AN1124" s="210"/>
      <c r="AO1124" s="210"/>
      <c r="AP1124" s="210"/>
      <c r="AQ1124" s="210"/>
    </row>
    <row r="1125">
      <c r="A1125" s="190"/>
      <c r="B1125" s="190"/>
      <c r="C1125" s="190"/>
      <c r="D1125" s="190"/>
      <c r="E1125" s="190"/>
      <c r="F1125" s="190"/>
      <c r="G1125" s="190"/>
      <c r="H1125" s="190"/>
      <c r="I1125" s="190"/>
      <c r="J1125" s="190"/>
      <c r="K1125" s="190"/>
      <c r="L1125" s="190"/>
      <c r="M1125" s="190"/>
      <c r="N1125" s="220"/>
      <c r="O1125" s="220"/>
      <c r="P1125" s="220"/>
      <c r="R1125" s="210"/>
      <c r="S1125" s="210"/>
      <c r="T1125" s="210"/>
      <c r="U1125" s="210"/>
      <c r="X1125" s="210"/>
      <c r="Y1125" s="210"/>
      <c r="Z1125" s="210"/>
      <c r="AA1125" s="210"/>
      <c r="AB1125" s="210"/>
      <c r="AC1125" s="210"/>
      <c r="AD1125" s="210"/>
      <c r="AE1125" s="210"/>
      <c r="AF1125" s="210"/>
      <c r="AG1125" s="210"/>
      <c r="AH1125" s="210"/>
      <c r="AI1125" s="210"/>
      <c r="AJ1125" s="210"/>
      <c r="AK1125" s="210"/>
      <c r="AL1125" s="210"/>
      <c r="AM1125" s="210"/>
      <c r="AN1125" s="210"/>
      <c r="AO1125" s="210"/>
      <c r="AP1125" s="210"/>
      <c r="AQ1125" s="210"/>
    </row>
    <row r="1126">
      <c r="A1126" s="190"/>
      <c r="B1126" s="190"/>
      <c r="C1126" s="190"/>
      <c r="D1126" s="190"/>
      <c r="E1126" s="190"/>
      <c r="F1126" s="190"/>
      <c r="G1126" s="190"/>
      <c r="H1126" s="190"/>
      <c r="I1126" s="190"/>
      <c r="J1126" s="190"/>
      <c r="K1126" s="190"/>
      <c r="L1126" s="190"/>
      <c r="M1126" s="190"/>
      <c r="N1126" s="220"/>
      <c r="O1126" s="220"/>
      <c r="P1126" s="220"/>
      <c r="R1126" s="210"/>
      <c r="S1126" s="210"/>
      <c r="T1126" s="210"/>
      <c r="U1126" s="210"/>
      <c r="X1126" s="210"/>
      <c r="Y1126" s="210"/>
      <c r="Z1126" s="210"/>
      <c r="AA1126" s="210"/>
      <c r="AB1126" s="210"/>
      <c r="AC1126" s="210"/>
      <c r="AD1126" s="210"/>
      <c r="AE1126" s="210"/>
      <c r="AF1126" s="210"/>
      <c r="AG1126" s="210"/>
      <c r="AH1126" s="210"/>
      <c r="AI1126" s="210"/>
      <c r="AJ1126" s="210"/>
      <c r="AK1126" s="210"/>
      <c r="AL1126" s="210"/>
      <c r="AM1126" s="210"/>
      <c r="AN1126" s="210"/>
      <c r="AO1126" s="210"/>
      <c r="AP1126" s="210"/>
      <c r="AQ1126" s="210"/>
    </row>
    <row r="1127">
      <c r="A1127" s="190"/>
      <c r="B1127" s="190"/>
      <c r="C1127" s="190"/>
      <c r="D1127" s="190"/>
      <c r="E1127" s="190"/>
      <c r="F1127" s="190"/>
      <c r="G1127" s="190"/>
      <c r="H1127" s="190"/>
      <c r="I1127" s="190"/>
      <c r="J1127" s="190"/>
      <c r="K1127" s="190"/>
      <c r="L1127" s="190"/>
      <c r="M1127" s="190"/>
      <c r="N1127" s="220"/>
      <c r="O1127" s="220"/>
      <c r="P1127" s="220"/>
      <c r="R1127" s="210"/>
      <c r="S1127" s="210"/>
      <c r="T1127" s="210"/>
      <c r="U1127" s="210"/>
      <c r="X1127" s="210"/>
      <c r="Y1127" s="210"/>
      <c r="Z1127" s="210"/>
      <c r="AA1127" s="210"/>
      <c r="AB1127" s="210"/>
      <c r="AC1127" s="210"/>
      <c r="AD1127" s="210"/>
      <c r="AE1127" s="210"/>
      <c r="AF1127" s="210"/>
      <c r="AG1127" s="210"/>
      <c r="AH1127" s="210"/>
      <c r="AI1127" s="210"/>
      <c r="AJ1127" s="210"/>
      <c r="AK1127" s="210"/>
      <c r="AL1127" s="210"/>
      <c r="AM1127" s="210"/>
      <c r="AN1127" s="210"/>
      <c r="AO1127" s="210"/>
      <c r="AP1127" s="210"/>
      <c r="AQ1127" s="210"/>
    </row>
    <row r="1128">
      <c r="A1128" s="190"/>
      <c r="B1128" s="190"/>
      <c r="C1128" s="190"/>
      <c r="D1128" s="190"/>
      <c r="E1128" s="190"/>
      <c r="F1128" s="190"/>
      <c r="G1128" s="190"/>
      <c r="H1128" s="190"/>
      <c r="I1128" s="190"/>
      <c r="J1128" s="190"/>
      <c r="K1128" s="190"/>
      <c r="L1128" s="190"/>
      <c r="M1128" s="190"/>
      <c r="N1128" s="220"/>
      <c r="O1128" s="220"/>
      <c r="P1128" s="220"/>
      <c r="R1128" s="210"/>
      <c r="S1128" s="210"/>
      <c r="T1128" s="210"/>
      <c r="U1128" s="210"/>
      <c r="X1128" s="210"/>
      <c r="Y1128" s="210"/>
      <c r="Z1128" s="210"/>
      <c r="AA1128" s="210"/>
      <c r="AB1128" s="210"/>
      <c r="AC1128" s="210"/>
      <c r="AD1128" s="210"/>
      <c r="AE1128" s="210"/>
      <c r="AF1128" s="210"/>
      <c r="AG1128" s="210"/>
      <c r="AH1128" s="210"/>
      <c r="AI1128" s="210"/>
      <c r="AJ1128" s="210"/>
      <c r="AK1128" s="210"/>
      <c r="AL1128" s="210"/>
      <c r="AM1128" s="210"/>
      <c r="AN1128" s="210"/>
      <c r="AO1128" s="210"/>
      <c r="AP1128" s="210"/>
      <c r="AQ1128" s="210"/>
    </row>
    <row r="1129">
      <c r="A1129" s="190"/>
      <c r="B1129" s="190"/>
      <c r="C1129" s="190"/>
      <c r="D1129" s="190"/>
      <c r="E1129" s="190"/>
      <c r="F1129" s="190"/>
      <c r="G1129" s="190"/>
      <c r="H1129" s="190"/>
      <c r="I1129" s="190"/>
      <c r="J1129" s="190"/>
      <c r="K1129" s="190"/>
      <c r="L1129" s="190"/>
      <c r="M1129" s="190"/>
      <c r="N1129" s="220"/>
      <c r="O1129" s="220"/>
      <c r="P1129" s="220"/>
      <c r="R1129" s="210"/>
      <c r="S1129" s="210"/>
      <c r="T1129" s="210"/>
      <c r="U1129" s="210"/>
      <c r="X1129" s="210"/>
      <c r="Y1129" s="210"/>
      <c r="Z1129" s="210"/>
      <c r="AA1129" s="210"/>
      <c r="AB1129" s="210"/>
      <c r="AC1129" s="210"/>
      <c r="AD1129" s="210"/>
      <c r="AE1129" s="210"/>
      <c r="AF1129" s="210"/>
      <c r="AG1129" s="210"/>
      <c r="AH1129" s="210"/>
      <c r="AI1129" s="210"/>
      <c r="AJ1129" s="210"/>
      <c r="AK1129" s="210"/>
      <c r="AL1129" s="210"/>
      <c r="AM1129" s="210"/>
      <c r="AN1129" s="210"/>
      <c r="AO1129" s="210"/>
      <c r="AP1129" s="210"/>
      <c r="AQ1129" s="210"/>
    </row>
    <row r="1130">
      <c r="A1130" s="190"/>
      <c r="B1130" s="190"/>
      <c r="C1130" s="190"/>
      <c r="D1130" s="190"/>
      <c r="E1130" s="190"/>
      <c r="F1130" s="190"/>
      <c r="G1130" s="190"/>
      <c r="H1130" s="190"/>
      <c r="I1130" s="190"/>
      <c r="J1130" s="190"/>
      <c r="K1130" s="190"/>
      <c r="L1130" s="190"/>
      <c r="M1130" s="190"/>
      <c r="N1130" s="220"/>
      <c r="O1130" s="220"/>
      <c r="P1130" s="220"/>
      <c r="R1130" s="210"/>
      <c r="S1130" s="210"/>
      <c r="T1130" s="210"/>
      <c r="U1130" s="210"/>
      <c r="X1130" s="210"/>
      <c r="Y1130" s="210"/>
      <c r="Z1130" s="210"/>
      <c r="AA1130" s="210"/>
      <c r="AB1130" s="210"/>
      <c r="AC1130" s="210"/>
      <c r="AD1130" s="210"/>
      <c r="AE1130" s="210"/>
      <c r="AF1130" s="210"/>
      <c r="AG1130" s="210"/>
      <c r="AH1130" s="210"/>
      <c r="AI1130" s="210"/>
      <c r="AJ1130" s="210"/>
      <c r="AK1130" s="210"/>
      <c r="AL1130" s="210"/>
      <c r="AM1130" s="210"/>
      <c r="AN1130" s="210"/>
      <c r="AO1130" s="210"/>
      <c r="AP1130" s="210"/>
      <c r="AQ1130" s="210"/>
    </row>
    <row r="1131">
      <c r="A1131" s="190"/>
      <c r="B1131" s="190"/>
      <c r="C1131" s="190"/>
      <c r="D1131" s="190"/>
      <c r="E1131" s="190"/>
      <c r="F1131" s="190"/>
      <c r="G1131" s="190"/>
      <c r="H1131" s="190"/>
      <c r="I1131" s="190"/>
      <c r="J1131" s="190"/>
      <c r="K1131" s="190"/>
      <c r="L1131" s="190"/>
      <c r="M1131" s="190"/>
      <c r="N1131" s="220"/>
      <c r="O1131" s="220"/>
      <c r="P1131" s="220"/>
      <c r="R1131" s="210"/>
      <c r="S1131" s="210"/>
      <c r="T1131" s="210"/>
      <c r="U1131" s="210"/>
      <c r="X1131" s="210"/>
      <c r="Y1131" s="210"/>
      <c r="Z1131" s="210"/>
      <c r="AA1131" s="210"/>
      <c r="AB1131" s="210"/>
      <c r="AC1131" s="210"/>
      <c r="AD1131" s="210"/>
      <c r="AE1131" s="210"/>
      <c r="AF1131" s="210"/>
      <c r="AG1131" s="210"/>
      <c r="AH1131" s="210"/>
      <c r="AI1131" s="210"/>
      <c r="AJ1131" s="210"/>
      <c r="AK1131" s="210"/>
      <c r="AL1131" s="210"/>
      <c r="AM1131" s="210"/>
      <c r="AN1131" s="210"/>
      <c r="AO1131" s="210"/>
      <c r="AP1131" s="210"/>
      <c r="AQ1131" s="210"/>
    </row>
    <row r="1132">
      <c r="A1132" s="190"/>
      <c r="B1132" s="190"/>
      <c r="C1132" s="190"/>
      <c r="D1132" s="190"/>
      <c r="E1132" s="190"/>
      <c r="F1132" s="190"/>
      <c r="G1132" s="190"/>
      <c r="H1132" s="190"/>
      <c r="I1132" s="190"/>
      <c r="J1132" s="190"/>
      <c r="K1132" s="190"/>
      <c r="L1132" s="190"/>
      <c r="M1132" s="190"/>
      <c r="N1132" s="220"/>
      <c r="O1132" s="220"/>
      <c r="P1132" s="220"/>
      <c r="R1132" s="210"/>
      <c r="S1132" s="210"/>
      <c r="T1132" s="210"/>
      <c r="U1132" s="210"/>
      <c r="X1132" s="210"/>
      <c r="Y1132" s="210"/>
      <c r="Z1132" s="210"/>
      <c r="AA1132" s="210"/>
      <c r="AB1132" s="210"/>
      <c r="AC1132" s="210"/>
      <c r="AD1132" s="210"/>
      <c r="AE1132" s="210"/>
      <c r="AF1132" s="210"/>
      <c r="AG1132" s="210"/>
      <c r="AH1132" s="210"/>
      <c r="AI1132" s="210"/>
      <c r="AJ1132" s="210"/>
      <c r="AK1132" s="210"/>
      <c r="AL1132" s="210"/>
      <c r="AM1132" s="210"/>
      <c r="AN1132" s="210"/>
      <c r="AO1132" s="210"/>
      <c r="AP1132" s="210"/>
      <c r="AQ1132" s="210"/>
    </row>
    <row r="1133">
      <c r="A1133" s="190"/>
      <c r="B1133" s="190"/>
      <c r="C1133" s="190"/>
      <c r="D1133" s="190"/>
      <c r="E1133" s="190"/>
      <c r="F1133" s="190"/>
      <c r="G1133" s="190"/>
      <c r="H1133" s="190"/>
      <c r="I1133" s="190"/>
      <c r="J1133" s="190"/>
      <c r="K1133" s="190"/>
      <c r="L1133" s="190"/>
      <c r="M1133" s="190"/>
      <c r="N1133" s="220"/>
      <c r="O1133" s="220"/>
      <c r="P1133" s="220"/>
      <c r="R1133" s="210"/>
      <c r="S1133" s="210"/>
      <c r="T1133" s="210"/>
      <c r="U1133" s="210"/>
      <c r="X1133" s="210"/>
      <c r="Y1133" s="210"/>
      <c r="Z1133" s="210"/>
      <c r="AA1133" s="210"/>
      <c r="AB1133" s="210"/>
      <c r="AC1133" s="210"/>
      <c r="AD1133" s="210"/>
      <c r="AE1133" s="210"/>
      <c r="AF1133" s="210"/>
      <c r="AG1133" s="210"/>
      <c r="AH1133" s="210"/>
      <c r="AI1133" s="210"/>
      <c r="AJ1133" s="210"/>
      <c r="AK1133" s="210"/>
      <c r="AL1133" s="210"/>
      <c r="AM1133" s="210"/>
      <c r="AN1133" s="210"/>
      <c r="AO1133" s="210"/>
      <c r="AP1133" s="210"/>
      <c r="AQ1133" s="210"/>
    </row>
    <row r="1134">
      <c r="A1134" s="190"/>
      <c r="B1134" s="190"/>
      <c r="C1134" s="190"/>
      <c r="D1134" s="190"/>
      <c r="E1134" s="190"/>
      <c r="F1134" s="190"/>
      <c r="G1134" s="190"/>
      <c r="H1134" s="190"/>
      <c r="I1134" s="190"/>
      <c r="J1134" s="190"/>
      <c r="K1134" s="190"/>
      <c r="L1134" s="190"/>
      <c r="M1134" s="190"/>
      <c r="N1134" s="220"/>
      <c r="O1134" s="220"/>
      <c r="P1134" s="220"/>
      <c r="R1134" s="210"/>
      <c r="S1134" s="210"/>
      <c r="T1134" s="210"/>
      <c r="U1134" s="210"/>
      <c r="X1134" s="210"/>
      <c r="Y1134" s="210"/>
      <c r="Z1134" s="210"/>
      <c r="AA1134" s="210"/>
      <c r="AB1134" s="210"/>
      <c r="AC1134" s="210"/>
      <c r="AD1134" s="210"/>
      <c r="AE1134" s="210"/>
      <c r="AF1134" s="210"/>
      <c r="AG1134" s="210"/>
      <c r="AH1134" s="210"/>
      <c r="AI1134" s="210"/>
      <c r="AJ1134" s="210"/>
      <c r="AK1134" s="210"/>
      <c r="AL1134" s="210"/>
      <c r="AM1134" s="210"/>
      <c r="AN1134" s="210"/>
      <c r="AO1134" s="210"/>
      <c r="AP1134" s="210"/>
      <c r="AQ1134" s="210"/>
    </row>
    <row r="1135">
      <c r="A1135" s="190"/>
      <c r="B1135" s="190"/>
      <c r="C1135" s="190"/>
      <c r="D1135" s="190"/>
      <c r="E1135" s="190"/>
      <c r="F1135" s="190"/>
      <c r="G1135" s="190"/>
      <c r="H1135" s="190"/>
      <c r="I1135" s="190"/>
      <c r="J1135" s="190"/>
      <c r="K1135" s="190"/>
      <c r="L1135" s="190"/>
      <c r="M1135" s="190"/>
      <c r="N1135" s="220"/>
      <c r="O1135" s="220"/>
      <c r="P1135" s="220"/>
      <c r="R1135" s="210"/>
      <c r="S1135" s="210"/>
      <c r="T1135" s="210"/>
      <c r="U1135" s="210"/>
      <c r="X1135" s="210"/>
      <c r="Y1135" s="210"/>
      <c r="Z1135" s="210"/>
      <c r="AA1135" s="210"/>
      <c r="AB1135" s="210"/>
      <c r="AC1135" s="210"/>
      <c r="AD1135" s="210"/>
      <c r="AE1135" s="210"/>
      <c r="AF1135" s="210"/>
      <c r="AG1135" s="210"/>
      <c r="AH1135" s="210"/>
      <c r="AI1135" s="210"/>
      <c r="AJ1135" s="210"/>
      <c r="AK1135" s="210"/>
      <c r="AL1135" s="210"/>
      <c r="AM1135" s="210"/>
      <c r="AN1135" s="210"/>
      <c r="AO1135" s="210"/>
      <c r="AP1135" s="210"/>
      <c r="AQ1135" s="210"/>
    </row>
    <row r="1136">
      <c r="A1136" s="190"/>
      <c r="B1136" s="190"/>
      <c r="C1136" s="190"/>
      <c r="D1136" s="190"/>
      <c r="E1136" s="190"/>
      <c r="F1136" s="190"/>
      <c r="G1136" s="190"/>
      <c r="H1136" s="190"/>
      <c r="I1136" s="190"/>
      <c r="J1136" s="190"/>
      <c r="K1136" s="190"/>
      <c r="L1136" s="190"/>
      <c r="M1136" s="190"/>
      <c r="N1136" s="220"/>
      <c r="O1136" s="220"/>
      <c r="P1136" s="220"/>
      <c r="R1136" s="210"/>
      <c r="S1136" s="210"/>
      <c r="T1136" s="210"/>
      <c r="U1136" s="210"/>
      <c r="X1136" s="210"/>
      <c r="Y1136" s="210"/>
      <c r="Z1136" s="210"/>
      <c r="AA1136" s="210"/>
      <c r="AB1136" s="210"/>
      <c r="AC1136" s="210"/>
      <c r="AD1136" s="210"/>
      <c r="AE1136" s="210"/>
      <c r="AF1136" s="210"/>
      <c r="AG1136" s="210"/>
      <c r="AH1136" s="210"/>
      <c r="AI1136" s="210"/>
      <c r="AJ1136" s="210"/>
      <c r="AK1136" s="210"/>
      <c r="AL1136" s="210"/>
      <c r="AM1136" s="210"/>
      <c r="AN1136" s="210"/>
      <c r="AO1136" s="210"/>
      <c r="AP1136" s="210"/>
      <c r="AQ1136" s="210"/>
    </row>
    <row r="1137">
      <c r="A1137" s="190"/>
      <c r="B1137" s="190"/>
      <c r="C1137" s="190"/>
      <c r="D1137" s="190"/>
      <c r="E1137" s="190"/>
      <c r="F1137" s="190"/>
      <c r="G1137" s="190"/>
      <c r="H1137" s="190"/>
      <c r="I1137" s="190"/>
      <c r="J1137" s="190"/>
      <c r="K1137" s="190"/>
      <c r="L1137" s="190"/>
      <c r="M1137" s="190"/>
      <c r="N1137" s="220"/>
      <c r="O1137" s="220"/>
      <c r="P1137" s="220"/>
      <c r="R1137" s="210"/>
      <c r="S1137" s="210"/>
      <c r="T1137" s="210"/>
      <c r="U1137" s="210"/>
      <c r="X1137" s="210"/>
      <c r="Y1137" s="210"/>
      <c r="Z1137" s="210"/>
      <c r="AA1137" s="210"/>
      <c r="AB1137" s="210"/>
      <c r="AC1137" s="210"/>
      <c r="AD1137" s="210"/>
      <c r="AE1137" s="210"/>
      <c r="AF1137" s="210"/>
      <c r="AG1137" s="210"/>
      <c r="AH1137" s="210"/>
      <c r="AI1137" s="210"/>
      <c r="AJ1137" s="210"/>
      <c r="AK1137" s="210"/>
      <c r="AL1137" s="210"/>
      <c r="AM1137" s="210"/>
      <c r="AN1137" s="210"/>
      <c r="AO1137" s="210"/>
      <c r="AP1137" s="210"/>
      <c r="AQ1137" s="210"/>
    </row>
    <row r="1138">
      <c r="A1138" s="190"/>
      <c r="B1138" s="190"/>
      <c r="C1138" s="190"/>
      <c r="D1138" s="190"/>
      <c r="E1138" s="190"/>
      <c r="F1138" s="190"/>
      <c r="G1138" s="190"/>
      <c r="H1138" s="190"/>
      <c r="I1138" s="190"/>
      <c r="J1138" s="190"/>
      <c r="K1138" s="190"/>
      <c r="L1138" s="190"/>
      <c r="M1138" s="190"/>
      <c r="N1138" s="220"/>
      <c r="O1138" s="220"/>
      <c r="P1138" s="220"/>
      <c r="R1138" s="210"/>
      <c r="S1138" s="210"/>
      <c r="T1138" s="210"/>
      <c r="U1138" s="210"/>
      <c r="X1138" s="210"/>
      <c r="Y1138" s="210"/>
      <c r="Z1138" s="210"/>
      <c r="AA1138" s="210"/>
      <c r="AB1138" s="210"/>
      <c r="AC1138" s="210"/>
      <c r="AD1138" s="210"/>
      <c r="AE1138" s="210"/>
      <c r="AF1138" s="210"/>
      <c r="AG1138" s="210"/>
      <c r="AH1138" s="210"/>
      <c r="AI1138" s="210"/>
      <c r="AJ1138" s="210"/>
      <c r="AK1138" s="210"/>
      <c r="AL1138" s="210"/>
      <c r="AM1138" s="210"/>
      <c r="AN1138" s="210"/>
      <c r="AO1138" s="210"/>
      <c r="AP1138" s="210"/>
      <c r="AQ1138" s="210"/>
    </row>
    <row r="1139">
      <c r="A1139" s="190"/>
      <c r="B1139" s="190"/>
      <c r="C1139" s="190"/>
      <c r="D1139" s="190"/>
      <c r="E1139" s="190"/>
      <c r="F1139" s="190"/>
      <c r="G1139" s="190"/>
      <c r="H1139" s="190"/>
      <c r="I1139" s="190"/>
      <c r="J1139" s="190"/>
      <c r="K1139" s="190"/>
      <c r="L1139" s="190"/>
      <c r="M1139" s="190"/>
      <c r="N1139" s="220"/>
      <c r="O1139" s="220"/>
      <c r="P1139" s="220"/>
      <c r="R1139" s="210"/>
      <c r="S1139" s="210"/>
      <c r="T1139" s="210"/>
      <c r="U1139" s="210"/>
      <c r="X1139" s="210"/>
      <c r="Y1139" s="210"/>
      <c r="Z1139" s="210"/>
      <c r="AA1139" s="210"/>
      <c r="AB1139" s="210"/>
      <c r="AC1139" s="210"/>
      <c r="AD1139" s="210"/>
      <c r="AE1139" s="210"/>
      <c r="AF1139" s="210"/>
      <c r="AG1139" s="210"/>
      <c r="AH1139" s="210"/>
      <c r="AI1139" s="210"/>
      <c r="AJ1139" s="210"/>
      <c r="AK1139" s="210"/>
      <c r="AL1139" s="210"/>
      <c r="AM1139" s="210"/>
      <c r="AN1139" s="210"/>
      <c r="AO1139" s="210"/>
      <c r="AP1139" s="210"/>
      <c r="AQ1139" s="210"/>
    </row>
    <row r="1140">
      <c r="A1140" s="190"/>
      <c r="B1140" s="190"/>
      <c r="C1140" s="190"/>
      <c r="D1140" s="190"/>
      <c r="E1140" s="190"/>
      <c r="F1140" s="190"/>
      <c r="G1140" s="190"/>
      <c r="H1140" s="190"/>
      <c r="I1140" s="190"/>
      <c r="J1140" s="190"/>
      <c r="K1140" s="190"/>
      <c r="L1140" s="190"/>
      <c r="M1140" s="190"/>
      <c r="N1140" s="220"/>
      <c r="O1140" s="220"/>
      <c r="P1140" s="220"/>
      <c r="R1140" s="210"/>
      <c r="S1140" s="210"/>
      <c r="T1140" s="210"/>
      <c r="U1140" s="210"/>
      <c r="X1140" s="210"/>
      <c r="Y1140" s="210"/>
      <c r="Z1140" s="210"/>
      <c r="AA1140" s="210"/>
      <c r="AB1140" s="210"/>
      <c r="AC1140" s="210"/>
      <c r="AD1140" s="210"/>
      <c r="AE1140" s="210"/>
      <c r="AF1140" s="210"/>
      <c r="AG1140" s="210"/>
      <c r="AH1140" s="210"/>
      <c r="AI1140" s="210"/>
      <c r="AJ1140" s="210"/>
      <c r="AK1140" s="210"/>
      <c r="AL1140" s="210"/>
      <c r="AM1140" s="210"/>
      <c r="AN1140" s="210"/>
      <c r="AO1140" s="210"/>
      <c r="AP1140" s="210"/>
      <c r="AQ1140" s="210"/>
    </row>
    <row r="1141">
      <c r="A1141" s="190"/>
      <c r="B1141" s="190"/>
      <c r="C1141" s="190"/>
      <c r="D1141" s="190"/>
      <c r="E1141" s="190"/>
      <c r="F1141" s="190"/>
      <c r="G1141" s="190"/>
      <c r="H1141" s="190"/>
      <c r="I1141" s="190"/>
      <c r="J1141" s="190"/>
      <c r="K1141" s="190"/>
      <c r="L1141" s="190"/>
      <c r="M1141" s="190"/>
      <c r="N1141" s="220"/>
      <c r="O1141" s="220"/>
      <c r="P1141" s="220"/>
      <c r="R1141" s="210"/>
      <c r="S1141" s="210"/>
      <c r="T1141" s="210"/>
      <c r="U1141" s="210"/>
      <c r="X1141" s="210"/>
      <c r="Y1141" s="210"/>
      <c r="Z1141" s="210"/>
      <c r="AA1141" s="210"/>
      <c r="AB1141" s="210"/>
      <c r="AC1141" s="210"/>
      <c r="AD1141" s="210"/>
      <c r="AE1141" s="210"/>
      <c r="AF1141" s="210"/>
      <c r="AG1141" s="210"/>
      <c r="AH1141" s="210"/>
      <c r="AI1141" s="210"/>
      <c r="AJ1141" s="210"/>
      <c r="AK1141" s="210"/>
      <c r="AL1141" s="210"/>
      <c r="AM1141" s="210"/>
      <c r="AN1141" s="210"/>
      <c r="AO1141" s="210"/>
      <c r="AP1141" s="210"/>
      <c r="AQ1141" s="210"/>
    </row>
    <row r="1142">
      <c r="A1142" s="190"/>
      <c r="B1142" s="190"/>
      <c r="C1142" s="190"/>
      <c r="D1142" s="190"/>
      <c r="E1142" s="190"/>
      <c r="F1142" s="190"/>
      <c r="G1142" s="190"/>
      <c r="H1142" s="190"/>
      <c r="I1142" s="190"/>
      <c r="J1142" s="190"/>
      <c r="K1142" s="190"/>
      <c r="L1142" s="190"/>
      <c r="M1142" s="190"/>
      <c r="N1142" s="220"/>
      <c r="O1142" s="220"/>
      <c r="P1142" s="220"/>
      <c r="R1142" s="210"/>
      <c r="S1142" s="210"/>
      <c r="T1142" s="210"/>
      <c r="U1142" s="210"/>
      <c r="X1142" s="210"/>
      <c r="Y1142" s="210"/>
      <c r="Z1142" s="210"/>
      <c r="AA1142" s="210"/>
      <c r="AB1142" s="210"/>
      <c r="AC1142" s="210"/>
      <c r="AD1142" s="210"/>
      <c r="AE1142" s="210"/>
      <c r="AF1142" s="210"/>
      <c r="AG1142" s="210"/>
      <c r="AH1142" s="210"/>
      <c r="AI1142" s="210"/>
      <c r="AJ1142" s="210"/>
      <c r="AK1142" s="210"/>
      <c r="AL1142" s="210"/>
      <c r="AM1142" s="210"/>
      <c r="AN1142" s="210"/>
      <c r="AO1142" s="210"/>
      <c r="AP1142" s="210"/>
      <c r="AQ1142" s="210"/>
    </row>
    <row r="1143">
      <c r="A1143" s="190"/>
      <c r="B1143" s="190"/>
      <c r="C1143" s="190"/>
      <c r="D1143" s="190"/>
      <c r="E1143" s="190"/>
      <c r="F1143" s="190"/>
      <c r="G1143" s="190"/>
      <c r="H1143" s="190"/>
      <c r="I1143" s="190"/>
      <c r="J1143" s="190"/>
      <c r="K1143" s="190"/>
      <c r="L1143" s="190"/>
      <c r="M1143" s="190"/>
      <c r="N1143" s="220"/>
      <c r="O1143" s="220"/>
      <c r="P1143" s="220"/>
      <c r="R1143" s="210"/>
      <c r="S1143" s="210"/>
      <c r="T1143" s="210"/>
      <c r="U1143" s="210"/>
      <c r="X1143" s="210"/>
      <c r="Y1143" s="210"/>
      <c r="Z1143" s="210"/>
      <c r="AA1143" s="210"/>
      <c r="AB1143" s="210"/>
      <c r="AC1143" s="210"/>
      <c r="AD1143" s="210"/>
      <c r="AE1143" s="210"/>
      <c r="AF1143" s="210"/>
      <c r="AG1143" s="210"/>
      <c r="AH1143" s="210"/>
      <c r="AI1143" s="210"/>
      <c r="AJ1143" s="210"/>
      <c r="AK1143" s="210"/>
      <c r="AL1143" s="210"/>
      <c r="AM1143" s="210"/>
      <c r="AN1143" s="210"/>
      <c r="AO1143" s="210"/>
      <c r="AP1143" s="210"/>
      <c r="AQ1143" s="210"/>
    </row>
    <row r="1144">
      <c r="A1144" s="190"/>
      <c r="B1144" s="190"/>
      <c r="C1144" s="190"/>
      <c r="D1144" s="190"/>
      <c r="E1144" s="190"/>
      <c r="F1144" s="190"/>
      <c r="G1144" s="190"/>
      <c r="H1144" s="190"/>
      <c r="I1144" s="190"/>
      <c r="J1144" s="190"/>
      <c r="K1144" s="190"/>
      <c r="L1144" s="190"/>
      <c r="M1144" s="190"/>
      <c r="N1144" s="220"/>
      <c r="O1144" s="220"/>
      <c r="P1144" s="220"/>
      <c r="R1144" s="210"/>
      <c r="S1144" s="210"/>
      <c r="T1144" s="210"/>
      <c r="U1144" s="210"/>
      <c r="X1144" s="210"/>
      <c r="Y1144" s="210"/>
      <c r="Z1144" s="210"/>
      <c r="AA1144" s="210"/>
      <c r="AB1144" s="210"/>
      <c r="AC1144" s="210"/>
      <c r="AD1144" s="210"/>
      <c r="AE1144" s="210"/>
      <c r="AF1144" s="210"/>
      <c r="AG1144" s="210"/>
      <c r="AH1144" s="210"/>
      <c r="AI1144" s="210"/>
      <c r="AJ1144" s="210"/>
      <c r="AK1144" s="210"/>
      <c r="AL1144" s="210"/>
      <c r="AM1144" s="210"/>
      <c r="AN1144" s="210"/>
      <c r="AO1144" s="210"/>
      <c r="AP1144" s="210"/>
      <c r="AQ1144" s="210"/>
    </row>
    <row r="1145">
      <c r="A1145" s="190"/>
      <c r="B1145" s="190"/>
      <c r="C1145" s="190"/>
      <c r="D1145" s="190"/>
      <c r="E1145" s="190"/>
      <c r="F1145" s="190"/>
      <c r="G1145" s="190"/>
      <c r="H1145" s="190"/>
      <c r="I1145" s="190"/>
      <c r="J1145" s="190"/>
      <c r="K1145" s="190"/>
      <c r="L1145" s="190"/>
      <c r="M1145" s="190"/>
      <c r="N1145" s="220"/>
      <c r="O1145" s="220"/>
      <c r="P1145" s="220"/>
      <c r="R1145" s="210"/>
      <c r="S1145" s="210"/>
      <c r="T1145" s="210"/>
      <c r="U1145" s="210"/>
      <c r="X1145" s="210"/>
      <c r="Y1145" s="210"/>
      <c r="Z1145" s="210"/>
      <c r="AA1145" s="210"/>
      <c r="AB1145" s="210"/>
      <c r="AC1145" s="210"/>
      <c r="AD1145" s="210"/>
      <c r="AE1145" s="210"/>
      <c r="AF1145" s="210"/>
      <c r="AG1145" s="210"/>
      <c r="AH1145" s="210"/>
      <c r="AI1145" s="210"/>
      <c r="AJ1145" s="210"/>
      <c r="AK1145" s="210"/>
      <c r="AL1145" s="210"/>
      <c r="AM1145" s="210"/>
      <c r="AN1145" s="210"/>
      <c r="AO1145" s="210"/>
      <c r="AP1145" s="210"/>
      <c r="AQ1145" s="210"/>
    </row>
    <row r="1146">
      <c r="A1146" s="190"/>
      <c r="B1146" s="190"/>
      <c r="C1146" s="190"/>
      <c r="D1146" s="190"/>
      <c r="E1146" s="190"/>
      <c r="F1146" s="190"/>
      <c r="G1146" s="190"/>
      <c r="H1146" s="190"/>
      <c r="I1146" s="190"/>
      <c r="J1146" s="190"/>
      <c r="K1146" s="190"/>
      <c r="L1146" s="190"/>
      <c r="M1146" s="190"/>
      <c r="N1146" s="220"/>
      <c r="O1146" s="220"/>
      <c r="P1146" s="220"/>
      <c r="R1146" s="210"/>
      <c r="S1146" s="210"/>
      <c r="T1146" s="210"/>
      <c r="U1146" s="210"/>
      <c r="X1146" s="210"/>
      <c r="Y1146" s="210"/>
      <c r="Z1146" s="210"/>
      <c r="AA1146" s="210"/>
      <c r="AB1146" s="210"/>
      <c r="AC1146" s="210"/>
      <c r="AD1146" s="210"/>
      <c r="AE1146" s="210"/>
      <c r="AF1146" s="210"/>
      <c r="AG1146" s="210"/>
      <c r="AH1146" s="210"/>
      <c r="AI1146" s="210"/>
      <c r="AJ1146" s="210"/>
      <c r="AK1146" s="210"/>
      <c r="AL1146" s="210"/>
      <c r="AM1146" s="210"/>
      <c r="AN1146" s="210"/>
      <c r="AO1146" s="210"/>
      <c r="AP1146" s="210"/>
      <c r="AQ1146" s="210"/>
    </row>
    <row r="1147">
      <c r="A1147" s="190"/>
      <c r="B1147" s="190"/>
      <c r="C1147" s="190"/>
      <c r="D1147" s="190"/>
      <c r="E1147" s="190"/>
      <c r="F1147" s="190"/>
      <c r="G1147" s="190"/>
      <c r="H1147" s="190"/>
      <c r="I1147" s="190"/>
      <c r="J1147" s="190"/>
      <c r="K1147" s="190"/>
      <c r="L1147" s="190"/>
      <c r="M1147" s="190"/>
      <c r="N1147" s="220"/>
      <c r="O1147" s="220"/>
      <c r="P1147" s="220"/>
      <c r="R1147" s="210"/>
      <c r="S1147" s="210"/>
      <c r="T1147" s="210"/>
      <c r="U1147" s="210"/>
      <c r="X1147" s="210"/>
      <c r="Y1147" s="210"/>
      <c r="Z1147" s="210"/>
      <c r="AA1147" s="210"/>
      <c r="AB1147" s="210"/>
      <c r="AC1147" s="210"/>
      <c r="AD1147" s="210"/>
      <c r="AE1147" s="210"/>
      <c r="AF1147" s="210"/>
      <c r="AG1147" s="210"/>
      <c r="AH1147" s="210"/>
      <c r="AI1147" s="210"/>
      <c r="AJ1147" s="210"/>
      <c r="AK1147" s="210"/>
      <c r="AL1147" s="210"/>
      <c r="AM1147" s="210"/>
      <c r="AN1147" s="210"/>
      <c r="AO1147" s="210"/>
      <c r="AP1147" s="210"/>
      <c r="AQ1147" s="210"/>
    </row>
    <row r="1148">
      <c r="A1148" s="190"/>
      <c r="B1148" s="190"/>
      <c r="C1148" s="190"/>
      <c r="D1148" s="190"/>
      <c r="E1148" s="190"/>
      <c r="F1148" s="190"/>
      <c r="G1148" s="190"/>
      <c r="H1148" s="190"/>
      <c r="I1148" s="190"/>
      <c r="J1148" s="190"/>
      <c r="K1148" s="190"/>
      <c r="L1148" s="190"/>
      <c r="M1148" s="190"/>
      <c r="N1148" s="220"/>
      <c r="O1148" s="220"/>
      <c r="P1148" s="220"/>
      <c r="R1148" s="210"/>
      <c r="S1148" s="210"/>
      <c r="T1148" s="210"/>
      <c r="U1148" s="210"/>
      <c r="X1148" s="210"/>
      <c r="Y1148" s="210"/>
      <c r="Z1148" s="210"/>
      <c r="AA1148" s="210"/>
      <c r="AB1148" s="210"/>
      <c r="AC1148" s="210"/>
      <c r="AD1148" s="210"/>
      <c r="AE1148" s="210"/>
      <c r="AF1148" s="210"/>
      <c r="AG1148" s="210"/>
      <c r="AH1148" s="210"/>
      <c r="AI1148" s="210"/>
      <c r="AJ1148" s="210"/>
      <c r="AK1148" s="210"/>
      <c r="AL1148" s="210"/>
      <c r="AM1148" s="210"/>
      <c r="AN1148" s="210"/>
      <c r="AO1148" s="210"/>
      <c r="AP1148" s="210"/>
      <c r="AQ1148" s="210"/>
    </row>
    <row r="1149">
      <c r="A1149" s="190"/>
      <c r="B1149" s="190"/>
      <c r="C1149" s="190"/>
      <c r="D1149" s="190"/>
      <c r="E1149" s="190"/>
      <c r="F1149" s="190"/>
      <c r="G1149" s="190"/>
      <c r="H1149" s="190"/>
      <c r="I1149" s="190"/>
      <c r="J1149" s="190"/>
      <c r="K1149" s="190"/>
      <c r="L1149" s="190"/>
      <c r="M1149" s="190"/>
      <c r="N1149" s="220"/>
      <c r="O1149" s="220"/>
      <c r="P1149" s="220"/>
      <c r="R1149" s="210"/>
      <c r="S1149" s="210"/>
      <c r="T1149" s="210"/>
      <c r="U1149" s="210"/>
      <c r="X1149" s="210"/>
      <c r="Y1149" s="210"/>
      <c r="Z1149" s="210"/>
      <c r="AA1149" s="210"/>
      <c r="AB1149" s="210"/>
      <c r="AC1149" s="210"/>
      <c r="AD1149" s="210"/>
      <c r="AE1149" s="210"/>
      <c r="AF1149" s="210"/>
      <c r="AG1149" s="210"/>
      <c r="AH1149" s="210"/>
      <c r="AI1149" s="210"/>
      <c r="AJ1149" s="210"/>
      <c r="AK1149" s="210"/>
      <c r="AL1149" s="210"/>
      <c r="AM1149" s="210"/>
      <c r="AN1149" s="210"/>
      <c r="AO1149" s="210"/>
      <c r="AP1149" s="210"/>
      <c r="AQ1149" s="210"/>
    </row>
    <row r="1150">
      <c r="A1150" s="190"/>
      <c r="B1150" s="190"/>
      <c r="C1150" s="190"/>
      <c r="D1150" s="190"/>
      <c r="E1150" s="190"/>
      <c r="F1150" s="190"/>
      <c r="G1150" s="190"/>
      <c r="H1150" s="190"/>
      <c r="I1150" s="190"/>
      <c r="J1150" s="190"/>
      <c r="K1150" s="190"/>
      <c r="L1150" s="190"/>
      <c r="M1150" s="190"/>
      <c r="N1150" s="220"/>
      <c r="O1150" s="220"/>
      <c r="P1150" s="220"/>
      <c r="R1150" s="210"/>
      <c r="S1150" s="210"/>
      <c r="T1150" s="210"/>
      <c r="U1150" s="210"/>
      <c r="X1150" s="210"/>
      <c r="Y1150" s="210"/>
      <c r="Z1150" s="210"/>
      <c r="AA1150" s="210"/>
      <c r="AB1150" s="210"/>
      <c r="AC1150" s="210"/>
      <c r="AD1150" s="210"/>
      <c r="AE1150" s="210"/>
      <c r="AF1150" s="210"/>
      <c r="AG1150" s="210"/>
      <c r="AH1150" s="210"/>
      <c r="AI1150" s="210"/>
      <c r="AJ1150" s="210"/>
      <c r="AK1150" s="210"/>
      <c r="AL1150" s="210"/>
      <c r="AM1150" s="210"/>
      <c r="AN1150" s="210"/>
      <c r="AO1150" s="210"/>
      <c r="AP1150" s="210"/>
      <c r="AQ1150" s="210"/>
    </row>
    <row r="1151">
      <c r="A1151" s="190"/>
      <c r="B1151" s="190"/>
      <c r="C1151" s="190"/>
      <c r="D1151" s="190"/>
      <c r="E1151" s="190"/>
      <c r="F1151" s="190"/>
      <c r="G1151" s="190"/>
      <c r="H1151" s="190"/>
      <c r="I1151" s="190"/>
      <c r="J1151" s="190"/>
      <c r="K1151" s="190"/>
      <c r="L1151" s="190"/>
      <c r="M1151" s="190"/>
      <c r="N1151" s="220"/>
      <c r="O1151" s="220"/>
      <c r="P1151" s="220"/>
      <c r="R1151" s="210"/>
      <c r="S1151" s="210"/>
      <c r="T1151" s="210"/>
      <c r="U1151" s="210"/>
      <c r="X1151" s="210"/>
      <c r="Y1151" s="210"/>
      <c r="Z1151" s="210"/>
      <c r="AA1151" s="210"/>
      <c r="AB1151" s="210"/>
      <c r="AC1151" s="210"/>
      <c r="AD1151" s="210"/>
      <c r="AE1151" s="210"/>
      <c r="AF1151" s="210"/>
      <c r="AG1151" s="210"/>
      <c r="AH1151" s="210"/>
      <c r="AI1151" s="210"/>
      <c r="AJ1151" s="210"/>
      <c r="AK1151" s="210"/>
      <c r="AL1151" s="210"/>
      <c r="AM1151" s="210"/>
      <c r="AN1151" s="210"/>
      <c r="AO1151" s="210"/>
      <c r="AP1151" s="210"/>
      <c r="AQ1151" s="210"/>
    </row>
    <row r="1152">
      <c r="A1152" s="190"/>
      <c r="B1152" s="190"/>
      <c r="C1152" s="190"/>
      <c r="D1152" s="190"/>
      <c r="E1152" s="190"/>
      <c r="F1152" s="190"/>
      <c r="G1152" s="190"/>
      <c r="H1152" s="190"/>
      <c r="I1152" s="190"/>
      <c r="J1152" s="190"/>
      <c r="K1152" s="190"/>
      <c r="L1152" s="190"/>
      <c r="M1152" s="190"/>
      <c r="N1152" s="220"/>
      <c r="O1152" s="220"/>
      <c r="P1152" s="220"/>
      <c r="R1152" s="210"/>
      <c r="S1152" s="210"/>
      <c r="T1152" s="210"/>
      <c r="U1152" s="210"/>
      <c r="X1152" s="210"/>
      <c r="Y1152" s="210"/>
      <c r="Z1152" s="210"/>
      <c r="AA1152" s="210"/>
      <c r="AB1152" s="210"/>
      <c r="AC1152" s="210"/>
      <c r="AD1152" s="210"/>
      <c r="AE1152" s="210"/>
      <c r="AF1152" s="210"/>
      <c r="AG1152" s="210"/>
      <c r="AH1152" s="210"/>
      <c r="AI1152" s="210"/>
      <c r="AJ1152" s="210"/>
      <c r="AK1152" s="210"/>
      <c r="AL1152" s="210"/>
      <c r="AM1152" s="210"/>
      <c r="AN1152" s="210"/>
      <c r="AO1152" s="210"/>
      <c r="AP1152" s="210"/>
      <c r="AQ1152" s="210"/>
    </row>
    <row r="1153">
      <c r="A1153" s="190"/>
      <c r="B1153" s="190"/>
      <c r="C1153" s="190"/>
      <c r="D1153" s="190"/>
      <c r="E1153" s="190"/>
      <c r="F1153" s="190"/>
      <c r="G1153" s="190"/>
      <c r="H1153" s="190"/>
      <c r="I1153" s="190"/>
      <c r="J1153" s="190"/>
      <c r="K1153" s="190"/>
      <c r="L1153" s="190"/>
      <c r="M1153" s="190"/>
      <c r="N1153" s="220"/>
      <c r="O1153" s="220"/>
      <c r="P1153" s="220"/>
      <c r="R1153" s="210"/>
      <c r="S1153" s="210"/>
      <c r="T1153" s="210"/>
      <c r="U1153" s="210"/>
      <c r="X1153" s="210"/>
      <c r="Y1153" s="210"/>
      <c r="Z1153" s="210"/>
      <c r="AA1153" s="210"/>
      <c r="AB1153" s="210"/>
      <c r="AC1153" s="210"/>
      <c r="AD1153" s="210"/>
      <c r="AE1153" s="210"/>
      <c r="AF1153" s="210"/>
      <c r="AG1153" s="210"/>
      <c r="AH1153" s="210"/>
      <c r="AI1153" s="210"/>
      <c r="AJ1153" s="210"/>
      <c r="AK1153" s="210"/>
      <c r="AL1153" s="210"/>
      <c r="AM1153" s="210"/>
      <c r="AN1153" s="210"/>
      <c r="AO1153" s="210"/>
      <c r="AP1153" s="210"/>
      <c r="AQ1153" s="210"/>
    </row>
    <row r="1154">
      <c r="A1154" s="190"/>
      <c r="B1154" s="190"/>
      <c r="C1154" s="190"/>
      <c r="D1154" s="190"/>
      <c r="E1154" s="190"/>
      <c r="F1154" s="190"/>
      <c r="G1154" s="190"/>
      <c r="H1154" s="190"/>
      <c r="I1154" s="190"/>
      <c r="J1154" s="190"/>
      <c r="K1154" s="190"/>
      <c r="L1154" s="190"/>
      <c r="M1154" s="190"/>
      <c r="N1154" s="220"/>
      <c r="O1154" s="220"/>
      <c r="P1154" s="220"/>
      <c r="R1154" s="210"/>
      <c r="S1154" s="210"/>
      <c r="T1154" s="210"/>
      <c r="U1154" s="210"/>
      <c r="X1154" s="210"/>
      <c r="Y1154" s="210"/>
      <c r="Z1154" s="210"/>
      <c r="AA1154" s="210"/>
      <c r="AB1154" s="210"/>
      <c r="AC1154" s="210"/>
      <c r="AD1154" s="210"/>
      <c r="AE1154" s="210"/>
      <c r="AF1154" s="210"/>
      <c r="AG1154" s="210"/>
      <c r="AH1154" s="210"/>
      <c r="AI1154" s="210"/>
      <c r="AJ1154" s="210"/>
      <c r="AK1154" s="210"/>
      <c r="AL1154" s="210"/>
      <c r="AM1154" s="210"/>
      <c r="AN1154" s="210"/>
      <c r="AO1154" s="210"/>
      <c r="AP1154" s="210"/>
      <c r="AQ1154" s="210"/>
    </row>
    <row r="1155">
      <c r="A1155" s="190"/>
      <c r="B1155" s="190"/>
      <c r="C1155" s="190"/>
      <c r="D1155" s="190"/>
      <c r="E1155" s="190"/>
      <c r="F1155" s="190"/>
      <c r="G1155" s="190"/>
      <c r="H1155" s="190"/>
      <c r="I1155" s="190"/>
      <c r="J1155" s="190"/>
      <c r="K1155" s="190"/>
      <c r="L1155" s="190"/>
      <c r="M1155" s="190"/>
      <c r="N1155" s="220"/>
      <c r="O1155" s="220"/>
      <c r="P1155" s="220"/>
      <c r="R1155" s="210"/>
      <c r="S1155" s="210"/>
      <c r="T1155" s="210"/>
      <c r="U1155" s="210"/>
      <c r="X1155" s="210"/>
      <c r="Y1155" s="210"/>
      <c r="Z1155" s="210"/>
      <c r="AA1155" s="210"/>
      <c r="AB1155" s="210"/>
      <c r="AC1155" s="210"/>
      <c r="AD1155" s="210"/>
      <c r="AE1155" s="210"/>
      <c r="AF1155" s="210"/>
      <c r="AG1155" s="210"/>
      <c r="AH1155" s="210"/>
      <c r="AI1155" s="210"/>
      <c r="AJ1155" s="210"/>
      <c r="AK1155" s="210"/>
      <c r="AL1155" s="210"/>
      <c r="AM1155" s="210"/>
      <c r="AN1155" s="210"/>
      <c r="AO1155" s="210"/>
      <c r="AP1155" s="210"/>
      <c r="AQ1155" s="210"/>
    </row>
    <row r="1156">
      <c r="A1156" s="190"/>
      <c r="B1156" s="190"/>
      <c r="C1156" s="190"/>
      <c r="D1156" s="190"/>
      <c r="E1156" s="190"/>
      <c r="F1156" s="190"/>
      <c r="G1156" s="190"/>
      <c r="H1156" s="190"/>
      <c r="I1156" s="190"/>
      <c r="J1156" s="190"/>
      <c r="K1156" s="190"/>
      <c r="L1156" s="190"/>
      <c r="M1156" s="190"/>
      <c r="N1156" s="220"/>
      <c r="O1156" s="220"/>
      <c r="P1156" s="220"/>
      <c r="R1156" s="210"/>
      <c r="S1156" s="210"/>
      <c r="T1156" s="210"/>
      <c r="U1156" s="210"/>
      <c r="X1156" s="210"/>
      <c r="Y1156" s="210"/>
      <c r="Z1156" s="210"/>
      <c r="AA1156" s="210"/>
      <c r="AB1156" s="210"/>
      <c r="AC1156" s="210"/>
      <c r="AD1156" s="210"/>
      <c r="AE1156" s="210"/>
      <c r="AF1156" s="210"/>
      <c r="AG1156" s="210"/>
      <c r="AH1156" s="210"/>
      <c r="AI1156" s="210"/>
      <c r="AJ1156" s="210"/>
      <c r="AK1156" s="210"/>
      <c r="AL1156" s="210"/>
      <c r="AM1156" s="210"/>
      <c r="AN1156" s="210"/>
      <c r="AO1156" s="210"/>
      <c r="AP1156" s="210"/>
      <c r="AQ1156" s="210"/>
    </row>
    <row r="1157">
      <c r="A1157" s="190"/>
      <c r="B1157" s="190"/>
      <c r="C1157" s="190"/>
      <c r="D1157" s="190"/>
      <c r="E1157" s="190"/>
      <c r="F1157" s="190"/>
      <c r="G1157" s="190"/>
      <c r="H1157" s="190"/>
      <c r="I1157" s="190"/>
      <c r="J1157" s="190"/>
      <c r="K1157" s="190"/>
      <c r="L1157" s="190"/>
      <c r="M1157" s="190"/>
      <c r="N1157" s="220"/>
      <c r="O1157" s="220"/>
      <c r="P1157" s="220"/>
      <c r="R1157" s="210"/>
      <c r="S1157" s="210"/>
      <c r="T1157" s="210"/>
      <c r="U1157" s="210"/>
      <c r="X1157" s="210"/>
      <c r="Y1157" s="210"/>
      <c r="Z1157" s="210"/>
      <c r="AA1157" s="210"/>
      <c r="AB1157" s="210"/>
      <c r="AC1157" s="210"/>
      <c r="AD1157" s="210"/>
      <c r="AE1157" s="210"/>
      <c r="AF1157" s="210"/>
      <c r="AG1157" s="210"/>
      <c r="AH1157" s="210"/>
      <c r="AI1157" s="210"/>
      <c r="AJ1157" s="210"/>
      <c r="AK1157" s="210"/>
      <c r="AL1157" s="210"/>
      <c r="AM1157" s="210"/>
      <c r="AN1157" s="210"/>
      <c r="AO1157" s="210"/>
      <c r="AP1157" s="210"/>
      <c r="AQ1157" s="210"/>
    </row>
    <row r="1158">
      <c r="A1158" s="190"/>
      <c r="B1158" s="190"/>
      <c r="C1158" s="190"/>
      <c r="D1158" s="190"/>
      <c r="E1158" s="190"/>
      <c r="F1158" s="190"/>
      <c r="G1158" s="190"/>
      <c r="H1158" s="190"/>
      <c r="I1158" s="190"/>
      <c r="J1158" s="190"/>
      <c r="K1158" s="190"/>
      <c r="L1158" s="190"/>
      <c r="M1158" s="190"/>
      <c r="N1158" s="220"/>
      <c r="O1158" s="220"/>
      <c r="P1158" s="220"/>
      <c r="R1158" s="210"/>
      <c r="S1158" s="210"/>
      <c r="T1158" s="210"/>
      <c r="U1158" s="210"/>
      <c r="X1158" s="210"/>
      <c r="Y1158" s="210"/>
      <c r="Z1158" s="210"/>
      <c r="AA1158" s="210"/>
      <c r="AB1158" s="210"/>
      <c r="AC1158" s="210"/>
      <c r="AD1158" s="210"/>
      <c r="AE1158" s="210"/>
      <c r="AF1158" s="210"/>
      <c r="AG1158" s="210"/>
      <c r="AH1158" s="210"/>
      <c r="AI1158" s="210"/>
      <c r="AJ1158" s="210"/>
      <c r="AK1158" s="210"/>
      <c r="AL1158" s="210"/>
      <c r="AM1158" s="210"/>
      <c r="AN1158" s="210"/>
      <c r="AO1158" s="210"/>
      <c r="AP1158" s="210"/>
      <c r="AQ1158" s="210"/>
    </row>
    <row r="1159">
      <c r="A1159" s="190"/>
      <c r="B1159" s="190"/>
      <c r="C1159" s="190"/>
      <c r="D1159" s="190"/>
      <c r="E1159" s="190"/>
      <c r="F1159" s="190"/>
      <c r="G1159" s="190"/>
      <c r="H1159" s="190"/>
      <c r="I1159" s="190"/>
      <c r="J1159" s="190"/>
      <c r="K1159" s="190"/>
      <c r="L1159" s="190"/>
      <c r="M1159" s="190"/>
      <c r="N1159" s="220"/>
      <c r="O1159" s="220"/>
      <c r="P1159" s="220"/>
      <c r="R1159" s="210"/>
      <c r="S1159" s="210"/>
      <c r="T1159" s="210"/>
      <c r="U1159" s="210"/>
      <c r="X1159" s="210"/>
      <c r="Y1159" s="210"/>
      <c r="Z1159" s="210"/>
      <c r="AA1159" s="210"/>
      <c r="AB1159" s="210"/>
      <c r="AC1159" s="210"/>
      <c r="AD1159" s="210"/>
      <c r="AE1159" s="210"/>
      <c r="AF1159" s="210"/>
      <c r="AG1159" s="210"/>
      <c r="AH1159" s="210"/>
      <c r="AI1159" s="210"/>
      <c r="AJ1159" s="210"/>
      <c r="AK1159" s="210"/>
      <c r="AL1159" s="210"/>
      <c r="AM1159" s="210"/>
      <c r="AN1159" s="210"/>
      <c r="AO1159" s="210"/>
      <c r="AP1159" s="210"/>
      <c r="AQ1159" s="210"/>
    </row>
    <row r="1160">
      <c r="A1160" s="190"/>
      <c r="B1160" s="190"/>
      <c r="C1160" s="190"/>
      <c r="D1160" s="190"/>
      <c r="E1160" s="190"/>
      <c r="F1160" s="190"/>
      <c r="G1160" s="190"/>
      <c r="H1160" s="190"/>
      <c r="I1160" s="190"/>
      <c r="J1160" s="190"/>
      <c r="K1160" s="190"/>
      <c r="L1160" s="190"/>
      <c r="M1160" s="190"/>
      <c r="N1160" s="220"/>
      <c r="O1160" s="220"/>
      <c r="P1160" s="220"/>
      <c r="R1160" s="210"/>
      <c r="S1160" s="210"/>
      <c r="T1160" s="210"/>
      <c r="U1160" s="210"/>
      <c r="X1160" s="210"/>
      <c r="Y1160" s="210"/>
      <c r="Z1160" s="210"/>
      <c r="AA1160" s="210"/>
      <c r="AB1160" s="210"/>
      <c r="AC1160" s="210"/>
      <c r="AD1160" s="210"/>
      <c r="AE1160" s="210"/>
      <c r="AF1160" s="210"/>
      <c r="AG1160" s="210"/>
      <c r="AH1160" s="210"/>
      <c r="AI1160" s="210"/>
      <c r="AJ1160" s="210"/>
      <c r="AK1160" s="210"/>
      <c r="AL1160" s="210"/>
      <c r="AM1160" s="210"/>
      <c r="AN1160" s="210"/>
      <c r="AO1160" s="210"/>
      <c r="AP1160" s="210"/>
      <c r="AQ1160" s="210"/>
    </row>
    <row r="1161">
      <c r="A1161" s="190"/>
      <c r="B1161" s="190"/>
      <c r="C1161" s="190"/>
      <c r="D1161" s="190"/>
      <c r="E1161" s="190"/>
      <c r="F1161" s="190"/>
      <c r="G1161" s="190"/>
      <c r="H1161" s="190"/>
      <c r="I1161" s="190"/>
      <c r="J1161" s="190"/>
      <c r="K1161" s="190"/>
      <c r="L1161" s="190"/>
      <c r="M1161" s="190"/>
      <c r="N1161" s="220"/>
      <c r="O1161" s="220"/>
      <c r="P1161" s="220"/>
      <c r="R1161" s="210"/>
      <c r="S1161" s="210"/>
      <c r="T1161" s="210"/>
      <c r="U1161" s="210"/>
      <c r="X1161" s="210"/>
      <c r="Y1161" s="210"/>
      <c r="Z1161" s="210"/>
      <c r="AA1161" s="210"/>
      <c r="AB1161" s="210"/>
      <c r="AC1161" s="210"/>
      <c r="AD1161" s="210"/>
      <c r="AE1161" s="210"/>
      <c r="AF1161" s="210"/>
      <c r="AG1161" s="210"/>
      <c r="AH1161" s="210"/>
      <c r="AI1161" s="210"/>
      <c r="AJ1161" s="210"/>
      <c r="AK1161" s="210"/>
      <c r="AL1161" s="210"/>
      <c r="AM1161" s="210"/>
      <c r="AN1161" s="210"/>
      <c r="AO1161" s="210"/>
      <c r="AP1161" s="210"/>
      <c r="AQ1161" s="210"/>
    </row>
    <row r="1162">
      <c r="A1162" s="190"/>
      <c r="B1162" s="190"/>
      <c r="C1162" s="190"/>
      <c r="D1162" s="190"/>
      <c r="E1162" s="190"/>
      <c r="F1162" s="190"/>
      <c r="G1162" s="190"/>
      <c r="H1162" s="190"/>
      <c r="I1162" s="190"/>
      <c r="J1162" s="190"/>
      <c r="K1162" s="190"/>
      <c r="L1162" s="190"/>
      <c r="M1162" s="190"/>
      <c r="N1162" s="220"/>
      <c r="O1162" s="220"/>
      <c r="P1162" s="220"/>
      <c r="R1162" s="210"/>
      <c r="S1162" s="210"/>
      <c r="T1162" s="210"/>
      <c r="U1162" s="210"/>
      <c r="X1162" s="210"/>
      <c r="Y1162" s="210"/>
      <c r="Z1162" s="210"/>
      <c r="AA1162" s="210"/>
      <c r="AB1162" s="210"/>
      <c r="AC1162" s="210"/>
      <c r="AD1162" s="210"/>
      <c r="AE1162" s="210"/>
      <c r="AF1162" s="210"/>
      <c r="AG1162" s="210"/>
      <c r="AH1162" s="210"/>
      <c r="AI1162" s="210"/>
      <c r="AJ1162" s="210"/>
      <c r="AK1162" s="210"/>
      <c r="AL1162" s="210"/>
      <c r="AM1162" s="210"/>
      <c r="AN1162" s="210"/>
      <c r="AO1162" s="210"/>
      <c r="AP1162" s="210"/>
      <c r="AQ1162" s="210"/>
    </row>
    <row r="1163">
      <c r="A1163" s="190"/>
      <c r="B1163" s="190"/>
      <c r="C1163" s="190"/>
      <c r="D1163" s="190"/>
      <c r="E1163" s="190"/>
      <c r="F1163" s="190"/>
      <c r="G1163" s="190"/>
      <c r="H1163" s="190"/>
      <c r="I1163" s="190"/>
      <c r="J1163" s="190"/>
      <c r="K1163" s="190"/>
      <c r="L1163" s="190"/>
      <c r="M1163" s="190"/>
      <c r="N1163" s="220"/>
      <c r="O1163" s="220"/>
      <c r="P1163" s="220"/>
      <c r="R1163" s="210"/>
      <c r="S1163" s="210"/>
      <c r="T1163" s="210"/>
      <c r="U1163" s="210"/>
      <c r="X1163" s="210"/>
      <c r="Y1163" s="210"/>
      <c r="Z1163" s="210"/>
      <c r="AA1163" s="210"/>
      <c r="AB1163" s="210"/>
      <c r="AC1163" s="210"/>
      <c r="AD1163" s="210"/>
      <c r="AE1163" s="210"/>
      <c r="AF1163" s="210"/>
      <c r="AG1163" s="210"/>
      <c r="AH1163" s="210"/>
      <c r="AI1163" s="210"/>
      <c r="AJ1163" s="210"/>
      <c r="AK1163" s="210"/>
      <c r="AL1163" s="210"/>
      <c r="AM1163" s="210"/>
      <c r="AN1163" s="210"/>
      <c r="AO1163" s="210"/>
      <c r="AP1163" s="210"/>
      <c r="AQ1163" s="210"/>
    </row>
    <row r="1164">
      <c r="A1164" s="190"/>
      <c r="B1164" s="190"/>
      <c r="C1164" s="190"/>
      <c r="D1164" s="190"/>
      <c r="E1164" s="190"/>
      <c r="F1164" s="190"/>
      <c r="G1164" s="190"/>
      <c r="H1164" s="190"/>
      <c r="I1164" s="190"/>
      <c r="J1164" s="190"/>
      <c r="K1164" s="190"/>
      <c r="L1164" s="190"/>
      <c r="M1164" s="190"/>
      <c r="N1164" s="220"/>
      <c r="O1164" s="220"/>
      <c r="P1164" s="220"/>
      <c r="R1164" s="210"/>
      <c r="S1164" s="210"/>
      <c r="T1164" s="210"/>
      <c r="U1164" s="210"/>
      <c r="X1164" s="210"/>
      <c r="Y1164" s="210"/>
      <c r="Z1164" s="210"/>
      <c r="AA1164" s="210"/>
      <c r="AB1164" s="210"/>
      <c r="AC1164" s="210"/>
      <c r="AD1164" s="210"/>
      <c r="AE1164" s="210"/>
      <c r="AF1164" s="210"/>
      <c r="AG1164" s="210"/>
      <c r="AH1164" s="210"/>
      <c r="AI1164" s="210"/>
      <c r="AJ1164" s="210"/>
      <c r="AK1164" s="210"/>
      <c r="AL1164" s="210"/>
      <c r="AM1164" s="210"/>
      <c r="AN1164" s="210"/>
      <c r="AO1164" s="210"/>
      <c r="AP1164" s="210"/>
      <c r="AQ1164" s="210"/>
    </row>
    <row r="1165">
      <c r="A1165" s="190"/>
      <c r="B1165" s="190"/>
      <c r="C1165" s="190"/>
      <c r="D1165" s="190"/>
      <c r="E1165" s="190"/>
      <c r="F1165" s="190"/>
      <c r="G1165" s="190"/>
      <c r="H1165" s="190"/>
      <c r="I1165" s="190"/>
      <c r="J1165" s="190"/>
      <c r="K1165" s="190"/>
      <c r="L1165" s="190"/>
      <c r="M1165" s="190"/>
      <c r="N1165" s="220"/>
      <c r="O1165" s="220"/>
      <c r="P1165" s="220"/>
      <c r="R1165" s="210"/>
      <c r="S1165" s="210"/>
      <c r="T1165" s="210"/>
      <c r="U1165" s="210"/>
      <c r="X1165" s="210"/>
      <c r="Y1165" s="210"/>
      <c r="Z1165" s="210"/>
      <c r="AA1165" s="210"/>
      <c r="AB1165" s="210"/>
      <c r="AC1165" s="210"/>
      <c r="AD1165" s="210"/>
      <c r="AE1165" s="210"/>
      <c r="AF1165" s="210"/>
      <c r="AG1165" s="210"/>
      <c r="AH1165" s="210"/>
      <c r="AI1165" s="210"/>
      <c r="AJ1165" s="210"/>
      <c r="AK1165" s="210"/>
      <c r="AL1165" s="210"/>
      <c r="AM1165" s="210"/>
      <c r="AN1165" s="210"/>
      <c r="AO1165" s="210"/>
      <c r="AP1165" s="210"/>
      <c r="AQ1165" s="210"/>
    </row>
    <row r="1166">
      <c r="A1166" s="190"/>
      <c r="B1166" s="190"/>
      <c r="C1166" s="190"/>
      <c r="D1166" s="190"/>
      <c r="E1166" s="190"/>
      <c r="F1166" s="190"/>
      <c r="G1166" s="190"/>
      <c r="H1166" s="190"/>
      <c r="I1166" s="190"/>
      <c r="J1166" s="190"/>
      <c r="K1166" s="190"/>
      <c r="L1166" s="190"/>
      <c r="M1166" s="190"/>
      <c r="N1166" s="220"/>
      <c r="O1166" s="220"/>
      <c r="P1166" s="220"/>
      <c r="R1166" s="210"/>
      <c r="S1166" s="210"/>
      <c r="T1166" s="210"/>
      <c r="U1166" s="210"/>
      <c r="X1166" s="210"/>
      <c r="Y1166" s="210"/>
      <c r="Z1166" s="210"/>
      <c r="AA1166" s="210"/>
      <c r="AB1166" s="210"/>
      <c r="AC1166" s="210"/>
      <c r="AD1166" s="210"/>
      <c r="AE1166" s="210"/>
      <c r="AF1166" s="210"/>
      <c r="AG1166" s="210"/>
      <c r="AH1166" s="210"/>
      <c r="AI1166" s="210"/>
      <c r="AJ1166" s="210"/>
      <c r="AK1166" s="210"/>
      <c r="AL1166" s="210"/>
      <c r="AM1166" s="210"/>
      <c r="AN1166" s="210"/>
      <c r="AO1166" s="210"/>
      <c r="AP1166" s="210"/>
      <c r="AQ1166" s="210"/>
    </row>
    <row r="1167">
      <c r="A1167" s="190"/>
      <c r="B1167" s="190"/>
      <c r="C1167" s="190"/>
      <c r="D1167" s="190"/>
      <c r="E1167" s="190"/>
      <c r="F1167" s="190"/>
      <c r="G1167" s="190"/>
      <c r="H1167" s="190"/>
      <c r="I1167" s="190"/>
      <c r="J1167" s="190"/>
      <c r="K1167" s="190"/>
      <c r="L1167" s="190"/>
      <c r="M1167" s="190"/>
      <c r="N1167" s="220"/>
      <c r="O1167" s="220"/>
      <c r="P1167" s="220"/>
      <c r="R1167" s="210"/>
      <c r="S1167" s="210"/>
      <c r="T1167" s="210"/>
      <c r="U1167" s="210"/>
      <c r="X1167" s="210"/>
      <c r="Y1167" s="210"/>
      <c r="Z1167" s="210"/>
      <c r="AA1167" s="210"/>
      <c r="AB1167" s="210"/>
      <c r="AC1167" s="210"/>
      <c r="AD1167" s="210"/>
      <c r="AE1167" s="210"/>
      <c r="AF1167" s="210"/>
      <c r="AG1167" s="210"/>
      <c r="AH1167" s="210"/>
      <c r="AI1167" s="210"/>
      <c r="AJ1167" s="210"/>
      <c r="AK1167" s="210"/>
      <c r="AL1167" s="210"/>
      <c r="AM1167" s="210"/>
      <c r="AN1167" s="210"/>
      <c r="AO1167" s="210"/>
      <c r="AP1167" s="210"/>
      <c r="AQ1167" s="210"/>
    </row>
    <row r="1168">
      <c r="A1168" s="190"/>
      <c r="B1168" s="190"/>
      <c r="C1168" s="190"/>
      <c r="D1168" s="190"/>
      <c r="E1168" s="190"/>
      <c r="F1168" s="190"/>
      <c r="G1168" s="190"/>
      <c r="H1168" s="190"/>
      <c r="I1168" s="190"/>
      <c r="J1168" s="190"/>
      <c r="K1168" s="190"/>
      <c r="L1168" s="190"/>
      <c r="M1168" s="190"/>
      <c r="N1168" s="220"/>
      <c r="O1168" s="220"/>
      <c r="P1168" s="220"/>
      <c r="R1168" s="210"/>
      <c r="S1168" s="210"/>
      <c r="T1168" s="210"/>
      <c r="U1168" s="210"/>
      <c r="X1168" s="210"/>
      <c r="Y1168" s="210"/>
      <c r="Z1168" s="210"/>
      <c r="AA1168" s="210"/>
      <c r="AB1168" s="210"/>
      <c r="AC1168" s="210"/>
      <c r="AD1168" s="210"/>
      <c r="AE1168" s="210"/>
      <c r="AF1168" s="210"/>
      <c r="AG1168" s="210"/>
      <c r="AH1168" s="210"/>
      <c r="AI1168" s="210"/>
      <c r="AJ1168" s="210"/>
      <c r="AK1168" s="210"/>
      <c r="AL1168" s="210"/>
      <c r="AM1168" s="210"/>
      <c r="AN1168" s="210"/>
      <c r="AO1168" s="210"/>
      <c r="AP1168" s="210"/>
      <c r="AQ1168" s="210"/>
    </row>
    <row r="1169">
      <c r="A1169" s="190"/>
      <c r="B1169" s="190"/>
      <c r="C1169" s="190"/>
      <c r="D1169" s="190"/>
      <c r="E1169" s="190"/>
      <c r="F1169" s="190"/>
      <c r="G1169" s="190"/>
      <c r="H1169" s="190"/>
      <c r="I1169" s="190"/>
      <c r="J1169" s="190"/>
      <c r="K1169" s="190"/>
      <c r="L1169" s="190"/>
      <c r="M1169" s="190"/>
      <c r="N1169" s="220"/>
      <c r="O1169" s="220"/>
      <c r="P1169" s="220"/>
      <c r="R1169" s="210"/>
      <c r="S1169" s="210"/>
      <c r="T1169" s="210"/>
      <c r="U1169" s="210"/>
      <c r="X1169" s="210"/>
      <c r="Y1169" s="210"/>
      <c r="Z1169" s="210"/>
      <c r="AA1169" s="210"/>
      <c r="AB1169" s="210"/>
      <c r="AC1169" s="210"/>
      <c r="AD1169" s="210"/>
      <c r="AE1169" s="210"/>
      <c r="AF1169" s="210"/>
      <c r="AG1169" s="210"/>
      <c r="AH1169" s="210"/>
      <c r="AI1169" s="210"/>
      <c r="AJ1169" s="210"/>
      <c r="AK1169" s="210"/>
      <c r="AL1169" s="210"/>
      <c r="AM1169" s="210"/>
      <c r="AN1169" s="210"/>
      <c r="AO1169" s="210"/>
      <c r="AP1169" s="210"/>
      <c r="AQ1169" s="210"/>
    </row>
    <row r="1170">
      <c r="A1170" s="190"/>
      <c r="B1170" s="190"/>
      <c r="C1170" s="190"/>
      <c r="D1170" s="190"/>
      <c r="E1170" s="190"/>
      <c r="F1170" s="190"/>
      <c r="G1170" s="190"/>
      <c r="H1170" s="190"/>
      <c r="I1170" s="190"/>
      <c r="J1170" s="190"/>
      <c r="K1170" s="190"/>
      <c r="L1170" s="190"/>
      <c r="M1170" s="190"/>
      <c r="N1170" s="220"/>
      <c r="O1170" s="220"/>
      <c r="P1170" s="220"/>
      <c r="R1170" s="210"/>
      <c r="S1170" s="210"/>
      <c r="T1170" s="210"/>
      <c r="U1170" s="210"/>
      <c r="X1170" s="210"/>
      <c r="Y1170" s="210"/>
      <c r="Z1170" s="210"/>
      <c r="AA1170" s="210"/>
      <c r="AB1170" s="210"/>
      <c r="AC1170" s="210"/>
      <c r="AD1170" s="210"/>
      <c r="AE1170" s="210"/>
      <c r="AF1170" s="210"/>
      <c r="AG1170" s="210"/>
      <c r="AH1170" s="210"/>
      <c r="AI1170" s="210"/>
      <c r="AJ1170" s="210"/>
      <c r="AK1170" s="210"/>
      <c r="AL1170" s="210"/>
      <c r="AM1170" s="210"/>
      <c r="AN1170" s="210"/>
      <c r="AO1170" s="210"/>
      <c r="AP1170" s="210"/>
      <c r="AQ1170" s="210"/>
    </row>
    <row r="1171">
      <c r="A1171" s="190"/>
      <c r="B1171" s="190"/>
      <c r="C1171" s="190"/>
      <c r="D1171" s="190"/>
      <c r="E1171" s="190"/>
      <c r="F1171" s="190"/>
      <c r="G1171" s="190"/>
      <c r="H1171" s="190"/>
      <c r="I1171" s="190"/>
      <c r="J1171" s="190"/>
      <c r="K1171" s="190"/>
      <c r="L1171" s="190"/>
      <c r="M1171" s="190"/>
      <c r="N1171" s="220"/>
      <c r="O1171" s="220"/>
      <c r="P1171" s="220"/>
      <c r="R1171" s="210"/>
      <c r="S1171" s="210"/>
      <c r="T1171" s="210"/>
      <c r="U1171" s="210"/>
      <c r="X1171" s="210"/>
      <c r="Y1171" s="210"/>
      <c r="Z1171" s="210"/>
      <c r="AA1171" s="210"/>
      <c r="AB1171" s="210"/>
      <c r="AC1171" s="210"/>
      <c r="AD1171" s="210"/>
      <c r="AE1171" s="210"/>
      <c r="AF1171" s="210"/>
      <c r="AG1171" s="210"/>
      <c r="AH1171" s="210"/>
      <c r="AI1171" s="210"/>
      <c r="AJ1171" s="210"/>
      <c r="AK1171" s="210"/>
      <c r="AL1171" s="210"/>
      <c r="AM1171" s="210"/>
      <c r="AN1171" s="210"/>
      <c r="AO1171" s="210"/>
      <c r="AP1171" s="210"/>
      <c r="AQ1171" s="210"/>
    </row>
    <row r="1172">
      <c r="A1172" s="190"/>
      <c r="B1172" s="190"/>
      <c r="C1172" s="190"/>
      <c r="D1172" s="190"/>
      <c r="E1172" s="190"/>
      <c r="F1172" s="190"/>
      <c r="G1172" s="190"/>
      <c r="H1172" s="190"/>
      <c r="I1172" s="190"/>
      <c r="J1172" s="190"/>
      <c r="K1172" s="190"/>
      <c r="L1172" s="190"/>
      <c r="M1172" s="190"/>
      <c r="N1172" s="220"/>
      <c r="O1172" s="220"/>
      <c r="P1172" s="220"/>
      <c r="R1172" s="210"/>
      <c r="S1172" s="210"/>
      <c r="T1172" s="210"/>
      <c r="U1172" s="210"/>
      <c r="X1172" s="210"/>
      <c r="Y1172" s="210"/>
      <c r="Z1172" s="210"/>
      <c r="AA1172" s="210"/>
      <c r="AB1172" s="210"/>
      <c r="AC1172" s="210"/>
      <c r="AD1172" s="210"/>
      <c r="AE1172" s="210"/>
      <c r="AF1172" s="210"/>
      <c r="AG1172" s="210"/>
      <c r="AH1172" s="210"/>
      <c r="AI1172" s="210"/>
      <c r="AJ1172" s="210"/>
      <c r="AK1172" s="210"/>
      <c r="AL1172" s="210"/>
      <c r="AM1172" s="210"/>
      <c r="AN1172" s="210"/>
      <c r="AO1172" s="210"/>
      <c r="AP1172" s="210"/>
      <c r="AQ1172" s="210"/>
    </row>
    <row r="1173">
      <c r="A1173" s="190"/>
      <c r="B1173" s="190"/>
      <c r="C1173" s="190"/>
      <c r="D1173" s="190"/>
      <c r="E1173" s="190"/>
      <c r="F1173" s="190"/>
      <c r="G1173" s="190"/>
      <c r="H1173" s="190"/>
      <c r="I1173" s="190"/>
      <c r="J1173" s="190"/>
      <c r="K1173" s="190"/>
      <c r="L1173" s="190"/>
      <c r="M1173" s="190"/>
      <c r="N1173" s="220"/>
      <c r="O1173" s="220"/>
      <c r="P1173" s="220"/>
      <c r="R1173" s="210"/>
      <c r="S1173" s="210"/>
      <c r="T1173" s="210"/>
      <c r="U1173" s="210"/>
      <c r="X1173" s="210"/>
      <c r="Y1173" s="210"/>
      <c r="Z1173" s="210"/>
      <c r="AA1173" s="210"/>
      <c r="AB1173" s="210"/>
      <c r="AC1173" s="210"/>
      <c r="AD1173" s="210"/>
      <c r="AE1173" s="210"/>
      <c r="AF1173" s="210"/>
      <c r="AG1173" s="210"/>
      <c r="AH1173" s="210"/>
      <c r="AI1173" s="210"/>
      <c r="AJ1173" s="210"/>
      <c r="AK1173" s="210"/>
      <c r="AL1173" s="210"/>
      <c r="AM1173" s="210"/>
      <c r="AN1173" s="210"/>
      <c r="AO1173" s="210"/>
      <c r="AP1173" s="210"/>
      <c r="AQ1173" s="210"/>
    </row>
    <row r="1174">
      <c r="A1174" s="190"/>
      <c r="B1174" s="190"/>
      <c r="C1174" s="190"/>
      <c r="D1174" s="190"/>
      <c r="E1174" s="190"/>
      <c r="F1174" s="190"/>
      <c r="G1174" s="190"/>
      <c r="H1174" s="190"/>
      <c r="I1174" s="190"/>
      <c r="J1174" s="190"/>
      <c r="K1174" s="190"/>
      <c r="L1174" s="190"/>
      <c r="M1174" s="190"/>
      <c r="N1174" s="220"/>
      <c r="O1174" s="220"/>
      <c r="P1174" s="220"/>
      <c r="R1174" s="210"/>
      <c r="S1174" s="210"/>
      <c r="T1174" s="210"/>
      <c r="U1174" s="210"/>
      <c r="X1174" s="210"/>
      <c r="Y1174" s="210"/>
      <c r="Z1174" s="210"/>
      <c r="AA1174" s="210"/>
      <c r="AB1174" s="210"/>
      <c r="AC1174" s="210"/>
      <c r="AD1174" s="210"/>
      <c r="AE1174" s="210"/>
      <c r="AF1174" s="210"/>
      <c r="AG1174" s="210"/>
      <c r="AH1174" s="210"/>
      <c r="AI1174" s="210"/>
      <c r="AJ1174" s="210"/>
      <c r="AK1174" s="210"/>
      <c r="AL1174" s="210"/>
      <c r="AM1174" s="210"/>
      <c r="AN1174" s="210"/>
      <c r="AO1174" s="210"/>
      <c r="AP1174" s="210"/>
      <c r="AQ1174" s="210"/>
    </row>
    <row r="1175">
      <c r="A1175" s="190"/>
      <c r="B1175" s="190"/>
      <c r="C1175" s="190"/>
      <c r="D1175" s="190"/>
      <c r="E1175" s="190"/>
      <c r="F1175" s="190"/>
      <c r="G1175" s="190"/>
      <c r="H1175" s="190"/>
      <c r="I1175" s="190"/>
      <c r="J1175" s="190"/>
      <c r="K1175" s="190"/>
      <c r="L1175" s="190"/>
      <c r="M1175" s="190"/>
      <c r="N1175" s="220"/>
      <c r="O1175" s="220"/>
      <c r="P1175" s="220"/>
      <c r="R1175" s="210"/>
      <c r="S1175" s="210"/>
      <c r="T1175" s="210"/>
      <c r="U1175" s="210"/>
      <c r="X1175" s="210"/>
      <c r="Y1175" s="210"/>
      <c r="Z1175" s="210"/>
      <c r="AA1175" s="210"/>
      <c r="AB1175" s="210"/>
      <c r="AC1175" s="210"/>
      <c r="AD1175" s="210"/>
      <c r="AE1175" s="210"/>
      <c r="AF1175" s="210"/>
      <c r="AG1175" s="210"/>
      <c r="AH1175" s="210"/>
      <c r="AI1175" s="210"/>
      <c r="AJ1175" s="210"/>
      <c r="AK1175" s="210"/>
      <c r="AL1175" s="210"/>
      <c r="AM1175" s="210"/>
      <c r="AN1175" s="210"/>
      <c r="AO1175" s="210"/>
      <c r="AP1175" s="210"/>
      <c r="AQ1175" s="210"/>
    </row>
    <row r="1176">
      <c r="A1176" s="190"/>
      <c r="B1176" s="190"/>
      <c r="C1176" s="190"/>
      <c r="D1176" s="190"/>
      <c r="E1176" s="190"/>
      <c r="F1176" s="190"/>
      <c r="G1176" s="190"/>
      <c r="H1176" s="190"/>
      <c r="I1176" s="190"/>
      <c r="J1176" s="190"/>
      <c r="K1176" s="190"/>
      <c r="L1176" s="190"/>
      <c r="M1176" s="190"/>
      <c r="N1176" s="220"/>
      <c r="O1176" s="220"/>
      <c r="P1176" s="220"/>
      <c r="R1176" s="210"/>
      <c r="S1176" s="210"/>
      <c r="T1176" s="210"/>
      <c r="U1176" s="210"/>
      <c r="X1176" s="210"/>
      <c r="Y1176" s="210"/>
      <c r="Z1176" s="210"/>
      <c r="AA1176" s="210"/>
      <c r="AB1176" s="210"/>
      <c r="AC1176" s="210"/>
      <c r="AD1176" s="210"/>
      <c r="AE1176" s="210"/>
      <c r="AF1176" s="210"/>
      <c r="AG1176" s="210"/>
      <c r="AH1176" s="210"/>
      <c r="AI1176" s="210"/>
      <c r="AJ1176" s="210"/>
      <c r="AK1176" s="210"/>
      <c r="AL1176" s="210"/>
      <c r="AM1176" s="210"/>
      <c r="AN1176" s="210"/>
      <c r="AO1176" s="210"/>
      <c r="AP1176" s="210"/>
      <c r="AQ1176" s="210"/>
    </row>
    <row r="1177">
      <c r="A1177" s="190"/>
      <c r="B1177" s="190"/>
      <c r="C1177" s="190"/>
      <c r="D1177" s="190"/>
      <c r="E1177" s="190"/>
      <c r="F1177" s="190"/>
      <c r="G1177" s="190"/>
      <c r="H1177" s="190"/>
      <c r="I1177" s="190"/>
      <c r="J1177" s="190"/>
      <c r="K1177" s="190"/>
      <c r="L1177" s="190"/>
      <c r="M1177" s="190"/>
      <c r="N1177" s="220"/>
      <c r="O1177" s="220"/>
      <c r="P1177" s="220"/>
      <c r="R1177" s="210"/>
      <c r="S1177" s="210"/>
      <c r="T1177" s="210"/>
      <c r="U1177" s="210"/>
      <c r="X1177" s="210"/>
      <c r="Y1177" s="210"/>
      <c r="Z1177" s="210"/>
      <c r="AA1177" s="210"/>
      <c r="AB1177" s="210"/>
      <c r="AC1177" s="210"/>
      <c r="AD1177" s="210"/>
      <c r="AE1177" s="210"/>
      <c r="AF1177" s="210"/>
      <c r="AG1177" s="210"/>
      <c r="AH1177" s="210"/>
      <c r="AI1177" s="210"/>
      <c r="AJ1177" s="210"/>
      <c r="AK1177" s="210"/>
      <c r="AL1177" s="210"/>
      <c r="AM1177" s="210"/>
      <c r="AN1177" s="210"/>
      <c r="AO1177" s="210"/>
      <c r="AP1177" s="210"/>
      <c r="AQ1177" s="210"/>
    </row>
    <row r="1178">
      <c r="A1178" s="190"/>
      <c r="B1178" s="190"/>
      <c r="C1178" s="190"/>
      <c r="D1178" s="190"/>
      <c r="E1178" s="190"/>
      <c r="F1178" s="190"/>
      <c r="G1178" s="190"/>
      <c r="H1178" s="190"/>
      <c r="I1178" s="190"/>
      <c r="J1178" s="190"/>
      <c r="K1178" s="190"/>
      <c r="L1178" s="190"/>
      <c r="M1178" s="190"/>
      <c r="N1178" s="220"/>
      <c r="O1178" s="220"/>
      <c r="P1178" s="220"/>
      <c r="R1178" s="210"/>
      <c r="S1178" s="210"/>
      <c r="T1178" s="210"/>
      <c r="U1178" s="210"/>
      <c r="X1178" s="210"/>
      <c r="Y1178" s="210"/>
      <c r="Z1178" s="210"/>
      <c r="AA1178" s="210"/>
      <c r="AB1178" s="210"/>
      <c r="AC1178" s="210"/>
      <c r="AD1178" s="210"/>
      <c r="AE1178" s="210"/>
      <c r="AF1178" s="210"/>
      <c r="AG1178" s="210"/>
      <c r="AH1178" s="210"/>
      <c r="AI1178" s="210"/>
      <c r="AJ1178" s="210"/>
      <c r="AK1178" s="210"/>
      <c r="AL1178" s="210"/>
      <c r="AM1178" s="210"/>
      <c r="AN1178" s="210"/>
      <c r="AO1178" s="210"/>
      <c r="AP1178" s="210"/>
      <c r="AQ1178" s="210"/>
    </row>
    <row r="1179">
      <c r="A1179" s="190"/>
      <c r="B1179" s="190"/>
      <c r="C1179" s="190"/>
      <c r="D1179" s="190"/>
      <c r="E1179" s="190"/>
      <c r="F1179" s="190"/>
      <c r="G1179" s="190"/>
      <c r="H1179" s="190"/>
      <c r="I1179" s="190"/>
      <c r="J1179" s="190"/>
      <c r="K1179" s="190"/>
      <c r="L1179" s="190"/>
      <c r="M1179" s="190"/>
      <c r="N1179" s="220"/>
      <c r="O1179" s="220"/>
      <c r="P1179" s="220"/>
      <c r="R1179" s="210"/>
      <c r="S1179" s="210"/>
      <c r="T1179" s="210"/>
      <c r="U1179" s="210"/>
      <c r="X1179" s="210"/>
      <c r="Y1179" s="210"/>
      <c r="Z1179" s="210"/>
      <c r="AA1179" s="210"/>
      <c r="AB1179" s="210"/>
      <c r="AC1179" s="210"/>
      <c r="AD1179" s="210"/>
      <c r="AE1179" s="210"/>
      <c r="AF1179" s="210"/>
      <c r="AG1179" s="210"/>
      <c r="AH1179" s="210"/>
      <c r="AI1179" s="210"/>
      <c r="AJ1179" s="210"/>
      <c r="AK1179" s="210"/>
      <c r="AL1179" s="210"/>
      <c r="AM1179" s="210"/>
      <c r="AN1179" s="210"/>
      <c r="AO1179" s="210"/>
      <c r="AP1179" s="210"/>
      <c r="AQ1179" s="210"/>
    </row>
    <row r="1180">
      <c r="A1180" s="190"/>
      <c r="B1180" s="190"/>
      <c r="C1180" s="190"/>
      <c r="D1180" s="190"/>
      <c r="E1180" s="190"/>
      <c r="F1180" s="190"/>
      <c r="G1180" s="190"/>
      <c r="H1180" s="190"/>
      <c r="I1180" s="190"/>
      <c r="J1180" s="190"/>
      <c r="K1180" s="190"/>
      <c r="L1180" s="190"/>
      <c r="M1180" s="190"/>
      <c r="N1180" s="220"/>
      <c r="O1180" s="220"/>
      <c r="P1180" s="220"/>
      <c r="R1180" s="210"/>
      <c r="S1180" s="210"/>
      <c r="T1180" s="210"/>
      <c r="U1180" s="210"/>
      <c r="X1180" s="210"/>
      <c r="Y1180" s="210"/>
      <c r="Z1180" s="210"/>
      <c r="AA1180" s="210"/>
      <c r="AB1180" s="210"/>
      <c r="AC1180" s="210"/>
      <c r="AD1180" s="210"/>
      <c r="AE1180" s="210"/>
      <c r="AF1180" s="210"/>
      <c r="AG1180" s="210"/>
      <c r="AH1180" s="210"/>
      <c r="AI1180" s="210"/>
      <c r="AJ1180" s="210"/>
      <c r="AK1180" s="210"/>
      <c r="AL1180" s="210"/>
      <c r="AM1180" s="210"/>
      <c r="AN1180" s="210"/>
      <c r="AO1180" s="210"/>
      <c r="AP1180" s="210"/>
      <c r="AQ1180" s="210"/>
    </row>
    <row r="1181">
      <c r="A1181" s="190"/>
      <c r="B1181" s="190"/>
      <c r="C1181" s="190"/>
      <c r="D1181" s="190"/>
      <c r="E1181" s="190"/>
      <c r="F1181" s="190"/>
      <c r="G1181" s="190"/>
      <c r="H1181" s="190"/>
      <c r="I1181" s="190"/>
      <c r="J1181" s="190"/>
      <c r="K1181" s="190"/>
      <c r="L1181" s="190"/>
      <c r="M1181" s="190"/>
      <c r="N1181" s="220"/>
      <c r="O1181" s="220"/>
      <c r="P1181" s="220"/>
      <c r="R1181" s="210"/>
      <c r="S1181" s="210"/>
      <c r="T1181" s="210"/>
      <c r="U1181" s="210"/>
      <c r="X1181" s="210"/>
      <c r="Y1181" s="210"/>
      <c r="Z1181" s="210"/>
      <c r="AA1181" s="210"/>
      <c r="AB1181" s="210"/>
      <c r="AC1181" s="210"/>
      <c r="AD1181" s="210"/>
      <c r="AE1181" s="210"/>
      <c r="AF1181" s="210"/>
      <c r="AG1181" s="210"/>
      <c r="AH1181" s="210"/>
      <c r="AI1181" s="210"/>
      <c r="AJ1181" s="210"/>
      <c r="AK1181" s="210"/>
      <c r="AL1181" s="210"/>
      <c r="AM1181" s="210"/>
      <c r="AN1181" s="210"/>
      <c r="AO1181" s="210"/>
      <c r="AP1181" s="210"/>
      <c r="AQ1181" s="210"/>
    </row>
    <row r="1182">
      <c r="A1182" s="190"/>
      <c r="B1182" s="190"/>
      <c r="C1182" s="190"/>
      <c r="D1182" s="190"/>
      <c r="E1182" s="190"/>
      <c r="F1182" s="190"/>
      <c r="G1182" s="190"/>
      <c r="H1182" s="190"/>
      <c r="I1182" s="190"/>
      <c r="J1182" s="190"/>
      <c r="K1182" s="190"/>
      <c r="L1182" s="190"/>
      <c r="M1182" s="190"/>
      <c r="N1182" s="220"/>
      <c r="O1182" s="220"/>
      <c r="P1182" s="220"/>
      <c r="R1182" s="210"/>
      <c r="S1182" s="210"/>
      <c r="T1182" s="210"/>
      <c r="U1182" s="210"/>
      <c r="X1182" s="210"/>
      <c r="Y1182" s="210"/>
      <c r="Z1182" s="210"/>
      <c r="AA1182" s="210"/>
      <c r="AB1182" s="210"/>
      <c r="AC1182" s="210"/>
      <c r="AD1182" s="210"/>
      <c r="AE1182" s="210"/>
      <c r="AF1182" s="210"/>
      <c r="AG1182" s="210"/>
      <c r="AH1182" s="210"/>
      <c r="AI1182" s="210"/>
      <c r="AJ1182" s="210"/>
      <c r="AK1182" s="210"/>
      <c r="AL1182" s="210"/>
      <c r="AM1182" s="210"/>
      <c r="AN1182" s="210"/>
      <c r="AO1182" s="210"/>
      <c r="AP1182" s="210"/>
      <c r="AQ1182" s="210"/>
    </row>
    <row r="1183">
      <c r="A1183" s="190"/>
      <c r="B1183" s="190"/>
      <c r="C1183" s="190"/>
      <c r="D1183" s="190"/>
      <c r="E1183" s="190"/>
      <c r="F1183" s="190"/>
      <c r="G1183" s="190"/>
      <c r="H1183" s="190"/>
      <c r="I1183" s="190"/>
      <c r="J1183" s="190"/>
      <c r="K1183" s="190"/>
      <c r="L1183" s="190"/>
      <c r="M1183" s="190"/>
      <c r="N1183" s="220"/>
      <c r="O1183" s="220"/>
      <c r="P1183" s="220"/>
      <c r="R1183" s="210"/>
      <c r="S1183" s="210"/>
      <c r="T1183" s="210"/>
      <c r="U1183" s="210"/>
      <c r="X1183" s="210"/>
      <c r="Y1183" s="210"/>
      <c r="Z1183" s="210"/>
      <c r="AA1183" s="210"/>
      <c r="AB1183" s="210"/>
      <c r="AC1183" s="210"/>
      <c r="AD1183" s="210"/>
      <c r="AE1183" s="210"/>
      <c r="AF1183" s="210"/>
      <c r="AG1183" s="210"/>
      <c r="AH1183" s="210"/>
      <c r="AI1183" s="210"/>
      <c r="AJ1183" s="210"/>
      <c r="AK1183" s="210"/>
      <c r="AL1183" s="210"/>
      <c r="AM1183" s="210"/>
      <c r="AN1183" s="210"/>
      <c r="AO1183" s="210"/>
      <c r="AP1183" s="210"/>
      <c r="AQ1183" s="210"/>
    </row>
    <row r="1184">
      <c r="A1184" s="190"/>
      <c r="B1184" s="190"/>
      <c r="C1184" s="190"/>
      <c r="D1184" s="190"/>
      <c r="E1184" s="190"/>
      <c r="F1184" s="190"/>
      <c r="G1184" s="190"/>
      <c r="H1184" s="190"/>
      <c r="I1184" s="190"/>
      <c r="J1184" s="190"/>
      <c r="K1184" s="190"/>
      <c r="L1184" s="190"/>
      <c r="M1184" s="190"/>
      <c r="N1184" s="220"/>
      <c r="O1184" s="220"/>
      <c r="P1184" s="220"/>
      <c r="R1184" s="210"/>
      <c r="S1184" s="210"/>
      <c r="T1184" s="210"/>
      <c r="U1184" s="210"/>
      <c r="X1184" s="210"/>
      <c r="Y1184" s="210"/>
      <c r="Z1184" s="210"/>
      <c r="AA1184" s="210"/>
      <c r="AB1184" s="210"/>
      <c r="AC1184" s="210"/>
      <c r="AD1184" s="210"/>
      <c r="AE1184" s="210"/>
      <c r="AF1184" s="210"/>
      <c r="AG1184" s="210"/>
      <c r="AH1184" s="210"/>
      <c r="AI1184" s="210"/>
      <c r="AJ1184" s="210"/>
      <c r="AK1184" s="210"/>
      <c r="AL1184" s="210"/>
      <c r="AM1184" s="210"/>
      <c r="AN1184" s="210"/>
      <c r="AO1184" s="210"/>
      <c r="AP1184" s="210"/>
      <c r="AQ1184" s="210"/>
    </row>
    <row r="1185">
      <c r="A1185" s="190"/>
      <c r="B1185" s="190"/>
      <c r="C1185" s="190"/>
      <c r="D1185" s="190"/>
      <c r="E1185" s="190"/>
      <c r="F1185" s="190"/>
      <c r="G1185" s="190"/>
      <c r="H1185" s="190"/>
      <c r="I1185" s="190"/>
      <c r="J1185" s="190"/>
      <c r="K1185" s="190"/>
      <c r="L1185" s="190"/>
      <c r="M1185" s="190"/>
      <c r="N1185" s="220"/>
      <c r="O1185" s="220"/>
      <c r="P1185" s="220"/>
      <c r="R1185" s="210"/>
      <c r="S1185" s="210"/>
      <c r="T1185" s="210"/>
      <c r="U1185" s="210"/>
      <c r="X1185" s="210"/>
      <c r="Y1185" s="210"/>
      <c r="Z1185" s="210"/>
      <c r="AA1185" s="210"/>
      <c r="AB1185" s="210"/>
      <c r="AC1185" s="210"/>
      <c r="AD1185" s="210"/>
      <c r="AE1185" s="210"/>
      <c r="AF1185" s="210"/>
      <c r="AG1185" s="210"/>
      <c r="AH1185" s="210"/>
      <c r="AI1185" s="210"/>
      <c r="AJ1185" s="210"/>
      <c r="AK1185" s="210"/>
      <c r="AL1185" s="210"/>
      <c r="AM1185" s="210"/>
      <c r="AN1185" s="210"/>
      <c r="AO1185" s="210"/>
      <c r="AP1185" s="210"/>
      <c r="AQ1185" s="210"/>
    </row>
    <row r="1186">
      <c r="A1186" s="190"/>
      <c r="B1186" s="190"/>
      <c r="C1186" s="190"/>
      <c r="D1186" s="190"/>
      <c r="E1186" s="190"/>
      <c r="F1186" s="190"/>
      <c r="G1186" s="190"/>
      <c r="H1186" s="190"/>
      <c r="I1186" s="190"/>
      <c r="J1186" s="190"/>
      <c r="K1186" s="190"/>
      <c r="L1186" s="190"/>
      <c r="M1186" s="190"/>
      <c r="N1186" s="220"/>
      <c r="O1186" s="220"/>
      <c r="P1186" s="220"/>
      <c r="R1186" s="210"/>
      <c r="S1186" s="210"/>
      <c r="T1186" s="210"/>
      <c r="U1186" s="210"/>
      <c r="X1186" s="210"/>
      <c r="Y1186" s="210"/>
      <c r="Z1186" s="210"/>
      <c r="AA1186" s="210"/>
      <c r="AB1186" s="210"/>
      <c r="AC1186" s="210"/>
      <c r="AD1186" s="210"/>
      <c r="AE1186" s="210"/>
      <c r="AF1186" s="210"/>
      <c r="AG1186" s="210"/>
      <c r="AH1186" s="210"/>
      <c r="AI1186" s="210"/>
      <c r="AJ1186" s="210"/>
      <c r="AK1186" s="210"/>
      <c r="AL1186" s="210"/>
      <c r="AM1186" s="210"/>
      <c r="AN1186" s="210"/>
      <c r="AO1186" s="210"/>
      <c r="AP1186" s="210"/>
      <c r="AQ1186" s="210"/>
    </row>
    <row r="1187">
      <c r="A1187" s="190"/>
      <c r="B1187" s="190"/>
      <c r="C1187" s="190"/>
      <c r="D1187" s="190"/>
      <c r="E1187" s="190"/>
      <c r="F1187" s="190"/>
      <c r="G1187" s="190"/>
      <c r="H1187" s="190"/>
      <c r="I1187" s="190"/>
      <c r="J1187" s="190"/>
      <c r="K1187" s="190"/>
      <c r="L1187" s="190"/>
      <c r="M1187" s="190"/>
      <c r="N1187" s="220"/>
      <c r="O1187" s="220"/>
      <c r="P1187" s="220"/>
      <c r="R1187" s="210"/>
      <c r="S1187" s="210"/>
      <c r="T1187" s="210"/>
      <c r="U1187" s="210"/>
      <c r="X1187" s="210"/>
      <c r="Y1187" s="210"/>
      <c r="Z1187" s="210"/>
      <c r="AA1187" s="210"/>
      <c r="AB1187" s="210"/>
      <c r="AC1187" s="210"/>
      <c r="AD1187" s="210"/>
      <c r="AE1187" s="210"/>
      <c r="AF1187" s="210"/>
      <c r="AG1187" s="210"/>
      <c r="AH1187" s="210"/>
      <c r="AI1187" s="210"/>
      <c r="AJ1187" s="210"/>
      <c r="AK1187" s="210"/>
      <c r="AL1187" s="210"/>
      <c r="AM1187" s="210"/>
      <c r="AN1187" s="210"/>
      <c r="AO1187" s="210"/>
      <c r="AP1187" s="210"/>
      <c r="AQ1187" s="210"/>
    </row>
    <row r="1188">
      <c r="A1188" s="190"/>
      <c r="B1188" s="190"/>
      <c r="C1188" s="190"/>
      <c r="D1188" s="190"/>
      <c r="E1188" s="190"/>
      <c r="F1188" s="190"/>
      <c r="G1188" s="190"/>
      <c r="H1188" s="190"/>
      <c r="I1188" s="190"/>
      <c r="J1188" s="190"/>
      <c r="K1188" s="190"/>
      <c r="L1188" s="190"/>
      <c r="M1188" s="190"/>
      <c r="N1188" s="220"/>
      <c r="O1188" s="220"/>
      <c r="P1188" s="220"/>
      <c r="R1188" s="210"/>
      <c r="S1188" s="210"/>
      <c r="T1188" s="210"/>
      <c r="U1188" s="210"/>
      <c r="X1188" s="210"/>
      <c r="Y1188" s="210"/>
      <c r="Z1188" s="210"/>
      <c r="AA1188" s="210"/>
      <c r="AB1188" s="210"/>
      <c r="AC1188" s="210"/>
      <c r="AD1188" s="210"/>
      <c r="AE1188" s="210"/>
      <c r="AF1188" s="210"/>
      <c r="AG1188" s="210"/>
      <c r="AH1188" s="210"/>
      <c r="AI1188" s="210"/>
      <c r="AJ1188" s="210"/>
      <c r="AK1188" s="210"/>
      <c r="AL1188" s="210"/>
      <c r="AM1188" s="210"/>
      <c r="AN1188" s="210"/>
      <c r="AO1188" s="210"/>
      <c r="AP1188" s="210"/>
      <c r="AQ1188" s="210"/>
    </row>
    <row r="1189">
      <c r="A1189" s="190"/>
      <c r="B1189" s="190"/>
      <c r="C1189" s="190"/>
      <c r="D1189" s="190"/>
      <c r="E1189" s="190"/>
      <c r="F1189" s="190"/>
      <c r="G1189" s="190"/>
      <c r="H1189" s="190"/>
      <c r="I1189" s="190"/>
      <c r="J1189" s="190"/>
      <c r="K1189" s="190"/>
      <c r="L1189" s="190"/>
      <c r="M1189" s="190"/>
      <c r="N1189" s="220"/>
      <c r="O1189" s="220"/>
      <c r="P1189" s="220"/>
      <c r="R1189" s="210"/>
      <c r="S1189" s="210"/>
      <c r="T1189" s="210"/>
      <c r="U1189" s="210"/>
      <c r="X1189" s="210"/>
      <c r="Y1189" s="210"/>
      <c r="Z1189" s="210"/>
      <c r="AA1189" s="210"/>
      <c r="AB1189" s="210"/>
      <c r="AC1189" s="210"/>
      <c r="AD1189" s="210"/>
      <c r="AE1189" s="210"/>
      <c r="AF1189" s="210"/>
      <c r="AG1189" s="210"/>
      <c r="AH1189" s="210"/>
      <c r="AI1189" s="210"/>
      <c r="AJ1189" s="210"/>
      <c r="AK1189" s="210"/>
      <c r="AL1189" s="210"/>
      <c r="AM1189" s="210"/>
      <c r="AN1189" s="210"/>
      <c r="AO1189" s="210"/>
      <c r="AP1189" s="210"/>
      <c r="AQ1189" s="210"/>
    </row>
    <row r="1190">
      <c r="A1190" s="190"/>
      <c r="B1190" s="190"/>
      <c r="C1190" s="190"/>
      <c r="D1190" s="190"/>
      <c r="E1190" s="190"/>
      <c r="F1190" s="190"/>
      <c r="G1190" s="190"/>
      <c r="H1190" s="190"/>
      <c r="I1190" s="190"/>
      <c r="J1190" s="190"/>
      <c r="K1190" s="190"/>
      <c r="L1190" s="190"/>
      <c r="M1190" s="190"/>
      <c r="N1190" s="220"/>
      <c r="O1190" s="220"/>
      <c r="P1190" s="220"/>
      <c r="R1190" s="210"/>
      <c r="S1190" s="210"/>
      <c r="T1190" s="210"/>
      <c r="U1190" s="210"/>
      <c r="X1190" s="210"/>
      <c r="Y1190" s="210"/>
      <c r="Z1190" s="210"/>
      <c r="AA1190" s="210"/>
      <c r="AB1190" s="210"/>
      <c r="AC1190" s="210"/>
      <c r="AD1190" s="210"/>
      <c r="AE1190" s="210"/>
      <c r="AF1190" s="210"/>
      <c r="AG1190" s="210"/>
      <c r="AH1190" s="210"/>
      <c r="AI1190" s="210"/>
      <c r="AJ1190" s="210"/>
      <c r="AK1190" s="210"/>
      <c r="AL1190" s="210"/>
      <c r="AM1190" s="210"/>
      <c r="AN1190" s="210"/>
      <c r="AO1190" s="210"/>
      <c r="AP1190" s="210"/>
      <c r="AQ1190" s="210"/>
    </row>
    <row r="1191">
      <c r="A1191" s="190"/>
      <c r="B1191" s="190"/>
      <c r="C1191" s="190"/>
      <c r="D1191" s="190"/>
      <c r="E1191" s="190"/>
      <c r="F1191" s="190"/>
      <c r="G1191" s="190"/>
      <c r="H1191" s="190"/>
      <c r="I1191" s="190"/>
      <c r="J1191" s="190"/>
      <c r="K1191" s="190"/>
      <c r="L1191" s="190"/>
      <c r="M1191" s="190"/>
      <c r="N1191" s="220"/>
      <c r="O1191" s="220"/>
      <c r="P1191" s="220"/>
      <c r="R1191" s="210"/>
      <c r="S1191" s="210"/>
      <c r="T1191" s="210"/>
      <c r="U1191" s="210"/>
      <c r="X1191" s="210"/>
      <c r="Y1191" s="210"/>
      <c r="Z1191" s="210"/>
      <c r="AA1191" s="210"/>
      <c r="AB1191" s="210"/>
      <c r="AC1191" s="210"/>
      <c r="AD1191" s="210"/>
      <c r="AE1191" s="210"/>
      <c r="AF1191" s="210"/>
      <c r="AG1191" s="210"/>
      <c r="AH1191" s="210"/>
      <c r="AI1191" s="210"/>
      <c r="AJ1191" s="210"/>
      <c r="AK1191" s="210"/>
      <c r="AL1191" s="210"/>
      <c r="AM1191" s="210"/>
      <c r="AN1191" s="210"/>
      <c r="AO1191" s="210"/>
      <c r="AP1191" s="210"/>
      <c r="AQ1191" s="210"/>
    </row>
    <row r="1192">
      <c r="A1192" s="190"/>
      <c r="B1192" s="190"/>
      <c r="C1192" s="190"/>
      <c r="D1192" s="190"/>
      <c r="E1192" s="190"/>
      <c r="F1192" s="190"/>
      <c r="G1192" s="190"/>
      <c r="H1192" s="190"/>
      <c r="I1192" s="190"/>
      <c r="J1192" s="190"/>
      <c r="K1192" s="190"/>
      <c r="L1192" s="190"/>
      <c r="M1192" s="190"/>
      <c r="N1192" s="220"/>
      <c r="O1192" s="220"/>
      <c r="P1192" s="220"/>
      <c r="R1192" s="210"/>
      <c r="S1192" s="210"/>
      <c r="T1192" s="210"/>
      <c r="U1192" s="210"/>
      <c r="X1192" s="210"/>
      <c r="Y1192" s="210"/>
      <c r="Z1192" s="210"/>
      <c r="AA1192" s="210"/>
      <c r="AB1192" s="210"/>
      <c r="AC1192" s="210"/>
      <c r="AD1192" s="210"/>
      <c r="AE1192" s="210"/>
      <c r="AF1192" s="210"/>
      <c r="AG1192" s="210"/>
      <c r="AH1192" s="210"/>
      <c r="AI1192" s="210"/>
      <c r="AJ1192" s="210"/>
      <c r="AK1192" s="210"/>
      <c r="AL1192" s="210"/>
      <c r="AM1192" s="210"/>
      <c r="AN1192" s="210"/>
      <c r="AO1192" s="210"/>
      <c r="AP1192" s="210"/>
      <c r="AQ1192" s="210"/>
    </row>
    <row r="1193">
      <c r="A1193" s="190"/>
      <c r="B1193" s="190"/>
      <c r="C1193" s="190"/>
      <c r="D1193" s="190"/>
      <c r="E1193" s="190"/>
      <c r="F1193" s="190"/>
      <c r="G1193" s="190"/>
      <c r="H1193" s="190"/>
      <c r="I1193" s="190"/>
      <c r="J1193" s="190"/>
      <c r="K1193" s="190"/>
      <c r="L1193" s="190"/>
      <c r="M1193" s="190"/>
      <c r="N1193" s="220"/>
      <c r="O1193" s="220"/>
      <c r="P1193" s="220"/>
      <c r="R1193" s="210"/>
      <c r="S1193" s="210"/>
      <c r="T1193" s="210"/>
      <c r="U1193" s="210"/>
      <c r="X1193" s="210"/>
      <c r="Y1193" s="210"/>
      <c r="Z1193" s="210"/>
      <c r="AA1193" s="210"/>
      <c r="AB1193" s="210"/>
      <c r="AC1193" s="210"/>
      <c r="AD1193" s="210"/>
      <c r="AE1193" s="210"/>
      <c r="AF1193" s="210"/>
      <c r="AG1193" s="210"/>
      <c r="AH1193" s="210"/>
      <c r="AI1193" s="210"/>
      <c r="AJ1193" s="210"/>
      <c r="AK1193" s="210"/>
      <c r="AL1193" s="210"/>
      <c r="AM1193" s="210"/>
      <c r="AN1193" s="210"/>
      <c r="AO1193" s="210"/>
      <c r="AP1193" s="210"/>
      <c r="AQ1193" s="210"/>
    </row>
    <row r="1194">
      <c r="A1194" s="190"/>
      <c r="B1194" s="190"/>
      <c r="C1194" s="190"/>
      <c r="D1194" s="190"/>
      <c r="E1194" s="190"/>
      <c r="F1194" s="190"/>
      <c r="G1194" s="190"/>
      <c r="H1194" s="190"/>
      <c r="I1194" s="190"/>
      <c r="J1194" s="190"/>
      <c r="K1194" s="190"/>
      <c r="L1194" s="190"/>
      <c r="M1194" s="190"/>
      <c r="N1194" s="220"/>
      <c r="O1194" s="220"/>
      <c r="P1194" s="220"/>
      <c r="R1194" s="210"/>
      <c r="S1194" s="210"/>
      <c r="T1194" s="210"/>
      <c r="U1194" s="210"/>
      <c r="X1194" s="210"/>
      <c r="Y1194" s="210"/>
      <c r="Z1194" s="210"/>
      <c r="AA1194" s="210"/>
      <c r="AB1194" s="210"/>
      <c r="AC1194" s="210"/>
      <c r="AD1194" s="210"/>
      <c r="AE1194" s="210"/>
      <c r="AF1194" s="210"/>
      <c r="AG1194" s="210"/>
      <c r="AH1194" s="210"/>
      <c r="AI1194" s="210"/>
      <c r="AJ1194" s="210"/>
      <c r="AK1194" s="210"/>
      <c r="AL1194" s="210"/>
      <c r="AM1194" s="210"/>
      <c r="AN1194" s="210"/>
      <c r="AO1194" s="210"/>
      <c r="AP1194" s="210"/>
      <c r="AQ1194" s="210"/>
    </row>
    <row r="1195">
      <c r="A1195" s="190"/>
      <c r="B1195" s="190"/>
      <c r="C1195" s="190"/>
      <c r="D1195" s="190"/>
      <c r="E1195" s="190"/>
      <c r="F1195" s="190"/>
      <c r="G1195" s="190"/>
      <c r="H1195" s="190"/>
      <c r="I1195" s="190"/>
      <c r="J1195" s="190"/>
      <c r="K1195" s="190"/>
      <c r="L1195" s="190"/>
      <c r="M1195" s="190"/>
      <c r="N1195" s="220"/>
      <c r="O1195" s="220"/>
      <c r="P1195" s="220"/>
      <c r="R1195" s="210"/>
      <c r="S1195" s="210"/>
      <c r="T1195" s="210"/>
      <c r="U1195" s="210"/>
      <c r="X1195" s="210"/>
      <c r="Y1195" s="210"/>
      <c r="Z1195" s="210"/>
      <c r="AA1195" s="210"/>
      <c r="AB1195" s="210"/>
      <c r="AC1195" s="210"/>
      <c r="AD1195" s="210"/>
      <c r="AE1195" s="210"/>
      <c r="AF1195" s="210"/>
      <c r="AG1195" s="210"/>
      <c r="AH1195" s="210"/>
      <c r="AI1195" s="210"/>
      <c r="AJ1195" s="210"/>
      <c r="AK1195" s="210"/>
      <c r="AL1195" s="210"/>
      <c r="AM1195" s="210"/>
      <c r="AN1195" s="210"/>
      <c r="AO1195" s="210"/>
      <c r="AP1195" s="210"/>
      <c r="AQ1195" s="210"/>
    </row>
    <row r="1196">
      <c r="A1196" s="190"/>
      <c r="B1196" s="190"/>
      <c r="C1196" s="190"/>
      <c r="D1196" s="190"/>
      <c r="E1196" s="190"/>
      <c r="F1196" s="190"/>
      <c r="G1196" s="190"/>
      <c r="H1196" s="190"/>
      <c r="I1196" s="190"/>
      <c r="J1196" s="190"/>
      <c r="K1196" s="190"/>
      <c r="L1196" s="190"/>
      <c r="M1196" s="190"/>
      <c r="N1196" s="220"/>
      <c r="O1196" s="220"/>
      <c r="P1196" s="220"/>
      <c r="R1196" s="210"/>
      <c r="S1196" s="210"/>
      <c r="T1196" s="210"/>
      <c r="U1196" s="210"/>
      <c r="X1196" s="210"/>
      <c r="Y1196" s="210"/>
      <c r="Z1196" s="210"/>
      <c r="AA1196" s="210"/>
      <c r="AB1196" s="210"/>
      <c r="AC1196" s="210"/>
      <c r="AD1196" s="210"/>
      <c r="AE1196" s="210"/>
      <c r="AF1196" s="210"/>
      <c r="AG1196" s="210"/>
      <c r="AH1196" s="210"/>
      <c r="AI1196" s="210"/>
      <c r="AJ1196" s="210"/>
      <c r="AK1196" s="210"/>
      <c r="AL1196" s="210"/>
      <c r="AM1196" s="210"/>
      <c r="AN1196" s="210"/>
      <c r="AO1196" s="210"/>
      <c r="AP1196" s="210"/>
      <c r="AQ1196" s="210"/>
    </row>
    <row r="1197">
      <c r="A1197" s="190"/>
      <c r="B1197" s="190"/>
      <c r="C1197" s="190"/>
      <c r="D1197" s="190"/>
      <c r="E1197" s="190"/>
      <c r="F1197" s="190"/>
      <c r="G1197" s="190"/>
      <c r="H1197" s="190"/>
      <c r="I1197" s="190"/>
      <c r="J1197" s="190"/>
      <c r="K1197" s="190"/>
      <c r="L1197" s="190"/>
      <c r="M1197" s="190"/>
      <c r="N1197" s="220"/>
      <c r="O1197" s="220"/>
      <c r="P1197" s="220"/>
      <c r="R1197" s="210"/>
      <c r="S1197" s="210"/>
      <c r="T1197" s="210"/>
      <c r="U1197" s="210"/>
      <c r="X1197" s="210"/>
      <c r="Y1197" s="210"/>
      <c r="Z1197" s="210"/>
      <c r="AA1197" s="210"/>
      <c r="AB1197" s="210"/>
      <c r="AC1197" s="210"/>
      <c r="AD1197" s="210"/>
      <c r="AE1197" s="210"/>
      <c r="AF1197" s="210"/>
      <c r="AG1197" s="210"/>
      <c r="AH1197" s="210"/>
      <c r="AI1197" s="210"/>
      <c r="AJ1197" s="210"/>
      <c r="AK1197" s="210"/>
      <c r="AL1197" s="210"/>
      <c r="AM1197" s="210"/>
      <c r="AN1197" s="210"/>
      <c r="AO1197" s="210"/>
      <c r="AP1197" s="210"/>
      <c r="AQ1197" s="210"/>
    </row>
    <row r="1198">
      <c r="A1198" s="190"/>
      <c r="B1198" s="190"/>
      <c r="C1198" s="190"/>
      <c r="D1198" s="190"/>
      <c r="E1198" s="190"/>
      <c r="F1198" s="190"/>
      <c r="G1198" s="190"/>
      <c r="H1198" s="190"/>
      <c r="I1198" s="190"/>
      <c r="J1198" s="190"/>
      <c r="K1198" s="190"/>
      <c r="L1198" s="190"/>
      <c r="M1198" s="190"/>
      <c r="N1198" s="220"/>
      <c r="O1198" s="220"/>
      <c r="P1198" s="220"/>
      <c r="R1198" s="210"/>
      <c r="S1198" s="210"/>
      <c r="T1198" s="210"/>
      <c r="U1198" s="210"/>
      <c r="X1198" s="210"/>
      <c r="Y1198" s="210"/>
      <c r="Z1198" s="210"/>
      <c r="AA1198" s="210"/>
      <c r="AB1198" s="210"/>
      <c r="AC1198" s="210"/>
      <c r="AD1198" s="210"/>
      <c r="AE1198" s="210"/>
      <c r="AF1198" s="210"/>
      <c r="AG1198" s="210"/>
      <c r="AH1198" s="210"/>
      <c r="AI1198" s="210"/>
      <c r="AJ1198" s="210"/>
      <c r="AK1198" s="210"/>
      <c r="AL1198" s="210"/>
      <c r="AM1198" s="210"/>
      <c r="AN1198" s="210"/>
      <c r="AO1198" s="210"/>
      <c r="AP1198" s="210"/>
      <c r="AQ1198" s="210"/>
    </row>
    <row r="1199">
      <c r="A1199" s="190"/>
      <c r="B1199" s="190"/>
      <c r="C1199" s="190"/>
      <c r="D1199" s="190"/>
      <c r="E1199" s="190"/>
      <c r="F1199" s="190"/>
      <c r="G1199" s="190"/>
      <c r="H1199" s="190"/>
      <c r="I1199" s="190"/>
      <c r="J1199" s="190"/>
      <c r="K1199" s="190"/>
      <c r="L1199" s="190"/>
      <c r="M1199" s="190"/>
      <c r="N1199" s="220"/>
      <c r="O1199" s="220"/>
      <c r="P1199" s="220"/>
      <c r="R1199" s="210"/>
      <c r="S1199" s="210"/>
      <c r="T1199" s="210"/>
      <c r="U1199" s="210"/>
      <c r="X1199" s="210"/>
      <c r="Y1199" s="210"/>
      <c r="Z1199" s="210"/>
      <c r="AA1199" s="210"/>
      <c r="AB1199" s="210"/>
      <c r="AC1199" s="210"/>
      <c r="AD1199" s="210"/>
      <c r="AE1199" s="210"/>
      <c r="AF1199" s="210"/>
      <c r="AG1199" s="210"/>
      <c r="AH1199" s="210"/>
      <c r="AI1199" s="210"/>
      <c r="AJ1199" s="210"/>
      <c r="AK1199" s="210"/>
      <c r="AL1199" s="210"/>
      <c r="AM1199" s="210"/>
      <c r="AN1199" s="210"/>
      <c r="AO1199" s="210"/>
      <c r="AP1199" s="210"/>
      <c r="AQ1199" s="210"/>
    </row>
    <row r="1200">
      <c r="A1200" s="190"/>
      <c r="B1200" s="190"/>
      <c r="C1200" s="190"/>
      <c r="D1200" s="190"/>
      <c r="E1200" s="190"/>
      <c r="F1200" s="190"/>
      <c r="G1200" s="190"/>
      <c r="H1200" s="190"/>
      <c r="I1200" s="190"/>
      <c r="J1200" s="190"/>
      <c r="K1200" s="190"/>
      <c r="L1200" s="190"/>
      <c r="M1200" s="190"/>
      <c r="N1200" s="220"/>
      <c r="O1200" s="220"/>
      <c r="P1200" s="220"/>
      <c r="R1200" s="210"/>
      <c r="S1200" s="210"/>
      <c r="T1200" s="210"/>
      <c r="U1200" s="210"/>
      <c r="X1200" s="210"/>
      <c r="Y1200" s="210"/>
      <c r="Z1200" s="210"/>
      <c r="AA1200" s="210"/>
      <c r="AB1200" s="210"/>
      <c r="AC1200" s="210"/>
      <c r="AD1200" s="210"/>
      <c r="AE1200" s="210"/>
      <c r="AF1200" s="210"/>
      <c r="AG1200" s="210"/>
      <c r="AH1200" s="210"/>
      <c r="AI1200" s="210"/>
      <c r="AJ1200" s="210"/>
      <c r="AK1200" s="210"/>
      <c r="AL1200" s="210"/>
      <c r="AM1200" s="210"/>
      <c r="AN1200" s="210"/>
      <c r="AO1200" s="210"/>
      <c r="AP1200" s="210"/>
      <c r="AQ1200" s="210"/>
    </row>
    <row r="1201">
      <c r="A1201" s="190"/>
      <c r="B1201" s="190"/>
      <c r="C1201" s="190"/>
      <c r="D1201" s="190"/>
      <c r="E1201" s="190"/>
      <c r="F1201" s="190"/>
      <c r="G1201" s="190"/>
      <c r="H1201" s="190"/>
      <c r="I1201" s="190"/>
      <c r="J1201" s="190"/>
      <c r="K1201" s="190"/>
      <c r="L1201" s="190"/>
      <c r="M1201" s="190"/>
      <c r="N1201" s="220"/>
      <c r="O1201" s="220"/>
      <c r="P1201" s="220"/>
      <c r="R1201" s="210"/>
      <c r="S1201" s="210"/>
      <c r="T1201" s="210"/>
      <c r="U1201" s="210"/>
      <c r="X1201" s="210"/>
      <c r="Y1201" s="210"/>
      <c r="Z1201" s="210"/>
      <c r="AA1201" s="210"/>
      <c r="AB1201" s="210"/>
      <c r="AC1201" s="210"/>
      <c r="AD1201" s="210"/>
      <c r="AE1201" s="210"/>
      <c r="AF1201" s="210"/>
      <c r="AG1201" s="210"/>
      <c r="AH1201" s="210"/>
      <c r="AI1201" s="210"/>
      <c r="AJ1201" s="210"/>
      <c r="AK1201" s="210"/>
      <c r="AL1201" s="210"/>
      <c r="AM1201" s="210"/>
      <c r="AN1201" s="210"/>
      <c r="AO1201" s="210"/>
      <c r="AP1201" s="210"/>
      <c r="AQ1201" s="210"/>
    </row>
    <row r="1202">
      <c r="A1202" s="190"/>
      <c r="B1202" s="190"/>
      <c r="C1202" s="190"/>
      <c r="D1202" s="190"/>
      <c r="E1202" s="190"/>
      <c r="F1202" s="190"/>
      <c r="G1202" s="190"/>
      <c r="H1202" s="190"/>
      <c r="I1202" s="190"/>
      <c r="J1202" s="190"/>
      <c r="K1202" s="190"/>
      <c r="L1202" s="190"/>
      <c r="M1202" s="190"/>
      <c r="N1202" s="220"/>
      <c r="O1202" s="220"/>
      <c r="P1202" s="220"/>
      <c r="R1202" s="210"/>
      <c r="S1202" s="210"/>
      <c r="T1202" s="210"/>
      <c r="U1202" s="210"/>
      <c r="X1202" s="210"/>
      <c r="Y1202" s="210"/>
      <c r="Z1202" s="210"/>
      <c r="AA1202" s="210"/>
      <c r="AB1202" s="210"/>
      <c r="AC1202" s="210"/>
      <c r="AD1202" s="210"/>
      <c r="AE1202" s="210"/>
      <c r="AF1202" s="210"/>
      <c r="AG1202" s="210"/>
      <c r="AH1202" s="210"/>
      <c r="AI1202" s="210"/>
      <c r="AJ1202" s="210"/>
      <c r="AK1202" s="210"/>
      <c r="AL1202" s="210"/>
      <c r="AM1202" s="210"/>
      <c r="AN1202" s="210"/>
      <c r="AO1202" s="210"/>
      <c r="AP1202" s="210"/>
      <c r="AQ1202" s="210"/>
    </row>
    <row r="1203">
      <c r="A1203" s="190"/>
      <c r="B1203" s="190"/>
      <c r="C1203" s="190"/>
      <c r="D1203" s="190"/>
      <c r="E1203" s="190"/>
      <c r="F1203" s="190"/>
      <c r="G1203" s="190"/>
      <c r="H1203" s="190"/>
      <c r="I1203" s="190"/>
      <c r="J1203" s="190"/>
      <c r="K1203" s="190"/>
      <c r="L1203" s="190"/>
      <c r="M1203" s="190"/>
      <c r="N1203" s="220"/>
      <c r="O1203" s="220"/>
      <c r="P1203" s="220"/>
      <c r="R1203" s="210"/>
      <c r="S1203" s="210"/>
      <c r="T1203" s="210"/>
      <c r="U1203" s="210"/>
      <c r="X1203" s="210"/>
      <c r="Y1203" s="210"/>
      <c r="Z1203" s="210"/>
      <c r="AA1203" s="210"/>
      <c r="AB1203" s="210"/>
      <c r="AC1203" s="210"/>
      <c r="AD1203" s="210"/>
      <c r="AE1203" s="210"/>
      <c r="AF1203" s="210"/>
      <c r="AG1203" s="210"/>
      <c r="AH1203" s="210"/>
      <c r="AI1203" s="210"/>
      <c r="AJ1203" s="210"/>
      <c r="AK1203" s="210"/>
      <c r="AL1203" s="210"/>
      <c r="AM1203" s="210"/>
      <c r="AN1203" s="210"/>
      <c r="AO1203" s="210"/>
      <c r="AP1203" s="210"/>
      <c r="AQ1203" s="210"/>
    </row>
    <row r="1204">
      <c r="A1204" s="190"/>
      <c r="B1204" s="190"/>
      <c r="C1204" s="190"/>
      <c r="D1204" s="190"/>
      <c r="E1204" s="190"/>
      <c r="F1204" s="190"/>
      <c r="G1204" s="190"/>
      <c r="H1204" s="190"/>
      <c r="I1204" s="190"/>
      <c r="J1204" s="190"/>
      <c r="K1204" s="190"/>
      <c r="L1204" s="190"/>
      <c r="M1204" s="190"/>
      <c r="N1204" s="220"/>
      <c r="O1204" s="220"/>
      <c r="P1204" s="220"/>
      <c r="R1204" s="210"/>
      <c r="S1204" s="210"/>
      <c r="T1204" s="210"/>
      <c r="U1204" s="210"/>
      <c r="X1204" s="210"/>
      <c r="Y1204" s="210"/>
      <c r="Z1204" s="210"/>
      <c r="AA1204" s="210"/>
      <c r="AB1204" s="210"/>
      <c r="AC1204" s="210"/>
      <c r="AD1204" s="210"/>
      <c r="AE1204" s="210"/>
      <c r="AF1204" s="210"/>
      <c r="AG1204" s="210"/>
      <c r="AH1204" s="210"/>
      <c r="AI1204" s="210"/>
      <c r="AJ1204" s="210"/>
      <c r="AK1204" s="210"/>
      <c r="AL1204" s="210"/>
      <c r="AM1204" s="210"/>
      <c r="AN1204" s="210"/>
      <c r="AO1204" s="210"/>
      <c r="AP1204" s="210"/>
      <c r="AQ1204" s="210"/>
    </row>
    <row r="1205">
      <c r="A1205" s="190"/>
      <c r="B1205" s="190"/>
      <c r="C1205" s="190"/>
      <c r="D1205" s="190"/>
      <c r="E1205" s="190"/>
      <c r="F1205" s="190"/>
      <c r="G1205" s="190"/>
      <c r="H1205" s="190"/>
      <c r="I1205" s="190"/>
      <c r="J1205" s="190"/>
      <c r="K1205" s="190"/>
      <c r="L1205" s="190"/>
      <c r="M1205" s="190"/>
      <c r="N1205" s="220"/>
      <c r="O1205" s="220"/>
      <c r="P1205" s="220"/>
      <c r="R1205" s="210"/>
      <c r="S1205" s="210"/>
      <c r="T1205" s="210"/>
      <c r="U1205" s="210"/>
      <c r="X1205" s="210"/>
      <c r="Y1205" s="210"/>
      <c r="Z1205" s="210"/>
      <c r="AA1205" s="210"/>
      <c r="AB1205" s="210"/>
      <c r="AC1205" s="210"/>
      <c r="AD1205" s="210"/>
      <c r="AE1205" s="210"/>
      <c r="AF1205" s="210"/>
      <c r="AG1205" s="210"/>
      <c r="AH1205" s="210"/>
      <c r="AI1205" s="210"/>
      <c r="AJ1205" s="210"/>
      <c r="AK1205" s="210"/>
      <c r="AL1205" s="210"/>
      <c r="AM1205" s="210"/>
      <c r="AN1205" s="210"/>
      <c r="AO1205" s="210"/>
      <c r="AP1205" s="210"/>
      <c r="AQ1205" s="210"/>
    </row>
    <row r="1206">
      <c r="A1206" s="190"/>
      <c r="B1206" s="190"/>
      <c r="C1206" s="190"/>
      <c r="D1206" s="190"/>
      <c r="E1206" s="190"/>
      <c r="F1206" s="190"/>
      <c r="G1206" s="190"/>
      <c r="H1206" s="190"/>
      <c r="I1206" s="190"/>
      <c r="J1206" s="190"/>
      <c r="K1206" s="190"/>
      <c r="L1206" s="190"/>
      <c r="M1206" s="190"/>
      <c r="N1206" s="220"/>
      <c r="O1206" s="220"/>
      <c r="P1206" s="220"/>
      <c r="R1206" s="210"/>
      <c r="S1206" s="210"/>
      <c r="T1206" s="210"/>
      <c r="U1206" s="210"/>
      <c r="X1206" s="210"/>
      <c r="Y1206" s="210"/>
      <c r="Z1206" s="210"/>
      <c r="AA1206" s="210"/>
      <c r="AB1206" s="210"/>
      <c r="AC1206" s="210"/>
      <c r="AD1206" s="210"/>
      <c r="AE1206" s="210"/>
      <c r="AF1206" s="210"/>
      <c r="AG1206" s="210"/>
      <c r="AH1206" s="210"/>
      <c r="AI1206" s="210"/>
      <c r="AJ1206" s="210"/>
      <c r="AK1206" s="210"/>
      <c r="AL1206" s="210"/>
      <c r="AM1206" s="210"/>
      <c r="AN1206" s="210"/>
      <c r="AO1206" s="210"/>
      <c r="AP1206" s="210"/>
      <c r="AQ1206" s="210"/>
    </row>
    <row r="1207">
      <c r="A1207" s="190"/>
      <c r="B1207" s="190"/>
      <c r="C1207" s="190"/>
      <c r="D1207" s="190"/>
      <c r="E1207" s="190"/>
      <c r="F1207" s="190"/>
      <c r="G1207" s="190"/>
      <c r="H1207" s="190"/>
      <c r="I1207" s="190"/>
      <c r="J1207" s="190"/>
      <c r="K1207" s="190"/>
      <c r="L1207" s="190"/>
      <c r="M1207" s="190"/>
      <c r="N1207" s="220"/>
      <c r="O1207" s="220"/>
      <c r="P1207" s="220"/>
      <c r="R1207" s="210"/>
      <c r="S1207" s="210"/>
      <c r="T1207" s="210"/>
      <c r="U1207" s="210"/>
      <c r="X1207" s="210"/>
      <c r="Y1207" s="210"/>
      <c r="Z1207" s="210"/>
      <c r="AA1207" s="210"/>
      <c r="AB1207" s="210"/>
      <c r="AC1207" s="210"/>
      <c r="AD1207" s="210"/>
      <c r="AE1207" s="210"/>
      <c r="AF1207" s="210"/>
      <c r="AG1207" s="210"/>
      <c r="AH1207" s="210"/>
      <c r="AI1207" s="210"/>
      <c r="AJ1207" s="210"/>
      <c r="AK1207" s="210"/>
      <c r="AL1207" s="210"/>
      <c r="AM1207" s="210"/>
      <c r="AN1207" s="210"/>
      <c r="AO1207" s="210"/>
      <c r="AP1207" s="210"/>
      <c r="AQ1207" s="210"/>
    </row>
    <row r="1208">
      <c r="A1208" s="190"/>
      <c r="B1208" s="190"/>
      <c r="C1208" s="190"/>
      <c r="D1208" s="190"/>
      <c r="E1208" s="190"/>
      <c r="F1208" s="190"/>
      <c r="G1208" s="190"/>
      <c r="H1208" s="190"/>
      <c r="I1208" s="190"/>
      <c r="J1208" s="190"/>
      <c r="K1208" s="190"/>
      <c r="L1208" s="190"/>
      <c r="M1208" s="190"/>
      <c r="N1208" s="220"/>
      <c r="O1208" s="220"/>
      <c r="P1208" s="220"/>
      <c r="R1208" s="210"/>
      <c r="S1208" s="210"/>
      <c r="T1208" s="210"/>
      <c r="U1208" s="210"/>
      <c r="X1208" s="210"/>
      <c r="Y1208" s="210"/>
      <c r="Z1208" s="210"/>
      <c r="AA1208" s="210"/>
      <c r="AB1208" s="210"/>
      <c r="AC1208" s="210"/>
      <c r="AD1208" s="210"/>
      <c r="AE1208" s="210"/>
      <c r="AF1208" s="210"/>
      <c r="AG1208" s="210"/>
      <c r="AH1208" s="210"/>
      <c r="AI1208" s="210"/>
      <c r="AJ1208" s="210"/>
      <c r="AK1208" s="210"/>
      <c r="AL1208" s="210"/>
      <c r="AM1208" s="210"/>
      <c r="AN1208" s="210"/>
      <c r="AO1208" s="210"/>
      <c r="AP1208" s="210"/>
      <c r="AQ1208" s="210"/>
    </row>
    <row r="1209">
      <c r="A1209" s="190"/>
      <c r="B1209" s="190"/>
      <c r="C1209" s="190"/>
      <c r="D1209" s="190"/>
      <c r="E1209" s="190"/>
      <c r="F1209" s="190"/>
      <c r="G1209" s="190"/>
      <c r="H1209" s="190"/>
      <c r="I1209" s="190"/>
      <c r="J1209" s="190"/>
      <c r="K1209" s="190"/>
      <c r="L1209" s="190"/>
      <c r="M1209" s="190"/>
      <c r="N1209" s="220"/>
      <c r="O1209" s="220"/>
      <c r="P1209" s="220"/>
      <c r="R1209" s="210"/>
      <c r="S1209" s="210"/>
      <c r="T1209" s="210"/>
      <c r="U1209" s="210"/>
      <c r="X1209" s="210"/>
      <c r="Y1209" s="210"/>
      <c r="Z1209" s="210"/>
      <c r="AA1209" s="210"/>
      <c r="AB1209" s="210"/>
      <c r="AC1209" s="210"/>
      <c r="AD1209" s="210"/>
      <c r="AE1209" s="210"/>
      <c r="AF1209" s="210"/>
      <c r="AG1209" s="210"/>
      <c r="AH1209" s="210"/>
      <c r="AI1209" s="210"/>
      <c r="AJ1209" s="210"/>
      <c r="AK1209" s="210"/>
      <c r="AL1209" s="210"/>
      <c r="AM1209" s="210"/>
      <c r="AN1209" s="210"/>
      <c r="AO1209" s="210"/>
      <c r="AP1209" s="210"/>
      <c r="AQ1209" s="210"/>
    </row>
    <row r="1210">
      <c r="A1210" s="190"/>
      <c r="B1210" s="190"/>
      <c r="C1210" s="190"/>
      <c r="D1210" s="190"/>
      <c r="E1210" s="190"/>
      <c r="F1210" s="190"/>
      <c r="G1210" s="190"/>
      <c r="H1210" s="190"/>
      <c r="I1210" s="190"/>
      <c r="J1210" s="190"/>
      <c r="K1210" s="190"/>
      <c r="L1210" s="190"/>
      <c r="M1210" s="190"/>
      <c r="N1210" s="220"/>
      <c r="O1210" s="220"/>
      <c r="P1210" s="220"/>
      <c r="R1210" s="210"/>
      <c r="S1210" s="210"/>
      <c r="T1210" s="210"/>
      <c r="U1210" s="210"/>
      <c r="X1210" s="210"/>
      <c r="Y1210" s="210"/>
      <c r="Z1210" s="210"/>
      <c r="AA1210" s="210"/>
      <c r="AB1210" s="210"/>
      <c r="AC1210" s="210"/>
      <c r="AD1210" s="210"/>
      <c r="AE1210" s="210"/>
      <c r="AF1210" s="210"/>
      <c r="AG1210" s="210"/>
      <c r="AH1210" s="210"/>
      <c r="AI1210" s="210"/>
      <c r="AJ1210" s="210"/>
      <c r="AK1210" s="210"/>
      <c r="AL1210" s="210"/>
      <c r="AM1210" s="210"/>
      <c r="AN1210" s="210"/>
      <c r="AO1210" s="210"/>
      <c r="AP1210" s="210"/>
      <c r="AQ1210" s="210"/>
    </row>
    <row r="1211">
      <c r="A1211" s="190"/>
      <c r="B1211" s="190"/>
      <c r="C1211" s="190"/>
      <c r="D1211" s="190"/>
      <c r="E1211" s="190"/>
      <c r="F1211" s="190"/>
      <c r="G1211" s="190"/>
      <c r="H1211" s="190"/>
      <c r="I1211" s="190"/>
      <c r="J1211" s="190"/>
      <c r="K1211" s="190"/>
      <c r="L1211" s="190"/>
      <c r="M1211" s="190"/>
      <c r="N1211" s="220"/>
      <c r="O1211" s="220"/>
      <c r="P1211" s="220"/>
      <c r="R1211" s="210"/>
      <c r="S1211" s="210"/>
      <c r="T1211" s="210"/>
      <c r="U1211" s="210"/>
      <c r="X1211" s="210"/>
      <c r="Y1211" s="210"/>
      <c r="Z1211" s="210"/>
      <c r="AA1211" s="210"/>
      <c r="AB1211" s="210"/>
      <c r="AC1211" s="210"/>
      <c r="AD1211" s="210"/>
      <c r="AE1211" s="210"/>
      <c r="AF1211" s="210"/>
      <c r="AG1211" s="210"/>
      <c r="AH1211" s="210"/>
      <c r="AI1211" s="210"/>
      <c r="AJ1211" s="210"/>
      <c r="AK1211" s="210"/>
      <c r="AL1211" s="210"/>
      <c r="AM1211" s="210"/>
      <c r="AN1211" s="210"/>
      <c r="AO1211" s="210"/>
      <c r="AP1211" s="210"/>
      <c r="AQ1211" s="210"/>
    </row>
    <row r="1212">
      <c r="A1212" s="190"/>
      <c r="B1212" s="190"/>
      <c r="C1212" s="190"/>
      <c r="D1212" s="190"/>
      <c r="E1212" s="190"/>
      <c r="F1212" s="190"/>
      <c r="G1212" s="190"/>
      <c r="H1212" s="190"/>
      <c r="I1212" s="190"/>
      <c r="J1212" s="190"/>
      <c r="K1212" s="190"/>
      <c r="L1212" s="190"/>
      <c r="M1212" s="190"/>
      <c r="N1212" s="220"/>
      <c r="O1212" s="220"/>
      <c r="P1212" s="220"/>
      <c r="R1212" s="210"/>
      <c r="S1212" s="210"/>
      <c r="T1212" s="210"/>
      <c r="U1212" s="210"/>
      <c r="X1212" s="210"/>
      <c r="Y1212" s="210"/>
      <c r="Z1212" s="210"/>
      <c r="AA1212" s="210"/>
      <c r="AB1212" s="210"/>
      <c r="AC1212" s="210"/>
      <c r="AD1212" s="210"/>
      <c r="AE1212" s="210"/>
      <c r="AF1212" s="210"/>
      <c r="AG1212" s="210"/>
      <c r="AH1212" s="210"/>
      <c r="AI1212" s="210"/>
      <c r="AJ1212" s="210"/>
      <c r="AK1212" s="210"/>
      <c r="AL1212" s="210"/>
      <c r="AM1212" s="210"/>
      <c r="AN1212" s="210"/>
      <c r="AO1212" s="210"/>
      <c r="AP1212" s="210"/>
      <c r="AQ1212" s="210"/>
    </row>
    <row r="1213">
      <c r="A1213" s="190"/>
      <c r="B1213" s="190"/>
      <c r="C1213" s="190"/>
      <c r="D1213" s="190"/>
      <c r="E1213" s="190"/>
      <c r="F1213" s="190"/>
      <c r="G1213" s="190"/>
      <c r="H1213" s="190"/>
      <c r="I1213" s="190"/>
      <c r="J1213" s="190"/>
      <c r="K1213" s="190"/>
      <c r="L1213" s="190"/>
      <c r="M1213" s="190"/>
      <c r="N1213" s="220"/>
      <c r="O1213" s="220"/>
      <c r="P1213" s="220"/>
      <c r="R1213" s="210"/>
      <c r="S1213" s="210"/>
      <c r="T1213" s="210"/>
      <c r="U1213" s="210"/>
      <c r="X1213" s="210"/>
      <c r="Y1213" s="210"/>
      <c r="Z1213" s="210"/>
      <c r="AA1213" s="210"/>
      <c r="AB1213" s="210"/>
      <c r="AC1213" s="210"/>
      <c r="AD1213" s="210"/>
      <c r="AE1213" s="210"/>
      <c r="AF1213" s="210"/>
      <c r="AG1213" s="210"/>
      <c r="AH1213" s="210"/>
      <c r="AI1213" s="210"/>
      <c r="AJ1213" s="210"/>
      <c r="AK1213" s="210"/>
      <c r="AL1213" s="210"/>
      <c r="AM1213" s="210"/>
      <c r="AN1213" s="210"/>
      <c r="AO1213" s="210"/>
      <c r="AP1213" s="210"/>
      <c r="AQ1213" s="210"/>
    </row>
    <row r="1214">
      <c r="A1214" s="190"/>
      <c r="B1214" s="190"/>
      <c r="C1214" s="190"/>
      <c r="D1214" s="190"/>
      <c r="E1214" s="190"/>
      <c r="F1214" s="190"/>
      <c r="G1214" s="190"/>
      <c r="H1214" s="190"/>
      <c r="I1214" s="190"/>
      <c r="J1214" s="190"/>
      <c r="K1214" s="190"/>
      <c r="L1214" s="190"/>
      <c r="M1214" s="190"/>
      <c r="N1214" s="220"/>
      <c r="O1214" s="220"/>
      <c r="P1214" s="220"/>
      <c r="R1214" s="210"/>
      <c r="S1214" s="210"/>
      <c r="T1214" s="210"/>
      <c r="U1214" s="210"/>
      <c r="X1214" s="210"/>
      <c r="Y1214" s="210"/>
      <c r="Z1214" s="210"/>
      <c r="AA1214" s="210"/>
      <c r="AB1214" s="210"/>
      <c r="AC1214" s="210"/>
      <c r="AD1214" s="210"/>
      <c r="AE1214" s="210"/>
      <c r="AF1214" s="210"/>
      <c r="AG1214" s="210"/>
      <c r="AH1214" s="210"/>
      <c r="AI1214" s="210"/>
      <c r="AJ1214" s="210"/>
      <c r="AK1214" s="210"/>
      <c r="AL1214" s="210"/>
      <c r="AM1214" s="210"/>
      <c r="AN1214" s="210"/>
      <c r="AO1214" s="210"/>
      <c r="AP1214" s="210"/>
      <c r="AQ1214" s="210"/>
    </row>
    <row r="1215">
      <c r="A1215" s="190"/>
      <c r="B1215" s="190"/>
      <c r="C1215" s="190"/>
      <c r="D1215" s="190"/>
      <c r="E1215" s="190"/>
      <c r="F1215" s="190"/>
      <c r="G1215" s="190"/>
      <c r="H1215" s="190"/>
      <c r="I1215" s="190"/>
      <c r="J1215" s="190"/>
      <c r="K1215" s="190"/>
      <c r="L1215" s="190"/>
      <c r="M1215" s="190"/>
      <c r="N1215" s="220"/>
      <c r="O1215" s="220"/>
      <c r="P1215" s="220"/>
      <c r="R1215" s="210"/>
      <c r="S1215" s="210"/>
      <c r="T1215" s="210"/>
      <c r="U1215" s="210"/>
      <c r="X1215" s="210"/>
      <c r="Y1215" s="210"/>
      <c r="Z1215" s="210"/>
      <c r="AA1215" s="210"/>
      <c r="AB1215" s="210"/>
      <c r="AC1215" s="210"/>
      <c r="AD1215" s="210"/>
      <c r="AE1215" s="210"/>
      <c r="AF1215" s="210"/>
      <c r="AG1215" s="210"/>
      <c r="AH1215" s="210"/>
      <c r="AI1215" s="210"/>
      <c r="AJ1215" s="210"/>
      <c r="AK1215" s="210"/>
      <c r="AL1215" s="210"/>
      <c r="AM1215" s="210"/>
      <c r="AN1215" s="210"/>
      <c r="AO1215" s="210"/>
      <c r="AP1215" s="210"/>
      <c r="AQ1215" s="210"/>
    </row>
    <row r="1216">
      <c r="A1216" s="190"/>
      <c r="B1216" s="190"/>
      <c r="C1216" s="190"/>
      <c r="D1216" s="190"/>
      <c r="E1216" s="190"/>
      <c r="F1216" s="190"/>
      <c r="G1216" s="190"/>
      <c r="H1216" s="190"/>
      <c r="I1216" s="190"/>
      <c r="J1216" s="190"/>
      <c r="K1216" s="190"/>
      <c r="L1216" s="190"/>
      <c r="M1216" s="190"/>
      <c r="N1216" s="220"/>
      <c r="O1216" s="220"/>
      <c r="P1216" s="220"/>
      <c r="R1216" s="210"/>
      <c r="S1216" s="210"/>
      <c r="T1216" s="210"/>
      <c r="U1216" s="210"/>
      <c r="X1216" s="210"/>
      <c r="Y1216" s="210"/>
      <c r="Z1216" s="210"/>
      <c r="AA1216" s="210"/>
      <c r="AB1216" s="210"/>
      <c r="AC1216" s="210"/>
      <c r="AD1216" s="210"/>
      <c r="AE1216" s="210"/>
      <c r="AF1216" s="210"/>
      <c r="AG1216" s="210"/>
      <c r="AH1216" s="210"/>
      <c r="AI1216" s="210"/>
      <c r="AJ1216" s="210"/>
      <c r="AK1216" s="210"/>
      <c r="AL1216" s="210"/>
      <c r="AM1216" s="210"/>
      <c r="AN1216" s="210"/>
      <c r="AO1216" s="210"/>
      <c r="AP1216" s="210"/>
      <c r="AQ1216" s="210"/>
    </row>
    <row r="1217">
      <c r="A1217" s="190"/>
      <c r="B1217" s="190"/>
      <c r="C1217" s="190"/>
      <c r="D1217" s="190"/>
      <c r="E1217" s="190"/>
      <c r="F1217" s="190"/>
      <c r="G1217" s="190"/>
      <c r="H1217" s="190"/>
      <c r="I1217" s="190"/>
      <c r="J1217" s="190"/>
      <c r="K1217" s="190"/>
      <c r="L1217" s="190"/>
      <c r="M1217" s="190"/>
      <c r="N1217" s="220"/>
      <c r="O1217" s="220"/>
      <c r="P1217" s="220"/>
      <c r="R1217" s="210"/>
      <c r="S1217" s="210"/>
      <c r="T1217" s="210"/>
      <c r="U1217" s="210"/>
      <c r="X1217" s="210"/>
      <c r="Y1217" s="210"/>
      <c r="Z1217" s="210"/>
      <c r="AA1217" s="210"/>
      <c r="AB1217" s="210"/>
      <c r="AC1217" s="210"/>
      <c r="AD1217" s="210"/>
      <c r="AE1217" s="210"/>
      <c r="AF1217" s="210"/>
      <c r="AG1217" s="210"/>
      <c r="AH1217" s="210"/>
      <c r="AI1217" s="210"/>
      <c r="AJ1217" s="210"/>
      <c r="AK1217" s="210"/>
      <c r="AL1217" s="210"/>
      <c r="AM1217" s="210"/>
      <c r="AN1217" s="210"/>
      <c r="AO1217" s="210"/>
      <c r="AP1217" s="210"/>
      <c r="AQ1217" s="210"/>
    </row>
    <row r="1218">
      <c r="A1218" s="190"/>
      <c r="B1218" s="190"/>
      <c r="C1218" s="190"/>
      <c r="D1218" s="190"/>
      <c r="E1218" s="190"/>
      <c r="F1218" s="190"/>
      <c r="G1218" s="190"/>
      <c r="H1218" s="190"/>
      <c r="I1218" s="190"/>
      <c r="J1218" s="190"/>
      <c r="K1218" s="190"/>
      <c r="L1218" s="190"/>
      <c r="M1218" s="190"/>
      <c r="N1218" s="220"/>
      <c r="O1218" s="220"/>
      <c r="P1218" s="220"/>
      <c r="R1218" s="210"/>
      <c r="S1218" s="210"/>
      <c r="T1218" s="210"/>
      <c r="U1218" s="210"/>
      <c r="X1218" s="210"/>
      <c r="Y1218" s="210"/>
      <c r="Z1218" s="210"/>
      <c r="AA1218" s="210"/>
      <c r="AB1218" s="210"/>
      <c r="AC1218" s="210"/>
      <c r="AD1218" s="210"/>
      <c r="AE1218" s="210"/>
      <c r="AF1218" s="210"/>
      <c r="AG1218" s="210"/>
      <c r="AH1218" s="210"/>
      <c r="AI1218" s="210"/>
      <c r="AJ1218" s="210"/>
      <c r="AK1218" s="210"/>
      <c r="AL1218" s="210"/>
      <c r="AM1218" s="210"/>
      <c r="AN1218" s="210"/>
      <c r="AO1218" s="210"/>
      <c r="AP1218" s="210"/>
      <c r="AQ1218" s="210"/>
    </row>
    <row r="1219">
      <c r="A1219" s="190"/>
      <c r="B1219" s="190"/>
      <c r="C1219" s="190"/>
      <c r="D1219" s="190"/>
      <c r="E1219" s="190"/>
      <c r="F1219" s="190"/>
      <c r="G1219" s="190"/>
      <c r="H1219" s="190"/>
      <c r="I1219" s="190"/>
      <c r="J1219" s="190"/>
      <c r="K1219" s="190"/>
      <c r="L1219" s="190"/>
      <c r="M1219" s="190"/>
      <c r="N1219" s="220"/>
      <c r="O1219" s="220"/>
      <c r="P1219" s="220"/>
      <c r="R1219" s="210"/>
      <c r="S1219" s="210"/>
      <c r="T1219" s="210"/>
      <c r="U1219" s="210"/>
      <c r="X1219" s="210"/>
      <c r="Y1219" s="210"/>
      <c r="Z1219" s="210"/>
      <c r="AA1219" s="210"/>
      <c r="AB1219" s="210"/>
      <c r="AC1219" s="210"/>
      <c r="AD1219" s="210"/>
      <c r="AE1219" s="210"/>
      <c r="AF1219" s="210"/>
      <c r="AG1219" s="210"/>
      <c r="AH1219" s="210"/>
      <c r="AI1219" s="210"/>
      <c r="AJ1219" s="210"/>
      <c r="AK1219" s="210"/>
      <c r="AL1219" s="210"/>
      <c r="AM1219" s="210"/>
      <c r="AN1219" s="210"/>
      <c r="AO1219" s="210"/>
      <c r="AP1219" s="210"/>
      <c r="AQ1219" s="210"/>
    </row>
    <row r="1220">
      <c r="A1220" s="190"/>
      <c r="B1220" s="190"/>
      <c r="C1220" s="190"/>
      <c r="D1220" s="190"/>
      <c r="E1220" s="190"/>
      <c r="F1220" s="190"/>
      <c r="G1220" s="190"/>
      <c r="H1220" s="190"/>
      <c r="I1220" s="190"/>
      <c r="J1220" s="190"/>
      <c r="K1220" s="190"/>
      <c r="L1220" s="190"/>
      <c r="M1220" s="190"/>
      <c r="N1220" s="220"/>
      <c r="O1220" s="220"/>
      <c r="P1220" s="220"/>
      <c r="R1220" s="210"/>
      <c r="S1220" s="210"/>
      <c r="T1220" s="210"/>
      <c r="U1220" s="210"/>
      <c r="X1220" s="210"/>
      <c r="Y1220" s="210"/>
      <c r="Z1220" s="210"/>
      <c r="AA1220" s="210"/>
      <c r="AB1220" s="210"/>
      <c r="AC1220" s="210"/>
      <c r="AD1220" s="210"/>
      <c r="AE1220" s="210"/>
      <c r="AF1220" s="210"/>
      <c r="AG1220" s="210"/>
      <c r="AH1220" s="210"/>
      <c r="AI1220" s="210"/>
      <c r="AJ1220" s="210"/>
      <c r="AK1220" s="210"/>
      <c r="AL1220" s="210"/>
      <c r="AM1220" s="210"/>
      <c r="AN1220" s="210"/>
      <c r="AO1220" s="210"/>
      <c r="AP1220" s="210"/>
      <c r="AQ1220" s="210"/>
    </row>
    <row r="1221">
      <c r="A1221" s="190"/>
      <c r="B1221" s="190"/>
      <c r="C1221" s="190"/>
      <c r="D1221" s="190"/>
      <c r="E1221" s="190"/>
      <c r="F1221" s="190"/>
      <c r="G1221" s="190"/>
      <c r="H1221" s="190"/>
      <c r="I1221" s="190"/>
      <c r="J1221" s="190"/>
      <c r="K1221" s="190"/>
      <c r="L1221" s="190"/>
      <c r="M1221" s="190"/>
      <c r="N1221" s="220"/>
      <c r="O1221" s="220"/>
      <c r="P1221" s="220"/>
      <c r="R1221" s="210"/>
      <c r="S1221" s="210"/>
      <c r="T1221" s="210"/>
      <c r="U1221" s="210"/>
      <c r="X1221" s="210"/>
      <c r="Y1221" s="210"/>
      <c r="Z1221" s="210"/>
      <c r="AA1221" s="210"/>
      <c r="AB1221" s="210"/>
      <c r="AC1221" s="210"/>
      <c r="AD1221" s="210"/>
      <c r="AE1221" s="210"/>
      <c r="AF1221" s="210"/>
      <c r="AG1221" s="210"/>
      <c r="AH1221" s="210"/>
      <c r="AI1221" s="210"/>
      <c r="AJ1221" s="210"/>
      <c r="AK1221" s="210"/>
      <c r="AL1221" s="210"/>
      <c r="AM1221" s="210"/>
      <c r="AN1221" s="210"/>
      <c r="AO1221" s="210"/>
      <c r="AP1221" s="210"/>
      <c r="AQ1221" s="210"/>
    </row>
    <row r="1222">
      <c r="A1222" s="190"/>
      <c r="B1222" s="190"/>
      <c r="C1222" s="190"/>
      <c r="D1222" s="190"/>
      <c r="E1222" s="190"/>
      <c r="F1222" s="190"/>
      <c r="G1222" s="190"/>
      <c r="H1222" s="190"/>
      <c r="I1222" s="190"/>
      <c r="J1222" s="190"/>
      <c r="K1222" s="190"/>
      <c r="L1222" s="190"/>
      <c r="M1222" s="190"/>
      <c r="N1222" s="220"/>
      <c r="O1222" s="220"/>
      <c r="P1222" s="220"/>
      <c r="R1222" s="210"/>
      <c r="S1222" s="210"/>
      <c r="T1222" s="210"/>
      <c r="U1222" s="210"/>
      <c r="X1222" s="210"/>
      <c r="Y1222" s="210"/>
      <c r="Z1222" s="210"/>
      <c r="AA1222" s="210"/>
      <c r="AB1222" s="210"/>
      <c r="AC1222" s="210"/>
      <c r="AD1222" s="210"/>
      <c r="AE1222" s="210"/>
      <c r="AF1222" s="210"/>
      <c r="AG1222" s="210"/>
      <c r="AH1222" s="210"/>
      <c r="AI1222" s="210"/>
      <c r="AJ1222" s="210"/>
      <c r="AK1222" s="210"/>
      <c r="AL1222" s="210"/>
      <c r="AM1222" s="210"/>
      <c r="AN1222" s="210"/>
      <c r="AO1222" s="210"/>
      <c r="AP1222" s="210"/>
      <c r="AQ1222" s="210"/>
    </row>
    <row r="1223">
      <c r="A1223" s="190"/>
      <c r="B1223" s="190"/>
      <c r="C1223" s="190"/>
      <c r="D1223" s="190"/>
      <c r="E1223" s="190"/>
      <c r="F1223" s="190"/>
      <c r="G1223" s="190"/>
      <c r="H1223" s="190"/>
      <c r="I1223" s="190"/>
      <c r="J1223" s="190"/>
      <c r="K1223" s="190"/>
      <c r="L1223" s="190"/>
      <c r="M1223" s="190"/>
      <c r="N1223" s="220"/>
      <c r="O1223" s="220"/>
      <c r="P1223" s="220"/>
      <c r="R1223" s="210"/>
      <c r="S1223" s="210"/>
      <c r="T1223" s="210"/>
      <c r="U1223" s="210"/>
      <c r="X1223" s="210"/>
      <c r="Y1223" s="210"/>
      <c r="Z1223" s="210"/>
      <c r="AA1223" s="210"/>
      <c r="AB1223" s="210"/>
      <c r="AC1223" s="210"/>
      <c r="AD1223" s="210"/>
      <c r="AE1223" s="210"/>
      <c r="AF1223" s="210"/>
      <c r="AG1223" s="210"/>
      <c r="AH1223" s="210"/>
      <c r="AI1223" s="210"/>
      <c r="AJ1223" s="210"/>
      <c r="AK1223" s="210"/>
      <c r="AL1223" s="210"/>
      <c r="AM1223" s="210"/>
      <c r="AN1223" s="210"/>
      <c r="AO1223" s="210"/>
      <c r="AP1223" s="210"/>
      <c r="AQ1223" s="210"/>
    </row>
    <row r="1224">
      <c r="A1224" s="190"/>
      <c r="B1224" s="190"/>
      <c r="C1224" s="190"/>
      <c r="D1224" s="190"/>
      <c r="E1224" s="190"/>
      <c r="F1224" s="190"/>
      <c r="G1224" s="190"/>
      <c r="H1224" s="190"/>
      <c r="I1224" s="190"/>
      <c r="J1224" s="190"/>
      <c r="K1224" s="190"/>
      <c r="L1224" s="190"/>
      <c r="M1224" s="190"/>
      <c r="N1224" s="220"/>
      <c r="O1224" s="220"/>
      <c r="P1224" s="220"/>
      <c r="R1224" s="210"/>
      <c r="S1224" s="210"/>
      <c r="T1224" s="210"/>
      <c r="U1224" s="210"/>
      <c r="X1224" s="210"/>
      <c r="Y1224" s="210"/>
      <c r="Z1224" s="210"/>
      <c r="AA1224" s="210"/>
      <c r="AB1224" s="210"/>
      <c r="AC1224" s="210"/>
      <c r="AD1224" s="210"/>
      <c r="AE1224" s="210"/>
      <c r="AF1224" s="210"/>
      <c r="AG1224" s="210"/>
      <c r="AH1224" s="210"/>
      <c r="AI1224" s="210"/>
      <c r="AJ1224" s="210"/>
      <c r="AK1224" s="210"/>
      <c r="AL1224" s="210"/>
      <c r="AM1224" s="210"/>
      <c r="AN1224" s="210"/>
      <c r="AO1224" s="210"/>
      <c r="AP1224" s="210"/>
      <c r="AQ1224" s="210"/>
    </row>
    <row r="1225">
      <c r="A1225" s="190"/>
      <c r="B1225" s="190"/>
      <c r="C1225" s="190"/>
      <c r="D1225" s="190"/>
      <c r="E1225" s="190"/>
      <c r="F1225" s="190"/>
      <c r="G1225" s="190"/>
      <c r="H1225" s="190"/>
      <c r="I1225" s="190"/>
      <c r="J1225" s="190"/>
      <c r="K1225" s="190"/>
      <c r="L1225" s="190"/>
      <c r="M1225" s="190"/>
      <c r="N1225" s="220"/>
      <c r="O1225" s="220"/>
      <c r="P1225" s="220"/>
      <c r="R1225" s="210"/>
      <c r="S1225" s="210"/>
      <c r="T1225" s="210"/>
      <c r="U1225" s="210"/>
      <c r="X1225" s="210"/>
      <c r="Y1225" s="210"/>
      <c r="Z1225" s="210"/>
      <c r="AA1225" s="210"/>
      <c r="AB1225" s="210"/>
      <c r="AC1225" s="210"/>
      <c r="AD1225" s="210"/>
      <c r="AE1225" s="210"/>
      <c r="AF1225" s="210"/>
      <c r="AG1225" s="210"/>
      <c r="AH1225" s="210"/>
      <c r="AI1225" s="210"/>
      <c r="AJ1225" s="210"/>
      <c r="AK1225" s="210"/>
      <c r="AL1225" s="210"/>
      <c r="AM1225" s="210"/>
      <c r="AN1225" s="210"/>
      <c r="AO1225" s="210"/>
      <c r="AP1225" s="210"/>
      <c r="AQ1225" s="210"/>
    </row>
    <row r="1226">
      <c r="A1226" s="190"/>
      <c r="B1226" s="190"/>
      <c r="C1226" s="190"/>
      <c r="D1226" s="190"/>
      <c r="E1226" s="190"/>
      <c r="F1226" s="190"/>
      <c r="G1226" s="190"/>
      <c r="H1226" s="190"/>
      <c r="I1226" s="190"/>
      <c r="J1226" s="190"/>
      <c r="K1226" s="190"/>
      <c r="L1226" s="190"/>
      <c r="M1226" s="190"/>
      <c r="N1226" s="220"/>
      <c r="O1226" s="220"/>
      <c r="P1226" s="220"/>
      <c r="R1226" s="210"/>
      <c r="S1226" s="210"/>
      <c r="T1226" s="210"/>
      <c r="U1226" s="210"/>
      <c r="X1226" s="210"/>
      <c r="Y1226" s="210"/>
      <c r="Z1226" s="210"/>
      <c r="AA1226" s="210"/>
      <c r="AB1226" s="210"/>
      <c r="AC1226" s="210"/>
      <c r="AD1226" s="210"/>
      <c r="AE1226" s="210"/>
      <c r="AF1226" s="210"/>
      <c r="AG1226" s="210"/>
      <c r="AH1226" s="210"/>
      <c r="AI1226" s="210"/>
      <c r="AJ1226" s="210"/>
      <c r="AK1226" s="210"/>
      <c r="AL1226" s="210"/>
      <c r="AM1226" s="210"/>
      <c r="AN1226" s="210"/>
      <c r="AO1226" s="210"/>
      <c r="AP1226" s="210"/>
      <c r="AQ1226" s="210"/>
    </row>
    <row r="1227">
      <c r="A1227" s="190"/>
      <c r="B1227" s="190"/>
      <c r="C1227" s="190"/>
      <c r="D1227" s="190"/>
      <c r="E1227" s="190"/>
      <c r="F1227" s="190"/>
      <c r="G1227" s="190"/>
      <c r="H1227" s="190"/>
      <c r="I1227" s="190"/>
      <c r="J1227" s="190"/>
      <c r="K1227" s="190"/>
      <c r="L1227" s="190"/>
      <c r="M1227" s="190"/>
      <c r="N1227" s="220"/>
      <c r="O1227" s="220"/>
      <c r="P1227" s="220"/>
      <c r="R1227" s="210"/>
      <c r="S1227" s="210"/>
      <c r="T1227" s="210"/>
      <c r="U1227" s="210"/>
      <c r="X1227" s="210"/>
      <c r="Y1227" s="210"/>
      <c r="Z1227" s="210"/>
      <c r="AA1227" s="210"/>
      <c r="AB1227" s="210"/>
      <c r="AC1227" s="210"/>
      <c r="AD1227" s="210"/>
      <c r="AE1227" s="210"/>
      <c r="AF1227" s="210"/>
      <c r="AG1227" s="210"/>
      <c r="AH1227" s="210"/>
      <c r="AI1227" s="210"/>
      <c r="AJ1227" s="210"/>
      <c r="AK1227" s="210"/>
      <c r="AL1227" s="210"/>
      <c r="AM1227" s="210"/>
      <c r="AN1227" s="210"/>
      <c r="AO1227" s="210"/>
      <c r="AP1227" s="210"/>
      <c r="AQ1227" s="210"/>
    </row>
    <row r="1228">
      <c r="A1228" s="190"/>
      <c r="B1228" s="190"/>
      <c r="C1228" s="190"/>
      <c r="D1228" s="190"/>
      <c r="E1228" s="190"/>
      <c r="F1228" s="190"/>
      <c r="G1228" s="190"/>
      <c r="H1228" s="190"/>
      <c r="I1228" s="190"/>
      <c r="J1228" s="190"/>
      <c r="K1228" s="190"/>
      <c r="L1228" s="190"/>
      <c r="M1228" s="190"/>
      <c r="N1228" s="220"/>
      <c r="O1228" s="220"/>
      <c r="P1228" s="220"/>
      <c r="R1228" s="210"/>
      <c r="S1228" s="210"/>
      <c r="T1228" s="210"/>
      <c r="U1228" s="210"/>
      <c r="X1228" s="210"/>
      <c r="Y1228" s="210"/>
      <c r="Z1228" s="210"/>
      <c r="AA1228" s="210"/>
      <c r="AB1228" s="210"/>
      <c r="AC1228" s="210"/>
      <c r="AD1228" s="210"/>
      <c r="AE1228" s="210"/>
      <c r="AF1228" s="210"/>
      <c r="AG1228" s="210"/>
      <c r="AH1228" s="210"/>
      <c r="AI1228" s="210"/>
      <c r="AJ1228" s="210"/>
      <c r="AK1228" s="210"/>
      <c r="AL1228" s="210"/>
      <c r="AM1228" s="210"/>
      <c r="AN1228" s="210"/>
      <c r="AO1228" s="210"/>
      <c r="AP1228" s="210"/>
      <c r="AQ1228" s="210"/>
    </row>
    <row r="1229">
      <c r="A1229" s="190"/>
      <c r="B1229" s="190"/>
      <c r="C1229" s="190"/>
      <c r="D1229" s="190"/>
      <c r="E1229" s="190"/>
      <c r="F1229" s="190"/>
      <c r="G1229" s="190"/>
      <c r="H1229" s="190"/>
      <c r="I1229" s="190"/>
      <c r="J1229" s="190"/>
      <c r="K1229" s="190"/>
      <c r="L1229" s="190"/>
      <c r="M1229" s="190"/>
      <c r="N1229" s="220"/>
      <c r="O1229" s="220"/>
      <c r="P1229" s="220"/>
      <c r="R1229" s="210"/>
      <c r="S1229" s="210"/>
      <c r="T1229" s="210"/>
      <c r="U1229" s="210"/>
      <c r="X1229" s="210"/>
      <c r="Y1229" s="210"/>
      <c r="Z1229" s="210"/>
      <c r="AA1229" s="210"/>
      <c r="AB1229" s="210"/>
      <c r="AC1229" s="210"/>
      <c r="AD1229" s="210"/>
      <c r="AE1229" s="210"/>
      <c r="AF1229" s="210"/>
      <c r="AG1229" s="210"/>
      <c r="AH1229" s="210"/>
      <c r="AI1229" s="210"/>
      <c r="AJ1229" s="210"/>
      <c r="AK1229" s="210"/>
      <c r="AL1229" s="210"/>
      <c r="AM1229" s="210"/>
      <c r="AN1229" s="210"/>
      <c r="AO1229" s="210"/>
      <c r="AP1229" s="210"/>
      <c r="AQ1229" s="210"/>
    </row>
    <row r="1230">
      <c r="A1230" s="190"/>
      <c r="B1230" s="190"/>
      <c r="C1230" s="190"/>
      <c r="D1230" s="190"/>
      <c r="E1230" s="190"/>
      <c r="F1230" s="190"/>
      <c r="G1230" s="190"/>
      <c r="H1230" s="190"/>
      <c r="I1230" s="190"/>
      <c r="J1230" s="190"/>
      <c r="K1230" s="190"/>
      <c r="L1230" s="190"/>
      <c r="M1230" s="190"/>
      <c r="N1230" s="220"/>
      <c r="O1230" s="220"/>
      <c r="P1230" s="220"/>
      <c r="R1230" s="210"/>
      <c r="S1230" s="210"/>
      <c r="T1230" s="210"/>
      <c r="U1230" s="210"/>
      <c r="X1230" s="210"/>
      <c r="Y1230" s="210"/>
      <c r="Z1230" s="210"/>
      <c r="AA1230" s="210"/>
      <c r="AB1230" s="210"/>
      <c r="AC1230" s="210"/>
      <c r="AD1230" s="210"/>
      <c r="AE1230" s="210"/>
      <c r="AF1230" s="210"/>
      <c r="AG1230" s="210"/>
      <c r="AH1230" s="210"/>
      <c r="AI1230" s="210"/>
      <c r="AJ1230" s="210"/>
      <c r="AK1230" s="210"/>
      <c r="AL1230" s="210"/>
      <c r="AM1230" s="210"/>
      <c r="AN1230" s="210"/>
      <c r="AO1230" s="210"/>
      <c r="AP1230" s="210"/>
      <c r="AQ1230" s="210"/>
    </row>
    <row r="1231">
      <c r="A1231" s="190"/>
      <c r="B1231" s="190"/>
      <c r="C1231" s="190"/>
      <c r="D1231" s="190"/>
      <c r="E1231" s="190"/>
      <c r="F1231" s="190"/>
      <c r="G1231" s="190"/>
      <c r="H1231" s="190"/>
      <c r="I1231" s="190"/>
      <c r="J1231" s="190"/>
      <c r="K1231" s="190"/>
      <c r="L1231" s="190"/>
      <c r="M1231" s="190"/>
      <c r="N1231" s="220"/>
      <c r="O1231" s="220"/>
      <c r="P1231" s="220"/>
      <c r="R1231" s="210"/>
      <c r="S1231" s="210"/>
      <c r="T1231" s="210"/>
      <c r="U1231" s="210"/>
      <c r="X1231" s="210"/>
      <c r="Y1231" s="210"/>
      <c r="Z1231" s="210"/>
      <c r="AA1231" s="210"/>
      <c r="AB1231" s="210"/>
      <c r="AC1231" s="210"/>
      <c r="AD1231" s="210"/>
      <c r="AE1231" s="210"/>
      <c r="AF1231" s="210"/>
      <c r="AG1231" s="210"/>
      <c r="AH1231" s="210"/>
      <c r="AI1231" s="210"/>
      <c r="AJ1231" s="210"/>
      <c r="AK1231" s="210"/>
      <c r="AL1231" s="210"/>
      <c r="AM1231" s="210"/>
      <c r="AN1231" s="210"/>
      <c r="AO1231" s="210"/>
      <c r="AP1231" s="210"/>
      <c r="AQ1231" s="210"/>
    </row>
    <row r="1232">
      <c r="A1232" s="190"/>
      <c r="B1232" s="190"/>
      <c r="C1232" s="190"/>
      <c r="D1232" s="190"/>
      <c r="E1232" s="190"/>
      <c r="F1232" s="190"/>
      <c r="G1232" s="190"/>
      <c r="H1232" s="190"/>
      <c r="I1232" s="190"/>
      <c r="J1232" s="190"/>
      <c r="K1232" s="190"/>
      <c r="L1232" s="190"/>
      <c r="M1232" s="190"/>
      <c r="N1232" s="220"/>
      <c r="O1232" s="220"/>
      <c r="P1232" s="220"/>
      <c r="R1232" s="210"/>
      <c r="S1232" s="210"/>
      <c r="T1232" s="210"/>
      <c r="U1232" s="210"/>
      <c r="X1232" s="210"/>
      <c r="Y1232" s="210"/>
      <c r="Z1232" s="210"/>
      <c r="AA1232" s="210"/>
      <c r="AB1232" s="210"/>
      <c r="AC1232" s="210"/>
      <c r="AD1232" s="210"/>
      <c r="AE1232" s="210"/>
      <c r="AF1232" s="210"/>
      <c r="AG1232" s="210"/>
      <c r="AH1232" s="210"/>
      <c r="AI1232" s="210"/>
      <c r="AJ1232" s="210"/>
      <c r="AK1232" s="210"/>
      <c r="AL1232" s="210"/>
      <c r="AM1232" s="210"/>
      <c r="AN1232" s="210"/>
      <c r="AO1232" s="210"/>
      <c r="AP1232" s="210"/>
      <c r="AQ1232" s="210"/>
    </row>
    <row r="1233">
      <c r="A1233" s="190"/>
      <c r="B1233" s="190"/>
      <c r="C1233" s="190"/>
      <c r="D1233" s="190"/>
      <c r="E1233" s="190"/>
      <c r="F1233" s="190"/>
      <c r="G1233" s="190"/>
      <c r="H1233" s="190"/>
      <c r="I1233" s="190"/>
      <c r="J1233" s="190"/>
      <c r="K1233" s="190"/>
      <c r="L1233" s="190"/>
      <c r="M1233" s="190"/>
      <c r="N1233" s="220"/>
      <c r="O1233" s="220"/>
      <c r="P1233" s="220"/>
      <c r="R1233" s="210"/>
      <c r="S1233" s="210"/>
      <c r="T1233" s="210"/>
      <c r="U1233" s="210"/>
      <c r="X1233" s="210"/>
      <c r="Y1233" s="210"/>
      <c r="Z1233" s="210"/>
      <c r="AA1233" s="210"/>
      <c r="AB1233" s="210"/>
      <c r="AC1233" s="210"/>
      <c r="AD1233" s="210"/>
      <c r="AE1233" s="210"/>
      <c r="AF1233" s="210"/>
      <c r="AG1233" s="210"/>
      <c r="AH1233" s="210"/>
      <c r="AI1233" s="210"/>
      <c r="AJ1233" s="210"/>
      <c r="AK1233" s="210"/>
      <c r="AL1233" s="210"/>
      <c r="AM1233" s="210"/>
      <c r="AN1233" s="210"/>
      <c r="AO1233" s="210"/>
      <c r="AP1233" s="210"/>
      <c r="AQ1233" s="210"/>
    </row>
    <row r="1234">
      <c r="A1234" s="190"/>
      <c r="B1234" s="190"/>
      <c r="C1234" s="190"/>
      <c r="D1234" s="190"/>
      <c r="E1234" s="190"/>
      <c r="F1234" s="190"/>
      <c r="G1234" s="190"/>
      <c r="H1234" s="190"/>
      <c r="I1234" s="190"/>
      <c r="J1234" s="190"/>
      <c r="K1234" s="190"/>
      <c r="L1234" s="190"/>
      <c r="M1234" s="190"/>
      <c r="N1234" s="220"/>
      <c r="O1234" s="220"/>
      <c r="P1234" s="220"/>
      <c r="R1234" s="210"/>
      <c r="S1234" s="210"/>
      <c r="T1234" s="210"/>
      <c r="U1234" s="210"/>
      <c r="X1234" s="210"/>
      <c r="Y1234" s="210"/>
      <c r="Z1234" s="210"/>
      <c r="AA1234" s="210"/>
      <c r="AB1234" s="210"/>
      <c r="AC1234" s="210"/>
      <c r="AD1234" s="210"/>
      <c r="AE1234" s="210"/>
      <c r="AF1234" s="210"/>
      <c r="AG1234" s="210"/>
      <c r="AH1234" s="210"/>
      <c r="AI1234" s="210"/>
      <c r="AJ1234" s="210"/>
      <c r="AK1234" s="210"/>
      <c r="AL1234" s="210"/>
      <c r="AM1234" s="210"/>
      <c r="AN1234" s="210"/>
      <c r="AO1234" s="210"/>
      <c r="AP1234" s="210"/>
      <c r="AQ1234" s="210"/>
    </row>
    <row r="1235">
      <c r="A1235" s="190"/>
      <c r="B1235" s="190"/>
      <c r="C1235" s="190"/>
      <c r="D1235" s="190"/>
      <c r="E1235" s="190"/>
      <c r="F1235" s="190"/>
      <c r="G1235" s="190"/>
      <c r="H1235" s="190"/>
      <c r="I1235" s="190"/>
      <c r="J1235" s="190"/>
      <c r="K1235" s="190"/>
      <c r="L1235" s="190"/>
      <c r="M1235" s="190"/>
      <c r="N1235" s="220"/>
      <c r="O1235" s="220"/>
      <c r="P1235" s="220"/>
      <c r="R1235" s="210"/>
      <c r="S1235" s="210"/>
      <c r="T1235" s="210"/>
      <c r="U1235" s="210"/>
      <c r="X1235" s="210"/>
      <c r="Y1235" s="210"/>
      <c r="Z1235" s="210"/>
      <c r="AA1235" s="210"/>
      <c r="AB1235" s="210"/>
      <c r="AC1235" s="210"/>
      <c r="AD1235" s="210"/>
      <c r="AE1235" s="210"/>
      <c r="AF1235" s="210"/>
      <c r="AG1235" s="210"/>
      <c r="AH1235" s="210"/>
      <c r="AI1235" s="210"/>
      <c r="AJ1235" s="210"/>
      <c r="AK1235" s="210"/>
      <c r="AL1235" s="210"/>
      <c r="AM1235" s="210"/>
      <c r="AN1235" s="210"/>
      <c r="AO1235" s="210"/>
      <c r="AP1235" s="210"/>
      <c r="AQ1235" s="210"/>
    </row>
    <row r="1236">
      <c r="A1236" s="190"/>
      <c r="B1236" s="190"/>
      <c r="C1236" s="190"/>
      <c r="D1236" s="190"/>
      <c r="E1236" s="190"/>
      <c r="F1236" s="190"/>
      <c r="G1236" s="190"/>
      <c r="H1236" s="190"/>
      <c r="I1236" s="190"/>
      <c r="J1236" s="190"/>
      <c r="K1236" s="190"/>
      <c r="L1236" s="190"/>
      <c r="M1236" s="190"/>
      <c r="N1236" s="220"/>
      <c r="O1236" s="220"/>
      <c r="P1236" s="220"/>
      <c r="R1236" s="210"/>
      <c r="S1236" s="210"/>
      <c r="T1236" s="210"/>
      <c r="U1236" s="210"/>
      <c r="X1236" s="210"/>
      <c r="Y1236" s="210"/>
      <c r="Z1236" s="210"/>
      <c r="AA1236" s="210"/>
      <c r="AB1236" s="210"/>
      <c r="AC1236" s="210"/>
      <c r="AD1236" s="210"/>
      <c r="AE1236" s="210"/>
      <c r="AF1236" s="210"/>
      <c r="AG1236" s="210"/>
      <c r="AH1236" s="210"/>
      <c r="AI1236" s="210"/>
      <c r="AJ1236" s="210"/>
      <c r="AK1236" s="210"/>
      <c r="AL1236" s="210"/>
      <c r="AM1236" s="210"/>
      <c r="AN1236" s="210"/>
      <c r="AO1236" s="210"/>
      <c r="AP1236" s="210"/>
      <c r="AQ1236" s="210"/>
    </row>
    <row r="1237">
      <c r="A1237" s="190"/>
      <c r="B1237" s="190"/>
      <c r="C1237" s="190"/>
      <c r="D1237" s="190"/>
      <c r="E1237" s="190"/>
      <c r="F1237" s="190"/>
      <c r="G1237" s="190"/>
      <c r="H1237" s="190"/>
      <c r="I1237" s="190"/>
      <c r="J1237" s="190"/>
      <c r="K1237" s="190"/>
      <c r="L1237" s="190"/>
      <c r="M1237" s="190"/>
      <c r="N1237" s="220"/>
      <c r="O1237" s="220"/>
      <c r="P1237" s="220"/>
      <c r="R1237" s="210"/>
      <c r="S1237" s="210"/>
      <c r="T1237" s="210"/>
      <c r="U1237" s="210"/>
      <c r="X1237" s="210"/>
      <c r="Y1237" s="210"/>
      <c r="Z1237" s="210"/>
      <c r="AA1237" s="210"/>
      <c r="AB1237" s="210"/>
      <c r="AC1237" s="210"/>
      <c r="AD1237" s="210"/>
      <c r="AE1237" s="210"/>
      <c r="AF1237" s="210"/>
      <c r="AG1237" s="210"/>
      <c r="AH1237" s="210"/>
      <c r="AI1237" s="210"/>
      <c r="AJ1237" s="210"/>
      <c r="AK1237" s="210"/>
      <c r="AL1237" s="210"/>
      <c r="AM1237" s="210"/>
      <c r="AN1237" s="210"/>
      <c r="AO1237" s="210"/>
      <c r="AP1237" s="210"/>
      <c r="AQ1237" s="210"/>
    </row>
    <row r="1238">
      <c r="A1238" s="190"/>
      <c r="B1238" s="190"/>
      <c r="C1238" s="190"/>
      <c r="D1238" s="190"/>
      <c r="E1238" s="190"/>
      <c r="F1238" s="190"/>
      <c r="G1238" s="190"/>
      <c r="H1238" s="190"/>
      <c r="I1238" s="190"/>
      <c r="J1238" s="190"/>
      <c r="K1238" s="190"/>
      <c r="L1238" s="190"/>
      <c r="M1238" s="190"/>
      <c r="N1238" s="220"/>
      <c r="O1238" s="220"/>
      <c r="P1238" s="220"/>
      <c r="R1238" s="210"/>
      <c r="S1238" s="210"/>
      <c r="T1238" s="210"/>
      <c r="U1238" s="210"/>
      <c r="X1238" s="210"/>
      <c r="Y1238" s="210"/>
      <c r="Z1238" s="210"/>
      <c r="AA1238" s="210"/>
      <c r="AB1238" s="210"/>
      <c r="AC1238" s="210"/>
      <c r="AD1238" s="210"/>
      <c r="AE1238" s="210"/>
      <c r="AF1238" s="210"/>
      <c r="AG1238" s="210"/>
      <c r="AH1238" s="210"/>
      <c r="AI1238" s="210"/>
      <c r="AJ1238" s="210"/>
      <c r="AK1238" s="210"/>
      <c r="AL1238" s="210"/>
      <c r="AM1238" s="210"/>
      <c r="AN1238" s="210"/>
      <c r="AO1238" s="210"/>
      <c r="AP1238" s="210"/>
      <c r="AQ1238" s="210"/>
    </row>
    <row r="1239">
      <c r="A1239" s="190"/>
      <c r="B1239" s="190"/>
      <c r="C1239" s="190"/>
      <c r="D1239" s="190"/>
      <c r="E1239" s="190"/>
      <c r="F1239" s="190"/>
      <c r="G1239" s="190"/>
      <c r="H1239" s="190"/>
      <c r="I1239" s="190"/>
      <c r="J1239" s="190"/>
      <c r="K1239" s="190"/>
      <c r="L1239" s="190"/>
      <c r="M1239" s="190"/>
      <c r="N1239" s="220"/>
      <c r="O1239" s="220"/>
      <c r="P1239" s="220"/>
      <c r="R1239" s="210"/>
      <c r="S1239" s="210"/>
      <c r="T1239" s="210"/>
      <c r="U1239" s="210"/>
      <c r="X1239" s="210"/>
      <c r="Y1239" s="210"/>
      <c r="Z1239" s="210"/>
      <c r="AA1239" s="210"/>
      <c r="AB1239" s="210"/>
      <c r="AC1239" s="210"/>
      <c r="AD1239" s="210"/>
      <c r="AE1239" s="210"/>
      <c r="AF1239" s="210"/>
      <c r="AG1239" s="210"/>
      <c r="AH1239" s="210"/>
      <c r="AI1239" s="210"/>
      <c r="AJ1239" s="210"/>
      <c r="AK1239" s="210"/>
      <c r="AL1239" s="210"/>
      <c r="AM1239" s="210"/>
      <c r="AN1239" s="210"/>
      <c r="AO1239" s="210"/>
      <c r="AP1239" s="210"/>
      <c r="AQ1239" s="210"/>
    </row>
    <row r="1240">
      <c r="A1240" s="190"/>
      <c r="B1240" s="190"/>
      <c r="C1240" s="190"/>
      <c r="D1240" s="190"/>
      <c r="E1240" s="190"/>
      <c r="F1240" s="190"/>
      <c r="G1240" s="190"/>
      <c r="H1240" s="190"/>
      <c r="I1240" s="190"/>
      <c r="J1240" s="190"/>
      <c r="K1240" s="190"/>
      <c r="L1240" s="190"/>
      <c r="M1240" s="190"/>
      <c r="N1240" s="220"/>
      <c r="O1240" s="220"/>
      <c r="P1240" s="220"/>
      <c r="R1240" s="210"/>
      <c r="S1240" s="210"/>
      <c r="T1240" s="210"/>
      <c r="U1240" s="210"/>
      <c r="X1240" s="210"/>
      <c r="Y1240" s="210"/>
      <c r="Z1240" s="210"/>
      <c r="AA1240" s="210"/>
      <c r="AB1240" s="210"/>
      <c r="AC1240" s="210"/>
      <c r="AD1240" s="210"/>
      <c r="AE1240" s="210"/>
      <c r="AF1240" s="210"/>
      <c r="AG1240" s="210"/>
      <c r="AH1240" s="210"/>
      <c r="AI1240" s="210"/>
      <c r="AJ1240" s="210"/>
      <c r="AK1240" s="210"/>
      <c r="AL1240" s="210"/>
      <c r="AM1240" s="210"/>
      <c r="AN1240" s="210"/>
      <c r="AO1240" s="210"/>
      <c r="AP1240" s="210"/>
      <c r="AQ1240" s="210"/>
    </row>
    <row r="1241">
      <c r="A1241" s="190"/>
      <c r="B1241" s="190"/>
      <c r="C1241" s="190"/>
      <c r="D1241" s="190"/>
      <c r="E1241" s="190"/>
      <c r="F1241" s="190"/>
      <c r="G1241" s="190"/>
      <c r="H1241" s="190"/>
      <c r="I1241" s="190"/>
      <c r="J1241" s="190"/>
      <c r="K1241" s="190"/>
      <c r="L1241" s="190"/>
      <c r="M1241" s="190"/>
      <c r="N1241" s="220"/>
      <c r="O1241" s="220"/>
      <c r="P1241" s="220"/>
      <c r="R1241" s="210"/>
      <c r="S1241" s="210"/>
      <c r="T1241" s="210"/>
      <c r="U1241" s="210"/>
      <c r="X1241" s="210"/>
      <c r="Y1241" s="210"/>
      <c r="Z1241" s="210"/>
      <c r="AA1241" s="210"/>
      <c r="AB1241" s="210"/>
      <c r="AC1241" s="210"/>
      <c r="AD1241" s="210"/>
      <c r="AE1241" s="210"/>
      <c r="AF1241" s="210"/>
      <c r="AG1241" s="210"/>
      <c r="AH1241" s="210"/>
      <c r="AI1241" s="210"/>
      <c r="AJ1241" s="210"/>
      <c r="AK1241" s="210"/>
      <c r="AL1241" s="210"/>
      <c r="AM1241" s="210"/>
      <c r="AN1241" s="210"/>
      <c r="AO1241" s="210"/>
      <c r="AP1241" s="210"/>
      <c r="AQ1241" s="210"/>
    </row>
    <row r="1242">
      <c r="A1242" s="190"/>
      <c r="B1242" s="190"/>
      <c r="C1242" s="190"/>
      <c r="D1242" s="190"/>
      <c r="E1242" s="190"/>
      <c r="F1242" s="190"/>
      <c r="G1242" s="190"/>
      <c r="H1242" s="190"/>
      <c r="I1242" s="190"/>
      <c r="J1242" s="190"/>
      <c r="K1242" s="190"/>
      <c r="L1242" s="190"/>
      <c r="M1242" s="190"/>
      <c r="N1242" s="220"/>
      <c r="O1242" s="220"/>
      <c r="P1242" s="220"/>
      <c r="R1242" s="210"/>
      <c r="S1242" s="210"/>
      <c r="T1242" s="210"/>
      <c r="U1242" s="210"/>
      <c r="X1242" s="210"/>
      <c r="Y1242" s="210"/>
      <c r="Z1242" s="210"/>
      <c r="AA1242" s="210"/>
      <c r="AB1242" s="210"/>
      <c r="AC1242" s="210"/>
      <c r="AD1242" s="210"/>
      <c r="AE1242" s="210"/>
      <c r="AF1242" s="210"/>
      <c r="AG1242" s="210"/>
      <c r="AH1242" s="210"/>
      <c r="AI1242" s="210"/>
      <c r="AJ1242" s="210"/>
      <c r="AK1242" s="210"/>
      <c r="AL1242" s="210"/>
      <c r="AM1242" s="210"/>
      <c r="AN1242" s="210"/>
      <c r="AO1242" s="210"/>
      <c r="AP1242" s="210"/>
      <c r="AQ1242" s="210"/>
    </row>
    <row r="1243">
      <c r="A1243" s="190"/>
      <c r="B1243" s="190"/>
      <c r="C1243" s="190"/>
      <c r="D1243" s="190"/>
      <c r="E1243" s="190"/>
      <c r="F1243" s="190"/>
      <c r="G1243" s="190"/>
      <c r="H1243" s="190"/>
      <c r="I1243" s="190"/>
      <c r="J1243" s="190"/>
      <c r="K1243" s="190"/>
      <c r="L1243" s="190"/>
      <c r="M1243" s="190"/>
      <c r="N1243" s="220"/>
      <c r="O1243" s="220"/>
      <c r="P1243" s="220"/>
      <c r="R1243" s="210"/>
      <c r="S1243" s="210"/>
      <c r="T1243" s="210"/>
      <c r="U1243" s="210"/>
      <c r="X1243" s="210"/>
      <c r="Y1243" s="210"/>
      <c r="Z1243" s="210"/>
      <c r="AA1243" s="210"/>
      <c r="AB1243" s="210"/>
      <c r="AC1243" s="210"/>
      <c r="AD1243" s="210"/>
      <c r="AE1243" s="210"/>
      <c r="AF1243" s="210"/>
      <c r="AG1243" s="210"/>
      <c r="AH1243" s="210"/>
      <c r="AI1243" s="210"/>
      <c r="AJ1243" s="210"/>
      <c r="AK1243" s="210"/>
      <c r="AL1243" s="210"/>
      <c r="AM1243" s="210"/>
      <c r="AN1243" s="210"/>
      <c r="AO1243" s="210"/>
      <c r="AP1243" s="210"/>
      <c r="AQ1243" s="210"/>
    </row>
    <row r="1244">
      <c r="A1244" s="190"/>
      <c r="B1244" s="190"/>
      <c r="C1244" s="190"/>
      <c r="D1244" s="190"/>
      <c r="E1244" s="190"/>
      <c r="F1244" s="190"/>
      <c r="G1244" s="190"/>
      <c r="H1244" s="190"/>
      <c r="I1244" s="190"/>
      <c r="J1244" s="190"/>
      <c r="K1244" s="190"/>
      <c r="L1244" s="190"/>
      <c r="M1244" s="190"/>
      <c r="N1244" s="220"/>
      <c r="O1244" s="220"/>
      <c r="P1244" s="220"/>
      <c r="R1244" s="210"/>
      <c r="S1244" s="210"/>
      <c r="T1244" s="210"/>
      <c r="U1244" s="210"/>
      <c r="X1244" s="210"/>
      <c r="Y1244" s="210"/>
      <c r="Z1244" s="210"/>
      <c r="AA1244" s="210"/>
      <c r="AB1244" s="210"/>
      <c r="AC1244" s="210"/>
      <c r="AD1244" s="210"/>
      <c r="AE1244" s="210"/>
      <c r="AF1244" s="210"/>
      <c r="AG1244" s="210"/>
      <c r="AH1244" s="210"/>
      <c r="AI1244" s="210"/>
      <c r="AJ1244" s="210"/>
      <c r="AK1244" s="210"/>
      <c r="AL1244" s="210"/>
      <c r="AM1244" s="210"/>
      <c r="AN1244" s="210"/>
      <c r="AO1244" s="210"/>
      <c r="AP1244" s="210"/>
      <c r="AQ1244" s="210"/>
    </row>
    <row r="1245">
      <c r="A1245" s="190"/>
      <c r="B1245" s="190"/>
      <c r="C1245" s="190"/>
      <c r="D1245" s="190"/>
      <c r="E1245" s="190"/>
      <c r="F1245" s="190"/>
      <c r="G1245" s="190"/>
      <c r="H1245" s="190"/>
      <c r="I1245" s="190"/>
      <c r="J1245" s="190"/>
      <c r="K1245" s="190"/>
      <c r="L1245" s="190"/>
      <c r="M1245" s="190"/>
      <c r="N1245" s="220"/>
      <c r="O1245" s="220"/>
      <c r="P1245" s="220"/>
      <c r="R1245" s="210"/>
      <c r="S1245" s="210"/>
      <c r="T1245" s="210"/>
      <c r="U1245" s="210"/>
      <c r="X1245" s="210"/>
      <c r="Y1245" s="210"/>
      <c r="Z1245" s="210"/>
      <c r="AA1245" s="210"/>
      <c r="AB1245" s="210"/>
      <c r="AC1245" s="210"/>
      <c r="AD1245" s="210"/>
      <c r="AE1245" s="210"/>
      <c r="AF1245" s="210"/>
      <c r="AG1245" s="210"/>
      <c r="AH1245" s="210"/>
      <c r="AI1245" s="210"/>
      <c r="AJ1245" s="210"/>
      <c r="AK1245" s="210"/>
      <c r="AL1245" s="210"/>
      <c r="AM1245" s="210"/>
      <c r="AN1245" s="210"/>
      <c r="AO1245" s="210"/>
      <c r="AP1245" s="210"/>
      <c r="AQ1245" s="210"/>
    </row>
    <row r="1246">
      <c r="A1246" s="190"/>
      <c r="B1246" s="190"/>
      <c r="C1246" s="190"/>
      <c r="D1246" s="190"/>
      <c r="E1246" s="190"/>
      <c r="F1246" s="190"/>
      <c r="G1246" s="190"/>
      <c r="H1246" s="190"/>
      <c r="I1246" s="190"/>
      <c r="J1246" s="190"/>
      <c r="K1246" s="190"/>
      <c r="L1246" s="190"/>
      <c r="M1246" s="190"/>
      <c r="N1246" s="220"/>
      <c r="O1246" s="220"/>
      <c r="P1246" s="220"/>
      <c r="R1246" s="210"/>
      <c r="S1246" s="210"/>
      <c r="T1246" s="210"/>
      <c r="U1246" s="210"/>
      <c r="X1246" s="210"/>
      <c r="Y1246" s="210"/>
      <c r="Z1246" s="210"/>
      <c r="AA1246" s="210"/>
      <c r="AB1246" s="210"/>
      <c r="AC1246" s="210"/>
      <c r="AD1246" s="210"/>
      <c r="AE1246" s="210"/>
      <c r="AF1246" s="210"/>
      <c r="AG1246" s="210"/>
      <c r="AH1246" s="210"/>
      <c r="AI1246" s="210"/>
      <c r="AJ1246" s="210"/>
      <c r="AK1246" s="210"/>
      <c r="AL1246" s="210"/>
      <c r="AM1246" s="210"/>
      <c r="AN1246" s="210"/>
      <c r="AO1246" s="210"/>
      <c r="AP1246" s="210"/>
      <c r="AQ1246" s="210"/>
    </row>
    <row r="1247">
      <c r="A1247" s="190"/>
      <c r="B1247" s="190"/>
      <c r="C1247" s="190"/>
      <c r="D1247" s="190"/>
      <c r="E1247" s="190"/>
      <c r="F1247" s="190"/>
      <c r="G1247" s="190"/>
      <c r="H1247" s="190"/>
      <c r="I1247" s="190"/>
      <c r="J1247" s="190"/>
      <c r="K1247" s="190"/>
      <c r="L1247" s="190"/>
      <c r="M1247" s="190"/>
      <c r="N1247" s="220"/>
      <c r="O1247" s="220"/>
      <c r="P1247" s="220"/>
      <c r="R1247" s="210"/>
      <c r="S1247" s="210"/>
      <c r="T1247" s="210"/>
      <c r="U1247" s="210"/>
      <c r="X1247" s="210"/>
      <c r="Y1247" s="210"/>
      <c r="Z1247" s="210"/>
      <c r="AA1247" s="210"/>
      <c r="AB1247" s="210"/>
      <c r="AC1247" s="210"/>
      <c r="AD1247" s="210"/>
      <c r="AE1247" s="210"/>
      <c r="AF1247" s="210"/>
      <c r="AG1247" s="210"/>
      <c r="AH1247" s="210"/>
      <c r="AI1247" s="210"/>
      <c r="AJ1247" s="210"/>
      <c r="AK1247" s="210"/>
      <c r="AL1247" s="210"/>
      <c r="AM1247" s="210"/>
      <c r="AN1247" s="210"/>
      <c r="AO1247" s="210"/>
      <c r="AP1247" s="210"/>
      <c r="AQ1247" s="210"/>
    </row>
    <row r="1248">
      <c r="A1248" s="190"/>
      <c r="B1248" s="190"/>
      <c r="C1248" s="190"/>
      <c r="D1248" s="190"/>
      <c r="E1248" s="190"/>
      <c r="F1248" s="190"/>
      <c r="G1248" s="190"/>
      <c r="H1248" s="190"/>
      <c r="I1248" s="190"/>
      <c r="J1248" s="190"/>
      <c r="K1248" s="190"/>
      <c r="L1248" s="190"/>
      <c r="M1248" s="190"/>
      <c r="N1248" s="220"/>
      <c r="O1248" s="220"/>
      <c r="P1248" s="220"/>
      <c r="R1248" s="210"/>
      <c r="S1248" s="210"/>
      <c r="T1248" s="210"/>
      <c r="U1248" s="210"/>
      <c r="X1248" s="210"/>
      <c r="Y1248" s="210"/>
      <c r="Z1248" s="210"/>
      <c r="AA1248" s="210"/>
      <c r="AB1248" s="210"/>
      <c r="AC1248" s="210"/>
      <c r="AD1248" s="210"/>
      <c r="AE1248" s="210"/>
      <c r="AF1248" s="210"/>
      <c r="AG1248" s="210"/>
      <c r="AH1248" s="210"/>
      <c r="AI1248" s="210"/>
      <c r="AJ1248" s="210"/>
      <c r="AK1248" s="210"/>
      <c r="AL1248" s="210"/>
      <c r="AM1248" s="210"/>
      <c r="AN1248" s="210"/>
      <c r="AO1248" s="210"/>
      <c r="AP1248" s="210"/>
      <c r="AQ1248" s="210"/>
    </row>
    <row r="1249">
      <c r="A1249" s="190"/>
      <c r="B1249" s="190"/>
      <c r="C1249" s="190"/>
      <c r="D1249" s="190"/>
      <c r="E1249" s="190"/>
      <c r="F1249" s="190"/>
      <c r="G1249" s="190"/>
      <c r="H1249" s="190"/>
      <c r="I1249" s="190"/>
      <c r="J1249" s="190"/>
      <c r="K1249" s="190"/>
      <c r="L1249" s="190"/>
      <c r="M1249" s="190"/>
      <c r="N1249" s="220"/>
      <c r="O1249" s="220"/>
      <c r="P1249" s="220"/>
      <c r="R1249" s="210"/>
      <c r="S1249" s="210"/>
      <c r="T1249" s="210"/>
      <c r="U1249" s="210"/>
      <c r="X1249" s="210"/>
      <c r="Y1249" s="210"/>
      <c r="Z1249" s="210"/>
      <c r="AA1249" s="210"/>
      <c r="AB1249" s="210"/>
      <c r="AC1249" s="210"/>
      <c r="AD1249" s="210"/>
      <c r="AE1249" s="210"/>
      <c r="AF1249" s="210"/>
      <c r="AG1249" s="210"/>
      <c r="AH1249" s="210"/>
      <c r="AI1249" s="210"/>
      <c r="AJ1249" s="210"/>
      <c r="AK1249" s="210"/>
      <c r="AL1249" s="210"/>
      <c r="AM1249" s="210"/>
      <c r="AN1249" s="210"/>
      <c r="AO1249" s="210"/>
      <c r="AP1249" s="210"/>
      <c r="AQ1249" s="210"/>
    </row>
    <row r="1250">
      <c r="A1250" s="190"/>
      <c r="B1250" s="190"/>
      <c r="C1250" s="190"/>
      <c r="D1250" s="190"/>
      <c r="E1250" s="190"/>
      <c r="F1250" s="190"/>
      <c r="G1250" s="190"/>
      <c r="H1250" s="190"/>
      <c r="I1250" s="190"/>
      <c r="J1250" s="190"/>
      <c r="K1250" s="190"/>
      <c r="L1250" s="190"/>
      <c r="M1250" s="190"/>
      <c r="N1250" s="220"/>
      <c r="O1250" s="220"/>
      <c r="P1250" s="220"/>
      <c r="R1250" s="210"/>
      <c r="S1250" s="210"/>
      <c r="T1250" s="210"/>
      <c r="U1250" s="210"/>
      <c r="X1250" s="210"/>
      <c r="Y1250" s="210"/>
      <c r="Z1250" s="210"/>
      <c r="AA1250" s="210"/>
      <c r="AB1250" s="210"/>
      <c r="AC1250" s="210"/>
      <c r="AD1250" s="210"/>
      <c r="AE1250" s="210"/>
      <c r="AF1250" s="210"/>
      <c r="AG1250" s="210"/>
      <c r="AH1250" s="210"/>
      <c r="AI1250" s="210"/>
      <c r="AJ1250" s="210"/>
      <c r="AK1250" s="210"/>
      <c r="AL1250" s="210"/>
      <c r="AM1250" s="210"/>
      <c r="AN1250" s="210"/>
      <c r="AO1250" s="210"/>
      <c r="AP1250" s="210"/>
      <c r="AQ1250" s="210"/>
    </row>
    <row r="1251">
      <c r="A1251" s="190"/>
      <c r="B1251" s="190"/>
      <c r="C1251" s="190"/>
      <c r="D1251" s="190"/>
      <c r="E1251" s="190"/>
      <c r="F1251" s="190"/>
      <c r="G1251" s="190"/>
      <c r="H1251" s="190"/>
      <c r="I1251" s="190"/>
      <c r="J1251" s="190"/>
      <c r="K1251" s="190"/>
      <c r="L1251" s="190"/>
      <c r="M1251" s="190"/>
      <c r="N1251" s="220"/>
      <c r="O1251" s="220"/>
      <c r="P1251" s="220"/>
      <c r="R1251" s="210"/>
      <c r="S1251" s="210"/>
      <c r="T1251" s="210"/>
      <c r="U1251" s="210"/>
      <c r="X1251" s="210"/>
      <c r="Y1251" s="210"/>
      <c r="Z1251" s="210"/>
      <c r="AA1251" s="210"/>
      <c r="AB1251" s="210"/>
      <c r="AC1251" s="210"/>
      <c r="AD1251" s="210"/>
      <c r="AE1251" s="210"/>
      <c r="AF1251" s="210"/>
      <c r="AG1251" s="210"/>
      <c r="AH1251" s="210"/>
      <c r="AI1251" s="210"/>
      <c r="AJ1251" s="210"/>
      <c r="AK1251" s="210"/>
      <c r="AL1251" s="210"/>
      <c r="AM1251" s="210"/>
      <c r="AN1251" s="210"/>
      <c r="AO1251" s="210"/>
      <c r="AP1251" s="210"/>
      <c r="AQ1251" s="210"/>
    </row>
    <row r="1252">
      <c r="A1252" s="190"/>
      <c r="B1252" s="190"/>
      <c r="C1252" s="190"/>
      <c r="D1252" s="190"/>
      <c r="E1252" s="190"/>
      <c r="F1252" s="190"/>
      <c r="G1252" s="190"/>
      <c r="H1252" s="190"/>
      <c r="I1252" s="190"/>
      <c r="J1252" s="190"/>
      <c r="K1252" s="190"/>
      <c r="L1252" s="190"/>
      <c r="M1252" s="190"/>
      <c r="N1252" s="220"/>
      <c r="O1252" s="220"/>
      <c r="P1252" s="220"/>
      <c r="R1252" s="210"/>
      <c r="S1252" s="210"/>
      <c r="T1252" s="210"/>
      <c r="U1252" s="210"/>
      <c r="X1252" s="210"/>
      <c r="Y1252" s="210"/>
      <c r="Z1252" s="210"/>
      <c r="AA1252" s="210"/>
      <c r="AB1252" s="210"/>
      <c r="AC1252" s="210"/>
      <c r="AD1252" s="210"/>
      <c r="AE1252" s="210"/>
      <c r="AF1252" s="210"/>
      <c r="AG1252" s="210"/>
      <c r="AH1252" s="210"/>
      <c r="AI1252" s="210"/>
      <c r="AJ1252" s="210"/>
      <c r="AK1252" s="210"/>
      <c r="AL1252" s="210"/>
      <c r="AM1252" s="210"/>
      <c r="AN1252" s="210"/>
      <c r="AO1252" s="210"/>
      <c r="AP1252" s="210"/>
      <c r="AQ1252" s="210"/>
    </row>
    <row r="1253">
      <c r="A1253" s="190"/>
      <c r="B1253" s="190"/>
      <c r="C1253" s="190"/>
      <c r="D1253" s="190"/>
      <c r="E1253" s="190"/>
      <c r="F1253" s="190"/>
      <c r="G1253" s="190"/>
      <c r="H1253" s="190"/>
      <c r="I1253" s="190"/>
      <c r="J1253" s="190"/>
      <c r="K1253" s="190"/>
      <c r="L1253" s="190"/>
      <c r="M1253" s="190"/>
      <c r="N1253" s="220"/>
      <c r="O1253" s="220"/>
      <c r="P1253" s="220"/>
      <c r="R1253" s="210"/>
      <c r="S1253" s="210"/>
      <c r="T1253" s="210"/>
      <c r="U1253" s="210"/>
      <c r="X1253" s="210"/>
      <c r="Y1253" s="210"/>
      <c r="Z1253" s="210"/>
      <c r="AA1253" s="210"/>
      <c r="AB1253" s="210"/>
      <c r="AC1253" s="210"/>
      <c r="AD1253" s="210"/>
      <c r="AE1253" s="210"/>
      <c r="AF1253" s="210"/>
      <c r="AG1253" s="210"/>
      <c r="AH1253" s="210"/>
      <c r="AI1253" s="210"/>
      <c r="AJ1253" s="210"/>
      <c r="AK1253" s="210"/>
      <c r="AL1253" s="210"/>
      <c r="AM1253" s="210"/>
      <c r="AN1253" s="210"/>
      <c r="AO1253" s="210"/>
      <c r="AP1253" s="210"/>
      <c r="AQ1253" s="210"/>
    </row>
    <row r="1254">
      <c r="A1254" s="190"/>
      <c r="B1254" s="190"/>
      <c r="C1254" s="190"/>
      <c r="D1254" s="190"/>
      <c r="E1254" s="190"/>
      <c r="F1254" s="190"/>
      <c r="G1254" s="190"/>
      <c r="H1254" s="190"/>
      <c r="I1254" s="190"/>
      <c r="J1254" s="190"/>
      <c r="K1254" s="190"/>
      <c r="L1254" s="190"/>
      <c r="M1254" s="190"/>
      <c r="N1254" s="220"/>
      <c r="O1254" s="220"/>
      <c r="P1254" s="220"/>
      <c r="R1254" s="210"/>
      <c r="S1254" s="210"/>
      <c r="T1254" s="210"/>
      <c r="U1254" s="210"/>
      <c r="X1254" s="210"/>
      <c r="Y1254" s="210"/>
      <c r="Z1254" s="210"/>
      <c r="AA1254" s="210"/>
      <c r="AB1254" s="210"/>
      <c r="AC1254" s="210"/>
      <c r="AD1254" s="210"/>
      <c r="AE1254" s="210"/>
      <c r="AF1254" s="210"/>
      <c r="AG1254" s="210"/>
      <c r="AH1254" s="210"/>
      <c r="AI1254" s="210"/>
      <c r="AJ1254" s="210"/>
      <c r="AK1254" s="210"/>
      <c r="AL1254" s="210"/>
      <c r="AM1254" s="210"/>
      <c r="AN1254" s="210"/>
      <c r="AO1254" s="210"/>
      <c r="AP1254" s="210"/>
      <c r="AQ1254" s="210"/>
    </row>
    <row r="1255">
      <c r="A1255" s="190"/>
      <c r="B1255" s="190"/>
      <c r="C1255" s="190"/>
      <c r="D1255" s="190"/>
      <c r="E1255" s="190"/>
      <c r="F1255" s="190"/>
      <c r="G1255" s="190"/>
      <c r="H1255" s="190"/>
      <c r="I1255" s="190"/>
      <c r="J1255" s="190"/>
      <c r="K1255" s="190"/>
      <c r="L1255" s="190"/>
      <c r="M1255" s="190"/>
      <c r="N1255" s="220"/>
      <c r="O1255" s="220"/>
      <c r="P1255" s="220"/>
      <c r="R1255" s="210"/>
      <c r="S1255" s="210"/>
      <c r="T1255" s="210"/>
      <c r="U1255" s="210"/>
      <c r="X1255" s="210"/>
      <c r="Y1255" s="210"/>
      <c r="Z1255" s="210"/>
      <c r="AA1255" s="210"/>
      <c r="AB1255" s="210"/>
      <c r="AC1255" s="210"/>
      <c r="AD1255" s="210"/>
      <c r="AE1255" s="210"/>
      <c r="AF1255" s="210"/>
      <c r="AG1255" s="210"/>
      <c r="AH1255" s="210"/>
      <c r="AI1255" s="210"/>
      <c r="AJ1255" s="210"/>
      <c r="AK1255" s="210"/>
      <c r="AL1255" s="210"/>
      <c r="AM1255" s="210"/>
      <c r="AN1255" s="210"/>
      <c r="AO1255" s="210"/>
      <c r="AP1255" s="210"/>
      <c r="AQ1255" s="210"/>
    </row>
    <row r="1256">
      <c r="A1256" s="190"/>
      <c r="B1256" s="190"/>
      <c r="C1256" s="190"/>
      <c r="D1256" s="190"/>
      <c r="E1256" s="190"/>
      <c r="F1256" s="190"/>
      <c r="G1256" s="190"/>
      <c r="H1256" s="190"/>
      <c r="I1256" s="190"/>
      <c r="J1256" s="190"/>
      <c r="K1256" s="190"/>
      <c r="L1256" s="190"/>
      <c r="M1256" s="190"/>
      <c r="N1256" s="220"/>
      <c r="O1256" s="220"/>
      <c r="P1256" s="220"/>
      <c r="R1256" s="210"/>
      <c r="S1256" s="210"/>
      <c r="T1256" s="210"/>
      <c r="U1256" s="210"/>
      <c r="X1256" s="210"/>
      <c r="Y1256" s="210"/>
      <c r="Z1256" s="210"/>
      <c r="AA1256" s="210"/>
      <c r="AB1256" s="210"/>
      <c r="AC1256" s="210"/>
      <c r="AD1256" s="210"/>
      <c r="AE1256" s="210"/>
      <c r="AF1256" s="210"/>
      <c r="AG1256" s="210"/>
      <c r="AH1256" s="210"/>
      <c r="AI1256" s="210"/>
      <c r="AJ1256" s="210"/>
      <c r="AK1256" s="210"/>
      <c r="AL1256" s="210"/>
      <c r="AM1256" s="210"/>
      <c r="AN1256" s="210"/>
      <c r="AO1256" s="210"/>
      <c r="AP1256" s="210"/>
      <c r="AQ1256" s="210"/>
    </row>
    <row r="1257">
      <c r="A1257" s="190"/>
      <c r="B1257" s="190"/>
      <c r="C1257" s="190"/>
      <c r="D1257" s="190"/>
      <c r="E1257" s="190"/>
      <c r="F1257" s="190"/>
      <c r="G1257" s="190"/>
      <c r="H1257" s="190"/>
      <c r="I1257" s="190"/>
      <c r="J1257" s="190"/>
      <c r="K1257" s="190"/>
      <c r="L1257" s="190"/>
      <c r="M1257" s="190"/>
      <c r="N1257" s="220"/>
      <c r="O1257" s="220"/>
      <c r="P1257" s="220"/>
      <c r="R1257" s="210"/>
      <c r="S1257" s="210"/>
      <c r="T1257" s="210"/>
      <c r="U1257" s="210"/>
      <c r="X1257" s="210"/>
      <c r="Y1257" s="210"/>
      <c r="Z1257" s="210"/>
      <c r="AA1257" s="210"/>
      <c r="AB1257" s="210"/>
      <c r="AC1257" s="210"/>
      <c r="AD1257" s="210"/>
      <c r="AE1257" s="210"/>
      <c r="AF1257" s="210"/>
      <c r="AG1257" s="210"/>
      <c r="AH1257" s="210"/>
      <c r="AI1257" s="210"/>
      <c r="AJ1257" s="210"/>
      <c r="AK1257" s="210"/>
      <c r="AL1257" s="210"/>
      <c r="AM1257" s="210"/>
      <c r="AN1257" s="210"/>
      <c r="AO1257" s="210"/>
      <c r="AP1257" s="210"/>
      <c r="AQ1257" s="210"/>
    </row>
    <row r="1258">
      <c r="A1258" s="190"/>
      <c r="B1258" s="190"/>
      <c r="C1258" s="190"/>
      <c r="D1258" s="190"/>
      <c r="E1258" s="190"/>
      <c r="F1258" s="190"/>
      <c r="G1258" s="190"/>
      <c r="H1258" s="190"/>
      <c r="I1258" s="190"/>
      <c r="J1258" s="190"/>
      <c r="K1258" s="190"/>
      <c r="L1258" s="190"/>
      <c r="M1258" s="190"/>
      <c r="N1258" s="220"/>
      <c r="O1258" s="220"/>
      <c r="P1258" s="220"/>
      <c r="R1258" s="210"/>
      <c r="S1258" s="210"/>
      <c r="T1258" s="210"/>
      <c r="U1258" s="210"/>
      <c r="X1258" s="210"/>
      <c r="Y1258" s="210"/>
      <c r="Z1258" s="210"/>
      <c r="AA1258" s="210"/>
      <c r="AB1258" s="210"/>
      <c r="AC1258" s="210"/>
      <c r="AD1258" s="210"/>
      <c r="AE1258" s="210"/>
      <c r="AF1258" s="210"/>
      <c r="AG1258" s="210"/>
      <c r="AH1258" s="210"/>
      <c r="AI1258" s="210"/>
      <c r="AJ1258" s="210"/>
      <c r="AK1258" s="210"/>
      <c r="AL1258" s="210"/>
      <c r="AM1258" s="210"/>
      <c r="AN1258" s="210"/>
      <c r="AO1258" s="210"/>
      <c r="AP1258" s="210"/>
      <c r="AQ1258" s="210"/>
    </row>
    <row r="1259">
      <c r="A1259" s="190"/>
      <c r="B1259" s="190"/>
      <c r="C1259" s="190"/>
      <c r="D1259" s="190"/>
      <c r="E1259" s="190"/>
      <c r="F1259" s="190"/>
      <c r="G1259" s="190"/>
      <c r="H1259" s="190"/>
      <c r="I1259" s="190"/>
      <c r="J1259" s="190"/>
      <c r="K1259" s="190"/>
      <c r="L1259" s="190"/>
      <c r="M1259" s="190"/>
      <c r="N1259" s="220"/>
      <c r="O1259" s="220"/>
      <c r="P1259" s="220"/>
      <c r="R1259" s="210"/>
      <c r="S1259" s="210"/>
      <c r="T1259" s="210"/>
      <c r="U1259" s="210"/>
      <c r="X1259" s="210"/>
      <c r="Y1259" s="210"/>
      <c r="Z1259" s="210"/>
      <c r="AA1259" s="210"/>
      <c r="AB1259" s="210"/>
      <c r="AC1259" s="210"/>
      <c r="AD1259" s="210"/>
      <c r="AE1259" s="210"/>
      <c r="AF1259" s="210"/>
      <c r="AG1259" s="210"/>
      <c r="AH1259" s="210"/>
      <c r="AI1259" s="210"/>
      <c r="AJ1259" s="210"/>
      <c r="AK1259" s="210"/>
      <c r="AL1259" s="210"/>
      <c r="AM1259" s="210"/>
      <c r="AN1259" s="210"/>
      <c r="AO1259" s="210"/>
      <c r="AP1259" s="210"/>
      <c r="AQ1259" s="210"/>
    </row>
    <row r="1260">
      <c r="A1260" s="190"/>
      <c r="B1260" s="190"/>
      <c r="C1260" s="190"/>
      <c r="D1260" s="190"/>
      <c r="E1260" s="190"/>
      <c r="F1260" s="190"/>
      <c r="G1260" s="190"/>
      <c r="H1260" s="190"/>
      <c r="I1260" s="190"/>
      <c r="J1260" s="190"/>
      <c r="K1260" s="190"/>
      <c r="L1260" s="190"/>
      <c r="M1260" s="190"/>
      <c r="N1260" s="220"/>
      <c r="O1260" s="220"/>
      <c r="P1260" s="220"/>
      <c r="R1260" s="210"/>
      <c r="S1260" s="210"/>
      <c r="T1260" s="210"/>
      <c r="U1260" s="210"/>
      <c r="X1260" s="210"/>
      <c r="Y1260" s="210"/>
      <c r="Z1260" s="210"/>
      <c r="AA1260" s="210"/>
      <c r="AB1260" s="210"/>
      <c r="AC1260" s="210"/>
      <c r="AD1260" s="210"/>
      <c r="AE1260" s="210"/>
      <c r="AF1260" s="210"/>
      <c r="AG1260" s="210"/>
      <c r="AH1260" s="210"/>
      <c r="AI1260" s="210"/>
      <c r="AJ1260" s="210"/>
      <c r="AK1260" s="210"/>
      <c r="AL1260" s="210"/>
      <c r="AM1260" s="210"/>
      <c r="AN1260" s="210"/>
      <c r="AO1260" s="210"/>
      <c r="AP1260" s="210"/>
      <c r="AQ1260" s="210"/>
    </row>
    <row r="1261">
      <c r="A1261" s="190"/>
      <c r="B1261" s="190"/>
      <c r="C1261" s="190"/>
      <c r="D1261" s="190"/>
      <c r="E1261" s="190"/>
      <c r="F1261" s="190"/>
      <c r="G1261" s="190"/>
      <c r="H1261" s="190"/>
      <c r="I1261" s="190"/>
      <c r="J1261" s="190"/>
      <c r="K1261" s="190"/>
      <c r="L1261" s="190"/>
      <c r="M1261" s="190"/>
      <c r="N1261" s="220"/>
      <c r="O1261" s="220"/>
      <c r="P1261" s="220"/>
      <c r="R1261" s="210"/>
      <c r="S1261" s="210"/>
      <c r="T1261" s="210"/>
      <c r="U1261" s="210"/>
      <c r="X1261" s="210"/>
      <c r="Y1261" s="210"/>
      <c r="Z1261" s="210"/>
      <c r="AA1261" s="210"/>
      <c r="AB1261" s="210"/>
      <c r="AC1261" s="210"/>
      <c r="AD1261" s="210"/>
      <c r="AE1261" s="210"/>
      <c r="AF1261" s="210"/>
      <c r="AG1261" s="210"/>
      <c r="AH1261" s="210"/>
      <c r="AI1261" s="210"/>
      <c r="AJ1261" s="210"/>
      <c r="AK1261" s="210"/>
      <c r="AL1261" s="210"/>
      <c r="AM1261" s="210"/>
      <c r="AN1261" s="210"/>
      <c r="AO1261" s="210"/>
      <c r="AP1261" s="210"/>
      <c r="AQ1261" s="210"/>
    </row>
    <row r="1262">
      <c r="A1262" s="190"/>
      <c r="B1262" s="190"/>
      <c r="C1262" s="190"/>
      <c r="D1262" s="190"/>
      <c r="E1262" s="190"/>
      <c r="F1262" s="190"/>
      <c r="G1262" s="190"/>
      <c r="H1262" s="190"/>
      <c r="I1262" s="190"/>
      <c r="J1262" s="190"/>
      <c r="K1262" s="190"/>
      <c r="L1262" s="190"/>
      <c r="M1262" s="190"/>
      <c r="N1262" s="220"/>
      <c r="O1262" s="220"/>
      <c r="P1262" s="220"/>
      <c r="R1262" s="210"/>
      <c r="S1262" s="210"/>
      <c r="T1262" s="210"/>
      <c r="U1262" s="210"/>
      <c r="X1262" s="210"/>
      <c r="Y1262" s="210"/>
      <c r="Z1262" s="210"/>
      <c r="AA1262" s="210"/>
      <c r="AB1262" s="210"/>
      <c r="AC1262" s="210"/>
      <c r="AD1262" s="210"/>
      <c r="AE1262" s="210"/>
      <c r="AF1262" s="210"/>
      <c r="AG1262" s="210"/>
      <c r="AH1262" s="210"/>
      <c r="AI1262" s="210"/>
      <c r="AJ1262" s="210"/>
      <c r="AK1262" s="210"/>
      <c r="AL1262" s="210"/>
      <c r="AM1262" s="210"/>
      <c r="AN1262" s="210"/>
      <c r="AO1262" s="210"/>
      <c r="AP1262" s="210"/>
      <c r="AQ1262" s="210"/>
    </row>
    <row r="1263">
      <c r="A1263" s="190"/>
      <c r="B1263" s="190"/>
      <c r="C1263" s="190"/>
      <c r="D1263" s="190"/>
      <c r="E1263" s="190"/>
      <c r="F1263" s="190"/>
      <c r="G1263" s="190"/>
      <c r="H1263" s="190"/>
      <c r="I1263" s="190"/>
      <c r="J1263" s="190"/>
      <c r="K1263" s="190"/>
      <c r="L1263" s="190"/>
      <c r="M1263" s="190"/>
      <c r="N1263" s="220"/>
      <c r="O1263" s="220"/>
      <c r="P1263" s="220"/>
      <c r="R1263" s="210"/>
      <c r="S1263" s="210"/>
      <c r="T1263" s="210"/>
      <c r="U1263" s="210"/>
      <c r="X1263" s="210"/>
      <c r="Y1263" s="210"/>
      <c r="Z1263" s="210"/>
      <c r="AA1263" s="210"/>
      <c r="AB1263" s="210"/>
      <c r="AC1263" s="210"/>
      <c r="AD1263" s="210"/>
      <c r="AE1263" s="210"/>
      <c r="AF1263" s="210"/>
      <c r="AG1263" s="210"/>
      <c r="AH1263" s="210"/>
      <c r="AI1263" s="210"/>
      <c r="AJ1263" s="210"/>
      <c r="AK1263" s="210"/>
      <c r="AL1263" s="210"/>
      <c r="AM1263" s="210"/>
      <c r="AN1263" s="210"/>
      <c r="AO1263" s="210"/>
      <c r="AP1263" s="210"/>
      <c r="AQ1263" s="210"/>
    </row>
    <row r="1264">
      <c r="A1264" s="190"/>
      <c r="B1264" s="190"/>
      <c r="C1264" s="190"/>
      <c r="D1264" s="190"/>
      <c r="E1264" s="190"/>
      <c r="F1264" s="190"/>
      <c r="G1264" s="190"/>
      <c r="H1264" s="190"/>
      <c r="I1264" s="190"/>
      <c r="J1264" s="190"/>
      <c r="K1264" s="190"/>
      <c r="L1264" s="190"/>
      <c r="M1264" s="190"/>
      <c r="N1264" s="220"/>
      <c r="O1264" s="220"/>
      <c r="P1264" s="220"/>
      <c r="R1264" s="210"/>
      <c r="S1264" s="210"/>
      <c r="T1264" s="210"/>
      <c r="U1264" s="210"/>
      <c r="X1264" s="210"/>
      <c r="Y1264" s="210"/>
      <c r="Z1264" s="210"/>
      <c r="AA1264" s="210"/>
      <c r="AB1264" s="210"/>
      <c r="AC1264" s="210"/>
      <c r="AD1264" s="210"/>
      <c r="AE1264" s="210"/>
      <c r="AF1264" s="210"/>
      <c r="AG1264" s="210"/>
      <c r="AH1264" s="210"/>
      <c r="AI1264" s="210"/>
      <c r="AJ1264" s="210"/>
      <c r="AK1264" s="210"/>
      <c r="AL1264" s="210"/>
      <c r="AM1264" s="210"/>
      <c r="AN1264" s="210"/>
      <c r="AO1264" s="210"/>
      <c r="AP1264" s="210"/>
      <c r="AQ1264" s="210"/>
    </row>
    <row r="1265">
      <c r="A1265" s="190"/>
      <c r="B1265" s="190"/>
      <c r="C1265" s="190"/>
      <c r="D1265" s="190"/>
      <c r="E1265" s="190"/>
      <c r="F1265" s="190"/>
      <c r="G1265" s="190"/>
      <c r="H1265" s="190"/>
      <c r="I1265" s="190"/>
      <c r="J1265" s="190"/>
      <c r="K1265" s="190"/>
      <c r="L1265" s="190"/>
      <c r="M1265" s="190"/>
      <c r="N1265" s="220"/>
      <c r="O1265" s="220"/>
      <c r="P1265" s="220"/>
      <c r="R1265" s="210"/>
      <c r="S1265" s="210"/>
      <c r="T1265" s="210"/>
      <c r="U1265" s="210"/>
      <c r="X1265" s="210"/>
      <c r="Y1265" s="210"/>
      <c r="Z1265" s="210"/>
      <c r="AA1265" s="210"/>
      <c r="AB1265" s="210"/>
      <c r="AC1265" s="210"/>
      <c r="AD1265" s="210"/>
      <c r="AE1265" s="210"/>
      <c r="AF1265" s="210"/>
      <c r="AG1265" s="210"/>
      <c r="AH1265" s="210"/>
      <c r="AI1265" s="210"/>
      <c r="AJ1265" s="210"/>
      <c r="AK1265" s="210"/>
      <c r="AL1265" s="210"/>
      <c r="AM1265" s="210"/>
      <c r="AN1265" s="210"/>
      <c r="AO1265" s="210"/>
      <c r="AP1265" s="210"/>
      <c r="AQ1265" s="210"/>
    </row>
    <row r="1266">
      <c r="A1266" s="190"/>
      <c r="B1266" s="190"/>
      <c r="C1266" s="190"/>
      <c r="D1266" s="190"/>
      <c r="E1266" s="190"/>
      <c r="F1266" s="190"/>
      <c r="G1266" s="190"/>
      <c r="H1266" s="190"/>
      <c r="I1266" s="190"/>
      <c r="J1266" s="190"/>
      <c r="K1266" s="190"/>
      <c r="L1266" s="190"/>
      <c r="M1266" s="190"/>
      <c r="N1266" s="220"/>
      <c r="O1266" s="220"/>
      <c r="P1266" s="220"/>
      <c r="R1266" s="210"/>
      <c r="S1266" s="210"/>
      <c r="T1266" s="210"/>
      <c r="U1266" s="210"/>
      <c r="X1266" s="210"/>
      <c r="Y1266" s="210"/>
      <c r="Z1266" s="210"/>
      <c r="AA1266" s="210"/>
      <c r="AB1266" s="210"/>
      <c r="AC1266" s="210"/>
      <c r="AD1266" s="210"/>
      <c r="AE1266" s="210"/>
      <c r="AF1266" s="210"/>
      <c r="AG1266" s="210"/>
      <c r="AH1266" s="210"/>
      <c r="AI1266" s="210"/>
      <c r="AJ1266" s="210"/>
      <c r="AK1266" s="210"/>
      <c r="AL1266" s="210"/>
      <c r="AM1266" s="210"/>
      <c r="AN1266" s="210"/>
      <c r="AO1266" s="210"/>
      <c r="AP1266" s="210"/>
      <c r="AQ1266" s="210"/>
    </row>
    <row r="1267">
      <c r="A1267" s="190"/>
      <c r="B1267" s="190"/>
      <c r="C1267" s="190"/>
      <c r="D1267" s="190"/>
      <c r="E1267" s="190"/>
      <c r="F1267" s="190"/>
      <c r="G1267" s="190"/>
      <c r="H1267" s="190"/>
      <c r="I1267" s="190"/>
      <c r="J1267" s="190"/>
      <c r="K1267" s="190"/>
      <c r="L1267" s="190"/>
      <c r="M1267" s="190"/>
      <c r="N1267" s="220"/>
      <c r="O1267" s="220"/>
      <c r="P1267" s="220"/>
      <c r="R1267" s="210"/>
      <c r="S1267" s="210"/>
      <c r="T1267" s="210"/>
      <c r="U1267" s="210"/>
      <c r="X1267" s="210"/>
      <c r="Y1267" s="210"/>
      <c r="Z1267" s="210"/>
      <c r="AA1267" s="210"/>
      <c r="AB1267" s="210"/>
      <c r="AC1267" s="210"/>
      <c r="AD1267" s="210"/>
      <c r="AE1267" s="210"/>
      <c r="AF1267" s="210"/>
      <c r="AG1267" s="210"/>
      <c r="AH1267" s="210"/>
      <c r="AI1267" s="210"/>
      <c r="AJ1267" s="210"/>
      <c r="AK1267" s="210"/>
      <c r="AL1267" s="210"/>
      <c r="AM1267" s="210"/>
      <c r="AN1267" s="210"/>
      <c r="AO1267" s="210"/>
      <c r="AP1267" s="210"/>
      <c r="AQ1267" s="210"/>
    </row>
    <row r="1268">
      <c r="A1268" s="190"/>
      <c r="B1268" s="190"/>
      <c r="C1268" s="190"/>
      <c r="D1268" s="190"/>
      <c r="E1268" s="190"/>
      <c r="F1268" s="190"/>
      <c r="G1268" s="190"/>
      <c r="H1268" s="190"/>
      <c r="I1268" s="190"/>
      <c r="J1268" s="190"/>
      <c r="K1268" s="190"/>
      <c r="L1268" s="190"/>
      <c r="M1268" s="190"/>
      <c r="N1268" s="220"/>
      <c r="O1268" s="220"/>
      <c r="P1268" s="220"/>
      <c r="R1268" s="210"/>
      <c r="S1268" s="210"/>
      <c r="T1268" s="210"/>
      <c r="U1268" s="210"/>
      <c r="X1268" s="210"/>
      <c r="Y1268" s="210"/>
      <c r="Z1268" s="210"/>
      <c r="AA1268" s="210"/>
      <c r="AB1268" s="210"/>
      <c r="AC1268" s="210"/>
      <c r="AD1268" s="210"/>
      <c r="AE1268" s="210"/>
      <c r="AF1268" s="210"/>
      <c r="AG1268" s="210"/>
      <c r="AH1268" s="210"/>
      <c r="AI1268" s="210"/>
      <c r="AJ1268" s="210"/>
      <c r="AK1268" s="210"/>
      <c r="AL1268" s="210"/>
      <c r="AM1268" s="210"/>
      <c r="AN1268" s="210"/>
      <c r="AO1268" s="210"/>
      <c r="AP1268" s="210"/>
      <c r="AQ1268" s="210"/>
    </row>
    <row r="1269">
      <c r="A1269" s="190"/>
      <c r="B1269" s="190"/>
      <c r="C1269" s="190"/>
      <c r="D1269" s="190"/>
      <c r="E1269" s="190"/>
      <c r="F1269" s="190"/>
      <c r="G1269" s="190"/>
      <c r="H1269" s="190"/>
      <c r="I1269" s="190"/>
      <c r="J1269" s="190"/>
      <c r="K1269" s="190"/>
      <c r="L1269" s="190"/>
      <c r="M1269" s="190"/>
      <c r="N1269" s="220"/>
      <c r="O1269" s="220"/>
      <c r="P1269" s="220"/>
      <c r="R1269" s="210"/>
      <c r="S1269" s="210"/>
      <c r="T1269" s="210"/>
      <c r="U1269" s="210"/>
      <c r="X1269" s="210"/>
      <c r="Y1269" s="210"/>
      <c r="Z1269" s="210"/>
      <c r="AA1269" s="210"/>
      <c r="AB1269" s="210"/>
      <c r="AC1269" s="210"/>
      <c r="AD1269" s="210"/>
      <c r="AE1269" s="210"/>
      <c r="AF1269" s="210"/>
      <c r="AG1269" s="210"/>
      <c r="AH1269" s="210"/>
      <c r="AI1269" s="210"/>
      <c r="AJ1269" s="210"/>
      <c r="AK1269" s="210"/>
      <c r="AL1269" s="210"/>
      <c r="AM1269" s="210"/>
      <c r="AN1269" s="210"/>
      <c r="AO1269" s="210"/>
      <c r="AP1269" s="210"/>
      <c r="AQ1269" s="210"/>
    </row>
    <row r="1270">
      <c r="A1270" s="190"/>
      <c r="B1270" s="190"/>
      <c r="C1270" s="190"/>
      <c r="D1270" s="190"/>
      <c r="E1270" s="190"/>
      <c r="F1270" s="190"/>
      <c r="G1270" s="190"/>
      <c r="H1270" s="190"/>
      <c r="I1270" s="190"/>
      <c r="J1270" s="190"/>
      <c r="K1270" s="190"/>
      <c r="L1270" s="190"/>
      <c r="M1270" s="190"/>
      <c r="N1270" s="220"/>
      <c r="O1270" s="220"/>
      <c r="P1270" s="220"/>
      <c r="R1270" s="210"/>
      <c r="S1270" s="210"/>
      <c r="T1270" s="210"/>
      <c r="U1270" s="210"/>
      <c r="X1270" s="210"/>
      <c r="Y1270" s="210"/>
      <c r="Z1270" s="210"/>
      <c r="AA1270" s="210"/>
      <c r="AB1270" s="210"/>
      <c r="AC1270" s="210"/>
      <c r="AD1270" s="210"/>
      <c r="AE1270" s="210"/>
      <c r="AF1270" s="210"/>
      <c r="AG1270" s="210"/>
      <c r="AH1270" s="210"/>
      <c r="AI1270" s="210"/>
      <c r="AJ1270" s="210"/>
      <c r="AK1270" s="210"/>
      <c r="AL1270" s="210"/>
      <c r="AM1270" s="210"/>
      <c r="AN1270" s="210"/>
      <c r="AO1270" s="210"/>
      <c r="AP1270" s="210"/>
      <c r="AQ1270" s="210"/>
    </row>
    <row r="1271">
      <c r="A1271" s="190"/>
      <c r="B1271" s="190"/>
      <c r="C1271" s="190"/>
      <c r="D1271" s="190"/>
      <c r="E1271" s="190"/>
      <c r="F1271" s="190"/>
      <c r="G1271" s="190"/>
      <c r="H1271" s="190"/>
      <c r="I1271" s="190"/>
      <c r="J1271" s="190"/>
      <c r="K1271" s="190"/>
      <c r="L1271" s="190"/>
      <c r="M1271" s="190"/>
      <c r="N1271" s="220"/>
      <c r="O1271" s="220"/>
      <c r="P1271" s="220"/>
      <c r="R1271" s="210"/>
      <c r="S1271" s="210"/>
      <c r="T1271" s="210"/>
      <c r="U1271" s="210"/>
      <c r="X1271" s="210"/>
      <c r="Y1271" s="210"/>
      <c r="Z1271" s="210"/>
      <c r="AA1271" s="210"/>
      <c r="AB1271" s="210"/>
      <c r="AC1271" s="210"/>
      <c r="AD1271" s="210"/>
      <c r="AE1271" s="210"/>
      <c r="AF1271" s="210"/>
      <c r="AG1271" s="210"/>
      <c r="AH1271" s="210"/>
      <c r="AI1271" s="210"/>
      <c r="AJ1271" s="210"/>
      <c r="AK1271" s="210"/>
      <c r="AL1271" s="210"/>
      <c r="AM1271" s="210"/>
      <c r="AN1271" s="210"/>
      <c r="AO1271" s="210"/>
      <c r="AP1271" s="210"/>
      <c r="AQ1271" s="210"/>
    </row>
    <row r="1272">
      <c r="A1272" s="190"/>
      <c r="B1272" s="190"/>
      <c r="C1272" s="190"/>
      <c r="D1272" s="190"/>
      <c r="E1272" s="190"/>
      <c r="F1272" s="190"/>
      <c r="G1272" s="190"/>
      <c r="H1272" s="190"/>
      <c r="I1272" s="190"/>
      <c r="J1272" s="190"/>
      <c r="K1272" s="190"/>
      <c r="L1272" s="190"/>
      <c r="M1272" s="190"/>
      <c r="N1272" s="220"/>
      <c r="O1272" s="220"/>
      <c r="P1272" s="220"/>
      <c r="R1272" s="210"/>
      <c r="S1272" s="210"/>
      <c r="T1272" s="210"/>
      <c r="U1272" s="210"/>
      <c r="X1272" s="210"/>
      <c r="Y1272" s="210"/>
      <c r="Z1272" s="210"/>
      <c r="AA1272" s="210"/>
      <c r="AB1272" s="210"/>
      <c r="AC1272" s="210"/>
      <c r="AD1272" s="210"/>
      <c r="AE1272" s="210"/>
      <c r="AF1272" s="210"/>
      <c r="AG1272" s="210"/>
      <c r="AH1272" s="210"/>
      <c r="AI1272" s="210"/>
      <c r="AJ1272" s="210"/>
      <c r="AK1272" s="210"/>
      <c r="AL1272" s="210"/>
      <c r="AM1272" s="210"/>
      <c r="AN1272" s="210"/>
      <c r="AO1272" s="210"/>
      <c r="AP1272" s="210"/>
      <c r="AQ1272" s="210"/>
    </row>
    <row r="1273">
      <c r="A1273" s="190"/>
      <c r="B1273" s="190"/>
      <c r="C1273" s="190"/>
      <c r="D1273" s="190"/>
      <c r="E1273" s="190"/>
      <c r="F1273" s="190"/>
      <c r="G1273" s="190"/>
      <c r="H1273" s="190"/>
      <c r="I1273" s="190"/>
      <c r="J1273" s="190"/>
      <c r="K1273" s="190"/>
      <c r="L1273" s="190"/>
      <c r="M1273" s="190"/>
      <c r="N1273" s="220"/>
      <c r="O1273" s="220"/>
      <c r="P1273" s="220"/>
      <c r="R1273" s="210"/>
      <c r="S1273" s="210"/>
      <c r="T1273" s="210"/>
      <c r="U1273" s="210"/>
      <c r="X1273" s="210"/>
      <c r="Y1273" s="210"/>
      <c r="Z1273" s="210"/>
      <c r="AA1273" s="210"/>
      <c r="AB1273" s="210"/>
      <c r="AC1273" s="210"/>
      <c r="AD1273" s="210"/>
      <c r="AE1273" s="210"/>
      <c r="AF1273" s="210"/>
      <c r="AG1273" s="210"/>
      <c r="AH1273" s="210"/>
      <c r="AI1273" s="210"/>
      <c r="AJ1273" s="210"/>
      <c r="AK1273" s="210"/>
      <c r="AL1273" s="210"/>
      <c r="AM1273" s="210"/>
      <c r="AN1273" s="210"/>
      <c r="AO1273" s="210"/>
      <c r="AP1273" s="210"/>
      <c r="AQ1273" s="210"/>
    </row>
    <row r="1274">
      <c r="A1274" s="190"/>
      <c r="B1274" s="190"/>
      <c r="C1274" s="190"/>
      <c r="D1274" s="190"/>
      <c r="E1274" s="190"/>
      <c r="F1274" s="190"/>
      <c r="G1274" s="190"/>
      <c r="H1274" s="190"/>
      <c r="I1274" s="190"/>
      <c r="J1274" s="190"/>
      <c r="K1274" s="190"/>
      <c r="L1274" s="190"/>
      <c r="M1274" s="190"/>
      <c r="N1274" s="220"/>
      <c r="O1274" s="220"/>
      <c r="P1274" s="220"/>
      <c r="R1274" s="210"/>
      <c r="S1274" s="210"/>
      <c r="T1274" s="210"/>
      <c r="U1274" s="210"/>
      <c r="X1274" s="210"/>
      <c r="Y1274" s="210"/>
      <c r="Z1274" s="210"/>
      <c r="AA1274" s="210"/>
      <c r="AB1274" s="210"/>
      <c r="AC1274" s="210"/>
      <c r="AD1274" s="210"/>
      <c r="AE1274" s="210"/>
      <c r="AF1274" s="210"/>
      <c r="AG1274" s="210"/>
      <c r="AH1274" s="210"/>
      <c r="AI1274" s="210"/>
      <c r="AJ1274" s="210"/>
      <c r="AK1274" s="210"/>
      <c r="AL1274" s="210"/>
      <c r="AM1274" s="210"/>
      <c r="AN1274" s="210"/>
      <c r="AO1274" s="210"/>
      <c r="AP1274" s="210"/>
      <c r="AQ1274" s="210"/>
    </row>
    <row r="1275">
      <c r="A1275" s="190"/>
      <c r="B1275" s="190"/>
      <c r="C1275" s="190"/>
      <c r="D1275" s="190"/>
      <c r="E1275" s="190"/>
      <c r="F1275" s="190"/>
      <c r="G1275" s="190"/>
      <c r="H1275" s="190"/>
      <c r="I1275" s="190"/>
      <c r="J1275" s="190"/>
      <c r="K1275" s="190"/>
      <c r="L1275" s="190"/>
      <c r="M1275" s="190"/>
      <c r="N1275" s="220"/>
      <c r="O1275" s="220"/>
      <c r="P1275" s="220"/>
      <c r="R1275" s="210"/>
      <c r="S1275" s="210"/>
      <c r="T1275" s="210"/>
      <c r="U1275" s="210"/>
      <c r="X1275" s="210"/>
      <c r="Y1275" s="210"/>
      <c r="Z1275" s="210"/>
      <c r="AA1275" s="210"/>
      <c r="AB1275" s="210"/>
      <c r="AC1275" s="210"/>
      <c r="AD1275" s="210"/>
      <c r="AE1275" s="210"/>
      <c r="AF1275" s="210"/>
      <c r="AG1275" s="210"/>
      <c r="AH1275" s="210"/>
      <c r="AI1275" s="210"/>
      <c r="AJ1275" s="210"/>
      <c r="AK1275" s="210"/>
      <c r="AL1275" s="210"/>
      <c r="AM1275" s="210"/>
      <c r="AN1275" s="210"/>
      <c r="AO1275" s="210"/>
      <c r="AP1275" s="210"/>
      <c r="AQ1275" s="210"/>
    </row>
    <row r="1276">
      <c r="A1276" s="190"/>
      <c r="B1276" s="190"/>
      <c r="C1276" s="190"/>
      <c r="D1276" s="190"/>
      <c r="E1276" s="190"/>
      <c r="F1276" s="190"/>
      <c r="G1276" s="190"/>
      <c r="H1276" s="190"/>
      <c r="I1276" s="190"/>
      <c r="J1276" s="190"/>
      <c r="K1276" s="190"/>
      <c r="L1276" s="190"/>
      <c r="M1276" s="190"/>
      <c r="N1276" s="220"/>
      <c r="O1276" s="220"/>
      <c r="P1276" s="220"/>
      <c r="R1276" s="210"/>
      <c r="S1276" s="210"/>
      <c r="T1276" s="210"/>
      <c r="U1276" s="210"/>
      <c r="X1276" s="210"/>
      <c r="Y1276" s="210"/>
      <c r="Z1276" s="210"/>
      <c r="AA1276" s="210"/>
      <c r="AB1276" s="210"/>
      <c r="AC1276" s="210"/>
      <c r="AD1276" s="210"/>
      <c r="AE1276" s="210"/>
      <c r="AF1276" s="210"/>
      <c r="AG1276" s="210"/>
      <c r="AH1276" s="210"/>
      <c r="AI1276" s="210"/>
      <c r="AJ1276" s="210"/>
      <c r="AK1276" s="210"/>
      <c r="AL1276" s="210"/>
      <c r="AM1276" s="210"/>
      <c r="AN1276" s="210"/>
      <c r="AO1276" s="210"/>
      <c r="AP1276" s="210"/>
      <c r="AQ1276" s="210"/>
    </row>
    <row r="1277">
      <c r="A1277" s="190"/>
      <c r="B1277" s="190"/>
      <c r="C1277" s="190"/>
      <c r="D1277" s="190"/>
      <c r="E1277" s="190"/>
      <c r="F1277" s="190"/>
      <c r="G1277" s="190"/>
      <c r="H1277" s="190"/>
      <c r="I1277" s="190"/>
      <c r="J1277" s="190"/>
      <c r="K1277" s="190"/>
      <c r="L1277" s="190"/>
      <c r="M1277" s="190"/>
      <c r="N1277" s="220"/>
      <c r="O1277" s="220"/>
      <c r="P1277" s="220"/>
      <c r="R1277" s="210"/>
      <c r="S1277" s="210"/>
      <c r="T1277" s="210"/>
      <c r="U1277" s="210"/>
      <c r="X1277" s="210"/>
      <c r="Y1277" s="210"/>
      <c r="Z1277" s="210"/>
      <c r="AA1277" s="210"/>
      <c r="AB1277" s="210"/>
      <c r="AC1277" s="210"/>
      <c r="AD1277" s="210"/>
      <c r="AE1277" s="210"/>
      <c r="AF1277" s="210"/>
      <c r="AG1277" s="210"/>
      <c r="AH1277" s="210"/>
      <c r="AI1277" s="210"/>
      <c r="AJ1277" s="210"/>
      <c r="AK1277" s="210"/>
      <c r="AL1277" s="210"/>
      <c r="AM1277" s="210"/>
      <c r="AN1277" s="210"/>
      <c r="AO1277" s="210"/>
      <c r="AP1277" s="210"/>
      <c r="AQ1277" s="210"/>
    </row>
    <row r="1278">
      <c r="A1278" s="190"/>
      <c r="B1278" s="190"/>
      <c r="C1278" s="190"/>
      <c r="D1278" s="190"/>
      <c r="E1278" s="190"/>
      <c r="F1278" s="190"/>
      <c r="G1278" s="190"/>
      <c r="H1278" s="190"/>
      <c r="I1278" s="190"/>
      <c r="J1278" s="190"/>
      <c r="K1278" s="190"/>
      <c r="L1278" s="190"/>
      <c r="M1278" s="190"/>
      <c r="N1278" s="220"/>
      <c r="O1278" s="220"/>
      <c r="P1278" s="220"/>
      <c r="R1278" s="210"/>
      <c r="S1278" s="210"/>
      <c r="T1278" s="210"/>
      <c r="U1278" s="210"/>
      <c r="X1278" s="210"/>
      <c r="Y1278" s="210"/>
      <c r="Z1278" s="210"/>
      <c r="AA1278" s="210"/>
      <c r="AB1278" s="210"/>
      <c r="AC1278" s="210"/>
      <c r="AD1278" s="210"/>
      <c r="AE1278" s="210"/>
      <c r="AF1278" s="210"/>
      <c r="AG1278" s="210"/>
      <c r="AH1278" s="210"/>
      <c r="AI1278" s="210"/>
      <c r="AJ1278" s="210"/>
      <c r="AK1278" s="210"/>
      <c r="AL1278" s="210"/>
      <c r="AM1278" s="210"/>
      <c r="AN1278" s="210"/>
      <c r="AO1278" s="210"/>
      <c r="AP1278" s="210"/>
      <c r="AQ1278" s="210"/>
    </row>
    <row r="1279">
      <c r="A1279" s="190"/>
      <c r="B1279" s="190"/>
      <c r="C1279" s="190"/>
      <c r="D1279" s="190"/>
      <c r="E1279" s="190"/>
      <c r="F1279" s="190"/>
      <c r="G1279" s="190"/>
      <c r="H1279" s="190"/>
      <c r="I1279" s="190"/>
      <c r="J1279" s="190"/>
      <c r="K1279" s="190"/>
      <c r="L1279" s="190"/>
      <c r="M1279" s="190"/>
      <c r="N1279" s="220"/>
      <c r="O1279" s="220"/>
      <c r="P1279" s="220"/>
      <c r="R1279" s="210"/>
      <c r="S1279" s="210"/>
      <c r="T1279" s="210"/>
      <c r="U1279" s="210"/>
      <c r="X1279" s="210"/>
      <c r="Y1279" s="210"/>
      <c r="Z1279" s="210"/>
      <c r="AA1279" s="210"/>
      <c r="AB1279" s="210"/>
      <c r="AC1279" s="210"/>
      <c r="AD1279" s="210"/>
      <c r="AE1279" s="210"/>
      <c r="AF1279" s="210"/>
      <c r="AG1279" s="210"/>
      <c r="AH1279" s="210"/>
      <c r="AI1279" s="210"/>
      <c r="AJ1279" s="210"/>
      <c r="AK1279" s="210"/>
      <c r="AL1279" s="210"/>
      <c r="AM1279" s="210"/>
      <c r="AN1279" s="210"/>
      <c r="AO1279" s="210"/>
      <c r="AP1279" s="210"/>
      <c r="AQ1279" s="210"/>
    </row>
    <row r="1280">
      <c r="A1280" s="190"/>
      <c r="B1280" s="190"/>
      <c r="C1280" s="190"/>
      <c r="D1280" s="190"/>
      <c r="E1280" s="190"/>
      <c r="F1280" s="190"/>
      <c r="G1280" s="190"/>
      <c r="H1280" s="190"/>
      <c r="I1280" s="190"/>
      <c r="J1280" s="190"/>
      <c r="K1280" s="190"/>
      <c r="L1280" s="190"/>
      <c r="M1280" s="190"/>
      <c r="N1280" s="220"/>
      <c r="O1280" s="220"/>
      <c r="P1280" s="220"/>
      <c r="R1280" s="210"/>
      <c r="S1280" s="210"/>
      <c r="T1280" s="210"/>
      <c r="U1280" s="210"/>
      <c r="X1280" s="210"/>
      <c r="Y1280" s="210"/>
      <c r="Z1280" s="210"/>
      <c r="AA1280" s="210"/>
      <c r="AB1280" s="210"/>
      <c r="AC1280" s="210"/>
      <c r="AD1280" s="210"/>
      <c r="AE1280" s="210"/>
      <c r="AF1280" s="210"/>
      <c r="AG1280" s="210"/>
      <c r="AH1280" s="210"/>
      <c r="AI1280" s="210"/>
      <c r="AJ1280" s="210"/>
      <c r="AK1280" s="210"/>
      <c r="AL1280" s="210"/>
      <c r="AM1280" s="210"/>
      <c r="AN1280" s="210"/>
      <c r="AO1280" s="210"/>
      <c r="AP1280" s="210"/>
      <c r="AQ1280" s="210"/>
    </row>
    <row r="1281">
      <c r="A1281" s="190"/>
      <c r="B1281" s="190"/>
      <c r="C1281" s="190"/>
      <c r="D1281" s="190"/>
      <c r="E1281" s="190"/>
      <c r="F1281" s="190"/>
      <c r="G1281" s="190"/>
      <c r="H1281" s="190"/>
      <c r="I1281" s="190"/>
      <c r="J1281" s="190"/>
      <c r="K1281" s="190"/>
      <c r="L1281" s="190"/>
      <c r="M1281" s="190"/>
      <c r="N1281" s="220"/>
      <c r="O1281" s="220"/>
      <c r="P1281" s="220"/>
      <c r="R1281" s="210"/>
      <c r="S1281" s="210"/>
      <c r="T1281" s="210"/>
      <c r="U1281" s="210"/>
      <c r="X1281" s="210"/>
      <c r="Y1281" s="210"/>
      <c r="Z1281" s="210"/>
      <c r="AA1281" s="210"/>
      <c r="AB1281" s="210"/>
      <c r="AC1281" s="210"/>
      <c r="AD1281" s="210"/>
      <c r="AE1281" s="210"/>
      <c r="AF1281" s="210"/>
      <c r="AG1281" s="210"/>
      <c r="AH1281" s="210"/>
      <c r="AI1281" s="210"/>
      <c r="AJ1281" s="210"/>
      <c r="AK1281" s="210"/>
      <c r="AL1281" s="210"/>
      <c r="AM1281" s="210"/>
      <c r="AN1281" s="210"/>
      <c r="AO1281" s="210"/>
      <c r="AP1281" s="210"/>
      <c r="AQ1281" s="210"/>
    </row>
    <row r="1282">
      <c r="A1282" s="190"/>
      <c r="B1282" s="190"/>
      <c r="C1282" s="190"/>
      <c r="D1282" s="190"/>
      <c r="E1282" s="190"/>
      <c r="F1282" s="190"/>
      <c r="G1282" s="190"/>
      <c r="H1282" s="190"/>
      <c r="I1282" s="190"/>
      <c r="J1282" s="190"/>
      <c r="K1282" s="190"/>
      <c r="L1282" s="190"/>
      <c r="M1282" s="190"/>
      <c r="N1282" s="220"/>
      <c r="O1282" s="220"/>
      <c r="P1282" s="220"/>
      <c r="R1282" s="210"/>
      <c r="S1282" s="210"/>
      <c r="T1282" s="210"/>
      <c r="U1282" s="210"/>
      <c r="X1282" s="210"/>
      <c r="Y1282" s="210"/>
      <c r="Z1282" s="210"/>
      <c r="AA1282" s="210"/>
      <c r="AB1282" s="210"/>
      <c r="AC1282" s="210"/>
      <c r="AD1282" s="210"/>
      <c r="AE1282" s="210"/>
      <c r="AF1282" s="210"/>
      <c r="AG1282" s="210"/>
      <c r="AH1282" s="210"/>
      <c r="AI1282" s="210"/>
      <c r="AJ1282" s="210"/>
      <c r="AK1282" s="210"/>
      <c r="AL1282" s="210"/>
      <c r="AM1282" s="210"/>
      <c r="AN1282" s="210"/>
      <c r="AO1282" s="210"/>
      <c r="AP1282" s="210"/>
      <c r="AQ1282" s="210"/>
    </row>
    <row r="1283">
      <c r="A1283" s="190"/>
      <c r="B1283" s="190"/>
      <c r="C1283" s="190"/>
      <c r="D1283" s="190"/>
      <c r="E1283" s="190"/>
      <c r="F1283" s="190"/>
      <c r="G1283" s="190"/>
      <c r="H1283" s="190"/>
      <c r="I1283" s="190"/>
      <c r="J1283" s="190"/>
      <c r="K1283" s="190"/>
      <c r="L1283" s="190"/>
      <c r="M1283" s="190"/>
      <c r="N1283" s="220"/>
      <c r="O1283" s="220"/>
      <c r="P1283" s="220"/>
      <c r="R1283" s="210"/>
      <c r="S1283" s="210"/>
      <c r="T1283" s="210"/>
      <c r="U1283" s="210"/>
      <c r="X1283" s="210"/>
      <c r="Y1283" s="210"/>
      <c r="Z1283" s="210"/>
      <c r="AA1283" s="210"/>
      <c r="AB1283" s="210"/>
      <c r="AC1283" s="210"/>
      <c r="AD1283" s="210"/>
      <c r="AE1283" s="210"/>
      <c r="AF1283" s="210"/>
      <c r="AG1283" s="210"/>
      <c r="AH1283" s="210"/>
      <c r="AI1283" s="210"/>
      <c r="AJ1283" s="210"/>
      <c r="AK1283" s="210"/>
      <c r="AL1283" s="210"/>
      <c r="AM1283" s="210"/>
      <c r="AN1283" s="210"/>
      <c r="AO1283" s="210"/>
      <c r="AP1283" s="210"/>
      <c r="AQ1283" s="210"/>
    </row>
    <row r="1284">
      <c r="A1284" s="190"/>
      <c r="B1284" s="190"/>
      <c r="C1284" s="190"/>
      <c r="D1284" s="190"/>
      <c r="E1284" s="190"/>
      <c r="F1284" s="190"/>
      <c r="G1284" s="190"/>
      <c r="H1284" s="190"/>
      <c r="I1284" s="190"/>
      <c r="J1284" s="190"/>
      <c r="K1284" s="190"/>
      <c r="L1284" s="190"/>
      <c r="M1284" s="190"/>
      <c r="N1284" s="220"/>
      <c r="O1284" s="220"/>
      <c r="P1284" s="220"/>
      <c r="R1284" s="210"/>
      <c r="S1284" s="210"/>
      <c r="T1284" s="210"/>
      <c r="U1284" s="210"/>
      <c r="X1284" s="210"/>
      <c r="Y1284" s="210"/>
      <c r="Z1284" s="210"/>
      <c r="AA1284" s="210"/>
      <c r="AB1284" s="210"/>
      <c r="AC1284" s="210"/>
      <c r="AD1284" s="210"/>
      <c r="AE1284" s="210"/>
      <c r="AF1284" s="210"/>
      <c r="AG1284" s="210"/>
      <c r="AH1284" s="210"/>
      <c r="AI1284" s="210"/>
      <c r="AJ1284" s="210"/>
      <c r="AK1284" s="210"/>
      <c r="AL1284" s="210"/>
      <c r="AM1284" s="210"/>
      <c r="AN1284" s="210"/>
      <c r="AO1284" s="210"/>
      <c r="AP1284" s="210"/>
      <c r="AQ1284" s="210"/>
    </row>
    <row r="1285">
      <c r="A1285" s="190"/>
      <c r="B1285" s="190"/>
      <c r="C1285" s="190"/>
      <c r="D1285" s="190"/>
      <c r="E1285" s="190"/>
      <c r="F1285" s="190"/>
      <c r="G1285" s="190"/>
      <c r="H1285" s="190"/>
      <c r="I1285" s="190"/>
      <c r="J1285" s="190"/>
      <c r="K1285" s="190"/>
      <c r="L1285" s="190"/>
      <c r="M1285" s="190"/>
      <c r="N1285" s="220"/>
      <c r="O1285" s="220"/>
      <c r="P1285" s="220"/>
      <c r="R1285" s="210"/>
      <c r="S1285" s="210"/>
      <c r="T1285" s="210"/>
      <c r="U1285" s="210"/>
      <c r="X1285" s="210"/>
      <c r="Y1285" s="210"/>
      <c r="Z1285" s="210"/>
      <c r="AA1285" s="210"/>
      <c r="AB1285" s="210"/>
      <c r="AC1285" s="210"/>
      <c r="AD1285" s="210"/>
      <c r="AE1285" s="210"/>
      <c r="AF1285" s="210"/>
      <c r="AG1285" s="210"/>
      <c r="AH1285" s="210"/>
      <c r="AI1285" s="210"/>
      <c r="AJ1285" s="210"/>
      <c r="AK1285" s="210"/>
      <c r="AL1285" s="210"/>
      <c r="AM1285" s="210"/>
      <c r="AN1285" s="210"/>
      <c r="AO1285" s="210"/>
      <c r="AP1285" s="210"/>
      <c r="AQ1285" s="210"/>
    </row>
    <row r="1286">
      <c r="A1286" s="190"/>
      <c r="B1286" s="190"/>
      <c r="C1286" s="190"/>
      <c r="D1286" s="190"/>
      <c r="E1286" s="190"/>
      <c r="F1286" s="190"/>
      <c r="G1286" s="190"/>
      <c r="H1286" s="190"/>
      <c r="I1286" s="190"/>
      <c r="J1286" s="190"/>
      <c r="K1286" s="190"/>
      <c r="L1286" s="190"/>
      <c r="M1286" s="190"/>
      <c r="N1286" s="220"/>
      <c r="O1286" s="220"/>
      <c r="P1286" s="220"/>
      <c r="R1286" s="210"/>
      <c r="S1286" s="210"/>
      <c r="T1286" s="210"/>
      <c r="U1286" s="210"/>
      <c r="X1286" s="210"/>
      <c r="Y1286" s="210"/>
      <c r="Z1286" s="210"/>
      <c r="AA1286" s="210"/>
      <c r="AB1286" s="210"/>
      <c r="AC1286" s="210"/>
      <c r="AD1286" s="210"/>
      <c r="AE1286" s="210"/>
      <c r="AF1286" s="210"/>
      <c r="AG1286" s="210"/>
      <c r="AH1286" s="210"/>
      <c r="AI1286" s="210"/>
      <c r="AJ1286" s="210"/>
      <c r="AK1286" s="210"/>
      <c r="AL1286" s="210"/>
      <c r="AM1286" s="210"/>
      <c r="AN1286" s="210"/>
      <c r="AO1286" s="210"/>
      <c r="AP1286" s="210"/>
      <c r="AQ1286" s="210"/>
    </row>
    <row r="1287">
      <c r="A1287" s="190"/>
      <c r="B1287" s="190"/>
      <c r="C1287" s="190"/>
      <c r="D1287" s="190"/>
      <c r="E1287" s="190"/>
      <c r="F1287" s="190"/>
      <c r="G1287" s="190"/>
      <c r="H1287" s="190"/>
      <c r="I1287" s="190"/>
      <c r="J1287" s="190"/>
      <c r="K1287" s="190"/>
      <c r="L1287" s="190"/>
      <c r="M1287" s="190"/>
      <c r="N1287" s="220"/>
      <c r="O1287" s="220"/>
      <c r="P1287" s="220"/>
      <c r="R1287" s="210"/>
      <c r="S1287" s="210"/>
      <c r="T1287" s="210"/>
      <c r="U1287" s="210"/>
      <c r="X1287" s="210"/>
      <c r="Y1287" s="210"/>
      <c r="Z1287" s="210"/>
      <c r="AA1287" s="210"/>
      <c r="AB1287" s="210"/>
      <c r="AC1287" s="210"/>
      <c r="AD1287" s="210"/>
      <c r="AE1287" s="210"/>
      <c r="AF1287" s="210"/>
      <c r="AG1287" s="210"/>
      <c r="AH1287" s="210"/>
      <c r="AI1287" s="210"/>
      <c r="AJ1287" s="210"/>
      <c r="AK1287" s="210"/>
      <c r="AL1287" s="210"/>
      <c r="AM1287" s="210"/>
      <c r="AN1287" s="210"/>
      <c r="AO1287" s="210"/>
      <c r="AP1287" s="210"/>
      <c r="AQ1287" s="210"/>
    </row>
    <row r="1288">
      <c r="A1288" s="190"/>
      <c r="B1288" s="190"/>
      <c r="C1288" s="190"/>
      <c r="D1288" s="190"/>
      <c r="E1288" s="190"/>
      <c r="F1288" s="190"/>
      <c r="G1288" s="190"/>
      <c r="H1288" s="190"/>
      <c r="I1288" s="190"/>
      <c r="J1288" s="190"/>
      <c r="K1288" s="190"/>
      <c r="L1288" s="190"/>
      <c r="M1288" s="190"/>
      <c r="N1288" s="220"/>
      <c r="O1288" s="220"/>
      <c r="P1288" s="220"/>
      <c r="R1288" s="210"/>
      <c r="S1288" s="210"/>
      <c r="T1288" s="210"/>
      <c r="U1288" s="210"/>
      <c r="X1288" s="210"/>
      <c r="Y1288" s="210"/>
      <c r="Z1288" s="210"/>
      <c r="AA1288" s="210"/>
      <c r="AB1288" s="210"/>
      <c r="AC1288" s="210"/>
      <c r="AD1288" s="210"/>
      <c r="AE1288" s="210"/>
      <c r="AF1288" s="210"/>
      <c r="AG1288" s="210"/>
      <c r="AH1288" s="210"/>
      <c r="AI1288" s="210"/>
      <c r="AJ1288" s="210"/>
      <c r="AK1288" s="210"/>
      <c r="AL1288" s="210"/>
      <c r="AM1288" s="210"/>
      <c r="AN1288" s="210"/>
      <c r="AO1288" s="210"/>
      <c r="AP1288" s="210"/>
      <c r="AQ1288" s="210"/>
    </row>
    <row r="1289">
      <c r="A1289" s="190"/>
      <c r="B1289" s="190"/>
      <c r="C1289" s="190"/>
      <c r="D1289" s="190"/>
      <c r="E1289" s="190"/>
      <c r="F1289" s="190"/>
      <c r="G1289" s="190"/>
      <c r="H1289" s="190"/>
      <c r="I1289" s="190"/>
      <c r="J1289" s="190"/>
      <c r="K1289" s="190"/>
      <c r="L1289" s="190"/>
      <c r="M1289" s="190"/>
      <c r="N1289" s="220"/>
      <c r="O1289" s="220"/>
      <c r="P1289" s="220"/>
      <c r="R1289" s="210"/>
      <c r="S1289" s="210"/>
      <c r="T1289" s="210"/>
      <c r="U1289" s="210"/>
      <c r="X1289" s="210"/>
      <c r="Y1289" s="210"/>
      <c r="Z1289" s="210"/>
      <c r="AA1289" s="210"/>
      <c r="AB1289" s="210"/>
      <c r="AC1289" s="210"/>
      <c r="AD1289" s="210"/>
      <c r="AE1289" s="210"/>
      <c r="AF1289" s="210"/>
      <c r="AG1289" s="210"/>
      <c r="AH1289" s="210"/>
      <c r="AI1289" s="210"/>
      <c r="AJ1289" s="210"/>
      <c r="AK1289" s="210"/>
      <c r="AL1289" s="210"/>
      <c r="AM1289" s="210"/>
      <c r="AN1289" s="210"/>
      <c r="AO1289" s="210"/>
      <c r="AP1289" s="210"/>
      <c r="AQ1289" s="210"/>
    </row>
    <row r="1290">
      <c r="A1290" s="190"/>
      <c r="B1290" s="190"/>
      <c r="C1290" s="190"/>
      <c r="D1290" s="190"/>
      <c r="E1290" s="190"/>
      <c r="F1290" s="190"/>
      <c r="G1290" s="190"/>
      <c r="H1290" s="190"/>
      <c r="I1290" s="190"/>
      <c r="J1290" s="190"/>
      <c r="K1290" s="190"/>
      <c r="L1290" s="190"/>
      <c r="M1290" s="190"/>
      <c r="N1290" s="220"/>
      <c r="O1290" s="220"/>
      <c r="P1290" s="220"/>
      <c r="R1290" s="210"/>
      <c r="S1290" s="210"/>
      <c r="T1290" s="210"/>
      <c r="U1290" s="210"/>
      <c r="X1290" s="210"/>
      <c r="Y1290" s="210"/>
      <c r="Z1290" s="210"/>
      <c r="AA1290" s="210"/>
      <c r="AB1290" s="210"/>
      <c r="AC1290" s="210"/>
      <c r="AD1290" s="210"/>
      <c r="AE1290" s="210"/>
      <c r="AF1290" s="210"/>
      <c r="AG1290" s="210"/>
      <c r="AH1290" s="210"/>
      <c r="AI1290" s="210"/>
      <c r="AJ1290" s="210"/>
      <c r="AK1290" s="210"/>
      <c r="AL1290" s="210"/>
      <c r="AM1290" s="210"/>
      <c r="AN1290" s="210"/>
      <c r="AO1290" s="210"/>
      <c r="AP1290" s="210"/>
      <c r="AQ1290" s="210"/>
    </row>
    <row r="1291">
      <c r="A1291" s="190"/>
      <c r="B1291" s="190"/>
      <c r="C1291" s="190"/>
      <c r="D1291" s="190"/>
      <c r="E1291" s="190"/>
      <c r="F1291" s="190"/>
      <c r="G1291" s="190"/>
      <c r="H1291" s="190"/>
      <c r="I1291" s="190"/>
      <c r="J1291" s="190"/>
      <c r="K1291" s="190"/>
      <c r="L1291" s="190"/>
      <c r="M1291" s="190"/>
      <c r="N1291" s="220"/>
      <c r="O1291" s="220"/>
      <c r="P1291" s="220"/>
      <c r="R1291" s="210"/>
      <c r="S1291" s="210"/>
      <c r="T1291" s="210"/>
      <c r="U1291" s="210"/>
      <c r="X1291" s="210"/>
      <c r="Y1291" s="210"/>
      <c r="Z1291" s="210"/>
      <c r="AA1291" s="210"/>
      <c r="AB1291" s="210"/>
      <c r="AC1291" s="210"/>
      <c r="AD1291" s="210"/>
      <c r="AE1291" s="210"/>
      <c r="AF1291" s="210"/>
      <c r="AG1291" s="210"/>
      <c r="AH1291" s="210"/>
      <c r="AI1291" s="210"/>
      <c r="AJ1291" s="210"/>
      <c r="AK1291" s="210"/>
      <c r="AL1291" s="210"/>
      <c r="AM1291" s="210"/>
      <c r="AN1291" s="210"/>
      <c r="AO1291" s="210"/>
      <c r="AP1291" s="210"/>
      <c r="AQ1291" s="210"/>
    </row>
    <row r="1292">
      <c r="A1292" s="190"/>
      <c r="B1292" s="190"/>
      <c r="C1292" s="190"/>
      <c r="D1292" s="190"/>
      <c r="E1292" s="190"/>
      <c r="F1292" s="190"/>
      <c r="G1292" s="190"/>
      <c r="H1292" s="190"/>
      <c r="I1292" s="190"/>
      <c r="J1292" s="190"/>
      <c r="K1292" s="190"/>
      <c r="L1292" s="190"/>
      <c r="M1292" s="190"/>
      <c r="N1292" s="220"/>
      <c r="O1292" s="220"/>
      <c r="P1292" s="220"/>
      <c r="R1292" s="210"/>
      <c r="S1292" s="210"/>
      <c r="T1292" s="210"/>
      <c r="U1292" s="210"/>
      <c r="X1292" s="210"/>
      <c r="Y1292" s="210"/>
      <c r="Z1292" s="210"/>
      <c r="AA1292" s="210"/>
      <c r="AB1292" s="210"/>
      <c r="AC1292" s="210"/>
      <c r="AD1292" s="210"/>
      <c r="AE1292" s="210"/>
      <c r="AF1292" s="210"/>
      <c r="AG1292" s="210"/>
      <c r="AH1292" s="210"/>
      <c r="AI1292" s="210"/>
      <c r="AJ1292" s="210"/>
      <c r="AK1292" s="210"/>
      <c r="AL1292" s="210"/>
      <c r="AM1292" s="210"/>
      <c r="AN1292" s="210"/>
      <c r="AO1292" s="210"/>
      <c r="AP1292" s="210"/>
      <c r="AQ1292" s="210"/>
    </row>
    <row r="1293">
      <c r="A1293" s="190"/>
      <c r="B1293" s="190"/>
      <c r="C1293" s="190"/>
      <c r="D1293" s="190"/>
      <c r="E1293" s="190"/>
      <c r="F1293" s="190"/>
      <c r="G1293" s="190"/>
      <c r="H1293" s="190"/>
      <c r="I1293" s="190"/>
      <c r="J1293" s="190"/>
      <c r="K1293" s="190"/>
      <c r="L1293" s="190"/>
      <c r="M1293" s="190"/>
      <c r="N1293" s="220"/>
      <c r="O1293" s="220"/>
      <c r="P1293" s="220"/>
      <c r="R1293" s="210"/>
      <c r="S1293" s="210"/>
      <c r="T1293" s="210"/>
      <c r="U1293" s="210"/>
      <c r="X1293" s="210"/>
      <c r="Y1293" s="210"/>
      <c r="Z1293" s="210"/>
      <c r="AA1293" s="210"/>
      <c r="AB1293" s="210"/>
      <c r="AC1293" s="210"/>
      <c r="AD1293" s="210"/>
      <c r="AE1293" s="210"/>
      <c r="AF1293" s="210"/>
      <c r="AG1293" s="210"/>
      <c r="AH1293" s="210"/>
      <c r="AI1293" s="210"/>
      <c r="AJ1293" s="210"/>
      <c r="AK1293" s="210"/>
      <c r="AL1293" s="210"/>
      <c r="AM1293" s="210"/>
      <c r="AN1293" s="210"/>
      <c r="AO1293" s="210"/>
      <c r="AP1293" s="210"/>
      <c r="AQ1293" s="210"/>
    </row>
    <row r="1294">
      <c r="A1294" s="190"/>
      <c r="B1294" s="190"/>
      <c r="C1294" s="190"/>
      <c r="D1294" s="190"/>
      <c r="E1294" s="190"/>
      <c r="F1294" s="190"/>
      <c r="G1294" s="190"/>
      <c r="H1294" s="190"/>
      <c r="I1294" s="190"/>
      <c r="J1294" s="190"/>
      <c r="K1294" s="190"/>
      <c r="L1294" s="190"/>
      <c r="M1294" s="190"/>
      <c r="N1294" s="220"/>
      <c r="O1294" s="220"/>
      <c r="P1294" s="220"/>
      <c r="R1294" s="210"/>
      <c r="S1294" s="210"/>
      <c r="T1294" s="210"/>
      <c r="U1294" s="210"/>
      <c r="X1294" s="210"/>
      <c r="Y1294" s="210"/>
      <c r="Z1294" s="210"/>
      <c r="AA1294" s="210"/>
      <c r="AB1294" s="210"/>
      <c r="AC1294" s="210"/>
      <c r="AD1294" s="210"/>
      <c r="AE1294" s="210"/>
      <c r="AF1294" s="210"/>
      <c r="AG1294" s="210"/>
      <c r="AH1294" s="210"/>
      <c r="AI1294" s="210"/>
      <c r="AJ1294" s="210"/>
      <c r="AK1294" s="210"/>
      <c r="AL1294" s="210"/>
      <c r="AM1294" s="210"/>
      <c r="AN1294" s="210"/>
      <c r="AO1294" s="210"/>
      <c r="AP1294" s="210"/>
      <c r="AQ1294" s="210"/>
    </row>
    <row r="1295">
      <c r="A1295" s="190"/>
      <c r="B1295" s="190"/>
      <c r="C1295" s="190"/>
      <c r="D1295" s="190"/>
      <c r="E1295" s="190"/>
      <c r="F1295" s="190"/>
      <c r="G1295" s="190"/>
      <c r="H1295" s="190"/>
      <c r="I1295" s="190"/>
      <c r="J1295" s="190"/>
      <c r="K1295" s="190"/>
      <c r="L1295" s="190"/>
      <c r="M1295" s="190"/>
      <c r="N1295" s="220"/>
      <c r="O1295" s="220"/>
      <c r="P1295" s="220"/>
      <c r="R1295" s="210"/>
      <c r="S1295" s="210"/>
      <c r="T1295" s="210"/>
      <c r="U1295" s="210"/>
      <c r="X1295" s="210"/>
      <c r="Y1295" s="210"/>
      <c r="Z1295" s="210"/>
      <c r="AA1295" s="210"/>
      <c r="AB1295" s="210"/>
      <c r="AC1295" s="210"/>
      <c r="AD1295" s="210"/>
      <c r="AE1295" s="210"/>
      <c r="AF1295" s="210"/>
      <c r="AG1295" s="210"/>
      <c r="AH1295" s="210"/>
      <c r="AI1295" s="210"/>
      <c r="AJ1295" s="210"/>
      <c r="AK1295" s="210"/>
      <c r="AL1295" s="210"/>
      <c r="AM1295" s="210"/>
      <c r="AN1295" s="210"/>
      <c r="AO1295" s="210"/>
      <c r="AP1295" s="210"/>
      <c r="AQ1295" s="210"/>
    </row>
    <row r="1296">
      <c r="A1296" s="190"/>
      <c r="B1296" s="190"/>
      <c r="C1296" s="190"/>
      <c r="D1296" s="190"/>
      <c r="E1296" s="190"/>
      <c r="F1296" s="190"/>
      <c r="G1296" s="190"/>
      <c r="H1296" s="190"/>
      <c r="I1296" s="190"/>
      <c r="J1296" s="190"/>
      <c r="K1296" s="190"/>
      <c r="L1296" s="190"/>
      <c r="M1296" s="190"/>
      <c r="N1296" s="220"/>
      <c r="O1296" s="220"/>
      <c r="P1296" s="220"/>
      <c r="R1296" s="210"/>
      <c r="S1296" s="210"/>
      <c r="T1296" s="210"/>
      <c r="U1296" s="210"/>
      <c r="X1296" s="210"/>
      <c r="Y1296" s="210"/>
      <c r="Z1296" s="210"/>
      <c r="AA1296" s="210"/>
      <c r="AB1296" s="210"/>
      <c r="AC1296" s="210"/>
      <c r="AD1296" s="210"/>
      <c r="AE1296" s="210"/>
      <c r="AF1296" s="210"/>
      <c r="AG1296" s="210"/>
      <c r="AH1296" s="210"/>
      <c r="AI1296" s="210"/>
      <c r="AJ1296" s="210"/>
      <c r="AK1296" s="210"/>
      <c r="AL1296" s="210"/>
      <c r="AM1296" s="210"/>
      <c r="AN1296" s="210"/>
      <c r="AO1296" s="210"/>
      <c r="AP1296" s="210"/>
      <c r="AQ1296" s="210"/>
    </row>
    <row r="1297">
      <c r="A1297" s="190"/>
      <c r="B1297" s="190"/>
      <c r="C1297" s="190"/>
      <c r="D1297" s="190"/>
      <c r="E1297" s="190"/>
      <c r="F1297" s="190"/>
      <c r="G1297" s="190"/>
      <c r="H1297" s="190"/>
      <c r="I1297" s="190"/>
      <c r="J1297" s="190"/>
      <c r="K1297" s="190"/>
      <c r="L1297" s="190"/>
      <c r="M1297" s="190"/>
      <c r="N1297" s="220"/>
      <c r="O1297" s="220"/>
      <c r="P1297" s="220"/>
      <c r="R1297" s="210"/>
      <c r="S1297" s="210"/>
      <c r="T1297" s="210"/>
      <c r="U1297" s="210"/>
      <c r="X1297" s="210"/>
      <c r="Y1297" s="210"/>
      <c r="Z1297" s="210"/>
      <c r="AA1297" s="210"/>
      <c r="AB1297" s="210"/>
      <c r="AC1297" s="210"/>
      <c r="AD1297" s="210"/>
      <c r="AE1297" s="210"/>
      <c r="AF1297" s="210"/>
      <c r="AG1297" s="210"/>
      <c r="AH1297" s="210"/>
      <c r="AI1297" s="210"/>
      <c r="AJ1297" s="210"/>
      <c r="AK1297" s="210"/>
      <c r="AL1297" s="210"/>
      <c r="AM1297" s="210"/>
      <c r="AN1297" s="210"/>
      <c r="AO1297" s="210"/>
      <c r="AP1297" s="210"/>
      <c r="AQ1297" s="210"/>
    </row>
    <row r="1298">
      <c r="A1298" s="190"/>
      <c r="B1298" s="190"/>
      <c r="C1298" s="190"/>
      <c r="D1298" s="190"/>
      <c r="E1298" s="190"/>
      <c r="F1298" s="190"/>
      <c r="G1298" s="190"/>
      <c r="H1298" s="190"/>
      <c r="I1298" s="190"/>
      <c r="J1298" s="190"/>
      <c r="K1298" s="190"/>
      <c r="L1298" s="190"/>
      <c r="M1298" s="190"/>
      <c r="N1298" s="220"/>
      <c r="O1298" s="220"/>
      <c r="P1298" s="220"/>
      <c r="R1298" s="210"/>
      <c r="S1298" s="210"/>
      <c r="T1298" s="210"/>
      <c r="U1298" s="210"/>
      <c r="X1298" s="210"/>
      <c r="Y1298" s="210"/>
      <c r="Z1298" s="210"/>
      <c r="AA1298" s="210"/>
      <c r="AB1298" s="210"/>
      <c r="AC1298" s="210"/>
      <c r="AD1298" s="210"/>
      <c r="AE1298" s="210"/>
      <c r="AF1298" s="210"/>
      <c r="AG1298" s="210"/>
      <c r="AH1298" s="210"/>
      <c r="AI1298" s="210"/>
      <c r="AJ1298" s="210"/>
      <c r="AK1298" s="210"/>
      <c r="AL1298" s="210"/>
      <c r="AM1298" s="210"/>
      <c r="AN1298" s="210"/>
      <c r="AO1298" s="210"/>
      <c r="AP1298" s="210"/>
      <c r="AQ1298" s="210"/>
    </row>
    <row r="1299">
      <c r="A1299" s="190"/>
      <c r="B1299" s="190"/>
      <c r="C1299" s="190"/>
      <c r="D1299" s="190"/>
      <c r="E1299" s="190"/>
      <c r="F1299" s="190"/>
      <c r="G1299" s="190"/>
      <c r="H1299" s="190"/>
      <c r="I1299" s="190"/>
      <c r="J1299" s="190"/>
      <c r="K1299" s="190"/>
      <c r="L1299" s="190"/>
      <c r="M1299" s="190"/>
      <c r="N1299" s="220"/>
      <c r="O1299" s="220"/>
      <c r="P1299" s="220"/>
      <c r="R1299" s="210"/>
      <c r="S1299" s="210"/>
      <c r="T1299" s="210"/>
      <c r="U1299" s="210"/>
      <c r="X1299" s="210"/>
      <c r="Y1299" s="210"/>
      <c r="Z1299" s="210"/>
      <c r="AA1299" s="210"/>
      <c r="AB1299" s="210"/>
      <c r="AC1299" s="210"/>
      <c r="AD1299" s="210"/>
      <c r="AE1299" s="210"/>
      <c r="AF1299" s="210"/>
      <c r="AG1299" s="210"/>
      <c r="AH1299" s="210"/>
      <c r="AI1299" s="210"/>
      <c r="AJ1299" s="210"/>
      <c r="AK1299" s="210"/>
      <c r="AL1299" s="210"/>
      <c r="AM1299" s="210"/>
      <c r="AN1299" s="210"/>
      <c r="AO1299" s="210"/>
      <c r="AP1299" s="210"/>
      <c r="AQ1299" s="210"/>
    </row>
    <row r="1300">
      <c r="A1300" s="190"/>
      <c r="B1300" s="190"/>
      <c r="C1300" s="190"/>
      <c r="D1300" s="190"/>
      <c r="E1300" s="190"/>
      <c r="F1300" s="190"/>
      <c r="G1300" s="190"/>
      <c r="H1300" s="190"/>
      <c r="I1300" s="190"/>
      <c r="J1300" s="190"/>
      <c r="K1300" s="190"/>
      <c r="L1300" s="190"/>
      <c r="M1300" s="190"/>
      <c r="N1300" s="220"/>
      <c r="O1300" s="220"/>
      <c r="P1300" s="220"/>
      <c r="R1300" s="210"/>
      <c r="S1300" s="210"/>
      <c r="T1300" s="210"/>
      <c r="U1300" s="210"/>
      <c r="X1300" s="210"/>
      <c r="Y1300" s="210"/>
      <c r="Z1300" s="210"/>
      <c r="AA1300" s="210"/>
      <c r="AB1300" s="210"/>
      <c r="AC1300" s="210"/>
      <c r="AD1300" s="210"/>
      <c r="AE1300" s="210"/>
      <c r="AF1300" s="210"/>
      <c r="AG1300" s="210"/>
      <c r="AH1300" s="210"/>
      <c r="AI1300" s="210"/>
      <c r="AJ1300" s="210"/>
      <c r="AK1300" s="210"/>
      <c r="AL1300" s="210"/>
      <c r="AM1300" s="210"/>
      <c r="AN1300" s="210"/>
      <c r="AO1300" s="210"/>
      <c r="AP1300" s="210"/>
      <c r="AQ1300" s="210"/>
    </row>
    <row r="1301">
      <c r="A1301" s="190"/>
      <c r="B1301" s="190"/>
      <c r="C1301" s="190"/>
      <c r="D1301" s="190"/>
      <c r="E1301" s="190"/>
      <c r="F1301" s="190"/>
      <c r="G1301" s="190"/>
      <c r="H1301" s="190"/>
      <c r="I1301" s="190"/>
      <c r="J1301" s="190"/>
      <c r="K1301" s="190"/>
      <c r="L1301" s="190"/>
      <c r="M1301" s="190"/>
      <c r="N1301" s="220"/>
      <c r="O1301" s="220"/>
      <c r="P1301" s="220"/>
      <c r="R1301" s="210"/>
      <c r="S1301" s="210"/>
      <c r="T1301" s="210"/>
      <c r="U1301" s="210"/>
      <c r="X1301" s="210"/>
      <c r="Y1301" s="210"/>
      <c r="Z1301" s="210"/>
      <c r="AA1301" s="210"/>
      <c r="AB1301" s="210"/>
      <c r="AC1301" s="210"/>
      <c r="AD1301" s="210"/>
      <c r="AE1301" s="210"/>
      <c r="AF1301" s="210"/>
      <c r="AG1301" s="210"/>
      <c r="AH1301" s="210"/>
      <c r="AI1301" s="210"/>
      <c r="AJ1301" s="210"/>
      <c r="AK1301" s="210"/>
      <c r="AL1301" s="210"/>
      <c r="AM1301" s="210"/>
      <c r="AN1301" s="210"/>
      <c r="AO1301" s="210"/>
      <c r="AP1301" s="210"/>
      <c r="AQ1301" s="210"/>
    </row>
    <row r="1302">
      <c r="A1302" s="190"/>
      <c r="B1302" s="190"/>
      <c r="C1302" s="190"/>
      <c r="D1302" s="190"/>
      <c r="E1302" s="190"/>
      <c r="F1302" s="190"/>
      <c r="G1302" s="190"/>
      <c r="H1302" s="190"/>
      <c r="I1302" s="190"/>
      <c r="J1302" s="190"/>
      <c r="K1302" s="190"/>
      <c r="L1302" s="190"/>
      <c r="M1302" s="190"/>
      <c r="N1302" s="220"/>
      <c r="O1302" s="220"/>
      <c r="P1302" s="220"/>
      <c r="R1302" s="210"/>
      <c r="S1302" s="210"/>
      <c r="T1302" s="210"/>
      <c r="U1302" s="210"/>
      <c r="X1302" s="210"/>
      <c r="Y1302" s="210"/>
      <c r="Z1302" s="210"/>
      <c r="AA1302" s="210"/>
      <c r="AB1302" s="210"/>
      <c r="AC1302" s="210"/>
      <c r="AD1302" s="210"/>
      <c r="AE1302" s="210"/>
      <c r="AF1302" s="210"/>
      <c r="AG1302" s="210"/>
      <c r="AH1302" s="210"/>
      <c r="AI1302" s="210"/>
      <c r="AJ1302" s="210"/>
      <c r="AK1302" s="210"/>
      <c r="AL1302" s="210"/>
      <c r="AM1302" s="210"/>
      <c r="AN1302" s="210"/>
      <c r="AO1302" s="210"/>
      <c r="AP1302" s="210"/>
      <c r="AQ1302" s="210"/>
    </row>
    <row r="1303">
      <c r="A1303" s="190"/>
      <c r="B1303" s="190"/>
      <c r="C1303" s="190"/>
      <c r="D1303" s="190"/>
      <c r="E1303" s="190"/>
      <c r="F1303" s="190"/>
      <c r="G1303" s="190"/>
      <c r="H1303" s="190"/>
      <c r="I1303" s="190"/>
      <c r="J1303" s="190"/>
      <c r="K1303" s="190"/>
      <c r="L1303" s="190"/>
      <c r="M1303" s="190"/>
      <c r="N1303" s="220"/>
      <c r="O1303" s="220"/>
      <c r="P1303" s="220"/>
      <c r="R1303" s="210"/>
      <c r="S1303" s="210"/>
      <c r="T1303" s="210"/>
      <c r="U1303" s="210"/>
      <c r="X1303" s="210"/>
      <c r="Y1303" s="210"/>
      <c r="Z1303" s="210"/>
      <c r="AA1303" s="210"/>
      <c r="AB1303" s="210"/>
      <c r="AC1303" s="210"/>
      <c r="AD1303" s="210"/>
      <c r="AE1303" s="210"/>
      <c r="AF1303" s="210"/>
      <c r="AG1303" s="210"/>
      <c r="AH1303" s="210"/>
      <c r="AI1303" s="210"/>
      <c r="AJ1303" s="210"/>
      <c r="AK1303" s="210"/>
      <c r="AL1303" s="210"/>
      <c r="AM1303" s="210"/>
      <c r="AN1303" s="210"/>
      <c r="AO1303" s="210"/>
      <c r="AP1303" s="210"/>
      <c r="AQ1303" s="210"/>
    </row>
    <row r="1304">
      <c r="A1304" s="190"/>
      <c r="B1304" s="190"/>
      <c r="C1304" s="190"/>
      <c r="D1304" s="190"/>
      <c r="E1304" s="190"/>
      <c r="F1304" s="190"/>
      <c r="G1304" s="190"/>
      <c r="H1304" s="190"/>
      <c r="I1304" s="190"/>
      <c r="J1304" s="190"/>
      <c r="K1304" s="190"/>
      <c r="L1304" s="190"/>
      <c r="M1304" s="190"/>
      <c r="N1304" s="220"/>
      <c r="O1304" s="220"/>
      <c r="P1304" s="220"/>
      <c r="R1304" s="210"/>
      <c r="S1304" s="210"/>
      <c r="T1304" s="210"/>
      <c r="U1304" s="210"/>
      <c r="X1304" s="210"/>
      <c r="Y1304" s="210"/>
      <c r="Z1304" s="210"/>
      <c r="AA1304" s="210"/>
      <c r="AB1304" s="210"/>
      <c r="AC1304" s="210"/>
      <c r="AD1304" s="210"/>
      <c r="AE1304" s="210"/>
      <c r="AF1304" s="210"/>
      <c r="AG1304" s="210"/>
      <c r="AH1304" s="210"/>
      <c r="AI1304" s="210"/>
      <c r="AJ1304" s="210"/>
      <c r="AK1304" s="210"/>
      <c r="AL1304" s="210"/>
      <c r="AM1304" s="210"/>
      <c r="AN1304" s="210"/>
      <c r="AO1304" s="210"/>
      <c r="AP1304" s="210"/>
      <c r="AQ1304" s="210"/>
    </row>
    <row r="1305">
      <c r="A1305" s="190"/>
      <c r="B1305" s="190"/>
      <c r="C1305" s="190"/>
      <c r="D1305" s="190"/>
      <c r="E1305" s="190"/>
      <c r="F1305" s="190"/>
      <c r="G1305" s="190"/>
      <c r="H1305" s="190"/>
      <c r="I1305" s="190"/>
      <c r="J1305" s="190"/>
      <c r="K1305" s="190"/>
      <c r="L1305" s="190"/>
      <c r="M1305" s="190"/>
      <c r="N1305" s="220"/>
      <c r="O1305" s="220"/>
      <c r="P1305" s="220"/>
      <c r="R1305" s="210"/>
      <c r="S1305" s="210"/>
      <c r="T1305" s="210"/>
      <c r="U1305" s="210"/>
      <c r="X1305" s="210"/>
      <c r="Y1305" s="210"/>
      <c r="Z1305" s="210"/>
      <c r="AA1305" s="210"/>
      <c r="AB1305" s="210"/>
      <c r="AC1305" s="210"/>
      <c r="AD1305" s="210"/>
      <c r="AE1305" s="210"/>
      <c r="AF1305" s="210"/>
      <c r="AG1305" s="210"/>
      <c r="AH1305" s="210"/>
      <c r="AI1305" s="210"/>
      <c r="AJ1305" s="210"/>
      <c r="AK1305" s="210"/>
      <c r="AL1305" s="210"/>
      <c r="AM1305" s="210"/>
      <c r="AN1305" s="210"/>
      <c r="AO1305" s="210"/>
      <c r="AP1305" s="210"/>
      <c r="AQ1305" s="210"/>
    </row>
    <row r="1306">
      <c r="A1306" s="190"/>
      <c r="B1306" s="190"/>
      <c r="C1306" s="190"/>
      <c r="D1306" s="190"/>
      <c r="E1306" s="190"/>
      <c r="F1306" s="190"/>
      <c r="G1306" s="190"/>
      <c r="H1306" s="190"/>
      <c r="I1306" s="190"/>
      <c r="J1306" s="190"/>
      <c r="K1306" s="190"/>
      <c r="L1306" s="190"/>
      <c r="M1306" s="190"/>
      <c r="N1306" s="220"/>
      <c r="O1306" s="220"/>
      <c r="P1306" s="220"/>
      <c r="R1306" s="210"/>
      <c r="S1306" s="210"/>
      <c r="T1306" s="210"/>
      <c r="U1306" s="210"/>
      <c r="X1306" s="210"/>
      <c r="Y1306" s="210"/>
      <c r="Z1306" s="210"/>
      <c r="AA1306" s="210"/>
      <c r="AB1306" s="210"/>
      <c r="AC1306" s="210"/>
      <c r="AD1306" s="210"/>
      <c r="AE1306" s="210"/>
      <c r="AF1306" s="210"/>
      <c r="AG1306" s="210"/>
      <c r="AH1306" s="210"/>
      <c r="AI1306" s="210"/>
      <c r="AJ1306" s="210"/>
      <c r="AK1306" s="210"/>
      <c r="AL1306" s="210"/>
      <c r="AM1306" s="210"/>
      <c r="AN1306" s="210"/>
      <c r="AO1306" s="210"/>
      <c r="AP1306" s="210"/>
      <c r="AQ1306" s="210"/>
    </row>
    <row r="1307">
      <c r="A1307" s="190"/>
      <c r="B1307" s="190"/>
      <c r="C1307" s="190"/>
      <c r="D1307" s="190"/>
      <c r="E1307" s="190"/>
      <c r="F1307" s="190"/>
      <c r="G1307" s="190"/>
      <c r="H1307" s="190"/>
      <c r="I1307" s="190"/>
      <c r="J1307" s="190"/>
      <c r="K1307" s="190"/>
      <c r="L1307" s="190"/>
      <c r="M1307" s="190"/>
      <c r="N1307" s="220"/>
      <c r="O1307" s="220"/>
      <c r="P1307" s="220"/>
      <c r="R1307" s="210"/>
      <c r="S1307" s="210"/>
      <c r="T1307" s="210"/>
      <c r="U1307" s="210"/>
      <c r="X1307" s="210"/>
      <c r="Y1307" s="210"/>
      <c r="Z1307" s="210"/>
      <c r="AA1307" s="210"/>
      <c r="AB1307" s="210"/>
      <c r="AC1307" s="210"/>
      <c r="AD1307" s="210"/>
      <c r="AE1307" s="210"/>
      <c r="AF1307" s="210"/>
      <c r="AG1307" s="210"/>
      <c r="AH1307" s="210"/>
      <c r="AI1307" s="210"/>
      <c r="AJ1307" s="210"/>
      <c r="AK1307" s="210"/>
      <c r="AL1307" s="210"/>
      <c r="AM1307" s="210"/>
      <c r="AN1307" s="210"/>
      <c r="AO1307" s="210"/>
      <c r="AP1307" s="210"/>
      <c r="AQ1307" s="210"/>
    </row>
    <row r="1308">
      <c r="A1308" s="190"/>
      <c r="B1308" s="190"/>
      <c r="C1308" s="190"/>
      <c r="D1308" s="190"/>
      <c r="E1308" s="190"/>
      <c r="F1308" s="190"/>
      <c r="G1308" s="190"/>
      <c r="H1308" s="190"/>
      <c r="I1308" s="190"/>
      <c r="J1308" s="190"/>
      <c r="K1308" s="190"/>
      <c r="L1308" s="190"/>
      <c r="M1308" s="190"/>
      <c r="N1308" s="220"/>
      <c r="O1308" s="220"/>
      <c r="P1308" s="220"/>
      <c r="R1308" s="210"/>
      <c r="S1308" s="210"/>
      <c r="T1308" s="210"/>
      <c r="U1308" s="210"/>
      <c r="X1308" s="210"/>
      <c r="Y1308" s="210"/>
      <c r="Z1308" s="210"/>
      <c r="AA1308" s="210"/>
      <c r="AB1308" s="210"/>
      <c r="AC1308" s="210"/>
      <c r="AD1308" s="210"/>
      <c r="AE1308" s="210"/>
      <c r="AF1308" s="210"/>
      <c r="AG1308" s="210"/>
      <c r="AH1308" s="210"/>
      <c r="AI1308" s="210"/>
      <c r="AJ1308" s="210"/>
      <c r="AK1308" s="210"/>
      <c r="AL1308" s="210"/>
      <c r="AM1308" s="210"/>
      <c r="AN1308" s="210"/>
      <c r="AO1308" s="210"/>
      <c r="AP1308" s="210"/>
      <c r="AQ1308" s="210"/>
    </row>
    <row r="1309">
      <c r="A1309" s="190"/>
      <c r="B1309" s="190"/>
      <c r="C1309" s="190"/>
      <c r="D1309" s="190"/>
      <c r="E1309" s="190"/>
      <c r="F1309" s="190"/>
      <c r="G1309" s="190"/>
      <c r="H1309" s="190"/>
      <c r="I1309" s="190"/>
      <c r="J1309" s="190"/>
      <c r="K1309" s="190"/>
      <c r="L1309" s="190"/>
      <c r="M1309" s="190"/>
      <c r="N1309" s="220"/>
      <c r="O1309" s="220"/>
      <c r="P1309" s="220"/>
      <c r="R1309" s="210"/>
      <c r="S1309" s="210"/>
      <c r="T1309" s="210"/>
      <c r="U1309" s="210"/>
      <c r="X1309" s="210"/>
      <c r="Y1309" s="210"/>
      <c r="Z1309" s="210"/>
      <c r="AA1309" s="210"/>
      <c r="AB1309" s="210"/>
      <c r="AC1309" s="210"/>
      <c r="AD1309" s="210"/>
      <c r="AE1309" s="210"/>
      <c r="AF1309" s="210"/>
      <c r="AG1309" s="210"/>
      <c r="AH1309" s="210"/>
      <c r="AI1309" s="210"/>
      <c r="AJ1309" s="210"/>
      <c r="AK1309" s="210"/>
      <c r="AL1309" s="210"/>
      <c r="AM1309" s="210"/>
      <c r="AN1309" s="210"/>
      <c r="AO1309" s="210"/>
      <c r="AP1309" s="210"/>
      <c r="AQ1309" s="210"/>
    </row>
    <row r="1310">
      <c r="A1310" s="190"/>
      <c r="B1310" s="190"/>
      <c r="C1310" s="190"/>
      <c r="D1310" s="190"/>
      <c r="E1310" s="190"/>
      <c r="F1310" s="190"/>
      <c r="G1310" s="190"/>
      <c r="H1310" s="190"/>
      <c r="I1310" s="190"/>
      <c r="J1310" s="190"/>
      <c r="K1310" s="190"/>
      <c r="L1310" s="190"/>
      <c r="M1310" s="190"/>
      <c r="N1310" s="220"/>
      <c r="O1310" s="220"/>
      <c r="P1310" s="220"/>
      <c r="R1310" s="210"/>
      <c r="S1310" s="210"/>
      <c r="T1310" s="210"/>
      <c r="U1310" s="210"/>
      <c r="X1310" s="210"/>
      <c r="Y1310" s="210"/>
      <c r="Z1310" s="210"/>
      <c r="AA1310" s="210"/>
      <c r="AB1310" s="210"/>
      <c r="AC1310" s="210"/>
      <c r="AD1310" s="210"/>
      <c r="AE1310" s="210"/>
      <c r="AF1310" s="210"/>
      <c r="AG1310" s="210"/>
      <c r="AH1310" s="210"/>
      <c r="AI1310" s="210"/>
      <c r="AJ1310" s="210"/>
      <c r="AK1310" s="210"/>
      <c r="AL1310" s="210"/>
      <c r="AM1310" s="210"/>
      <c r="AN1310" s="210"/>
      <c r="AO1310" s="210"/>
      <c r="AP1310" s="210"/>
      <c r="AQ1310" s="210"/>
    </row>
    <row r="1311">
      <c r="A1311" s="190"/>
      <c r="B1311" s="190"/>
      <c r="C1311" s="190"/>
      <c r="D1311" s="190"/>
      <c r="E1311" s="190"/>
      <c r="F1311" s="190"/>
      <c r="G1311" s="190"/>
      <c r="H1311" s="190"/>
      <c r="I1311" s="190"/>
      <c r="J1311" s="190"/>
      <c r="K1311" s="190"/>
      <c r="L1311" s="190"/>
      <c r="M1311" s="190"/>
      <c r="N1311" s="220"/>
      <c r="O1311" s="220"/>
      <c r="P1311" s="220"/>
      <c r="R1311" s="210"/>
      <c r="S1311" s="210"/>
      <c r="T1311" s="210"/>
      <c r="U1311" s="210"/>
      <c r="X1311" s="210"/>
      <c r="Y1311" s="210"/>
      <c r="Z1311" s="210"/>
      <c r="AA1311" s="210"/>
      <c r="AB1311" s="210"/>
      <c r="AC1311" s="210"/>
      <c r="AD1311" s="210"/>
      <c r="AE1311" s="210"/>
      <c r="AF1311" s="210"/>
      <c r="AG1311" s="210"/>
      <c r="AH1311" s="210"/>
      <c r="AI1311" s="210"/>
      <c r="AJ1311" s="210"/>
      <c r="AK1311" s="210"/>
      <c r="AL1311" s="210"/>
      <c r="AM1311" s="210"/>
      <c r="AN1311" s="210"/>
      <c r="AO1311" s="210"/>
      <c r="AP1311" s="210"/>
      <c r="AQ1311" s="210"/>
    </row>
    <row r="1312">
      <c r="A1312" s="190"/>
      <c r="B1312" s="190"/>
      <c r="C1312" s="190"/>
      <c r="D1312" s="190"/>
      <c r="E1312" s="190"/>
      <c r="F1312" s="190"/>
      <c r="G1312" s="190"/>
      <c r="H1312" s="190"/>
      <c r="I1312" s="190"/>
      <c r="J1312" s="190"/>
      <c r="K1312" s="190"/>
      <c r="L1312" s="190"/>
      <c r="M1312" s="190"/>
      <c r="N1312" s="220"/>
      <c r="O1312" s="220"/>
      <c r="P1312" s="220"/>
      <c r="R1312" s="210"/>
      <c r="S1312" s="210"/>
      <c r="T1312" s="210"/>
      <c r="U1312" s="210"/>
      <c r="X1312" s="210"/>
      <c r="Y1312" s="210"/>
      <c r="Z1312" s="210"/>
      <c r="AA1312" s="210"/>
      <c r="AB1312" s="210"/>
      <c r="AC1312" s="210"/>
      <c r="AD1312" s="210"/>
      <c r="AE1312" s="210"/>
      <c r="AF1312" s="210"/>
      <c r="AG1312" s="210"/>
      <c r="AH1312" s="210"/>
      <c r="AI1312" s="210"/>
      <c r="AJ1312" s="210"/>
      <c r="AK1312" s="210"/>
      <c r="AL1312" s="210"/>
      <c r="AM1312" s="210"/>
      <c r="AN1312" s="210"/>
      <c r="AO1312" s="210"/>
      <c r="AP1312" s="210"/>
      <c r="AQ1312" s="210"/>
    </row>
    <row r="1313">
      <c r="A1313" s="190"/>
      <c r="B1313" s="190"/>
      <c r="C1313" s="190"/>
      <c r="D1313" s="190"/>
      <c r="E1313" s="190"/>
      <c r="F1313" s="190"/>
      <c r="G1313" s="190"/>
      <c r="H1313" s="190"/>
      <c r="I1313" s="190"/>
      <c r="J1313" s="190"/>
      <c r="K1313" s="190"/>
      <c r="L1313" s="190"/>
      <c r="M1313" s="190"/>
      <c r="N1313" s="220"/>
      <c r="O1313" s="220"/>
      <c r="P1313" s="220"/>
      <c r="R1313" s="210"/>
      <c r="S1313" s="210"/>
      <c r="T1313" s="210"/>
      <c r="U1313" s="210"/>
      <c r="X1313" s="210"/>
      <c r="Y1313" s="210"/>
      <c r="Z1313" s="210"/>
      <c r="AA1313" s="210"/>
      <c r="AB1313" s="210"/>
      <c r="AC1313" s="210"/>
      <c r="AD1313" s="210"/>
      <c r="AE1313" s="210"/>
      <c r="AF1313" s="210"/>
      <c r="AG1313" s="210"/>
      <c r="AH1313" s="210"/>
      <c r="AI1313" s="210"/>
      <c r="AJ1313" s="210"/>
      <c r="AK1313" s="210"/>
      <c r="AL1313" s="210"/>
      <c r="AM1313" s="210"/>
      <c r="AN1313" s="210"/>
      <c r="AO1313" s="210"/>
      <c r="AP1313" s="210"/>
      <c r="AQ1313" s="210"/>
    </row>
    <row r="1314">
      <c r="A1314" s="190"/>
      <c r="B1314" s="190"/>
      <c r="C1314" s="190"/>
      <c r="D1314" s="190"/>
      <c r="E1314" s="190"/>
      <c r="F1314" s="190"/>
      <c r="G1314" s="190"/>
      <c r="H1314" s="190"/>
      <c r="I1314" s="190"/>
      <c r="J1314" s="190"/>
      <c r="K1314" s="190"/>
      <c r="L1314" s="190"/>
      <c r="M1314" s="190"/>
      <c r="N1314" s="220"/>
      <c r="O1314" s="220"/>
      <c r="P1314" s="220"/>
      <c r="R1314" s="210"/>
      <c r="S1314" s="210"/>
      <c r="T1314" s="210"/>
      <c r="U1314" s="210"/>
      <c r="X1314" s="210"/>
      <c r="Y1314" s="210"/>
      <c r="Z1314" s="210"/>
      <c r="AA1314" s="210"/>
      <c r="AB1314" s="210"/>
      <c r="AC1314" s="210"/>
      <c r="AD1314" s="210"/>
      <c r="AE1314" s="210"/>
      <c r="AF1314" s="210"/>
      <c r="AG1314" s="210"/>
      <c r="AH1314" s="210"/>
      <c r="AI1314" s="210"/>
      <c r="AJ1314" s="210"/>
      <c r="AK1314" s="210"/>
      <c r="AL1314" s="210"/>
      <c r="AM1314" s="210"/>
      <c r="AN1314" s="210"/>
      <c r="AO1314" s="210"/>
      <c r="AP1314" s="210"/>
      <c r="AQ1314" s="210"/>
    </row>
    <row r="1315">
      <c r="A1315" s="190"/>
      <c r="B1315" s="190"/>
      <c r="C1315" s="190"/>
      <c r="D1315" s="190"/>
      <c r="E1315" s="190"/>
      <c r="F1315" s="190"/>
      <c r="G1315" s="190"/>
      <c r="H1315" s="190"/>
      <c r="I1315" s="190"/>
      <c r="J1315" s="190"/>
      <c r="K1315" s="190"/>
      <c r="L1315" s="190"/>
      <c r="M1315" s="190"/>
      <c r="N1315" s="220"/>
      <c r="O1315" s="220"/>
      <c r="P1315" s="220"/>
      <c r="R1315" s="210"/>
      <c r="S1315" s="210"/>
      <c r="T1315" s="210"/>
      <c r="U1315" s="210"/>
      <c r="X1315" s="210"/>
      <c r="Y1315" s="210"/>
      <c r="Z1315" s="210"/>
      <c r="AA1315" s="210"/>
      <c r="AB1315" s="210"/>
      <c r="AC1315" s="210"/>
      <c r="AD1315" s="210"/>
      <c r="AE1315" s="210"/>
      <c r="AF1315" s="210"/>
      <c r="AG1315" s="210"/>
      <c r="AH1315" s="210"/>
      <c r="AI1315" s="210"/>
      <c r="AJ1315" s="210"/>
      <c r="AK1315" s="210"/>
      <c r="AL1315" s="210"/>
      <c r="AM1315" s="210"/>
      <c r="AN1315" s="210"/>
      <c r="AO1315" s="210"/>
      <c r="AP1315" s="210"/>
      <c r="AQ1315" s="210"/>
    </row>
    <row r="1316">
      <c r="A1316" s="190"/>
      <c r="B1316" s="190"/>
      <c r="C1316" s="190"/>
      <c r="D1316" s="190"/>
      <c r="E1316" s="190"/>
      <c r="F1316" s="190"/>
      <c r="G1316" s="190"/>
      <c r="H1316" s="190"/>
      <c r="I1316" s="190"/>
      <c r="J1316" s="190"/>
      <c r="K1316" s="190"/>
      <c r="L1316" s="190"/>
      <c r="M1316" s="190"/>
      <c r="N1316" s="220"/>
      <c r="O1316" s="220"/>
      <c r="P1316" s="220"/>
      <c r="R1316" s="210"/>
      <c r="S1316" s="210"/>
      <c r="T1316" s="210"/>
      <c r="U1316" s="210"/>
      <c r="X1316" s="210"/>
      <c r="Y1316" s="210"/>
      <c r="Z1316" s="210"/>
      <c r="AA1316" s="210"/>
      <c r="AB1316" s="210"/>
      <c r="AC1316" s="210"/>
      <c r="AD1316" s="210"/>
      <c r="AE1316" s="210"/>
      <c r="AF1316" s="210"/>
      <c r="AG1316" s="210"/>
      <c r="AH1316" s="210"/>
      <c r="AI1316" s="210"/>
      <c r="AJ1316" s="210"/>
      <c r="AK1316" s="210"/>
      <c r="AL1316" s="210"/>
      <c r="AM1316" s="210"/>
      <c r="AN1316" s="210"/>
      <c r="AO1316" s="210"/>
      <c r="AP1316" s="210"/>
      <c r="AQ1316" s="210"/>
    </row>
    <row r="1317">
      <c r="A1317" s="190"/>
      <c r="B1317" s="190"/>
      <c r="C1317" s="190"/>
      <c r="D1317" s="190"/>
      <c r="E1317" s="190"/>
      <c r="F1317" s="190"/>
      <c r="G1317" s="190"/>
      <c r="H1317" s="190"/>
      <c r="I1317" s="190"/>
      <c r="J1317" s="190"/>
      <c r="K1317" s="190"/>
      <c r="L1317" s="190"/>
      <c r="M1317" s="190"/>
      <c r="N1317" s="220"/>
      <c r="O1317" s="220"/>
      <c r="P1317" s="220"/>
      <c r="R1317" s="210"/>
      <c r="S1317" s="210"/>
      <c r="T1317" s="210"/>
      <c r="U1317" s="210"/>
      <c r="X1317" s="210"/>
      <c r="Y1317" s="210"/>
      <c r="Z1317" s="210"/>
      <c r="AA1317" s="210"/>
      <c r="AB1317" s="210"/>
      <c r="AC1317" s="210"/>
      <c r="AD1317" s="210"/>
      <c r="AE1317" s="210"/>
      <c r="AF1317" s="210"/>
      <c r="AG1317" s="210"/>
      <c r="AH1317" s="210"/>
      <c r="AI1317" s="210"/>
      <c r="AJ1317" s="210"/>
      <c r="AK1317" s="210"/>
      <c r="AL1317" s="210"/>
      <c r="AM1317" s="210"/>
      <c r="AN1317" s="210"/>
      <c r="AO1317" s="210"/>
      <c r="AP1317" s="210"/>
      <c r="AQ1317" s="210"/>
    </row>
    <row r="1318">
      <c r="A1318" s="190"/>
      <c r="B1318" s="190"/>
      <c r="C1318" s="190"/>
      <c r="D1318" s="190"/>
      <c r="E1318" s="190"/>
      <c r="F1318" s="190"/>
      <c r="G1318" s="190"/>
      <c r="H1318" s="190"/>
      <c r="I1318" s="190"/>
      <c r="J1318" s="190"/>
      <c r="K1318" s="190"/>
      <c r="L1318" s="190"/>
      <c r="M1318" s="190"/>
      <c r="N1318" s="220"/>
      <c r="O1318" s="220"/>
      <c r="P1318" s="220"/>
      <c r="R1318" s="210"/>
      <c r="S1318" s="210"/>
      <c r="T1318" s="210"/>
      <c r="U1318" s="210"/>
      <c r="X1318" s="210"/>
      <c r="Y1318" s="210"/>
      <c r="Z1318" s="210"/>
      <c r="AA1318" s="210"/>
      <c r="AB1318" s="210"/>
      <c r="AC1318" s="210"/>
      <c r="AD1318" s="210"/>
      <c r="AE1318" s="210"/>
      <c r="AF1318" s="210"/>
      <c r="AG1318" s="210"/>
      <c r="AH1318" s="210"/>
      <c r="AI1318" s="210"/>
      <c r="AJ1318" s="210"/>
      <c r="AK1318" s="210"/>
      <c r="AL1318" s="210"/>
      <c r="AM1318" s="210"/>
      <c r="AN1318" s="210"/>
      <c r="AO1318" s="210"/>
      <c r="AP1318" s="210"/>
      <c r="AQ1318" s="210"/>
    </row>
    <row r="1319">
      <c r="A1319" s="190"/>
      <c r="B1319" s="190"/>
      <c r="C1319" s="190"/>
      <c r="D1319" s="190"/>
      <c r="E1319" s="190"/>
      <c r="F1319" s="190"/>
      <c r="G1319" s="190"/>
      <c r="H1319" s="190"/>
      <c r="I1319" s="190"/>
      <c r="J1319" s="190"/>
      <c r="K1319" s="190"/>
      <c r="L1319" s="190"/>
      <c r="M1319" s="190"/>
      <c r="N1319" s="220"/>
      <c r="O1319" s="220"/>
      <c r="P1319" s="220"/>
      <c r="R1319" s="210"/>
      <c r="S1319" s="210"/>
      <c r="T1319" s="210"/>
      <c r="U1319" s="210"/>
      <c r="X1319" s="210"/>
      <c r="Y1319" s="210"/>
      <c r="Z1319" s="210"/>
      <c r="AA1319" s="210"/>
      <c r="AB1319" s="210"/>
      <c r="AC1319" s="210"/>
      <c r="AD1319" s="210"/>
      <c r="AE1319" s="210"/>
      <c r="AF1319" s="210"/>
      <c r="AG1319" s="210"/>
      <c r="AH1319" s="210"/>
      <c r="AI1319" s="210"/>
      <c r="AJ1319" s="210"/>
      <c r="AK1319" s="210"/>
      <c r="AL1319" s="210"/>
      <c r="AM1319" s="210"/>
      <c r="AN1319" s="210"/>
      <c r="AO1319" s="210"/>
      <c r="AP1319" s="210"/>
      <c r="AQ1319" s="210"/>
    </row>
    <row r="1320">
      <c r="A1320" s="190"/>
      <c r="B1320" s="190"/>
      <c r="C1320" s="190"/>
      <c r="D1320" s="190"/>
      <c r="E1320" s="190"/>
      <c r="F1320" s="190"/>
      <c r="G1320" s="190"/>
      <c r="H1320" s="190"/>
      <c r="I1320" s="190"/>
      <c r="J1320" s="190"/>
      <c r="K1320" s="190"/>
      <c r="L1320" s="190"/>
      <c r="M1320" s="190"/>
      <c r="N1320" s="220"/>
      <c r="O1320" s="220"/>
      <c r="P1320" s="220"/>
      <c r="R1320" s="210"/>
      <c r="S1320" s="210"/>
      <c r="T1320" s="210"/>
      <c r="U1320" s="210"/>
      <c r="X1320" s="210"/>
      <c r="Y1320" s="210"/>
      <c r="Z1320" s="210"/>
      <c r="AA1320" s="210"/>
      <c r="AB1320" s="210"/>
      <c r="AC1320" s="210"/>
      <c r="AD1320" s="210"/>
      <c r="AE1320" s="210"/>
      <c r="AF1320" s="210"/>
      <c r="AG1320" s="210"/>
      <c r="AH1320" s="210"/>
      <c r="AI1320" s="210"/>
      <c r="AJ1320" s="210"/>
      <c r="AK1320" s="210"/>
      <c r="AL1320" s="210"/>
      <c r="AM1320" s="210"/>
      <c r="AN1320" s="210"/>
      <c r="AO1320" s="210"/>
      <c r="AP1320" s="210"/>
      <c r="AQ1320" s="210"/>
    </row>
    <row r="1321">
      <c r="A1321" s="190"/>
      <c r="B1321" s="190"/>
      <c r="C1321" s="190"/>
      <c r="D1321" s="190"/>
      <c r="E1321" s="190"/>
      <c r="F1321" s="190"/>
      <c r="G1321" s="190"/>
      <c r="H1321" s="190"/>
      <c r="I1321" s="190"/>
      <c r="J1321" s="190"/>
      <c r="K1321" s="190"/>
      <c r="L1321" s="190"/>
      <c r="M1321" s="190"/>
      <c r="N1321" s="220"/>
      <c r="O1321" s="220"/>
      <c r="P1321" s="220"/>
      <c r="R1321" s="210"/>
      <c r="S1321" s="210"/>
      <c r="T1321" s="210"/>
      <c r="U1321" s="210"/>
      <c r="X1321" s="210"/>
      <c r="Y1321" s="210"/>
      <c r="Z1321" s="210"/>
      <c r="AA1321" s="210"/>
      <c r="AB1321" s="210"/>
      <c r="AC1321" s="210"/>
      <c r="AD1321" s="210"/>
      <c r="AE1321" s="210"/>
      <c r="AF1321" s="210"/>
      <c r="AG1321" s="210"/>
      <c r="AH1321" s="210"/>
      <c r="AI1321" s="210"/>
      <c r="AJ1321" s="210"/>
      <c r="AK1321" s="210"/>
      <c r="AL1321" s="210"/>
      <c r="AM1321" s="210"/>
      <c r="AN1321" s="210"/>
      <c r="AO1321" s="210"/>
      <c r="AP1321" s="210"/>
      <c r="AQ1321" s="210"/>
    </row>
    <row r="1322">
      <c r="A1322" s="190"/>
      <c r="B1322" s="190"/>
      <c r="C1322" s="190"/>
      <c r="D1322" s="190"/>
      <c r="E1322" s="190"/>
      <c r="F1322" s="190"/>
      <c r="G1322" s="190"/>
      <c r="H1322" s="190"/>
      <c r="I1322" s="190"/>
      <c r="J1322" s="190"/>
      <c r="K1322" s="190"/>
      <c r="L1322" s="190"/>
      <c r="M1322" s="190"/>
      <c r="N1322" s="220"/>
      <c r="O1322" s="220"/>
      <c r="P1322" s="220"/>
      <c r="R1322" s="210"/>
      <c r="S1322" s="210"/>
      <c r="T1322" s="210"/>
      <c r="U1322" s="210"/>
      <c r="X1322" s="210"/>
      <c r="Y1322" s="210"/>
      <c r="Z1322" s="210"/>
      <c r="AA1322" s="210"/>
      <c r="AB1322" s="210"/>
      <c r="AC1322" s="210"/>
      <c r="AD1322" s="210"/>
      <c r="AE1322" s="210"/>
      <c r="AF1322" s="210"/>
      <c r="AG1322" s="210"/>
      <c r="AH1322" s="210"/>
      <c r="AI1322" s="210"/>
      <c r="AJ1322" s="210"/>
      <c r="AK1322" s="210"/>
      <c r="AL1322" s="210"/>
      <c r="AM1322" s="210"/>
      <c r="AN1322" s="210"/>
      <c r="AO1322" s="210"/>
      <c r="AP1322" s="210"/>
      <c r="AQ1322" s="210"/>
    </row>
    <row r="1323">
      <c r="A1323" s="190"/>
      <c r="B1323" s="190"/>
      <c r="C1323" s="190"/>
      <c r="D1323" s="190"/>
      <c r="E1323" s="190"/>
      <c r="F1323" s="190"/>
      <c r="G1323" s="190"/>
      <c r="H1323" s="190"/>
      <c r="I1323" s="190"/>
      <c r="J1323" s="190"/>
      <c r="K1323" s="190"/>
      <c r="L1323" s="190"/>
      <c r="M1323" s="190"/>
      <c r="N1323" s="220"/>
      <c r="O1323" s="220"/>
      <c r="P1323" s="220"/>
      <c r="R1323" s="210"/>
      <c r="S1323" s="210"/>
      <c r="T1323" s="210"/>
      <c r="U1323" s="210"/>
      <c r="X1323" s="210"/>
      <c r="Y1323" s="210"/>
      <c r="Z1323" s="210"/>
      <c r="AA1323" s="210"/>
      <c r="AB1323" s="210"/>
      <c r="AC1323" s="210"/>
      <c r="AD1323" s="210"/>
      <c r="AE1323" s="210"/>
      <c r="AF1323" s="210"/>
      <c r="AG1323" s="210"/>
      <c r="AH1323" s="210"/>
      <c r="AI1323" s="210"/>
      <c r="AJ1323" s="210"/>
      <c r="AK1323" s="210"/>
      <c r="AL1323" s="210"/>
      <c r="AM1323" s="210"/>
      <c r="AN1323" s="210"/>
      <c r="AO1323" s="210"/>
      <c r="AP1323" s="210"/>
      <c r="AQ1323" s="210"/>
    </row>
    <row r="1324">
      <c r="A1324" s="190"/>
      <c r="B1324" s="190"/>
      <c r="C1324" s="190"/>
      <c r="D1324" s="190"/>
      <c r="E1324" s="190"/>
      <c r="F1324" s="190"/>
      <c r="G1324" s="190"/>
      <c r="H1324" s="190"/>
      <c r="I1324" s="190"/>
      <c r="J1324" s="190"/>
      <c r="K1324" s="190"/>
      <c r="L1324" s="190"/>
      <c r="M1324" s="190"/>
      <c r="N1324" s="220"/>
      <c r="O1324" s="220"/>
      <c r="P1324" s="220"/>
      <c r="R1324" s="210"/>
      <c r="S1324" s="210"/>
      <c r="T1324" s="210"/>
      <c r="U1324" s="210"/>
      <c r="X1324" s="210"/>
      <c r="Y1324" s="210"/>
      <c r="Z1324" s="210"/>
      <c r="AA1324" s="210"/>
      <c r="AB1324" s="210"/>
      <c r="AC1324" s="210"/>
      <c r="AD1324" s="210"/>
      <c r="AE1324" s="210"/>
      <c r="AF1324" s="210"/>
      <c r="AG1324" s="210"/>
      <c r="AH1324" s="210"/>
      <c r="AI1324" s="210"/>
      <c r="AJ1324" s="210"/>
      <c r="AK1324" s="210"/>
      <c r="AL1324" s="210"/>
      <c r="AM1324" s="210"/>
      <c r="AN1324" s="210"/>
      <c r="AO1324" s="210"/>
      <c r="AP1324" s="210"/>
      <c r="AQ1324" s="210"/>
    </row>
    <row r="1325">
      <c r="A1325" s="190"/>
      <c r="B1325" s="190"/>
      <c r="C1325" s="190"/>
      <c r="D1325" s="190"/>
      <c r="E1325" s="190"/>
      <c r="F1325" s="190"/>
      <c r="G1325" s="190"/>
      <c r="H1325" s="190"/>
      <c r="I1325" s="190"/>
      <c r="J1325" s="190"/>
      <c r="K1325" s="190"/>
      <c r="L1325" s="190"/>
      <c r="M1325" s="190"/>
      <c r="N1325" s="220"/>
      <c r="O1325" s="220"/>
      <c r="P1325" s="220"/>
      <c r="R1325" s="210"/>
      <c r="S1325" s="210"/>
      <c r="T1325" s="210"/>
      <c r="U1325" s="210"/>
      <c r="X1325" s="210"/>
      <c r="Y1325" s="210"/>
      <c r="Z1325" s="210"/>
      <c r="AA1325" s="210"/>
      <c r="AB1325" s="210"/>
      <c r="AC1325" s="210"/>
      <c r="AD1325" s="210"/>
      <c r="AE1325" s="210"/>
      <c r="AF1325" s="210"/>
      <c r="AG1325" s="210"/>
      <c r="AH1325" s="210"/>
      <c r="AI1325" s="210"/>
      <c r="AJ1325" s="210"/>
      <c r="AK1325" s="210"/>
      <c r="AL1325" s="210"/>
      <c r="AM1325" s="210"/>
      <c r="AN1325" s="210"/>
      <c r="AO1325" s="210"/>
      <c r="AP1325" s="210"/>
      <c r="AQ1325" s="210"/>
    </row>
    <row r="1326">
      <c r="A1326" s="190"/>
      <c r="B1326" s="190"/>
      <c r="C1326" s="190"/>
      <c r="D1326" s="190"/>
      <c r="E1326" s="190"/>
      <c r="F1326" s="190"/>
      <c r="G1326" s="190"/>
      <c r="H1326" s="190"/>
      <c r="I1326" s="190"/>
      <c r="J1326" s="190"/>
      <c r="K1326" s="190"/>
      <c r="L1326" s="190"/>
      <c r="M1326" s="190"/>
      <c r="N1326" s="220"/>
      <c r="O1326" s="220"/>
      <c r="P1326" s="220"/>
      <c r="R1326" s="210"/>
      <c r="S1326" s="210"/>
      <c r="T1326" s="210"/>
      <c r="U1326" s="210"/>
      <c r="X1326" s="210"/>
      <c r="Y1326" s="210"/>
      <c r="Z1326" s="210"/>
      <c r="AA1326" s="210"/>
      <c r="AB1326" s="210"/>
      <c r="AC1326" s="210"/>
      <c r="AD1326" s="210"/>
      <c r="AE1326" s="210"/>
      <c r="AF1326" s="210"/>
      <c r="AG1326" s="210"/>
      <c r="AH1326" s="210"/>
      <c r="AI1326" s="210"/>
      <c r="AJ1326" s="210"/>
      <c r="AK1326" s="210"/>
      <c r="AL1326" s="210"/>
      <c r="AM1326" s="210"/>
      <c r="AN1326" s="210"/>
      <c r="AO1326" s="210"/>
      <c r="AP1326" s="210"/>
      <c r="AQ1326" s="210"/>
    </row>
    <row r="1327">
      <c r="A1327" s="190"/>
      <c r="B1327" s="190"/>
      <c r="C1327" s="190"/>
      <c r="D1327" s="190"/>
      <c r="E1327" s="190"/>
      <c r="F1327" s="190"/>
      <c r="G1327" s="190"/>
      <c r="H1327" s="190"/>
      <c r="I1327" s="190"/>
      <c r="J1327" s="190"/>
      <c r="K1327" s="190"/>
      <c r="L1327" s="190"/>
      <c r="M1327" s="190"/>
      <c r="N1327" s="220"/>
      <c r="O1327" s="220"/>
      <c r="P1327" s="220"/>
      <c r="R1327" s="210"/>
      <c r="S1327" s="210"/>
      <c r="T1327" s="210"/>
      <c r="U1327" s="210"/>
      <c r="X1327" s="210"/>
      <c r="Y1327" s="210"/>
      <c r="Z1327" s="210"/>
      <c r="AA1327" s="210"/>
      <c r="AB1327" s="210"/>
      <c r="AC1327" s="210"/>
      <c r="AD1327" s="210"/>
      <c r="AE1327" s="210"/>
      <c r="AF1327" s="210"/>
      <c r="AG1327" s="210"/>
      <c r="AH1327" s="210"/>
      <c r="AI1327" s="210"/>
      <c r="AJ1327" s="210"/>
      <c r="AK1327" s="210"/>
      <c r="AL1327" s="210"/>
      <c r="AM1327" s="210"/>
      <c r="AN1327" s="210"/>
      <c r="AO1327" s="210"/>
      <c r="AP1327" s="210"/>
      <c r="AQ1327" s="210"/>
    </row>
    <row r="1328">
      <c r="A1328" s="190"/>
      <c r="B1328" s="190"/>
      <c r="C1328" s="190"/>
      <c r="D1328" s="190"/>
      <c r="E1328" s="190"/>
      <c r="F1328" s="190"/>
      <c r="G1328" s="190"/>
      <c r="H1328" s="190"/>
      <c r="I1328" s="190"/>
      <c r="J1328" s="190"/>
      <c r="K1328" s="190"/>
      <c r="L1328" s="190"/>
      <c r="M1328" s="190"/>
      <c r="N1328" s="220"/>
      <c r="O1328" s="220"/>
      <c r="P1328" s="220"/>
      <c r="R1328" s="210"/>
      <c r="S1328" s="210"/>
      <c r="T1328" s="210"/>
      <c r="U1328" s="210"/>
      <c r="X1328" s="210"/>
      <c r="Y1328" s="210"/>
      <c r="Z1328" s="210"/>
      <c r="AA1328" s="210"/>
      <c r="AB1328" s="210"/>
      <c r="AC1328" s="210"/>
      <c r="AD1328" s="210"/>
      <c r="AE1328" s="210"/>
      <c r="AF1328" s="210"/>
      <c r="AG1328" s="210"/>
      <c r="AH1328" s="210"/>
      <c r="AI1328" s="210"/>
      <c r="AJ1328" s="210"/>
      <c r="AK1328" s="210"/>
      <c r="AL1328" s="210"/>
      <c r="AM1328" s="210"/>
      <c r="AN1328" s="210"/>
      <c r="AO1328" s="210"/>
      <c r="AP1328" s="210"/>
      <c r="AQ1328" s="210"/>
    </row>
    <row r="1329">
      <c r="A1329" s="190"/>
      <c r="B1329" s="190"/>
      <c r="C1329" s="190"/>
      <c r="D1329" s="190"/>
      <c r="E1329" s="190"/>
      <c r="F1329" s="190"/>
      <c r="G1329" s="190"/>
      <c r="H1329" s="190"/>
      <c r="I1329" s="190"/>
      <c r="J1329" s="190"/>
      <c r="K1329" s="190"/>
      <c r="L1329" s="190"/>
      <c r="M1329" s="190"/>
      <c r="N1329" s="220"/>
      <c r="O1329" s="220"/>
      <c r="P1329" s="220"/>
      <c r="R1329" s="210"/>
      <c r="S1329" s="210"/>
      <c r="T1329" s="210"/>
      <c r="U1329" s="210"/>
      <c r="X1329" s="210"/>
      <c r="Y1329" s="210"/>
      <c r="Z1329" s="210"/>
      <c r="AA1329" s="210"/>
      <c r="AB1329" s="210"/>
      <c r="AC1329" s="210"/>
      <c r="AD1329" s="210"/>
      <c r="AE1329" s="210"/>
      <c r="AF1329" s="210"/>
      <c r="AG1329" s="210"/>
      <c r="AH1329" s="210"/>
      <c r="AI1329" s="210"/>
      <c r="AJ1329" s="210"/>
      <c r="AK1329" s="210"/>
      <c r="AL1329" s="210"/>
      <c r="AM1329" s="210"/>
      <c r="AN1329" s="210"/>
      <c r="AO1329" s="210"/>
      <c r="AP1329" s="210"/>
      <c r="AQ1329" s="210"/>
    </row>
    <row r="1330">
      <c r="A1330" s="190"/>
      <c r="B1330" s="190"/>
      <c r="C1330" s="190"/>
      <c r="D1330" s="190"/>
      <c r="E1330" s="190"/>
      <c r="F1330" s="190"/>
      <c r="G1330" s="190"/>
      <c r="H1330" s="190"/>
      <c r="I1330" s="190"/>
      <c r="J1330" s="190"/>
      <c r="K1330" s="190"/>
      <c r="L1330" s="190"/>
      <c r="M1330" s="190"/>
      <c r="N1330" s="220"/>
      <c r="O1330" s="220"/>
      <c r="P1330" s="220"/>
      <c r="R1330" s="210"/>
      <c r="S1330" s="210"/>
      <c r="T1330" s="210"/>
      <c r="U1330" s="210"/>
      <c r="X1330" s="210"/>
      <c r="Y1330" s="210"/>
      <c r="Z1330" s="210"/>
      <c r="AA1330" s="210"/>
      <c r="AB1330" s="210"/>
      <c r="AC1330" s="210"/>
      <c r="AD1330" s="210"/>
      <c r="AE1330" s="210"/>
      <c r="AF1330" s="210"/>
      <c r="AG1330" s="210"/>
      <c r="AH1330" s="210"/>
      <c r="AI1330" s="210"/>
      <c r="AJ1330" s="210"/>
      <c r="AK1330" s="210"/>
      <c r="AL1330" s="210"/>
      <c r="AM1330" s="210"/>
      <c r="AN1330" s="210"/>
      <c r="AO1330" s="210"/>
      <c r="AP1330" s="210"/>
      <c r="AQ1330" s="210"/>
    </row>
    <row r="1331">
      <c r="A1331" s="190"/>
      <c r="B1331" s="190"/>
      <c r="C1331" s="190"/>
      <c r="D1331" s="190"/>
      <c r="E1331" s="190"/>
      <c r="F1331" s="190"/>
      <c r="G1331" s="190"/>
      <c r="H1331" s="190"/>
      <c r="I1331" s="190"/>
      <c r="J1331" s="190"/>
      <c r="K1331" s="190"/>
      <c r="L1331" s="190"/>
      <c r="M1331" s="190"/>
      <c r="N1331" s="220"/>
      <c r="O1331" s="220"/>
      <c r="P1331" s="220"/>
      <c r="R1331" s="210"/>
      <c r="S1331" s="210"/>
      <c r="T1331" s="210"/>
      <c r="U1331" s="210"/>
      <c r="X1331" s="210"/>
      <c r="Y1331" s="210"/>
      <c r="Z1331" s="210"/>
      <c r="AA1331" s="210"/>
      <c r="AB1331" s="210"/>
      <c r="AC1331" s="210"/>
      <c r="AD1331" s="210"/>
      <c r="AE1331" s="210"/>
      <c r="AF1331" s="210"/>
      <c r="AG1331" s="210"/>
      <c r="AH1331" s="210"/>
      <c r="AI1331" s="210"/>
      <c r="AJ1331" s="210"/>
      <c r="AK1331" s="210"/>
      <c r="AL1331" s="210"/>
      <c r="AM1331" s="210"/>
      <c r="AN1331" s="210"/>
      <c r="AO1331" s="210"/>
      <c r="AP1331" s="210"/>
      <c r="AQ1331" s="210"/>
    </row>
    <row r="1332">
      <c r="A1332" s="190"/>
      <c r="B1332" s="190"/>
      <c r="C1332" s="190"/>
      <c r="D1332" s="190"/>
      <c r="E1332" s="190"/>
      <c r="F1332" s="190"/>
      <c r="G1332" s="190"/>
      <c r="H1332" s="190"/>
      <c r="I1332" s="190"/>
      <c r="J1332" s="190"/>
      <c r="K1332" s="190"/>
      <c r="L1332" s="190"/>
      <c r="M1332" s="190"/>
      <c r="N1332" s="220"/>
      <c r="O1332" s="220"/>
      <c r="P1332" s="220"/>
      <c r="R1332" s="210"/>
      <c r="S1332" s="210"/>
      <c r="T1332" s="210"/>
      <c r="U1332" s="210"/>
      <c r="X1332" s="210"/>
      <c r="Y1332" s="210"/>
      <c r="Z1332" s="210"/>
      <c r="AA1332" s="210"/>
      <c r="AB1332" s="210"/>
      <c r="AC1332" s="210"/>
      <c r="AD1332" s="210"/>
      <c r="AE1332" s="210"/>
      <c r="AF1332" s="210"/>
      <c r="AG1332" s="210"/>
      <c r="AH1332" s="210"/>
      <c r="AI1332" s="210"/>
      <c r="AJ1332" s="210"/>
      <c r="AK1332" s="210"/>
      <c r="AL1332" s="210"/>
      <c r="AM1332" s="210"/>
      <c r="AN1332" s="210"/>
      <c r="AO1332" s="210"/>
      <c r="AP1332" s="210"/>
      <c r="AQ1332" s="210"/>
    </row>
    <row r="1333">
      <c r="A1333" s="190"/>
      <c r="B1333" s="190"/>
      <c r="C1333" s="190"/>
      <c r="D1333" s="190"/>
      <c r="E1333" s="190"/>
      <c r="F1333" s="190"/>
      <c r="G1333" s="190"/>
      <c r="H1333" s="190"/>
      <c r="I1333" s="190"/>
      <c r="J1333" s="190"/>
      <c r="K1333" s="190"/>
      <c r="L1333" s="190"/>
      <c r="M1333" s="190"/>
      <c r="N1333" s="220"/>
      <c r="O1333" s="220"/>
      <c r="P1333" s="220"/>
      <c r="R1333" s="210"/>
      <c r="S1333" s="210"/>
      <c r="T1333" s="210"/>
      <c r="U1333" s="210"/>
      <c r="X1333" s="210"/>
      <c r="Y1333" s="210"/>
      <c r="Z1333" s="210"/>
      <c r="AA1333" s="210"/>
      <c r="AB1333" s="210"/>
      <c r="AC1333" s="210"/>
      <c r="AD1333" s="210"/>
      <c r="AE1333" s="210"/>
      <c r="AF1333" s="210"/>
      <c r="AG1333" s="210"/>
      <c r="AH1333" s="210"/>
      <c r="AI1333" s="210"/>
      <c r="AJ1333" s="210"/>
      <c r="AK1333" s="210"/>
      <c r="AL1333" s="210"/>
      <c r="AM1333" s="210"/>
      <c r="AN1333" s="210"/>
      <c r="AO1333" s="210"/>
      <c r="AP1333" s="210"/>
      <c r="AQ1333" s="210"/>
    </row>
    <row r="1334">
      <c r="A1334" s="190"/>
      <c r="B1334" s="190"/>
      <c r="C1334" s="190"/>
      <c r="D1334" s="190"/>
      <c r="E1334" s="190"/>
      <c r="F1334" s="190"/>
      <c r="G1334" s="190"/>
      <c r="H1334" s="190"/>
      <c r="I1334" s="190"/>
      <c r="J1334" s="190"/>
      <c r="K1334" s="190"/>
      <c r="L1334" s="190"/>
      <c r="M1334" s="190"/>
      <c r="N1334" s="220"/>
      <c r="O1334" s="220"/>
      <c r="P1334" s="220"/>
      <c r="R1334" s="210"/>
      <c r="S1334" s="210"/>
      <c r="T1334" s="210"/>
      <c r="U1334" s="210"/>
      <c r="X1334" s="210"/>
      <c r="Y1334" s="210"/>
      <c r="Z1334" s="210"/>
      <c r="AA1334" s="210"/>
      <c r="AB1334" s="210"/>
      <c r="AC1334" s="210"/>
      <c r="AD1334" s="210"/>
      <c r="AE1334" s="210"/>
      <c r="AF1334" s="210"/>
      <c r="AG1334" s="210"/>
      <c r="AH1334" s="210"/>
      <c r="AI1334" s="210"/>
      <c r="AJ1334" s="210"/>
      <c r="AK1334" s="210"/>
      <c r="AL1334" s="210"/>
      <c r="AM1334" s="210"/>
      <c r="AN1334" s="210"/>
      <c r="AO1334" s="210"/>
      <c r="AP1334" s="210"/>
      <c r="AQ1334" s="210"/>
    </row>
    <row r="1335">
      <c r="A1335" s="190"/>
      <c r="B1335" s="190"/>
      <c r="C1335" s="190"/>
      <c r="D1335" s="190"/>
      <c r="E1335" s="190"/>
      <c r="F1335" s="190"/>
      <c r="G1335" s="190"/>
      <c r="H1335" s="190"/>
      <c r="I1335" s="190"/>
      <c r="J1335" s="190"/>
      <c r="K1335" s="190"/>
      <c r="L1335" s="190"/>
      <c r="M1335" s="190"/>
      <c r="N1335" s="220"/>
      <c r="O1335" s="220"/>
      <c r="P1335" s="220"/>
      <c r="R1335" s="210"/>
      <c r="S1335" s="210"/>
      <c r="T1335" s="210"/>
      <c r="U1335" s="210"/>
      <c r="X1335" s="210"/>
      <c r="Y1335" s="210"/>
      <c r="Z1335" s="210"/>
      <c r="AA1335" s="210"/>
      <c r="AB1335" s="210"/>
      <c r="AC1335" s="210"/>
      <c r="AD1335" s="210"/>
      <c r="AE1335" s="210"/>
      <c r="AF1335" s="210"/>
      <c r="AG1335" s="210"/>
      <c r="AH1335" s="210"/>
      <c r="AI1335" s="210"/>
      <c r="AJ1335" s="210"/>
      <c r="AK1335" s="210"/>
      <c r="AL1335" s="210"/>
      <c r="AM1335" s="210"/>
      <c r="AN1335" s="210"/>
      <c r="AO1335" s="210"/>
      <c r="AP1335" s="210"/>
      <c r="AQ1335" s="210"/>
    </row>
    <row r="1336">
      <c r="A1336" s="190"/>
      <c r="B1336" s="190"/>
      <c r="C1336" s="190"/>
      <c r="D1336" s="190"/>
      <c r="E1336" s="190"/>
      <c r="F1336" s="190"/>
      <c r="G1336" s="190"/>
      <c r="H1336" s="190"/>
      <c r="I1336" s="190"/>
      <c r="J1336" s="190"/>
      <c r="K1336" s="190"/>
      <c r="L1336" s="190"/>
      <c r="M1336" s="190"/>
      <c r="N1336" s="220"/>
      <c r="O1336" s="220"/>
      <c r="P1336" s="220"/>
      <c r="R1336" s="210"/>
      <c r="S1336" s="210"/>
      <c r="T1336" s="210"/>
      <c r="U1336" s="210"/>
      <c r="X1336" s="210"/>
      <c r="Y1336" s="210"/>
      <c r="Z1336" s="210"/>
      <c r="AA1336" s="210"/>
      <c r="AB1336" s="210"/>
      <c r="AC1336" s="210"/>
      <c r="AD1336" s="210"/>
      <c r="AE1336" s="210"/>
      <c r="AF1336" s="210"/>
      <c r="AG1336" s="210"/>
      <c r="AH1336" s="210"/>
      <c r="AI1336" s="210"/>
      <c r="AJ1336" s="210"/>
      <c r="AK1336" s="210"/>
      <c r="AL1336" s="210"/>
      <c r="AM1336" s="210"/>
      <c r="AN1336" s="210"/>
      <c r="AO1336" s="210"/>
      <c r="AP1336" s="210"/>
      <c r="AQ1336" s="210"/>
    </row>
    <row r="1337">
      <c r="A1337" s="190"/>
      <c r="B1337" s="190"/>
      <c r="C1337" s="190"/>
      <c r="D1337" s="190"/>
      <c r="E1337" s="190"/>
      <c r="F1337" s="190"/>
      <c r="G1337" s="190"/>
      <c r="H1337" s="190"/>
      <c r="I1337" s="190"/>
      <c r="J1337" s="190"/>
      <c r="K1337" s="190"/>
      <c r="L1337" s="190"/>
      <c r="M1337" s="190"/>
      <c r="N1337" s="220"/>
      <c r="O1337" s="220"/>
      <c r="P1337" s="220"/>
      <c r="R1337" s="210"/>
      <c r="S1337" s="210"/>
      <c r="T1337" s="210"/>
      <c r="U1337" s="210"/>
      <c r="X1337" s="210"/>
      <c r="Y1337" s="210"/>
      <c r="Z1337" s="210"/>
      <c r="AA1337" s="210"/>
      <c r="AB1337" s="210"/>
      <c r="AC1337" s="210"/>
      <c r="AD1337" s="210"/>
      <c r="AE1337" s="210"/>
      <c r="AF1337" s="210"/>
      <c r="AG1337" s="210"/>
      <c r="AH1337" s="210"/>
      <c r="AI1337" s="210"/>
      <c r="AJ1337" s="210"/>
      <c r="AK1337" s="210"/>
      <c r="AL1337" s="210"/>
      <c r="AM1337" s="210"/>
      <c r="AN1337" s="210"/>
      <c r="AO1337" s="210"/>
      <c r="AP1337" s="210"/>
      <c r="AQ1337" s="210"/>
    </row>
    <row r="1338">
      <c r="A1338" s="190"/>
      <c r="B1338" s="190"/>
      <c r="C1338" s="190"/>
      <c r="D1338" s="190"/>
      <c r="E1338" s="190"/>
      <c r="F1338" s="190"/>
      <c r="G1338" s="190"/>
      <c r="H1338" s="190"/>
      <c r="I1338" s="190"/>
      <c r="J1338" s="190"/>
      <c r="K1338" s="190"/>
      <c r="L1338" s="190"/>
      <c r="M1338" s="190"/>
      <c r="N1338" s="220"/>
      <c r="O1338" s="220"/>
      <c r="P1338" s="220"/>
      <c r="R1338" s="210"/>
      <c r="S1338" s="210"/>
      <c r="T1338" s="210"/>
      <c r="U1338" s="210"/>
      <c r="X1338" s="210"/>
      <c r="Y1338" s="210"/>
      <c r="Z1338" s="210"/>
      <c r="AA1338" s="210"/>
      <c r="AB1338" s="210"/>
      <c r="AC1338" s="210"/>
      <c r="AD1338" s="210"/>
      <c r="AE1338" s="210"/>
      <c r="AF1338" s="210"/>
      <c r="AG1338" s="210"/>
      <c r="AH1338" s="210"/>
      <c r="AI1338" s="210"/>
      <c r="AJ1338" s="210"/>
      <c r="AK1338" s="210"/>
      <c r="AL1338" s="210"/>
      <c r="AM1338" s="210"/>
      <c r="AN1338" s="210"/>
      <c r="AO1338" s="210"/>
      <c r="AP1338" s="210"/>
      <c r="AQ1338" s="210"/>
    </row>
    <row r="1339">
      <c r="A1339" s="190"/>
      <c r="B1339" s="190"/>
      <c r="C1339" s="190"/>
      <c r="D1339" s="190"/>
      <c r="E1339" s="190"/>
      <c r="F1339" s="190"/>
      <c r="G1339" s="190"/>
      <c r="H1339" s="190"/>
      <c r="I1339" s="190"/>
      <c r="J1339" s="190"/>
      <c r="K1339" s="190"/>
      <c r="L1339" s="190"/>
      <c r="M1339" s="190"/>
      <c r="N1339" s="220"/>
      <c r="O1339" s="220"/>
      <c r="P1339" s="220"/>
      <c r="R1339" s="210"/>
      <c r="S1339" s="210"/>
      <c r="T1339" s="210"/>
      <c r="U1339" s="210"/>
      <c r="X1339" s="210"/>
      <c r="Y1339" s="210"/>
      <c r="Z1339" s="210"/>
      <c r="AA1339" s="210"/>
      <c r="AB1339" s="210"/>
      <c r="AC1339" s="210"/>
      <c r="AD1339" s="210"/>
      <c r="AE1339" s="210"/>
      <c r="AF1339" s="210"/>
      <c r="AG1339" s="210"/>
      <c r="AH1339" s="210"/>
      <c r="AI1339" s="210"/>
      <c r="AJ1339" s="210"/>
      <c r="AK1339" s="210"/>
      <c r="AL1339" s="210"/>
      <c r="AM1339" s="210"/>
      <c r="AN1339" s="210"/>
      <c r="AO1339" s="210"/>
      <c r="AP1339" s="210"/>
      <c r="AQ1339" s="210"/>
    </row>
    <row r="1340">
      <c r="A1340" s="190"/>
      <c r="B1340" s="190"/>
      <c r="C1340" s="190"/>
      <c r="D1340" s="190"/>
      <c r="E1340" s="190"/>
      <c r="F1340" s="190"/>
      <c r="G1340" s="190"/>
      <c r="H1340" s="190"/>
      <c r="I1340" s="190"/>
      <c r="J1340" s="190"/>
      <c r="K1340" s="190"/>
      <c r="L1340" s="190"/>
      <c r="M1340" s="190"/>
      <c r="N1340" s="220"/>
      <c r="O1340" s="220"/>
      <c r="P1340" s="220"/>
      <c r="R1340" s="210"/>
      <c r="S1340" s="210"/>
      <c r="T1340" s="210"/>
      <c r="U1340" s="210"/>
      <c r="X1340" s="210"/>
      <c r="Y1340" s="210"/>
      <c r="Z1340" s="210"/>
      <c r="AA1340" s="210"/>
      <c r="AB1340" s="210"/>
      <c r="AC1340" s="210"/>
      <c r="AD1340" s="210"/>
      <c r="AE1340" s="210"/>
      <c r="AF1340" s="210"/>
      <c r="AG1340" s="210"/>
      <c r="AH1340" s="210"/>
      <c r="AI1340" s="210"/>
      <c r="AJ1340" s="210"/>
      <c r="AK1340" s="210"/>
      <c r="AL1340" s="210"/>
      <c r="AM1340" s="210"/>
      <c r="AN1340" s="210"/>
      <c r="AO1340" s="210"/>
      <c r="AP1340" s="210"/>
      <c r="AQ1340" s="210"/>
    </row>
    <row r="1341">
      <c r="A1341" s="190"/>
      <c r="B1341" s="190"/>
      <c r="C1341" s="190"/>
      <c r="D1341" s="190"/>
      <c r="E1341" s="190"/>
      <c r="F1341" s="190"/>
      <c r="G1341" s="190"/>
      <c r="H1341" s="190"/>
      <c r="I1341" s="190"/>
      <c r="J1341" s="190"/>
      <c r="K1341" s="190"/>
      <c r="L1341" s="190"/>
      <c r="M1341" s="190"/>
      <c r="N1341" s="220"/>
      <c r="O1341" s="220"/>
      <c r="P1341" s="220"/>
      <c r="R1341" s="210"/>
      <c r="S1341" s="210"/>
      <c r="T1341" s="210"/>
      <c r="U1341" s="210"/>
      <c r="X1341" s="210"/>
      <c r="Y1341" s="210"/>
      <c r="Z1341" s="210"/>
      <c r="AA1341" s="210"/>
      <c r="AB1341" s="210"/>
      <c r="AC1341" s="210"/>
      <c r="AD1341" s="210"/>
      <c r="AE1341" s="210"/>
      <c r="AF1341" s="210"/>
      <c r="AG1341" s="210"/>
      <c r="AH1341" s="210"/>
      <c r="AI1341" s="210"/>
      <c r="AJ1341" s="210"/>
      <c r="AK1341" s="210"/>
      <c r="AL1341" s="210"/>
      <c r="AM1341" s="210"/>
      <c r="AN1341" s="210"/>
      <c r="AO1341" s="210"/>
      <c r="AP1341" s="210"/>
      <c r="AQ1341" s="210"/>
    </row>
    <row r="1342">
      <c r="A1342" s="190"/>
      <c r="B1342" s="190"/>
      <c r="C1342" s="190"/>
      <c r="D1342" s="190"/>
      <c r="E1342" s="190"/>
      <c r="F1342" s="190"/>
      <c r="G1342" s="190"/>
      <c r="H1342" s="190"/>
      <c r="I1342" s="190"/>
      <c r="J1342" s="190"/>
      <c r="K1342" s="190"/>
      <c r="L1342" s="190"/>
      <c r="M1342" s="190"/>
      <c r="N1342" s="220"/>
      <c r="O1342" s="220"/>
      <c r="P1342" s="220"/>
      <c r="R1342" s="210"/>
      <c r="S1342" s="210"/>
      <c r="T1342" s="210"/>
      <c r="U1342" s="210"/>
      <c r="X1342" s="210"/>
      <c r="Y1342" s="210"/>
      <c r="Z1342" s="210"/>
      <c r="AA1342" s="210"/>
      <c r="AB1342" s="210"/>
      <c r="AC1342" s="210"/>
      <c r="AD1342" s="210"/>
      <c r="AE1342" s="210"/>
      <c r="AF1342" s="210"/>
      <c r="AG1342" s="210"/>
      <c r="AH1342" s="210"/>
      <c r="AI1342" s="210"/>
      <c r="AJ1342" s="210"/>
      <c r="AK1342" s="210"/>
      <c r="AL1342" s="210"/>
      <c r="AM1342" s="210"/>
      <c r="AN1342" s="210"/>
      <c r="AO1342" s="210"/>
      <c r="AP1342" s="210"/>
      <c r="AQ1342" s="210"/>
    </row>
    <row r="1343">
      <c r="A1343" s="190"/>
      <c r="B1343" s="190"/>
      <c r="C1343" s="190"/>
      <c r="D1343" s="190"/>
      <c r="E1343" s="190"/>
      <c r="F1343" s="190"/>
      <c r="G1343" s="190"/>
      <c r="H1343" s="190"/>
      <c r="I1343" s="190"/>
      <c r="J1343" s="190"/>
      <c r="K1343" s="190"/>
      <c r="L1343" s="190"/>
      <c r="M1343" s="190"/>
      <c r="N1343" s="220"/>
      <c r="O1343" s="220"/>
      <c r="P1343" s="220"/>
      <c r="R1343" s="210"/>
      <c r="S1343" s="210"/>
      <c r="T1343" s="210"/>
      <c r="U1343" s="210"/>
      <c r="X1343" s="210"/>
      <c r="Y1343" s="210"/>
      <c r="Z1343" s="210"/>
      <c r="AA1343" s="210"/>
      <c r="AB1343" s="210"/>
      <c r="AC1343" s="210"/>
      <c r="AD1343" s="210"/>
      <c r="AE1343" s="210"/>
      <c r="AF1343" s="210"/>
      <c r="AG1343" s="210"/>
      <c r="AH1343" s="210"/>
      <c r="AI1343" s="210"/>
      <c r="AJ1343" s="210"/>
      <c r="AK1343" s="210"/>
      <c r="AL1343" s="210"/>
      <c r="AM1343" s="210"/>
      <c r="AN1343" s="210"/>
      <c r="AO1343" s="210"/>
      <c r="AP1343" s="210"/>
      <c r="AQ1343" s="210"/>
    </row>
    <row r="1344">
      <c r="A1344" s="190"/>
      <c r="B1344" s="190"/>
      <c r="C1344" s="190"/>
      <c r="D1344" s="190"/>
      <c r="E1344" s="190"/>
      <c r="F1344" s="190"/>
      <c r="G1344" s="190"/>
      <c r="H1344" s="190"/>
      <c r="I1344" s="190"/>
      <c r="J1344" s="190"/>
      <c r="K1344" s="190"/>
      <c r="L1344" s="190"/>
      <c r="M1344" s="190"/>
      <c r="N1344" s="220"/>
      <c r="O1344" s="220"/>
      <c r="P1344" s="220"/>
      <c r="R1344" s="210"/>
      <c r="S1344" s="210"/>
      <c r="T1344" s="210"/>
      <c r="U1344" s="210"/>
      <c r="X1344" s="210"/>
      <c r="Y1344" s="210"/>
      <c r="Z1344" s="210"/>
      <c r="AA1344" s="210"/>
      <c r="AB1344" s="210"/>
      <c r="AC1344" s="210"/>
      <c r="AD1344" s="210"/>
      <c r="AE1344" s="210"/>
      <c r="AF1344" s="210"/>
      <c r="AG1344" s="210"/>
      <c r="AH1344" s="210"/>
      <c r="AI1344" s="210"/>
      <c r="AJ1344" s="210"/>
      <c r="AK1344" s="210"/>
      <c r="AL1344" s="210"/>
      <c r="AM1344" s="210"/>
      <c r="AN1344" s="210"/>
      <c r="AO1344" s="210"/>
      <c r="AP1344" s="210"/>
      <c r="AQ1344" s="210"/>
    </row>
    <row r="1345">
      <c r="A1345" s="190"/>
      <c r="B1345" s="190"/>
      <c r="C1345" s="190"/>
      <c r="D1345" s="190"/>
      <c r="E1345" s="190"/>
      <c r="F1345" s="190"/>
      <c r="G1345" s="190"/>
      <c r="H1345" s="190"/>
      <c r="I1345" s="190"/>
      <c r="J1345" s="190"/>
      <c r="K1345" s="190"/>
      <c r="L1345" s="190"/>
      <c r="M1345" s="190"/>
      <c r="N1345" s="220"/>
      <c r="O1345" s="220"/>
      <c r="P1345" s="220"/>
      <c r="R1345" s="210"/>
      <c r="S1345" s="210"/>
      <c r="T1345" s="210"/>
      <c r="U1345" s="210"/>
      <c r="X1345" s="210"/>
      <c r="Y1345" s="210"/>
      <c r="Z1345" s="210"/>
      <c r="AA1345" s="210"/>
      <c r="AB1345" s="210"/>
      <c r="AC1345" s="210"/>
      <c r="AD1345" s="210"/>
      <c r="AE1345" s="210"/>
      <c r="AF1345" s="210"/>
      <c r="AG1345" s="210"/>
      <c r="AH1345" s="210"/>
      <c r="AI1345" s="210"/>
      <c r="AJ1345" s="210"/>
      <c r="AK1345" s="210"/>
      <c r="AL1345" s="210"/>
      <c r="AM1345" s="210"/>
      <c r="AN1345" s="210"/>
      <c r="AO1345" s="210"/>
      <c r="AP1345" s="210"/>
      <c r="AQ1345" s="210"/>
    </row>
    <row r="1346">
      <c r="A1346" s="190"/>
      <c r="B1346" s="190"/>
      <c r="C1346" s="190"/>
      <c r="D1346" s="190"/>
      <c r="E1346" s="190"/>
      <c r="F1346" s="190"/>
      <c r="G1346" s="190"/>
      <c r="H1346" s="190"/>
      <c r="I1346" s="190"/>
      <c r="J1346" s="190"/>
      <c r="K1346" s="190"/>
      <c r="L1346" s="190"/>
      <c r="M1346" s="190"/>
      <c r="N1346" s="220"/>
      <c r="O1346" s="220"/>
      <c r="P1346" s="220"/>
      <c r="R1346" s="210"/>
      <c r="S1346" s="210"/>
      <c r="T1346" s="210"/>
      <c r="U1346" s="210"/>
      <c r="X1346" s="210"/>
      <c r="Y1346" s="210"/>
      <c r="Z1346" s="210"/>
      <c r="AA1346" s="210"/>
      <c r="AB1346" s="210"/>
      <c r="AC1346" s="210"/>
      <c r="AD1346" s="210"/>
      <c r="AE1346" s="210"/>
      <c r="AF1346" s="210"/>
      <c r="AG1346" s="210"/>
      <c r="AH1346" s="210"/>
      <c r="AI1346" s="210"/>
      <c r="AJ1346" s="210"/>
      <c r="AK1346" s="210"/>
      <c r="AL1346" s="210"/>
      <c r="AM1346" s="210"/>
      <c r="AN1346" s="210"/>
      <c r="AO1346" s="210"/>
      <c r="AP1346" s="210"/>
      <c r="AQ1346" s="210"/>
    </row>
    <row r="1347">
      <c r="A1347" s="190"/>
      <c r="B1347" s="190"/>
      <c r="C1347" s="190"/>
      <c r="D1347" s="190"/>
      <c r="E1347" s="190"/>
      <c r="F1347" s="190"/>
      <c r="G1347" s="190"/>
      <c r="H1347" s="190"/>
      <c r="I1347" s="190"/>
      <c r="J1347" s="190"/>
      <c r="K1347" s="190"/>
      <c r="L1347" s="190"/>
      <c r="M1347" s="190"/>
      <c r="N1347" s="220"/>
      <c r="O1347" s="220"/>
      <c r="P1347" s="220"/>
      <c r="R1347" s="210"/>
      <c r="S1347" s="210"/>
      <c r="T1347" s="210"/>
      <c r="U1347" s="210"/>
      <c r="X1347" s="210"/>
      <c r="Y1347" s="210"/>
      <c r="Z1347" s="210"/>
      <c r="AA1347" s="210"/>
      <c r="AB1347" s="210"/>
      <c r="AC1347" s="210"/>
      <c r="AD1347" s="210"/>
      <c r="AE1347" s="210"/>
      <c r="AF1347" s="210"/>
      <c r="AG1347" s="210"/>
      <c r="AH1347" s="210"/>
      <c r="AI1347" s="210"/>
      <c r="AJ1347" s="210"/>
      <c r="AK1347" s="210"/>
      <c r="AL1347" s="210"/>
      <c r="AM1347" s="210"/>
      <c r="AN1347" s="210"/>
      <c r="AO1347" s="210"/>
      <c r="AP1347" s="210"/>
      <c r="AQ1347" s="210"/>
    </row>
    <row r="1348">
      <c r="A1348" s="190"/>
      <c r="B1348" s="190"/>
      <c r="C1348" s="190"/>
      <c r="D1348" s="190"/>
      <c r="E1348" s="190"/>
      <c r="F1348" s="190"/>
      <c r="G1348" s="190"/>
      <c r="H1348" s="190"/>
      <c r="I1348" s="190"/>
      <c r="J1348" s="190"/>
      <c r="K1348" s="190"/>
      <c r="L1348" s="190"/>
      <c r="M1348" s="190"/>
      <c r="N1348" s="220"/>
      <c r="O1348" s="220"/>
      <c r="P1348" s="220"/>
      <c r="R1348" s="210"/>
      <c r="S1348" s="210"/>
      <c r="T1348" s="210"/>
      <c r="U1348" s="210"/>
      <c r="X1348" s="210"/>
      <c r="Y1348" s="210"/>
      <c r="Z1348" s="210"/>
      <c r="AA1348" s="210"/>
      <c r="AB1348" s="210"/>
      <c r="AC1348" s="210"/>
      <c r="AD1348" s="210"/>
      <c r="AE1348" s="210"/>
      <c r="AF1348" s="210"/>
      <c r="AG1348" s="210"/>
      <c r="AH1348" s="210"/>
      <c r="AI1348" s="210"/>
      <c r="AJ1348" s="210"/>
      <c r="AK1348" s="210"/>
      <c r="AL1348" s="210"/>
      <c r="AM1348" s="210"/>
      <c r="AN1348" s="210"/>
      <c r="AO1348" s="210"/>
      <c r="AP1348" s="210"/>
      <c r="AQ1348" s="210"/>
    </row>
    <row r="1349">
      <c r="A1349" s="190"/>
      <c r="B1349" s="190"/>
      <c r="C1349" s="190"/>
      <c r="D1349" s="190"/>
      <c r="E1349" s="190"/>
      <c r="F1349" s="190"/>
      <c r="G1349" s="190"/>
      <c r="H1349" s="190"/>
      <c r="I1349" s="190"/>
      <c r="J1349" s="190"/>
      <c r="K1349" s="190"/>
      <c r="L1349" s="190"/>
      <c r="M1349" s="190"/>
      <c r="N1349" s="220"/>
      <c r="O1349" s="220"/>
      <c r="P1349" s="220"/>
      <c r="R1349" s="210"/>
      <c r="S1349" s="210"/>
      <c r="T1349" s="210"/>
      <c r="U1349" s="210"/>
      <c r="X1349" s="210"/>
      <c r="Y1349" s="210"/>
      <c r="Z1349" s="210"/>
      <c r="AA1349" s="210"/>
      <c r="AB1349" s="210"/>
      <c r="AC1349" s="210"/>
      <c r="AD1349" s="210"/>
      <c r="AE1349" s="210"/>
      <c r="AF1349" s="210"/>
      <c r="AG1349" s="210"/>
      <c r="AH1349" s="210"/>
      <c r="AI1349" s="210"/>
      <c r="AJ1349" s="210"/>
      <c r="AK1349" s="210"/>
      <c r="AL1349" s="210"/>
      <c r="AM1349" s="210"/>
      <c r="AN1349" s="210"/>
      <c r="AO1349" s="210"/>
      <c r="AP1349" s="210"/>
      <c r="AQ1349" s="210"/>
    </row>
    <row r="1350">
      <c r="A1350" s="190"/>
      <c r="B1350" s="190"/>
      <c r="C1350" s="190"/>
      <c r="D1350" s="190"/>
      <c r="E1350" s="190"/>
      <c r="F1350" s="190"/>
      <c r="G1350" s="190"/>
      <c r="H1350" s="190"/>
      <c r="I1350" s="190"/>
      <c r="J1350" s="190"/>
      <c r="K1350" s="190"/>
      <c r="L1350" s="190"/>
      <c r="M1350" s="190"/>
      <c r="N1350" s="220"/>
      <c r="O1350" s="220"/>
      <c r="P1350" s="220"/>
      <c r="R1350" s="210"/>
      <c r="S1350" s="210"/>
      <c r="T1350" s="210"/>
      <c r="U1350" s="210"/>
      <c r="X1350" s="210"/>
      <c r="Y1350" s="210"/>
      <c r="Z1350" s="210"/>
      <c r="AA1350" s="210"/>
      <c r="AB1350" s="210"/>
      <c r="AC1350" s="210"/>
      <c r="AD1350" s="210"/>
      <c r="AE1350" s="210"/>
      <c r="AF1350" s="210"/>
      <c r="AG1350" s="210"/>
      <c r="AH1350" s="210"/>
      <c r="AI1350" s="210"/>
      <c r="AJ1350" s="210"/>
      <c r="AK1350" s="210"/>
      <c r="AL1350" s="210"/>
      <c r="AM1350" s="210"/>
      <c r="AN1350" s="210"/>
      <c r="AO1350" s="210"/>
      <c r="AP1350" s="210"/>
      <c r="AQ1350" s="210"/>
    </row>
    <row r="1351">
      <c r="A1351" s="190"/>
      <c r="B1351" s="190"/>
      <c r="C1351" s="190"/>
      <c r="D1351" s="190"/>
      <c r="E1351" s="190"/>
      <c r="F1351" s="190"/>
      <c r="G1351" s="190"/>
      <c r="H1351" s="190"/>
      <c r="I1351" s="190"/>
      <c r="J1351" s="190"/>
      <c r="K1351" s="190"/>
      <c r="L1351" s="190"/>
      <c r="M1351" s="190"/>
      <c r="N1351" s="220"/>
      <c r="O1351" s="220"/>
      <c r="P1351" s="220"/>
      <c r="R1351" s="210"/>
      <c r="S1351" s="210"/>
      <c r="T1351" s="210"/>
      <c r="U1351" s="210"/>
      <c r="X1351" s="210"/>
      <c r="Y1351" s="210"/>
      <c r="Z1351" s="210"/>
      <c r="AA1351" s="210"/>
      <c r="AB1351" s="210"/>
      <c r="AC1351" s="210"/>
      <c r="AD1351" s="210"/>
      <c r="AE1351" s="210"/>
      <c r="AF1351" s="210"/>
      <c r="AG1351" s="210"/>
      <c r="AH1351" s="210"/>
      <c r="AI1351" s="210"/>
      <c r="AJ1351" s="210"/>
      <c r="AK1351" s="210"/>
      <c r="AL1351" s="210"/>
      <c r="AM1351" s="210"/>
      <c r="AN1351" s="210"/>
      <c r="AO1351" s="210"/>
      <c r="AP1351" s="210"/>
      <c r="AQ1351" s="210"/>
    </row>
    <row r="1352">
      <c r="A1352" s="190"/>
      <c r="B1352" s="190"/>
      <c r="C1352" s="190"/>
      <c r="D1352" s="190"/>
      <c r="E1352" s="190"/>
      <c r="F1352" s="190"/>
      <c r="G1352" s="190"/>
      <c r="H1352" s="190"/>
      <c r="I1352" s="190"/>
      <c r="J1352" s="190"/>
      <c r="K1352" s="190"/>
      <c r="L1352" s="190"/>
      <c r="M1352" s="190"/>
      <c r="N1352" s="220"/>
      <c r="O1352" s="220"/>
      <c r="P1352" s="220"/>
      <c r="R1352" s="210"/>
      <c r="S1352" s="210"/>
      <c r="T1352" s="210"/>
      <c r="U1352" s="210"/>
      <c r="X1352" s="210"/>
      <c r="Y1352" s="210"/>
      <c r="Z1352" s="210"/>
      <c r="AA1352" s="210"/>
      <c r="AB1352" s="210"/>
      <c r="AC1352" s="210"/>
      <c r="AD1352" s="210"/>
      <c r="AE1352" s="210"/>
      <c r="AF1352" s="210"/>
      <c r="AG1352" s="210"/>
      <c r="AH1352" s="210"/>
      <c r="AI1352" s="210"/>
      <c r="AJ1352" s="210"/>
      <c r="AK1352" s="210"/>
      <c r="AL1352" s="210"/>
      <c r="AM1352" s="210"/>
      <c r="AN1352" s="210"/>
      <c r="AO1352" s="210"/>
      <c r="AP1352" s="210"/>
      <c r="AQ1352" s="210"/>
    </row>
    <row r="1353">
      <c r="A1353" s="190"/>
      <c r="B1353" s="190"/>
      <c r="C1353" s="190"/>
      <c r="D1353" s="190"/>
      <c r="E1353" s="190"/>
      <c r="F1353" s="190"/>
      <c r="G1353" s="190"/>
      <c r="H1353" s="190"/>
      <c r="I1353" s="190"/>
      <c r="J1353" s="190"/>
      <c r="K1353" s="190"/>
      <c r="L1353" s="190"/>
      <c r="M1353" s="190"/>
      <c r="N1353" s="220"/>
      <c r="O1353" s="220"/>
      <c r="P1353" s="220"/>
      <c r="R1353" s="210"/>
      <c r="S1353" s="210"/>
      <c r="T1353" s="210"/>
      <c r="U1353" s="210"/>
      <c r="X1353" s="210"/>
      <c r="Y1353" s="210"/>
      <c r="Z1353" s="210"/>
      <c r="AA1353" s="210"/>
      <c r="AB1353" s="210"/>
      <c r="AC1353" s="210"/>
      <c r="AD1353" s="210"/>
      <c r="AE1353" s="210"/>
      <c r="AF1353" s="210"/>
      <c r="AG1353" s="210"/>
      <c r="AH1353" s="210"/>
      <c r="AI1353" s="210"/>
      <c r="AJ1353" s="210"/>
      <c r="AK1353" s="210"/>
      <c r="AL1353" s="210"/>
      <c r="AM1353" s="210"/>
      <c r="AN1353" s="210"/>
      <c r="AO1353" s="210"/>
      <c r="AP1353" s="210"/>
      <c r="AQ1353" s="210"/>
    </row>
    <row r="1354">
      <c r="A1354" s="190"/>
      <c r="B1354" s="190"/>
      <c r="C1354" s="190"/>
      <c r="D1354" s="190"/>
      <c r="E1354" s="190"/>
      <c r="F1354" s="190"/>
      <c r="G1354" s="190"/>
      <c r="H1354" s="190"/>
      <c r="I1354" s="190"/>
      <c r="J1354" s="190"/>
      <c r="K1354" s="190"/>
      <c r="L1354" s="190"/>
      <c r="M1354" s="190"/>
      <c r="N1354" s="220"/>
      <c r="O1354" s="220"/>
      <c r="P1354" s="220"/>
      <c r="R1354" s="210"/>
      <c r="S1354" s="210"/>
      <c r="T1354" s="210"/>
      <c r="U1354" s="210"/>
      <c r="X1354" s="210"/>
      <c r="Y1354" s="210"/>
      <c r="Z1354" s="210"/>
      <c r="AA1354" s="210"/>
      <c r="AB1354" s="210"/>
      <c r="AC1354" s="210"/>
      <c r="AD1354" s="210"/>
      <c r="AE1354" s="210"/>
      <c r="AF1354" s="210"/>
      <c r="AG1354" s="210"/>
      <c r="AH1354" s="210"/>
      <c r="AI1354" s="210"/>
      <c r="AJ1354" s="210"/>
      <c r="AK1354" s="210"/>
      <c r="AL1354" s="210"/>
      <c r="AM1354" s="210"/>
      <c r="AN1354" s="210"/>
      <c r="AO1354" s="210"/>
      <c r="AP1354" s="210"/>
      <c r="AQ1354" s="210"/>
    </row>
    <row r="1355">
      <c r="A1355" s="190"/>
      <c r="B1355" s="190"/>
      <c r="C1355" s="190"/>
      <c r="D1355" s="190"/>
      <c r="E1355" s="190"/>
      <c r="F1355" s="190"/>
      <c r="G1355" s="190"/>
      <c r="H1355" s="190"/>
      <c r="I1355" s="190"/>
      <c r="J1355" s="190"/>
      <c r="K1355" s="190"/>
      <c r="L1355" s="190"/>
      <c r="M1355" s="190"/>
      <c r="N1355" s="220"/>
      <c r="O1355" s="220"/>
      <c r="P1355" s="220"/>
      <c r="R1355" s="210"/>
      <c r="S1355" s="210"/>
      <c r="T1355" s="210"/>
      <c r="U1355" s="210"/>
      <c r="X1355" s="210"/>
      <c r="Y1355" s="210"/>
      <c r="Z1355" s="210"/>
      <c r="AA1355" s="210"/>
      <c r="AB1355" s="210"/>
      <c r="AC1355" s="210"/>
      <c r="AD1355" s="210"/>
      <c r="AE1355" s="210"/>
      <c r="AF1355" s="210"/>
      <c r="AG1355" s="210"/>
      <c r="AH1355" s="210"/>
      <c r="AI1355" s="210"/>
      <c r="AJ1355" s="210"/>
      <c r="AK1355" s="210"/>
      <c r="AL1355" s="210"/>
      <c r="AM1355" s="210"/>
      <c r="AN1355" s="210"/>
      <c r="AO1355" s="210"/>
      <c r="AP1355" s="210"/>
      <c r="AQ1355" s="210"/>
    </row>
    <row r="1356">
      <c r="A1356" s="190"/>
      <c r="B1356" s="190"/>
      <c r="C1356" s="190"/>
      <c r="D1356" s="190"/>
      <c r="E1356" s="190"/>
      <c r="F1356" s="190"/>
      <c r="G1356" s="190"/>
      <c r="H1356" s="190"/>
      <c r="I1356" s="190"/>
      <c r="J1356" s="190"/>
      <c r="K1356" s="190"/>
      <c r="L1356" s="190"/>
      <c r="M1356" s="190"/>
      <c r="N1356" s="220"/>
      <c r="O1356" s="220"/>
      <c r="P1356" s="220"/>
      <c r="R1356" s="210"/>
      <c r="S1356" s="210"/>
      <c r="T1356" s="210"/>
      <c r="U1356" s="210"/>
      <c r="X1356" s="210"/>
      <c r="Y1356" s="210"/>
      <c r="Z1356" s="210"/>
      <c r="AA1356" s="210"/>
      <c r="AB1356" s="210"/>
      <c r="AC1356" s="210"/>
      <c r="AD1356" s="210"/>
      <c r="AE1356" s="210"/>
      <c r="AF1356" s="210"/>
      <c r="AG1356" s="210"/>
      <c r="AH1356" s="210"/>
      <c r="AI1356" s="210"/>
      <c r="AJ1356" s="210"/>
      <c r="AK1356" s="210"/>
      <c r="AL1356" s="210"/>
      <c r="AM1356" s="210"/>
      <c r="AN1356" s="210"/>
      <c r="AO1356" s="210"/>
      <c r="AP1356" s="210"/>
      <c r="AQ1356" s="210"/>
    </row>
    <row r="1357">
      <c r="A1357" s="190"/>
      <c r="B1357" s="190"/>
      <c r="C1357" s="190"/>
      <c r="D1357" s="190"/>
      <c r="E1357" s="190"/>
      <c r="F1357" s="190"/>
      <c r="G1357" s="190"/>
      <c r="H1357" s="190"/>
      <c r="I1357" s="190"/>
      <c r="J1357" s="190"/>
      <c r="K1357" s="190"/>
      <c r="L1357" s="190"/>
      <c r="M1357" s="190"/>
      <c r="N1357" s="220"/>
      <c r="O1357" s="220"/>
      <c r="P1357" s="220"/>
      <c r="R1357" s="210"/>
      <c r="S1357" s="210"/>
      <c r="T1357" s="210"/>
      <c r="U1357" s="210"/>
      <c r="X1357" s="210"/>
      <c r="Y1357" s="210"/>
      <c r="Z1357" s="210"/>
      <c r="AA1357" s="210"/>
      <c r="AB1357" s="210"/>
      <c r="AC1357" s="210"/>
      <c r="AD1357" s="210"/>
      <c r="AE1357" s="210"/>
      <c r="AF1357" s="210"/>
      <c r="AG1357" s="210"/>
      <c r="AH1357" s="210"/>
      <c r="AI1357" s="210"/>
      <c r="AJ1357" s="210"/>
      <c r="AK1357" s="210"/>
      <c r="AL1357" s="210"/>
      <c r="AM1357" s="210"/>
      <c r="AN1357" s="210"/>
      <c r="AO1357" s="210"/>
      <c r="AP1357" s="210"/>
      <c r="AQ1357" s="210"/>
    </row>
    <row r="1358">
      <c r="A1358" s="190"/>
      <c r="B1358" s="190"/>
      <c r="C1358" s="190"/>
      <c r="D1358" s="190"/>
      <c r="E1358" s="190"/>
      <c r="F1358" s="190"/>
      <c r="G1358" s="190"/>
      <c r="H1358" s="190"/>
      <c r="I1358" s="190"/>
      <c r="J1358" s="190"/>
      <c r="K1358" s="190"/>
      <c r="L1358" s="190"/>
      <c r="M1358" s="190"/>
      <c r="N1358" s="220"/>
      <c r="O1358" s="220"/>
      <c r="P1358" s="220"/>
      <c r="R1358" s="210"/>
      <c r="S1358" s="210"/>
      <c r="T1358" s="210"/>
      <c r="U1358" s="210"/>
      <c r="X1358" s="210"/>
      <c r="Y1358" s="210"/>
      <c r="Z1358" s="210"/>
      <c r="AA1358" s="210"/>
      <c r="AB1358" s="210"/>
      <c r="AC1358" s="210"/>
      <c r="AD1358" s="210"/>
      <c r="AE1358" s="210"/>
      <c r="AF1358" s="210"/>
      <c r="AG1358" s="210"/>
      <c r="AH1358" s="210"/>
      <c r="AI1358" s="210"/>
      <c r="AJ1358" s="210"/>
      <c r="AK1358" s="210"/>
      <c r="AL1358" s="210"/>
      <c r="AM1358" s="210"/>
      <c r="AN1358" s="210"/>
      <c r="AO1358" s="210"/>
      <c r="AP1358" s="210"/>
      <c r="AQ1358" s="210"/>
    </row>
    <row r="1359">
      <c r="A1359" s="190"/>
      <c r="B1359" s="190"/>
      <c r="C1359" s="190"/>
      <c r="D1359" s="190"/>
      <c r="E1359" s="190"/>
      <c r="F1359" s="190"/>
      <c r="G1359" s="190"/>
      <c r="H1359" s="190"/>
      <c r="I1359" s="190"/>
      <c r="J1359" s="190"/>
      <c r="K1359" s="190"/>
      <c r="L1359" s="190"/>
      <c r="M1359" s="190"/>
      <c r="N1359" s="220"/>
      <c r="O1359" s="220"/>
      <c r="P1359" s="220"/>
      <c r="R1359" s="210"/>
      <c r="S1359" s="210"/>
      <c r="T1359" s="210"/>
      <c r="U1359" s="210"/>
      <c r="X1359" s="210"/>
      <c r="Y1359" s="210"/>
      <c r="Z1359" s="210"/>
      <c r="AA1359" s="210"/>
      <c r="AB1359" s="210"/>
      <c r="AC1359" s="210"/>
      <c r="AD1359" s="210"/>
      <c r="AE1359" s="210"/>
      <c r="AF1359" s="210"/>
      <c r="AG1359" s="210"/>
      <c r="AH1359" s="210"/>
      <c r="AI1359" s="210"/>
      <c r="AJ1359" s="210"/>
      <c r="AK1359" s="210"/>
      <c r="AL1359" s="210"/>
      <c r="AM1359" s="210"/>
      <c r="AN1359" s="210"/>
      <c r="AO1359" s="210"/>
      <c r="AP1359" s="210"/>
      <c r="AQ1359" s="210"/>
    </row>
    <row r="1360">
      <c r="A1360" s="190"/>
      <c r="B1360" s="190"/>
      <c r="C1360" s="190"/>
      <c r="D1360" s="190"/>
      <c r="E1360" s="190"/>
      <c r="F1360" s="190"/>
      <c r="G1360" s="190"/>
      <c r="H1360" s="190"/>
      <c r="I1360" s="190"/>
      <c r="J1360" s="190"/>
      <c r="K1360" s="190"/>
      <c r="L1360" s="190"/>
      <c r="M1360" s="190"/>
      <c r="N1360" s="220"/>
      <c r="O1360" s="220"/>
      <c r="P1360" s="220"/>
      <c r="R1360" s="210"/>
      <c r="S1360" s="210"/>
      <c r="T1360" s="210"/>
      <c r="U1360" s="210"/>
      <c r="X1360" s="210"/>
      <c r="Y1360" s="210"/>
      <c r="Z1360" s="210"/>
      <c r="AA1360" s="210"/>
      <c r="AB1360" s="210"/>
      <c r="AC1360" s="210"/>
      <c r="AD1360" s="210"/>
      <c r="AE1360" s="210"/>
      <c r="AF1360" s="210"/>
      <c r="AG1360" s="210"/>
      <c r="AH1360" s="210"/>
      <c r="AI1360" s="210"/>
      <c r="AJ1360" s="210"/>
      <c r="AK1360" s="210"/>
      <c r="AL1360" s="210"/>
      <c r="AM1360" s="210"/>
      <c r="AN1360" s="210"/>
      <c r="AO1360" s="210"/>
      <c r="AP1360" s="210"/>
      <c r="AQ1360" s="210"/>
    </row>
    <row r="1361">
      <c r="A1361" s="190"/>
      <c r="B1361" s="190"/>
      <c r="C1361" s="190"/>
      <c r="D1361" s="190"/>
      <c r="E1361" s="190"/>
      <c r="F1361" s="190"/>
      <c r="G1361" s="190"/>
      <c r="H1361" s="190"/>
      <c r="I1361" s="190"/>
      <c r="J1361" s="190"/>
      <c r="K1361" s="190"/>
      <c r="L1361" s="190"/>
      <c r="M1361" s="190"/>
      <c r="N1361" s="220"/>
      <c r="O1361" s="220"/>
      <c r="P1361" s="220"/>
      <c r="R1361" s="210"/>
      <c r="S1361" s="210"/>
      <c r="T1361" s="210"/>
      <c r="U1361" s="210"/>
      <c r="X1361" s="210"/>
      <c r="Y1361" s="210"/>
      <c r="Z1361" s="210"/>
      <c r="AA1361" s="210"/>
      <c r="AB1361" s="210"/>
      <c r="AC1361" s="210"/>
      <c r="AD1361" s="210"/>
      <c r="AE1361" s="210"/>
      <c r="AF1361" s="210"/>
      <c r="AG1361" s="210"/>
      <c r="AH1361" s="210"/>
      <c r="AI1361" s="210"/>
      <c r="AJ1361" s="210"/>
      <c r="AK1361" s="210"/>
      <c r="AL1361" s="210"/>
      <c r="AM1361" s="210"/>
      <c r="AN1361" s="210"/>
      <c r="AO1361" s="210"/>
      <c r="AP1361" s="210"/>
      <c r="AQ1361" s="210"/>
    </row>
    <row r="1362">
      <c r="A1362" s="190"/>
      <c r="B1362" s="190"/>
      <c r="C1362" s="190"/>
      <c r="D1362" s="190"/>
      <c r="E1362" s="190"/>
      <c r="F1362" s="190"/>
      <c r="G1362" s="190"/>
      <c r="H1362" s="190"/>
      <c r="I1362" s="190"/>
      <c r="J1362" s="190"/>
      <c r="K1362" s="190"/>
      <c r="L1362" s="190"/>
      <c r="M1362" s="190"/>
      <c r="N1362" s="220"/>
      <c r="O1362" s="220"/>
      <c r="P1362" s="220"/>
      <c r="R1362" s="210"/>
      <c r="S1362" s="210"/>
      <c r="T1362" s="210"/>
      <c r="U1362" s="210"/>
      <c r="X1362" s="210"/>
      <c r="Y1362" s="210"/>
      <c r="Z1362" s="210"/>
      <c r="AA1362" s="210"/>
      <c r="AB1362" s="210"/>
      <c r="AC1362" s="210"/>
      <c r="AD1362" s="210"/>
      <c r="AE1362" s="210"/>
      <c r="AF1362" s="210"/>
      <c r="AG1362" s="210"/>
      <c r="AH1362" s="210"/>
      <c r="AI1362" s="210"/>
      <c r="AJ1362" s="210"/>
      <c r="AK1362" s="210"/>
      <c r="AL1362" s="210"/>
      <c r="AM1362" s="210"/>
      <c r="AN1362" s="210"/>
      <c r="AO1362" s="210"/>
      <c r="AP1362" s="210"/>
      <c r="AQ1362" s="210"/>
    </row>
    <row r="1363">
      <c r="A1363" s="190"/>
      <c r="B1363" s="190"/>
      <c r="C1363" s="190"/>
      <c r="D1363" s="190"/>
      <c r="E1363" s="190"/>
      <c r="F1363" s="190"/>
      <c r="G1363" s="190"/>
      <c r="H1363" s="190"/>
      <c r="I1363" s="190"/>
      <c r="J1363" s="190"/>
      <c r="K1363" s="190"/>
      <c r="L1363" s="190"/>
      <c r="M1363" s="190"/>
      <c r="N1363" s="220"/>
      <c r="O1363" s="220"/>
      <c r="P1363" s="220"/>
      <c r="R1363" s="210"/>
      <c r="S1363" s="210"/>
      <c r="T1363" s="210"/>
      <c r="U1363" s="210"/>
      <c r="X1363" s="210"/>
      <c r="Y1363" s="210"/>
      <c r="Z1363" s="210"/>
      <c r="AA1363" s="210"/>
      <c r="AB1363" s="210"/>
      <c r="AC1363" s="210"/>
      <c r="AD1363" s="210"/>
      <c r="AE1363" s="210"/>
      <c r="AF1363" s="210"/>
      <c r="AG1363" s="210"/>
      <c r="AH1363" s="210"/>
      <c r="AI1363" s="210"/>
      <c r="AJ1363" s="210"/>
      <c r="AK1363" s="210"/>
      <c r="AL1363" s="210"/>
      <c r="AM1363" s="210"/>
      <c r="AN1363" s="210"/>
      <c r="AO1363" s="210"/>
      <c r="AP1363" s="210"/>
      <c r="AQ1363" s="210"/>
    </row>
    <row r="1364">
      <c r="A1364" s="190"/>
      <c r="B1364" s="190"/>
      <c r="C1364" s="190"/>
      <c r="D1364" s="190"/>
      <c r="E1364" s="190"/>
      <c r="F1364" s="190"/>
      <c r="G1364" s="190"/>
      <c r="H1364" s="190"/>
      <c r="I1364" s="190"/>
      <c r="J1364" s="190"/>
      <c r="K1364" s="190"/>
      <c r="L1364" s="190"/>
      <c r="M1364" s="190"/>
      <c r="N1364" s="220"/>
      <c r="O1364" s="220"/>
      <c r="P1364" s="220"/>
      <c r="R1364" s="210"/>
      <c r="S1364" s="210"/>
      <c r="T1364" s="210"/>
      <c r="U1364" s="210"/>
      <c r="X1364" s="210"/>
      <c r="Y1364" s="210"/>
      <c r="Z1364" s="210"/>
      <c r="AA1364" s="210"/>
      <c r="AB1364" s="210"/>
      <c r="AC1364" s="210"/>
      <c r="AD1364" s="210"/>
      <c r="AE1364" s="210"/>
      <c r="AF1364" s="210"/>
      <c r="AG1364" s="210"/>
      <c r="AH1364" s="210"/>
      <c r="AI1364" s="210"/>
      <c r="AJ1364" s="210"/>
      <c r="AK1364" s="210"/>
      <c r="AL1364" s="210"/>
      <c r="AM1364" s="210"/>
      <c r="AN1364" s="210"/>
      <c r="AO1364" s="210"/>
      <c r="AP1364" s="210"/>
      <c r="AQ1364" s="210"/>
    </row>
    <row r="1365">
      <c r="A1365" s="190"/>
      <c r="B1365" s="190"/>
      <c r="C1365" s="190"/>
      <c r="D1365" s="190"/>
      <c r="E1365" s="190"/>
      <c r="F1365" s="190"/>
      <c r="G1365" s="190"/>
      <c r="H1365" s="190"/>
      <c r="I1365" s="190"/>
      <c r="J1365" s="190"/>
      <c r="K1365" s="190"/>
      <c r="L1365" s="190"/>
      <c r="M1365" s="190"/>
      <c r="N1365" s="220"/>
      <c r="O1365" s="220"/>
      <c r="P1365" s="220"/>
      <c r="R1365" s="210"/>
      <c r="S1365" s="210"/>
      <c r="T1365" s="210"/>
      <c r="U1365" s="210"/>
      <c r="X1365" s="210"/>
      <c r="Y1365" s="210"/>
      <c r="Z1365" s="210"/>
      <c r="AA1365" s="210"/>
      <c r="AB1365" s="210"/>
      <c r="AC1365" s="210"/>
      <c r="AD1365" s="210"/>
      <c r="AE1365" s="210"/>
      <c r="AF1365" s="210"/>
      <c r="AG1365" s="210"/>
      <c r="AH1365" s="210"/>
      <c r="AI1365" s="210"/>
      <c r="AJ1365" s="210"/>
      <c r="AK1365" s="210"/>
      <c r="AL1365" s="210"/>
      <c r="AM1365" s="210"/>
      <c r="AN1365" s="210"/>
      <c r="AO1365" s="210"/>
      <c r="AP1365" s="210"/>
      <c r="AQ1365" s="210"/>
    </row>
    <row r="1366">
      <c r="A1366" s="190"/>
      <c r="B1366" s="190"/>
      <c r="C1366" s="190"/>
      <c r="D1366" s="190"/>
      <c r="E1366" s="190"/>
      <c r="F1366" s="190"/>
      <c r="G1366" s="190"/>
      <c r="H1366" s="190"/>
      <c r="I1366" s="190"/>
      <c r="J1366" s="190"/>
      <c r="K1366" s="190"/>
      <c r="L1366" s="190"/>
      <c r="M1366" s="190"/>
      <c r="N1366" s="220"/>
      <c r="O1366" s="220"/>
      <c r="P1366" s="220"/>
      <c r="R1366" s="210"/>
      <c r="S1366" s="210"/>
      <c r="T1366" s="210"/>
      <c r="U1366" s="210"/>
      <c r="X1366" s="210"/>
      <c r="Y1366" s="210"/>
      <c r="Z1366" s="210"/>
      <c r="AA1366" s="210"/>
      <c r="AB1366" s="210"/>
      <c r="AC1366" s="210"/>
      <c r="AD1366" s="210"/>
      <c r="AE1366" s="210"/>
      <c r="AF1366" s="210"/>
      <c r="AG1366" s="210"/>
      <c r="AH1366" s="210"/>
      <c r="AI1366" s="210"/>
      <c r="AJ1366" s="210"/>
      <c r="AK1366" s="210"/>
      <c r="AL1366" s="210"/>
      <c r="AM1366" s="210"/>
      <c r="AN1366" s="210"/>
      <c r="AO1366" s="210"/>
      <c r="AP1366" s="210"/>
      <c r="AQ1366" s="210"/>
    </row>
    <row r="1367">
      <c r="A1367" s="190"/>
      <c r="B1367" s="190"/>
      <c r="C1367" s="190"/>
      <c r="D1367" s="190"/>
      <c r="E1367" s="190"/>
      <c r="F1367" s="190"/>
      <c r="G1367" s="190"/>
      <c r="H1367" s="190"/>
      <c r="I1367" s="190"/>
      <c r="J1367" s="190"/>
      <c r="K1367" s="190"/>
      <c r="L1367" s="190"/>
      <c r="M1367" s="190"/>
      <c r="N1367" s="220"/>
      <c r="O1367" s="220"/>
      <c r="P1367" s="220"/>
      <c r="R1367" s="210"/>
      <c r="S1367" s="210"/>
      <c r="T1367" s="210"/>
      <c r="U1367" s="210"/>
      <c r="X1367" s="210"/>
      <c r="Y1367" s="210"/>
      <c r="Z1367" s="210"/>
      <c r="AA1367" s="210"/>
      <c r="AB1367" s="210"/>
      <c r="AC1367" s="210"/>
      <c r="AD1367" s="210"/>
      <c r="AE1367" s="210"/>
      <c r="AF1367" s="210"/>
      <c r="AG1367" s="210"/>
      <c r="AH1367" s="210"/>
      <c r="AI1367" s="210"/>
      <c r="AJ1367" s="210"/>
      <c r="AK1367" s="210"/>
      <c r="AL1367" s="210"/>
      <c r="AM1367" s="210"/>
      <c r="AN1367" s="210"/>
      <c r="AO1367" s="210"/>
      <c r="AP1367" s="210"/>
      <c r="AQ1367" s="210"/>
    </row>
    <row r="1368">
      <c r="A1368" s="190"/>
      <c r="B1368" s="190"/>
      <c r="C1368" s="190"/>
      <c r="D1368" s="190"/>
      <c r="E1368" s="190"/>
      <c r="F1368" s="190"/>
      <c r="G1368" s="190"/>
      <c r="H1368" s="190"/>
      <c r="I1368" s="190"/>
      <c r="J1368" s="190"/>
      <c r="K1368" s="190"/>
      <c r="L1368" s="190"/>
      <c r="M1368" s="190"/>
      <c r="N1368" s="220"/>
      <c r="O1368" s="220"/>
      <c r="P1368" s="220"/>
      <c r="R1368" s="210"/>
      <c r="S1368" s="210"/>
      <c r="T1368" s="210"/>
      <c r="U1368" s="210"/>
      <c r="X1368" s="210"/>
      <c r="Y1368" s="210"/>
      <c r="Z1368" s="210"/>
      <c r="AA1368" s="210"/>
      <c r="AB1368" s="210"/>
      <c r="AC1368" s="210"/>
      <c r="AD1368" s="210"/>
      <c r="AE1368" s="210"/>
      <c r="AF1368" s="210"/>
      <c r="AG1368" s="210"/>
      <c r="AH1368" s="210"/>
      <c r="AI1368" s="210"/>
      <c r="AJ1368" s="210"/>
      <c r="AK1368" s="210"/>
      <c r="AL1368" s="210"/>
      <c r="AM1368" s="210"/>
      <c r="AN1368" s="210"/>
      <c r="AO1368" s="210"/>
      <c r="AP1368" s="210"/>
      <c r="AQ1368" s="210"/>
    </row>
    <row r="1369">
      <c r="A1369" s="190"/>
      <c r="B1369" s="190"/>
      <c r="C1369" s="190"/>
      <c r="D1369" s="190"/>
      <c r="E1369" s="190"/>
      <c r="F1369" s="190"/>
      <c r="G1369" s="190"/>
      <c r="H1369" s="190"/>
      <c r="I1369" s="190"/>
      <c r="J1369" s="190"/>
      <c r="K1369" s="190"/>
      <c r="L1369" s="190"/>
      <c r="M1369" s="190"/>
      <c r="N1369" s="220"/>
      <c r="O1369" s="220"/>
      <c r="P1369" s="220"/>
      <c r="R1369" s="210"/>
      <c r="S1369" s="210"/>
      <c r="T1369" s="210"/>
      <c r="U1369" s="210"/>
      <c r="X1369" s="210"/>
      <c r="Y1369" s="210"/>
      <c r="Z1369" s="210"/>
      <c r="AA1369" s="210"/>
      <c r="AB1369" s="210"/>
      <c r="AC1369" s="210"/>
      <c r="AD1369" s="210"/>
      <c r="AE1369" s="210"/>
      <c r="AF1369" s="210"/>
      <c r="AG1369" s="210"/>
      <c r="AH1369" s="210"/>
      <c r="AI1369" s="210"/>
      <c r="AJ1369" s="210"/>
      <c r="AK1369" s="210"/>
      <c r="AL1369" s="210"/>
      <c r="AM1369" s="210"/>
      <c r="AN1369" s="210"/>
      <c r="AO1369" s="210"/>
      <c r="AP1369" s="210"/>
      <c r="AQ1369" s="210"/>
    </row>
    <row r="1370">
      <c r="A1370" s="190"/>
      <c r="B1370" s="190"/>
      <c r="C1370" s="190"/>
      <c r="D1370" s="190"/>
      <c r="E1370" s="190"/>
      <c r="F1370" s="190"/>
      <c r="G1370" s="190"/>
      <c r="H1370" s="190"/>
      <c r="I1370" s="190"/>
      <c r="J1370" s="190"/>
      <c r="K1370" s="190"/>
      <c r="L1370" s="190"/>
      <c r="M1370" s="190"/>
      <c r="N1370" s="220"/>
      <c r="O1370" s="220"/>
      <c r="P1370" s="220"/>
      <c r="R1370" s="210"/>
      <c r="S1370" s="210"/>
      <c r="T1370" s="210"/>
      <c r="U1370" s="210"/>
      <c r="X1370" s="210"/>
      <c r="Y1370" s="210"/>
      <c r="Z1370" s="210"/>
      <c r="AA1370" s="210"/>
      <c r="AB1370" s="210"/>
      <c r="AC1370" s="210"/>
      <c r="AD1370" s="210"/>
      <c r="AE1370" s="210"/>
      <c r="AF1370" s="210"/>
      <c r="AG1370" s="210"/>
      <c r="AH1370" s="210"/>
      <c r="AI1370" s="210"/>
      <c r="AJ1370" s="210"/>
      <c r="AK1370" s="210"/>
      <c r="AL1370" s="210"/>
      <c r="AM1370" s="210"/>
      <c r="AN1370" s="210"/>
      <c r="AO1370" s="210"/>
      <c r="AP1370" s="210"/>
      <c r="AQ1370" s="210"/>
    </row>
    <row r="1371">
      <c r="A1371" s="190"/>
      <c r="B1371" s="190"/>
      <c r="C1371" s="190"/>
      <c r="D1371" s="190"/>
      <c r="E1371" s="190"/>
      <c r="F1371" s="190"/>
      <c r="G1371" s="190"/>
      <c r="H1371" s="190"/>
      <c r="I1371" s="190"/>
      <c r="J1371" s="190"/>
      <c r="K1371" s="190"/>
      <c r="L1371" s="190"/>
      <c r="M1371" s="190"/>
      <c r="N1371" s="220"/>
      <c r="O1371" s="220"/>
      <c r="P1371" s="220"/>
      <c r="R1371" s="210"/>
      <c r="S1371" s="210"/>
      <c r="T1371" s="210"/>
      <c r="U1371" s="210"/>
      <c r="X1371" s="210"/>
      <c r="Y1371" s="210"/>
      <c r="Z1371" s="210"/>
      <c r="AA1371" s="210"/>
      <c r="AB1371" s="210"/>
      <c r="AC1371" s="210"/>
      <c r="AD1371" s="210"/>
      <c r="AE1371" s="210"/>
      <c r="AF1371" s="210"/>
      <c r="AG1371" s="210"/>
      <c r="AH1371" s="210"/>
      <c r="AI1371" s="210"/>
      <c r="AJ1371" s="210"/>
      <c r="AK1371" s="210"/>
      <c r="AL1371" s="210"/>
      <c r="AM1371" s="210"/>
      <c r="AN1371" s="210"/>
      <c r="AO1371" s="210"/>
      <c r="AP1371" s="210"/>
      <c r="AQ1371" s="210"/>
    </row>
    <row r="1372">
      <c r="A1372" s="190"/>
      <c r="B1372" s="190"/>
      <c r="C1372" s="190"/>
      <c r="D1372" s="190"/>
      <c r="E1372" s="190"/>
      <c r="F1372" s="190"/>
      <c r="G1372" s="190"/>
      <c r="H1372" s="190"/>
      <c r="I1372" s="190"/>
      <c r="J1372" s="190"/>
      <c r="K1372" s="190"/>
      <c r="L1372" s="190"/>
      <c r="M1372" s="190"/>
      <c r="N1372" s="220"/>
      <c r="O1372" s="220"/>
      <c r="P1372" s="220"/>
      <c r="R1372" s="210"/>
      <c r="S1372" s="210"/>
      <c r="T1372" s="210"/>
      <c r="U1372" s="210"/>
      <c r="X1372" s="210"/>
      <c r="Y1372" s="210"/>
      <c r="Z1372" s="210"/>
      <c r="AA1372" s="210"/>
      <c r="AB1372" s="210"/>
      <c r="AC1372" s="210"/>
      <c r="AD1372" s="210"/>
      <c r="AE1372" s="210"/>
      <c r="AF1372" s="210"/>
      <c r="AG1372" s="210"/>
      <c r="AH1372" s="210"/>
      <c r="AI1372" s="210"/>
      <c r="AJ1372" s="210"/>
      <c r="AK1372" s="210"/>
      <c r="AL1372" s="210"/>
      <c r="AM1372" s="210"/>
      <c r="AN1372" s="210"/>
      <c r="AO1372" s="210"/>
      <c r="AP1372" s="210"/>
      <c r="AQ1372" s="210"/>
    </row>
    <row r="1373">
      <c r="A1373" s="190"/>
      <c r="B1373" s="190"/>
      <c r="C1373" s="190"/>
      <c r="D1373" s="190"/>
      <c r="E1373" s="190"/>
      <c r="F1373" s="190"/>
      <c r="G1373" s="190"/>
      <c r="H1373" s="190"/>
      <c r="I1373" s="190"/>
      <c r="J1373" s="190"/>
      <c r="K1373" s="190"/>
      <c r="L1373" s="190"/>
      <c r="M1373" s="190"/>
      <c r="N1373" s="220"/>
      <c r="O1373" s="220"/>
      <c r="P1373" s="220"/>
      <c r="R1373" s="210"/>
      <c r="S1373" s="210"/>
      <c r="T1373" s="210"/>
      <c r="U1373" s="210"/>
      <c r="X1373" s="210"/>
      <c r="Y1373" s="210"/>
      <c r="Z1373" s="210"/>
      <c r="AA1373" s="210"/>
      <c r="AB1373" s="210"/>
      <c r="AC1373" s="210"/>
      <c r="AD1373" s="210"/>
      <c r="AE1373" s="210"/>
      <c r="AF1373" s="210"/>
      <c r="AG1373" s="210"/>
      <c r="AH1373" s="210"/>
      <c r="AI1373" s="210"/>
      <c r="AJ1373" s="210"/>
      <c r="AK1373" s="210"/>
      <c r="AL1373" s="210"/>
      <c r="AM1373" s="210"/>
      <c r="AN1373" s="210"/>
      <c r="AO1373" s="210"/>
      <c r="AP1373" s="210"/>
      <c r="AQ1373" s="210"/>
    </row>
    <row r="1374">
      <c r="A1374" s="190"/>
      <c r="B1374" s="190"/>
      <c r="C1374" s="190"/>
      <c r="D1374" s="190"/>
      <c r="E1374" s="190"/>
      <c r="F1374" s="190"/>
      <c r="G1374" s="190"/>
      <c r="H1374" s="190"/>
      <c r="I1374" s="190"/>
      <c r="J1374" s="190"/>
      <c r="K1374" s="190"/>
      <c r="L1374" s="190"/>
      <c r="M1374" s="190"/>
      <c r="N1374" s="220"/>
      <c r="O1374" s="220"/>
      <c r="P1374" s="220"/>
      <c r="R1374" s="210"/>
      <c r="S1374" s="210"/>
      <c r="T1374" s="210"/>
      <c r="U1374" s="210"/>
      <c r="X1374" s="210"/>
      <c r="Y1374" s="210"/>
      <c r="Z1374" s="210"/>
      <c r="AA1374" s="210"/>
      <c r="AB1374" s="210"/>
      <c r="AC1374" s="210"/>
      <c r="AD1374" s="210"/>
      <c r="AE1374" s="210"/>
      <c r="AF1374" s="210"/>
      <c r="AG1374" s="210"/>
      <c r="AH1374" s="210"/>
      <c r="AI1374" s="210"/>
      <c r="AJ1374" s="210"/>
      <c r="AK1374" s="210"/>
      <c r="AL1374" s="210"/>
      <c r="AM1374" s="210"/>
      <c r="AN1374" s="210"/>
      <c r="AO1374" s="210"/>
      <c r="AP1374" s="210"/>
      <c r="AQ1374" s="210"/>
    </row>
    <row r="1375">
      <c r="A1375" s="190"/>
      <c r="B1375" s="190"/>
      <c r="C1375" s="190"/>
      <c r="D1375" s="190"/>
      <c r="E1375" s="190"/>
      <c r="F1375" s="190"/>
      <c r="G1375" s="190"/>
      <c r="H1375" s="190"/>
      <c r="I1375" s="190"/>
      <c r="J1375" s="190"/>
      <c r="K1375" s="190"/>
      <c r="L1375" s="190"/>
      <c r="M1375" s="190"/>
      <c r="N1375" s="220"/>
      <c r="O1375" s="220"/>
      <c r="P1375" s="220"/>
      <c r="R1375" s="210"/>
      <c r="S1375" s="210"/>
      <c r="T1375" s="210"/>
      <c r="U1375" s="210"/>
      <c r="X1375" s="210"/>
      <c r="Y1375" s="210"/>
      <c r="Z1375" s="210"/>
      <c r="AA1375" s="210"/>
      <c r="AB1375" s="210"/>
      <c r="AC1375" s="210"/>
      <c r="AD1375" s="210"/>
      <c r="AE1375" s="210"/>
      <c r="AF1375" s="210"/>
      <c r="AG1375" s="210"/>
      <c r="AH1375" s="210"/>
      <c r="AI1375" s="210"/>
      <c r="AJ1375" s="210"/>
      <c r="AK1375" s="210"/>
      <c r="AL1375" s="210"/>
      <c r="AM1375" s="210"/>
      <c r="AN1375" s="210"/>
      <c r="AO1375" s="210"/>
      <c r="AP1375" s="210"/>
      <c r="AQ1375" s="210"/>
    </row>
    <row r="1376">
      <c r="A1376" s="190"/>
      <c r="B1376" s="190"/>
      <c r="C1376" s="190"/>
      <c r="D1376" s="190"/>
      <c r="E1376" s="190"/>
      <c r="F1376" s="190"/>
      <c r="G1376" s="190"/>
      <c r="H1376" s="190"/>
      <c r="I1376" s="190"/>
      <c r="J1376" s="190"/>
      <c r="K1376" s="190"/>
      <c r="L1376" s="190"/>
      <c r="M1376" s="190"/>
      <c r="N1376" s="220"/>
      <c r="O1376" s="220"/>
      <c r="P1376" s="220"/>
      <c r="R1376" s="210"/>
      <c r="S1376" s="210"/>
      <c r="T1376" s="210"/>
      <c r="U1376" s="210"/>
      <c r="X1376" s="210"/>
      <c r="Y1376" s="210"/>
      <c r="Z1376" s="210"/>
      <c r="AA1376" s="210"/>
      <c r="AB1376" s="210"/>
      <c r="AC1376" s="210"/>
      <c r="AD1376" s="210"/>
      <c r="AE1376" s="210"/>
      <c r="AF1376" s="210"/>
      <c r="AG1376" s="210"/>
      <c r="AH1376" s="210"/>
      <c r="AI1376" s="210"/>
      <c r="AJ1376" s="210"/>
      <c r="AK1376" s="210"/>
      <c r="AL1376" s="210"/>
      <c r="AM1376" s="210"/>
      <c r="AN1376" s="210"/>
      <c r="AO1376" s="210"/>
      <c r="AP1376" s="210"/>
      <c r="AQ1376" s="210"/>
    </row>
    <row r="1377">
      <c r="A1377" s="190"/>
      <c r="B1377" s="190"/>
      <c r="C1377" s="190"/>
      <c r="D1377" s="190"/>
      <c r="E1377" s="190"/>
      <c r="F1377" s="190"/>
      <c r="G1377" s="190"/>
      <c r="H1377" s="190"/>
      <c r="I1377" s="190"/>
      <c r="J1377" s="190"/>
      <c r="K1377" s="190"/>
      <c r="L1377" s="190"/>
      <c r="M1377" s="190"/>
      <c r="N1377" s="220"/>
      <c r="O1377" s="220"/>
      <c r="P1377" s="220"/>
      <c r="R1377" s="210"/>
      <c r="S1377" s="210"/>
      <c r="T1377" s="210"/>
      <c r="U1377" s="210"/>
      <c r="X1377" s="210"/>
      <c r="Y1377" s="210"/>
      <c r="Z1377" s="210"/>
      <c r="AA1377" s="210"/>
      <c r="AB1377" s="210"/>
      <c r="AC1377" s="210"/>
      <c r="AD1377" s="210"/>
      <c r="AE1377" s="210"/>
      <c r="AF1377" s="210"/>
      <c r="AG1377" s="210"/>
      <c r="AH1377" s="210"/>
      <c r="AI1377" s="210"/>
      <c r="AJ1377" s="210"/>
      <c r="AK1377" s="210"/>
      <c r="AL1377" s="210"/>
      <c r="AM1377" s="210"/>
      <c r="AN1377" s="210"/>
      <c r="AO1377" s="210"/>
      <c r="AP1377" s="210"/>
      <c r="AQ1377" s="210"/>
    </row>
    <row r="1378">
      <c r="A1378" s="190"/>
      <c r="B1378" s="190"/>
      <c r="C1378" s="190"/>
      <c r="D1378" s="190"/>
      <c r="E1378" s="190"/>
      <c r="F1378" s="190"/>
      <c r="G1378" s="190"/>
      <c r="H1378" s="190"/>
      <c r="I1378" s="190"/>
      <c r="J1378" s="190"/>
      <c r="K1378" s="190"/>
      <c r="L1378" s="190"/>
      <c r="M1378" s="190"/>
      <c r="N1378" s="220"/>
      <c r="O1378" s="220"/>
      <c r="P1378" s="220"/>
      <c r="R1378" s="210"/>
      <c r="S1378" s="210"/>
      <c r="T1378" s="210"/>
      <c r="U1378" s="210"/>
      <c r="X1378" s="210"/>
      <c r="Y1378" s="210"/>
      <c r="Z1378" s="210"/>
      <c r="AA1378" s="210"/>
      <c r="AB1378" s="210"/>
      <c r="AC1378" s="210"/>
      <c r="AD1378" s="210"/>
      <c r="AE1378" s="210"/>
      <c r="AF1378" s="210"/>
      <c r="AG1378" s="210"/>
      <c r="AH1378" s="210"/>
      <c r="AI1378" s="210"/>
      <c r="AJ1378" s="210"/>
      <c r="AK1378" s="210"/>
      <c r="AL1378" s="210"/>
      <c r="AM1378" s="210"/>
      <c r="AN1378" s="210"/>
      <c r="AO1378" s="210"/>
      <c r="AP1378" s="210"/>
      <c r="AQ1378" s="210"/>
    </row>
    <row r="1379">
      <c r="A1379" s="190"/>
      <c r="B1379" s="190"/>
      <c r="C1379" s="190"/>
      <c r="D1379" s="190"/>
      <c r="E1379" s="190"/>
      <c r="F1379" s="190"/>
      <c r="G1379" s="190"/>
      <c r="H1379" s="190"/>
      <c r="I1379" s="190"/>
      <c r="J1379" s="190"/>
      <c r="K1379" s="190"/>
      <c r="L1379" s="190"/>
      <c r="M1379" s="190"/>
      <c r="N1379" s="220"/>
      <c r="O1379" s="220"/>
      <c r="P1379" s="220"/>
      <c r="R1379" s="210"/>
      <c r="S1379" s="210"/>
      <c r="T1379" s="210"/>
      <c r="U1379" s="210"/>
      <c r="X1379" s="210"/>
      <c r="Y1379" s="210"/>
      <c r="Z1379" s="210"/>
      <c r="AA1379" s="210"/>
      <c r="AB1379" s="210"/>
      <c r="AC1379" s="210"/>
      <c r="AD1379" s="210"/>
      <c r="AE1379" s="210"/>
      <c r="AF1379" s="210"/>
      <c r="AG1379" s="210"/>
      <c r="AH1379" s="210"/>
      <c r="AI1379" s="210"/>
      <c r="AJ1379" s="210"/>
      <c r="AK1379" s="210"/>
      <c r="AL1379" s="210"/>
      <c r="AM1379" s="210"/>
      <c r="AN1379" s="210"/>
      <c r="AO1379" s="210"/>
      <c r="AP1379" s="210"/>
      <c r="AQ1379" s="210"/>
    </row>
    <row r="1380">
      <c r="A1380" s="190"/>
      <c r="B1380" s="190"/>
      <c r="C1380" s="190"/>
      <c r="D1380" s="190"/>
      <c r="E1380" s="190"/>
      <c r="F1380" s="190"/>
      <c r="G1380" s="190"/>
      <c r="H1380" s="190"/>
      <c r="I1380" s="190"/>
      <c r="J1380" s="190"/>
      <c r="K1380" s="190"/>
      <c r="L1380" s="190"/>
      <c r="M1380" s="190"/>
      <c r="N1380" s="220"/>
      <c r="O1380" s="220"/>
      <c r="P1380" s="220"/>
      <c r="R1380" s="210"/>
      <c r="S1380" s="210"/>
      <c r="T1380" s="210"/>
      <c r="U1380" s="210"/>
      <c r="X1380" s="210"/>
      <c r="Y1380" s="210"/>
      <c r="Z1380" s="210"/>
      <c r="AA1380" s="210"/>
      <c r="AB1380" s="210"/>
      <c r="AC1380" s="210"/>
      <c r="AD1380" s="210"/>
      <c r="AE1380" s="210"/>
      <c r="AF1380" s="210"/>
      <c r="AG1380" s="210"/>
      <c r="AH1380" s="210"/>
      <c r="AI1380" s="210"/>
      <c r="AJ1380" s="210"/>
      <c r="AK1380" s="210"/>
      <c r="AL1380" s="210"/>
      <c r="AM1380" s="210"/>
      <c r="AN1380" s="210"/>
      <c r="AO1380" s="210"/>
      <c r="AP1380" s="210"/>
      <c r="AQ1380" s="210"/>
    </row>
    <row r="1381">
      <c r="A1381" s="190"/>
      <c r="B1381" s="190"/>
      <c r="C1381" s="190"/>
      <c r="D1381" s="190"/>
      <c r="E1381" s="190"/>
      <c r="F1381" s="190"/>
      <c r="G1381" s="190"/>
      <c r="H1381" s="190"/>
      <c r="I1381" s="190"/>
      <c r="J1381" s="190"/>
      <c r="K1381" s="190"/>
      <c r="L1381" s="190"/>
      <c r="M1381" s="190"/>
      <c r="N1381" s="220"/>
      <c r="O1381" s="220"/>
      <c r="P1381" s="220"/>
      <c r="R1381" s="210"/>
      <c r="S1381" s="210"/>
      <c r="T1381" s="210"/>
      <c r="U1381" s="210"/>
      <c r="X1381" s="210"/>
      <c r="Y1381" s="210"/>
      <c r="Z1381" s="210"/>
      <c r="AA1381" s="210"/>
      <c r="AB1381" s="210"/>
      <c r="AC1381" s="210"/>
      <c r="AD1381" s="210"/>
      <c r="AE1381" s="210"/>
      <c r="AF1381" s="210"/>
      <c r="AG1381" s="210"/>
      <c r="AH1381" s="210"/>
      <c r="AI1381" s="210"/>
      <c r="AJ1381" s="210"/>
      <c r="AK1381" s="210"/>
      <c r="AL1381" s="210"/>
      <c r="AM1381" s="210"/>
      <c r="AN1381" s="210"/>
      <c r="AO1381" s="210"/>
      <c r="AP1381" s="210"/>
      <c r="AQ1381" s="210"/>
    </row>
    <row r="1382">
      <c r="A1382" s="190"/>
      <c r="B1382" s="190"/>
      <c r="C1382" s="190"/>
      <c r="D1382" s="190"/>
      <c r="E1382" s="190"/>
      <c r="F1382" s="190"/>
      <c r="G1382" s="190"/>
      <c r="H1382" s="190"/>
      <c r="I1382" s="190"/>
      <c r="J1382" s="190"/>
      <c r="K1382" s="190"/>
      <c r="L1382" s="190"/>
      <c r="M1382" s="190"/>
      <c r="N1382" s="220"/>
      <c r="O1382" s="220"/>
      <c r="P1382" s="220"/>
      <c r="R1382" s="210"/>
      <c r="S1382" s="210"/>
      <c r="T1382" s="210"/>
      <c r="U1382" s="210"/>
      <c r="X1382" s="210"/>
      <c r="Y1382" s="210"/>
      <c r="Z1382" s="210"/>
      <c r="AA1382" s="210"/>
      <c r="AB1382" s="210"/>
      <c r="AC1382" s="210"/>
      <c r="AD1382" s="210"/>
      <c r="AE1382" s="210"/>
      <c r="AF1382" s="210"/>
      <c r="AG1382" s="210"/>
      <c r="AH1382" s="210"/>
      <c r="AI1382" s="210"/>
      <c r="AJ1382" s="210"/>
      <c r="AK1382" s="210"/>
      <c r="AL1382" s="210"/>
      <c r="AM1382" s="210"/>
      <c r="AN1382" s="210"/>
      <c r="AO1382" s="210"/>
      <c r="AP1382" s="210"/>
      <c r="AQ1382" s="210"/>
    </row>
    <row r="1383">
      <c r="A1383" s="190"/>
      <c r="B1383" s="190"/>
      <c r="C1383" s="190"/>
      <c r="D1383" s="190"/>
      <c r="E1383" s="190"/>
      <c r="F1383" s="190"/>
      <c r="G1383" s="190"/>
      <c r="H1383" s="190"/>
      <c r="I1383" s="190"/>
      <c r="J1383" s="190"/>
      <c r="K1383" s="190"/>
      <c r="L1383" s="190"/>
      <c r="M1383" s="190"/>
      <c r="N1383" s="220"/>
      <c r="O1383" s="220"/>
      <c r="P1383" s="220"/>
      <c r="R1383" s="210"/>
      <c r="S1383" s="210"/>
      <c r="T1383" s="210"/>
      <c r="U1383" s="210"/>
      <c r="X1383" s="210"/>
      <c r="Y1383" s="210"/>
      <c r="Z1383" s="210"/>
      <c r="AA1383" s="210"/>
      <c r="AB1383" s="210"/>
      <c r="AC1383" s="210"/>
      <c r="AD1383" s="210"/>
      <c r="AE1383" s="210"/>
      <c r="AF1383" s="210"/>
      <c r="AG1383" s="210"/>
      <c r="AH1383" s="210"/>
      <c r="AI1383" s="210"/>
      <c r="AJ1383" s="210"/>
      <c r="AK1383" s="210"/>
      <c r="AL1383" s="210"/>
      <c r="AM1383" s="210"/>
      <c r="AN1383" s="210"/>
      <c r="AO1383" s="210"/>
      <c r="AP1383" s="210"/>
      <c r="AQ1383" s="210"/>
    </row>
    <row r="1384">
      <c r="A1384" s="190"/>
      <c r="B1384" s="190"/>
      <c r="C1384" s="190"/>
      <c r="D1384" s="190"/>
      <c r="E1384" s="190"/>
      <c r="F1384" s="190"/>
      <c r="G1384" s="190"/>
      <c r="H1384" s="190"/>
      <c r="I1384" s="190"/>
      <c r="J1384" s="190"/>
      <c r="K1384" s="190"/>
      <c r="L1384" s="190"/>
      <c r="M1384" s="190"/>
      <c r="N1384" s="220"/>
      <c r="O1384" s="220"/>
      <c r="P1384" s="220"/>
      <c r="R1384" s="210"/>
      <c r="S1384" s="210"/>
      <c r="T1384" s="210"/>
      <c r="U1384" s="210"/>
      <c r="X1384" s="210"/>
      <c r="Y1384" s="210"/>
      <c r="Z1384" s="210"/>
      <c r="AA1384" s="210"/>
      <c r="AB1384" s="210"/>
      <c r="AC1384" s="210"/>
      <c r="AD1384" s="210"/>
      <c r="AE1384" s="210"/>
      <c r="AF1384" s="210"/>
      <c r="AG1384" s="210"/>
      <c r="AH1384" s="210"/>
      <c r="AI1384" s="210"/>
      <c r="AJ1384" s="210"/>
      <c r="AK1384" s="210"/>
      <c r="AL1384" s="210"/>
      <c r="AM1384" s="210"/>
      <c r="AN1384" s="210"/>
      <c r="AO1384" s="210"/>
      <c r="AP1384" s="210"/>
      <c r="AQ1384" s="210"/>
    </row>
    <row r="1385">
      <c r="A1385" s="190"/>
      <c r="B1385" s="190"/>
      <c r="C1385" s="190"/>
      <c r="D1385" s="190"/>
      <c r="E1385" s="190"/>
      <c r="F1385" s="190"/>
      <c r="G1385" s="190"/>
      <c r="H1385" s="190"/>
      <c r="I1385" s="190"/>
      <c r="J1385" s="190"/>
      <c r="K1385" s="190"/>
      <c r="L1385" s="190"/>
      <c r="M1385" s="190"/>
      <c r="N1385" s="220"/>
      <c r="O1385" s="220"/>
      <c r="P1385" s="220"/>
      <c r="R1385" s="210"/>
      <c r="S1385" s="210"/>
      <c r="T1385" s="210"/>
      <c r="U1385" s="210"/>
      <c r="X1385" s="210"/>
      <c r="Y1385" s="210"/>
      <c r="Z1385" s="210"/>
      <c r="AA1385" s="210"/>
      <c r="AB1385" s="210"/>
      <c r="AC1385" s="210"/>
      <c r="AD1385" s="210"/>
      <c r="AE1385" s="210"/>
      <c r="AF1385" s="210"/>
      <c r="AG1385" s="210"/>
      <c r="AH1385" s="210"/>
      <c r="AI1385" s="210"/>
      <c r="AJ1385" s="210"/>
      <c r="AK1385" s="210"/>
      <c r="AL1385" s="210"/>
      <c r="AM1385" s="210"/>
      <c r="AN1385" s="210"/>
      <c r="AO1385" s="210"/>
      <c r="AP1385" s="210"/>
      <c r="AQ1385" s="210"/>
    </row>
    <row r="1386">
      <c r="A1386" s="190"/>
      <c r="B1386" s="190"/>
      <c r="C1386" s="190"/>
      <c r="D1386" s="190"/>
      <c r="E1386" s="190"/>
      <c r="F1386" s="190"/>
      <c r="G1386" s="190"/>
      <c r="H1386" s="190"/>
      <c r="I1386" s="190"/>
      <c r="J1386" s="190"/>
      <c r="K1386" s="190"/>
      <c r="L1386" s="190"/>
      <c r="M1386" s="190"/>
      <c r="N1386" s="220"/>
      <c r="O1386" s="220"/>
      <c r="P1386" s="220"/>
      <c r="R1386" s="210"/>
      <c r="S1386" s="210"/>
      <c r="T1386" s="210"/>
      <c r="U1386" s="210"/>
      <c r="X1386" s="210"/>
      <c r="Y1386" s="210"/>
      <c r="Z1386" s="210"/>
      <c r="AA1386" s="210"/>
      <c r="AB1386" s="210"/>
      <c r="AC1386" s="210"/>
      <c r="AD1386" s="210"/>
      <c r="AE1386" s="210"/>
      <c r="AF1386" s="210"/>
      <c r="AG1386" s="210"/>
      <c r="AH1386" s="210"/>
      <c r="AI1386" s="210"/>
      <c r="AJ1386" s="210"/>
      <c r="AK1386" s="210"/>
      <c r="AL1386" s="210"/>
      <c r="AM1386" s="210"/>
      <c r="AN1386" s="210"/>
      <c r="AO1386" s="210"/>
      <c r="AP1386" s="210"/>
      <c r="AQ1386" s="210"/>
    </row>
    <row r="1387">
      <c r="A1387" s="190"/>
      <c r="B1387" s="190"/>
      <c r="C1387" s="190"/>
      <c r="D1387" s="190"/>
      <c r="E1387" s="190"/>
      <c r="F1387" s="190"/>
      <c r="G1387" s="190"/>
      <c r="H1387" s="190"/>
      <c r="I1387" s="190"/>
      <c r="J1387" s="190"/>
      <c r="K1387" s="190"/>
      <c r="L1387" s="190"/>
      <c r="M1387" s="190"/>
      <c r="N1387" s="220"/>
      <c r="O1387" s="220"/>
      <c r="P1387" s="220"/>
      <c r="R1387" s="210"/>
      <c r="S1387" s="210"/>
      <c r="T1387" s="210"/>
      <c r="U1387" s="210"/>
      <c r="X1387" s="210"/>
      <c r="Y1387" s="210"/>
      <c r="Z1387" s="210"/>
      <c r="AA1387" s="210"/>
      <c r="AB1387" s="210"/>
      <c r="AC1387" s="210"/>
      <c r="AD1387" s="210"/>
      <c r="AE1387" s="210"/>
      <c r="AF1387" s="210"/>
      <c r="AG1387" s="210"/>
      <c r="AH1387" s="210"/>
      <c r="AI1387" s="210"/>
      <c r="AJ1387" s="210"/>
      <c r="AK1387" s="210"/>
      <c r="AL1387" s="210"/>
      <c r="AM1387" s="210"/>
      <c r="AN1387" s="210"/>
      <c r="AO1387" s="210"/>
      <c r="AP1387" s="210"/>
      <c r="AQ1387" s="210"/>
    </row>
    <row r="1388">
      <c r="A1388" s="190"/>
      <c r="B1388" s="190"/>
      <c r="C1388" s="190"/>
      <c r="D1388" s="190"/>
      <c r="E1388" s="190"/>
      <c r="F1388" s="190"/>
      <c r="G1388" s="190"/>
      <c r="H1388" s="190"/>
      <c r="I1388" s="190"/>
      <c r="J1388" s="190"/>
      <c r="K1388" s="190"/>
      <c r="L1388" s="190"/>
      <c r="M1388" s="190"/>
      <c r="N1388" s="220"/>
      <c r="O1388" s="220"/>
      <c r="P1388" s="220"/>
      <c r="R1388" s="210"/>
      <c r="S1388" s="210"/>
      <c r="T1388" s="210"/>
      <c r="U1388" s="210"/>
      <c r="X1388" s="210"/>
      <c r="Y1388" s="210"/>
      <c r="Z1388" s="210"/>
      <c r="AA1388" s="210"/>
      <c r="AB1388" s="210"/>
      <c r="AC1388" s="210"/>
      <c r="AD1388" s="210"/>
      <c r="AE1388" s="210"/>
      <c r="AF1388" s="210"/>
      <c r="AG1388" s="210"/>
      <c r="AH1388" s="210"/>
      <c r="AI1388" s="210"/>
      <c r="AJ1388" s="210"/>
      <c r="AK1388" s="210"/>
      <c r="AL1388" s="210"/>
      <c r="AM1388" s="210"/>
      <c r="AN1388" s="210"/>
      <c r="AO1388" s="210"/>
      <c r="AP1388" s="210"/>
      <c r="AQ1388" s="210"/>
    </row>
    <row r="1389">
      <c r="A1389" s="190"/>
      <c r="B1389" s="190"/>
      <c r="C1389" s="190"/>
      <c r="D1389" s="190"/>
      <c r="E1389" s="190"/>
      <c r="F1389" s="190"/>
      <c r="G1389" s="190"/>
      <c r="H1389" s="190"/>
      <c r="I1389" s="190"/>
      <c r="J1389" s="190"/>
      <c r="K1389" s="190"/>
      <c r="L1389" s="190"/>
      <c r="M1389" s="190"/>
      <c r="N1389" s="220"/>
      <c r="O1389" s="220"/>
      <c r="P1389" s="220"/>
      <c r="R1389" s="210"/>
      <c r="S1389" s="210"/>
      <c r="T1389" s="210"/>
      <c r="U1389" s="210"/>
      <c r="X1389" s="210"/>
      <c r="Y1389" s="210"/>
      <c r="Z1389" s="210"/>
      <c r="AA1389" s="210"/>
      <c r="AB1389" s="210"/>
      <c r="AC1389" s="210"/>
      <c r="AD1389" s="210"/>
      <c r="AE1389" s="210"/>
      <c r="AF1389" s="210"/>
      <c r="AG1389" s="210"/>
      <c r="AH1389" s="210"/>
      <c r="AI1389" s="210"/>
      <c r="AJ1389" s="210"/>
      <c r="AK1389" s="210"/>
      <c r="AL1389" s="210"/>
      <c r="AM1389" s="210"/>
      <c r="AN1389" s="210"/>
      <c r="AO1389" s="210"/>
      <c r="AP1389" s="210"/>
      <c r="AQ1389" s="210"/>
    </row>
    <row r="1390">
      <c r="A1390" s="190"/>
      <c r="B1390" s="190"/>
      <c r="C1390" s="190"/>
      <c r="D1390" s="190"/>
      <c r="E1390" s="190"/>
      <c r="F1390" s="190"/>
      <c r="G1390" s="190"/>
      <c r="H1390" s="190"/>
      <c r="I1390" s="190"/>
      <c r="J1390" s="190"/>
      <c r="K1390" s="190"/>
      <c r="L1390" s="190"/>
      <c r="M1390" s="190"/>
      <c r="N1390" s="220"/>
      <c r="O1390" s="220"/>
      <c r="P1390" s="220"/>
      <c r="R1390" s="210"/>
      <c r="S1390" s="210"/>
      <c r="T1390" s="210"/>
      <c r="U1390" s="210"/>
      <c r="X1390" s="210"/>
      <c r="Y1390" s="210"/>
      <c r="Z1390" s="210"/>
      <c r="AA1390" s="210"/>
      <c r="AB1390" s="210"/>
      <c r="AC1390" s="210"/>
      <c r="AD1390" s="210"/>
      <c r="AE1390" s="210"/>
      <c r="AF1390" s="210"/>
      <c r="AG1390" s="210"/>
      <c r="AH1390" s="210"/>
      <c r="AI1390" s="210"/>
      <c r="AJ1390" s="210"/>
      <c r="AK1390" s="210"/>
      <c r="AL1390" s="210"/>
      <c r="AM1390" s="210"/>
      <c r="AN1390" s="210"/>
      <c r="AO1390" s="210"/>
      <c r="AP1390" s="210"/>
      <c r="AQ1390" s="210"/>
    </row>
    <row r="1391">
      <c r="A1391" s="190"/>
      <c r="B1391" s="190"/>
      <c r="C1391" s="190"/>
      <c r="D1391" s="190"/>
      <c r="E1391" s="190"/>
      <c r="F1391" s="190"/>
      <c r="G1391" s="190"/>
      <c r="H1391" s="190"/>
      <c r="I1391" s="190"/>
      <c r="J1391" s="190"/>
      <c r="K1391" s="190"/>
      <c r="L1391" s="190"/>
      <c r="M1391" s="190"/>
      <c r="N1391" s="220"/>
      <c r="O1391" s="220"/>
      <c r="P1391" s="220"/>
      <c r="R1391" s="210"/>
      <c r="S1391" s="210"/>
      <c r="T1391" s="210"/>
      <c r="U1391" s="210"/>
      <c r="X1391" s="210"/>
      <c r="Y1391" s="210"/>
      <c r="Z1391" s="210"/>
      <c r="AA1391" s="210"/>
      <c r="AB1391" s="210"/>
      <c r="AC1391" s="210"/>
      <c r="AD1391" s="210"/>
      <c r="AE1391" s="210"/>
      <c r="AF1391" s="210"/>
      <c r="AG1391" s="210"/>
      <c r="AH1391" s="210"/>
      <c r="AI1391" s="210"/>
      <c r="AJ1391" s="210"/>
      <c r="AK1391" s="210"/>
      <c r="AL1391" s="210"/>
      <c r="AM1391" s="210"/>
      <c r="AN1391" s="210"/>
      <c r="AO1391" s="210"/>
      <c r="AP1391" s="210"/>
      <c r="AQ1391" s="210"/>
    </row>
    <row r="1392">
      <c r="A1392" s="190"/>
      <c r="B1392" s="190"/>
      <c r="C1392" s="190"/>
      <c r="D1392" s="190"/>
      <c r="E1392" s="190"/>
      <c r="F1392" s="190"/>
      <c r="G1392" s="190"/>
      <c r="H1392" s="190"/>
      <c r="I1392" s="190"/>
      <c r="J1392" s="190"/>
      <c r="K1392" s="190"/>
      <c r="L1392" s="190"/>
      <c r="M1392" s="190"/>
      <c r="N1392" s="220"/>
      <c r="O1392" s="220"/>
      <c r="P1392" s="220"/>
      <c r="R1392" s="210"/>
      <c r="S1392" s="210"/>
      <c r="T1392" s="210"/>
      <c r="U1392" s="210"/>
      <c r="X1392" s="210"/>
      <c r="Y1392" s="210"/>
      <c r="Z1392" s="210"/>
      <c r="AA1392" s="210"/>
      <c r="AB1392" s="210"/>
      <c r="AC1392" s="210"/>
      <c r="AD1392" s="210"/>
      <c r="AE1392" s="210"/>
      <c r="AF1392" s="210"/>
      <c r="AG1392" s="210"/>
      <c r="AH1392" s="210"/>
      <c r="AI1392" s="210"/>
      <c r="AJ1392" s="210"/>
      <c r="AK1392" s="210"/>
      <c r="AL1392" s="210"/>
      <c r="AM1392" s="210"/>
      <c r="AN1392" s="210"/>
      <c r="AO1392" s="210"/>
      <c r="AP1392" s="210"/>
      <c r="AQ1392" s="210"/>
    </row>
    <row r="1393">
      <c r="A1393" s="190"/>
      <c r="B1393" s="190"/>
      <c r="C1393" s="190"/>
      <c r="D1393" s="190"/>
      <c r="E1393" s="190"/>
      <c r="F1393" s="190"/>
      <c r="G1393" s="190"/>
      <c r="H1393" s="190"/>
      <c r="I1393" s="190"/>
      <c r="J1393" s="190"/>
      <c r="K1393" s="190"/>
      <c r="L1393" s="190"/>
      <c r="M1393" s="190"/>
      <c r="N1393" s="220"/>
      <c r="O1393" s="220"/>
      <c r="P1393" s="220"/>
      <c r="R1393" s="210"/>
      <c r="S1393" s="210"/>
      <c r="T1393" s="210"/>
      <c r="U1393" s="210"/>
      <c r="X1393" s="210"/>
      <c r="Y1393" s="210"/>
      <c r="Z1393" s="210"/>
      <c r="AA1393" s="210"/>
      <c r="AB1393" s="210"/>
      <c r="AC1393" s="210"/>
      <c r="AD1393" s="210"/>
      <c r="AE1393" s="210"/>
      <c r="AF1393" s="210"/>
      <c r="AG1393" s="210"/>
      <c r="AH1393" s="210"/>
      <c r="AI1393" s="210"/>
      <c r="AJ1393" s="210"/>
      <c r="AK1393" s="210"/>
      <c r="AL1393" s="210"/>
      <c r="AM1393" s="210"/>
      <c r="AN1393" s="210"/>
      <c r="AO1393" s="210"/>
      <c r="AP1393" s="210"/>
      <c r="AQ1393" s="210"/>
    </row>
    <row r="1394">
      <c r="A1394" s="190"/>
      <c r="B1394" s="190"/>
      <c r="C1394" s="190"/>
      <c r="D1394" s="190"/>
      <c r="E1394" s="190"/>
      <c r="F1394" s="190"/>
      <c r="G1394" s="190"/>
      <c r="H1394" s="190"/>
      <c r="I1394" s="190"/>
      <c r="J1394" s="190"/>
      <c r="K1394" s="190"/>
      <c r="L1394" s="190"/>
      <c r="M1394" s="190"/>
      <c r="N1394" s="220"/>
      <c r="O1394" s="220"/>
      <c r="P1394" s="220"/>
      <c r="R1394" s="210"/>
      <c r="S1394" s="210"/>
      <c r="T1394" s="210"/>
      <c r="U1394" s="210"/>
      <c r="X1394" s="210"/>
      <c r="Y1394" s="210"/>
      <c r="Z1394" s="210"/>
      <c r="AA1394" s="210"/>
      <c r="AB1394" s="210"/>
      <c r="AC1394" s="210"/>
      <c r="AD1394" s="210"/>
      <c r="AE1394" s="210"/>
      <c r="AF1394" s="210"/>
      <c r="AG1394" s="210"/>
      <c r="AH1394" s="210"/>
      <c r="AI1394" s="210"/>
      <c r="AJ1394" s="210"/>
      <c r="AK1394" s="210"/>
      <c r="AL1394" s="210"/>
      <c r="AM1394" s="210"/>
      <c r="AN1394" s="210"/>
      <c r="AO1394" s="210"/>
      <c r="AP1394" s="210"/>
      <c r="AQ1394" s="210"/>
    </row>
    <row r="1395">
      <c r="A1395" s="190"/>
      <c r="B1395" s="190"/>
      <c r="C1395" s="190"/>
      <c r="D1395" s="190"/>
      <c r="E1395" s="190"/>
      <c r="F1395" s="190"/>
      <c r="G1395" s="190"/>
      <c r="H1395" s="190"/>
      <c r="I1395" s="190"/>
      <c r="J1395" s="190"/>
      <c r="K1395" s="190"/>
      <c r="L1395" s="190"/>
      <c r="M1395" s="190"/>
      <c r="N1395" s="220"/>
      <c r="O1395" s="220"/>
      <c r="P1395" s="220"/>
      <c r="R1395" s="210"/>
      <c r="S1395" s="210"/>
      <c r="T1395" s="210"/>
      <c r="U1395" s="210"/>
      <c r="X1395" s="210"/>
      <c r="Y1395" s="210"/>
      <c r="Z1395" s="210"/>
      <c r="AA1395" s="210"/>
      <c r="AB1395" s="210"/>
      <c r="AC1395" s="210"/>
      <c r="AD1395" s="210"/>
      <c r="AE1395" s="210"/>
      <c r="AF1395" s="210"/>
      <c r="AG1395" s="210"/>
      <c r="AH1395" s="210"/>
      <c r="AI1395" s="210"/>
      <c r="AJ1395" s="210"/>
      <c r="AK1395" s="210"/>
      <c r="AL1395" s="210"/>
      <c r="AM1395" s="210"/>
      <c r="AN1395" s="210"/>
      <c r="AO1395" s="210"/>
      <c r="AP1395" s="210"/>
      <c r="AQ1395" s="210"/>
    </row>
    <row r="1396">
      <c r="A1396" s="190"/>
      <c r="B1396" s="190"/>
      <c r="C1396" s="190"/>
      <c r="D1396" s="190"/>
      <c r="E1396" s="190"/>
      <c r="F1396" s="190"/>
      <c r="G1396" s="190"/>
      <c r="H1396" s="190"/>
      <c r="I1396" s="190"/>
      <c r="J1396" s="190"/>
      <c r="K1396" s="190"/>
      <c r="L1396" s="190"/>
      <c r="M1396" s="190"/>
      <c r="N1396" s="220"/>
      <c r="O1396" s="220"/>
      <c r="P1396" s="220"/>
      <c r="R1396" s="210"/>
      <c r="S1396" s="210"/>
      <c r="T1396" s="210"/>
      <c r="U1396" s="210"/>
      <c r="X1396" s="210"/>
      <c r="Y1396" s="210"/>
      <c r="Z1396" s="210"/>
      <c r="AA1396" s="210"/>
      <c r="AB1396" s="210"/>
      <c r="AC1396" s="210"/>
      <c r="AD1396" s="210"/>
      <c r="AE1396" s="210"/>
      <c r="AF1396" s="210"/>
      <c r="AG1396" s="210"/>
      <c r="AH1396" s="210"/>
      <c r="AI1396" s="210"/>
      <c r="AJ1396" s="210"/>
      <c r="AK1396" s="210"/>
      <c r="AL1396" s="210"/>
      <c r="AM1396" s="210"/>
      <c r="AN1396" s="210"/>
      <c r="AO1396" s="210"/>
      <c r="AP1396" s="210"/>
      <c r="AQ1396" s="210"/>
    </row>
    <row r="1397">
      <c r="A1397" s="190"/>
      <c r="B1397" s="190"/>
      <c r="C1397" s="190"/>
      <c r="D1397" s="190"/>
      <c r="E1397" s="190"/>
      <c r="F1397" s="190"/>
      <c r="G1397" s="190"/>
      <c r="H1397" s="190"/>
      <c r="I1397" s="190"/>
      <c r="J1397" s="190"/>
      <c r="K1397" s="190"/>
      <c r="L1397" s="190"/>
      <c r="M1397" s="190"/>
      <c r="N1397" s="220"/>
      <c r="O1397" s="220"/>
      <c r="P1397" s="220"/>
      <c r="R1397" s="210"/>
      <c r="S1397" s="210"/>
      <c r="T1397" s="210"/>
      <c r="U1397" s="210"/>
      <c r="X1397" s="210"/>
      <c r="Y1397" s="210"/>
      <c r="Z1397" s="210"/>
      <c r="AA1397" s="210"/>
      <c r="AB1397" s="210"/>
      <c r="AC1397" s="210"/>
      <c r="AD1397" s="210"/>
      <c r="AE1397" s="210"/>
      <c r="AF1397" s="210"/>
      <c r="AG1397" s="210"/>
      <c r="AH1397" s="210"/>
      <c r="AI1397" s="210"/>
      <c r="AJ1397" s="210"/>
      <c r="AK1397" s="210"/>
      <c r="AL1397" s="210"/>
      <c r="AM1397" s="210"/>
      <c r="AN1397" s="210"/>
      <c r="AO1397" s="210"/>
      <c r="AP1397" s="210"/>
      <c r="AQ1397" s="210"/>
    </row>
    <row r="1398">
      <c r="A1398" s="190"/>
      <c r="B1398" s="190"/>
      <c r="C1398" s="190"/>
      <c r="D1398" s="190"/>
      <c r="E1398" s="190"/>
      <c r="F1398" s="190"/>
      <c r="G1398" s="190"/>
      <c r="H1398" s="190"/>
      <c r="I1398" s="190"/>
      <c r="J1398" s="190"/>
      <c r="K1398" s="190"/>
      <c r="L1398" s="190"/>
      <c r="M1398" s="190"/>
      <c r="N1398" s="220"/>
      <c r="O1398" s="220"/>
      <c r="P1398" s="220"/>
      <c r="R1398" s="210"/>
      <c r="S1398" s="210"/>
      <c r="T1398" s="210"/>
      <c r="U1398" s="210"/>
      <c r="X1398" s="210"/>
      <c r="Y1398" s="210"/>
      <c r="Z1398" s="210"/>
      <c r="AA1398" s="210"/>
      <c r="AB1398" s="210"/>
      <c r="AC1398" s="210"/>
      <c r="AD1398" s="210"/>
      <c r="AE1398" s="210"/>
      <c r="AF1398" s="210"/>
      <c r="AG1398" s="210"/>
      <c r="AH1398" s="210"/>
      <c r="AI1398" s="210"/>
      <c r="AJ1398" s="210"/>
      <c r="AK1398" s="210"/>
      <c r="AL1398" s="210"/>
      <c r="AM1398" s="210"/>
      <c r="AN1398" s="210"/>
      <c r="AO1398" s="210"/>
      <c r="AP1398" s="210"/>
      <c r="AQ1398" s="210"/>
    </row>
    <row r="1399">
      <c r="A1399" s="190"/>
      <c r="B1399" s="190"/>
      <c r="C1399" s="190"/>
      <c r="D1399" s="190"/>
      <c r="E1399" s="190"/>
      <c r="F1399" s="190"/>
      <c r="G1399" s="190"/>
      <c r="H1399" s="190"/>
      <c r="I1399" s="190"/>
      <c r="J1399" s="190"/>
      <c r="K1399" s="190"/>
      <c r="L1399" s="190"/>
      <c r="M1399" s="190"/>
      <c r="N1399" s="220"/>
      <c r="O1399" s="220"/>
      <c r="P1399" s="220"/>
      <c r="R1399" s="210"/>
      <c r="S1399" s="210"/>
      <c r="T1399" s="210"/>
      <c r="U1399" s="210"/>
      <c r="X1399" s="210"/>
      <c r="Y1399" s="210"/>
      <c r="Z1399" s="210"/>
      <c r="AA1399" s="210"/>
      <c r="AB1399" s="210"/>
      <c r="AC1399" s="210"/>
      <c r="AD1399" s="210"/>
      <c r="AE1399" s="210"/>
      <c r="AF1399" s="210"/>
      <c r="AG1399" s="210"/>
      <c r="AH1399" s="210"/>
      <c r="AI1399" s="210"/>
      <c r="AJ1399" s="210"/>
      <c r="AK1399" s="210"/>
      <c r="AL1399" s="210"/>
      <c r="AM1399" s="210"/>
      <c r="AN1399" s="210"/>
      <c r="AO1399" s="210"/>
      <c r="AP1399" s="210"/>
      <c r="AQ1399" s="210"/>
    </row>
    <row r="1400">
      <c r="A1400" s="190"/>
      <c r="B1400" s="190"/>
      <c r="C1400" s="190"/>
      <c r="D1400" s="190"/>
      <c r="E1400" s="190"/>
      <c r="F1400" s="190"/>
      <c r="G1400" s="190"/>
      <c r="H1400" s="190"/>
      <c r="I1400" s="190"/>
      <c r="J1400" s="190"/>
      <c r="K1400" s="190"/>
      <c r="L1400" s="190"/>
      <c r="M1400" s="190"/>
      <c r="N1400" s="220"/>
      <c r="O1400" s="220"/>
      <c r="P1400" s="220"/>
      <c r="R1400" s="210"/>
      <c r="S1400" s="210"/>
      <c r="T1400" s="210"/>
      <c r="U1400" s="210"/>
      <c r="X1400" s="210"/>
      <c r="Y1400" s="210"/>
      <c r="Z1400" s="210"/>
      <c r="AA1400" s="210"/>
      <c r="AB1400" s="210"/>
      <c r="AC1400" s="210"/>
      <c r="AD1400" s="210"/>
      <c r="AE1400" s="210"/>
      <c r="AF1400" s="210"/>
      <c r="AG1400" s="210"/>
      <c r="AH1400" s="210"/>
      <c r="AI1400" s="210"/>
      <c r="AJ1400" s="210"/>
      <c r="AK1400" s="210"/>
      <c r="AL1400" s="210"/>
      <c r="AM1400" s="210"/>
      <c r="AN1400" s="210"/>
      <c r="AO1400" s="210"/>
      <c r="AP1400" s="210"/>
      <c r="AQ1400" s="210"/>
    </row>
    <row r="1401">
      <c r="A1401" s="190"/>
      <c r="B1401" s="190"/>
      <c r="C1401" s="190"/>
      <c r="D1401" s="190"/>
      <c r="E1401" s="190"/>
      <c r="F1401" s="190"/>
      <c r="G1401" s="190"/>
      <c r="H1401" s="190"/>
      <c r="I1401" s="190"/>
      <c r="J1401" s="190"/>
      <c r="K1401" s="190"/>
      <c r="L1401" s="190"/>
      <c r="M1401" s="190"/>
      <c r="N1401" s="220"/>
      <c r="O1401" s="220"/>
      <c r="P1401" s="220"/>
      <c r="R1401" s="210"/>
      <c r="S1401" s="210"/>
      <c r="T1401" s="210"/>
      <c r="U1401" s="210"/>
      <c r="X1401" s="210"/>
      <c r="Y1401" s="210"/>
      <c r="Z1401" s="210"/>
      <c r="AA1401" s="210"/>
      <c r="AB1401" s="210"/>
      <c r="AC1401" s="210"/>
      <c r="AD1401" s="210"/>
      <c r="AE1401" s="210"/>
      <c r="AF1401" s="210"/>
      <c r="AG1401" s="210"/>
      <c r="AH1401" s="210"/>
      <c r="AI1401" s="210"/>
      <c r="AJ1401" s="210"/>
      <c r="AK1401" s="210"/>
      <c r="AL1401" s="210"/>
      <c r="AM1401" s="210"/>
      <c r="AN1401" s="210"/>
      <c r="AO1401" s="210"/>
      <c r="AP1401" s="210"/>
      <c r="AQ1401" s="210"/>
    </row>
    <row r="1402">
      <c r="A1402" s="190"/>
      <c r="B1402" s="190"/>
      <c r="C1402" s="190"/>
      <c r="D1402" s="190"/>
      <c r="E1402" s="190"/>
      <c r="F1402" s="190"/>
      <c r="G1402" s="190"/>
      <c r="H1402" s="190"/>
      <c r="I1402" s="190"/>
      <c r="J1402" s="190"/>
      <c r="K1402" s="190"/>
      <c r="L1402" s="190"/>
      <c r="M1402" s="190"/>
      <c r="N1402" s="220"/>
      <c r="O1402" s="220"/>
      <c r="P1402" s="220"/>
      <c r="R1402" s="210"/>
      <c r="S1402" s="210"/>
      <c r="T1402" s="210"/>
      <c r="U1402" s="210"/>
      <c r="X1402" s="210"/>
      <c r="Y1402" s="210"/>
      <c r="Z1402" s="210"/>
      <c r="AA1402" s="210"/>
      <c r="AB1402" s="210"/>
      <c r="AC1402" s="210"/>
      <c r="AD1402" s="210"/>
      <c r="AE1402" s="210"/>
      <c r="AF1402" s="210"/>
      <c r="AG1402" s="210"/>
      <c r="AH1402" s="210"/>
      <c r="AI1402" s="210"/>
      <c r="AJ1402" s="210"/>
      <c r="AK1402" s="210"/>
      <c r="AL1402" s="210"/>
      <c r="AM1402" s="210"/>
      <c r="AN1402" s="210"/>
      <c r="AO1402" s="210"/>
      <c r="AP1402" s="210"/>
      <c r="AQ1402" s="210"/>
    </row>
    <row r="1403">
      <c r="A1403" s="190"/>
      <c r="B1403" s="190"/>
      <c r="C1403" s="190"/>
      <c r="D1403" s="190"/>
      <c r="E1403" s="190"/>
      <c r="F1403" s="190"/>
      <c r="G1403" s="190"/>
      <c r="H1403" s="190"/>
      <c r="I1403" s="190"/>
      <c r="J1403" s="190"/>
      <c r="K1403" s="190"/>
      <c r="L1403" s="190"/>
      <c r="M1403" s="190"/>
      <c r="N1403" s="220"/>
      <c r="O1403" s="220"/>
      <c r="P1403" s="220"/>
      <c r="R1403" s="210"/>
      <c r="S1403" s="210"/>
      <c r="T1403" s="210"/>
      <c r="U1403" s="210"/>
      <c r="X1403" s="210"/>
      <c r="Y1403" s="210"/>
      <c r="Z1403" s="210"/>
      <c r="AA1403" s="210"/>
      <c r="AB1403" s="210"/>
      <c r="AC1403" s="210"/>
      <c r="AD1403" s="210"/>
      <c r="AE1403" s="210"/>
      <c r="AF1403" s="210"/>
      <c r="AG1403" s="210"/>
      <c r="AH1403" s="210"/>
      <c r="AI1403" s="210"/>
      <c r="AJ1403" s="210"/>
      <c r="AK1403" s="210"/>
      <c r="AL1403" s="210"/>
      <c r="AM1403" s="210"/>
      <c r="AN1403" s="210"/>
      <c r="AO1403" s="210"/>
      <c r="AP1403" s="210"/>
      <c r="AQ1403" s="210"/>
    </row>
    <row r="1404">
      <c r="A1404" s="190"/>
      <c r="B1404" s="190"/>
      <c r="C1404" s="190"/>
      <c r="D1404" s="190"/>
      <c r="E1404" s="190"/>
      <c r="F1404" s="190"/>
      <c r="G1404" s="190"/>
      <c r="H1404" s="190"/>
      <c r="I1404" s="190"/>
      <c r="J1404" s="190"/>
      <c r="K1404" s="190"/>
      <c r="L1404" s="190"/>
      <c r="M1404" s="190"/>
      <c r="N1404" s="220"/>
      <c r="O1404" s="220"/>
      <c r="P1404" s="220"/>
      <c r="R1404" s="210"/>
      <c r="S1404" s="210"/>
      <c r="T1404" s="210"/>
      <c r="U1404" s="210"/>
      <c r="X1404" s="210"/>
      <c r="Y1404" s="210"/>
      <c r="Z1404" s="210"/>
      <c r="AA1404" s="210"/>
      <c r="AB1404" s="210"/>
      <c r="AC1404" s="210"/>
      <c r="AD1404" s="210"/>
      <c r="AE1404" s="210"/>
      <c r="AF1404" s="210"/>
      <c r="AG1404" s="210"/>
      <c r="AH1404" s="210"/>
      <c r="AI1404" s="210"/>
      <c r="AJ1404" s="210"/>
      <c r="AK1404" s="210"/>
      <c r="AL1404" s="210"/>
      <c r="AM1404" s="210"/>
      <c r="AN1404" s="210"/>
      <c r="AO1404" s="210"/>
      <c r="AP1404" s="210"/>
      <c r="AQ1404" s="210"/>
    </row>
    <row r="1405">
      <c r="A1405" s="190"/>
      <c r="B1405" s="190"/>
      <c r="C1405" s="190"/>
      <c r="D1405" s="190"/>
      <c r="E1405" s="190"/>
      <c r="F1405" s="190"/>
      <c r="G1405" s="190"/>
      <c r="H1405" s="190"/>
      <c r="I1405" s="190"/>
      <c r="J1405" s="190"/>
      <c r="K1405" s="190"/>
      <c r="L1405" s="190"/>
      <c r="M1405" s="190"/>
      <c r="N1405" s="220"/>
      <c r="O1405" s="220"/>
      <c r="P1405" s="220"/>
      <c r="R1405" s="210"/>
      <c r="S1405" s="210"/>
      <c r="T1405" s="210"/>
      <c r="U1405" s="210"/>
      <c r="X1405" s="210"/>
      <c r="Y1405" s="210"/>
      <c r="Z1405" s="210"/>
      <c r="AA1405" s="210"/>
      <c r="AB1405" s="210"/>
      <c r="AC1405" s="210"/>
      <c r="AD1405" s="210"/>
      <c r="AE1405" s="210"/>
      <c r="AF1405" s="210"/>
      <c r="AG1405" s="210"/>
      <c r="AH1405" s="210"/>
      <c r="AI1405" s="210"/>
      <c r="AJ1405" s="210"/>
      <c r="AK1405" s="210"/>
      <c r="AL1405" s="210"/>
      <c r="AM1405" s="210"/>
      <c r="AN1405" s="210"/>
      <c r="AO1405" s="210"/>
      <c r="AP1405" s="210"/>
      <c r="AQ1405" s="210"/>
    </row>
    <row r="1406">
      <c r="A1406" s="190"/>
      <c r="B1406" s="190"/>
      <c r="C1406" s="190"/>
      <c r="D1406" s="190"/>
      <c r="E1406" s="190"/>
      <c r="F1406" s="190"/>
      <c r="G1406" s="190"/>
      <c r="H1406" s="190"/>
      <c r="I1406" s="190"/>
      <c r="J1406" s="190"/>
      <c r="K1406" s="190"/>
      <c r="L1406" s="190"/>
      <c r="M1406" s="190"/>
      <c r="N1406" s="220"/>
      <c r="O1406" s="220"/>
      <c r="P1406" s="220"/>
      <c r="R1406" s="210"/>
      <c r="S1406" s="210"/>
      <c r="T1406" s="210"/>
      <c r="U1406" s="210"/>
      <c r="X1406" s="210"/>
      <c r="Y1406" s="210"/>
      <c r="Z1406" s="210"/>
      <c r="AA1406" s="210"/>
      <c r="AB1406" s="210"/>
      <c r="AC1406" s="210"/>
      <c r="AD1406" s="210"/>
      <c r="AE1406" s="210"/>
      <c r="AF1406" s="210"/>
      <c r="AG1406" s="210"/>
      <c r="AH1406" s="210"/>
      <c r="AI1406" s="210"/>
      <c r="AJ1406" s="210"/>
      <c r="AK1406" s="210"/>
      <c r="AL1406" s="210"/>
      <c r="AM1406" s="210"/>
      <c r="AN1406" s="210"/>
      <c r="AO1406" s="210"/>
      <c r="AP1406" s="210"/>
      <c r="AQ1406" s="210"/>
    </row>
    <row r="1407">
      <c r="A1407" s="190"/>
      <c r="B1407" s="190"/>
      <c r="C1407" s="190"/>
      <c r="D1407" s="190"/>
      <c r="E1407" s="190"/>
      <c r="F1407" s="190"/>
      <c r="G1407" s="190"/>
      <c r="H1407" s="190"/>
      <c r="I1407" s="190"/>
      <c r="J1407" s="190"/>
      <c r="K1407" s="190"/>
      <c r="L1407" s="190"/>
      <c r="M1407" s="190"/>
      <c r="N1407" s="220"/>
      <c r="O1407" s="220"/>
      <c r="P1407" s="220"/>
      <c r="R1407" s="210"/>
      <c r="S1407" s="210"/>
      <c r="T1407" s="210"/>
      <c r="U1407" s="210"/>
      <c r="X1407" s="210"/>
      <c r="Y1407" s="210"/>
      <c r="Z1407" s="210"/>
      <c r="AA1407" s="210"/>
      <c r="AB1407" s="210"/>
      <c r="AC1407" s="210"/>
      <c r="AD1407" s="210"/>
      <c r="AE1407" s="210"/>
      <c r="AF1407" s="210"/>
      <c r="AG1407" s="210"/>
      <c r="AH1407" s="210"/>
      <c r="AI1407" s="210"/>
      <c r="AJ1407" s="210"/>
      <c r="AK1407" s="210"/>
      <c r="AL1407" s="210"/>
      <c r="AM1407" s="210"/>
      <c r="AN1407" s="210"/>
      <c r="AO1407" s="210"/>
      <c r="AP1407" s="210"/>
      <c r="AQ1407" s="210"/>
    </row>
    <row r="1408">
      <c r="A1408" s="190"/>
      <c r="B1408" s="190"/>
      <c r="C1408" s="190"/>
      <c r="D1408" s="190"/>
      <c r="E1408" s="190"/>
      <c r="F1408" s="190"/>
      <c r="G1408" s="190"/>
      <c r="H1408" s="190"/>
      <c r="I1408" s="190"/>
      <c r="J1408" s="190"/>
      <c r="K1408" s="190"/>
      <c r="L1408" s="190"/>
      <c r="M1408" s="190"/>
      <c r="N1408" s="220"/>
      <c r="O1408" s="220"/>
      <c r="P1408" s="220"/>
      <c r="R1408" s="210"/>
      <c r="S1408" s="210"/>
      <c r="T1408" s="210"/>
      <c r="U1408" s="210"/>
      <c r="X1408" s="210"/>
      <c r="Y1408" s="210"/>
      <c r="Z1408" s="210"/>
      <c r="AA1408" s="210"/>
      <c r="AB1408" s="210"/>
      <c r="AC1408" s="210"/>
      <c r="AD1408" s="210"/>
      <c r="AE1408" s="210"/>
      <c r="AF1408" s="210"/>
      <c r="AG1408" s="210"/>
      <c r="AH1408" s="210"/>
      <c r="AI1408" s="210"/>
      <c r="AJ1408" s="210"/>
      <c r="AK1408" s="210"/>
      <c r="AL1408" s="210"/>
      <c r="AM1408" s="210"/>
      <c r="AN1408" s="210"/>
      <c r="AO1408" s="210"/>
      <c r="AP1408" s="210"/>
      <c r="AQ1408" s="210"/>
    </row>
    <row r="1409">
      <c r="A1409" s="190"/>
      <c r="B1409" s="190"/>
      <c r="C1409" s="190"/>
      <c r="D1409" s="190"/>
      <c r="E1409" s="190"/>
      <c r="F1409" s="190"/>
      <c r="G1409" s="190"/>
      <c r="H1409" s="190"/>
      <c r="I1409" s="190"/>
      <c r="J1409" s="190"/>
      <c r="K1409" s="190"/>
      <c r="L1409" s="190"/>
      <c r="M1409" s="190"/>
      <c r="N1409" s="220"/>
      <c r="O1409" s="220"/>
      <c r="P1409" s="220"/>
      <c r="R1409" s="210"/>
      <c r="S1409" s="210"/>
      <c r="T1409" s="210"/>
      <c r="U1409" s="210"/>
      <c r="X1409" s="210"/>
      <c r="Y1409" s="210"/>
      <c r="Z1409" s="210"/>
      <c r="AA1409" s="210"/>
      <c r="AB1409" s="210"/>
      <c r="AC1409" s="210"/>
      <c r="AD1409" s="210"/>
      <c r="AE1409" s="210"/>
      <c r="AF1409" s="210"/>
      <c r="AG1409" s="210"/>
      <c r="AH1409" s="210"/>
      <c r="AI1409" s="210"/>
      <c r="AJ1409" s="210"/>
      <c r="AK1409" s="210"/>
      <c r="AL1409" s="210"/>
      <c r="AM1409" s="210"/>
      <c r="AN1409" s="210"/>
      <c r="AO1409" s="210"/>
      <c r="AP1409" s="210"/>
      <c r="AQ1409" s="210"/>
    </row>
    <row r="1410">
      <c r="A1410" s="190"/>
      <c r="B1410" s="190"/>
      <c r="C1410" s="190"/>
      <c r="D1410" s="190"/>
      <c r="E1410" s="190"/>
      <c r="F1410" s="190"/>
      <c r="G1410" s="190"/>
      <c r="H1410" s="190"/>
      <c r="I1410" s="190"/>
      <c r="J1410" s="190"/>
      <c r="K1410" s="190"/>
      <c r="L1410" s="190"/>
      <c r="M1410" s="190"/>
      <c r="N1410" s="220"/>
      <c r="O1410" s="220"/>
      <c r="P1410" s="220"/>
      <c r="R1410" s="210"/>
      <c r="S1410" s="210"/>
      <c r="T1410" s="210"/>
      <c r="U1410" s="210"/>
      <c r="X1410" s="210"/>
      <c r="Y1410" s="210"/>
      <c r="Z1410" s="210"/>
      <c r="AA1410" s="210"/>
      <c r="AB1410" s="210"/>
      <c r="AC1410" s="210"/>
      <c r="AD1410" s="210"/>
      <c r="AE1410" s="210"/>
      <c r="AF1410" s="210"/>
      <c r="AG1410" s="210"/>
      <c r="AH1410" s="210"/>
      <c r="AI1410" s="210"/>
      <c r="AJ1410" s="210"/>
      <c r="AK1410" s="210"/>
      <c r="AL1410" s="210"/>
      <c r="AM1410" s="210"/>
      <c r="AN1410" s="210"/>
      <c r="AO1410" s="210"/>
      <c r="AP1410" s="210"/>
      <c r="AQ1410" s="210"/>
    </row>
    <row r="1411">
      <c r="A1411" s="190"/>
      <c r="B1411" s="190"/>
      <c r="C1411" s="190"/>
      <c r="D1411" s="190"/>
      <c r="E1411" s="190"/>
      <c r="F1411" s="190"/>
      <c r="G1411" s="190"/>
      <c r="H1411" s="190"/>
      <c r="I1411" s="190"/>
      <c r="J1411" s="190"/>
      <c r="K1411" s="190"/>
      <c r="L1411" s="190"/>
      <c r="M1411" s="190"/>
      <c r="N1411" s="220"/>
      <c r="O1411" s="220"/>
      <c r="P1411" s="220"/>
      <c r="R1411" s="210"/>
      <c r="S1411" s="210"/>
      <c r="T1411" s="210"/>
      <c r="U1411" s="210"/>
      <c r="X1411" s="210"/>
      <c r="Y1411" s="210"/>
      <c r="Z1411" s="210"/>
      <c r="AA1411" s="210"/>
      <c r="AB1411" s="210"/>
      <c r="AC1411" s="210"/>
      <c r="AD1411" s="210"/>
      <c r="AE1411" s="210"/>
      <c r="AF1411" s="210"/>
      <c r="AG1411" s="210"/>
      <c r="AH1411" s="210"/>
      <c r="AI1411" s="210"/>
      <c r="AJ1411" s="210"/>
      <c r="AK1411" s="210"/>
      <c r="AL1411" s="210"/>
      <c r="AM1411" s="210"/>
      <c r="AN1411" s="210"/>
      <c r="AO1411" s="210"/>
      <c r="AP1411" s="210"/>
      <c r="AQ1411" s="210"/>
    </row>
    <row r="1412">
      <c r="A1412" s="190"/>
      <c r="B1412" s="190"/>
      <c r="C1412" s="190"/>
      <c r="D1412" s="190"/>
      <c r="E1412" s="190"/>
      <c r="F1412" s="190"/>
      <c r="G1412" s="190"/>
      <c r="H1412" s="190"/>
      <c r="I1412" s="190"/>
      <c r="J1412" s="190"/>
      <c r="K1412" s="190"/>
      <c r="L1412" s="190"/>
      <c r="M1412" s="190"/>
      <c r="N1412" s="220"/>
      <c r="O1412" s="220"/>
      <c r="P1412" s="220"/>
      <c r="R1412" s="210"/>
      <c r="S1412" s="210"/>
      <c r="T1412" s="210"/>
      <c r="U1412" s="210"/>
      <c r="X1412" s="210"/>
      <c r="Y1412" s="210"/>
      <c r="Z1412" s="210"/>
      <c r="AA1412" s="210"/>
      <c r="AB1412" s="210"/>
      <c r="AC1412" s="210"/>
      <c r="AD1412" s="210"/>
      <c r="AE1412" s="210"/>
      <c r="AF1412" s="210"/>
      <c r="AG1412" s="210"/>
      <c r="AH1412" s="210"/>
      <c r="AI1412" s="210"/>
      <c r="AJ1412" s="210"/>
      <c r="AK1412" s="210"/>
      <c r="AL1412" s="210"/>
      <c r="AM1412" s="210"/>
      <c r="AN1412" s="210"/>
      <c r="AO1412" s="210"/>
      <c r="AP1412" s="210"/>
      <c r="AQ1412" s="210"/>
    </row>
    <row r="1413">
      <c r="A1413" s="190"/>
      <c r="B1413" s="190"/>
      <c r="C1413" s="190"/>
      <c r="D1413" s="190"/>
      <c r="E1413" s="190"/>
      <c r="F1413" s="190"/>
      <c r="G1413" s="190"/>
      <c r="H1413" s="190"/>
      <c r="I1413" s="190"/>
      <c r="J1413" s="190"/>
      <c r="K1413" s="190"/>
      <c r="L1413" s="190"/>
      <c r="M1413" s="190"/>
      <c r="N1413" s="220"/>
      <c r="O1413" s="220"/>
      <c r="P1413" s="220"/>
      <c r="R1413" s="210"/>
      <c r="S1413" s="210"/>
      <c r="T1413" s="210"/>
      <c r="U1413" s="210"/>
      <c r="X1413" s="210"/>
      <c r="Y1413" s="210"/>
      <c r="Z1413" s="210"/>
      <c r="AA1413" s="210"/>
      <c r="AB1413" s="210"/>
      <c r="AC1413" s="210"/>
      <c r="AD1413" s="210"/>
      <c r="AE1413" s="210"/>
      <c r="AF1413" s="210"/>
      <c r="AG1413" s="210"/>
      <c r="AH1413" s="210"/>
      <c r="AI1413" s="210"/>
      <c r="AJ1413" s="210"/>
      <c r="AK1413" s="210"/>
      <c r="AL1413" s="210"/>
      <c r="AM1413" s="210"/>
      <c r="AN1413" s="210"/>
      <c r="AO1413" s="210"/>
      <c r="AP1413" s="210"/>
      <c r="AQ1413" s="210"/>
    </row>
    <row r="1414">
      <c r="A1414" s="190"/>
      <c r="B1414" s="190"/>
      <c r="C1414" s="190"/>
      <c r="D1414" s="190"/>
      <c r="E1414" s="190"/>
      <c r="F1414" s="190"/>
      <c r="G1414" s="190"/>
      <c r="H1414" s="190"/>
      <c r="I1414" s="190"/>
      <c r="J1414" s="190"/>
      <c r="K1414" s="190"/>
      <c r="L1414" s="190"/>
      <c r="M1414" s="190"/>
      <c r="N1414" s="220"/>
      <c r="O1414" s="220"/>
      <c r="P1414" s="220"/>
      <c r="R1414" s="210"/>
      <c r="S1414" s="210"/>
      <c r="T1414" s="210"/>
      <c r="U1414" s="210"/>
      <c r="X1414" s="210"/>
      <c r="Y1414" s="210"/>
      <c r="Z1414" s="210"/>
      <c r="AA1414" s="210"/>
      <c r="AB1414" s="210"/>
      <c r="AC1414" s="210"/>
      <c r="AD1414" s="210"/>
      <c r="AE1414" s="210"/>
      <c r="AF1414" s="210"/>
      <c r="AG1414" s="210"/>
      <c r="AH1414" s="210"/>
      <c r="AI1414" s="210"/>
      <c r="AJ1414" s="210"/>
      <c r="AK1414" s="210"/>
      <c r="AL1414" s="210"/>
      <c r="AM1414" s="210"/>
      <c r="AN1414" s="210"/>
      <c r="AO1414" s="210"/>
      <c r="AP1414" s="210"/>
      <c r="AQ1414" s="210"/>
    </row>
    <row r="1415">
      <c r="A1415" s="190"/>
      <c r="B1415" s="190"/>
      <c r="C1415" s="190"/>
      <c r="D1415" s="190"/>
      <c r="E1415" s="190"/>
      <c r="F1415" s="190"/>
      <c r="G1415" s="190"/>
      <c r="H1415" s="190"/>
      <c r="I1415" s="190"/>
      <c r="J1415" s="190"/>
      <c r="K1415" s="190"/>
      <c r="L1415" s="190"/>
      <c r="M1415" s="190"/>
      <c r="N1415" s="220"/>
      <c r="O1415" s="220"/>
      <c r="P1415" s="220"/>
      <c r="R1415" s="210"/>
      <c r="S1415" s="210"/>
      <c r="T1415" s="210"/>
      <c r="U1415" s="210"/>
      <c r="X1415" s="210"/>
      <c r="Y1415" s="210"/>
      <c r="Z1415" s="210"/>
      <c r="AA1415" s="210"/>
      <c r="AB1415" s="210"/>
      <c r="AC1415" s="210"/>
      <c r="AD1415" s="210"/>
      <c r="AE1415" s="210"/>
      <c r="AF1415" s="210"/>
      <c r="AG1415" s="210"/>
      <c r="AH1415" s="210"/>
      <c r="AI1415" s="210"/>
      <c r="AJ1415" s="210"/>
      <c r="AK1415" s="210"/>
      <c r="AL1415" s="210"/>
      <c r="AM1415" s="210"/>
      <c r="AN1415" s="210"/>
      <c r="AO1415" s="210"/>
      <c r="AP1415" s="210"/>
      <c r="AQ1415" s="210"/>
    </row>
    <row r="1416">
      <c r="A1416" s="190"/>
      <c r="B1416" s="190"/>
      <c r="C1416" s="190"/>
      <c r="D1416" s="190"/>
      <c r="E1416" s="190"/>
      <c r="F1416" s="190"/>
      <c r="G1416" s="190"/>
      <c r="H1416" s="190"/>
      <c r="I1416" s="190"/>
      <c r="J1416" s="190"/>
      <c r="K1416" s="190"/>
      <c r="L1416" s="190"/>
      <c r="M1416" s="190"/>
      <c r="N1416" s="220"/>
      <c r="O1416" s="220"/>
      <c r="P1416" s="220"/>
      <c r="R1416" s="210"/>
      <c r="S1416" s="210"/>
      <c r="T1416" s="210"/>
      <c r="U1416" s="210"/>
      <c r="X1416" s="210"/>
      <c r="Y1416" s="210"/>
      <c r="Z1416" s="210"/>
      <c r="AA1416" s="210"/>
      <c r="AB1416" s="210"/>
      <c r="AC1416" s="210"/>
      <c r="AD1416" s="210"/>
      <c r="AE1416" s="210"/>
      <c r="AF1416" s="210"/>
      <c r="AG1416" s="210"/>
      <c r="AH1416" s="210"/>
      <c r="AI1416" s="210"/>
      <c r="AJ1416" s="210"/>
      <c r="AK1416" s="210"/>
      <c r="AL1416" s="210"/>
      <c r="AM1416" s="210"/>
      <c r="AN1416" s="210"/>
      <c r="AO1416" s="210"/>
      <c r="AP1416" s="210"/>
      <c r="AQ1416" s="210"/>
    </row>
    <row r="1417">
      <c r="A1417" s="190"/>
      <c r="B1417" s="190"/>
      <c r="C1417" s="190"/>
      <c r="D1417" s="190"/>
      <c r="E1417" s="190"/>
      <c r="F1417" s="190"/>
      <c r="G1417" s="190"/>
      <c r="H1417" s="190"/>
      <c r="I1417" s="190"/>
      <c r="J1417" s="190"/>
      <c r="K1417" s="190"/>
      <c r="L1417" s="190"/>
      <c r="M1417" s="190"/>
      <c r="N1417" s="220"/>
      <c r="O1417" s="220"/>
      <c r="P1417" s="220"/>
      <c r="R1417" s="210"/>
      <c r="S1417" s="210"/>
      <c r="T1417" s="210"/>
      <c r="U1417" s="210"/>
      <c r="X1417" s="210"/>
      <c r="Y1417" s="210"/>
      <c r="Z1417" s="210"/>
      <c r="AA1417" s="210"/>
      <c r="AB1417" s="210"/>
      <c r="AC1417" s="210"/>
      <c r="AD1417" s="210"/>
      <c r="AE1417" s="210"/>
      <c r="AF1417" s="210"/>
      <c r="AG1417" s="210"/>
      <c r="AH1417" s="210"/>
      <c r="AI1417" s="210"/>
      <c r="AJ1417" s="210"/>
      <c r="AK1417" s="210"/>
      <c r="AL1417" s="210"/>
      <c r="AM1417" s="210"/>
      <c r="AN1417" s="210"/>
      <c r="AO1417" s="210"/>
      <c r="AP1417" s="210"/>
      <c r="AQ1417" s="210"/>
    </row>
    <row r="1418">
      <c r="A1418" s="190"/>
      <c r="B1418" s="190"/>
      <c r="C1418" s="190"/>
      <c r="D1418" s="190"/>
      <c r="E1418" s="190"/>
      <c r="F1418" s="190"/>
      <c r="G1418" s="190"/>
      <c r="H1418" s="190"/>
      <c r="I1418" s="190"/>
      <c r="J1418" s="190"/>
      <c r="K1418" s="190"/>
      <c r="L1418" s="190"/>
      <c r="M1418" s="190"/>
      <c r="N1418" s="220"/>
      <c r="O1418" s="220"/>
      <c r="P1418" s="220"/>
      <c r="R1418" s="210"/>
      <c r="S1418" s="210"/>
      <c r="T1418" s="210"/>
      <c r="U1418" s="210"/>
      <c r="X1418" s="210"/>
      <c r="Y1418" s="210"/>
      <c r="Z1418" s="210"/>
      <c r="AA1418" s="210"/>
      <c r="AB1418" s="210"/>
      <c r="AC1418" s="210"/>
      <c r="AD1418" s="210"/>
      <c r="AE1418" s="210"/>
      <c r="AF1418" s="210"/>
      <c r="AG1418" s="210"/>
      <c r="AH1418" s="210"/>
      <c r="AI1418" s="210"/>
      <c r="AJ1418" s="210"/>
      <c r="AK1418" s="210"/>
      <c r="AL1418" s="210"/>
      <c r="AM1418" s="210"/>
      <c r="AN1418" s="210"/>
      <c r="AO1418" s="210"/>
      <c r="AP1418" s="210"/>
      <c r="AQ1418" s="210"/>
    </row>
    <row r="1419">
      <c r="A1419" s="190"/>
      <c r="B1419" s="190"/>
      <c r="C1419" s="190"/>
      <c r="D1419" s="190"/>
      <c r="E1419" s="190"/>
      <c r="F1419" s="190"/>
      <c r="G1419" s="190"/>
      <c r="H1419" s="190"/>
      <c r="I1419" s="190"/>
      <c r="J1419" s="190"/>
      <c r="K1419" s="190"/>
      <c r="L1419" s="190"/>
      <c r="M1419" s="190"/>
      <c r="N1419" s="220"/>
      <c r="O1419" s="220"/>
      <c r="P1419" s="220"/>
      <c r="R1419" s="210"/>
      <c r="S1419" s="210"/>
      <c r="T1419" s="210"/>
      <c r="U1419" s="210"/>
      <c r="X1419" s="210"/>
      <c r="Y1419" s="210"/>
      <c r="Z1419" s="210"/>
      <c r="AA1419" s="210"/>
      <c r="AB1419" s="210"/>
      <c r="AC1419" s="210"/>
      <c r="AD1419" s="210"/>
      <c r="AE1419" s="210"/>
      <c r="AF1419" s="210"/>
      <c r="AG1419" s="210"/>
      <c r="AH1419" s="210"/>
      <c r="AI1419" s="210"/>
      <c r="AJ1419" s="210"/>
      <c r="AK1419" s="210"/>
      <c r="AL1419" s="210"/>
      <c r="AM1419" s="210"/>
      <c r="AN1419" s="210"/>
      <c r="AO1419" s="210"/>
      <c r="AP1419" s="210"/>
      <c r="AQ1419" s="210"/>
    </row>
    <row r="1420">
      <c r="A1420" s="190"/>
      <c r="B1420" s="190"/>
      <c r="C1420" s="190"/>
      <c r="D1420" s="190"/>
      <c r="E1420" s="190"/>
      <c r="F1420" s="190"/>
      <c r="G1420" s="190"/>
      <c r="H1420" s="190"/>
      <c r="I1420" s="190"/>
      <c r="J1420" s="190"/>
      <c r="K1420" s="190"/>
      <c r="L1420" s="190"/>
      <c r="M1420" s="190"/>
      <c r="N1420" s="220"/>
      <c r="O1420" s="220"/>
      <c r="P1420" s="220"/>
      <c r="R1420" s="210"/>
      <c r="S1420" s="210"/>
      <c r="T1420" s="210"/>
      <c r="U1420" s="210"/>
      <c r="X1420" s="210"/>
      <c r="Y1420" s="210"/>
      <c r="Z1420" s="210"/>
      <c r="AA1420" s="210"/>
      <c r="AB1420" s="210"/>
      <c r="AC1420" s="210"/>
      <c r="AD1420" s="210"/>
      <c r="AE1420" s="210"/>
      <c r="AF1420" s="210"/>
      <c r="AG1420" s="210"/>
      <c r="AH1420" s="210"/>
      <c r="AI1420" s="210"/>
      <c r="AJ1420" s="210"/>
      <c r="AK1420" s="210"/>
      <c r="AL1420" s="210"/>
      <c r="AM1420" s="210"/>
      <c r="AN1420" s="210"/>
      <c r="AO1420" s="210"/>
      <c r="AP1420" s="210"/>
      <c r="AQ1420" s="210"/>
    </row>
    <row r="1421">
      <c r="A1421" s="190"/>
      <c r="B1421" s="190"/>
      <c r="C1421" s="190"/>
      <c r="D1421" s="190"/>
      <c r="E1421" s="190"/>
      <c r="F1421" s="190"/>
      <c r="G1421" s="190"/>
      <c r="H1421" s="190"/>
      <c r="I1421" s="190"/>
      <c r="J1421" s="190"/>
      <c r="K1421" s="190"/>
      <c r="L1421" s="190"/>
      <c r="M1421" s="190"/>
      <c r="N1421" s="220"/>
      <c r="O1421" s="220"/>
      <c r="P1421" s="220"/>
      <c r="R1421" s="210"/>
      <c r="S1421" s="210"/>
      <c r="T1421" s="210"/>
      <c r="U1421" s="210"/>
      <c r="X1421" s="210"/>
      <c r="Y1421" s="210"/>
      <c r="Z1421" s="210"/>
      <c r="AA1421" s="210"/>
      <c r="AB1421" s="210"/>
      <c r="AC1421" s="210"/>
      <c r="AD1421" s="210"/>
      <c r="AE1421" s="210"/>
      <c r="AF1421" s="210"/>
      <c r="AG1421" s="210"/>
      <c r="AH1421" s="210"/>
      <c r="AI1421" s="210"/>
      <c r="AJ1421" s="210"/>
      <c r="AK1421" s="210"/>
      <c r="AL1421" s="210"/>
      <c r="AM1421" s="210"/>
      <c r="AN1421" s="210"/>
      <c r="AO1421" s="210"/>
      <c r="AP1421" s="210"/>
      <c r="AQ1421" s="210"/>
    </row>
    <row r="1422">
      <c r="A1422" s="190"/>
      <c r="B1422" s="190"/>
      <c r="C1422" s="190"/>
      <c r="D1422" s="190"/>
      <c r="E1422" s="190"/>
      <c r="F1422" s="190"/>
      <c r="G1422" s="190"/>
      <c r="H1422" s="190"/>
      <c r="I1422" s="190"/>
      <c r="J1422" s="190"/>
      <c r="K1422" s="190"/>
      <c r="L1422" s="190"/>
      <c r="M1422" s="190"/>
      <c r="N1422" s="220"/>
      <c r="O1422" s="220"/>
      <c r="P1422" s="220"/>
      <c r="R1422" s="210"/>
      <c r="S1422" s="210"/>
      <c r="T1422" s="210"/>
      <c r="U1422" s="210"/>
      <c r="X1422" s="210"/>
      <c r="Y1422" s="210"/>
      <c r="Z1422" s="210"/>
      <c r="AA1422" s="210"/>
      <c r="AB1422" s="210"/>
      <c r="AC1422" s="210"/>
      <c r="AD1422" s="210"/>
      <c r="AE1422" s="210"/>
      <c r="AF1422" s="210"/>
      <c r="AG1422" s="210"/>
      <c r="AH1422" s="210"/>
      <c r="AI1422" s="210"/>
      <c r="AJ1422" s="210"/>
      <c r="AK1422" s="210"/>
      <c r="AL1422" s="210"/>
      <c r="AM1422" s="210"/>
      <c r="AN1422" s="210"/>
      <c r="AO1422" s="210"/>
      <c r="AP1422" s="210"/>
      <c r="AQ1422" s="210"/>
    </row>
    <row r="1423">
      <c r="A1423" s="190"/>
      <c r="B1423" s="190"/>
      <c r="C1423" s="190"/>
      <c r="D1423" s="190"/>
      <c r="E1423" s="190"/>
      <c r="F1423" s="190"/>
      <c r="G1423" s="190"/>
      <c r="H1423" s="190"/>
      <c r="I1423" s="190"/>
      <c r="J1423" s="190"/>
      <c r="K1423" s="190"/>
      <c r="L1423" s="190"/>
      <c r="M1423" s="190"/>
      <c r="N1423" s="220"/>
      <c r="O1423" s="220"/>
      <c r="P1423" s="220"/>
      <c r="R1423" s="210"/>
      <c r="S1423" s="210"/>
      <c r="T1423" s="210"/>
      <c r="U1423" s="210"/>
      <c r="X1423" s="210"/>
      <c r="Y1423" s="210"/>
      <c r="Z1423" s="210"/>
      <c r="AA1423" s="210"/>
      <c r="AB1423" s="210"/>
      <c r="AC1423" s="210"/>
      <c r="AD1423" s="210"/>
      <c r="AE1423" s="210"/>
      <c r="AF1423" s="210"/>
      <c r="AG1423" s="210"/>
      <c r="AH1423" s="210"/>
      <c r="AI1423" s="210"/>
      <c r="AJ1423" s="210"/>
      <c r="AK1423" s="210"/>
      <c r="AL1423" s="210"/>
      <c r="AM1423" s="210"/>
      <c r="AN1423" s="210"/>
      <c r="AO1423" s="210"/>
      <c r="AP1423" s="210"/>
      <c r="AQ1423" s="210"/>
    </row>
    <row r="1424">
      <c r="A1424" s="190"/>
      <c r="B1424" s="190"/>
      <c r="C1424" s="190"/>
      <c r="D1424" s="190"/>
      <c r="E1424" s="190"/>
      <c r="F1424" s="190"/>
      <c r="G1424" s="190"/>
      <c r="H1424" s="190"/>
      <c r="I1424" s="190"/>
      <c r="J1424" s="190"/>
      <c r="K1424" s="190"/>
      <c r="L1424" s="190"/>
      <c r="M1424" s="190"/>
      <c r="N1424" s="220"/>
      <c r="O1424" s="220"/>
      <c r="P1424" s="220"/>
      <c r="R1424" s="210"/>
      <c r="S1424" s="210"/>
      <c r="T1424" s="210"/>
      <c r="U1424" s="210"/>
      <c r="X1424" s="210"/>
      <c r="Y1424" s="210"/>
      <c r="Z1424" s="210"/>
      <c r="AA1424" s="210"/>
      <c r="AB1424" s="210"/>
      <c r="AC1424" s="210"/>
      <c r="AD1424" s="210"/>
      <c r="AE1424" s="210"/>
      <c r="AF1424" s="210"/>
      <c r="AG1424" s="210"/>
      <c r="AH1424" s="210"/>
      <c r="AI1424" s="210"/>
      <c r="AJ1424" s="210"/>
      <c r="AK1424" s="210"/>
      <c r="AL1424" s="210"/>
      <c r="AM1424" s="210"/>
      <c r="AN1424" s="210"/>
      <c r="AO1424" s="210"/>
      <c r="AP1424" s="210"/>
      <c r="AQ1424" s="210"/>
    </row>
    <row r="1425">
      <c r="A1425" s="190"/>
      <c r="B1425" s="190"/>
      <c r="C1425" s="190"/>
      <c r="D1425" s="190"/>
      <c r="E1425" s="190"/>
      <c r="F1425" s="190"/>
      <c r="G1425" s="190"/>
      <c r="H1425" s="190"/>
      <c r="I1425" s="190"/>
      <c r="J1425" s="190"/>
      <c r="K1425" s="190"/>
      <c r="L1425" s="190"/>
      <c r="M1425" s="190"/>
      <c r="N1425" s="220"/>
      <c r="O1425" s="220"/>
      <c r="P1425" s="220"/>
      <c r="R1425" s="210"/>
      <c r="S1425" s="210"/>
      <c r="T1425" s="210"/>
      <c r="U1425" s="210"/>
      <c r="X1425" s="210"/>
      <c r="Y1425" s="210"/>
      <c r="Z1425" s="210"/>
      <c r="AA1425" s="210"/>
      <c r="AB1425" s="210"/>
      <c r="AC1425" s="210"/>
      <c r="AD1425" s="210"/>
      <c r="AE1425" s="210"/>
      <c r="AF1425" s="210"/>
      <c r="AG1425" s="210"/>
      <c r="AH1425" s="210"/>
      <c r="AI1425" s="210"/>
      <c r="AJ1425" s="210"/>
      <c r="AK1425" s="210"/>
      <c r="AL1425" s="210"/>
      <c r="AM1425" s="210"/>
      <c r="AN1425" s="210"/>
      <c r="AO1425" s="210"/>
      <c r="AP1425" s="210"/>
      <c r="AQ1425" s="210"/>
    </row>
    <row r="1426">
      <c r="A1426" s="190"/>
      <c r="B1426" s="190"/>
      <c r="C1426" s="190"/>
      <c r="D1426" s="190"/>
      <c r="E1426" s="190"/>
      <c r="F1426" s="190"/>
      <c r="G1426" s="190"/>
      <c r="H1426" s="190"/>
      <c r="I1426" s="190"/>
      <c r="J1426" s="190"/>
      <c r="K1426" s="190"/>
      <c r="L1426" s="190"/>
      <c r="M1426" s="190"/>
      <c r="N1426" s="220"/>
      <c r="O1426" s="220"/>
      <c r="P1426" s="220"/>
      <c r="R1426" s="210"/>
      <c r="S1426" s="210"/>
      <c r="T1426" s="210"/>
      <c r="U1426" s="210"/>
      <c r="X1426" s="210"/>
      <c r="Y1426" s="210"/>
      <c r="Z1426" s="210"/>
      <c r="AA1426" s="210"/>
      <c r="AB1426" s="210"/>
      <c r="AC1426" s="210"/>
      <c r="AD1426" s="210"/>
      <c r="AE1426" s="210"/>
      <c r="AF1426" s="210"/>
      <c r="AG1426" s="210"/>
      <c r="AH1426" s="210"/>
      <c r="AI1426" s="210"/>
      <c r="AJ1426" s="210"/>
      <c r="AK1426" s="210"/>
      <c r="AL1426" s="210"/>
      <c r="AM1426" s="210"/>
      <c r="AN1426" s="210"/>
      <c r="AO1426" s="210"/>
      <c r="AP1426" s="210"/>
      <c r="AQ1426" s="210"/>
    </row>
    <row r="1427">
      <c r="A1427" s="190"/>
      <c r="B1427" s="190"/>
      <c r="C1427" s="190"/>
      <c r="D1427" s="190"/>
      <c r="E1427" s="190"/>
      <c r="F1427" s="190"/>
      <c r="G1427" s="190"/>
      <c r="H1427" s="190"/>
      <c r="I1427" s="190"/>
      <c r="J1427" s="190"/>
      <c r="K1427" s="190"/>
      <c r="L1427" s="190"/>
      <c r="M1427" s="190"/>
      <c r="N1427" s="220"/>
      <c r="O1427" s="220"/>
      <c r="P1427" s="220"/>
      <c r="R1427" s="210"/>
      <c r="S1427" s="210"/>
      <c r="T1427" s="210"/>
      <c r="U1427" s="210"/>
      <c r="X1427" s="210"/>
      <c r="Y1427" s="210"/>
      <c r="Z1427" s="210"/>
      <c r="AA1427" s="210"/>
      <c r="AB1427" s="210"/>
      <c r="AC1427" s="210"/>
      <c r="AD1427" s="210"/>
      <c r="AE1427" s="210"/>
      <c r="AF1427" s="210"/>
      <c r="AG1427" s="210"/>
      <c r="AH1427" s="210"/>
      <c r="AI1427" s="210"/>
      <c r="AJ1427" s="210"/>
      <c r="AK1427" s="210"/>
      <c r="AL1427" s="210"/>
      <c r="AM1427" s="210"/>
      <c r="AN1427" s="210"/>
      <c r="AO1427" s="210"/>
      <c r="AP1427" s="210"/>
      <c r="AQ1427" s="210"/>
    </row>
    <row r="1428">
      <c r="A1428" s="190"/>
      <c r="B1428" s="190"/>
      <c r="C1428" s="190"/>
      <c r="D1428" s="190"/>
      <c r="E1428" s="190"/>
      <c r="F1428" s="190"/>
      <c r="G1428" s="190"/>
      <c r="H1428" s="190"/>
      <c r="I1428" s="190"/>
      <c r="J1428" s="190"/>
      <c r="K1428" s="190"/>
      <c r="L1428" s="190"/>
      <c r="M1428" s="190"/>
      <c r="N1428" s="220"/>
      <c r="O1428" s="220"/>
      <c r="P1428" s="220"/>
      <c r="R1428" s="210"/>
      <c r="S1428" s="210"/>
      <c r="T1428" s="210"/>
      <c r="U1428" s="210"/>
      <c r="X1428" s="210"/>
      <c r="Y1428" s="210"/>
      <c r="Z1428" s="210"/>
      <c r="AA1428" s="210"/>
      <c r="AB1428" s="210"/>
      <c r="AC1428" s="210"/>
      <c r="AD1428" s="210"/>
      <c r="AE1428" s="210"/>
      <c r="AF1428" s="210"/>
      <c r="AG1428" s="210"/>
      <c r="AH1428" s="210"/>
      <c r="AI1428" s="210"/>
      <c r="AJ1428" s="210"/>
      <c r="AK1428" s="210"/>
      <c r="AL1428" s="210"/>
      <c r="AM1428" s="210"/>
      <c r="AN1428" s="210"/>
      <c r="AO1428" s="210"/>
      <c r="AP1428" s="210"/>
      <c r="AQ1428" s="210"/>
    </row>
    <row r="1429">
      <c r="A1429" s="190"/>
      <c r="B1429" s="190"/>
      <c r="C1429" s="190"/>
      <c r="D1429" s="190"/>
      <c r="E1429" s="190"/>
      <c r="F1429" s="190"/>
      <c r="G1429" s="190"/>
      <c r="H1429" s="190"/>
      <c r="I1429" s="190"/>
      <c r="J1429" s="190"/>
      <c r="K1429" s="190"/>
      <c r="L1429" s="190"/>
      <c r="M1429" s="190"/>
      <c r="N1429" s="220"/>
      <c r="O1429" s="220"/>
      <c r="P1429" s="220"/>
      <c r="R1429" s="210"/>
      <c r="S1429" s="210"/>
      <c r="T1429" s="210"/>
      <c r="U1429" s="210"/>
      <c r="X1429" s="210"/>
      <c r="Y1429" s="210"/>
      <c r="Z1429" s="210"/>
      <c r="AA1429" s="210"/>
      <c r="AB1429" s="210"/>
      <c r="AC1429" s="210"/>
      <c r="AD1429" s="210"/>
      <c r="AE1429" s="210"/>
      <c r="AF1429" s="210"/>
      <c r="AG1429" s="210"/>
      <c r="AH1429" s="210"/>
      <c r="AI1429" s="210"/>
      <c r="AJ1429" s="210"/>
      <c r="AK1429" s="210"/>
      <c r="AL1429" s="210"/>
      <c r="AM1429" s="210"/>
      <c r="AN1429" s="210"/>
      <c r="AO1429" s="210"/>
      <c r="AP1429" s="210"/>
      <c r="AQ1429" s="210"/>
    </row>
    <row r="1430">
      <c r="A1430" s="190"/>
      <c r="B1430" s="190"/>
      <c r="C1430" s="190"/>
      <c r="D1430" s="190"/>
      <c r="E1430" s="190"/>
      <c r="F1430" s="190"/>
      <c r="G1430" s="190"/>
      <c r="H1430" s="190"/>
      <c r="I1430" s="190"/>
      <c r="J1430" s="190"/>
      <c r="K1430" s="190"/>
      <c r="L1430" s="190"/>
      <c r="M1430" s="190"/>
      <c r="N1430" s="220"/>
      <c r="O1430" s="220"/>
      <c r="P1430" s="220"/>
      <c r="R1430" s="210"/>
      <c r="S1430" s="210"/>
      <c r="T1430" s="210"/>
      <c r="U1430" s="210"/>
      <c r="X1430" s="210"/>
      <c r="Y1430" s="210"/>
      <c r="Z1430" s="210"/>
      <c r="AA1430" s="210"/>
      <c r="AB1430" s="210"/>
      <c r="AC1430" s="210"/>
      <c r="AD1430" s="210"/>
      <c r="AE1430" s="210"/>
      <c r="AF1430" s="210"/>
      <c r="AG1430" s="210"/>
      <c r="AH1430" s="210"/>
      <c r="AI1430" s="210"/>
      <c r="AJ1430" s="210"/>
      <c r="AK1430" s="210"/>
      <c r="AL1430" s="210"/>
      <c r="AM1430" s="210"/>
      <c r="AN1430" s="210"/>
      <c r="AO1430" s="210"/>
      <c r="AP1430" s="210"/>
      <c r="AQ1430" s="210"/>
    </row>
    <row r="1431">
      <c r="A1431" s="190"/>
      <c r="B1431" s="190"/>
      <c r="C1431" s="190"/>
      <c r="D1431" s="190"/>
      <c r="E1431" s="190"/>
      <c r="F1431" s="190"/>
      <c r="G1431" s="190"/>
      <c r="H1431" s="190"/>
      <c r="I1431" s="190"/>
      <c r="J1431" s="190"/>
      <c r="K1431" s="190"/>
      <c r="L1431" s="190"/>
      <c r="M1431" s="190"/>
      <c r="N1431" s="220"/>
      <c r="O1431" s="220"/>
      <c r="P1431" s="220"/>
      <c r="R1431" s="210"/>
      <c r="S1431" s="210"/>
      <c r="T1431" s="210"/>
      <c r="U1431" s="210"/>
      <c r="X1431" s="210"/>
      <c r="Y1431" s="210"/>
      <c r="Z1431" s="210"/>
      <c r="AA1431" s="210"/>
      <c r="AB1431" s="210"/>
      <c r="AC1431" s="210"/>
      <c r="AD1431" s="210"/>
      <c r="AE1431" s="210"/>
      <c r="AF1431" s="210"/>
      <c r="AG1431" s="210"/>
      <c r="AH1431" s="210"/>
      <c r="AI1431" s="210"/>
      <c r="AJ1431" s="210"/>
      <c r="AK1431" s="210"/>
      <c r="AL1431" s="210"/>
      <c r="AM1431" s="210"/>
      <c r="AN1431" s="210"/>
      <c r="AO1431" s="210"/>
      <c r="AP1431" s="210"/>
      <c r="AQ1431" s="210"/>
    </row>
    <row r="1432">
      <c r="A1432" s="190"/>
      <c r="B1432" s="190"/>
      <c r="C1432" s="190"/>
      <c r="D1432" s="190"/>
      <c r="E1432" s="190"/>
      <c r="F1432" s="190"/>
      <c r="G1432" s="190"/>
      <c r="H1432" s="190"/>
      <c r="I1432" s="190"/>
      <c r="J1432" s="190"/>
      <c r="K1432" s="190"/>
      <c r="L1432" s="190"/>
      <c r="M1432" s="190"/>
      <c r="N1432" s="220"/>
      <c r="O1432" s="220"/>
      <c r="P1432" s="220"/>
      <c r="R1432" s="210"/>
      <c r="S1432" s="210"/>
      <c r="T1432" s="210"/>
      <c r="U1432" s="210"/>
      <c r="X1432" s="210"/>
      <c r="Y1432" s="210"/>
      <c r="Z1432" s="210"/>
      <c r="AA1432" s="210"/>
      <c r="AB1432" s="210"/>
      <c r="AC1432" s="210"/>
      <c r="AD1432" s="210"/>
      <c r="AE1432" s="210"/>
      <c r="AF1432" s="210"/>
      <c r="AG1432" s="210"/>
      <c r="AH1432" s="210"/>
      <c r="AI1432" s="210"/>
      <c r="AJ1432" s="210"/>
      <c r="AK1432" s="210"/>
      <c r="AL1432" s="210"/>
      <c r="AM1432" s="210"/>
      <c r="AN1432" s="210"/>
      <c r="AO1432" s="210"/>
      <c r="AP1432" s="210"/>
      <c r="AQ1432" s="210"/>
    </row>
    <row r="1433">
      <c r="A1433" s="190"/>
      <c r="B1433" s="190"/>
      <c r="C1433" s="190"/>
      <c r="D1433" s="190"/>
      <c r="E1433" s="190"/>
      <c r="F1433" s="190"/>
      <c r="G1433" s="190"/>
      <c r="H1433" s="190"/>
      <c r="I1433" s="190"/>
      <c r="J1433" s="190"/>
      <c r="K1433" s="190"/>
      <c r="L1433" s="190"/>
      <c r="M1433" s="190"/>
      <c r="N1433" s="220"/>
      <c r="O1433" s="220"/>
      <c r="P1433" s="220"/>
      <c r="R1433" s="210"/>
      <c r="S1433" s="210"/>
      <c r="T1433" s="210"/>
      <c r="U1433" s="210"/>
      <c r="X1433" s="210"/>
      <c r="Y1433" s="210"/>
      <c r="Z1433" s="210"/>
      <c r="AA1433" s="210"/>
      <c r="AB1433" s="210"/>
      <c r="AC1433" s="210"/>
      <c r="AD1433" s="210"/>
      <c r="AE1433" s="210"/>
      <c r="AF1433" s="210"/>
      <c r="AG1433" s="210"/>
      <c r="AH1433" s="210"/>
      <c r="AI1433" s="210"/>
      <c r="AJ1433" s="210"/>
      <c r="AK1433" s="210"/>
      <c r="AL1433" s="210"/>
      <c r="AM1433" s="210"/>
      <c r="AN1433" s="210"/>
      <c r="AO1433" s="210"/>
      <c r="AP1433" s="210"/>
      <c r="AQ1433" s="210"/>
    </row>
    <row r="1434">
      <c r="A1434" s="190"/>
      <c r="B1434" s="190"/>
      <c r="C1434" s="190"/>
      <c r="D1434" s="190"/>
      <c r="E1434" s="190"/>
      <c r="F1434" s="190"/>
      <c r="G1434" s="190"/>
      <c r="H1434" s="190"/>
      <c r="I1434" s="190"/>
      <c r="J1434" s="190"/>
      <c r="K1434" s="190"/>
      <c r="L1434" s="190"/>
      <c r="M1434" s="190"/>
      <c r="N1434" s="220"/>
      <c r="O1434" s="220"/>
      <c r="P1434" s="220"/>
      <c r="R1434" s="210"/>
      <c r="S1434" s="210"/>
      <c r="T1434" s="210"/>
      <c r="U1434" s="210"/>
      <c r="X1434" s="210"/>
      <c r="Y1434" s="210"/>
      <c r="Z1434" s="210"/>
      <c r="AA1434" s="210"/>
      <c r="AB1434" s="210"/>
      <c r="AC1434" s="210"/>
      <c r="AD1434" s="210"/>
      <c r="AE1434" s="210"/>
      <c r="AF1434" s="210"/>
      <c r="AG1434" s="210"/>
      <c r="AH1434" s="210"/>
      <c r="AI1434" s="210"/>
      <c r="AJ1434" s="210"/>
      <c r="AK1434" s="210"/>
      <c r="AL1434" s="210"/>
      <c r="AM1434" s="210"/>
      <c r="AN1434" s="210"/>
      <c r="AO1434" s="210"/>
      <c r="AP1434" s="210"/>
      <c r="AQ1434" s="210"/>
    </row>
    <row r="1435">
      <c r="A1435" s="190"/>
      <c r="B1435" s="190"/>
      <c r="C1435" s="190"/>
      <c r="D1435" s="190"/>
      <c r="E1435" s="190"/>
      <c r="F1435" s="190"/>
      <c r="G1435" s="190"/>
      <c r="H1435" s="190"/>
      <c r="I1435" s="190"/>
      <c r="J1435" s="190"/>
      <c r="K1435" s="190"/>
      <c r="L1435" s="190"/>
      <c r="M1435" s="190"/>
      <c r="N1435" s="220"/>
      <c r="O1435" s="220"/>
      <c r="P1435" s="220"/>
      <c r="R1435" s="210"/>
      <c r="S1435" s="210"/>
      <c r="T1435" s="210"/>
      <c r="U1435" s="210"/>
      <c r="X1435" s="210"/>
      <c r="Y1435" s="210"/>
      <c r="Z1435" s="210"/>
      <c r="AA1435" s="210"/>
      <c r="AB1435" s="210"/>
      <c r="AC1435" s="210"/>
      <c r="AD1435" s="210"/>
      <c r="AE1435" s="210"/>
      <c r="AF1435" s="210"/>
      <c r="AG1435" s="210"/>
      <c r="AH1435" s="210"/>
      <c r="AI1435" s="210"/>
      <c r="AJ1435" s="210"/>
      <c r="AK1435" s="210"/>
      <c r="AL1435" s="210"/>
      <c r="AM1435" s="210"/>
      <c r="AN1435" s="210"/>
      <c r="AO1435" s="210"/>
      <c r="AP1435" s="210"/>
      <c r="AQ1435" s="210"/>
    </row>
    <row r="1436">
      <c r="A1436" s="190"/>
      <c r="B1436" s="190"/>
      <c r="C1436" s="190"/>
      <c r="D1436" s="190"/>
      <c r="E1436" s="190"/>
      <c r="F1436" s="190"/>
      <c r="G1436" s="190"/>
      <c r="H1436" s="190"/>
      <c r="I1436" s="190"/>
      <c r="J1436" s="190"/>
      <c r="K1436" s="190"/>
      <c r="L1436" s="190"/>
      <c r="M1436" s="190"/>
      <c r="N1436" s="220"/>
      <c r="O1436" s="220"/>
      <c r="P1436" s="220"/>
      <c r="R1436" s="210"/>
      <c r="S1436" s="210"/>
      <c r="T1436" s="210"/>
      <c r="U1436" s="210"/>
      <c r="X1436" s="210"/>
      <c r="Y1436" s="210"/>
      <c r="Z1436" s="210"/>
      <c r="AA1436" s="210"/>
      <c r="AB1436" s="210"/>
      <c r="AC1436" s="210"/>
      <c r="AD1436" s="210"/>
      <c r="AE1436" s="210"/>
      <c r="AF1436" s="210"/>
      <c r="AG1436" s="210"/>
      <c r="AH1436" s="210"/>
      <c r="AI1436" s="210"/>
      <c r="AJ1436" s="210"/>
      <c r="AK1436" s="210"/>
      <c r="AL1436" s="210"/>
      <c r="AM1436" s="210"/>
      <c r="AN1436" s="210"/>
      <c r="AO1436" s="210"/>
      <c r="AP1436" s="210"/>
      <c r="AQ1436" s="210"/>
    </row>
    <row r="1437">
      <c r="A1437" s="190"/>
      <c r="B1437" s="190"/>
      <c r="C1437" s="190"/>
      <c r="D1437" s="190"/>
      <c r="E1437" s="190"/>
      <c r="F1437" s="190"/>
      <c r="G1437" s="190"/>
      <c r="H1437" s="190"/>
      <c r="I1437" s="190"/>
      <c r="J1437" s="190"/>
      <c r="K1437" s="190"/>
      <c r="L1437" s="190"/>
      <c r="M1437" s="190"/>
      <c r="N1437" s="220"/>
      <c r="O1437" s="220"/>
      <c r="P1437" s="220"/>
      <c r="R1437" s="210"/>
      <c r="S1437" s="210"/>
      <c r="T1437" s="210"/>
      <c r="U1437" s="210"/>
      <c r="X1437" s="210"/>
      <c r="Y1437" s="210"/>
      <c r="Z1437" s="210"/>
      <c r="AA1437" s="210"/>
      <c r="AB1437" s="210"/>
      <c r="AC1437" s="210"/>
      <c r="AD1437" s="210"/>
      <c r="AE1437" s="210"/>
      <c r="AF1437" s="210"/>
      <c r="AG1437" s="210"/>
      <c r="AH1437" s="210"/>
      <c r="AI1437" s="210"/>
      <c r="AJ1437" s="210"/>
      <c r="AK1437" s="210"/>
      <c r="AL1437" s="210"/>
      <c r="AM1437" s="210"/>
      <c r="AN1437" s="210"/>
      <c r="AO1437" s="210"/>
      <c r="AP1437" s="210"/>
      <c r="AQ1437" s="210"/>
    </row>
    <row r="1438">
      <c r="A1438" s="190"/>
      <c r="B1438" s="190"/>
      <c r="C1438" s="190"/>
      <c r="D1438" s="190"/>
      <c r="E1438" s="190"/>
      <c r="F1438" s="190"/>
      <c r="G1438" s="190"/>
      <c r="H1438" s="190"/>
      <c r="I1438" s="190"/>
      <c r="J1438" s="190"/>
      <c r="K1438" s="190"/>
      <c r="L1438" s="190"/>
      <c r="M1438" s="190"/>
      <c r="N1438" s="220"/>
      <c r="O1438" s="220"/>
      <c r="P1438" s="220"/>
      <c r="R1438" s="210"/>
      <c r="S1438" s="210"/>
      <c r="T1438" s="210"/>
      <c r="U1438" s="210"/>
      <c r="X1438" s="210"/>
      <c r="Y1438" s="210"/>
      <c r="Z1438" s="210"/>
      <c r="AA1438" s="210"/>
      <c r="AB1438" s="210"/>
      <c r="AC1438" s="210"/>
      <c r="AD1438" s="210"/>
      <c r="AE1438" s="210"/>
      <c r="AF1438" s="210"/>
      <c r="AG1438" s="210"/>
      <c r="AH1438" s="210"/>
      <c r="AI1438" s="210"/>
      <c r="AJ1438" s="210"/>
      <c r="AK1438" s="210"/>
      <c r="AL1438" s="210"/>
      <c r="AM1438" s="210"/>
      <c r="AN1438" s="210"/>
      <c r="AO1438" s="210"/>
      <c r="AP1438" s="210"/>
      <c r="AQ1438" s="210"/>
    </row>
    <row r="1439">
      <c r="A1439" s="190"/>
      <c r="B1439" s="190"/>
      <c r="C1439" s="190"/>
      <c r="D1439" s="190"/>
      <c r="E1439" s="190"/>
      <c r="F1439" s="190"/>
      <c r="G1439" s="190"/>
      <c r="H1439" s="190"/>
      <c r="I1439" s="190"/>
      <c r="J1439" s="190"/>
      <c r="K1439" s="190"/>
      <c r="L1439" s="190"/>
      <c r="M1439" s="190"/>
      <c r="N1439" s="220"/>
      <c r="O1439" s="220"/>
      <c r="P1439" s="220"/>
      <c r="R1439" s="210"/>
      <c r="S1439" s="210"/>
      <c r="T1439" s="210"/>
      <c r="U1439" s="210"/>
      <c r="X1439" s="210"/>
      <c r="Y1439" s="210"/>
      <c r="Z1439" s="210"/>
      <c r="AA1439" s="210"/>
      <c r="AB1439" s="210"/>
      <c r="AC1439" s="210"/>
      <c r="AD1439" s="210"/>
      <c r="AE1439" s="210"/>
      <c r="AF1439" s="210"/>
      <c r="AG1439" s="210"/>
      <c r="AH1439" s="210"/>
      <c r="AI1439" s="210"/>
      <c r="AJ1439" s="210"/>
      <c r="AK1439" s="210"/>
      <c r="AL1439" s="210"/>
      <c r="AM1439" s="210"/>
      <c r="AN1439" s="210"/>
      <c r="AO1439" s="210"/>
      <c r="AP1439" s="210"/>
      <c r="AQ1439" s="210"/>
    </row>
    <row r="1440">
      <c r="A1440" s="190"/>
      <c r="B1440" s="190"/>
      <c r="C1440" s="190"/>
      <c r="D1440" s="190"/>
      <c r="E1440" s="190"/>
      <c r="F1440" s="190"/>
      <c r="G1440" s="190"/>
      <c r="H1440" s="190"/>
      <c r="I1440" s="190"/>
      <c r="J1440" s="190"/>
      <c r="K1440" s="190"/>
      <c r="L1440" s="190"/>
      <c r="M1440" s="190"/>
      <c r="N1440" s="220"/>
      <c r="O1440" s="220"/>
      <c r="P1440" s="220"/>
      <c r="R1440" s="210"/>
      <c r="S1440" s="210"/>
      <c r="T1440" s="210"/>
      <c r="U1440" s="210"/>
      <c r="X1440" s="210"/>
      <c r="Y1440" s="210"/>
      <c r="Z1440" s="210"/>
      <c r="AA1440" s="210"/>
      <c r="AB1440" s="210"/>
      <c r="AC1440" s="210"/>
      <c r="AD1440" s="210"/>
      <c r="AE1440" s="210"/>
      <c r="AF1440" s="210"/>
      <c r="AG1440" s="210"/>
      <c r="AH1440" s="210"/>
      <c r="AI1440" s="210"/>
      <c r="AJ1440" s="210"/>
      <c r="AK1440" s="210"/>
      <c r="AL1440" s="210"/>
      <c r="AM1440" s="210"/>
      <c r="AN1440" s="210"/>
      <c r="AO1440" s="210"/>
      <c r="AP1440" s="210"/>
      <c r="AQ1440" s="210"/>
    </row>
    <row r="1441">
      <c r="A1441" s="190"/>
      <c r="B1441" s="190"/>
      <c r="C1441" s="190"/>
      <c r="D1441" s="190"/>
      <c r="E1441" s="190"/>
      <c r="F1441" s="190"/>
      <c r="G1441" s="190"/>
      <c r="H1441" s="190"/>
      <c r="I1441" s="190"/>
      <c r="J1441" s="190"/>
      <c r="K1441" s="190"/>
      <c r="L1441" s="190"/>
      <c r="M1441" s="190"/>
      <c r="N1441" s="220"/>
      <c r="O1441" s="220"/>
      <c r="P1441" s="220"/>
      <c r="R1441" s="210"/>
      <c r="S1441" s="210"/>
      <c r="T1441" s="210"/>
      <c r="U1441" s="210"/>
      <c r="X1441" s="210"/>
      <c r="Y1441" s="210"/>
      <c r="Z1441" s="210"/>
      <c r="AA1441" s="210"/>
      <c r="AB1441" s="210"/>
      <c r="AC1441" s="210"/>
      <c r="AD1441" s="210"/>
      <c r="AE1441" s="210"/>
      <c r="AF1441" s="210"/>
      <c r="AG1441" s="210"/>
      <c r="AH1441" s="210"/>
      <c r="AI1441" s="210"/>
      <c r="AJ1441" s="210"/>
      <c r="AK1441" s="210"/>
      <c r="AL1441" s="210"/>
      <c r="AM1441" s="210"/>
      <c r="AN1441" s="210"/>
      <c r="AO1441" s="210"/>
      <c r="AP1441" s="210"/>
      <c r="AQ1441" s="210"/>
    </row>
    <row r="1442">
      <c r="A1442" s="190"/>
      <c r="B1442" s="190"/>
      <c r="C1442" s="190"/>
      <c r="D1442" s="190"/>
      <c r="E1442" s="190"/>
      <c r="F1442" s="190"/>
      <c r="G1442" s="190"/>
      <c r="H1442" s="190"/>
      <c r="I1442" s="190"/>
      <c r="J1442" s="190"/>
      <c r="K1442" s="190"/>
      <c r="L1442" s="190"/>
      <c r="M1442" s="190"/>
      <c r="N1442" s="220"/>
      <c r="O1442" s="220"/>
      <c r="P1442" s="220"/>
      <c r="R1442" s="210"/>
      <c r="S1442" s="210"/>
      <c r="T1442" s="210"/>
      <c r="U1442" s="210"/>
      <c r="X1442" s="210"/>
      <c r="Y1442" s="210"/>
      <c r="Z1442" s="210"/>
      <c r="AA1442" s="210"/>
      <c r="AB1442" s="210"/>
      <c r="AC1442" s="210"/>
      <c r="AD1442" s="210"/>
      <c r="AE1442" s="210"/>
      <c r="AF1442" s="210"/>
      <c r="AG1442" s="210"/>
      <c r="AH1442" s="210"/>
      <c r="AI1442" s="210"/>
      <c r="AJ1442" s="210"/>
      <c r="AK1442" s="210"/>
      <c r="AL1442" s="210"/>
      <c r="AM1442" s="210"/>
      <c r="AN1442" s="210"/>
      <c r="AO1442" s="210"/>
      <c r="AP1442" s="210"/>
      <c r="AQ1442" s="210"/>
    </row>
    <row r="1443">
      <c r="A1443" s="190"/>
      <c r="B1443" s="190"/>
      <c r="C1443" s="190"/>
      <c r="D1443" s="190"/>
      <c r="E1443" s="190"/>
      <c r="F1443" s="190"/>
      <c r="G1443" s="190"/>
      <c r="H1443" s="190"/>
      <c r="I1443" s="190"/>
      <c r="J1443" s="190"/>
      <c r="K1443" s="190"/>
      <c r="L1443" s="190"/>
      <c r="M1443" s="190"/>
      <c r="N1443" s="220"/>
      <c r="O1443" s="220"/>
      <c r="P1443" s="220"/>
      <c r="R1443" s="210"/>
      <c r="S1443" s="210"/>
      <c r="T1443" s="210"/>
      <c r="U1443" s="210"/>
      <c r="X1443" s="210"/>
      <c r="Y1443" s="210"/>
      <c r="Z1443" s="210"/>
      <c r="AA1443" s="210"/>
      <c r="AB1443" s="210"/>
      <c r="AC1443" s="210"/>
      <c r="AD1443" s="210"/>
      <c r="AE1443" s="210"/>
      <c r="AF1443" s="210"/>
      <c r="AG1443" s="210"/>
      <c r="AH1443" s="210"/>
      <c r="AI1443" s="210"/>
      <c r="AJ1443" s="210"/>
      <c r="AK1443" s="210"/>
      <c r="AL1443" s="210"/>
      <c r="AM1443" s="210"/>
      <c r="AN1443" s="210"/>
      <c r="AO1443" s="210"/>
      <c r="AP1443" s="210"/>
      <c r="AQ1443" s="210"/>
    </row>
    <row r="1444">
      <c r="A1444" s="190"/>
      <c r="B1444" s="190"/>
      <c r="C1444" s="190"/>
      <c r="D1444" s="190"/>
      <c r="E1444" s="190"/>
      <c r="F1444" s="190"/>
      <c r="G1444" s="190"/>
      <c r="H1444" s="190"/>
      <c r="I1444" s="190"/>
      <c r="J1444" s="190"/>
      <c r="K1444" s="190"/>
      <c r="L1444" s="190"/>
      <c r="M1444" s="190"/>
      <c r="N1444" s="220"/>
      <c r="O1444" s="220"/>
      <c r="P1444" s="220"/>
      <c r="R1444" s="210"/>
      <c r="S1444" s="210"/>
      <c r="T1444" s="210"/>
      <c r="U1444" s="210"/>
      <c r="X1444" s="210"/>
      <c r="Y1444" s="210"/>
      <c r="Z1444" s="210"/>
      <c r="AA1444" s="210"/>
      <c r="AB1444" s="210"/>
      <c r="AC1444" s="210"/>
      <c r="AD1444" s="210"/>
      <c r="AE1444" s="210"/>
      <c r="AF1444" s="210"/>
      <c r="AG1444" s="210"/>
      <c r="AH1444" s="210"/>
      <c r="AI1444" s="210"/>
      <c r="AJ1444" s="210"/>
      <c r="AK1444" s="210"/>
      <c r="AL1444" s="210"/>
      <c r="AM1444" s="210"/>
      <c r="AN1444" s="210"/>
      <c r="AO1444" s="210"/>
      <c r="AP1444" s="210"/>
      <c r="AQ1444" s="210"/>
    </row>
    <row r="1445">
      <c r="A1445" s="190"/>
      <c r="B1445" s="190"/>
      <c r="C1445" s="190"/>
      <c r="D1445" s="190"/>
      <c r="E1445" s="190"/>
      <c r="F1445" s="190"/>
      <c r="G1445" s="190"/>
      <c r="H1445" s="190"/>
      <c r="I1445" s="190"/>
      <c r="J1445" s="190"/>
      <c r="K1445" s="190"/>
      <c r="L1445" s="190"/>
      <c r="M1445" s="190"/>
      <c r="N1445" s="220"/>
      <c r="O1445" s="220"/>
      <c r="P1445" s="220"/>
      <c r="R1445" s="210"/>
      <c r="S1445" s="210"/>
      <c r="T1445" s="210"/>
      <c r="U1445" s="210"/>
      <c r="X1445" s="210"/>
      <c r="Y1445" s="210"/>
      <c r="Z1445" s="210"/>
      <c r="AA1445" s="210"/>
      <c r="AB1445" s="210"/>
      <c r="AC1445" s="210"/>
      <c r="AD1445" s="210"/>
      <c r="AE1445" s="210"/>
      <c r="AF1445" s="210"/>
      <c r="AG1445" s="210"/>
      <c r="AH1445" s="210"/>
      <c r="AI1445" s="210"/>
      <c r="AJ1445" s="210"/>
      <c r="AK1445" s="210"/>
      <c r="AL1445" s="210"/>
      <c r="AM1445" s="210"/>
      <c r="AN1445" s="210"/>
      <c r="AO1445" s="210"/>
      <c r="AP1445" s="210"/>
      <c r="AQ1445" s="210"/>
    </row>
    <row r="1446">
      <c r="A1446" s="190"/>
      <c r="B1446" s="190"/>
      <c r="C1446" s="190"/>
      <c r="D1446" s="190"/>
      <c r="E1446" s="190"/>
      <c r="F1446" s="190"/>
      <c r="G1446" s="190"/>
      <c r="H1446" s="190"/>
      <c r="I1446" s="190"/>
      <c r="J1446" s="190"/>
      <c r="K1446" s="190"/>
      <c r="L1446" s="190"/>
      <c r="M1446" s="190"/>
      <c r="N1446" s="220"/>
      <c r="O1446" s="220"/>
      <c r="P1446" s="220"/>
      <c r="R1446" s="210"/>
      <c r="S1446" s="210"/>
      <c r="T1446" s="210"/>
      <c r="U1446" s="210"/>
      <c r="X1446" s="210"/>
      <c r="Y1446" s="210"/>
      <c r="Z1446" s="210"/>
      <c r="AA1446" s="210"/>
      <c r="AB1446" s="210"/>
      <c r="AC1446" s="210"/>
      <c r="AD1446" s="210"/>
      <c r="AE1446" s="210"/>
      <c r="AF1446" s="210"/>
      <c r="AG1446" s="210"/>
      <c r="AH1446" s="210"/>
      <c r="AI1446" s="210"/>
      <c r="AJ1446" s="210"/>
      <c r="AK1446" s="210"/>
      <c r="AL1446" s="210"/>
      <c r="AM1446" s="210"/>
      <c r="AN1446" s="210"/>
      <c r="AO1446" s="210"/>
      <c r="AP1446" s="210"/>
      <c r="AQ1446" s="210"/>
    </row>
    <row r="1447">
      <c r="A1447" s="190"/>
      <c r="B1447" s="190"/>
      <c r="C1447" s="190"/>
      <c r="D1447" s="190"/>
      <c r="E1447" s="190"/>
      <c r="F1447" s="190"/>
      <c r="G1447" s="190"/>
      <c r="H1447" s="190"/>
      <c r="I1447" s="190"/>
      <c r="J1447" s="190"/>
      <c r="K1447" s="190"/>
      <c r="L1447" s="190"/>
      <c r="M1447" s="190"/>
      <c r="N1447" s="220"/>
      <c r="O1447" s="220"/>
      <c r="P1447" s="220"/>
      <c r="R1447" s="210"/>
      <c r="S1447" s="210"/>
      <c r="T1447" s="210"/>
      <c r="U1447" s="210"/>
      <c r="X1447" s="210"/>
      <c r="Y1447" s="210"/>
      <c r="Z1447" s="210"/>
      <c r="AA1447" s="210"/>
      <c r="AB1447" s="210"/>
      <c r="AC1447" s="210"/>
      <c r="AD1447" s="210"/>
      <c r="AE1447" s="210"/>
      <c r="AF1447" s="210"/>
      <c r="AG1447" s="210"/>
      <c r="AH1447" s="210"/>
      <c r="AI1447" s="210"/>
      <c r="AJ1447" s="210"/>
      <c r="AK1447" s="210"/>
      <c r="AL1447" s="210"/>
      <c r="AM1447" s="210"/>
      <c r="AN1447" s="210"/>
      <c r="AO1447" s="210"/>
      <c r="AP1447" s="210"/>
      <c r="AQ1447" s="210"/>
    </row>
    <row r="1448">
      <c r="A1448" s="190"/>
      <c r="B1448" s="190"/>
      <c r="C1448" s="190"/>
      <c r="D1448" s="190"/>
      <c r="E1448" s="190"/>
      <c r="F1448" s="190"/>
      <c r="G1448" s="190"/>
      <c r="H1448" s="190"/>
      <c r="I1448" s="190"/>
      <c r="J1448" s="190"/>
      <c r="K1448" s="190"/>
      <c r="L1448" s="190"/>
      <c r="M1448" s="190"/>
      <c r="N1448" s="220"/>
      <c r="O1448" s="220"/>
      <c r="P1448" s="220"/>
      <c r="R1448" s="210"/>
      <c r="S1448" s="210"/>
      <c r="T1448" s="210"/>
      <c r="U1448" s="210"/>
      <c r="X1448" s="210"/>
      <c r="Y1448" s="210"/>
      <c r="Z1448" s="210"/>
      <c r="AA1448" s="210"/>
      <c r="AB1448" s="210"/>
      <c r="AC1448" s="210"/>
      <c r="AD1448" s="210"/>
      <c r="AE1448" s="210"/>
      <c r="AF1448" s="210"/>
      <c r="AG1448" s="210"/>
      <c r="AH1448" s="210"/>
      <c r="AI1448" s="210"/>
      <c r="AJ1448" s="210"/>
      <c r="AK1448" s="210"/>
      <c r="AL1448" s="210"/>
      <c r="AM1448" s="210"/>
      <c r="AN1448" s="210"/>
      <c r="AO1448" s="210"/>
      <c r="AP1448" s="210"/>
      <c r="AQ1448" s="210"/>
    </row>
    <row r="1449">
      <c r="A1449" s="190"/>
      <c r="B1449" s="190"/>
      <c r="C1449" s="190"/>
      <c r="D1449" s="190"/>
      <c r="E1449" s="190"/>
      <c r="F1449" s="190"/>
      <c r="G1449" s="190"/>
      <c r="H1449" s="190"/>
      <c r="I1449" s="190"/>
      <c r="J1449" s="190"/>
      <c r="K1449" s="190"/>
      <c r="L1449" s="190"/>
      <c r="M1449" s="190"/>
      <c r="N1449" s="220"/>
      <c r="O1449" s="220"/>
      <c r="P1449" s="220"/>
      <c r="R1449" s="210"/>
      <c r="S1449" s="210"/>
      <c r="T1449" s="210"/>
      <c r="U1449" s="210"/>
      <c r="X1449" s="210"/>
      <c r="Y1449" s="210"/>
      <c r="Z1449" s="210"/>
      <c r="AA1449" s="210"/>
      <c r="AB1449" s="210"/>
      <c r="AC1449" s="210"/>
      <c r="AD1449" s="210"/>
      <c r="AE1449" s="210"/>
      <c r="AF1449" s="210"/>
      <c r="AG1449" s="210"/>
      <c r="AH1449" s="210"/>
      <c r="AI1449" s="210"/>
      <c r="AJ1449" s="210"/>
      <c r="AK1449" s="210"/>
      <c r="AL1449" s="210"/>
      <c r="AM1449" s="210"/>
      <c r="AN1449" s="210"/>
      <c r="AO1449" s="210"/>
      <c r="AP1449" s="210"/>
      <c r="AQ1449" s="210"/>
    </row>
    <row r="1450">
      <c r="A1450" s="190"/>
      <c r="B1450" s="190"/>
      <c r="C1450" s="190"/>
      <c r="D1450" s="190"/>
      <c r="E1450" s="190"/>
      <c r="F1450" s="190"/>
      <c r="G1450" s="190"/>
      <c r="H1450" s="190"/>
      <c r="I1450" s="190"/>
      <c r="J1450" s="190"/>
      <c r="K1450" s="190"/>
      <c r="L1450" s="190"/>
      <c r="M1450" s="190"/>
      <c r="N1450" s="220"/>
      <c r="O1450" s="220"/>
      <c r="P1450" s="220"/>
      <c r="R1450" s="210"/>
      <c r="S1450" s="210"/>
      <c r="T1450" s="210"/>
      <c r="U1450" s="210"/>
      <c r="X1450" s="210"/>
      <c r="Y1450" s="210"/>
      <c r="Z1450" s="210"/>
      <c r="AA1450" s="210"/>
      <c r="AB1450" s="210"/>
      <c r="AC1450" s="210"/>
      <c r="AD1450" s="210"/>
      <c r="AE1450" s="210"/>
      <c r="AF1450" s="210"/>
      <c r="AG1450" s="210"/>
      <c r="AH1450" s="210"/>
      <c r="AI1450" s="210"/>
      <c r="AJ1450" s="210"/>
      <c r="AK1450" s="210"/>
      <c r="AL1450" s="210"/>
      <c r="AM1450" s="210"/>
      <c r="AN1450" s="210"/>
      <c r="AO1450" s="210"/>
      <c r="AP1450" s="210"/>
      <c r="AQ1450" s="210"/>
    </row>
    <row r="1451">
      <c r="A1451" s="190"/>
      <c r="B1451" s="190"/>
      <c r="C1451" s="190"/>
      <c r="D1451" s="190"/>
      <c r="E1451" s="190"/>
      <c r="F1451" s="190"/>
      <c r="G1451" s="190"/>
      <c r="H1451" s="190"/>
      <c r="I1451" s="190"/>
      <c r="J1451" s="190"/>
      <c r="K1451" s="190"/>
      <c r="L1451" s="190"/>
      <c r="M1451" s="190"/>
      <c r="N1451" s="220"/>
      <c r="O1451" s="220"/>
      <c r="P1451" s="220"/>
      <c r="R1451" s="210"/>
      <c r="S1451" s="210"/>
      <c r="T1451" s="210"/>
      <c r="U1451" s="210"/>
      <c r="X1451" s="210"/>
      <c r="Y1451" s="210"/>
      <c r="Z1451" s="210"/>
      <c r="AA1451" s="210"/>
      <c r="AB1451" s="210"/>
      <c r="AC1451" s="210"/>
      <c r="AD1451" s="210"/>
      <c r="AE1451" s="210"/>
      <c r="AF1451" s="210"/>
      <c r="AG1451" s="210"/>
      <c r="AH1451" s="210"/>
      <c r="AI1451" s="210"/>
      <c r="AJ1451" s="210"/>
      <c r="AK1451" s="210"/>
      <c r="AL1451" s="210"/>
      <c r="AM1451" s="210"/>
      <c r="AN1451" s="210"/>
      <c r="AO1451" s="210"/>
      <c r="AP1451" s="210"/>
      <c r="AQ1451" s="210"/>
    </row>
    <row r="1452">
      <c r="A1452" s="190"/>
      <c r="B1452" s="190"/>
      <c r="C1452" s="190"/>
      <c r="D1452" s="190"/>
      <c r="E1452" s="190"/>
      <c r="F1452" s="190"/>
      <c r="G1452" s="190"/>
      <c r="H1452" s="190"/>
      <c r="I1452" s="190"/>
      <c r="J1452" s="190"/>
      <c r="K1452" s="190"/>
      <c r="L1452" s="190"/>
      <c r="M1452" s="190"/>
      <c r="N1452" s="220"/>
      <c r="O1452" s="220"/>
      <c r="P1452" s="220"/>
      <c r="R1452" s="210"/>
      <c r="S1452" s="210"/>
      <c r="T1452" s="210"/>
      <c r="U1452" s="210"/>
      <c r="X1452" s="210"/>
      <c r="Y1452" s="210"/>
      <c r="Z1452" s="210"/>
      <c r="AA1452" s="210"/>
      <c r="AB1452" s="210"/>
      <c r="AC1452" s="210"/>
      <c r="AD1452" s="210"/>
      <c r="AE1452" s="210"/>
      <c r="AF1452" s="210"/>
      <c r="AG1452" s="210"/>
      <c r="AH1452" s="210"/>
      <c r="AI1452" s="210"/>
      <c r="AJ1452" s="210"/>
      <c r="AK1452" s="210"/>
      <c r="AL1452" s="210"/>
      <c r="AM1452" s="210"/>
      <c r="AN1452" s="210"/>
      <c r="AO1452" s="210"/>
      <c r="AP1452" s="210"/>
      <c r="AQ1452" s="210"/>
    </row>
    <row r="1453">
      <c r="A1453" s="190"/>
      <c r="B1453" s="190"/>
      <c r="C1453" s="190"/>
      <c r="D1453" s="190"/>
      <c r="E1453" s="190"/>
      <c r="F1453" s="190"/>
      <c r="G1453" s="190"/>
      <c r="H1453" s="190"/>
      <c r="I1453" s="190"/>
      <c r="J1453" s="190"/>
      <c r="K1453" s="190"/>
      <c r="L1453" s="190"/>
      <c r="M1453" s="190"/>
      <c r="N1453" s="220"/>
      <c r="O1453" s="220"/>
      <c r="P1453" s="220"/>
      <c r="R1453" s="210"/>
      <c r="S1453" s="210"/>
      <c r="T1453" s="210"/>
      <c r="U1453" s="210"/>
      <c r="X1453" s="210"/>
      <c r="Y1453" s="210"/>
      <c r="Z1453" s="210"/>
      <c r="AA1453" s="210"/>
      <c r="AB1453" s="210"/>
      <c r="AC1453" s="210"/>
      <c r="AD1453" s="210"/>
      <c r="AE1453" s="210"/>
      <c r="AF1453" s="210"/>
      <c r="AG1453" s="210"/>
      <c r="AH1453" s="210"/>
      <c r="AI1453" s="210"/>
      <c r="AJ1453" s="210"/>
      <c r="AK1453" s="210"/>
      <c r="AL1453" s="210"/>
      <c r="AM1453" s="210"/>
      <c r="AN1453" s="210"/>
      <c r="AO1453" s="210"/>
      <c r="AP1453" s="210"/>
      <c r="AQ1453" s="210"/>
    </row>
    <row r="1454">
      <c r="A1454" s="190"/>
      <c r="B1454" s="190"/>
      <c r="C1454" s="190"/>
      <c r="D1454" s="190"/>
      <c r="E1454" s="190"/>
      <c r="F1454" s="190"/>
      <c r="G1454" s="190"/>
      <c r="H1454" s="190"/>
      <c r="I1454" s="190"/>
      <c r="J1454" s="190"/>
      <c r="K1454" s="190"/>
      <c r="L1454" s="190"/>
      <c r="M1454" s="190"/>
      <c r="N1454" s="220"/>
      <c r="O1454" s="220"/>
      <c r="P1454" s="220"/>
      <c r="R1454" s="210"/>
      <c r="S1454" s="210"/>
      <c r="T1454" s="210"/>
      <c r="U1454" s="210"/>
      <c r="X1454" s="210"/>
      <c r="Y1454" s="210"/>
      <c r="Z1454" s="210"/>
      <c r="AA1454" s="210"/>
      <c r="AB1454" s="210"/>
      <c r="AC1454" s="210"/>
      <c r="AD1454" s="210"/>
      <c r="AE1454" s="210"/>
      <c r="AF1454" s="210"/>
      <c r="AG1454" s="210"/>
      <c r="AH1454" s="210"/>
      <c r="AI1454" s="210"/>
      <c r="AJ1454" s="210"/>
      <c r="AK1454" s="210"/>
      <c r="AL1454" s="210"/>
      <c r="AM1454" s="210"/>
      <c r="AN1454" s="210"/>
      <c r="AO1454" s="210"/>
      <c r="AP1454" s="210"/>
      <c r="AQ1454" s="210"/>
    </row>
    <row r="1455">
      <c r="A1455" s="190"/>
      <c r="B1455" s="190"/>
      <c r="C1455" s="190"/>
      <c r="D1455" s="190"/>
      <c r="E1455" s="190"/>
      <c r="F1455" s="190"/>
      <c r="G1455" s="190"/>
      <c r="H1455" s="190"/>
      <c r="I1455" s="190"/>
      <c r="J1455" s="190"/>
      <c r="K1455" s="190"/>
      <c r="L1455" s="190"/>
      <c r="M1455" s="190"/>
      <c r="N1455" s="220"/>
      <c r="O1455" s="220"/>
      <c r="P1455" s="220"/>
      <c r="R1455" s="210"/>
      <c r="S1455" s="210"/>
      <c r="T1455" s="210"/>
      <c r="U1455" s="210"/>
      <c r="X1455" s="210"/>
      <c r="Y1455" s="210"/>
      <c r="Z1455" s="210"/>
      <c r="AA1455" s="210"/>
      <c r="AB1455" s="210"/>
      <c r="AC1455" s="210"/>
      <c r="AD1455" s="210"/>
      <c r="AE1455" s="210"/>
      <c r="AF1455" s="210"/>
      <c r="AG1455" s="210"/>
      <c r="AH1455" s="210"/>
      <c r="AI1455" s="210"/>
      <c r="AJ1455" s="210"/>
      <c r="AK1455" s="210"/>
      <c r="AL1455" s="210"/>
      <c r="AM1455" s="210"/>
      <c r="AN1455" s="210"/>
      <c r="AO1455" s="210"/>
      <c r="AP1455" s="210"/>
      <c r="AQ1455" s="210"/>
    </row>
    <row r="1456">
      <c r="A1456" s="190"/>
      <c r="B1456" s="190"/>
      <c r="C1456" s="190"/>
      <c r="D1456" s="190"/>
      <c r="E1456" s="190"/>
      <c r="F1456" s="190"/>
      <c r="G1456" s="190"/>
      <c r="H1456" s="190"/>
      <c r="I1456" s="190"/>
      <c r="J1456" s="190"/>
      <c r="K1456" s="190"/>
      <c r="L1456" s="190"/>
      <c r="M1456" s="190"/>
      <c r="N1456" s="220"/>
      <c r="O1456" s="220"/>
      <c r="P1456" s="220"/>
      <c r="R1456" s="210"/>
      <c r="S1456" s="210"/>
      <c r="T1456" s="210"/>
      <c r="U1456" s="210"/>
      <c r="X1456" s="210"/>
      <c r="Y1456" s="210"/>
      <c r="Z1456" s="210"/>
      <c r="AA1456" s="210"/>
      <c r="AB1456" s="210"/>
      <c r="AC1456" s="210"/>
      <c r="AD1456" s="210"/>
      <c r="AE1456" s="210"/>
      <c r="AF1456" s="210"/>
      <c r="AG1456" s="210"/>
      <c r="AH1456" s="210"/>
      <c r="AI1456" s="210"/>
      <c r="AJ1456" s="210"/>
      <c r="AK1456" s="210"/>
      <c r="AL1456" s="210"/>
      <c r="AM1456" s="210"/>
      <c r="AN1456" s="210"/>
      <c r="AO1456" s="210"/>
      <c r="AP1456" s="210"/>
      <c r="AQ1456" s="210"/>
    </row>
    <row r="1457">
      <c r="A1457" s="190"/>
      <c r="B1457" s="190"/>
      <c r="C1457" s="190"/>
      <c r="D1457" s="190"/>
      <c r="E1457" s="190"/>
      <c r="F1457" s="190"/>
      <c r="G1457" s="190"/>
      <c r="H1457" s="190"/>
      <c r="I1457" s="190"/>
      <c r="J1457" s="190"/>
      <c r="K1457" s="190"/>
      <c r="L1457" s="190"/>
      <c r="M1457" s="190"/>
      <c r="N1457" s="220"/>
      <c r="O1457" s="220"/>
      <c r="P1457" s="220"/>
      <c r="R1457" s="210"/>
      <c r="S1457" s="210"/>
      <c r="T1457" s="210"/>
      <c r="U1457" s="210"/>
      <c r="X1457" s="210"/>
      <c r="Y1457" s="210"/>
      <c r="Z1457" s="210"/>
      <c r="AA1457" s="210"/>
      <c r="AB1457" s="210"/>
      <c r="AC1457" s="210"/>
      <c r="AD1457" s="210"/>
      <c r="AE1457" s="210"/>
      <c r="AF1457" s="210"/>
      <c r="AG1457" s="210"/>
      <c r="AH1457" s="210"/>
      <c r="AI1457" s="210"/>
      <c r="AJ1457" s="210"/>
      <c r="AK1457" s="210"/>
      <c r="AL1457" s="210"/>
      <c r="AM1457" s="210"/>
      <c r="AN1457" s="210"/>
      <c r="AO1457" s="210"/>
      <c r="AP1457" s="210"/>
      <c r="AQ1457" s="210"/>
    </row>
    <row r="1458">
      <c r="A1458" s="190"/>
      <c r="B1458" s="190"/>
      <c r="C1458" s="190"/>
      <c r="D1458" s="190"/>
      <c r="E1458" s="190"/>
      <c r="F1458" s="190"/>
      <c r="G1458" s="190"/>
      <c r="H1458" s="190"/>
      <c r="I1458" s="190"/>
      <c r="J1458" s="190"/>
      <c r="K1458" s="190"/>
      <c r="L1458" s="190"/>
      <c r="M1458" s="190"/>
      <c r="N1458" s="220"/>
      <c r="O1458" s="220"/>
      <c r="P1458" s="220"/>
      <c r="R1458" s="210"/>
      <c r="S1458" s="210"/>
      <c r="T1458" s="210"/>
      <c r="U1458" s="210"/>
      <c r="X1458" s="210"/>
      <c r="Y1458" s="210"/>
      <c r="Z1458" s="210"/>
      <c r="AA1458" s="210"/>
      <c r="AB1458" s="210"/>
      <c r="AC1458" s="210"/>
      <c r="AD1458" s="210"/>
      <c r="AE1458" s="210"/>
      <c r="AF1458" s="210"/>
      <c r="AG1458" s="210"/>
      <c r="AH1458" s="210"/>
      <c r="AI1458" s="210"/>
      <c r="AJ1458" s="210"/>
      <c r="AK1458" s="210"/>
      <c r="AL1458" s="210"/>
      <c r="AM1458" s="210"/>
      <c r="AN1458" s="210"/>
      <c r="AO1458" s="210"/>
      <c r="AP1458" s="210"/>
      <c r="AQ1458" s="210"/>
    </row>
    <row r="1459">
      <c r="A1459" s="190"/>
      <c r="B1459" s="190"/>
      <c r="C1459" s="190"/>
      <c r="D1459" s="190"/>
      <c r="E1459" s="190"/>
      <c r="F1459" s="190"/>
      <c r="G1459" s="190"/>
      <c r="H1459" s="190"/>
      <c r="I1459" s="190"/>
      <c r="J1459" s="190"/>
      <c r="K1459" s="190"/>
      <c r="L1459" s="190"/>
      <c r="M1459" s="190"/>
      <c r="N1459" s="220"/>
      <c r="O1459" s="220"/>
      <c r="P1459" s="220"/>
      <c r="R1459" s="210"/>
      <c r="S1459" s="210"/>
      <c r="T1459" s="210"/>
      <c r="U1459" s="210"/>
      <c r="X1459" s="210"/>
      <c r="Y1459" s="210"/>
      <c r="Z1459" s="210"/>
      <c r="AA1459" s="210"/>
      <c r="AB1459" s="210"/>
      <c r="AC1459" s="210"/>
      <c r="AD1459" s="210"/>
      <c r="AE1459" s="210"/>
      <c r="AF1459" s="210"/>
      <c r="AG1459" s="210"/>
      <c r="AH1459" s="210"/>
      <c r="AI1459" s="210"/>
      <c r="AJ1459" s="210"/>
      <c r="AK1459" s="210"/>
      <c r="AL1459" s="210"/>
      <c r="AM1459" s="210"/>
      <c r="AN1459" s="210"/>
      <c r="AO1459" s="210"/>
      <c r="AP1459" s="210"/>
      <c r="AQ1459" s="210"/>
    </row>
    <row r="1460">
      <c r="A1460" s="190"/>
      <c r="B1460" s="190"/>
      <c r="C1460" s="190"/>
      <c r="D1460" s="190"/>
      <c r="E1460" s="190"/>
      <c r="F1460" s="190"/>
      <c r="G1460" s="190"/>
      <c r="H1460" s="190"/>
      <c r="I1460" s="190"/>
      <c r="J1460" s="190"/>
      <c r="K1460" s="190"/>
      <c r="L1460" s="190"/>
      <c r="M1460" s="190"/>
      <c r="N1460" s="220"/>
      <c r="O1460" s="220"/>
      <c r="P1460" s="220"/>
      <c r="R1460" s="210"/>
      <c r="S1460" s="210"/>
      <c r="T1460" s="210"/>
      <c r="U1460" s="210"/>
      <c r="X1460" s="210"/>
      <c r="Y1460" s="210"/>
      <c r="Z1460" s="210"/>
      <c r="AA1460" s="210"/>
      <c r="AB1460" s="210"/>
      <c r="AC1460" s="210"/>
      <c r="AD1460" s="210"/>
      <c r="AE1460" s="210"/>
      <c r="AF1460" s="210"/>
      <c r="AG1460" s="210"/>
      <c r="AH1460" s="210"/>
      <c r="AI1460" s="210"/>
      <c r="AJ1460" s="210"/>
      <c r="AK1460" s="210"/>
      <c r="AL1460" s="210"/>
      <c r="AM1460" s="210"/>
      <c r="AN1460" s="210"/>
      <c r="AO1460" s="210"/>
      <c r="AP1460" s="210"/>
      <c r="AQ1460" s="210"/>
    </row>
    <row r="1461">
      <c r="A1461" s="190"/>
      <c r="B1461" s="190"/>
      <c r="C1461" s="190"/>
      <c r="D1461" s="190"/>
      <c r="E1461" s="190"/>
      <c r="F1461" s="190"/>
      <c r="G1461" s="190"/>
      <c r="H1461" s="190"/>
      <c r="I1461" s="190"/>
      <c r="J1461" s="190"/>
      <c r="K1461" s="190"/>
      <c r="L1461" s="190"/>
      <c r="M1461" s="190"/>
      <c r="N1461" s="220"/>
      <c r="O1461" s="220"/>
      <c r="P1461" s="220"/>
      <c r="R1461" s="210"/>
      <c r="S1461" s="210"/>
      <c r="T1461" s="210"/>
      <c r="U1461" s="210"/>
      <c r="X1461" s="210"/>
      <c r="Y1461" s="210"/>
      <c r="Z1461" s="210"/>
      <c r="AA1461" s="210"/>
      <c r="AB1461" s="210"/>
      <c r="AC1461" s="210"/>
      <c r="AD1461" s="210"/>
      <c r="AE1461" s="210"/>
      <c r="AF1461" s="210"/>
      <c r="AG1461" s="210"/>
      <c r="AH1461" s="210"/>
      <c r="AI1461" s="210"/>
      <c r="AJ1461" s="210"/>
      <c r="AK1461" s="210"/>
      <c r="AL1461" s="210"/>
      <c r="AM1461" s="210"/>
      <c r="AN1461" s="210"/>
      <c r="AO1461" s="210"/>
      <c r="AP1461" s="210"/>
      <c r="AQ1461" s="210"/>
    </row>
    <row r="1462">
      <c r="A1462" s="190"/>
      <c r="B1462" s="190"/>
      <c r="C1462" s="190"/>
      <c r="D1462" s="190"/>
      <c r="E1462" s="190"/>
      <c r="F1462" s="190"/>
      <c r="G1462" s="190"/>
      <c r="H1462" s="190"/>
      <c r="I1462" s="190"/>
      <c r="J1462" s="190"/>
      <c r="K1462" s="190"/>
      <c r="L1462" s="190"/>
      <c r="M1462" s="190"/>
      <c r="N1462" s="220"/>
      <c r="O1462" s="220"/>
      <c r="P1462" s="220"/>
      <c r="R1462" s="210"/>
      <c r="S1462" s="210"/>
      <c r="T1462" s="210"/>
      <c r="U1462" s="210"/>
      <c r="X1462" s="210"/>
      <c r="Y1462" s="210"/>
      <c r="Z1462" s="210"/>
      <c r="AA1462" s="210"/>
      <c r="AB1462" s="210"/>
      <c r="AC1462" s="210"/>
      <c r="AD1462" s="210"/>
      <c r="AE1462" s="210"/>
      <c r="AF1462" s="210"/>
      <c r="AG1462" s="210"/>
      <c r="AH1462" s="210"/>
      <c r="AI1462" s="210"/>
      <c r="AJ1462" s="210"/>
      <c r="AK1462" s="210"/>
      <c r="AL1462" s="210"/>
      <c r="AM1462" s="210"/>
      <c r="AN1462" s="210"/>
      <c r="AO1462" s="210"/>
      <c r="AP1462" s="210"/>
      <c r="AQ1462" s="210"/>
    </row>
    <row r="1463">
      <c r="A1463" s="190"/>
      <c r="B1463" s="190"/>
      <c r="C1463" s="190"/>
      <c r="D1463" s="190"/>
      <c r="E1463" s="190"/>
      <c r="F1463" s="190"/>
      <c r="G1463" s="190"/>
      <c r="H1463" s="190"/>
      <c r="I1463" s="190"/>
      <c r="J1463" s="190"/>
      <c r="K1463" s="190"/>
      <c r="L1463" s="190"/>
      <c r="M1463" s="190"/>
      <c r="N1463" s="220"/>
      <c r="O1463" s="220"/>
      <c r="P1463" s="220"/>
      <c r="R1463" s="210"/>
      <c r="S1463" s="210"/>
      <c r="T1463" s="210"/>
      <c r="U1463" s="210"/>
      <c r="X1463" s="210"/>
      <c r="Y1463" s="210"/>
      <c r="Z1463" s="210"/>
      <c r="AA1463" s="210"/>
      <c r="AB1463" s="210"/>
      <c r="AC1463" s="210"/>
      <c r="AD1463" s="210"/>
      <c r="AE1463" s="210"/>
      <c r="AF1463" s="210"/>
      <c r="AG1463" s="210"/>
      <c r="AH1463" s="210"/>
      <c r="AI1463" s="210"/>
      <c r="AJ1463" s="210"/>
      <c r="AK1463" s="210"/>
      <c r="AL1463" s="210"/>
      <c r="AM1463" s="210"/>
      <c r="AN1463" s="210"/>
      <c r="AO1463" s="210"/>
      <c r="AP1463" s="210"/>
      <c r="AQ1463" s="210"/>
    </row>
    <row r="1464">
      <c r="A1464" s="190"/>
      <c r="B1464" s="190"/>
      <c r="C1464" s="190"/>
      <c r="D1464" s="190"/>
      <c r="E1464" s="190"/>
      <c r="F1464" s="190"/>
      <c r="G1464" s="190"/>
      <c r="H1464" s="190"/>
      <c r="I1464" s="190"/>
      <c r="J1464" s="190"/>
      <c r="K1464" s="190"/>
      <c r="L1464" s="190"/>
      <c r="M1464" s="190"/>
      <c r="N1464" s="220"/>
      <c r="O1464" s="220"/>
      <c r="P1464" s="220"/>
      <c r="R1464" s="210"/>
      <c r="S1464" s="210"/>
      <c r="T1464" s="210"/>
      <c r="U1464" s="210"/>
      <c r="X1464" s="210"/>
      <c r="Y1464" s="210"/>
      <c r="Z1464" s="210"/>
      <c r="AA1464" s="210"/>
      <c r="AB1464" s="210"/>
      <c r="AC1464" s="210"/>
      <c r="AD1464" s="210"/>
      <c r="AE1464" s="210"/>
      <c r="AF1464" s="210"/>
      <c r="AG1464" s="210"/>
      <c r="AH1464" s="210"/>
      <c r="AI1464" s="210"/>
      <c r="AJ1464" s="210"/>
      <c r="AK1464" s="210"/>
      <c r="AL1464" s="210"/>
      <c r="AM1464" s="210"/>
      <c r="AN1464" s="210"/>
      <c r="AO1464" s="210"/>
      <c r="AP1464" s="210"/>
      <c r="AQ1464" s="210"/>
    </row>
    <row r="1465">
      <c r="A1465" s="190"/>
      <c r="B1465" s="190"/>
      <c r="C1465" s="190"/>
      <c r="D1465" s="190"/>
      <c r="E1465" s="190"/>
      <c r="F1465" s="190"/>
      <c r="G1465" s="190"/>
      <c r="H1465" s="190"/>
      <c r="I1465" s="190"/>
      <c r="J1465" s="190"/>
      <c r="K1465" s="190"/>
      <c r="L1465" s="190"/>
      <c r="M1465" s="190"/>
      <c r="N1465" s="220"/>
      <c r="O1465" s="220"/>
      <c r="P1465" s="220"/>
      <c r="R1465" s="210"/>
      <c r="S1465" s="210"/>
      <c r="T1465" s="210"/>
      <c r="U1465" s="210"/>
      <c r="X1465" s="210"/>
      <c r="Y1465" s="210"/>
      <c r="Z1465" s="210"/>
      <c r="AA1465" s="210"/>
      <c r="AB1465" s="210"/>
      <c r="AC1465" s="210"/>
      <c r="AD1465" s="210"/>
      <c r="AE1465" s="210"/>
      <c r="AF1465" s="210"/>
      <c r="AG1465" s="210"/>
      <c r="AH1465" s="210"/>
      <c r="AI1465" s="210"/>
      <c r="AJ1465" s="210"/>
      <c r="AK1465" s="210"/>
      <c r="AL1465" s="210"/>
      <c r="AM1465" s="210"/>
      <c r="AN1465" s="210"/>
      <c r="AO1465" s="210"/>
      <c r="AP1465" s="210"/>
      <c r="AQ1465" s="210"/>
    </row>
    <row r="1466">
      <c r="A1466" s="190"/>
      <c r="B1466" s="190"/>
      <c r="C1466" s="190"/>
      <c r="D1466" s="190"/>
      <c r="E1466" s="190"/>
      <c r="F1466" s="190"/>
      <c r="G1466" s="190"/>
      <c r="H1466" s="190"/>
      <c r="I1466" s="190"/>
      <c r="J1466" s="190"/>
      <c r="K1466" s="190"/>
      <c r="L1466" s="190"/>
      <c r="M1466" s="190"/>
      <c r="N1466" s="220"/>
      <c r="O1466" s="220"/>
      <c r="P1466" s="220"/>
      <c r="R1466" s="210"/>
      <c r="S1466" s="210"/>
      <c r="T1466" s="210"/>
      <c r="U1466" s="210"/>
      <c r="X1466" s="210"/>
      <c r="Y1466" s="210"/>
      <c r="Z1466" s="210"/>
      <c r="AA1466" s="210"/>
      <c r="AB1466" s="210"/>
      <c r="AC1466" s="210"/>
      <c r="AD1466" s="210"/>
      <c r="AE1466" s="210"/>
      <c r="AF1466" s="210"/>
      <c r="AG1466" s="210"/>
      <c r="AH1466" s="210"/>
      <c r="AI1466" s="210"/>
      <c r="AJ1466" s="210"/>
      <c r="AK1466" s="210"/>
      <c r="AL1466" s="210"/>
      <c r="AM1466" s="210"/>
      <c r="AN1466" s="210"/>
      <c r="AO1466" s="210"/>
      <c r="AP1466" s="210"/>
      <c r="AQ1466" s="210"/>
    </row>
    <row r="1467">
      <c r="A1467" s="190"/>
      <c r="B1467" s="190"/>
      <c r="C1467" s="190"/>
      <c r="D1467" s="190"/>
      <c r="E1467" s="190"/>
      <c r="F1467" s="190"/>
      <c r="G1467" s="190"/>
      <c r="H1467" s="190"/>
      <c r="I1467" s="190"/>
      <c r="J1467" s="190"/>
      <c r="K1467" s="190"/>
      <c r="L1467" s="190"/>
      <c r="M1467" s="190"/>
      <c r="N1467" s="220"/>
      <c r="O1467" s="220"/>
      <c r="P1467" s="220"/>
      <c r="R1467" s="210"/>
      <c r="S1467" s="210"/>
      <c r="T1467" s="210"/>
      <c r="U1467" s="210"/>
      <c r="X1467" s="210"/>
      <c r="Y1467" s="210"/>
      <c r="Z1467" s="210"/>
      <c r="AA1467" s="210"/>
      <c r="AB1467" s="210"/>
      <c r="AC1467" s="210"/>
      <c r="AD1467" s="210"/>
      <c r="AE1467" s="210"/>
      <c r="AF1467" s="210"/>
      <c r="AG1467" s="210"/>
      <c r="AH1467" s="210"/>
      <c r="AI1467" s="210"/>
      <c r="AJ1467" s="210"/>
      <c r="AK1467" s="210"/>
      <c r="AL1467" s="210"/>
      <c r="AM1467" s="210"/>
      <c r="AN1467" s="210"/>
      <c r="AO1467" s="210"/>
      <c r="AP1467" s="210"/>
      <c r="AQ1467" s="210"/>
    </row>
    <row r="1468">
      <c r="A1468" s="190"/>
      <c r="B1468" s="190"/>
      <c r="C1468" s="190"/>
      <c r="D1468" s="190"/>
      <c r="E1468" s="190"/>
      <c r="F1468" s="190"/>
      <c r="G1468" s="190"/>
      <c r="H1468" s="190"/>
      <c r="I1468" s="190"/>
      <c r="J1468" s="190"/>
      <c r="K1468" s="190"/>
      <c r="L1468" s="190"/>
      <c r="M1468" s="190"/>
      <c r="N1468" s="220"/>
      <c r="O1468" s="220"/>
      <c r="P1468" s="220"/>
      <c r="R1468" s="210"/>
      <c r="S1468" s="210"/>
      <c r="T1468" s="210"/>
      <c r="U1468" s="210"/>
      <c r="X1468" s="210"/>
      <c r="Y1468" s="210"/>
      <c r="Z1468" s="210"/>
      <c r="AA1468" s="210"/>
      <c r="AB1468" s="210"/>
      <c r="AC1468" s="210"/>
      <c r="AD1468" s="210"/>
      <c r="AE1468" s="210"/>
      <c r="AF1468" s="210"/>
      <c r="AG1468" s="210"/>
      <c r="AH1468" s="210"/>
      <c r="AI1468" s="210"/>
      <c r="AJ1468" s="210"/>
      <c r="AK1468" s="210"/>
      <c r="AL1468" s="210"/>
      <c r="AM1468" s="210"/>
      <c r="AN1468" s="210"/>
      <c r="AO1468" s="210"/>
      <c r="AP1468" s="210"/>
      <c r="AQ1468" s="210"/>
    </row>
    <row r="1469">
      <c r="A1469" s="190"/>
      <c r="B1469" s="190"/>
      <c r="C1469" s="190"/>
      <c r="D1469" s="190"/>
      <c r="E1469" s="190"/>
      <c r="F1469" s="190"/>
      <c r="G1469" s="190"/>
      <c r="H1469" s="190"/>
      <c r="I1469" s="190"/>
      <c r="J1469" s="190"/>
      <c r="K1469" s="190"/>
      <c r="L1469" s="190"/>
      <c r="M1469" s="190"/>
      <c r="N1469" s="220"/>
      <c r="O1469" s="220"/>
      <c r="P1469" s="220"/>
      <c r="R1469" s="210"/>
      <c r="S1469" s="210"/>
      <c r="T1469" s="210"/>
      <c r="U1469" s="210"/>
      <c r="X1469" s="210"/>
      <c r="Y1469" s="210"/>
      <c r="Z1469" s="210"/>
      <c r="AA1469" s="210"/>
      <c r="AB1469" s="210"/>
      <c r="AC1469" s="210"/>
      <c r="AD1469" s="210"/>
      <c r="AE1469" s="210"/>
      <c r="AF1469" s="210"/>
      <c r="AG1469" s="210"/>
      <c r="AH1469" s="210"/>
      <c r="AI1469" s="210"/>
      <c r="AJ1469" s="210"/>
      <c r="AK1469" s="210"/>
      <c r="AL1469" s="210"/>
      <c r="AM1469" s="210"/>
      <c r="AN1469" s="210"/>
      <c r="AO1469" s="210"/>
      <c r="AP1469" s="210"/>
      <c r="AQ1469" s="210"/>
    </row>
    <row r="1470">
      <c r="A1470" s="190"/>
      <c r="B1470" s="190"/>
      <c r="C1470" s="190"/>
      <c r="D1470" s="190"/>
      <c r="E1470" s="190"/>
      <c r="F1470" s="190"/>
      <c r="G1470" s="190"/>
      <c r="H1470" s="190"/>
      <c r="I1470" s="190"/>
      <c r="J1470" s="190"/>
      <c r="K1470" s="190"/>
      <c r="L1470" s="190"/>
      <c r="M1470" s="190"/>
      <c r="N1470" s="220"/>
      <c r="O1470" s="220"/>
      <c r="P1470" s="220"/>
      <c r="R1470" s="210"/>
      <c r="S1470" s="210"/>
      <c r="T1470" s="210"/>
      <c r="U1470" s="210"/>
      <c r="X1470" s="210"/>
      <c r="Y1470" s="210"/>
      <c r="Z1470" s="210"/>
      <c r="AA1470" s="210"/>
      <c r="AB1470" s="210"/>
      <c r="AC1470" s="210"/>
      <c r="AD1470" s="210"/>
      <c r="AE1470" s="210"/>
      <c r="AF1470" s="210"/>
      <c r="AG1470" s="210"/>
      <c r="AH1470" s="210"/>
      <c r="AI1470" s="210"/>
      <c r="AJ1470" s="210"/>
      <c r="AK1470" s="210"/>
      <c r="AL1470" s="210"/>
      <c r="AM1470" s="210"/>
      <c r="AN1470" s="210"/>
      <c r="AO1470" s="210"/>
      <c r="AP1470" s="210"/>
      <c r="AQ1470" s="210"/>
    </row>
    <row r="1471">
      <c r="A1471" s="190"/>
      <c r="B1471" s="190"/>
      <c r="C1471" s="190"/>
      <c r="D1471" s="190"/>
      <c r="E1471" s="190"/>
      <c r="F1471" s="190"/>
      <c r="G1471" s="190"/>
      <c r="H1471" s="190"/>
      <c r="I1471" s="190"/>
      <c r="J1471" s="190"/>
      <c r="K1471" s="190"/>
      <c r="L1471" s="190"/>
      <c r="M1471" s="190"/>
      <c r="N1471" s="220"/>
      <c r="O1471" s="220"/>
      <c r="P1471" s="220"/>
      <c r="R1471" s="210"/>
      <c r="S1471" s="210"/>
      <c r="T1471" s="210"/>
      <c r="U1471" s="210"/>
      <c r="X1471" s="210"/>
      <c r="Y1471" s="210"/>
      <c r="Z1471" s="210"/>
      <c r="AA1471" s="210"/>
      <c r="AB1471" s="210"/>
      <c r="AC1471" s="210"/>
      <c r="AD1471" s="210"/>
      <c r="AE1471" s="210"/>
      <c r="AF1471" s="210"/>
      <c r="AG1471" s="210"/>
      <c r="AH1471" s="210"/>
      <c r="AI1471" s="210"/>
      <c r="AJ1471" s="210"/>
      <c r="AK1471" s="210"/>
      <c r="AL1471" s="210"/>
      <c r="AM1471" s="210"/>
      <c r="AN1471" s="210"/>
      <c r="AO1471" s="210"/>
      <c r="AP1471" s="210"/>
      <c r="AQ1471" s="210"/>
    </row>
    <row r="1472">
      <c r="A1472" s="190"/>
      <c r="B1472" s="190"/>
      <c r="C1472" s="190"/>
      <c r="D1472" s="190"/>
      <c r="E1472" s="190"/>
      <c r="F1472" s="190"/>
      <c r="G1472" s="190"/>
      <c r="H1472" s="190"/>
      <c r="I1472" s="190"/>
      <c r="J1472" s="190"/>
      <c r="K1472" s="190"/>
      <c r="L1472" s="190"/>
      <c r="M1472" s="190"/>
      <c r="N1472" s="220"/>
      <c r="O1472" s="220"/>
      <c r="P1472" s="220"/>
      <c r="R1472" s="210"/>
      <c r="S1472" s="210"/>
      <c r="T1472" s="210"/>
      <c r="U1472" s="210"/>
      <c r="X1472" s="210"/>
      <c r="Y1472" s="210"/>
      <c r="Z1472" s="210"/>
      <c r="AA1472" s="210"/>
      <c r="AB1472" s="210"/>
      <c r="AC1472" s="210"/>
      <c r="AD1472" s="210"/>
      <c r="AE1472" s="210"/>
      <c r="AF1472" s="210"/>
      <c r="AG1472" s="210"/>
      <c r="AH1472" s="210"/>
      <c r="AI1472" s="210"/>
      <c r="AJ1472" s="210"/>
      <c r="AK1472" s="210"/>
      <c r="AL1472" s="210"/>
      <c r="AM1472" s="210"/>
      <c r="AN1472" s="210"/>
      <c r="AO1472" s="210"/>
      <c r="AP1472" s="210"/>
      <c r="AQ1472" s="210"/>
    </row>
    <row r="1473">
      <c r="A1473" s="190"/>
      <c r="B1473" s="190"/>
      <c r="C1473" s="190"/>
      <c r="D1473" s="190"/>
      <c r="E1473" s="190"/>
      <c r="F1473" s="190"/>
      <c r="G1473" s="190"/>
      <c r="H1473" s="190"/>
      <c r="I1473" s="190"/>
      <c r="J1473" s="190"/>
      <c r="K1473" s="190"/>
      <c r="L1473" s="190"/>
      <c r="M1473" s="190"/>
      <c r="N1473" s="220"/>
      <c r="O1473" s="220"/>
      <c r="P1473" s="220"/>
      <c r="R1473" s="210"/>
      <c r="S1473" s="210"/>
      <c r="T1473" s="210"/>
      <c r="U1473" s="210"/>
      <c r="X1473" s="210"/>
      <c r="Y1473" s="210"/>
      <c r="Z1473" s="210"/>
      <c r="AA1473" s="210"/>
      <c r="AB1473" s="210"/>
      <c r="AC1473" s="210"/>
      <c r="AD1473" s="210"/>
      <c r="AE1473" s="210"/>
      <c r="AF1473" s="210"/>
      <c r="AG1473" s="210"/>
      <c r="AH1473" s="210"/>
      <c r="AI1473" s="210"/>
      <c r="AJ1473" s="210"/>
      <c r="AK1473" s="210"/>
      <c r="AL1473" s="210"/>
      <c r="AM1473" s="210"/>
      <c r="AN1473" s="210"/>
      <c r="AO1473" s="210"/>
      <c r="AP1473" s="210"/>
      <c r="AQ1473" s="210"/>
    </row>
    <row r="1474">
      <c r="A1474" s="190"/>
      <c r="B1474" s="190"/>
      <c r="C1474" s="190"/>
      <c r="D1474" s="190"/>
      <c r="E1474" s="190"/>
      <c r="F1474" s="190"/>
      <c r="G1474" s="190"/>
      <c r="H1474" s="190"/>
      <c r="I1474" s="190"/>
      <c r="J1474" s="190"/>
      <c r="K1474" s="190"/>
      <c r="L1474" s="190"/>
      <c r="M1474" s="190"/>
      <c r="N1474" s="220"/>
      <c r="O1474" s="220"/>
      <c r="P1474" s="220"/>
      <c r="R1474" s="210"/>
      <c r="S1474" s="210"/>
      <c r="T1474" s="210"/>
      <c r="U1474" s="210"/>
      <c r="X1474" s="210"/>
      <c r="Y1474" s="210"/>
      <c r="Z1474" s="210"/>
      <c r="AA1474" s="210"/>
      <c r="AB1474" s="210"/>
      <c r="AC1474" s="210"/>
      <c r="AD1474" s="210"/>
      <c r="AE1474" s="210"/>
      <c r="AF1474" s="210"/>
      <c r="AG1474" s="210"/>
      <c r="AH1474" s="210"/>
      <c r="AI1474" s="210"/>
      <c r="AJ1474" s="210"/>
      <c r="AK1474" s="210"/>
      <c r="AL1474" s="210"/>
      <c r="AM1474" s="210"/>
      <c r="AN1474" s="210"/>
      <c r="AO1474" s="210"/>
      <c r="AP1474" s="210"/>
      <c r="AQ1474" s="210"/>
    </row>
    <row r="1475">
      <c r="A1475" s="190"/>
      <c r="B1475" s="190"/>
      <c r="C1475" s="190"/>
      <c r="D1475" s="190"/>
      <c r="E1475" s="190"/>
      <c r="F1475" s="190"/>
      <c r="G1475" s="190"/>
      <c r="H1475" s="190"/>
      <c r="I1475" s="190"/>
      <c r="J1475" s="190"/>
      <c r="K1475" s="190"/>
      <c r="L1475" s="190"/>
      <c r="M1475" s="190"/>
      <c r="N1475" s="220"/>
      <c r="O1475" s="220"/>
      <c r="P1475" s="220"/>
      <c r="R1475" s="210"/>
      <c r="S1475" s="210"/>
      <c r="T1475" s="210"/>
      <c r="U1475" s="210"/>
      <c r="X1475" s="210"/>
      <c r="Y1475" s="210"/>
      <c r="Z1475" s="210"/>
      <c r="AA1475" s="210"/>
      <c r="AB1475" s="210"/>
      <c r="AC1475" s="210"/>
      <c r="AD1475" s="210"/>
      <c r="AE1475" s="210"/>
      <c r="AF1475" s="210"/>
      <c r="AG1475" s="210"/>
      <c r="AH1475" s="210"/>
      <c r="AI1475" s="210"/>
      <c r="AJ1475" s="210"/>
      <c r="AK1475" s="210"/>
      <c r="AL1475" s="210"/>
      <c r="AM1475" s="210"/>
      <c r="AN1475" s="210"/>
      <c r="AO1475" s="210"/>
      <c r="AP1475" s="210"/>
      <c r="AQ1475" s="210"/>
    </row>
    <row r="1476">
      <c r="A1476" s="190"/>
      <c r="B1476" s="190"/>
      <c r="C1476" s="190"/>
      <c r="D1476" s="190"/>
      <c r="E1476" s="190"/>
      <c r="F1476" s="190"/>
      <c r="G1476" s="190"/>
      <c r="H1476" s="190"/>
      <c r="I1476" s="190"/>
      <c r="J1476" s="190"/>
      <c r="K1476" s="190"/>
      <c r="L1476" s="190"/>
      <c r="M1476" s="190"/>
      <c r="N1476" s="220"/>
      <c r="O1476" s="220"/>
      <c r="P1476" s="220"/>
      <c r="R1476" s="210"/>
      <c r="S1476" s="210"/>
      <c r="T1476" s="210"/>
      <c r="U1476" s="210"/>
      <c r="X1476" s="210"/>
      <c r="Y1476" s="210"/>
      <c r="Z1476" s="210"/>
      <c r="AA1476" s="210"/>
      <c r="AB1476" s="210"/>
      <c r="AC1476" s="210"/>
      <c r="AD1476" s="210"/>
      <c r="AE1476" s="210"/>
      <c r="AF1476" s="210"/>
      <c r="AG1476" s="210"/>
      <c r="AH1476" s="210"/>
      <c r="AI1476" s="210"/>
      <c r="AJ1476" s="210"/>
      <c r="AK1476" s="210"/>
      <c r="AL1476" s="210"/>
      <c r="AM1476" s="210"/>
      <c r="AN1476" s="210"/>
      <c r="AO1476" s="210"/>
      <c r="AP1476" s="210"/>
      <c r="AQ1476" s="210"/>
    </row>
    <row r="1477">
      <c r="A1477" s="190"/>
      <c r="B1477" s="190"/>
      <c r="C1477" s="190"/>
      <c r="D1477" s="190"/>
      <c r="E1477" s="190"/>
      <c r="F1477" s="190"/>
      <c r="G1477" s="190"/>
      <c r="H1477" s="190"/>
      <c r="I1477" s="190"/>
      <c r="J1477" s="190"/>
      <c r="K1477" s="190"/>
      <c r="L1477" s="190"/>
      <c r="M1477" s="190"/>
      <c r="N1477" s="220"/>
      <c r="O1477" s="220"/>
      <c r="P1477" s="220"/>
      <c r="R1477" s="210"/>
      <c r="S1477" s="210"/>
      <c r="T1477" s="210"/>
      <c r="U1477" s="210"/>
      <c r="X1477" s="210"/>
      <c r="Y1477" s="210"/>
      <c r="Z1477" s="210"/>
      <c r="AA1477" s="210"/>
      <c r="AB1477" s="210"/>
      <c r="AC1477" s="210"/>
      <c r="AD1477" s="210"/>
      <c r="AE1477" s="210"/>
      <c r="AF1477" s="210"/>
      <c r="AG1477" s="210"/>
      <c r="AH1477" s="210"/>
      <c r="AI1477" s="210"/>
      <c r="AJ1477" s="210"/>
      <c r="AK1477" s="210"/>
      <c r="AL1477" s="210"/>
      <c r="AM1477" s="210"/>
      <c r="AN1477" s="210"/>
      <c r="AO1477" s="210"/>
      <c r="AP1477" s="210"/>
      <c r="AQ1477" s="210"/>
    </row>
    <row r="1478">
      <c r="A1478" s="190"/>
      <c r="B1478" s="190"/>
      <c r="C1478" s="190"/>
      <c r="D1478" s="190"/>
      <c r="E1478" s="190"/>
      <c r="F1478" s="190"/>
      <c r="G1478" s="190"/>
      <c r="H1478" s="190"/>
      <c r="I1478" s="190"/>
      <c r="J1478" s="190"/>
      <c r="K1478" s="190"/>
      <c r="L1478" s="190"/>
      <c r="M1478" s="190"/>
      <c r="N1478" s="220"/>
      <c r="O1478" s="220"/>
      <c r="P1478" s="220"/>
      <c r="R1478" s="210"/>
      <c r="S1478" s="210"/>
      <c r="T1478" s="210"/>
      <c r="U1478" s="210"/>
      <c r="X1478" s="210"/>
      <c r="Y1478" s="210"/>
      <c r="Z1478" s="210"/>
      <c r="AA1478" s="210"/>
      <c r="AB1478" s="210"/>
      <c r="AC1478" s="210"/>
      <c r="AD1478" s="210"/>
      <c r="AE1478" s="210"/>
      <c r="AF1478" s="210"/>
      <c r="AG1478" s="210"/>
      <c r="AH1478" s="210"/>
      <c r="AI1478" s="210"/>
      <c r="AJ1478" s="210"/>
      <c r="AK1478" s="210"/>
      <c r="AL1478" s="210"/>
      <c r="AM1478" s="210"/>
      <c r="AN1478" s="210"/>
      <c r="AO1478" s="210"/>
      <c r="AP1478" s="210"/>
      <c r="AQ1478" s="210"/>
    </row>
    <row r="1479">
      <c r="A1479" s="190"/>
      <c r="B1479" s="190"/>
      <c r="C1479" s="190"/>
      <c r="D1479" s="190"/>
      <c r="E1479" s="190"/>
      <c r="F1479" s="190"/>
      <c r="G1479" s="190"/>
      <c r="H1479" s="190"/>
      <c r="I1479" s="190"/>
      <c r="J1479" s="190"/>
      <c r="K1479" s="190"/>
      <c r="L1479" s="190"/>
      <c r="M1479" s="190"/>
      <c r="N1479" s="220"/>
      <c r="O1479" s="220"/>
      <c r="P1479" s="220"/>
      <c r="R1479" s="210"/>
      <c r="S1479" s="210"/>
      <c r="T1479" s="210"/>
      <c r="U1479" s="210"/>
      <c r="X1479" s="210"/>
      <c r="Y1479" s="210"/>
      <c r="Z1479" s="210"/>
      <c r="AA1479" s="210"/>
      <c r="AB1479" s="210"/>
      <c r="AC1479" s="210"/>
      <c r="AD1479" s="210"/>
      <c r="AE1479" s="210"/>
      <c r="AF1479" s="210"/>
      <c r="AG1479" s="210"/>
      <c r="AH1479" s="210"/>
      <c r="AI1479" s="210"/>
      <c r="AJ1479" s="210"/>
      <c r="AK1479" s="210"/>
      <c r="AL1479" s="210"/>
      <c r="AM1479" s="210"/>
      <c r="AN1479" s="210"/>
      <c r="AO1479" s="210"/>
      <c r="AP1479" s="210"/>
      <c r="AQ1479" s="210"/>
    </row>
    <row r="1480">
      <c r="A1480" s="190"/>
      <c r="B1480" s="190"/>
      <c r="C1480" s="190"/>
      <c r="D1480" s="190"/>
      <c r="E1480" s="190"/>
      <c r="F1480" s="190"/>
      <c r="G1480" s="190"/>
      <c r="H1480" s="190"/>
      <c r="I1480" s="190"/>
      <c r="J1480" s="190"/>
      <c r="K1480" s="190"/>
      <c r="L1480" s="190"/>
      <c r="M1480" s="190"/>
      <c r="N1480" s="220"/>
      <c r="O1480" s="220"/>
      <c r="P1480" s="220"/>
      <c r="R1480" s="210"/>
      <c r="S1480" s="210"/>
      <c r="T1480" s="210"/>
      <c r="U1480" s="210"/>
      <c r="X1480" s="210"/>
      <c r="Y1480" s="210"/>
      <c r="Z1480" s="210"/>
      <c r="AA1480" s="210"/>
      <c r="AB1480" s="210"/>
      <c r="AC1480" s="210"/>
      <c r="AD1480" s="210"/>
      <c r="AE1480" s="210"/>
      <c r="AF1480" s="210"/>
      <c r="AG1480" s="210"/>
      <c r="AH1480" s="210"/>
      <c r="AI1480" s="210"/>
      <c r="AJ1480" s="210"/>
      <c r="AK1480" s="210"/>
      <c r="AL1480" s="210"/>
      <c r="AM1480" s="210"/>
      <c r="AN1480" s="210"/>
      <c r="AO1480" s="210"/>
      <c r="AP1480" s="210"/>
      <c r="AQ1480" s="210"/>
    </row>
    <row r="1481">
      <c r="A1481" s="190"/>
      <c r="B1481" s="190"/>
      <c r="C1481" s="190"/>
      <c r="D1481" s="190"/>
      <c r="E1481" s="190"/>
      <c r="F1481" s="190"/>
      <c r="G1481" s="190"/>
      <c r="H1481" s="190"/>
      <c r="I1481" s="190"/>
      <c r="J1481" s="190"/>
      <c r="K1481" s="190"/>
      <c r="L1481" s="190"/>
      <c r="M1481" s="190"/>
      <c r="N1481" s="220"/>
      <c r="O1481" s="220"/>
      <c r="P1481" s="220"/>
      <c r="R1481" s="210"/>
      <c r="S1481" s="210"/>
      <c r="T1481" s="210"/>
      <c r="U1481" s="210"/>
      <c r="X1481" s="210"/>
      <c r="Y1481" s="210"/>
      <c r="Z1481" s="210"/>
      <c r="AA1481" s="210"/>
      <c r="AB1481" s="210"/>
      <c r="AC1481" s="210"/>
      <c r="AD1481" s="210"/>
      <c r="AE1481" s="210"/>
      <c r="AF1481" s="210"/>
      <c r="AG1481" s="210"/>
      <c r="AH1481" s="210"/>
      <c r="AI1481" s="210"/>
      <c r="AJ1481" s="210"/>
      <c r="AK1481" s="210"/>
      <c r="AL1481" s="210"/>
      <c r="AM1481" s="210"/>
      <c r="AN1481" s="210"/>
      <c r="AO1481" s="210"/>
      <c r="AP1481" s="210"/>
      <c r="AQ1481" s="210"/>
    </row>
    <row r="1482">
      <c r="A1482" s="190"/>
      <c r="B1482" s="190"/>
      <c r="C1482" s="190"/>
      <c r="D1482" s="190"/>
      <c r="E1482" s="190"/>
      <c r="F1482" s="190"/>
      <c r="G1482" s="190"/>
      <c r="H1482" s="190"/>
      <c r="I1482" s="190"/>
      <c r="J1482" s="190"/>
      <c r="K1482" s="190"/>
      <c r="L1482" s="190"/>
      <c r="M1482" s="190"/>
      <c r="N1482" s="220"/>
      <c r="O1482" s="220"/>
      <c r="P1482" s="220"/>
      <c r="R1482" s="210"/>
      <c r="S1482" s="210"/>
      <c r="T1482" s="210"/>
      <c r="U1482" s="210"/>
      <c r="X1482" s="210"/>
      <c r="Y1482" s="210"/>
      <c r="Z1482" s="210"/>
      <c r="AA1482" s="210"/>
      <c r="AB1482" s="210"/>
      <c r="AC1482" s="210"/>
      <c r="AD1482" s="210"/>
      <c r="AE1482" s="210"/>
      <c r="AF1482" s="210"/>
      <c r="AG1482" s="210"/>
      <c r="AH1482" s="210"/>
      <c r="AI1482" s="210"/>
      <c r="AJ1482" s="210"/>
      <c r="AK1482" s="210"/>
      <c r="AL1482" s="210"/>
      <c r="AM1482" s="210"/>
      <c r="AN1482" s="210"/>
      <c r="AO1482" s="210"/>
      <c r="AP1482" s="210"/>
      <c r="AQ1482" s="210"/>
    </row>
    <row r="1483">
      <c r="A1483" s="190"/>
      <c r="B1483" s="190"/>
      <c r="C1483" s="190"/>
      <c r="D1483" s="190"/>
      <c r="E1483" s="190"/>
      <c r="F1483" s="190"/>
      <c r="G1483" s="190"/>
      <c r="H1483" s="190"/>
      <c r="I1483" s="190"/>
      <c r="J1483" s="190"/>
      <c r="K1483" s="190"/>
      <c r="L1483" s="190"/>
      <c r="M1483" s="190"/>
      <c r="N1483" s="220"/>
      <c r="O1483" s="220"/>
      <c r="P1483" s="220"/>
      <c r="R1483" s="210"/>
      <c r="S1483" s="210"/>
      <c r="T1483" s="210"/>
      <c r="U1483" s="210"/>
      <c r="X1483" s="210"/>
      <c r="Y1483" s="210"/>
      <c r="Z1483" s="210"/>
      <c r="AA1483" s="210"/>
      <c r="AB1483" s="210"/>
      <c r="AC1483" s="210"/>
      <c r="AD1483" s="210"/>
      <c r="AE1483" s="210"/>
      <c r="AF1483" s="210"/>
      <c r="AG1483" s="210"/>
      <c r="AH1483" s="210"/>
      <c r="AI1483" s="210"/>
      <c r="AJ1483" s="210"/>
      <c r="AK1483" s="210"/>
      <c r="AL1483" s="210"/>
      <c r="AM1483" s="210"/>
      <c r="AN1483" s="210"/>
      <c r="AO1483" s="210"/>
      <c r="AP1483" s="210"/>
      <c r="AQ1483" s="210"/>
    </row>
    <row r="1484">
      <c r="A1484" s="190"/>
      <c r="B1484" s="190"/>
      <c r="C1484" s="190"/>
      <c r="D1484" s="190"/>
      <c r="E1484" s="190"/>
      <c r="F1484" s="190"/>
      <c r="G1484" s="190"/>
      <c r="H1484" s="190"/>
      <c r="I1484" s="190"/>
      <c r="J1484" s="190"/>
      <c r="K1484" s="190"/>
      <c r="L1484" s="190"/>
      <c r="M1484" s="190"/>
      <c r="N1484" s="220"/>
      <c r="O1484" s="220"/>
      <c r="P1484" s="220"/>
      <c r="R1484" s="210"/>
      <c r="S1484" s="210"/>
      <c r="T1484" s="210"/>
      <c r="U1484" s="210"/>
      <c r="X1484" s="210"/>
      <c r="Y1484" s="210"/>
      <c r="Z1484" s="210"/>
      <c r="AA1484" s="210"/>
      <c r="AB1484" s="210"/>
      <c r="AC1484" s="210"/>
      <c r="AD1484" s="210"/>
      <c r="AE1484" s="210"/>
      <c r="AF1484" s="210"/>
      <c r="AG1484" s="210"/>
      <c r="AH1484" s="210"/>
      <c r="AI1484" s="210"/>
      <c r="AJ1484" s="210"/>
      <c r="AK1484" s="210"/>
      <c r="AL1484" s="210"/>
      <c r="AM1484" s="210"/>
      <c r="AN1484" s="210"/>
      <c r="AO1484" s="210"/>
      <c r="AP1484" s="210"/>
      <c r="AQ1484" s="210"/>
    </row>
    <row r="1485">
      <c r="A1485" s="190"/>
      <c r="B1485" s="190"/>
      <c r="C1485" s="190"/>
      <c r="D1485" s="190"/>
      <c r="E1485" s="190"/>
      <c r="F1485" s="190"/>
      <c r="G1485" s="190"/>
      <c r="H1485" s="190"/>
      <c r="I1485" s="190"/>
      <c r="J1485" s="190"/>
      <c r="K1485" s="190"/>
      <c r="L1485" s="190"/>
      <c r="M1485" s="190"/>
      <c r="N1485" s="220"/>
      <c r="O1485" s="220"/>
      <c r="P1485" s="220"/>
      <c r="R1485" s="210"/>
      <c r="S1485" s="210"/>
      <c r="T1485" s="210"/>
      <c r="U1485" s="210"/>
      <c r="X1485" s="210"/>
      <c r="Y1485" s="210"/>
      <c r="Z1485" s="210"/>
      <c r="AA1485" s="210"/>
      <c r="AB1485" s="210"/>
      <c r="AC1485" s="210"/>
      <c r="AD1485" s="210"/>
      <c r="AE1485" s="210"/>
      <c r="AF1485" s="210"/>
      <c r="AG1485" s="210"/>
      <c r="AH1485" s="210"/>
      <c r="AI1485" s="210"/>
      <c r="AJ1485" s="210"/>
      <c r="AK1485" s="210"/>
      <c r="AL1485" s="210"/>
      <c r="AM1485" s="210"/>
      <c r="AN1485" s="210"/>
      <c r="AO1485" s="210"/>
      <c r="AP1485" s="210"/>
      <c r="AQ1485" s="210"/>
    </row>
    <row r="1486">
      <c r="A1486" s="190"/>
      <c r="B1486" s="190"/>
      <c r="C1486" s="190"/>
      <c r="D1486" s="190"/>
      <c r="E1486" s="190"/>
      <c r="F1486" s="190"/>
      <c r="G1486" s="190"/>
      <c r="H1486" s="190"/>
      <c r="I1486" s="190"/>
      <c r="J1486" s="190"/>
      <c r="K1486" s="190"/>
      <c r="L1486" s="190"/>
      <c r="M1486" s="190"/>
      <c r="N1486" s="220"/>
      <c r="O1486" s="220"/>
      <c r="P1486" s="220"/>
      <c r="R1486" s="210"/>
      <c r="S1486" s="210"/>
      <c r="T1486" s="210"/>
      <c r="U1486" s="210"/>
      <c r="X1486" s="210"/>
      <c r="Y1486" s="210"/>
      <c r="Z1486" s="210"/>
      <c r="AA1486" s="210"/>
      <c r="AB1486" s="210"/>
      <c r="AC1486" s="210"/>
      <c r="AD1486" s="210"/>
      <c r="AE1486" s="210"/>
      <c r="AF1486" s="210"/>
      <c r="AG1486" s="210"/>
      <c r="AH1486" s="210"/>
      <c r="AI1486" s="210"/>
      <c r="AJ1486" s="210"/>
      <c r="AK1486" s="210"/>
      <c r="AL1486" s="210"/>
      <c r="AM1486" s="210"/>
      <c r="AN1486" s="210"/>
      <c r="AO1486" s="210"/>
      <c r="AP1486" s="210"/>
      <c r="AQ1486" s="210"/>
    </row>
    <row r="1487">
      <c r="A1487" s="190"/>
      <c r="B1487" s="190"/>
      <c r="C1487" s="190"/>
      <c r="D1487" s="190"/>
      <c r="E1487" s="190"/>
      <c r="F1487" s="190"/>
      <c r="G1487" s="190"/>
      <c r="H1487" s="190"/>
      <c r="I1487" s="190"/>
      <c r="J1487" s="190"/>
      <c r="K1487" s="190"/>
      <c r="L1487" s="190"/>
      <c r="M1487" s="190"/>
      <c r="N1487" s="220"/>
      <c r="O1487" s="220"/>
      <c r="P1487" s="220"/>
      <c r="R1487" s="210"/>
      <c r="S1487" s="210"/>
      <c r="T1487" s="210"/>
      <c r="U1487" s="210"/>
      <c r="X1487" s="210"/>
      <c r="Y1487" s="210"/>
      <c r="Z1487" s="210"/>
      <c r="AA1487" s="210"/>
      <c r="AB1487" s="210"/>
      <c r="AC1487" s="210"/>
      <c r="AD1487" s="210"/>
      <c r="AE1487" s="210"/>
      <c r="AF1487" s="210"/>
      <c r="AG1487" s="210"/>
      <c r="AH1487" s="210"/>
      <c r="AI1487" s="210"/>
      <c r="AJ1487" s="210"/>
      <c r="AK1487" s="210"/>
      <c r="AL1487" s="210"/>
      <c r="AM1487" s="210"/>
      <c r="AN1487" s="210"/>
      <c r="AO1487" s="210"/>
      <c r="AP1487" s="210"/>
      <c r="AQ1487" s="210"/>
    </row>
    <row r="1488">
      <c r="A1488" s="190"/>
      <c r="B1488" s="190"/>
      <c r="C1488" s="190"/>
      <c r="D1488" s="190"/>
      <c r="E1488" s="190"/>
      <c r="F1488" s="190"/>
      <c r="G1488" s="190"/>
      <c r="H1488" s="190"/>
      <c r="I1488" s="190"/>
      <c r="J1488" s="190"/>
      <c r="K1488" s="190"/>
      <c r="L1488" s="190"/>
      <c r="M1488" s="190"/>
      <c r="N1488" s="220"/>
      <c r="O1488" s="220"/>
      <c r="P1488" s="220"/>
      <c r="R1488" s="210"/>
      <c r="S1488" s="210"/>
      <c r="T1488" s="210"/>
      <c r="U1488" s="210"/>
      <c r="X1488" s="210"/>
      <c r="Y1488" s="210"/>
      <c r="Z1488" s="210"/>
      <c r="AA1488" s="210"/>
      <c r="AB1488" s="210"/>
      <c r="AC1488" s="210"/>
      <c r="AD1488" s="210"/>
      <c r="AE1488" s="210"/>
      <c r="AF1488" s="210"/>
      <c r="AG1488" s="210"/>
      <c r="AH1488" s="210"/>
      <c r="AI1488" s="210"/>
      <c r="AJ1488" s="210"/>
      <c r="AK1488" s="210"/>
      <c r="AL1488" s="210"/>
      <c r="AM1488" s="210"/>
      <c r="AN1488" s="210"/>
      <c r="AO1488" s="210"/>
      <c r="AP1488" s="210"/>
      <c r="AQ1488" s="210"/>
    </row>
    <row r="1489">
      <c r="A1489" s="190"/>
      <c r="B1489" s="190"/>
      <c r="C1489" s="190"/>
      <c r="D1489" s="190"/>
      <c r="E1489" s="190"/>
      <c r="F1489" s="190"/>
      <c r="G1489" s="190"/>
      <c r="H1489" s="190"/>
      <c r="I1489" s="190"/>
      <c r="J1489" s="190"/>
      <c r="K1489" s="190"/>
      <c r="L1489" s="190"/>
      <c r="M1489" s="190"/>
      <c r="N1489" s="220"/>
      <c r="O1489" s="220"/>
      <c r="P1489" s="220"/>
      <c r="R1489" s="210"/>
      <c r="S1489" s="210"/>
      <c r="T1489" s="210"/>
      <c r="U1489" s="210"/>
      <c r="X1489" s="210"/>
      <c r="Y1489" s="210"/>
      <c r="Z1489" s="210"/>
      <c r="AA1489" s="210"/>
      <c r="AB1489" s="210"/>
      <c r="AC1489" s="210"/>
      <c r="AD1489" s="210"/>
      <c r="AE1489" s="210"/>
      <c r="AF1489" s="210"/>
      <c r="AG1489" s="210"/>
      <c r="AH1489" s="210"/>
      <c r="AI1489" s="210"/>
      <c r="AJ1489" s="210"/>
      <c r="AK1489" s="210"/>
      <c r="AL1489" s="210"/>
      <c r="AM1489" s="210"/>
      <c r="AN1489" s="210"/>
      <c r="AO1489" s="210"/>
      <c r="AP1489" s="210"/>
      <c r="AQ1489" s="210"/>
    </row>
    <row r="1490">
      <c r="A1490" s="190"/>
      <c r="B1490" s="190"/>
      <c r="C1490" s="190"/>
      <c r="D1490" s="190"/>
      <c r="E1490" s="190"/>
      <c r="F1490" s="190"/>
      <c r="G1490" s="190"/>
      <c r="H1490" s="190"/>
      <c r="I1490" s="190"/>
      <c r="J1490" s="190"/>
      <c r="K1490" s="190"/>
      <c r="L1490" s="190"/>
      <c r="M1490" s="190"/>
      <c r="N1490" s="220"/>
      <c r="O1490" s="220"/>
      <c r="P1490" s="220"/>
      <c r="R1490" s="210"/>
      <c r="S1490" s="210"/>
      <c r="T1490" s="210"/>
      <c r="U1490" s="210"/>
      <c r="X1490" s="210"/>
      <c r="Y1490" s="210"/>
      <c r="Z1490" s="210"/>
      <c r="AA1490" s="210"/>
      <c r="AB1490" s="210"/>
      <c r="AC1490" s="210"/>
      <c r="AD1490" s="210"/>
      <c r="AE1490" s="210"/>
      <c r="AF1490" s="210"/>
      <c r="AG1490" s="210"/>
      <c r="AH1490" s="210"/>
      <c r="AI1490" s="210"/>
      <c r="AJ1490" s="210"/>
      <c r="AK1490" s="210"/>
      <c r="AL1490" s="210"/>
      <c r="AM1490" s="210"/>
      <c r="AN1490" s="210"/>
      <c r="AO1490" s="210"/>
      <c r="AP1490" s="210"/>
      <c r="AQ1490" s="210"/>
    </row>
    <row r="1491">
      <c r="A1491" s="190"/>
      <c r="B1491" s="190"/>
      <c r="C1491" s="190"/>
      <c r="D1491" s="190"/>
      <c r="E1491" s="190"/>
      <c r="F1491" s="190"/>
      <c r="G1491" s="190"/>
      <c r="H1491" s="190"/>
      <c r="I1491" s="190"/>
      <c r="J1491" s="190"/>
      <c r="K1491" s="190"/>
      <c r="L1491" s="190"/>
      <c r="M1491" s="190"/>
      <c r="N1491" s="220"/>
      <c r="O1491" s="220"/>
      <c r="P1491" s="220"/>
      <c r="R1491" s="210"/>
      <c r="S1491" s="210"/>
      <c r="T1491" s="210"/>
      <c r="U1491" s="210"/>
      <c r="X1491" s="210"/>
      <c r="Y1491" s="210"/>
      <c r="Z1491" s="210"/>
      <c r="AA1491" s="210"/>
      <c r="AB1491" s="210"/>
      <c r="AC1491" s="210"/>
      <c r="AD1491" s="210"/>
      <c r="AE1491" s="210"/>
      <c r="AF1491" s="210"/>
      <c r="AG1491" s="210"/>
      <c r="AH1491" s="210"/>
      <c r="AI1491" s="210"/>
      <c r="AJ1491" s="210"/>
      <c r="AK1491" s="210"/>
      <c r="AL1491" s="210"/>
      <c r="AM1491" s="210"/>
      <c r="AN1491" s="210"/>
      <c r="AO1491" s="210"/>
      <c r="AP1491" s="210"/>
      <c r="AQ1491" s="210"/>
    </row>
    <row r="1492">
      <c r="A1492" s="190"/>
      <c r="B1492" s="190"/>
      <c r="C1492" s="190"/>
      <c r="D1492" s="190"/>
      <c r="E1492" s="190"/>
      <c r="F1492" s="190"/>
      <c r="G1492" s="190"/>
      <c r="H1492" s="190"/>
      <c r="I1492" s="190"/>
      <c r="J1492" s="190"/>
      <c r="K1492" s="190"/>
      <c r="L1492" s="190"/>
      <c r="M1492" s="190"/>
      <c r="N1492" s="220"/>
      <c r="O1492" s="220"/>
      <c r="P1492" s="220"/>
      <c r="R1492" s="210"/>
      <c r="S1492" s="210"/>
      <c r="T1492" s="210"/>
      <c r="U1492" s="210"/>
      <c r="X1492" s="210"/>
      <c r="Y1492" s="210"/>
      <c r="Z1492" s="210"/>
      <c r="AA1492" s="210"/>
      <c r="AB1492" s="210"/>
      <c r="AC1492" s="210"/>
      <c r="AD1492" s="210"/>
      <c r="AE1492" s="210"/>
      <c r="AF1492" s="210"/>
      <c r="AG1492" s="210"/>
      <c r="AH1492" s="210"/>
      <c r="AI1492" s="210"/>
      <c r="AJ1492" s="210"/>
      <c r="AK1492" s="210"/>
      <c r="AL1492" s="210"/>
      <c r="AM1492" s="210"/>
      <c r="AN1492" s="210"/>
      <c r="AO1492" s="210"/>
      <c r="AP1492" s="210"/>
      <c r="AQ1492" s="210"/>
    </row>
    <row r="1493">
      <c r="A1493" s="190"/>
      <c r="B1493" s="190"/>
      <c r="C1493" s="190"/>
      <c r="D1493" s="190"/>
      <c r="E1493" s="190"/>
      <c r="F1493" s="190"/>
      <c r="G1493" s="190"/>
      <c r="H1493" s="190"/>
      <c r="I1493" s="190"/>
      <c r="J1493" s="190"/>
      <c r="K1493" s="190"/>
      <c r="L1493" s="190"/>
      <c r="M1493" s="190"/>
      <c r="N1493" s="220"/>
      <c r="O1493" s="220"/>
      <c r="P1493" s="220"/>
      <c r="R1493" s="210"/>
      <c r="S1493" s="210"/>
      <c r="T1493" s="210"/>
      <c r="U1493" s="210"/>
      <c r="X1493" s="210"/>
      <c r="Y1493" s="210"/>
      <c r="Z1493" s="210"/>
      <c r="AA1493" s="210"/>
      <c r="AB1493" s="210"/>
      <c r="AC1493" s="210"/>
      <c r="AD1493" s="210"/>
      <c r="AE1493" s="210"/>
      <c r="AF1493" s="210"/>
      <c r="AG1493" s="210"/>
      <c r="AH1493" s="210"/>
      <c r="AI1493" s="210"/>
      <c r="AJ1493" s="210"/>
      <c r="AK1493" s="210"/>
      <c r="AL1493" s="210"/>
      <c r="AM1493" s="210"/>
      <c r="AN1493" s="210"/>
      <c r="AO1493" s="210"/>
      <c r="AP1493" s="210"/>
      <c r="AQ1493" s="210"/>
    </row>
    <row r="1494">
      <c r="A1494" s="190"/>
      <c r="B1494" s="190"/>
      <c r="C1494" s="190"/>
      <c r="D1494" s="190"/>
      <c r="E1494" s="190"/>
      <c r="F1494" s="190"/>
      <c r="G1494" s="190"/>
      <c r="H1494" s="190"/>
      <c r="I1494" s="190"/>
      <c r="J1494" s="190"/>
      <c r="K1494" s="190"/>
      <c r="L1494" s="190"/>
      <c r="M1494" s="190"/>
      <c r="N1494" s="220"/>
      <c r="O1494" s="220"/>
      <c r="P1494" s="220"/>
      <c r="R1494" s="210"/>
      <c r="S1494" s="210"/>
      <c r="T1494" s="210"/>
      <c r="U1494" s="210"/>
      <c r="X1494" s="210"/>
      <c r="Y1494" s="210"/>
      <c r="Z1494" s="210"/>
      <c r="AA1494" s="210"/>
      <c r="AB1494" s="210"/>
      <c r="AC1494" s="210"/>
      <c r="AD1494" s="210"/>
      <c r="AE1494" s="210"/>
      <c r="AF1494" s="210"/>
      <c r="AG1494" s="210"/>
      <c r="AH1494" s="210"/>
      <c r="AI1494" s="210"/>
      <c r="AJ1494" s="210"/>
      <c r="AK1494" s="210"/>
      <c r="AL1494" s="210"/>
      <c r="AM1494" s="210"/>
      <c r="AN1494" s="210"/>
      <c r="AO1494" s="210"/>
      <c r="AP1494" s="210"/>
      <c r="AQ1494" s="210"/>
    </row>
    <row r="1495">
      <c r="A1495" s="190"/>
      <c r="B1495" s="190"/>
      <c r="C1495" s="190"/>
      <c r="D1495" s="190"/>
      <c r="E1495" s="190"/>
      <c r="F1495" s="190"/>
      <c r="G1495" s="190"/>
      <c r="H1495" s="190"/>
      <c r="I1495" s="190"/>
      <c r="J1495" s="190"/>
      <c r="K1495" s="190"/>
      <c r="L1495" s="190"/>
      <c r="M1495" s="190"/>
      <c r="N1495" s="220"/>
      <c r="O1495" s="220"/>
      <c r="P1495" s="220"/>
      <c r="R1495" s="210"/>
      <c r="S1495" s="210"/>
      <c r="T1495" s="210"/>
      <c r="U1495" s="210"/>
      <c r="X1495" s="210"/>
      <c r="Y1495" s="210"/>
      <c r="Z1495" s="210"/>
      <c r="AA1495" s="210"/>
      <c r="AB1495" s="210"/>
      <c r="AC1495" s="210"/>
      <c r="AD1495" s="210"/>
      <c r="AE1495" s="210"/>
      <c r="AF1495" s="210"/>
      <c r="AG1495" s="210"/>
      <c r="AH1495" s="210"/>
      <c r="AI1495" s="210"/>
      <c r="AJ1495" s="210"/>
      <c r="AK1495" s="210"/>
      <c r="AL1495" s="210"/>
      <c r="AM1495" s="210"/>
      <c r="AN1495" s="210"/>
      <c r="AO1495" s="210"/>
      <c r="AP1495" s="210"/>
      <c r="AQ1495" s="210"/>
    </row>
    <row r="1496">
      <c r="A1496" s="190"/>
      <c r="B1496" s="190"/>
      <c r="C1496" s="190"/>
      <c r="D1496" s="190"/>
      <c r="E1496" s="190"/>
      <c r="F1496" s="190"/>
      <c r="G1496" s="190"/>
      <c r="H1496" s="190"/>
      <c r="I1496" s="190"/>
      <c r="J1496" s="190"/>
      <c r="K1496" s="190"/>
      <c r="L1496" s="190"/>
      <c r="M1496" s="190"/>
      <c r="N1496" s="220"/>
      <c r="O1496" s="220"/>
      <c r="P1496" s="220"/>
      <c r="R1496" s="210"/>
      <c r="S1496" s="210"/>
      <c r="T1496" s="210"/>
      <c r="U1496" s="210"/>
      <c r="X1496" s="210"/>
      <c r="Y1496" s="210"/>
      <c r="Z1496" s="210"/>
      <c r="AA1496" s="210"/>
      <c r="AB1496" s="210"/>
      <c r="AC1496" s="210"/>
      <c r="AD1496" s="210"/>
      <c r="AE1496" s="210"/>
      <c r="AF1496" s="210"/>
      <c r="AG1496" s="210"/>
      <c r="AH1496" s="210"/>
      <c r="AI1496" s="210"/>
      <c r="AJ1496" s="210"/>
      <c r="AK1496" s="210"/>
      <c r="AL1496" s="210"/>
      <c r="AM1496" s="210"/>
      <c r="AN1496" s="210"/>
      <c r="AO1496" s="210"/>
      <c r="AP1496" s="210"/>
      <c r="AQ1496" s="210"/>
    </row>
    <row r="1497">
      <c r="A1497" s="190"/>
      <c r="B1497" s="190"/>
      <c r="C1497" s="190"/>
      <c r="D1497" s="190"/>
      <c r="E1497" s="190"/>
      <c r="F1497" s="190"/>
      <c r="G1497" s="190"/>
      <c r="H1497" s="190"/>
      <c r="I1497" s="190"/>
      <c r="J1497" s="190"/>
      <c r="K1497" s="190"/>
      <c r="L1497" s="190"/>
      <c r="M1497" s="190"/>
      <c r="N1497" s="220"/>
      <c r="O1497" s="220"/>
      <c r="P1497" s="220"/>
      <c r="R1497" s="210"/>
      <c r="S1497" s="210"/>
      <c r="T1497" s="210"/>
      <c r="U1497" s="210"/>
      <c r="X1497" s="210"/>
      <c r="Y1497" s="210"/>
      <c r="Z1497" s="210"/>
      <c r="AA1497" s="210"/>
      <c r="AB1497" s="210"/>
      <c r="AC1497" s="210"/>
      <c r="AD1497" s="210"/>
      <c r="AE1497" s="210"/>
      <c r="AF1497" s="210"/>
      <c r="AG1497" s="210"/>
      <c r="AH1497" s="210"/>
      <c r="AI1497" s="210"/>
      <c r="AJ1497" s="210"/>
      <c r="AK1497" s="210"/>
      <c r="AL1497" s="210"/>
      <c r="AM1497" s="210"/>
      <c r="AN1497" s="210"/>
      <c r="AO1497" s="210"/>
      <c r="AP1497" s="210"/>
      <c r="AQ1497" s="210"/>
    </row>
    <row r="1498">
      <c r="A1498" s="190"/>
      <c r="B1498" s="190"/>
      <c r="C1498" s="190"/>
      <c r="D1498" s="190"/>
      <c r="E1498" s="190"/>
      <c r="F1498" s="190"/>
      <c r="G1498" s="190"/>
      <c r="H1498" s="190"/>
      <c r="I1498" s="190"/>
      <c r="J1498" s="190"/>
      <c r="K1498" s="190"/>
      <c r="L1498" s="190"/>
      <c r="M1498" s="190"/>
      <c r="N1498" s="220"/>
      <c r="O1498" s="220"/>
      <c r="P1498" s="220"/>
      <c r="R1498" s="210"/>
      <c r="S1498" s="210"/>
      <c r="T1498" s="210"/>
      <c r="U1498" s="210"/>
      <c r="X1498" s="210"/>
      <c r="Y1498" s="210"/>
      <c r="Z1498" s="210"/>
      <c r="AA1498" s="210"/>
      <c r="AB1498" s="210"/>
      <c r="AC1498" s="210"/>
      <c r="AD1498" s="210"/>
      <c r="AE1498" s="210"/>
      <c r="AF1498" s="210"/>
      <c r="AG1498" s="210"/>
      <c r="AH1498" s="210"/>
      <c r="AI1498" s="210"/>
      <c r="AJ1498" s="210"/>
      <c r="AK1498" s="210"/>
      <c r="AL1498" s="210"/>
      <c r="AM1498" s="210"/>
      <c r="AN1498" s="210"/>
      <c r="AO1498" s="210"/>
      <c r="AP1498" s="210"/>
      <c r="AQ1498" s="210"/>
    </row>
    <row r="1499">
      <c r="A1499" s="190"/>
      <c r="B1499" s="190"/>
      <c r="C1499" s="190"/>
      <c r="D1499" s="190"/>
      <c r="E1499" s="190"/>
      <c r="F1499" s="190"/>
      <c r="G1499" s="190"/>
      <c r="H1499" s="190"/>
      <c r="I1499" s="190"/>
      <c r="J1499" s="190"/>
      <c r="K1499" s="190"/>
      <c r="L1499" s="190"/>
      <c r="M1499" s="190"/>
      <c r="N1499" s="220"/>
      <c r="O1499" s="220"/>
      <c r="P1499" s="220"/>
      <c r="R1499" s="210"/>
      <c r="S1499" s="210"/>
      <c r="T1499" s="210"/>
      <c r="U1499" s="210"/>
      <c r="X1499" s="210"/>
      <c r="Y1499" s="210"/>
      <c r="Z1499" s="210"/>
      <c r="AA1499" s="210"/>
      <c r="AB1499" s="210"/>
      <c r="AC1499" s="210"/>
      <c r="AD1499" s="210"/>
      <c r="AE1499" s="210"/>
      <c r="AF1499" s="210"/>
      <c r="AG1499" s="210"/>
      <c r="AH1499" s="210"/>
      <c r="AI1499" s="210"/>
      <c r="AJ1499" s="210"/>
      <c r="AK1499" s="210"/>
      <c r="AL1499" s="210"/>
      <c r="AM1499" s="210"/>
      <c r="AN1499" s="210"/>
      <c r="AO1499" s="210"/>
      <c r="AP1499" s="210"/>
      <c r="AQ1499" s="210"/>
    </row>
    <row r="1500">
      <c r="A1500" s="190"/>
      <c r="B1500" s="190"/>
      <c r="C1500" s="190"/>
      <c r="D1500" s="190"/>
      <c r="E1500" s="190"/>
      <c r="F1500" s="190"/>
      <c r="G1500" s="190"/>
      <c r="H1500" s="190"/>
      <c r="I1500" s="190"/>
      <c r="J1500" s="190"/>
      <c r="K1500" s="190"/>
      <c r="L1500" s="190"/>
      <c r="M1500" s="190"/>
      <c r="N1500" s="220"/>
      <c r="O1500" s="220"/>
      <c r="P1500" s="220"/>
      <c r="R1500" s="210"/>
      <c r="S1500" s="210"/>
      <c r="T1500" s="210"/>
      <c r="U1500" s="210"/>
      <c r="X1500" s="210"/>
      <c r="Y1500" s="210"/>
      <c r="Z1500" s="210"/>
      <c r="AA1500" s="210"/>
      <c r="AB1500" s="210"/>
      <c r="AC1500" s="210"/>
      <c r="AD1500" s="210"/>
      <c r="AE1500" s="210"/>
      <c r="AF1500" s="210"/>
      <c r="AG1500" s="210"/>
      <c r="AH1500" s="210"/>
      <c r="AI1500" s="210"/>
      <c r="AJ1500" s="210"/>
      <c r="AK1500" s="210"/>
      <c r="AL1500" s="210"/>
      <c r="AM1500" s="210"/>
      <c r="AN1500" s="210"/>
      <c r="AO1500" s="210"/>
      <c r="AP1500" s="210"/>
      <c r="AQ1500" s="210"/>
    </row>
    <row r="1501">
      <c r="A1501" s="190"/>
      <c r="B1501" s="190"/>
      <c r="C1501" s="190"/>
      <c r="D1501" s="190"/>
      <c r="E1501" s="190"/>
      <c r="F1501" s="190"/>
      <c r="G1501" s="190"/>
      <c r="H1501" s="190"/>
      <c r="I1501" s="190"/>
      <c r="J1501" s="190"/>
      <c r="K1501" s="190"/>
      <c r="L1501" s="190"/>
      <c r="M1501" s="190"/>
      <c r="N1501" s="220"/>
      <c r="O1501" s="220"/>
      <c r="P1501" s="220"/>
      <c r="R1501" s="210"/>
      <c r="S1501" s="210"/>
      <c r="T1501" s="210"/>
      <c r="U1501" s="210"/>
      <c r="X1501" s="210"/>
      <c r="Y1501" s="210"/>
      <c r="Z1501" s="210"/>
      <c r="AA1501" s="210"/>
      <c r="AB1501" s="210"/>
      <c r="AC1501" s="210"/>
      <c r="AD1501" s="210"/>
      <c r="AE1501" s="210"/>
      <c r="AF1501" s="210"/>
      <c r="AG1501" s="210"/>
      <c r="AH1501" s="210"/>
      <c r="AI1501" s="210"/>
      <c r="AJ1501" s="210"/>
      <c r="AK1501" s="210"/>
      <c r="AL1501" s="210"/>
      <c r="AM1501" s="210"/>
      <c r="AN1501" s="210"/>
      <c r="AO1501" s="210"/>
      <c r="AP1501" s="210"/>
      <c r="AQ1501" s="210"/>
    </row>
    <row r="1502">
      <c r="A1502" s="190"/>
      <c r="B1502" s="190"/>
      <c r="C1502" s="190"/>
      <c r="D1502" s="190"/>
      <c r="E1502" s="190"/>
      <c r="F1502" s="190"/>
      <c r="G1502" s="190"/>
      <c r="H1502" s="190"/>
      <c r="I1502" s="190"/>
      <c r="J1502" s="190"/>
      <c r="K1502" s="190"/>
      <c r="L1502" s="190"/>
      <c r="M1502" s="190"/>
      <c r="N1502" s="220"/>
      <c r="O1502" s="220"/>
      <c r="P1502" s="220"/>
      <c r="R1502" s="210"/>
      <c r="S1502" s="210"/>
      <c r="T1502" s="210"/>
      <c r="U1502" s="210"/>
      <c r="X1502" s="210"/>
      <c r="Y1502" s="210"/>
      <c r="Z1502" s="210"/>
      <c r="AA1502" s="210"/>
      <c r="AB1502" s="210"/>
      <c r="AC1502" s="210"/>
      <c r="AD1502" s="210"/>
      <c r="AE1502" s="210"/>
      <c r="AF1502" s="210"/>
      <c r="AG1502" s="210"/>
      <c r="AH1502" s="210"/>
      <c r="AI1502" s="210"/>
      <c r="AJ1502" s="210"/>
      <c r="AK1502" s="210"/>
      <c r="AL1502" s="210"/>
      <c r="AM1502" s="210"/>
      <c r="AN1502" s="210"/>
      <c r="AO1502" s="210"/>
      <c r="AP1502" s="210"/>
      <c r="AQ1502" s="210"/>
    </row>
    <row r="1503">
      <c r="A1503" s="190"/>
      <c r="B1503" s="190"/>
      <c r="C1503" s="190"/>
      <c r="D1503" s="190"/>
      <c r="E1503" s="190"/>
      <c r="F1503" s="190"/>
      <c r="G1503" s="190"/>
      <c r="H1503" s="190"/>
      <c r="I1503" s="190"/>
      <c r="J1503" s="190"/>
      <c r="K1503" s="190"/>
      <c r="L1503" s="190"/>
      <c r="M1503" s="190"/>
      <c r="N1503" s="220"/>
      <c r="O1503" s="220"/>
      <c r="P1503" s="220"/>
      <c r="R1503" s="210"/>
      <c r="S1503" s="210"/>
      <c r="T1503" s="210"/>
      <c r="U1503" s="210"/>
      <c r="X1503" s="210"/>
      <c r="Y1503" s="210"/>
      <c r="Z1503" s="210"/>
      <c r="AA1503" s="210"/>
      <c r="AB1503" s="210"/>
      <c r="AC1503" s="210"/>
      <c r="AD1503" s="210"/>
      <c r="AE1503" s="210"/>
      <c r="AF1503" s="210"/>
      <c r="AG1503" s="210"/>
      <c r="AH1503" s="210"/>
      <c r="AI1503" s="210"/>
      <c r="AJ1503" s="210"/>
      <c r="AK1503" s="210"/>
      <c r="AL1503" s="210"/>
      <c r="AM1503" s="210"/>
      <c r="AN1503" s="210"/>
      <c r="AO1503" s="210"/>
      <c r="AP1503" s="210"/>
      <c r="AQ1503" s="210"/>
    </row>
    <row r="1504">
      <c r="A1504" s="190"/>
      <c r="B1504" s="190"/>
      <c r="C1504" s="190"/>
      <c r="D1504" s="190"/>
      <c r="E1504" s="190"/>
      <c r="F1504" s="190"/>
      <c r="G1504" s="190"/>
      <c r="H1504" s="190"/>
      <c r="I1504" s="190"/>
      <c r="J1504" s="190"/>
      <c r="K1504" s="190"/>
      <c r="L1504" s="190"/>
      <c r="M1504" s="190"/>
      <c r="N1504" s="220"/>
      <c r="O1504" s="220"/>
      <c r="P1504" s="220"/>
      <c r="R1504" s="210"/>
      <c r="S1504" s="210"/>
      <c r="T1504" s="210"/>
      <c r="U1504" s="210"/>
      <c r="X1504" s="210"/>
      <c r="Y1504" s="210"/>
      <c r="Z1504" s="210"/>
      <c r="AA1504" s="210"/>
      <c r="AB1504" s="210"/>
      <c r="AC1504" s="210"/>
      <c r="AD1504" s="210"/>
      <c r="AE1504" s="210"/>
      <c r="AF1504" s="210"/>
      <c r="AG1504" s="210"/>
      <c r="AH1504" s="210"/>
      <c r="AI1504" s="210"/>
      <c r="AJ1504" s="210"/>
      <c r="AK1504" s="210"/>
      <c r="AL1504" s="210"/>
      <c r="AM1504" s="210"/>
      <c r="AN1504" s="210"/>
      <c r="AO1504" s="210"/>
      <c r="AP1504" s="210"/>
      <c r="AQ1504" s="210"/>
    </row>
    <row r="1505">
      <c r="A1505" s="190"/>
      <c r="B1505" s="190"/>
      <c r="C1505" s="190"/>
      <c r="D1505" s="190"/>
      <c r="E1505" s="190"/>
      <c r="F1505" s="190"/>
      <c r="G1505" s="190"/>
      <c r="H1505" s="190"/>
      <c r="I1505" s="190"/>
      <c r="J1505" s="190"/>
      <c r="K1505" s="190"/>
      <c r="L1505" s="190"/>
      <c r="M1505" s="190"/>
      <c r="N1505" s="220"/>
      <c r="O1505" s="220"/>
      <c r="P1505" s="220"/>
      <c r="R1505" s="210"/>
      <c r="S1505" s="210"/>
      <c r="T1505" s="210"/>
      <c r="U1505" s="210"/>
      <c r="X1505" s="210"/>
      <c r="Y1505" s="210"/>
      <c r="Z1505" s="210"/>
      <c r="AA1505" s="210"/>
      <c r="AB1505" s="210"/>
      <c r="AC1505" s="210"/>
      <c r="AD1505" s="210"/>
      <c r="AE1505" s="210"/>
      <c r="AF1505" s="210"/>
      <c r="AG1505" s="210"/>
      <c r="AH1505" s="210"/>
      <c r="AI1505" s="210"/>
      <c r="AJ1505" s="210"/>
      <c r="AK1505" s="210"/>
      <c r="AL1505" s="210"/>
      <c r="AM1505" s="210"/>
      <c r="AN1505" s="210"/>
      <c r="AO1505" s="210"/>
      <c r="AP1505" s="210"/>
      <c r="AQ1505" s="210"/>
    </row>
    <row r="1506">
      <c r="A1506" s="190"/>
      <c r="B1506" s="190"/>
      <c r="C1506" s="190"/>
      <c r="D1506" s="190"/>
      <c r="E1506" s="190"/>
      <c r="F1506" s="190"/>
      <c r="G1506" s="190"/>
      <c r="H1506" s="190"/>
      <c r="I1506" s="190"/>
      <c r="J1506" s="190"/>
      <c r="K1506" s="190"/>
      <c r="L1506" s="190"/>
      <c r="M1506" s="190"/>
      <c r="N1506" s="220"/>
      <c r="O1506" s="220"/>
      <c r="P1506" s="220"/>
      <c r="R1506" s="210"/>
      <c r="S1506" s="210"/>
      <c r="T1506" s="210"/>
      <c r="U1506" s="210"/>
      <c r="X1506" s="210"/>
      <c r="Y1506" s="210"/>
      <c r="Z1506" s="210"/>
      <c r="AA1506" s="210"/>
      <c r="AB1506" s="210"/>
      <c r="AC1506" s="210"/>
      <c r="AD1506" s="210"/>
      <c r="AE1506" s="210"/>
      <c r="AF1506" s="210"/>
      <c r="AG1506" s="210"/>
      <c r="AH1506" s="210"/>
      <c r="AI1506" s="210"/>
      <c r="AJ1506" s="210"/>
      <c r="AK1506" s="210"/>
      <c r="AL1506" s="210"/>
      <c r="AM1506" s="210"/>
      <c r="AN1506" s="210"/>
      <c r="AO1506" s="210"/>
      <c r="AP1506" s="210"/>
      <c r="AQ1506" s="210"/>
    </row>
    <row r="1507">
      <c r="A1507" s="190"/>
      <c r="B1507" s="190"/>
      <c r="C1507" s="190"/>
      <c r="D1507" s="190"/>
      <c r="E1507" s="190"/>
      <c r="F1507" s="190"/>
      <c r="G1507" s="190"/>
      <c r="H1507" s="190"/>
      <c r="I1507" s="190"/>
      <c r="J1507" s="190"/>
      <c r="K1507" s="190"/>
      <c r="L1507" s="190"/>
      <c r="M1507" s="190"/>
      <c r="N1507" s="220"/>
      <c r="O1507" s="220"/>
      <c r="P1507" s="220"/>
      <c r="R1507" s="210"/>
      <c r="S1507" s="210"/>
      <c r="T1507" s="210"/>
      <c r="U1507" s="210"/>
      <c r="X1507" s="210"/>
      <c r="Y1507" s="210"/>
      <c r="Z1507" s="210"/>
      <c r="AA1507" s="210"/>
      <c r="AB1507" s="210"/>
      <c r="AC1507" s="210"/>
      <c r="AD1507" s="210"/>
      <c r="AE1507" s="210"/>
      <c r="AF1507" s="210"/>
      <c r="AG1507" s="210"/>
      <c r="AH1507" s="210"/>
      <c r="AI1507" s="210"/>
      <c r="AJ1507" s="210"/>
      <c r="AK1507" s="210"/>
      <c r="AL1507" s="210"/>
      <c r="AM1507" s="210"/>
      <c r="AN1507" s="210"/>
      <c r="AO1507" s="210"/>
      <c r="AP1507" s="210"/>
      <c r="AQ1507" s="210"/>
    </row>
    <row r="1508">
      <c r="A1508" s="190"/>
      <c r="B1508" s="190"/>
      <c r="C1508" s="190"/>
      <c r="D1508" s="190"/>
      <c r="E1508" s="190"/>
      <c r="F1508" s="190"/>
      <c r="G1508" s="190"/>
      <c r="H1508" s="190"/>
      <c r="I1508" s="190"/>
      <c r="J1508" s="190"/>
      <c r="K1508" s="190"/>
      <c r="L1508" s="190"/>
      <c r="M1508" s="190"/>
      <c r="N1508" s="220"/>
      <c r="O1508" s="220"/>
      <c r="P1508" s="220"/>
      <c r="R1508" s="210"/>
      <c r="S1508" s="210"/>
      <c r="T1508" s="210"/>
      <c r="U1508" s="210"/>
      <c r="X1508" s="210"/>
      <c r="Y1508" s="210"/>
      <c r="Z1508" s="210"/>
      <c r="AA1508" s="210"/>
      <c r="AB1508" s="210"/>
      <c r="AC1508" s="210"/>
      <c r="AD1508" s="210"/>
      <c r="AE1508" s="210"/>
      <c r="AF1508" s="210"/>
      <c r="AG1508" s="210"/>
      <c r="AH1508" s="210"/>
      <c r="AI1508" s="210"/>
      <c r="AJ1508" s="210"/>
      <c r="AK1508" s="210"/>
      <c r="AL1508" s="210"/>
      <c r="AM1508" s="210"/>
      <c r="AN1508" s="210"/>
      <c r="AO1508" s="210"/>
      <c r="AP1508" s="210"/>
      <c r="AQ1508" s="210"/>
    </row>
    <row r="1509">
      <c r="A1509" s="190"/>
      <c r="B1509" s="190"/>
      <c r="C1509" s="190"/>
      <c r="D1509" s="190"/>
      <c r="E1509" s="190"/>
      <c r="F1509" s="190"/>
      <c r="G1509" s="190"/>
      <c r="H1509" s="190"/>
      <c r="I1509" s="190"/>
      <c r="J1509" s="190"/>
      <c r="K1509" s="190"/>
      <c r="L1509" s="190"/>
      <c r="M1509" s="190"/>
      <c r="N1509" s="220"/>
      <c r="O1509" s="220"/>
      <c r="P1509" s="220"/>
      <c r="R1509" s="210"/>
      <c r="S1509" s="210"/>
      <c r="T1509" s="210"/>
      <c r="U1509" s="210"/>
      <c r="X1509" s="210"/>
      <c r="Y1509" s="210"/>
      <c r="Z1509" s="210"/>
      <c r="AA1509" s="210"/>
      <c r="AB1509" s="210"/>
      <c r="AC1509" s="210"/>
      <c r="AD1509" s="210"/>
      <c r="AE1509" s="210"/>
      <c r="AF1509" s="210"/>
      <c r="AG1509" s="210"/>
      <c r="AH1509" s="210"/>
      <c r="AI1509" s="210"/>
      <c r="AJ1509" s="210"/>
      <c r="AK1509" s="210"/>
      <c r="AL1509" s="210"/>
      <c r="AM1509" s="210"/>
      <c r="AN1509" s="210"/>
      <c r="AO1509" s="210"/>
      <c r="AP1509" s="210"/>
      <c r="AQ1509" s="210"/>
    </row>
    <row r="1510">
      <c r="A1510" s="190"/>
      <c r="B1510" s="190"/>
      <c r="C1510" s="190"/>
      <c r="D1510" s="190"/>
      <c r="E1510" s="190"/>
      <c r="F1510" s="190"/>
      <c r="G1510" s="190"/>
      <c r="H1510" s="190"/>
      <c r="I1510" s="190"/>
      <c r="J1510" s="190"/>
      <c r="K1510" s="190"/>
      <c r="L1510" s="190"/>
      <c r="M1510" s="190"/>
      <c r="N1510" s="220"/>
      <c r="O1510" s="220"/>
      <c r="P1510" s="220"/>
      <c r="R1510" s="210"/>
      <c r="S1510" s="210"/>
      <c r="T1510" s="210"/>
      <c r="U1510" s="210"/>
      <c r="X1510" s="210"/>
      <c r="Y1510" s="210"/>
      <c r="Z1510" s="210"/>
      <c r="AA1510" s="210"/>
      <c r="AB1510" s="210"/>
      <c r="AC1510" s="210"/>
      <c r="AD1510" s="210"/>
      <c r="AE1510" s="210"/>
      <c r="AF1510" s="210"/>
      <c r="AG1510" s="210"/>
      <c r="AH1510" s="210"/>
      <c r="AI1510" s="210"/>
      <c r="AJ1510" s="210"/>
      <c r="AK1510" s="210"/>
      <c r="AL1510" s="210"/>
      <c r="AM1510" s="210"/>
      <c r="AN1510" s="210"/>
      <c r="AO1510" s="210"/>
      <c r="AP1510" s="210"/>
      <c r="AQ1510" s="210"/>
    </row>
    <row r="1511">
      <c r="A1511" s="190"/>
      <c r="B1511" s="190"/>
      <c r="C1511" s="190"/>
      <c r="D1511" s="190"/>
      <c r="E1511" s="190"/>
      <c r="F1511" s="190"/>
      <c r="G1511" s="190"/>
      <c r="H1511" s="190"/>
      <c r="I1511" s="190"/>
      <c r="J1511" s="190"/>
      <c r="K1511" s="190"/>
      <c r="L1511" s="190"/>
      <c r="M1511" s="190"/>
      <c r="N1511" s="220"/>
      <c r="O1511" s="220"/>
      <c r="P1511" s="220"/>
      <c r="R1511" s="210"/>
      <c r="S1511" s="210"/>
      <c r="T1511" s="210"/>
      <c r="U1511" s="210"/>
      <c r="X1511" s="210"/>
      <c r="Y1511" s="210"/>
      <c r="Z1511" s="210"/>
      <c r="AA1511" s="210"/>
      <c r="AB1511" s="210"/>
      <c r="AC1511" s="210"/>
      <c r="AD1511" s="210"/>
      <c r="AE1511" s="210"/>
      <c r="AF1511" s="210"/>
      <c r="AG1511" s="210"/>
      <c r="AH1511" s="210"/>
      <c r="AI1511" s="210"/>
      <c r="AJ1511" s="210"/>
      <c r="AK1511" s="210"/>
      <c r="AL1511" s="210"/>
      <c r="AM1511" s="210"/>
      <c r="AN1511" s="210"/>
      <c r="AO1511" s="210"/>
      <c r="AP1511" s="210"/>
      <c r="AQ1511" s="210"/>
    </row>
    <row r="1512">
      <c r="A1512" s="190"/>
      <c r="B1512" s="190"/>
      <c r="C1512" s="190"/>
      <c r="D1512" s="190"/>
      <c r="E1512" s="190"/>
      <c r="F1512" s="190"/>
      <c r="G1512" s="190"/>
      <c r="H1512" s="190"/>
      <c r="I1512" s="190"/>
      <c r="J1512" s="190"/>
      <c r="K1512" s="190"/>
      <c r="L1512" s="190"/>
      <c r="M1512" s="190"/>
      <c r="N1512" s="220"/>
      <c r="O1512" s="220"/>
      <c r="P1512" s="220"/>
      <c r="R1512" s="210"/>
      <c r="S1512" s="210"/>
      <c r="T1512" s="210"/>
      <c r="U1512" s="210"/>
      <c r="X1512" s="210"/>
      <c r="Y1512" s="210"/>
      <c r="Z1512" s="210"/>
      <c r="AA1512" s="210"/>
      <c r="AB1512" s="210"/>
      <c r="AC1512" s="210"/>
      <c r="AD1512" s="210"/>
      <c r="AE1512" s="210"/>
      <c r="AF1512" s="210"/>
      <c r="AG1512" s="210"/>
      <c r="AH1512" s="210"/>
      <c r="AI1512" s="210"/>
      <c r="AJ1512" s="210"/>
      <c r="AK1512" s="210"/>
      <c r="AL1512" s="210"/>
      <c r="AM1512" s="210"/>
      <c r="AN1512" s="210"/>
      <c r="AO1512" s="210"/>
      <c r="AP1512" s="210"/>
      <c r="AQ1512" s="210"/>
    </row>
    <row r="1513">
      <c r="A1513" s="190"/>
      <c r="B1513" s="190"/>
      <c r="C1513" s="190"/>
      <c r="D1513" s="190"/>
      <c r="E1513" s="190"/>
      <c r="F1513" s="190"/>
      <c r="G1513" s="190"/>
      <c r="H1513" s="190"/>
      <c r="I1513" s="190"/>
      <c r="J1513" s="190"/>
      <c r="K1513" s="190"/>
      <c r="L1513" s="190"/>
      <c r="M1513" s="190"/>
      <c r="N1513" s="220"/>
      <c r="O1513" s="220"/>
      <c r="P1513" s="220"/>
      <c r="R1513" s="210"/>
      <c r="S1513" s="210"/>
      <c r="T1513" s="210"/>
      <c r="U1513" s="210"/>
      <c r="X1513" s="210"/>
      <c r="Y1513" s="210"/>
      <c r="Z1513" s="210"/>
      <c r="AA1513" s="210"/>
      <c r="AB1513" s="210"/>
      <c r="AC1513" s="210"/>
      <c r="AD1513" s="210"/>
      <c r="AE1513" s="210"/>
      <c r="AF1513" s="210"/>
      <c r="AG1513" s="210"/>
      <c r="AH1513" s="210"/>
      <c r="AI1513" s="210"/>
      <c r="AJ1513" s="210"/>
      <c r="AK1513" s="210"/>
      <c r="AL1513" s="210"/>
      <c r="AM1513" s="210"/>
      <c r="AN1513" s="210"/>
      <c r="AO1513" s="210"/>
      <c r="AP1513" s="210"/>
      <c r="AQ1513" s="210"/>
    </row>
    <row r="1514">
      <c r="A1514" s="190"/>
      <c r="B1514" s="190"/>
      <c r="C1514" s="190"/>
      <c r="D1514" s="190"/>
      <c r="E1514" s="190"/>
      <c r="F1514" s="190"/>
      <c r="G1514" s="190"/>
      <c r="H1514" s="190"/>
      <c r="I1514" s="190"/>
      <c r="J1514" s="190"/>
      <c r="K1514" s="190"/>
      <c r="L1514" s="190"/>
      <c r="M1514" s="190"/>
      <c r="N1514" s="220"/>
      <c r="O1514" s="220"/>
      <c r="P1514" s="220"/>
      <c r="R1514" s="210"/>
      <c r="S1514" s="210"/>
      <c r="T1514" s="210"/>
      <c r="U1514" s="210"/>
      <c r="X1514" s="210"/>
      <c r="Y1514" s="210"/>
      <c r="Z1514" s="210"/>
      <c r="AA1514" s="210"/>
      <c r="AB1514" s="210"/>
      <c r="AC1514" s="210"/>
      <c r="AD1514" s="210"/>
      <c r="AE1514" s="210"/>
      <c r="AF1514" s="210"/>
      <c r="AG1514" s="210"/>
      <c r="AH1514" s="210"/>
      <c r="AI1514" s="210"/>
      <c r="AJ1514" s="210"/>
      <c r="AK1514" s="210"/>
      <c r="AL1514" s="210"/>
      <c r="AM1514" s="210"/>
      <c r="AN1514" s="210"/>
      <c r="AO1514" s="210"/>
      <c r="AP1514" s="210"/>
      <c r="AQ1514" s="210"/>
    </row>
    <row r="1515">
      <c r="A1515" s="190"/>
      <c r="B1515" s="190"/>
      <c r="C1515" s="190"/>
      <c r="D1515" s="190"/>
      <c r="E1515" s="190"/>
      <c r="F1515" s="190"/>
      <c r="G1515" s="190"/>
      <c r="H1515" s="190"/>
      <c r="I1515" s="190"/>
      <c r="J1515" s="190"/>
      <c r="K1515" s="190"/>
      <c r="L1515" s="190"/>
      <c r="M1515" s="190"/>
      <c r="N1515" s="220"/>
      <c r="O1515" s="220"/>
      <c r="P1515" s="220"/>
      <c r="R1515" s="210"/>
      <c r="S1515" s="210"/>
      <c r="T1515" s="210"/>
      <c r="U1515" s="210"/>
      <c r="X1515" s="210"/>
      <c r="Y1515" s="210"/>
      <c r="Z1515" s="210"/>
      <c r="AA1515" s="210"/>
      <c r="AB1515" s="210"/>
      <c r="AC1515" s="210"/>
      <c r="AD1515" s="210"/>
      <c r="AE1515" s="210"/>
      <c r="AF1515" s="210"/>
      <c r="AG1515" s="210"/>
      <c r="AH1515" s="210"/>
      <c r="AI1515" s="210"/>
      <c r="AJ1515" s="210"/>
      <c r="AK1515" s="210"/>
      <c r="AL1515" s="210"/>
      <c r="AM1515" s="210"/>
      <c r="AN1515" s="210"/>
      <c r="AO1515" s="210"/>
      <c r="AP1515" s="210"/>
      <c r="AQ1515" s="210"/>
    </row>
    <row r="1516">
      <c r="A1516" s="190"/>
      <c r="B1516" s="190"/>
      <c r="C1516" s="190"/>
      <c r="D1516" s="190"/>
      <c r="E1516" s="190"/>
      <c r="F1516" s="190"/>
      <c r="G1516" s="190"/>
      <c r="H1516" s="190"/>
      <c r="I1516" s="190"/>
      <c r="J1516" s="190"/>
      <c r="K1516" s="190"/>
      <c r="L1516" s="190"/>
      <c r="M1516" s="190"/>
      <c r="N1516" s="220"/>
      <c r="O1516" s="220"/>
      <c r="P1516" s="220"/>
      <c r="R1516" s="210"/>
      <c r="S1516" s="210"/>
      <c r="T1516" s="210"/>
      <c r="U1516" s="210"/>
      <c r="X1516" s="210"/>
      <c r="Y1516" s="210"/>
      <c r="Z1516" s="210"/>
      <c r="AA1516" s="210"/>
      <c r="AB1516" s="210"/>
      <c r="AC1516" s="210"/>
      <c r="AD1516" s="210"/>
      <c r="AE1516" s="210"/>
      <c r="AF1516" s="210"/>
      <c r="AG1516" s="210"/>
      <c r="AH1516" s="210"/>
      <c r="AI1516" s="210"/>
      <c r="AJ1516" s="210"/>
      <c r="AK1516" s="210"/>
      <c r="AL1516" s="210"/>
      <c r="AM1516" s="210"/>
      <c r="AN1516" s="210"/>
      <c r="AO1516" s="210"/>
      <c r="AP1516" s="210"/>
      <c r="AQ1516" s="210"/>
    </row>
    <row r="1517">
      <c r="A1517" s="190"/>
      <c r="B1517" s="190"/>
      <c r="C1517" s="190"/>
      <c r="D1517" s="190"/>
      <c r="E1517" s="190"/>
      <c r="F1517" s="190"/>
      <c r="G1517" s="190"/>
      <c r="H1517" s="190"/>
      <c r="I1517" s="190"/>
      <c r="J1517" s="190"/>
      <c r="K1517" s="190"/>
      <c r="L1517" s="190"/>
      <c r="M1517" s="190"/>
      <c r="N1517" s="220"/>
      <c r="O1517" s="220"/>
      <c r="P1517" s="220"/>
      <c r="R1517" s="210"/>
      <c r="S1517" s="210"/>
      <c r="T1517" s="210"/>
      <c r="U1517" s="210"/>
      <c r="X1517" s="210"/>
      <c r="Y1517" s="210"/>
      <c r="Z1517" s="210"/>
      <c r="AA1517" s="210"/>
      <c r="AB1517" s="210"/>
      <c r="AC1517" s="210"/>
      <c r="AD1517" s="210"/>
      <c r="AE1517" s="210"/>
      <c r="AF1517" s="210"/>
      <c r="AG1517" s="210"/>
      <c r="AH1517" s="210"/>
      <c r="AI1517" s="210"/>
      <c r="AJ1517" s="210"/>
      <c r="AK1517" s="210"/>
      <c r="AL1517" s="210"/>
      <c r="AM1517" s="210"/>
      <c r="AN1517" s="210"/>
      <c r="AO1517" s="210"/>
      <c r="AP1517" s="210"/>
      <c r="AQ1517" s="210"/>
    </row>
    <row r="1518">
      <c r="A1518" s="190"/>
      <c r="B1518" s="190"/>
      <c r="C1518" s="190"/>
      <c r="D1518" s="190"/>
      <c r="E1518" s="190"/>
      <c r="F1518" s="190"/>
      <c r="G1518" s="190"/>
      <c r="H1518" s="190"/>
      <c r="I1518" s="190"/>
      <c r="J1518" s="190"/>
      <c r="K1518" s="190"/>
      <c r="L1518" s="190"/>
      <c r="M1518" s="190"/>
      <c r="N1518" s="220"/>
      <c r="O1518" s="220"/>
      <c r="P1518" s="220"/>
      <c r="R1518" s="210"/>
      <c r="S1518" s="210"/>
      <c r="T1518" s="210"/>
      <c r="U1518" s="210"/>
      <c r="X1518" s="210"/>
      <c r="Y1518" s="210"/>
      <c r="Z1518" s="210"/>
      <c r="AA1518" s="210"/>
      <c r="AB1518" s="210"/>
      <c r="AC1518" s="210"/>
      <c r="AD1518" s="210"/>
      <c r="AE1518" s="210"/>
      <c r="AF1518" s="210"/>
      <c r="AG1518" s="210"/>
      <c r="AH1518" s="210"/>
      <c r="AI1518" s="210"/>
      <c r="AJ1518" s="210"/>
      <c r="AK1518" s="210"/>
      <c r="AL1518" s="210"/>
      <c r="AM1518" s="210"/>
      <c r="AN1518" s="210"/>
      <c r="AO1518" s="210"/>
      <c r="AP1518" s="210"/>
      <c r="AQ1518" s="210"/>
    </row>
    <row r="1519">
      <c r="A1519" s="190"/>
      <c r="B1519" s="190"/>
      <c r="C1519" s="190"/>
      <c r="D1519" s="190"/>
      <c r="E1519" s="190"/>
      <c r="F1519" s="190"/>
      <c r="G1519" s="190"/>
      <c r="H1519" s="190"/>
      <c r="I1519" s="190"/>
      <c r="J1519" s="190"/>
      <c r="K1519" s="190"/>
      <c r="L1519" s="190"/>
      <c r="M1519" s="190"/>
      <c r="N1519" s="220"/>
      <c r="O1519" s="220"/>
      <c r="P1519" s="220"/>
      <c r="R1519" s="210"/>
      <c r="S1519" s="210"/>
      <c r="T1519" s="210"/>
      <c r="U1519" s="210"/>
      <c r="X1519" s="210"/>
      <c r="Y1519" s="210"/>
      <c r="Z1519" s="210"/>
      <c r="AA1519" s="210"/>
      <c r="AB1519" s="210"/>
      <c r="AC1519" s="210"/>
      <c r="AD1519" s="210"/>
      <c r="AE1519" s="210"/>
      <c r="AF1519" s="210"/>
      <c r="AG1519" s="210"/>
      <c r="AH1519" s="210"/>
      <c r="AI1519" s="210"/>
      <c r="AJ1519" s="210"/>
      <c r="AK1519" s="210"/>
      <c r="AL1519" s="210"/>
      <c r="AM1519" s="210"/>
      <c r="AN1519" s="210"/>
      <c r="AO1519" s="210"/>
      <c r="AP1519" s="210"/>
      <c r="AQ1519" s="210"/>
    </row>
    <row r="1520">
      <c r="A1520" s="190"/>
      <c r="B1520" s="190"/>
      <c r="C1520" s="190"/>
      <c r="D1520" s="190"/>
      <c r="E1520" s="190"/>
      <c r="F1520" s="190"/>
      <c r="G1520" s="190"/>
      <c r="H1520" s="190"/>
      <c r="I1520" s="190"/>
      <c r="J1520" s="190"/>
      <c r="K1520" s="190"/>
      <c r="L1520" s="190"/>
      <c r="M1520" s="190"/>
      <c r="N1520" s="220"/>
      <c r="O1520" s="220"/>
      <c r="P1520" s="220"/>
      <c r="R1520" s="210"/>
      <c r="S1520" s="210"/>
      <c r="T1520" s="210"/>
      <c r="U1520" s="210"/>
      <c r="X1520" s="210"/>
      <c r="Y1520" s="210"/>
      <c r="Z1520" s="210"/>
      <c r="AA1520" s="210"/>
      <c r="AB1520" s="210"/>
      <c r="AC1520" s="210"/>
      <c r="AD1520" s="210"/>
      <c r="AE1520" s="210"/>
      <c r="AF1520" s="210"/>
      <c r="AG1520" s="210"/>
      <c r="AH1520" s="210"/>
      <c r="AI1520" s="210"/>
      <c r="AJ1520" s="210"/>
      <c r="AK1520" s="210"/>
      <c r="AL1520" s="210"/>
      <c r="AM1520" s="210"/>
      <c r="AN1520" s="210"/>
      <c r="AO1520" s="210"/>
      <c r="AP1520" s="210"/>
      <c r="AQ1520" s="210"/>
    </row>
    <row r="1521">
      <c r="A1521" s="190"/>
      <c r="B1521" s="190"/>
      <c r="C1521" s="190"/>
      <c r="D1521" s="190"/>
      <c r="E1521" s="190"/>
      <c r="F1521" s="190"/>
      <c r="G1521" s="190"/>
      <c r="H1521" s="190"/>
      <c r="I1521" s="190"/>
      <c r="J1521" s="190"/>
      <c r="K1521" s="190"/>
      <c r="L1521" s="190"/>
      <c r="M1521" s="190"/>
      <c r="N1521" s="220"/>
      <c r="O1521" s="220"/>
      <c r="P1521" s="220"/>
      <c r="R1521" s="210"/>
      <c r="S1521" s="210"/>
      <c r="T1521" s="210"/>
      <c r="U1521" s="210"/>
      <c r="X1521" s="210"/>
      <c r="Y1521" s="210"/>
      <c r="Z1521" s="210"/>
      <c r="AA1521" s="210"/>
      <c r="AB1521" s="210"/>
      <c r="AC1521" s="210"/>
      <c r="AD1521" s="210"/>
      <c r="AE1521" s="210"/>
      <c r="AF1521" s="210"/>
      <c r="AG1521" s="210"/>
      <c r="AH1521" s="210"/>
      <c r="AI1521" s="210"/>
      <c r="AJ1521" s="210"/>
      <c r="AK1521" s="210"/>
      <c r="AL1521" s="210"/>
      <c r="AM1521" s="210"/>
      <c r="AN1521" s="210"/>
      <c r="AO1521" s="210"/>
      <c r="AP1521" s="210"/>
      <c r="AQ1521" s="210"/>
    </row>
    <row r="1522">
      <c r="A1522" s="190"/>
      <c r="B1522" s="190"/>
      <c r="C1522" s="190"/>
      <c r="D1522" s="190"/>
      <c r="E1522" s="190"/>
      <c r="F1522" s="190"/>
      <c r="G1522" s="190"/>
      <c r="H1522" s="190"/>
      <c r="I1522" s="190"/>
      <c r="J1522" s="190"/>
      <c r="K1522" s="190"/>
      <c r="L1522" s="190"/>
      <c r="M1522" s="190"/>
      <c r="N1522" s="220"/>
      <c r="O1522" s="220"/>
      <c r="P1522" s="220"/>
      <c r="R1522" s="210"/>
      <c r="S1522" s="210"/>
      <c r="T1522" s="210"/>
      <c r="U1522" s="210"/>
      <c r="X1522" s="210"/>
      <c r="Y1522" s="210"/>
      <c r="Z1522" s="210"/>
      <c r="AA1522" s="210"/>
      <c r="AB1522" s="210"/>
      <c r="AC1522" s="210"/>
      <c r="AD1522" s="210"/>
      <c r="AE1522" s="210"/>
      <c r="AF1522" s="210"/>
      <c r="AG1522" s="210"/>
      <c r="AH1522" s="210"/>
      <c r="AI1522" s="210"/>
      <c r="AJ1522" s="210"/>
      <c r="AK1522" s="210"/>
      <c r="AL1522" s="210"/>
      <c r="AM1522" s="210"/>
      <c r="AN1522" s="210"/>
      <c r="AO1522" s="210"/>
      <c r="AP1522" s="210"/>
      <c r="AQ1522" s="210"/>
    </row>
    <row r="1523">
      <c r="A1523" s="190"/>
      <c r="B1523" s="190"/>
      <c r="C1523" s="190"/>
      <c r="D1523" s="190"/>
      <c r="E1523" s="190"/>
      <c r="F1523" s="190"/>
      <c r="G1523" s="190"/>
      <c r="H1523" s="190"/>
      <c r="I1523" s="190"/>
      <c r="J1523" s="190"/>
      <c r="K1523" s="190"/>
      <c r="L1523" s="190"/>
      <c r="M1523" s="190"/>
      <c r="N1523" s="220"/>
      <c r="O1523" s="220"/>
      <c r="P1523" s="220"/>
      <c r="R1523" s="210"/>
      <c r="S1523" s="210"/>
      <c r="T1523" s="210"/>
      <c r="U1523" s="210"/>
      <c r="X1523" s="210"/>
      <c r="Y1523" s="210"/>
      <c r="Z1523" s="210"/>
      <c r="AA1523" s="210"/>
      <c r="AB1523" s="210"/>
      <c r="AC1523" s="210"/>
      <c r="AD1523" s="210"/>
      <c r="AE1523" s="210"/>
      <c r="AF1523" s="210"/>
      <c r="AG1523" s="210"/>
      <c r="AH1523" s="210"/>
      <c r="AI1523" s="210"/>
      <c r="AJ1523" s="210"/>
      <c r="AK1523" s="210"/>
      <c r="AL1523" s="210"/>
      <c r="AM1523" s="210"/>
      <c r="AN1523" s="210"/>
      <c r="AO1523" s="210"/>
      <c r="AP1523" s="210"/>
      <c r="AQ1523" s="210"/>
    </row>
    <row r="1524">
      <c r="A1524" s="190"/>
      <c r="B1524" s="190"/>
      <c r="C1524" s="190"/>
      <c r="D1524" s="190"/>
      <c r="E1524" s="190"/>
      <c r="F1524" s="190"/>
      <c r="G1524" s="190"/>
      <c r="H1524" s="190"/>
      <c r="I1524" s="190"/>
      <c r="J1524" s="190"/>
      <c r="K1524" s="190"/>
      <c r="L1524" s="190"/>
      <c r="M1524" s="190"/>
      <c r="N1524" s="220"/>
      <c r="O1524" s="220"/>
      <c r="P1524" s="220"/>
      <c r="R1524" s="210"/>
      <c r="S1524" s="210"/>
      <c r="T1524" s="210"/>
      <c r="U1524" s="210"/>
      <c r="X1524" s="210"/>
      <c r="Y1524" s="210"/>
      <c r="Z1524" s="210"/>
      <c r="AA1524" s="210"/>
      <c r="AB1524" s="210"/>
      <c r="AC1524" s="210"/>
      <c r="AD1524" s="210"/>
      <c r="AE1524" s="210"/>
      <c r="AF1524" s="210"/>
      <c r="AG1524" s="210"/>
      <c r="AH1524" s="210"/>
      <c r="AI1524" s="210"/>
      <c r="AJ1524" s="210"/>
      <c r="AK1524" s="210"/>
      <c r="AL1524" s="210"/>
      <c r="AM1524" s="210"/>
      <c r="AN1524" s="210"/>
      <c r="AO1524" s="210"/>
      <c r="AP1524" s="210"/>
      <c r="AQ1524" s="210"/>
    </row>
    <row r="1525">
      <c r="A1525" s="190"/>
      <c r="B1525" s="190"/>
      <c r="C1525" s="190"/>
      <c r="D1525" s="190"/>
      <c r="E1525" s="190"/>
      <c r="F1525" s="190"/>
      <c r="G1525" s="190"/>
      <c r="H1525" s="190"/>
      <c r="I1525" s="190"/>
      <c r="J1525" s="190"/>
      <c r="K1525" s="190"/>
      <c r="L1525" s="190"/>
      <c r="M1525" s="190"/>
      <c r="N1525" s="220"/>
      <c r="O1525" s="220"/>
      <c r="P1525" s="220"/>
      <c r="R1525" s="210"/>
      <c r="S1525" s="210"/>
      <c r="T1525" s="210"/>
      <c r="U1525" s="210"/>
      <c r="X1525" s="210"/>
      <c r="Y1525" s="210"/>
      <c r="Z1525" s="210"/>
      <c r="AA1525" s="210"/>
      <c r="AB1525" s="210"/>
      <c r="AC1525" s="210"/>
      <c r="AD1525" s="210"/>
      <c r="AE1525" s="210"/>
      <c r="AF1525" s="210"/>
      <c r="AG1525" s="210"/>
      <c r="AH1525" s="210"/>
      <c r="AI1525" s="210"/>
      <c r="AJ1525" s="210"/>
      <c r="AK1525" s="210"/>
      <c r="AL1525" s="210"/>
      <c r="AM1525" s="210"/>
      <c r="AN1525" s="210"/>
      <c r="AO1525" s="210"/>
      <c r="AP1525" s="210"/>
      <c r="AQ1525" s="210"/>
    </row>
    <row r="1526">
      <c r="A1526" s="190"/>
      <c r="B1526" s="190"/>
      <c r="C1526" s="190"/>
      <c r="D1526" s="190"/>
      <c r="E1526" s="190"/>
      <c r="F1526" s="190"/>
      <c r="G1526" s="190"/>
      <c r="H1526" s="190"/>
      <c r="I1526" s="190"/>
      <c r="J1526" s="190"/>
      <c r="K1526" s="190"/>
      <c r="L1526" s="190"/>
      <c r="M1526" s="190"/>
      <c r="N1526" s="220"/>
      <c r="O1526" s="220"/>
      <c r="P1526" s="220"/>
      <c r="R1526" s="210"/>
      <c r="S1526" s="210"/>
      <c r="T1526" s="210"/>
      <c r="U1526" s="210"/>
      <c r="X1526" s="210"/>
      <c r="Y1526" s="210"/>
      <c r="Z1526" s="210"/>
      <c r="AA1526" s="210"/>
      <c r="AB1526" s="210"/>
      <c r="AC1526" s="210"/>
      <c r="AD1526" s="210"/>
      <c r="AE1526" s="210"/>
      <c r="AF1526" s="210"/>
      <c r="AG1526" s="210"/>
      <c r="AH1526" s="210"/>
      <c r="AI1526" s="210"/>
      <c r="AJ1526" s="210"/>
      <c r="AK1526" s="210"/>
      <c r="AL1526" s="210"/>
      <c r="AM1526" s="210"/>
      <c r="AN1526" s="210"/>
      <c r="AO1526" s="210"/>
      <c r="AP1526" s="210"/>
      <c r="AQ1526" s="210"/>
    </row>
    <row r="1527">
      <c r="A1527" s="190"/>
      <c r="B1527" s="190"/>
      <c r="C1527" s="190"/>
      <c r="D1527" s="190"/>
      <c r="E1527" s="190"/>
      <c r="F1527" s="190"/>
      <c r="G1527" s="190"/>
      <c r="H1527" s="190"/>
      <c r="I1527" s="190"/>
      <c r="J1527" s="190"/>
      <c r="K1527" s="190"/>
      <c r="L1527" s="190"/>
      <c r="M1527" s="190"/>
      <c r="N1527" s="220"/>
      <c r="O1527" s="220"/>
      <c r="P1527" s="220"/>
      <c r="R1527" s="210"/>
      <c r="S1527" s="210"/>
      <c r="T1527" s="210"/>
      <c r="U1527" s="210"/>
      <c r="X1527" s="210"/>
      <c r="Y1527" s="210"/>
      <c r="Z1527" s="210"/>
      <c r="AA1527" s="210"/>
      <c r="AB1527" s="210"/>
      <c r="AC1527" s="210"/>
      <c r="AD1527" s="210"/>
      <c r="AE1527" s="210"/>
      <c r="AF1527" s="210"/>
      <c r="AG1527" s="210"/>
      <c r="AH1527" s="210"/>
      <c r="AI1527" s="210"/>
      <c r="AJ1527" s="210"/>
      <c r="AK1527" s="210"/>
      <c r="AL1527" s="210"/>
      <c r="AM1527" s="210"/>
      <c r="AN1527" s="210"/>
      <c r="AO1527" s="210"/>
      <c r="AP1527" s="210"/>
      <c r="AQ1527" s="210"/>
    </row>
    <row r="1528">
      <c r="A1528" s="190"/>
      <c r="B1528" s="190"/>
      <c r="C1528" s="190"/>
      <c r="D1528" s="190"/>
      <c r="E1528" s="190"/>
      <c r="F1528" s="190"/>
      <c r="G1528" s="190"/>
      <c r="H1528" s="190"/>
      <c r="I1528" s="190"/>
      <c r="J1528" s="190"/>
      <c r="K1528" s="190"/>
      <c r="L1528" s="190"/>
      <c r="M1528" s="190"/>
      <c r="N1528" s="220"/>
      <c r="O1528" s="220"/>
      <c r="P1528" s="220"/>
      <c r="R1528" s="210"/>
      <c r="S1528" s="210"/>
      <c r="T1528" s="210"/>
      <c r="U1528" s="210"/>
      <c r="X1528" s="210"/>
      <c r="Y1528" s="210"/>
      <c r="Z1528" s="210"/>
      <c r="AA1528" s="210"/>
      <c r="AB1528" s="210"/>
      <c r="AC1528" s="210"/>
      <c r="AD1528" s="210"/>
      <c r="AE1528" s="210"/>
      <c r="AF1528" s="210"/>
      <c r="AG1528" s="210"/>
      <c r="AH1528" s="210"/>
      <c r="AI1528" s="210"/>
      <c r="AJ1528" s="210"/>
      <c r="AK1528" s="210"/>
      <c r="AL1528" s="210"/>
      <c r="AM1528" s="210"/>
      <c r="AN1528" s="210"/>
      <c r="AO1528" s="210"/>
      <c r="AP1528" s="210"/>
      <c r="AQ1528" s="210"/>
    </row>
    <row r="1529">
      <c r="A1529" s="190"/>
      <c r="B1529" s="190"/>
      <c r="C1529" s="190"/>
      <c r="D1529" s="190"/>
      <c r="E1529" s="190"/>
      <c r="F1529" s="190"/>
      <c r="G1529" s="190"/>
      <c r="H1529" s="190"/>
      <c r="I1529" s="190"/>
      <c r="J1529" s="190"/>
      <c r="K1529" s="190"/>
      <c r="L1529" s="190"/>
      <c r="M1529" s="190"/>
      <c r="N1529" s="220"/>
      <c r="O1529" s="220"/>
      <c r="P1529" s="220"/>
      <c r="R1529" s="210"/>
      <c r="S1529" s="210"/>
      <c r="T1529" s="210"/>
      <c r="U1529" s="210"/>
      <c r="X1529" s="210"/>
      <c r="Y1529" s="210"/>
      <c r="Z1529" s="210"/>
      <c r="AA1529" s="210"/>
      <c r="AB1529" s="210"/>
      <c r="AC1529" s="210"/>
      <c r="AD1529" s="210"/>
      <c r="AE1529" s="210"/>
      <c r="AF1529" s="210"/>
      <c r="AG1529" s="210"/>
      <c r="AH1529" s="210"/>
      <c r="AI1529" s="210"/>
      <c r="AJ1529" s="210"/>
      <c r="AK1529" s="210"/>
      <c r="AL1529" s="210"/>
      <c r="AM1529" s="210"/>
      <c r="AN1529" s="210"/>
      <c r="AO1529" s="210"/>
      <c r="AP1529" s="210"/>
      <c r="AQ1529" s="210"/>
    </row>
    <row r="1530">
      <c r="A1530" s="190"/>
      <c r="B1530" s="190"/>
      <c r="C1530" s="190"/>
      <c r="D1530" s="190"/>
      <c r="E1530" s="190"/>
      <c r="F1530" s="190"/>
      <c r="G1530" s="190"/>
      <c r="H1530" s="190"/>
      <c r="I1530" s="190"/>
      <c r="J1530" s="190"/>
      <c r="K1530" s="190"/>
      <c r="L1530" s="190"/>
      <c r="M1530" s="190"/>
      <c r="N1530" s="220"/>
      <c r="O1530" s="220"/>
      <c r="P1530" s="220"/>
      <c r="R1530" s="210"/>
      <c r="S1530" s="210"/>
      <c r="T1530" s="210"/>
      <c r="U1530" s="210"/>
      <c r="X1530" s="210"/>
      <c r="Y1530" s="210"/>
      <c r="Z1530" s="210"/>
      <c r="AA1530" s="210"/>
      <c r="AB1530" s="210"/>
      <c r="AC1530" s="210"/>
      <c r="AD1530" s="210"/>
      <c r="AE1530" s="210"/>
      <c r="AF1530" s="210"/>
      <c r="AG1530" s="210"/>
      <c r="AH1530" s="210"/>
      <c r="AI1530" s="210"/>
      <c r="AJ1530" s="210"/>
      <c r="AK1530" s="210"/>
      <c r="AL1530" s="210"/>
      <c r="AM1530" s="210"/>
      <c r="AN1530" s="210"/>
      <c r="AO1530" s="210"/>
      <c r="AP1530" s="210"/>
      <c r="AQ1530" s="210"/>
    </row>
    <row r="1531">
      <c r="A1531" s="190"/>
      <c r="B1531" s="190"/>
      <c r="C1531" s="190"/>
      <c r="D1531" s="190"/>
      <c r="E1531" s="190"/>
      <c r="F1531" s="190"/>
      <c r="G1531" s="190"/>
      <c r="H1531" s="190"/>
      <c r="I1531" s="190"/>
      <c r="J1531" s="190"/>
      <c r="K1531" s="190"/>
      <c r="L1531" s="190"/>
      <c r="M1531" s="190"/>
      <c r="N1531" s="220"/>
      <c r="O1531" s="220"/>
      <c r="P1531" s="220"/>
      <c r="R1531" s="210"/>
      <c r="S1531" s="210"/>
      <c r="T1531" s="210"/>
      <c r="U1531" s="210"/>
      <c r="X1531" s="210"/>
      <c r="Y1531" s="210"/>
      <c r="Z1531" s="210"/>
      <c r="AA1531" s="210"/>
      <c r="AB1531" s="210"/>
      <c r="AC1531" s="210"/>
      <c r="AD1531" s="210"/>
      <c r="AE1531" s="210"/>
      <c r="AF1531" s="210"/>
      <c r="AG1531" s="210"/>
      <c r="AH1531" s="210"/>
      <c r="AI1531" s="210"/>
      <c r="AJ1531" s="210"/>
      <c r="AK1531" s="210"/>
      <c r="AL1531" s="210"/>
      <c r="AM1531" s="210"/>
      <c r="AN1531" s="210"/>
      <c r="AO1531" s="210"/>
      <c r="AP1531" s="210"/>
      <c r="AQ1531" s="210"/>
    </row>
    <row r="1532">
      <c r="A1532" s="190"/>
      <c r="B1532" s="190"/>
      <c r="C1532" s="190"/>
      <c r="D1532" s="190"/>
      <c r="E1532" s="190"/>
      <c r="F1532" s="190"/>
      <c r="G1532" s="190"/>
      <c r="H1532" s="190"/>
      <c r="I1532" s="190"/>
      <c r="J1532" s="190"/>
      <c r="K1532" s="190"/>
      <c r="L1532" s="190"/>
      <c r="M1532" s="190"/>
      <c r="N1532" s="220"/>
      <c r="O1532" s="220"/>
      <c r="P1532" s="220"/>
      <c r="R1532" s="210"/>
      <c r="S1532" s="210"/>
      <c r="T1532" s="210"/>
      <c r="U1532" s="210"/>
      <c r="X1532" s="210"/>
      <c r="Y1532" s="210"/>
      <c r="Z1532" s="210"/>
      <c r="AA1532" s="210"/>
      <c r="AB1532" s="210"/>
      <c r="AC1532" s="210"/>
      <c r="AD1532" s="210"/>
      <c r="AE1532" s="210"/>
      <c r="AF1532" s="210"/>
      <c r="AG1532" s="210"/>
      <c r="AH1532" s="210"/>
      <c r="AI1532" s="210"/>
      <c r="AJ1532" s="210"/>
      <c r="AK1532" s="210"/>
      <c r="AL1532" s="210"/>
      <c r="AM1532" s="210"/>
      <c r="AN1532" s="210"/>
      <c r="AO1532" s="210"/>
      <c r="AP1532" s="210"/>
      <c r="AQ1532" s="210"/>
    </row>
    <row r="1533">
      <c r="A1533" s="190"/>
      <c r="B1533" s="190"/>
      <c r="C1533" s="190"/>
      <c r="D1533" s="190"/>
      <c r="E1533" s="190"/>
      <c r="F1533" s="190"/>
      <c r="G1533" s="190"/>
      <c r="H1533" s="190"/>
      <c r="I1533" s="190"/>
      <c r="J1533" s="190"/>
      <c r="K1533" s="190"/>
      <c r="L1533" s="190"/>
      <c r="M1533" s="190"/>
      <c r="N1533" s="220"/>
      <c r="O1533" s="220"/>
      <c r="P1533" s="220"/>
      <c r="R1533" s="210"/>
      <c r="S1533" s="210"/>
      <c r="T1533" s="210"/>
      <c r="U1533" s="210"/>
      <c r="X1533" s="210"/>
      <c r="Y1533" s="210"/>
      <c r="Z1533" s="210"/>
      <c r="AA1533" s="210"/>
      <c r="AB1533" s="210"/>
      <c r="AC1533" s="210"/>
      <c r="AD1533" s="210"/>
      <c r="AE1533" s="210"/>
      <c r="AF1533" s="210"/>
      <c r="AG1533" s="210"/>
      <c r="AH1533" s="210"/>
      <c r="AI1533" s="210"/>
      <c r="AJ1533" s="210"/>
      <c r="AK1533" s="210"/>
      <c r="AL1533" s="210"/>
      <c r="AM1533" s="210"/>
      <c r="AN1533" s="210"/>
      <c r="AO1533" s="210"/>
      <c r="AP1533" s="210"/>
      <c r="AQ1533" s="210"/>
    </row>
    <row r="1534">
      <c r="A1534" s="190"/>
      <c r="B1534" s="190"/>
      <c r="C1534" s="190"/>
      <c r="D1534" s="190"/>
      <c r="E1534" s="190"/>
      <c r="F1534" s="190"/>
      <c r="G1534" s="190"/>
      <c r="H1534" s="190"/>
      <c r="I1534" s="190"/>
      <c r="J1534" s="190"/>
      <c r="K1534" s="190"/>
      <c r="L1534" s="190"/>
      <c r="M1534" s="190"/>
      <c r="N1534" s="220"/>
      <c r="O1534" s="220"/>
      <c r="P1534" s="220"/>
      <c r="R1534" s="210"/>
      <c r="S1534" s="210"/>
      <c r="T1534" s="210"/>
      <c r="U1534" s="210"/>
      <c r="X1534" s="210"/>
      <c r="Y1534" s="210"/>
      <c r="Z1534" s="210"/>
      <c r="AA1534" s="210"/>
      <c r="AB1534" s="210"/>
      <c r="AC1534" s="210"/>
      <c r="AD1534" s="210"/>
      <c r="AE1534" s="210"/>
      <c r="AF1534" s="210"/>
      <c r="AG1534" s="210"/>
      <c r="AH1534" s="210"/>
      <c r="AI1534" s="210"/>
      <c r="AJ1534" s="210"/>
      <c r="AK1534" s="210"/>
      <c r="AL1534" s="210"/>
      <c r="AM1534" s="210"/>
      <c r="AN1534" s="210"/>
      <c r="AO1534" s="210"/>
      <c r="AP1534" s="210"/>
      <c r="AQ1534" s="210"/>
    </row>
    <row r="1535">
      <c r="A1535" s="190"/>
      <c r="B1535" s="190"/>
      <c r="C1535" s="190"/>
      <c r="D1535" s="190"/>
      <c r="E1535" s="190"/>
      <c r="F1535" s="190"/>
      <c r="G1535" s="190"/>
      <c r="H1535" s="190"/>
      <c r="I1535" s="190"/>
      <c r="J1535" s="190"/>
      <c r="K1535" s="190"/>
      <c r="L1535" s="190"/>
      <c r="M1535" s="190"/>
      <c r="N1535" s="220"/>
      <c r="O1535" s="220"/>
      <c r="P1535" s="220"/>
      <c r="R1535" s="210"/>
      <c r="S1535" s="210"/>
      <c r="T1535" s="210"/>
      <c r="U1535" s="210"/>
      <c r="X1535" s="210"/>
      <c r="Y1535" s="210"/>
      <c r="Z1535" s="210"/>
      <c r="AA1535" s="210"/>
      <c r="AB1535" s="210"/>
      <c r="AC1535" s="210"/>
      <c r="AD1535" s="210"/>
      <c r="AE1535" s="210"/>
      <c r="AF1535" s="210"/>
      <c r="AG1535" s="210"/>
      <c r="AH1535" s="210"/>
      <c r="AI1535" s="210"/>
      <c r="AJ1535" s="210"/>
      <c r="AK1535" s="210"/>
      <c r="AL1535" s="210"/>
      <c r="AM1535" s="210"/>
      <c r="AN1535" s="210"/>
      <c r="AO1535" s="210"/>
      <c r="AP1535" s="210"/>
      <c r="AQ1535" s="210"/>
    </row>
    <row r="1536">
      <c r="A1536" s="190"/>
      <c r="B1536" s="190"/>
      <c r="C1536" s="190"/>
      <c r="D1536" s="190"/>
      <c r="E1536" s="190"/>
      <c r="F1536" s="190"/>
      <c r="G1536" s="190"/>
      <c r="H1536" s="190"/>
      <c r="I1536" s="190"/>
      <c r="J1536" s="190"/>
      <c r="K1536" s="190"/>
      <c r="L1536" s="190"/>
      <c r="M1536" s="190"/>
      <c r="N1536" s="220"/>
      <c r="O1536" s="220"/>
      <c r="P1536" s="220"/>
      <c r="R1536" s="210"/>
      <c r="S1536" s="210"/>
      <c r="T1536" s="210"/>
      <c r="U1536" s="210"/>
      <c r="X1536" s="210"/>
      <c r="Y1536" s="210"/>
      <c r="Z1536" s="210"/>
      <c r="AA1536" s="210"/>
      <c r="AB1536" s="210"/>
      <c r="AC1536" s="210"/>
      <c r="AD1536" s="210"/>
      <c r="AE1536" s="210"/>
      <c r="AF1536" s="210"/>
      <c r="AG1536" s="210"/>
      <c r="AH1536" s="210"/>
      <c r="AI1536" s="210"/>
      <c r="AJ1536" s="210"/>
      <c r="AK1536" s="210"/>
      <c r="AL1536" s="210"/>
      <c r="AM1536" s="210"/>
      <c r="AN1536" s="210"/>
      <c r="AO1536" s="210"/>
      <c r="AP1536" s="210"/>
      <c r="AQ1536" s="210"/>
    </row>
    <row r="1537">
      <c r="A1537" s="190"/>
      <c r="B1537" s="190"/>
      <c r="C1537" s="190"/>
      <c r="D1537" s="190"/>
      <c r="E1537" s="190"/>
      <c r="F1537" s="190"/>
      <c r="G1537" s="190"/>
      <c r="H1537" s="190"/>
      <c r="I1537" s="190"/>
      <c r="J1537" s="190"/>
      <c r="K1537" s="190"/>
      <c r="L1537" s="190"/>
      <c r="M1537" s="190"/>
      <c r="N1537" s="220"/>
      <c r="O1537" s="220"/>
      <c r="P1537" s="220"/>
      <c r="R1537" s="210"/>
      <c r="S1537" s="210"/>
      <c r="T1537" s="210"/>
      <c r="U1537" s="210"/>
      <c r="X1537" s="210"/>
      <c r="Y1537" s="210"/>
      <c r="Z1537" s="210"/>
      <c r="AA1537" s="210"/>
      <c r="AB1537" s="210"/>
      <c r="AC1537" s="210"/>
      <c r="AD1537" s="210"/>
      <c r="AE1537" s="210"/>
      <c r="AF1537" s="210"/>
      <c r="AG1537" s="210"/>
      <c r="AH1537" s="210"/>
      <c r="AI1537" s="210"/>
      <c r="AJ1537" s="210"/>
      <c r="AK1537" s="210"/>
      <c r="AL1537" s="210"/>
      <c r="AM1537" s="210"/>
      <c r="AN1537" s="210"/>
      <c r="AO1537" s="210"/>
      <c r="AP1537" s="210"/>
      <c r="AQ1537" s="210"/>
    </row>
    <row r="1538">
      <c r="A1538" s="190"/>
      <c r="B1538" s="190"/>
      <c r="C1538" s="190"/>
      <c r="D1538" s="190"/>
      <c r="E1538" s="190"/>
      <c r="F1538" s="190"/>
      <c r="G1538" s="190"/>
      <c r="H1538" s="190"/>
      <c r="I1538" s="190"/>
      <c r="J1538" s="190"/>
      <c r="K1538" s="190"/>
      <c r="L1538" s="190"/>
      <c r="M1538" s="190"/>
      <c r="N1538" s="220"/>
      <c r="O1538" s="220"/>
      <c r="P1538" s="220"/>
      <c r="R1538" s="210"/>
      <c r="S1538" s="210"/>
      <c r="T1538" s="210"/>
      <c r="U1538" s="210"/>
      <c r="X1538" s="210"/>
      <c r="Y1538" s="210"/>
      <c r="Z1538" s="210"/>
      <c r="AA1538" s="210"/>
      <c r="AB1538" s="210"/>
      <c r="AC1538" s="210"/>
      <c r="AD1538" s="210"/>
      <c r="AE1538" s="210"/>
      <c r="AF1538" s="210"/>
      <c r="AG1538" s="210"/>
      <c r="AH1538" s="210"/>
      <c r="AI1538" s="210"/>
      <c r="AJ1538" s="210"/>
      <c r="AK1538" s="210"/>
      <c r="AL1538" s="210"/>
      <c r="AM1538" s="210"/>
      <c r="AN1538" s="210"/>
      <c r="AO1538" s="210"/>
      <c r="AP1538" s="210"/>
      <c r="AQ1538" s="210"/>
    </row>
    <row r="1539">
      <c r="A1539" s="190"/>
      <c r="B1539" s="190"/>
      <c r="C1539" s="190"/>
      <c r="D1539" s="190"/>
      <c r="E1539" s="190"/>
      <c r="F1539" s="190"/>
      <c r="G1539" s="190"/>
      <c r="H1539" s="190"/>
      <c r="I1539" s="190"/>
      <c r="J1539" s="190"/>
      <c r="K1539" s="190"/>
      <c r="L1539" s="190"/>
      <c r="M1539" s="190"/>
      <c r="N1539" s="220"/>
      <c r="O1539" s="220"/>
      <c r="P1539" s="220"/>
      <c r="R1539" s="210"/>
      <c r="S1539" s="210"/>
      <c r="T1539" s="210"/>
      <c r="U1539" s="210"/>
      <c r="X1539" s="210"/>
      <c r="Y1539" s="210"/>
      <c r="Z1539" s="210"/>
      <c r="AA1539" s="210"/>
      <c r="AB1539" s="210"/>
      <c r="AC1539" s="210"/>
      <c r="AD1539" s="210"/>
      <c r="AE1539" s="210"/>
      <c r="AF1539" s="210"/>
      <c r="AG1539" s="210"/>
      <c r="AH1539" s="210"/>
      <c r="AI1539" s="210"/>
      <c r="AJ1539" s="210"/>
      <c r="AK1539" s="210"/>
      <c r="AL1539" s="210"/>
      <c r="AM1539" s="210"/>
      <c r="AN1539" s="210"/>
      <c r="AO1539" s="210"/>
      <c r="AP1539" s="210"/>
      <c r="AQ1539" s="210"/>
    </row>
    <row r="1540">
      <c r="A1540" s="190"/>
      <c r="B1540" s="190"/>
      <c r="C1540" s="190"/>
      <c r="D1540" s="190"/>
      <c r="E1540" s="190"/>
      <c r="F1540" s="190"/>
      <c r="G1540" s="190"/>
      <c r="H1540" s="190"/>
      <c r="I1540" s="190"/>
      <c r="J1540" s="190"/>
      <c r="K1540" s="190"/>
      <c r="L1540" s="190"/>
      <c r="M1540" s="190"/>
      <c r="N1540" s="220"/>
      <c r="O1540" s="220"/>
      <c r="P1540" s="220"/>
      <c r="R1540" s="210"/>
      <c r="S1540" s="210"/>
      <c r="T1540" s="210"/>
      <c r="U1540" s="210"/>
      <c r="X1540" s="210"/>
      <c r="Y1540" s="210"/>
      <c r="Z1540" s="210"/>
      <c r="AA1540" s="210"/>
      <c r="AB1540" s="210"/>
      <c r="AC1540" s="210"/>
      <c r="AD1540" s="210"/>
      <c r="AE1540" s="210"/>
      <c r="AF1540" s="210"/>
      <c r="AG1540" s="210"/>
      <c r="AH1540" s="210"/>
      <c r="AI1540" s="210"/>
      <c r="AJ1540" s="210"/>
      <c r="AK1540" s="210"/>
      <c r="AL1540" s="210"/>
      <c r="AM1540" s="210"/>
      <c r="AN1540" s="210"/>
      <c r="AO1540" s="210"/>
      <c r="AP1540" s="210"/>
      <c r="AQ1540" s="210"/>
    </row>
    <row r="1541">
      <c r="A1541" s="190"/>
      <c r="B1541" s="190"/>
      <c r="C1541" s="190"/>
      <c r="D1541" s="190"/>
      <c r="E1541" s="190"/>
      <c r="F1541" s="190"/>
      <c r="G1541" s="190"/>
      <c r="H1541" s="190"/>
      <c r="I1541" s="190"/>
      <c r="J1541" s="190"/>
      <c r="K1541" s="190"/>
      <c r="L1541" s="190"/>
      <c r="M1541" s="190"/>
      <c r="N1541" s="220"/>
      <c r="O1541" s="220"/>
      <c r="P1541" s="220"/>
      <c r="R1541" s="210"/>
      <c r="S1541" s="210"/>
      <c r="T1541" s="210"/>
      <c r="U1541" s="210"/>
      <c r="X1541" s="210"/>
      <c r="Y1541" s="210"/>
      <c r="Z1541" s="210"/>
      <c r="AA1541" s="210"/>
      <c r="AB1541" s="210"/>
      <c r="AC1541" s="210"/>
      <c r="AD1541" s="210"/>
      <c r="AE1541" s="210"/>
      <c r="AF1541" s="210"/>
      <c r="AG1541" s="210"/>
      <c r="AH1541" s="210"/>
      <c r="AI1541" s="210"/>
      <c r="AJ1541" s="210"/>
      <c r="AK1541" s="210"/>
      <c r="AL1541" s="210"/>
      <c r="AM1541" s="210"/>
      <c r="AN1541" s="210"/>
      <c r="AO1541" s="210"/>
      <c r="AP1541" s="210"/>
      <c r="AQ1541" s="210"/>
    </row>
    <row r="1542">
      <c r="A1542" s="190"/>
      <c r="B1542" s="190"/>
      <c r="C1542" s="190"/>
      <c r="D1542" s="190"/>
      <c r="E1542" s="190"/>
      <c r="F1542" s="190"/>
      <c r="G1542" s="190"/>
      <c r="H1542" s="190"/>
      <c r="I1542" s="190"/>
      <c r="J1542" s="190"/>
      <c r="K1542" s="190"/>
      <c r="L1542" s="190"/>
      <c r="M1542" s="190"/>
      <c r="N1542" s="220"/>
      <c r="O1542" s="220"/>
      <c r="P1542" s="220"/>
      <c r="R1542" s="210"/>
      <c r="S1542" s="210"/>
      <c r="T1542" s="210"/>
      <c r="U1542" s="210"/>
      <c r="X1542" s="210"/>
      <c r="Y1542" s="210"/>
      <c r="Z1542" s="210"/>
      <c r="AA1542" s="210"/>
      <c r="AB1542" s="210"/>
      <c r="AC1542" s="210"/>
      <c r="AD1542" s="210"/>
      <c r="AE1542" s="210"/>
      <c r="AF1542" s="210"/>
      <c r="AG1542" s="210"/>
      <c r="AH1542" s="210"/>
      <c r="AI1542" s="210"/>
      <c r="AJ1542" s="210"/>
      <c r="AK1542" s="210"/>
      <c r="AL1542" s="210"/>
      <c r="AM1542" s="210"/>
      <c r="AN1542" s="210"/>
      <c r="AO1542" s="210"/>
      <c r="AP1542" s="210"/>
      <c r="AQ1542" s="210"/>
    </row>
    <row r="1543">
      <c r="A1543" s="190"/>
      <c r="B1543" s="190"/>
      <c r="C1543" s="190"/>
      <c r="D1543" s="190"/>
      <c r="E1543" s="190"/>
      <c r="F1543" s="190"/>
      <c r="G1543" s="190"/>
      <c r="H1543" s="190"/>
      <c r="I1543" s="190"/>
      <c r="J1543" s="190"/>
      <c r="K1543" s="190"/>
      <c r="L1543" s="190"/>
      <c r="M1543" s="190"/>
      <c r="N1543" s="220"/>
      <c r="O1543" s="220"/>
      <c r="P1543" s="220"/>
      <c r="R1543" s="210"/>
      <c r="S1543" s="210"/>
      <c r="T1543" s="210"/>
      <c r="U1543" s="210"/>
      <c r="X1543" s="210"/>
      <c r="Y1543" s="210"/>
      <c r="Z1543" s="210"/>
      <c r="AA1543" s="210"/>
      <c r="AB1543" s="210"/>
      <c r="AC1543" s="210"/>
      <c r="AD1543" s="210"/>
      <c r="AE1543" s="210"/>
      <c r="AF1543" s="210"/>
      <c r="AG1543" s="210"/>
      <c r="AH1543" s="210"/>
      <c r="AI1543" s="210"/>
      <c r="AJ1543" s="210"/>
      <c r="AK1543" s="210"/>
      <c r="AL1543" s="210"/>
      <c r="AM1543" s="210"/>
      <c r="AN1543" s="210"/>
      <c r="AO1543" s="210"/>
      <c r="AP1543" s="210"/>
      <c r="AQ1543" s="210"/>
    </row>
    <row r="1544">
      <c r="A1544" s="190"/>
      <c r="B1544" s="190"/>
      <c r="C1544" s="190"/>
      <c r="D1544" s="190"/>
      <c r="E1544" s="190"/>
      <c r="F1544" s="190"/>
      <c r="G1544" s="190"/>
      <c r="H1544" s="190"/>
      <c r="I1544" s="190"/>
      <c r="J1544" s="190"/>
      <c r="K1544" s="190"/>
      <c r="L1544" s="190"/>
      <c r="M1544" s="190"/>
      <c r="N1544" s="220"/>
      <c r="O1544" s="220"/>
      <c r="P1544" s="220"/>
      <c r="R1544" s="210"/>
      <c r="S1544" s="210"/>
      <c r="T1544" s="210"/>
      <c r="U1544" s="210"/>
      <c r="X1544" s="210"/>
      <c r="Y1544" s="210"/>
      <c r="Z1544" s="210"/>
      <c r="AA1544" s="210"/>
      <c r="AB1544" s="210"/>
      <c r="AC1544" s="210"/>
      <c r="AD1544" s="210"/>
      <c r="AE1544" s="210"/>
      <c r="AF1544" s="210"/>
      <c r="AG1544" s="210"/>
      <c r="AH1544" s="210"/>
      <c r="AI1544" s="210"/>
      <c r="AJ1544" s="210"/>
      <c r="AK1544" s="210"/>
      <c r="AL1544" s="210"/>
      <c r="AM1544" s="210"/>
      <c r="AN1544" s="210"/>
      <c r="AO1544" s="210"/>
      <c r="AP1544" s="210"/>
      <c r="AQ1544" s="210"/>
    </row>
    <row r="1545">
      <c r="A1545" s="190"/>
      <c r="B1545" s="190"/>
      <c r="C1545" s="190"/>
      <c r="D1545" s="190"/>
      <c r="E1545" s="190"/>
      <c r="F1545" s="190"/>
      <c r="G1545" s="190"/>
      <c r="H1545" s="190"/>
      <c r="I1545" s="190"/>
      <c r="J1545" s="190"/>
      <c r="K1545" s="190"/>
      <c r="L1545" s="190"/>
      <c r="M1545" s="190"/>
      <c r="N1545" s="220"/>
      <c r="O1545" s="220"/>
      <c r="P1545" s="220"/>
      <c r="R1545" s="210"/>
      <c r="S1545" s="210"/>
      <c r="T1545" s="210"/>
      <c r="U1545" s="210"/>
      <c r="X1545" s="210"/>
      <c r="Y1545" s="210"/>
      <c r="Z1545" s="210"/>
      <c r="AA1545" s="210"/>
      <c r="AB1545" s="210"/>
      <c r="AC1545" s="210"/>
      <c r="AD1545" s="210"/>
      <c r="AE1545" s="210"/>
      <c r="AF1545" s="210"/>
      <c r="AG1545" s="210"/>
      <c r="AH1545" s="210"/>
      <c r="AI1545" s="210"/>
      <c r="AJ1545" s="210"/>
      <c r="AK1545" s="210"/>
      <c r="AL1545" s="210"/>
      <c r="AM1545" s="210"/>
      <c r="AN1545" s="210"/>
      <c r="AO1545" s="210"/>
      <c r="AP1545" s="210"/>
      <c r="AQ1545" s="210"/>
    </row>
    <row r="1546">
      <c r="A1546" s="190"/>
      <c r="B1546" s="190"/>
      <c r="C1546" s="190"/>
      <c r="D1546" s="190"/>
      <c r="E1546" s="190"/>
      <c r="F1546" s="190"/>
      <c r="G1546" s="190"/>
      <c r="H1546" s="190"/>
      <c r="I1546" s="190"/>
      <c r="J1546" s="190"/>
      <c r="K1546" s="190"/>
      <c r="L1546" s="190"/>
      <c r="M1546" s="190"/>
      <c r="N1546" s="220"/>
      <c r="O1546" s="220"/>
      <c r="P1546" s="220"/>
      <c r="R1546" s="210"/>
      <c r="S1546" s="210"/>
      <c r="T1546" s="210"/>
      <c r="U1546" s="210"/>
      <c r="X1546" s="210"/>
      <c r="Y1546" s="210"/>
      <c r="Z1546" s="210"/>
      <c r="AA1546" s="210"/>
      <c r="AB1546" s="210"/>
      <c r="AC1546" s="210"/>
      <c r="AD1546" s="210"/>
      <c r="AE1546" s="210"/>
      <c r="AF1546" s="210"/>
      <c r="AG1546" s="210"/>
      <c r="AH1546" s="210"/>
      <c r="AI1546" s="210"/>
      <c r="AJ1546" s="210"/>
      <c r="AK1546" s="210"/>
      <c r="AL1546" s="210"/>
      <c r="AM1546" s="210"/>
      <c r="AN1546" s="210"/>
      <c r="AO1546" s="210"/>
      <c r="AP1546" s="210"/>
      <c r="AQ1546" s="210"/>
    </row>
    <row r="1547">
      <c r="A1547" s="190"/>
      <c r="B1547" s="190"/>
      <c r="C1547" s="190"/>
      <c r="D1547" s="190"/>
      <c r="E1547" s="190"/>
      <c r="F1547" s="190"/>
      <c r="G1547" s="190"/>
      <c r="H1547" s="190"/>
      <c r="I1547" s="190"/>
      <c r="J1547" s="190"/>
      <c r="K1547" s="190"/>
      <c r="L1547" s="190"/>
      <c r="M1547" s="190"/>
      <c r="N1547" s="220"/>
      <c r="O1547" s="220"/>
      <c r="P1547" s="220"/>
      <c r="R1547" s="210"/>
      <c r="S1547" s="210"/>
      <c r="T1547" s="210"/>
      <c r="U1547" s="210"/>
      <c r="X1547" s="210"/>
      <c r="Y1547" s="210"/>
      <c r="Z1547" s="210"/>
      <c r="AA1547" s="210"/>
      <c r="AB1547" s="210"/>
      <c r="AC1547" s="210"/>
      <c r="AD1547" s="210"/>
      <c r="AE1547" s="210"/>
      <c r="AF1547" s="210"/>
      <c r="AG1547" s="210"/>
      <c r="AH1547" s="210"/>
      <c r="AI1547" s="210"/>
      <c r="AJ1547" s="210"/>
      <c r="AK1547" s="210"/>
      <c r="AL1547" s="210"/>
      <c r="AM1547" s="210"/>
      <c r="AN1547" s="210"/>
      <c r="AO1547" s="210"/>
      <c r="AP1547" s="210"/>
      <c r="AQ1547" s="210"/>
    </row>
    <row r="1548">
      <c r="A1548" s="190"/>
      <c r="B1548" s="190"/>
      <c r="C1548" s="190"/>
      <c r="D1548" s="190"/>
      <c r="E1548" s="190"/>
      <c r="F1548" s="190"/>
      <c r="G1548" s="190"/>
      <c r="H1548" s="190"/>
      <c r="I1548" s="190"/>
      <c r="J1548" s="190"/>
      <c r="K1548" s="190"/>
      <c r="L1548" s="190"/>
      <c r="M1548" s="190"/>
      <c r="N1548" s="220"/>
      <c r="O1548" s="220"/>
      <c r="P1548" s="220"/>
      <c r="R1548" s="210"/>
      <c r="S1548" s="210"/>
      <c r="T1548" s="210"/>
      <c r="U1548" s="210"/>
      <c r="X1548" s="210"/>
      <c r="Y1548" s="210"/>
      <c r="Z1548" s="210"/>
      <c r="AA1548" s="210"/>
      <c r="AB1548" s="210"/>
      <c r="AC1548" s="210"/>
      <c r="AD1548" s="210"/>
      <c r="AE1548" s="210"/>
      <c r="AF1548" s="210"/>
      <c r="AG1548" s="210"/>
      <c r="AH1548" s="210"/>
      <c r="AI1548" s="210"/>
      <c r="AJ1548" s="210"/>
      <c r="AK1548" s="210"/>
      <c r="AL1548" s="210"/>
      <c r="AM1548" s="210"/>
      <c r="AN1548" s="210"/>
      <c r="AO1548" s="210"/>
      <c r="AP1548" s="210"/>
      <c r="AQ1548" s="210"/>
    </row>
    <row r="1549">
      <c r="A1549" s="190"/>
      <c r="B1549" s="190"/>
      <c r="C1549" s="190"/>
      <c r="D1549" s="190"/>
      <c r="E1549" s="190"/>
      <c r="F1549" s="190"/>
      <c r="G1549" s="190"/>
      <c r="H1549" s="190"/>
      <c r="I1549" s="190"/>
      <c r="J1549" s="190"/>
      <c r="K1549" s="190"/>
      <c r="L1549" s="190"/>
      <c r="M1549" s="190"/>
      <c r="N1549" s="220"/>
      <c r="O1549" s="220"/>
      <c r="P1549" s="220"/>
      <c r="R1549" s="210"/>
      <c r="S1549" s="210"/>
      <c r="T1549" s="210"/>
      <c r="U1549" s="210"/>
      <c r="X1549" s="210"/>
      <c r="Y1549" s="210"/>
      <c r="Z1549" s="210"/>
      <c r="AA1549" s="210"/>
      <c r="AB1549" s="210"/>
      <c r="AC1549" s="210"/>
      <c r="AD1549" s="210"/>
      <c r="AE1549" s="210"/>
      <c r="AF1549" s="210"/>
      <c r="AG1549" s="210"/>
      <c r="AH1549" s="210"/>
      <c r="AI1549" s="210"/>
      <c r="AJ1549" s="210"/>
      <c r="AK1549" s="210"/>
      <c r="AL1549" s="210"/>
      <c r="AM1549" s="210"/>
      <c r="AN1549" s="210"/>
      <c r="AO1549" s="210"/>
      <c r="AP1549" s="210"/>
      <c r="AQ1549" s="210"/>
    </row>
    <row r="1550">
      <c r="A1550" s="190"/>
      <c r="B1550" s="190"/>
      <c r="C1550" s="190"/>
      <c r="D1550" s="190"/>
      <c r="E1550" s="190"/>
      <c r="F1550" s="190"/>
      <c r="G1550" s="190"/>
      <c r="H1550" s="190"/>
      <c r="I1550" s="190"/>
      <c r="J1550" s="190"/>
      <c r="K1550" s="190"/>
      <c r="L1550" s="190"/>
      <c r="M1550" s="190"/>
      <c r="N1550" s="220"/>
      <c r="O1550" s="220"/>
      <c r="P1550" s="220"/>
      <c r="R1550" s="210"/>
      <c r="S1550" s="210"/>
      <c r="T1550" s="210"/>
      <c r="U1550" s="210"/>
      <c r="X1550" s="210"/>
      <c r="Y1550" s="210"/>
      <c r="Z1550" s="210"/>
      <c r="AA1550" s="210"/>
      <c r="AB1550" s="210"/>
      <c r="AC1550" s="210"/>
      <c r="AD1550" s="210"/>
      <c r="AE1550" s="210"/>
      <c r="AF1550" s="210"/>
      <c r="AG1550" s="210"/>
      <c r="AH1550" s="210"/>
      <c r="AI1550" s="210"/>
      <c r="AJ1550" s="210"/>
      <c r="AK1550" s="210"/>
      <c r="AL1550" s="210"/>
      <c r="AM1550" s="210"/>
      <c r="AN1550" s="210"/>
      <c r="AO1550" s="210"/>
      <c r="AP1550" s="210"/>
      <c r="AQ1550" s="210"/>
    </row>
    <row r="1551">
      <c r="A1551" s="190"/>
      <c r="B1551" s="190"/>
      <c r="C1551" s="190"/>
      <c r="D1551" s="190"/>
      <c r="E1551" s="190"/>
      <c r="F1551" s="190"/>
      <c r="G1551" s="190"/>
      <c r="H1551" s="190"/>
      <c r="I1551" s="190"/>
      <c r="J1551" s="190"/>
      <c r="K1551" s="190"/>
      <c r="L1551" s="190"/>
      <c r="M1551" s="190"/>
      <c r="N1551" s="220"/>
      <c r="O1551" s="220"/>
      <c r="P1551" s="220"/>
      <c r="R1551" s="210"/>
      <c r="S1551" s="210"/>
      <c r="T1551" s="210"/>
      <c r="U1551" s="210"/>
      <c r="X1551" s="210"/>
      <c r="Y1551" s="210"/>
      <c r="Z1551" s="210"/>
      <c r="AA1551" s="210"/>
      <c r="AB1551" s="210"/>
      <c r="AC1551" s="210"/>
      <c r="AD1551" s="210"/>
      <c r="AE1551" s="210"/>
      <c r="AF1551" s="210"/>
      <c r="AG1551" s="210"/>
      <c r="AH1551" s="210"/>
      <c r="AI1551" s="210"/>
      <c r="AJ1551" s="210"/>
      <c r="AK1551" s="210"/>
      <c r="AL1551" s="210"/>
      <c r="AM1551" s="210"/>
      <c r="AN1551" s="210"/>
      <c r="AO1551" s="210"/>
      <c r="AP1551" s="210"/>
      <c r="AQ1551" s="210"/>
    </row>
    <row r="1552">
      <c r="A1552" s="190"/>
      <c r="B1552" s="190"/>
      <c r="C1552" s="190"/>
      <c r="D1552" s="190"/>
      <c r="E1552" s="190"/>
      <c r="F1552" s="190"/>
      <c r="G1552" s="190"/>
      <c r="H1552" s="190"/>
      <c r="I1552" s="190"/>
      <c r="J1552" s="190"/>
      <c r="K1552" s="190"/>
      <c r="L1552" s="190"/>
      <c r="M1552" s="190"/>
      <c r="N1552" s="220"/>
      <c r="O1552" s="220"/>
      <c r="P1552" s="220"/>
      <c r="R1552" s="210"/>
      <c r="S1552" s="210"/>
      <c r="T1552" s="210"/>
      <c r="U1552" s="210"/>
      <c r="X1552" s="210"/>
      <c r="Y1552" s="210"/>
      <c r="Z1552" s="210"/>
      <c r="AA1552" s="210"/>
      <c r="AB1552" s="210"/>
      <c r="AC1552" s="210"/>
      <c r="AD1552" s="210"/>
      <c r="AE1552" s="210"/>
      <c r="AF1552" s="210"/>
      <c r="AG1552" s="210"/>
      <c r="AH1552" s="210"/>
      <c r="AI1552" s="210"/>
      <c r="AJ1552" s="210"/>
      <c r="AK1552" s="210"/>
      <c r="AL1552" s="210"/>
      <c r="AM1552" s="210"/>
      <c r="AN1552" s="210"/>
      <c r="AO1552" s="210"/>
      <c r="AP1552" s="210"/>
      <c r="AQ1552" s="210"/>
    </row>
    <row r="1553">
      <c r="A1553" s="190"/>
      <c r="B1553" s="190"/>
      <c r="C1553" s="190"/>
      <c r="D1553" s="190"/>
      <c r="E1553" s="190"/>
      <c r="F1553" s="190"/>
      <c r="G1553" s="190"/>
      <c r="H1553" s="190"/>
      <c r="I1553" s="190"/>
      <c r="J1553" s="190"/>
      <c r="K1553" s="190"/>
      <c r="L1553" s="190"/>
      <c r="M1553" s="190"/>
      <c r="N1553" s="220"/>
      <c r="O1553" s="220"/>
      <c r="P1553" s="220"/>
      <c r="R1553" s="210"/>
      <c r="S1553" s="210"/>
      <c r="T1553" s="210"/>
      <c r="U1553" s="210"/>
      <c r="X1553" s="210"/>
      <c r="Y1553" s="210"/>
      <c r="Z1553" s="210"/>
      <c r="AA1553" s="210"/>
      <c r="AB1553" s="210"/>
      <c r="AC1553" s="210"/>
      <c r="AD1553" s="210"/>
      <c r="AE1553" s="210"/>
      <c r="AF1553" s="210"/>
      <c r="AG1553" s="210"/>
      <c r="AH1553" s="210"/>
      <c r="AI1553" s="210"/>
      <c r="AJ1553" s="210"/>
      <c r="AK1553" s="210"/>
      <c r="AL1553" s="210"/>
      <c r="AM1553" s="210"/>
      <c r="AN1553" s="210"/>
      <c r="AO1553" s="210"/>
      <c r="AP1553" s="210"/>
      <c r="AQ1553" s="210"/>
    </row>
    <row r="1554">
      <c r="A1554" s="190"/>
      <c r="B1554" s="190"/>
      <c r="C1554" s="190"/>
      <c r="D1554" s="190"/>
      <c r="E1554" s="190"/>
      <c r="F1554" s="190"/>
      <c r="G1554" s="190"/>
      <c r="H1554" s="190"/>
      <c r="I1554" s="190"/>
      <c r="J1554" s="190"/>
      <c r="K1554" s="190"/>
      <c r="L1554" s="190"/>
      <c r="M1554" s="190"/>
      <c r="N1554" s="220"/>
      <c r="O1554" s="220"/>
      <c r="P1554" s="220"/>
      <c r="R1554" s="210"/>
      <c r="S1554" s="210"/>
      <c r="T1554" s="210"/>
      <c r="U1554" s="210"/>
      <c r="X1554" s="210"/>
      <c r="Y1554" s="210"/>
      <c r="Z1554" s="210"/>
      <c r="AA1554" s="210"/>
      <c r="AB1554" s="210"/>
      <c r="AC1554" s="210"/>
      <c r="AD1554" s="210"/>
      <c r="AE1554" s="210"/>
      <c r="AF1554" s="210"/>
      <c r="AG1554" s="210"/>
      <c r="AH1554" s="210"/>
      <c r="AI1554" s="210"/>
      <c r="AJ1554" s="210"/>
      <c r="AK1554" s="210"/>
      <c r="AL1554" s="210"/>
      <c r="AM1554" s="210"/>
      <c r="AN1554" s="210"/>
      <c r="AO1554" s="210"/>
      <c r="AP1554" s="210"/>
      <c r="AQ1554" s="210"/>
    </row>
    <row r="1555">
      <c r="A1555" s="190"/>
      <c r="B1555" s="190"/>
      <c r="C1555" s="190"/>
      <c r="D1555" s="190"/>
      <c r="E1555" s="190"/>
      <c r="F1555" s="190"/>
      <c r="G1555" s="190"/>
      <c r="H1555" s="190"/>
      <c r="I1555" s="190"/>
      <c r="J1555" s="190"/>
      <c r="K1555" s="190"/>
      <c r="L1555" s="190"/>
      <c r="M1555" s="190"/>
      <c r="N1555" s="220"/>
      <c r="O1555" s="220"/>
      <c r="P1555" s="220"/>
      <c r="R1555" s="210"/>
      <c r="S1555" s="210"/>
      <c r="T1555" s="210"/>
      <c r="U1555" s="210"/>
      <c r="X1555" s="210"/>
      <c r="Y1555" s="210"/>
      <c r="Z1555" s="210"/>
      <c r="AA1555" s="210"/>
      <c r="AB1555" s="210"/>
      <c r="AC1555" s="210"/>
      <c r="AD1555" s="210"/>
      <c r="AE1555" s="210"/>
      <c r="AF1555" s="210"/>
      <c r="AG1555" s="210"/>
      <c r="AH1555" s="210"/>
      <c r="AI1555" s="210"/>
      <c r="AJ1555" s="210"/>
      <c r="AK1555" s="210"/>
      <c r="AL1555" s="210"/>
      <c r="AM1555" s="210"/>
      <c r="AN1555" s="210"/>
      <c r="AO1555" s="210"/>
      <c r="AP1555" s="210"/>
      <c r="AQ1555" s="210"/>
    </row>
    <row r="1556">
      <c r="A1556" s="190"/>
      <c r="B1556" s="190"/>
      <c r="C1556" s="190"/>
      <c r="D1556" s="190"/>
      <c r="E1556" s="190"/>
      <c r="F1556" s="190"/>
      <c r="G1556" s="190"/>
      <c r="H1556" s="190"/>
      <c r="I1556" s="190"/>
      <c r="J1556" s="190"/>
      <c r="K1556" s="190"/>
      <c r="L1556" s="190"/>
      <c r="M1556" s="190"/>
      <c r="N1556" s="220"/>
      <c r="O1556" s="220"/>
      <c r="P1556" s="220"/>
      <c r="R1556" s="210"/>
      <c r="S1556" s="210"/>
      <c r="T1556" s="210"/>
      <c r="U1556" s="210"/>
      <c r="X1556" s="210"/>
      <c r="Y1556" s="210"/>
      <c r="Z1556" s="210"/>
      <c r="AA1556" s="210"/>
      <c r="AB1556" s="210"/>
      <c r="AC1556" s="210"/>
      <c r="AD1556" s="210"/>
      <c r="AE1556" s="210"/>
      <c r="AF1556" s="210"/>
      <c r="AG1556" s="210"/>
      <c r="AH1556" s="210"/>
      <c r="AI1556" s="210"/>
      <c r="AJ1556" s="210"/>
      <c r="AK1556" s="210"/>
      <c r="AL1556" s="210"/>
      <c r="AM1556" s="210"/>
      <c r="AN1556" s="210"/>
      <c r="AO1556" s="210"/>
      <c r="AP1556" s="210"/>
      <c r="AQ1556" s="210"/>
    </row>
    <row r="1557">
      <c r="A1557" s="190"/>
      <c r="B1557" s="190"/>
      <c r="C1557" s="190"/>
      <c r="D1557" s="190"/>
      <c r="E1557" s="190"/>
      <c r="F1557" s="190"/>
      <c r="G1557" s="190"/>
      <c r="H1557" s="190"/>
      <c r="I1557" s="190"/>
      <c r="J1557" s="190"/>
      <c r="K1557" s="190"/>
      <c r="L1557" s="190"/>
      <c r="M1557" s="190"/>
      <c r="N1557" s="220"/>
      <c r="O1557" s="220"/>
      <c r="P1557" s="220"/>
      <c r="R1557" s="210"/>
      <c r="S1557" s="210"/>
      <c r="T1557" s="210"/>
      <c r="U1557" s="210"/>
      <c r="X1557" s="210"/>
      <c r="Y1557" s="210"/>
      <c r="Z1557" s="210"/>
      <c r="AA1557" s="210"/>
      <c r="AB1557" s="210"/>
      <c r="AC1557" s="210"/>
      <c r="AD1557" s="210"/>
      <c r="AE1557" s="210"/>
      <c r="AF1557" s="210"/>
      <c r="AG1557" s="210"/>
      <c r="AH1557" s="210"/>
      <c r="AI1557" s="210"/>
      <c r="AJ1557" s="210"/>
      <c r="AK1557" s="210"/>
      <c r="AL1557" s="210"/>
      <c r="AM1557" s="210"/>
      <c r="AN1557" s="210"/>
      <c r="AO1557" s="210"/>
      <c r="AP1557" s="210"/>
      <c r="AQ1557" s="210"/>
    </row>
    <row r="1558">
      <c r="A1558" s="190"/>
      <c r="B1558" s="190"/>
      <c r="C1558" s="190"/>
      <c r="D1558" s="190"/>
      <c r="E1558" s="190"/>
      <c r="F1558" s="190"/>
      <c r="G1558" s="190"/>
      <c r="H1558" s="190"/>
      <c r="I1558" s="190"/>
      <c r="J1558" s="190"/>
      <c r="K1558" s="190"/>
      <c r="L1558" s="190"/>
      <c r="M1558" s="190"/>
      <c r="N1558" s="220"/>
      <c r="O1558" s="220"/>
      <c r="P1558" s="220"/>
      <c r="R1558" s="210"/>
      <c r="S1558" s="210"/>
      <c r="T1558" s="210"/>
      <c r="U1558" s="210"/>
      <c r="X1558" s="210"/>
      <c r="Y1558" s="210"/>
      <c r="Z1558" s="210"/>
      <c r="AA1558" s="210"/>
      <c r="AB1558" s="210"/>
      <c r="AC1558" s="210"/>
      <c r="AD1558" s="210"/>
      <c r="AE1558" s="210"/>
      <c r="AF1558" s="210"/>
      <c r="AG1558" s="210"/>
      <c r="AH1558" s="210"/>
      <c r="AI1558" s="210"/>
      <c r="AJ1558" s="210"/>
      <c r="AK1558" s="210"/>
      <c r="AL1558" s="210"/>
      <c r="AM1558" s="210"/>
      <c r="AN1558" s="210"/>
      <c r="AO1558" s="210"/>
      <c r="AP1558" s="210"/>
      <c r="AQ1558" s="210"/>
    </row>
    <row r="1559">
      <c r="A1559" s="190"/>
      <c r="B1559" s="190"/>
      <c r="C1559" s="190"/>
      <c r="D1559" s="190"/>
      <c r="E1559" s="190"/>
      <c r="F1559" s="190"/>
      <c r="G1559" s="190"/>
      <c r="H1559" s="190"/>
      <c r="I1559" s="190"/>
      <c r="J1559" s="190"/>
      <c r="K1559" s="190"/>
      <c r="L1559" s="190"/>
      <c r="M1559" s="190"/>
      <c r="N1559" s="220"/>
      <c r="O1559" s="220"/>
      <c r="P1559" s="220"/>
      <c r="R1559" s="210"/>
      <c r="S1559" s="210"/>
      <c r="T1559" s="210"/>
      <c r="U1559" s="210"/>
      <c r="X1559" s="210"/>
      <c r="Y1559" s="210"/>
      <c r="Z1559" s="210"/>
      <c r="AA1559" s="210"/>
      <c r="AB1559" s="210"/>
      <c r="AC1559" s="210"/>
      <c r="AD1559" s="210"/>
      <c r="AE1559" s="210"/>
      <c r="AF1559" s="210"/>
      <c r="AG1559" s="210"/>
      <c r="AH1559" s="210"/>
      <c r="AI1559" s="210"/>
      <c r="AJ1559" s="210"/>
      <c r="AK1559" s="210"/>
      <c r="AL1559" s="210"/>
      <c r="AM1559" s="210"/>
      <c r="AN1559" s="210"/>
      <c r="AO1559" s="210"/>
      <c r="AP1559" s="210"/>
      <c r="AQ1559" s="210"/>
    </row>
    <row r="1560">
      <c r="A1560" s="190"/>
      <c r="B1560" s="190"/>
      <c r="C1560" s="190"/>
      <c r="D1560" s="190"/>
      <c r="E1560" s="190"/>
      <c r="F1560" s="190"/>
      <c r="G1560" s="190"/>
      <c r="H1560" s="190"/>
      <c r="I1560" s="190"/>
      <c r="J1560" s="190"/>
      <c r="K1560" s="190"/>
      <c r="L1560" s="190"/>
      <c r="M1560" s="190"/>
      <c r="N1560" s="220"/>
      <c r="O1560" s="220"/>
      <c r="P1560" s="220"/>
      <c r="R1560" s="210"/>
      <c r="S1560" s="210"/>
      <c r="T1560" s="210"/>
      <c r="U1560" s="210"/>
      <c r="X1560" s="210"/>
      <c r="Y1560" s="210"/>
      <c r="Z1560" s="210"/>
      <c r="AA1560" s="210"/>
      <c r="AB1560" s="210"/>
      <c r="AC1560" s="210"/>
      <c r="AD1560" s="210"/>
      <c r="AE1560" s="210"/>
      <c r="AF1560" s="210"/>
      <c r="AG1560" s="210"/>
      <c r="AH1560" s="210"/>
      <c r="AI1560" s="210"/>
      <c r="AJ1560" s="210"/>
      <c r="AK1560" s="210"/>
      <c r="AL1560" s="210"/>
      <c r="AM1560" s="210"/>
      <c r="AN1560" s="210"/>
      <c r="AO1560" s="210"/>
      <c r="AP1560" s="210"/>
      <c r="AQ1560" s="210"/>
    </row>
    <row r="1561">
      <c r="A1561" s="190"/>
      <c r="B1561" s="190"/>
      <c r="C1561" s="190"/>
      <c r="D1561" s="190"/>
      <c r="E1561" s="190"/>
      <c r="F1561" s="190"/>
      <c r="G1561" s="190"/>
      <c r="H1561" s="190"/>
      <c r="I1561" s="190"/>
      <c r="J1561" s="190"/>
      <c r="K1561" s="190"/>
      <c r="L1561" s="190"/>
      <c r="M1561" s="190"/>
      <c r="N1561" s="220"/>
      <c r="O1561" s="220"/>
      <c r="P1561" s="220"/>
      <c r="R1561" s="210"/>
      <c r="S1561" s="210"/>
      <c r="T1561" s="210"/>
      <c r="U1561" s="210"/>
      <c r="X1561" s="210"/>
      <c r="Y1561" s="210"/>
      <c r="Z1561" s="210"/>
      <c r="AA1561" s="210"/>
      <c r="AB1561" s="210"/>
      <c r="AC1561" s="210"/>
      <c r="AD1561" s="210"/>
      <c r="AE1561" s="210"/>
      <c r="AF1561" s="210"/>
      <c r="AG1561" s="210"/>
      <c r="AH1561" s="210"/>
      <c r="AI1561" s="210"/>
      <c r="AJ1561" s="210"/>
      <c r="AK1561" s="210"/>
      <c r="AL1561" s="210"/>
      <c r="AM1561" s="210"/>
      <c r="AN1561" s="210"/>
      <c r="AO1561" s="210"/>
      <c r="AP1561" s="210"/>
      <c r="AQ1561" s="210"/>
    </row>
    <row r="1562">
      <c r="A1562" s="190"/>
      <c r="B1562" s="190"/>
      <c r="C1562" s="190"/>
      <c r="D1562" s="190"/>
      <c r="E1562" s="190"/>
      <c r="F1562" s="190"/>
      <c r="G1562" s="190"/>
      <c r="H1562" s="190"/>
      <c r="I1562" s="190"/>
      <c r="J1562" s="190"/>
      <c r="K1562" s="190"/>
      <c r="L1562" s="190"/>
      <c r="M1562" s="190"/>
      <c r="N1562" s="220"/>
      <c r="O1562" s="220"/>
      <c r="P1562" s="220"/>
      <c r="R1562" s="210"/>
      <c r="S1562" s="210"/>
      <c r="T1562" s="210"/>
      <c r="U1562" s="210"/>
      <c r="X1562" s="210"/>
      <c r="Y1562" s="210"/>
      <c r="Z1562" s="210"/>
      <c r="AA1562" s="210"/>
      <c r="AB1562" s="210"/>
      <c r="AC1562" s="210"/>
      <c r="AD1562" s="210"/>
      <c r="AE1562" s="210"/>
      <c r="AF1562" s="210"/>
      <c r="AG1562" s="210"/>
      <c r="AH1562" s="210"/>
      <c r="AI1562" s="210"/>
      <c r="AJ1562" s="210"/>
      <c r="AK1562" s="210"/>
      <c r="AL1562" s="210"/>
      <c r="AM1562" s="210"/>
      <c r="AN1562" s="210"/>
      <c r="AO1562" s="210"/>
      <c r="AP1562" s="210"/>
      <c r="AQ1562" s="210"/>
    </row>
    <row r="1563">
      <c r="A1563" s="190"/>
      <c r="B1563" s="190"/>
      <c r="C1563" s="190"/>
      <c r="D1563" s="190"/>
      <c r="E1563" s="190"/>
      <c r="F1563" s="190"/>
      <c r="G1563" s="190"/>
      <c r="H1563" s="190"/>
      <c r="I1563" s="190"/>
      <c r="J1563" s="190"/>
      <c r="K1563" s="190"/>
      <c r="L1563" s="190"/>
      <c r="M1563" s="190"/>
      <c r="N1563" s="220"/>
      <c r="O1563" s="220"/>
      <c r="P1563" s="220"/>
      <c r="R1563" s="210"/>
      <c r="S1563" s="210"/>
      <c r="T1563" s="210"/>
      <c r="U1563" s="210"/>
      <c r="X1563" s="210"/>
      <c r="Y1563" s="210"/>
      <c r="Z1563" s="210"/>
      <c r="AA1563" s="210"/>
      <c r="AB1563" s="210"/>
      <c r="AC1563" s="210"/>
      <c r="AD1563" s="210"/>
      <c r="AE1563" s="210"/>
      <c r="AF1563" s="210"/>
      <c r="AG1563" s="210"/>
      <c r="AH1563" s="210"/>
      <c r="AI1563" s="210"/>
      <c r="AJ1563" s="210"/>
      <c r="AK1563" s="210"/>
      <c r="AL1563" s="210"/>
      <c r="AM1563" s="210"/>
      <c r="AN1563" s="210"/>
      <c r="AO1563" s="210"/>
      <c r="AP1563" s="210"/>
      <c r="AQ1563" s="210"/>
    </row>
    <row r="1564">
      <c r="A1564" s="190"/>
      <c r="B1564" s="190"/>
      <c r="C1564" s="190"/>
      <c r="D1564" s="190"/>
      <c r="E1564" s="190"/>
      <c r="F1564" s="190"/>
      <c r="G1564" s="190"/>
      <c r="H1564" s="190"/>
      <c r="I1564" s="190"/>
      <c r="J1564" s="190"/>
      <c r="K1564" s="190"/>
      <c r="L1564" s="190"/>
      <c r="M1564" s="190"/>
      <c r="N1564" s="220"/>
      <c r="O1564" s="220"/>
      <c r="P1564" s="220"/>
      <c r="R1564" s="210"/>
      <c r="S1564" s="210"/>
      <c r="T1564" s="210"/>
      <c r="U1564" s="210"/>
      <c r="X1564" s="210"/>
      <c r="Y1564" s="210"/>
      <c r="Z1564" s="210"/>
      <c r="AA1564" s="210"/>
      <c r="AB1564" s="210"/>
      <c r="AC1564" s="210"/>
      <c r="AD1564" s="210"/>
      <c r="AE1564" s="210"/>
      <c r="AF1564" s="210"/>
      <c r="AG1564" s="210"/>
      <c r="AH1564" s="210"/>
      <c r="AI1564" s="210"/>
      <c r="AJ1564" s="210"/>
      <c r="AK1564" s="210"/>
      <c r="AL1564" s="210"/>
      <c r="AM1564" s="210"/>
      <c r="AN1564" s="210"/>
      <c r="AO1564" s="210"/>
      <c r="AP1564" s="210"/>
      <c r="AQ1564" s="210"/>
    </row>
    <row r="1565">
      <c r="A1565" s="190"/>
      <c r="B1565" s="190"/>
      <c r="C1565" s="190"/>
      <c r="D1565" s="190"/>
      <c r="E1565" s="190"/>
      <c r="F1565" s="190"/>
      <c r="G1565" s="190"/>
      <c r="H1565" s="190"/>
      <c r="I1565" s="190"/>
      <c r="J1565" s="190"/>
      <c r="K1565" s="190"/>
      <c r="L1565" s="190"/>
      <c r="M1565" s="190"/>
      <c r="N1565" s="220"/>
      <c r="O1565" s="220"/>
      <c r="P1565" s="220"/>
      <c r="R1565" s="210"/>
      <c r="S1565" s="210"/>
      <c r="T1565" s="210"/>
      <c r="U1565" s="210"/>
      <c r="X1565" s="210"/>
      <c r="Y1565" s="210"/>
      <c r="Z1565" s="210"/>
      <c r="AA1565" s="210"/>
      <c r="AB1565" s="210"/>
      <c r="AC1565" s="210"/>
      <c r="AD1565" s="210"/>
      <c r="AE1565" s="210"/>
      <c r="AF1565" s="210"/>
      <c r="AG1565" s="210"/>
      <c r="AH1565" s="210"/>
      <c r="AI1565" s="210"/>
      <c r="AJ1565" s="210"/>
      <c r="AK1565" s="210"/>
      <c r="AL1565" s="210"/>
      <c r="AM1565" s="210"/>
      <c r="AN1565" s="210"/>
      <c r="AO1565" s="210"/>
      <c r="AP1565" s="210"/>
      <c r="AQ1565" s="210"/>
    </row>
    <row r="1566">
      <c r="A1566" s="190"/>
      <c r="B1566" s="190"/>
      <c r="C1566" s="190"/>
      <c r="D1566" s="190"/>
      <c r="E1566" s="190"/>
      <c r="F1566" s="190"/>
      <c r="G1566" s="190"/>
      <c r="H1566" s="190"/>
      <c r="I1566" s="190"/>
      <c r="J1566" s="190"/>
      <c r="K1566" s="190"/>
      <c r="L1566" s="190"/>
      <c r="M1566" s="190"/>
      <c r="N1566" s="220"/>
      <c r="O1566" s="220"/>
      <c r="P1566" s="220"/>
      <c r="R1566" s="210"/>
      <c r="S1566" s="210"/>
      <c r="T1566" s="210"/>
      <c r="U1566" s="210"/>
      <c r="X1566" s="210"/>
      <c r="Y1566" s="210"/>
      <c r="Z1566" s="210"/>
      <c r="AA1566" s="210"/>
      <c r="AB1566" s="210"/>
      <c r="AC1566" s="210"/>
      <c r="AD1566" s="210"/>
      <c r="AE1566" s="210"/>
      <c r="AF1566" s="210"/>
      <c r="AG1566" s="210"/>
      <c r="AH1566" s="210"/>
      <c r="AI1566" s="210"/>
      <c r="AJ1566" s="210"/>
      <c r="AK1566" s="210"/>
      <c r="AL1566" s="210"/>
      <c r="AM1566" s="210"/>
      <c r="AN1566" s="210"/>
      <c r="AO1566" s="210"/>
      <c r="AP1566" s="210"/>
      <c r="AQ1566" s="210"/>
    </row>
    <row r="1567">
      <c r="A1567" s="190"/>
      <c r="B1567" s="190"/>
      <c r="C1567" s="190"/>
      <c r="D1567" s="190"/>
      <c r="E1567" s="190"/>
      <c r="F1567" s="190"/>
      <c r="G1567" s="190"/>
      <c r="H1567" s="190"/>
      <c r="I1567" s="190"/>
      <c r="J1567" s="190"/>
      <c r="K1567" s="190"/>
      <c r="L1567" s="190"/>
      <c r="M1567" s="190"/>
      <c r="N1567" s="220"/>
      <c r="O1567" s="220"/>
      <c r="P1567" s="220"/>
      <c r="R1567" s="210"/>
      <c r="S1567" s="210"/>
      <c r="T1567" s="210"/>
      <c r="U1567" s="210"/>
      <c r="X1567" s="210"/>
      <c r="Y1567" s="210"/>
      <c r="Z1567" s="210"/>
      <c r="AA1567" s="210"/>
      <c r="AB1567" s="210"/>
      <c r="AC1567" s="210"/>
      <c r="AD1567" s="210"/>
      <c r="AE1567" s="210"/>
      <c r="AF1567" s="210"/>
      <c r="AG1567" s="210"/>
      <c r="AH1567" s="210"/>
      <c r="AI1567" s="210"/>
      <c r="AJ1567" s="210"/>
      <c r="AK1567" s="210"/>
      <c r="AL1567" s="210"/>
      <c r="AM1567" s="210"/>
      <c r="AN1567" s="210"/>
      <c r="AO1567" s="210"/>
      <c r="AP1567" s="210"/>
      <c r="AQ1567" s="210"/>
    </row>
    <row r="1568">
      <c r="A1568" s="190"/>
      <c r="B1568" s="190"/>
      <c r="C1568" s="190"/>
      <c r="D1568" s="190"/>
      <c r="E1568" s="190"/>
      <c r="F1568" s="190"/>
      <c r="G1568" s="190"/>
      <c r="H1568" s="190"/>
      <c r="I1568" s="190"/>
      <c r="J1568" s="190"/>
      <c r="K1568" s="190"/>
      <c r="L1568" s="190"/>
      <c r="M1568" s="190"/>
      <c r="N1568" s="220"/>
      <c r="O1568" s="220"/>
      <c r="P1568" s="220"/>
      <c r="R1568" s="210"/>
      <c r="S1568" s="210"/>
      <c r="T1568" s="210"/>
      <c r="U1568" s="210"/>
      <c r="X1568" s="210"/>
      <c r="Y1568" s="210"/>
      <c r="Z1568" s="210"/>
      <c r="AA1568" s="210"/>
      <c r="AB1568" s="210"/>
      <c r="AC1568" s="210"/>
      <c r="AD1568" s="210"/>
      <c r="AE1568" s="210"/>
      <c r="AF1568" s="210"/>
      <c r="AG1568" s="210"/>
      <c r="AH1568" s="210"/>
      <c r="AI1568" s="210"/>
      <c r="AJ1568" s="210"/>
      <c r="AK1568" s="210"/>
      <c r="AL1568" s="210"/>
      <c r="AM1568" s="210"/>
      <c r="AN1568" s="210"/>
      <c r="AO1568" s="210"/>
      <c r="AP1568" s="210"/>
      <c r="AQ1568" s="210"/>
    </row>
    <row r="1569">
      <c r="A1569" s="190"/>
      <c r="B1569" s="190"/>
      <c r="C1569" s="190"/>
      <c r="D1569" s="190"/>
      <c r="E1569" s="190"/>
      <c r="F1569" s="190"/>
      <c r="G1569" s="190"/>
      <c r="H1569" s="190"/>
      <c r="I1569" s="190"/>
      <c r="J1569" s="190"/>
      <c r="K1569" s="190"/>
      <c r="L1569" s="190"/>
      <c r="M1569" s="190"/>
      <c r="N1569" s="220"/>
      <c r="O1569" s="220"/>
      <c r="P1569" s="220"/>
      <c r="R1569" s="210"/>
      <c r="S1569" s="210"/>
      <c r="T1569" s="210"/>
      <c r="U1569" s="210"/>
      <c r="X1569" s="210"/>
      <c r="Y1569" s="210"/>
      <c r="Z1569" s="210"/>
      <c r="AA1569" s="210"/>
      <c r="AB1569" s="210"/>
      <c r="AC1569" s="210"/>
      <c r="AD1569" s="210"/>
      <c r="AE1569" s="210"/>
      <c r="AF1569" s="210"/>
      <c r="AG1569" s="210"/>
      <c r="AH1569" s="210"/>
      <c r="AI1569" s="210"/>
      <c r="AJ1569" s="210"/>
      <c r="AK1569" s="210"/>
      <c r="AL1569" s="210"/>
      <c r="AM1569" s="210"/>
      <c r="AN1569" s="210"/>
      <c r="AO1569" s="210"/>
      <c r="AP1569" s="210"/>
      <c r="AQ1569" s="210"/>
    </row>
    <row r="1570">
      <c r="A1570" s="190"/>
      <c r="B1570" s="190"/>
      <c r="C1570" s="190"/>
      <c r="D1570" s="190"/>
      <c r="E1570" s="190"/>
      <c r="F1570" s="190"/>
      <c r="G1570" s="190"/>
      <c r="H1570" s="190"/>
      <c r="I1570" s="190"/>
      <c r="J1570" s="190"/>
      <c r="K1570" s="190"/>
      <c r="L1570" s="190"/>
      <c r="M1570" s="190"/>
      <c r="N1570" s="220"/>
      <c r="O1570" s="220"/>
      <c r="P1570" s="220"/>
      <c r="R1570" s="210"/>
      <c r="S1570" s="210"/>
      <c r="T1570" s="210"/>
      <c r="U1570" s="210"/>
      <c r="X1570" s="210"/>
      <c r="Y1570" s="210"/>
      <c r="Z1570" s="210"/>
      <c r="AA1570" s="210"/>
      <c r="AB1570" s="210"/>
      <c r="AC1570" s="210"/>
      <c r="AD1570" s="210"/>
      <c r="AE1570" s="210"/>
      <c r="AF1570" s="210"/>
      <c r="AG1570" s="210"/>
      <c r="AH1570" s="210"/>
      <c r="AI1570" s="210"/>
      <c r="AJ1570" s="210"/>
      <c r="AK1570" s="210"/>
      <c r="AL1570" s="210"/>
      <c r="AM1570" s="210"/>
      <c r="AN1570" s="210"/>
      <c r="AO1570" s="210"/>
      <c r="AP1570" s="210"/>
      <c r="AQ1570" s="210"/>
    </row>
    <row r="1571">
      <c r="A1571" s="190"/>
      <c r="B1571" s="190"/>
      <c r="C1571" s="190"/>
      <c r="D1571" s="190"/>
      <c r="E1571" s="190"/>
      <c r="F1571" s="190"/>
      <c r="G1571" s="190"/>
      <c r="H1571" s="190"/>
      <c r="I1571" s="190"/>
      <c r="J1571" s="190"/>
      <c r="K1571" s="190"/>
      <c r="L1571" s="190"/>
      <c r="M1571" s="190"/>
      <c r="N1571" s="220"/>
      <c r="O1571" s="220"/>
      <c r="P1571" s="220"/>
      <c r="R1571" s="210"/>
      <c r="S1571" s="210"/>
      <c r="T1571" s="210"/>
      <c r="U1571" s="210"/>
      <c r="X1571" s="210"/>
      <c r="Y1571" s="210"/>
      <c r="Z1571" s="210"/>
      <c r="AA1571" s="210"/>
      <c r="AB1571" s="210"/>
      <c r="AC1571" s="210"/>
      <c r="AD1571" s="210"/>
      <c r="AE1571" s="210"/>
      <c r="AF1571" s="210"/>
      <c r="AG1571" s="210"/>
      <c r="AH1571" s="210"/>
      <c r="AI1571" s="210"/>
      <c r="AJ1571" s="210"/>
      <c r="AK1571" s="210"/>
      <c r="AL1571" s="210"/>
      <c r="AM1571" s="210"/>
      <c r="AN1571" s="210"/>
      <c r="AO1571" s="210"/>
      <c r="AP1571" s="210"/>
      <c r="AQ1571" s="210"/>
    </row>
    <row r="1572">
      <c r="A1572" s="190"/>
      <c r="B1572" s="190"/>
      <c r="C1572" s="190"/>
      <c r="D1572" s="190"/>
      <c r="E1572" s="190"/>
      <c r="F1572" s="190"/>
      <c r="G1572" s="190"/>
      <c r="H1572" s="190"/>
      <c r="I1572" s="190"/>
      <c r="J1572" s="190"/>
      <c r="K1572" s="190"/>
      <c r="L1572" s="190"/>
      <c r="M1572" s="190"/>
      <c r="N1572" s="220"/>
      <c r="O1572" s="220"/>
      <c r="P1572" s="220"/>
      <c r="R1572" s="210"/>
      <c r="S1572" s="210"/>
      <c r="T1572" s="210"/>
      <c r="U1572" s="210"/>
      <c r="X1572" s="210"/>
      <c r="Y1572" s="210"/>
      <c r="Z1572" s="210"/>
      <c r="AA1572" s="210"/>
      <c r="AB1572" s="210"/>
      <c r="AC1572" s="210"/>
      <c r="AD1572" s="210"/>
      <c r="AE1572" s="210"/>
      <c r="AF1572" s="210"/>
      <c r="AG1572" s="210"/>
      <c r="AH1572" s="210"/>
      <c r="AI1572" s="210"/>
      <c r="AJ1572" s="210"/>
      <c r="AK1572" s="210"/>
      <c r="AL1572" s="210"/>
      <c r="AM1572" s="210"/>
      <c r="AN1572" s="210"/>
      <c r="AO1572" s="210"/>
      <c r="AP1572" s="210"/>
      <c r="AQ1572" s="210"/>
    </row>
    <row r="1573">
      <c r="A1573" s="190"/>
      <c r="B1573" s="190"/>
      <c r="C1573" s="190"/>
      <c r="D1573" s="190"/>
      <c r="E1573" s="190"/>
      <c r="F1573" s="190"/>
      <c r="G1573" s="190"/>
      <c r="H1573" s="190"/>
      <c r="I1573" s="190"/>
      <c r="J1573" s="190"/>
      <c r="K1573" s="190"/>
      <c r="L1573" s="190"/>
      <c r="M1573" s="190"/>
      <c r="N1573" s="220"/>
      <c r="O1573" s="220"/>
      <c r="P1573" s="220"/>
      <c r="R1573" s="210"/>
      <c r="S1573" s="210"/>
      <c r="T1573" s="210"/>
      <c r="U1573" s="210"/>
      <c r="X1573" s="210"/>
      <c r="Y1573" s="210"/>
      <c r="Z1573" s="210"/>
      <c r="AA1573" s="210"/>
      <c r="AB1573" s="210"/>
      <c r="AC1573" s="210"/>
      <c r="AD1573" s="210"/>
      <c r="AE1573" s="210"/>
      <c r="AF1573" s="210"/>
      <c r="AG1573" s="210"/>
      <c r="AH1573" s="210"/>
      <c r="AI1573" s="210"/>
      <c r="AJ1573" s="210"/>
      <c r="AK1573" s="210"/>
      <c r="AL1573" s="210"/>
      <c r="AM1573" s="210"/>
      <c r="AN1573" s="210"/>
      <c r="AO1573" s="210"/>
      <c r="AP1573" s="210"/>
      <c r="AQ1573" s="210"/>
    </row>
    <row r="1574">
      <c r="A1574" s="190"/>
      <c r="B1574" s="190"/>
      <c r="C1574" s="190"/>
      <c r="D1574" s="190"/>
      <c r="E1574" s="190"/>
      <c r="F1574" s="190"/>
      <c r="G1574" s="190"/>
      <c r="H1574" s="190"/>
      <c r="I1574" s="190"/>
      <c r="J1574" s="190"/>
      <c r="K1574" s="190"/>
      <c r="L1574" s="190"/>
      <c r="M1574" s="190"/>
      <c r="N1574" s="220"/>
      <c r="O1574" s="220"/>
      <c r="P1574" s="220"/>
      <c r="R1574" s="210"/>
      <c r="S1574" s="210"/>
      <c r="T1574" s="210"/>
      <c r="U1574" s="210"/>
      <c r="X1574" s="210"/>
      <c r="Y1574" s="210"/>
      <c r="Z1574" s="210"/>
      <c r="AA1574" s="210"/>
      <c r="AB1574" s="210"/>
      <c r="AC1574" s="210"/>
      <c r="AD1574" s="210"/>
      <c r="AE1574" s="210"/>
      <c r="AF1574" s="210"/>
      <c r="AG1574" s="210"/>
      <c r="AH1574" s="210"/>
      <c r="AI1574" s="210"/>
      <c r="AJ1574" s="210"/>
      <c r="AK1574" s="210"/>
      <c r="AL1574" s="210"/>
      <c r="AM1574" s="210"/>
      <c r="AN1574" s="210"/>
      <c r="AO1574" s="210"/>
      <c r="AP1574" s="210"/>
      <c r="AQ1574" s="210"/>
    </row>
    <row r="1575">
      <c r="A1575" s="190"/>
      <c r="B1575" s="190"/>
      <c r="C1575" s="190"/>
      <c r="D1575" s="190"/>
      <c r="E1575" s="190"/>
      <c r="F1575" s="190"/>
      <c r="G1575" s="190"/>
      <c r="H1575" s="190"/>
      <c r="I1575" s="190"/>
      <c r="J1575" s="190"/>
      <c r="K1575" s="190"/>
      <c r="L1575" s="190"/>
      <c r="M1575" s="190"/>
      <c r="N1575" s="220"/>
      <c r="O1575" s="220"/>
      <c r="P1575" s="220"/>
      <c r="R1575" s="210"/>
      <c r="S1575" s="210"/>
      <c r="T1575" s="210"/>
      <c r="U1575" s="210"/>
      <c r="X1575" s="210"/>
      <c r="Y1575" s="210"/>
      <c r="Z1575" s="210"/>
      <c r="AA1575" s="210"/>
      <c r="AB1575" s="210"/>
      <c r="AC1575" s="210"/>
      <c r="AD1575" s="210"/>
      <c r="AE1575" s="210"/>
      <c r="AF1575" s="210"/>
      <c r="AG1575" s="210"/>
      <c r="AH1575" s="210"/>
      <c r="AI1575" s="210"/>
      <c r="AJ1575" s="210"/>
      <c r="AK1575" s="210"/>
      <c r="AL1575" s="210"/>
      <c r="AM1575" s="210"/>
      <c r="AN1575" s="210"/>
      <c r="AO1575" s="210"/>
      <c r="AP1575" s="210"/>
      <c r="AQ1575" s="210"/>
    </row>
    <row r="1576">
      <c r="A1576" s="190"/>
      <c r="B1576" s="190"/>
      <c r="C1576" s="190"/>
      <c r="D1576" s="190"/>
      <c r="E1576" s="190"/>
      <c r="F1576" s="190"/>
      <c r="G1576" s="190"/>
      <c r="H1576" s="190"/>
      <c r="I1576" s="190"/>
      <c r="J1576" s="190"/>
      <c r="K1576" s="190"/>
      <c r="L1576" s="190"/>
      <c r="M1576" s="190"/>
      <c r="N1576" s="220"/>
      <c r="O1576" s="220"/>
      <c r="P1576" s="220"/>
      <c r="R1576" s="210"/>
      <c r="S1576" s="210"/>
      <c r="T1576" s="210"/>
      <c r="U1576" s="210"/>
      <c r="X1576" s="210"/>
      <c r="Y1576" s="210"/>
      <c r="Z1576" s="210"/>
      <c r="AA1576" s="210"/>
      <c r="AB1576" s="210"/>
      <c r="AC1576" s="210"/>
      <c r="AD1576" s="210"/>
      <c r="AE1576" s="210"/>
      <c r="AF1576" s="210"/>
      <c r="AG1576" s="210"/>
      <c r="AH1576" s="210"/>
      <c r="AI1576" s="210"/>
      <c r="AJ1576" s="210"/>
      <c r="AK1576" s="210"/>
      <c r="AL1576" s="210"/>
      <c r="AM1576" s="210"/>
      <c r="AN1576" s="210"/>
      <c r="AO1576" s="210"/>
      <c r="AP1576" s="210"/>
      <c r="AQ1576" s="210"/>
    </row>
    <row r="1577">
      <c r="A1577" s="190"/>
      <c r="B1577" s="190"/>
      <c r="C1577" s="190"/>
      <c r="D1577" s="190"/>
      <c r="E1577" s="190"/>
      <c r="F1577" s="190"/>
      <c r="G1577" s="190"/>
      <c r="H1577" s="190"/>
      <c r="I1577" s="190"/>
      <c r="J1577" s="190"/>
      <c r="K1577" s="190"/>
      <c r="L1577" s="190"/>
      <c r="M1577" s="190"/>
      <c r="N1577" s="220"/>
      <c r="O1577" s="220"/>
      <c r="P1577" s="220"/>
      <c r="R1577" s="210"/>
      <c r="S1577" s="210"/>
      <c r="T1577" s="210"/>
      <c r="U1577" s="210"/>
      <c r="X1577" s="210"/>
      <c r="Y1577" s="210"/>
      <c r="Z1577" s="210"/>
      <c r="AA1577" s="210"/>
      <c r="AB1577" s="210"/>
      <c r="AC1577" s="210"/>
      <c r="AD1577" s="210"/>
      <c r="AE1577" s="210"/>
      <c r="AF1577" s="210"/>
      <c r="AG1577" s="210"/>
      <c r="AH1577" s="210"/>
      <c r="AI1577" s="210"/>
      <c r="AJ1577" s="210"/>
      <c r="AK1577" s="210"/>
      <c r="AL1577" s="210"/>
      <c r="AM1577" s="210"/>
      <c r="AN1577" s="210"/>
      <c r="AO1577" s="210"/>
      <c r="AP1577" s="210"/>
      <c r="AQ1577" s="210"/>
    </row>
    <row r="1578">
      <c r="A1578" s="190"/>
      <c r="B1578" s="190"/>
      <c r="C1578" s="190"/>
      <c r="D1578" s="190"/>
      <c r="E1578" s="190"/>
      <c r="F1578" s="190"/>
      <c r="G1578" s="190"/>
      <c r="H1578" s="190"/>
      <c r="I1578" s="190"/>
      <c r="J1578" s="190"/>
      <c r="K1578" s="190"/>
      <c r="L1578" s="190"/>
      <c r="M1578" s="190"/>
      <c r="N1578" s="220"/>
      <c r="O1578" s="220"/>
      <c r="P1578" s="220"/>
      <c r="R1578" s="210"/>
      <c r="S1578" s="210"/>
      <c r="T1578" s="210"/>
      <c r="U1578" s="210"/>
      <c r="X1578" s="210"/>
      <c r="Y1578" s="210"/>
      <c r="Z1578" s="210"/>
      <c r="AA1578" s="210"/>
      <c r="AB1578" s="210"/>
      <c r="AC1578" s="210"/>
      <c r="AD1578" s="210"/>
      <c r="AE1578" s="210"/>
      <c r="AF1578" s="210"/>
      <c r="AG1578" s="210"/>
      <c r="AH1578" s="210"/>
      <c r="AI1578" s="210"/>
      <c r="AJ1578" s="210"/>
      <c r="AK1578" s="210"/>
      <c r="AL1578" s="210"/>
      <c r="AM1578" s="210"/>
      <c r="AN1578" s="210"/>
      <c r="AO1578" s="210"/>
      <c r="AP1578" s="210"/>
      <c r="AQ1578" s="210"/>
    </row>
    <row r="1579">
      <c r="A1579" s="190"/>
      <c r="B1579" s="190"/>
      <c r="C1579" s="190"/>
      <c r="D1579" s="190"/>
      <c r="E1579" s="190"/>
      <c r="F1579" s="190"/>
      <c r="G1579" s="190"/>
      <c r="H1579" s="190"/>
      <c r="I1579" s="190"/>
      <c r="J1579" s="190"/>
      <c r="K1579" s="190"/>
      <c r="L1579" s="190"/>
      <c r="M1579" s="190"/>
      <c r="N1579" s="220"/>
      <c r="O1579" s="220"/>
      <c r="P1579" s="220"/>
      <c r="R1579" s="210"/>
      <c r="S1579" s="210"/>
      <c r="T1579" s="210"/>
      <c r="U1579" s="210"/>
      <c r="X1579" s="210"/>
      <c r="Y1579" s="210"/>
      <c r="Z1579" s="210"/>
      <c r="AA1579" s="210"/>
      <c r="AB1579" s="210"/>
      <c r="AC1579" s="210"/>
      <c r="AD1579" s="210"/>
      <c r="AE1579" s="210"/>
      <c r="AF1579" s="210"/>
      <c r="AG1579" s="210"/>
      <c r="AH1579" s="210"/>
      <c r="AI1579" s="210"/>
      <c r="AJ1579" s="210"/>
      <c r="AK1579" s="210"/>
      <c r="AL1579" s="210"/>
      <c r="AM1579" s="210"/>
      <c r="AN1579" s="210"/>
      <c r="AO1579" s="210"/>
      <c r="AP1579" s="210"/>
      <c r="AQ1579" s="210"/>
    </row>
    <row r="1580">
      <c r="A1580" s="190"/>
      <c r="B1580" s="190"/>
      <c r="C1580" s="190"/>
      <c r="D1580" s="190"/>
      <c r="E1580" s="190"/>
      <c r="F1580" s="190"/>
      <c r="G1580" s="190"/>
      <c r="H1580" s="190"/>
      <c r="I1580" s="190"/>
      <c r="J1580" s="190"/>
      <c r="K1580" s="190"/>
      <c r="L1580" s="190"/>
      <c r="M1580" s="190"/>
      <c r="N1580" s="220"/>
      <c r="O1580" s="220"/>
      <c r="P1580" s="220"/>
      <c r="R1580" s="210"/>
      <c r="S1580" s="210"/>
      <c r="T1580" s="210"/>
      <c r="U1580" s="210"/>
      <c r="X1580" s="210"/>
      <c r="Y1580" s="210"/>
      <c r="Z1580" s="210"/>
      <c r="AA1580" s="210"/>
      <c r="AB1580" s="210"/>
      <c r="AC1580" s="210"/>
      <c r="AD1580" s="210"/>
      <c r="AE1580" s="210"/>
      <c r="AF1580" s="210"/>
      <c r="AG1580" s="210"/>
      <c r="AH1580" s="210"/>
      <c r="AI1580" s="210"/>
      <c r="AJ1580" s="210"/>
      <c r="AK1580" s="210"/>
      <c r="AL1580" s="210"/>
      <c r="AM1580" s="210"/>
      <c r="AN1580" s="210"/>
      <c r="AO1580" s="210"/>
      <c r="AP1580" s="210"/>
      <c r="AQ1580" s="210"/>
    </row>
    <row r="1581">
      <c r="A1581" s="190"/>
      <c r="B1581" s="190"/>
      <c r="C1581" s="190"/>
      <c r="D1581" s="190"/>
      <c r="E1581" s="190"/>
      <c r="F1581" s="190"/>
      <c r="G1581" s="190"/>
      <c r="H1581" s="190"/>
      <c r="I1581" s="190"/>
      <c r="J1581" s="190"/>
      <c r="K1581" s="190"/>
      <c r="L1581" s="190"/>
      <c r="M1581" s="190"/>
      <c r="N1581" s="220"/>
      <c r="O1581" s="220"/>
      <c r="P1581" s="220"/>
      <c r="R1581" s="210"/>
      <c r="S1581" s="210"/>
      <c r="T1581" s="210"/>
      <c r="U1581" s="210"/>
      <c r="X1581" s="210"/>
      <c r="Y1581" s="210"/>
      <c r="Z1581" s="210"/>
      <c r="AA1581" s="210"/>
      <c r="AB1581" s="210"/>
      <c r="AC1581" s="210"/>
      <c r="AD1581" s="210"/>
      <c r="AE1581" s="210"/>
      <c r="AF1581" s="210"/>
      <c r="AG1581" s="210"/>
      <c r="AH1581" s="210"/>
      <c r="AI1581" s="210"/>
      <c r="AJ1581" s="210"/>
      <c r="AK1581" s="210"/>
      <c r="AL1581" s="210"/>
      <c r="AM1581" s="210"/>
      <c r="AN1581" s="210"/>
      <c r="AO1581" s="210"/>
      <c r="AP1581" s="210"/>
      <c r="AQ1581" s="210"/>
    </row>
  </sheetData>
  <autoFilter ref="$Q$1:$U$1581"/>
  <dataValidations>
    <dataValidation type="list" allowBlank="1" showErrorMessage="1" sqref="F2:G1581">
      <formula1>LEVEL_HELPER!$A$2:$A$15</formula1>
    </dataValidation>
  </dataValidation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9.86"/>
    <col customWidth="1" min="5" max="5" width="19.86"/>
    <col customWidth="1" min="6" max="6" width="20.71"/>
  </cols>
  <sheetData>
    <row r="1">
      <c r="A1" s="263" t="s">
        <v>125</v>
      </c>
      <c r="B1" s="264" t="s">
        <v>974</v>
      </c>
      <c r="C1" s="264" t="s">
        <v>975</v>
      </c>
      <c r="D1" s="264" t="s">
        <v>976</v>
      </c>
      <c r="E1" s="264" t="s">
        <v>977</v>
      </c>
      <c r="F1" s="264" t="s">
        <v>978</v>
      </c>
      <c r="G1" s="264" t="s">
        <v>979</v>
      </c>
      <c r="H1" s="264" t="s">
        <v>980</v>
      </c>
      <c r="I1" s="264" t="s">
        <v>981</v>
      </c>
      <c r="J1" s="265" t="s">
        <v>982</v>
      </c>
      <c r="K1" s="265" t="s">
        <v>983</v>
      </c>
      <c r="L1" s="265" t="s">
        <v>984</v>
      </c>
    </row>
    <row r="2">
      <c r="A2" s="266" t="s">
        <v>922</v>
      </c>
      <c r="B2" s="267">
        <f>COUNTIFS(sheet2!$M:$M, A2, sheet2!$S:$S, 1, sheet2!$R:$R, "Not tested yet")</f>
        <v>24</v>
      </c>
      <c r="C2" s="267">
        <f>COUNTIFS(sheet2!$M:$M, A2, sheet2!$S:$S, 1, sheet2!$R:$R, "Regressed")</f>
        <v>1</v>
      </c>
      <c r="D2" s="267">
        <f>COUNTIFS(sheet2!$M:$M, A2, sheet2!$S:$S, 1, sheet2!$R:$R, "No Progress")</f>
        <v>9</v>
      </c>
      <c r="E2" s="267">
        <f>COUNTIFS(sheet2!$M:$M, A2, sheet2!$S:$S, 1, sheet2!$R:$R, "Progress within level")</f>
        <v>5</v>
      </c>
      <c r="F2" s="267">
        <f>COUNTIFS(sheet2!$M:$M, A2, sheet2!$S:$S, 1, sheet2!$R:$R, "Lv1 → Lv2")</f>
        <v>16</v>
      </c>
      <c r="G2" s="267">
        <f>COUNTIFS(sheet2!$M:$M, A2, sheet2!$S:$S, 1, sheet2!$R:$R, "Lv2 → Lv3")</f>
        <v>3</v>
      </c>
      <c r="H2" s="267">
        <f>COUNTIFS(sheet2!$M:$M, A2, sheet2!$S:$S, 1, sheet2!$R:$R, "Lv3 → Lv4")</f>
        <v>2</v>
      </c>
      <c r="I2" s="268">
        <f>COUNTIFS(sheet2!$M:$M, A2, sheet2!$S:$S, 1, sheet2!$R:$R, "Lv1 → Lv3 (multi)")
+COUNTIFS(sheet2!$M:$M, A2, sheet2!$S:$S, 1, sheet2!$R:$R, "Lv1 → Lv4 (multi)")
+COUNTIFS(sheet2!$M:$M, A2, sheet2!$S:$S, 1, sheet2!$R:$R, "Lv2 → Lv4 (multi)")</f>
        <v>1</v>
      </c>
      <c r="J2" s="269">
        <f t="shared" ref="J2:J8" si="1">IFERROR(L2/SUM($L$2:$L$8), 0)</f>
        <v>0.2006578947</v>
      </c>
      <c r="K2" s="270">
        <f t="shared" ref="K2:K8" si="2">L2-SUM(C2:I2)</f>
        <v>24</v>
      </c>
      <c r="L2" s="271">
        <f>COUNTIFS(sheet2!$M:$M, A2, sheet2!$S:$S, 1)</f>
        <v>61</v>
      </c>
      <c r="M2" s="270"/>
      <c r="N2" s="270"/>
      <c r="O2" s="270"/>
      <c r="P2" s="270"/>
      <c r="Q2" s="270"/>
      <c r="R2" s="270"/>
      <c r="S2" s="270"/>
      <c r="T2" s="270"/>
      <c r="U2" s="270"/>
      <c r="V2" s="270"/>
      <c r="W2" s="270"/>
      <c r="X2" s="270"/>
      <c r="Y2" s="270"/>
      <c r="Z2" s="270"/>
      <c r="AA2" s="270"/>
      <c r="AB2" s="270"/>
    </row>
    <row r="3">
      <c r="A3" s="13" t="s">
        <v>923</v>
      </c>
      <c r="B3" s="272">
        <f>COUNTIFS(sheet2!$M:$M, A3, sheet2!$S:$S, 1, sheet2!$R:$R, "Not tested yet")</f>
        <v>15</v>
      </c>
      <c r="C3" s="272">
        <f>COUNTIFS(sheet2!$M:$M, A3, sheet2!$S:$S, 1, sheet2!$R:$R, "Regressed")</f>
        <v>0</v>
      </c>
      <c r="D3" s="272">
        <f>COUNTIFS(sheet2!$M:$M, A3, sheet2!$S:$S, 1, sheet2!$R:$R, "No Progress")</f>
        <v>6</v>
      </c>
      <c r="E3" s="272">
        <f>COUNTIFS(sheet2!$M:$M, A3, sheet2!$S:$S, 1, sheet2!$R:$R, "Progress within level")</f>
        <v>10</v>
      </c>
      <c r="F3" s="272">
        <f>COUNTIFS(sheet2!$M:$M, A3, sheet2!$S:$S, 1, sheet2!$R:$R, "Lv1 → Lv2")</f>
        <v>20</v>
      </c>
      <c r="G3" s="272">
        <f>COUNTIFS(sheet2!$M:$M, A3, sheet2!$S:$S, 1, sheet2!$R:$R, "Lv2 → Lv3")</f>
        <v>4</v>
      </c>
      <c r="H3" s="272">
        <f>COUNTIFS(sheet2!$M:$M, A3, sheet2!$S:$S, 1, sheet2!$R:$R, "Lv3 → Lv4")</f>
        <v>4</v>
      </c>
      <c r="I3" s="220">
        <f>COUNTIFS(sheet2!$M:$M, A3, sheet2!$S:$S, 1, sheet2!$R:$R, "Lv1 → Lv3 (multi)")
+COUNTIFS(sheet2!$M:$M, A3, sheet2!$S:$S, 1, sheet2!$R:$R, "Lv1 → Lv4 (multi)")
+COUNTIFS(sheet2!$M:$M, A3, sheet2!$S:$S, 1, sheet2!$R:$R, "Lv2 → Lv4 (multi)")</f>
        <v>4</v>
      </c>
      <c r="J3" s="273">
        <f t="shared" si="1"/>
        <v>0.2072368421</v>
      </c>
      <c r="K3" s="190">
        <f t="shared" si="2"/>
        <v>15</v>
      </c>
      <c r="L3" s="274">
        <f>COUNTIFS(sheet2!$M:$M, A3, sheet2!$S:$S, 1)</f>
        <v>63</v>
      </c>
    </row>
    <row r="4">
      <c r="A4" s="13" t="s">
        <v>924</v>
      </c>
      <c r="B4" s="272">
        <f>COUNTIFS(sheet2!$M:$M, A4, sheet2!$S:$S, 1, sheet2!$R:$R, "Not tested yet")</f>
        <v>1</v>
      </c>
      <c r="C4" s="272">
        <f>COUNTIFS(sheet2!$M:$M, A4, sheet2!$S:$S, 1, sheet2!$R:$R, "Regressed")</f>
        <v>0</v>
      </c>
      <c r="D4" s="272">
        <f>COUNTIFS(sheet2!$M:$M, A4, sheet2!$S:$S, 1, sheet2!$R:$R, "No Progress")</f>
        <v>6</v>
      </c>
      <c r="E4" s="272">
        <f>COUNTIFS(sheet2!$M:$M, A4, sheet2!$S:$S, 1, sheet2!$R:$R, "Progress within level")</f>
        <v>6</v>
      </c>
      <c r="F4" s="272">
        <f>COUNTIFS(sheet2!$M:$M, A4, sheet2!$S:$S, 1, sheet2!$R:$R, "Lv1 → Lv2")</f>
        <v>27</v>
      </c>
      <c r="G4" s="272">
        <f>COUNTIFS(sheet2!$M:$M, A4, sheet2!$S:$S, 1, sheet2!$R:$R, "Lv2 → Lv3")</f>
        <v>1</v>
      </c>
      <c r="H4" s="272">
        <f>COUNTIFS(sheet2!$M:$M, A4, sheet2!$S:$S, 1, sheet2!$R:$R, "Lv3 → Lv4")</f>
        <v>0</v>
      </c>
      <c r="I4" s="220">
        <f>COUNTIFS(sheet2!$M:$M, A4, sheet2!$S:$S, 1, sheet2!$R:$R, "Lv1 → Lv3 (multi)")
+COUNTIFS(sheet2!$M:$M, A4, sheet2!$S:$S, 1, sheet2!$R:$R, "Lv1 → Lv4 (multi)")
+COUNTIFS(sheet2!$M:$M, A4, sheet2!$S:$S, 1, sheet2!$R:$R, "Lv2 → Lv4 (multi)")</f>
        <v>16</v>
      </c>
      <c r="J4" s="273">
        <f t="shared" si="1"/>
        <v>0.1875</v>
      </c>
      <c r="K4" s="190">
        <f t="shared" si="2"/>
        <v>1</v>
      </c>
      <c r="L4" s="274">
        <f>COUNTIFS(sheet2!$M:$M, A4, sheet2!$S:$S, 1)</f>
        <v>57</v>
      </c>
    </row>
    <row r="5">
      <c r="A5" s="13" t="s">
        <v>925</v>
      </c>
      <c r="B5" s="272">
        <f>COUNTIFS(sheet2!$M:$M, A5, sheet2!$S:$S, 1, sheet2!$R:$R, "Not tested yet")</f>
        <v>25</v>
      </c>
      <c r="C5" s="272">
        <f>COUNTIFS(sheet2!$M:$M, A5, sheet2!$S:$S, 1, sheet2!$R:$R, "Regressed")</f>
        <v>1</v>
      </c>
      <c r="D5" s="272">
        <f>COUNTIFS(sheet2!$M:$M, A5, sheet2!$S:$S, 1, sheet2!$R:$R, "No Progress")</f>
        <v>5</v>
      </c>
      <c r="E5" s="272">
        <f>COUNTIFS(sheet2!$M:$M, A5, sheet2!$S:$S, 1, sheet2!$R:$R, "Progress within level")</f>
        <v>5</v>
      </c>
      <c r="F5" s="272">
        <f>COUNTIFS(sheet2!$M:$M, A5, sheet2!$S:$S, 1, sheet2!$R:$R, "Lv1 → Lv2")</f>
        <v>14</v>
      </c>
      <c r="G5" s="272">
        <f>COUNTIFS(sheet2!$M:$M, A5, sheet2!$S:$S, 1, sheet2!$R:$R, "Lv2 → Lv3")</f>
        <v>3</v>
      </c>
      <c r="H5" s="272">
        <f>COUNTIFS(sheet2!$M:$M, A5, sheet2!$S:$S, 1, sheet2!$R:$R, "Lv3 → Lv4")</f>
        <v>0</v>
      </c>
      <c r="I5" s="220">
        <f>COUNTIFS(sheet2!$M:$M, A5, sheet2!$S:$S, 1, sheet2!$R:$R, "Lv1 → Lv3 (multi)")
+COUNTIFS(sheet2!$M:$M, A5, sheet2!$S:$S, 1, sheet2!$R:$R, "Lv1 → Lv4 (multi)")
+COUNTIFS(sheet2!$M:$M, A5, sheet2!$S:$S, 1, sheet2!$R:$R, "Lv2 → Lv4 (multi)")</f>
        <v>2</v>
      </c>
      <c r="J5" s="273">
        <f t="shared" si="1"/>
        <v>0.1809210526</v>
      </c>
      <c r="K5" s="190">
        <f t="shared" si="2"/>
        <v>25</v>
      </c>
      <c r="L5" s="274">
        <f>COUNTIFS(sheet2!$M:$M, A5, sheet2!$S:$S, 1)</f>
        <v>55</v>
      </c>
    </row>
    <row r="6">
      <c r="A6" s="13" t="s">
        <v>920</v>
      </c>
      <c r="B6" s="272">
        <f>COUNTIFS(sheet2!$M:$M, A6, sheet2!$S:$S, 1, sheet2!$R:$R, "Not tested yet")</f>
        <v>6</v>
      </c>
      <c r="C6" s="272">
        <f>COUNTIFS(sheet2!$M:$M, A6, sheet2!$S:$S, 1, sheet2!$R:$R, "Regressed")</f>
        <v>0</v>
      </c>
      <c r="D6" s="272">
        <f>COUNTIFS(sheet2!$M:$M, A6, sheet2!$S:$S, 1, sheet2!$R:$R, "No Progress")</f>
        <v>6</v>
      </c>
      <c r="E6" s="272">
        <f>COUNTIFS(sheet2!$M:$M, A6, sheet2!$S:$S, 1, sheet2!$R:$R, "Progress within level")</f>
        <v>4</v>
      </c>
      <c r="F6" s="272">
        <f>COUNTIFS(sheet2!$M:$M, A6, sheet2!$S:$S, 1, sheet2!$R:$R, "Lv1 → Lv2")</f>
        <v>11</v>
      </c>
      <c r="G6" s="272">
        <f>COUNTIFS(sheet2!$M:$M, A6, sheet2!$S:$S, 1, sheet2!$R:$R, "Lv2 → Lv3")</f>
        <v>0</v>
      </c>
      <c r="H6" s="272">
        <f>COUNTIFS(sheet2!$M:$M, A6, sheet2!$S:$S, 1, sheet2!$R:$R, "Lv3 → Lv4")</f>
        <v>0</v>
      </c>
      <c r="I6" s="220">
        <f>COUNTIFS(sheet2!$M:$M, A6, sheet2!$S:$S, 1, sheet2!$R:$R, "Lv1 → Lv3 (multi)")
+COUNTIFS(sheet2!$M:$M, A6, sheet2!$S:$S, 1, sheet2!$R:$R, "Lv1 → Lv4 (multi)")
+COUNTIFS(sheet2!$M:$M, A6, sheet2!$S:$S, 1, sheet2!$R:$R, "Lv2 → Lv4 (multi)")</f>
        <v>1</v>
      </c>
      <c r="J6" s="273">
        <f t="shared" si="1"/>
        <v>0.09210526316</v>
      </c>
      <c r="K6" s="190">
        <f t="shared" si="2"/>
        <v>6</v>
      </c>
      <c r="L6" s="274">
        <f>COUNTIFS(sheet2!$M:$M, A6, sheet2!$S:$S, 1)</f>
        <v>28</v>
      </c>
    </row>
    <row r="7">
      <c r="A7" s="13" t="s">
        <v>926</v>
      </c>
      <c r="B7" s="272">
        <f>COUNTIFS(sheet2!$M:$M, A7, sheet2!$S:$S, 1, sheet2!$R:$R, "Not tested yet")</f>
        <v>11</v>
      </c>
      <c r="C7" s="272">
        <f>COUNTIFS(sheet2!$M:$M, A7, sheet2!$S:$S, 1, sheet2!$R:$R, "Regressed")</f>
        <v>0</v>
      </c>
      <c r="D7" s="272">
        <f>COUNTIFS(sheet2!$M:$M, A7, sheet2!$S:$S, 1, sheet2!$R:$R, "No Progress")</f>
        <v>6</v>
      </c>
      <c r="E7" s="272">
        <f>COUNTIFS(sheet2!$M:$M, A7, sheet2!$S:$S, 1, sheet2!$R:$R, "Progress within level")</f>
        <v>4</v>
      </c>
      <c r="F7" s="272">
        <f>COUNTIFS(sheet2!$M:$M, A7, sheet2!$S:$S, 1, sheet2!$R:$R, "Lv1 → Lv2")</f>
        <v>6</v>
      </c>
      <c r="G7" s="272">
        <f>COUNTIFS(sheet2!$M:$M, A7, sheet2!$S:$S, 1, sheet2!$R:$R, "Lv2 → Lv3")</f>
        <v>1</v>
      </c>
      <c r="H7" s="272">
        <f>COUNTIFS(sheet2!$M:$M, A7, sheet2!$S:$S, 1, sheet2!$R:$R, "Lv3 → Lv4")</f>
        <v>0</v>
      </c>
      <c r="I7" s="220">
        <f>COUNTIFS(sheet2!$M:$M, A7, sheet2!$S:$S, 1, sheet2!$R:$R, "Lv1 → Lv3 (multi)")
+COUNTIFS(sheet2!$M:$M, A7, sheet2!$S:$S, 1, sheet2!$R:$R, "Lv1 → Lv4 (multi)")
+COUNTIFS(sheet2!$M:$M, A7, sheet2!$S:$S, 1, sheet2!$R:$R, "Lv2 → Lv4 (multi)")</f>
        <v>5</v>
      </c>
      <c r="J7" s="273">
        <f t="shared" si="1"/>
        <v>0.1085526316</v>
      </c>
      <c r="K7" s="190">
        <f t="shared" si="2"/>
        <v>11</v>
      </c>
      <c r="L7" s="274">
        <f>COUNTIFS(sheet2!$M:$M, A7, sheet2!$S:$S, 1)</f>
        <v>33</v>
      </c>
    </row>
    <row r="8">
      <c r="A8" s="235" t="s">
        <v>921</v>
      </c>
      <c r="B8" s="275">
        <f>COUNTIFS(sheet2!$M:$M, A8, sheet2!$S:$S, 1, sheet2!$R:$R, "Not tested yet")</f>
        <v>2</v>
      </c>
      <c r="C8" s="275">
        <f>COUNTIFS(sheet2!$M:$M, A8, sheet2!$S:$S, 1, sheet2!$R:$R, "Regressed")</f>
        <v>0</v>
      </c>
      <c r="D8" s="275">
        <f>COUNTIFS(sheet2!$M:$M, A8, sheet2!$S:$S, 1, sheet2!$R:$R, "No Progress")</f>
        <v>3</v>
      </c>
      <c r="E8" s="275">
        <f>COUNTIFS(sheet2!$M:$M, A8, sheet2!$S:$S, 1, sheet2!$R:$R, "Progress within level")</f>
        <v>0</v>
      </c>
      <c r="F8" s="275">
        <f>COUNTIFS(sheet2!$M:$M, A8, sheet2!$S:$S, 1, sheet2!$R:$R, "Lv1 → Lv2")</f>
        <v>1</v>
      </c>
      <c r="G8" s="275">
        <f>COUNTIFS(sheet2!$M:$M, A8, sheet2!$S:$S, 1, sheet2!$R:$R, "Lv2 → Lv3")</f>
        <v>1</v>
      </c>
      <c r="H8" s="275">
        <f>COUNTIFS(sheet2!$M:$M, A8, sheet2!$S:$S, 1, sheet2!$R:$R, "Lv3 → Lv4")</f>
        <v>0</v>
      </c>
      <c r="I8" s="237">
        <f>COUNTIFS(sheet2!$M:$M, A8, sheet2!$S:$S, 1, sheet2!$R:$R, "Lv1 → Lv3 (multi)")
+COUNTIFS(sheet2!$M:$M, A8, sheet2!$S:$S, 1, sheet2!$R:$R, "Lv1 → Lv4 (multi)")
+COUNTIFS(sheet2!$M:$M, A8, sheet2!$S:$S, 1, sheet2!$R:$R, "Lv2 → Lv4 (multi)")</f>
        <v>0</v>
      </c>
      <c r="J8" s="276">
        <f t="shared" si="1"/>
        <v>0.02302631579</v>
      </c>
      <c r="K8" s="233">
        <f t="shared" si="2"/>
        <v>2</v>
      </c>
      <c r="L8" s="277">
        <f>COUNTIFS(sheet2!$M:$M, A8, sheet2!$S:$S, 1)</f>
        <v>7</v>
      </c>
    </row>
    <row r="9">
      <c r="A9" s="274"/>
      <c r="B9" s="272">
        <f t="shared" ref="B9:J9" si="3">sum(B2:B8)</f>
        <v>84</v>
      </c>
      <c r="C9" s="272">
        <f t="shared" si="3"/>
        <v>2</v>
      </c>
      <c r="D9" s="272">
        <f t="shared" si="3"/>
        <v>41</v>
      </c>
      <c r="E9" s="272">
        <f t="shared" si="3"/>
        <v>34</v>
      </c>
      <c r="F9" s="272">
        <f t="shared" si="3"/>
        <v>95</v>
      </c>
      <c r="G9" s="272">
        <f t="shared" si="3"/>
        <v>13</v>
      </c>
      <c r="H9" s="272">
        <f t="shared" si="3"/>
        <v>6</v>
      </c>
      <c r="I9" s="272">
        <f t="shared" si="3"/>
        <v>29</v>
      </c>
      <c r="J9" s="278">
        <f t="shared" si="3"/>
        <v>1</v>
      </c>
      <c r="K9" s="274">
        <f>sum(K2:K7)</f>
        <v>82</v>
      </c>
      <c r="L9" s="274">
        <f>sum(L2:L8)</f>
        <v>304</v>
      </c>
    </row>
    <row r="10">
      <c r="A10" s="274"/>
      <c r="B10" s="272"/>
      <c r="C10" s="272"/>
      <c r="D10" s="272"/>
      <c r="E10" s="272"/>
      <c r="F10" s="272"/>
      <c r="G10" s="272"/>
      <c r="H10" s="272"/>
      <c r="I10" s="220"/>
      <c r="L10" s="274">
        <f>sum(C9:I9)</f>
        <v>220</v>
      </c>
    </row>
    <row r="11">
      <c r="A11" s="274"/>
      <c r="B11" s="272"/>
      <c r="C11" s="272"/>
      <c r="D11" s="272"/>
      <c r="E11" s="272"/>
      <c r="F11" s="272"/>
      <c r="G11" s="272"/>
      <c r="H11" s="272"/>
      <c r="I11" s="220"/>
      <c r="L11" s="274"/>
    </row>
    <row r="12">
      <c r="A12" s="274"/>
      <c r="B12" s="272"/>
      <c r="C12" s="272"/>
      <c r="D12" s="272"/>
      <c r="E12" s="272"/>
      <c r="F12" s="272"/>
      <c r="G12" s="272"/>
      <c r="H12" s="272"/>
      <c r="I12" s="220"/>
      <c r="L12" s="274"/>
    </row>
    <row r="13">
      <c r="A13" s="274"/>
      <c r="B13" s="272"/>
      <c r="C13" s="272"/>
      <c r="D13" s="272"/>
      <c r="E13" s="272"/>
      <c r="F13" s="272"/>
      <c r="G13" s="272"/>
      <c r="H13" s="272"/>
      <c r="I13" s="220"/>
      <c r="L13" s="274"/>
    </row>
    <row r="14">
      <c r="A14" s="274"/>
      <c r="B14" s="272"/>
      <c r="C14" s="272"/>
      <c r="D14" s="272"/>
      <c r="E14" s="272"/>
      <c r="F14" s="272"/>
      <c r="G14" s="272"/>
      <c r="H14" s="272"/>
      <c r="I14" s="220"/>
      <c r="L14" s="274"/>
    </row>
    <row r="15">
      <c r="B15" s="220"/>
      <c r="C15" s="220"/>
      <c r="D15" s="220"/>
      <c r="E15" s="220"/>
      <c r="F15" s="220"/>
      <c r="G15" s="220"/>
      <c r="H15" s="220"/>
      <c r="I15" s="220"/>
    </row>
    <row r="16">
      <c r="B16" s="220"/>
      <c r="C16" s="220"/>
      <c r="D16" s="220"/>
      <c r="E16" s="220"/>
      <c r="F16" s="220"/>
      <c r="G16" s="220"/>
      <c r="H16" s="220"/>
      <c r="I16" s="220"/>
    </row>
    <row r="17">
      <c r="B17" s="220"/>
      <c r="C17" s="220"/>
      <c r="D17" s="220"/>
      <c r="E17" s="220"/>
      <c r="F17" s="220"/>
      <c r="G17" s="220"/>
      <c r="H17" s="220"/>
      <c r="I17" s="220"/>
    </row>
    <row r="18">
      <c r="B18" s="220"/>
      <c r="C18" s="220"/>
      <c r="D18" s="220"/>
      <c r="E18" s="220"/>
      <c r="F18" s="220"/>
      <c r="G18" s="220"/>
      <c r="H18" s="220"/>
      <c r="I18" s="220"/>
    </row>
    <row r="19">
      <c r="B19" s="220"/>
      <c r="C19" s="220"/>
      <c r="D19" s="220"/>
      <c r="E19" s="220"/>
      <c r="F19" s="220"/>
      <c r="G19" s="220"/>
      <c r="H19" s="220"/>
      <c r="I19" s="220"/>
    </row>
    <row r="20">
      <c r="B20" s="220"/>
      <c r="C20" s="220"/>
      <c r="D20" s="220"/>
      <c r="E20" s="220"/>
      <c r="F20" s="220"/>
      <c r="G20" s="220"/>
      <c r="H20" s="220"/>
      <c r="I20" s="220"/>
    </row>
    <row r="21">
      <c r="B21" s="220"/>
      <c r="C21" s="220"/>
      <c r="D21" s="220"/>
      <c r="E21" s="220"/>
      <c r="F21" s="220"/>
      <c r="G21" s="220"/>
      <c r="H21" s="220"/>
      <c r="I21" s="220"/>
    </row>
    <row r="22">
      <c r="B22" s="220"/>
      <c r="C22" s="220"/>
      <c r="D22" s="220"/>
      <c r="E22" s="220"/>
      <c r="F22" s="220"/>
      <c r="G22" s="220"/>
      <c r="H22" s="220"/>
      <c r="I22" s="220"/>
    </row>
    <row r="23">
      <c r="B23" s="220"/>
      <c r="C23" s="220"/>
      <c r="D23" s="220"/>
      <c r="E23" s="220"/>
      <c r="F23" s="220"/>
      <c r="G23" s="220"/>
      <c r="H23" s="220"/>
      <c r="I23" s="220"/>
    </row>
    <row r="24">
      <c r="B24" s="220"/>
      <c r="C24" s="220"/>
      <c r="D24" s="220"/>
      <c r="E24" s="220"/>
      <c r="F24" s="220"/>
      <c r="G24" s="220"/>
      <c r="H24" s="220"/>
      <c r="I24" s="220"/>
    </row>
    <row r="25">
      <c r="B25" s="220"/>
      <c r="C25" s="220"/>
      <c r="D25" s="220"/>
      <c r="E25" s="220"/>
      <c r="F25" s="220"/>
      <c r="G25" s="220"/>
      <c r="H25" s="220"/>
      <c r="I25" s="220"/>
    </row>
    <row r="26">
      <c r="B26" s="220"/>
      <c r="C26" s="220"/>
      <c r="D26" s="220"/>
      <c r="E26" s="220"/>
      <c r="F26" s="220"/>
      <c r="G26" s="220"/>
      <c r="H26" s="220"/>
      <c r="I26" s="220"/>
    </row>
    <row r="27">
      <c r="B27" s="220"/>
      <c r="C27" s="220"/>
      <c r="D27" s="220"/>
      <c r="E27" s="220"/>
      <c r="F27" s="220"/>
      <c r="G27" s="220"/>
      <c r="H27" s="220"/>
      <c r="I27" s="220"/>
    </row>
    <row r="28">
      <c r="B28" s="220"/>
      <c r="C28" s="220"/>
      <c r="D28" s="220"/>
      <c r="E28" s="220"/>
      <c r="F28" s="220"/>
      <c r="G28" s="220"/>
      <c r="H28" s="220"/>
      <c r="I28" s="220"/>
    </row>
    <row r="29">
      <c r="B29" s="220"/>
      <c r="C29" s="220"/>
      <c r="D29" s="220"/>
      <c r="E29" s="220"/>
      <c r="F29" s="220"/>
      <c r="G29" s="220"/>
      <c r="H29" s="220"/>
      <c r="I29" s="220"/>
    </row>
    <row r="30">
      <c r="B30" s="220"/>
      <c r="C30" s="220"/>
      <c r="D30" s="220"/>
      <c r="E30" s="220"/>
      <c r="F30" s="220"/>
      <c r="G30" s="220"/>
      <c r="H30" s="220"/>
      <c r="I30" s="220"/>
    </row>
    <row r="31">
      <c r="B31" s="220"/>
      <c r="C31" s="220"/>
      <c r="D31" s="220"/>
      <c r="E31" s="220"/>
      <c r="F31" s="220"/>
      <c r="G31" s="220"/>
      <c r="H31" s="220"/>
      <c r="I31" s="220"/>
    </row>
    <row r="32">
      <c r="B32" s="220"/>
      <c r="C32" s="220"/>
      <c r="D32" s="220"/>
      <c r="E32" s="220"/>
      <c r="F32" s="220"/>
      <c r="G32" s="220"/>
      <c r="H32" s="220"/>
      <c r="I32" s="220"/>
    </row>
    <row r="33">
      <c r="B33" s="220"/>
      <c r="C33" s="220"/>
      <c r="D33" s="220"/>
      <c r="E33" s="220"/>
      <c r="F33" s="220"/>
      <c r="G33" s="220"/>
      <c r="H33" s="220"/>
      <c r="I33" s="220"/>
    </row>
    <row r="34">
      <c r="B34" s="220"/>
      <c r="C34" s="220"/>
      <c r="D34" s="220"/>
      <c r="E34" s="220"/>
      <c r="F34" s="220"/>
      <c r="G34" s="220"/>
      <c r="H34" s="220"/>
      <c r="I34" s="220"/>
    </row>
    <row r="35">
      <c r="B35" s="220"/>
      <c r="C35" s="220"/>
      <c r="D35" s="220"/>
      <c r="E35" s="220"/>
      <c r="F35" s="220"/>
      <c r="G35" s="220"/>
      <c r="H35" s="220"/>
      <c r="I35" s="220"/>
    </row>
    <row r="36">
      <c r="B36" s="220"/>
      <c r="C36" s="220"/>
      <c r="D36" s="220"/>
      <c r="E36" s="220"/>
      <c r="F36" s="220"/>
      <c r="G36" s="220"/>
      <c r="H36" s="220"/>
      <c r="I36" s="220"/>
    </row>
    <row r="37">
      <c r="B37" s="220"/>
      <c r="C37" s="220"/>
      <c r="D37" s="220"/>
      <c r="E37" s="220"/>
      <c r="F37" s="220"/>
      <c r="G37" s="220"/>
      <c r="H37" s="220"/>
      <c r="I37" s="220"/>
    </row>
    <row r="38">
      <c r="B38" s="220"/>
      <c r="C38" s="220"/>
      <c r="D38" s="220"/>
      <c r="E38" s="220"/>
      <c r="F38" s="220"/>
      <c r="G38" s="220"/>
      <c r="H38" s="220"/>
      <c r="I38" s="220"/>
    </row>
    <row r="39">
      <c r="B39" s="220"/>
      <c r="C39" s="220"/>
      <c r="D39" s="220"/>
      <c r="E39" s="220"/>
      <c r="F39" s="220"/>
      <c r="G39" s="220"/>
      <c r="H39" s="220"/>
      <c r="I39" s="220"/>
    </row>
    <row r="40">
      <c r="B40" s="220"/>
      <c r="C40" s="220"/>
      <c r="D40" s="220"/>
      <c r="E40" s="220"/>
      <c r="F40" s="220"/>
      <c r="G40" s="220"/>
      <c r="H40" s="220"/>
      <c r="I40" s="220"/>
    </row>
    <row r="41">
      <c r="B41" s="220"/>
      <c r="C41" s="220"/>
      <c r="D41" s="220"/>
      <c r="E41" s="220"/>
      <c r="F41" s="220"/>
      <c r="G41" s="220"/>
      <c r="H41" s="220"/>
      <c r="I41" s="220"/>
    </row>
    <row r="42">
      <c r="B42" s="220"/>
      <c r="C42" s="220"/>
      <c r="D42" s="220"/>
      <c r="E42" s="220"/>
      <c r="F42" s="220"/>
      <c r="G42" s="220"/>
      <c r="H42" s="220"/>
      <c r="I42" s="220"/>
    </row>
    <row r="43">
      <c r="B43" s="220"/>
      <c r="C43" s="220"/>
      <c r="D43" s="220"/>
      <c r="E43" s="220"/>
      <c r="F43" s="220"/>
      <c r="G43" s="220"/>
      <c r="H43" s="220"/>
      <c r="I43" s="220"/>
    </row>
    <row r="44">
      <c r="B44" s="220"/>
      <c r="C44" s="220"/>
      <c r="D44" s="220"/>
      <c r="E44" s="220"/>
      <c r="F44" s="220"/>
      <c r="G44" s="220"/>
      <c r="H44" s="220"/>
      <c r="I44" s="220"/>
    </row>
    <row r="45">
      <c r="B45" s="220"/>
      <c r="C45" s="220"/>
      <c r="D45" s="220"/>
      <c r="E45" s="220"/>
      <c r="F45" s="220"/>
      <c r="G45" s="220"/>
      <c r="H45" s="220"/>
      <c r="I45" s="220"/>
    </row>
    <row r="46">
      <c r="B46" s="220"/>
      <c r="C46" s="220"/>
      <c r="D46" s="220"/>
      <c r="E46" s="220"/>
      <c r="F46" s="220"/>
      <c r="G46" s="220"/>
      <c r="H46" s="220"/>
      <c r="I46" s="220"/>
    </row>
    <row r="47">
      <c r="B47" s="220"/>
      <c r="C47" s="220"/>
      <c r="D47" s="220"/>
      <c r="E47" s="220"/>
      <c r="F47" s="220"/>
      <c r="G47" s="220"/>
      <c r="H47" s="220"/>
      <c r="I47" s="220"/>
    </row>
    <row r="48">
      <c r="B48" s="220"/>
      <c r="C48" s="220"/>
      <c r="D48" s="220"/>
      <c r="E48" s="220"/>
      <c r="F48" s="220"/>
      <c r="G48" s="220"/>
      <c r="H48" s="220"/>
      <c r="I48" s="220"/>
    </row>
    <row r="49">
      <c r="B49" s="220"/>
      <c r="C49" s="220"/>
      <c r="D49" s="220"/>
      <c r="E49" s="220"/>
      <c r="F49" s="220"/>
      <c r="G49" s="220"/>
      <c r="H49" s="220"/>
      <c r="I49" s="220"/>
    </row>
    <row r="50">
      <c r="B50" s="220"/>
      <c r="C50" s="220"/>
      <c r="D50" s="220"/>
      <c r="E50" s="220"/>
      <c r="F50" s="220"/>
      <c r="G50" s="220"/>
      <c r="H50" s="220"/>
      <c r="I50" s="220"/>
    </row>
    <row r="51">
      <c r="B51" s="220"/>
      <c r="C51" s="220"/>
      <c r="D51" s="220"/>
      <c r="E51" s="220"/>
      <c r="F51" s="220"/>
      <c r="G51" s="220"/>
      <c r="H51" s="220"/>
      <c r="I51" s="220"/>
    </row>
    <row r="52">
      <c r="B52" s="220"/>
      <c r="C52" s="220"/>
      <c r="D52" s="220"/>
      <c r="E52" s="220"/>
      <c r="F52" s="220"/>
      <c r="G52" s="220"/>
      <c r="H52" s="220"/>
      <c r="I52" s="220"/>
    </row>
    <row r="53">
      <c r="B53" s="220"/>
      <c r="C53" s="220"/>
      <c r="D53" s="220"/>
      <c r="E53" s="220"/>
      <c r="F53" s="220"/>
      <c r="G53" s="220"/>
      <c r="H53" s="220"/>
      <c r="I53" s="220"/>
    </row>
    <row r="54">
      <c r="B54" s="220"/>
      <c r="C54" s="220"/>
      <c r="D54" s="220"/>
      <c r="E54" s="220"/>
      <c r="F54" s="220"/>
      <c r="G54" s="220"/>
      <c r="H54" s="220"/>
      <c r="I54" s="220"/>
    </row>
    <row r="55">
      <c r="B55" s="220"/>
      <c r="C55" s="220"/>
      <c r="D55" s="220"/>
      <c r="E55" s="220"/>
      <c r="F55" s="220"/>
      <c r="G55" s="220"/>
      <c r="H55" s="220"/>
      <c r="I55" s="220"/>
    </row>
    <row r="56">
      <c r="B56" s="220"/>
      <c r="C56" s="220"/>
      <c r="D56" s="220"/>
      <c r="E56" s="220"/>
      <c r="F56" s="220"/>
      <c r="G56" s="220"/>
      <c r="H56" s="220"/>
      <c r="I56" s="220"/>
    </row>
    <row r="57">
      <c r="B57" s="220"/>
      <c r="C57" s="220"/>
      <c r="D57" s="220"/>
      <c r="E57" s="220"/>
      <c r="F57" s="220"/>
      <c r="G57" s="220"/>
      <c r="H57" s="220"/>
      <c r="I57" s="220"/>
    </row>
    <row r="58">
      <c r="B58" s="220"/>
      <c r="C58" s="220"/>
      <c r="D58" s="220"/>
      <c r="E58" s="220"/>
      <c r="F58" s="220"/>
      <c r="G58" s="220"/>
      <c r="H58" s="220"/>
      <c r="I58" s="220"/>
    </row>
    <row r="59">
      <c r="B59" s="220"/>
      <c r="C59" s="220"/>
      <c r="D59" s="220"/>
      <c r="E59" s="220"/>
      <c r="F59" s="220"/>
      <c r="G59" s="220"/>
      <c r="H59" s="220"/>
      <c r="I59" s="220"/>
    </row>
    <row r="60">
      <c r="B60" s="220"/>
      <c r="C60" s="220"/>
      <c r="D60" s="220"/>
      <c r="E60" s="220"/>
      <c r="F60" s="220"/>
      <c r="G60" s="220"/>
      <c r="H60" s="220"/>
      <c r="I60" s="220"/>
    </row>
    <row r="61">
      <c r="B61" s="220"/>
      <c r="C61" s="220"/>
      <c r="D61" s="220"/>
      <c r="E61" s="220"/>
      <c r="F61" s="220"/>
      <c r="G61" s="220"/>
      <c r="H61" s="220"/>
      <c r="I61" s="220"/>
    </row>
    <row r="62">
      <c r="B62" s="220"/>
      <c r="C62" s="220"/>
      <c r="D62" s="220"/>
      <c r="E62" s="220"/>
      <c r="F62" s="220"/>
      <c r="G62" s="220"/>
      <c r="H62" s="220"/>
      <c r="I62" s="220"/>
    </row>
    <row r="63">
      <c r="B63" s="220"/>
      <c r="C63" s="220"/>
      <c r="D63" s="220"/>
      <c r="E63" s="220"/>
      <c r="F63" s="220"/>
      <c r="G63" s="220"/>
      <c r="H63" s="220"/>
      <c r="I63" s="220"/>
    </row>
    <row r="64">
      <c r="B64" s="220"/>
      <c r="C64" s="220"/>
      <c r="D64" s="220"/>
      <c r="E64" s="220"/>
      <c r="F64" s="220"/>
      <c r="G64" s="220"/>
      <c r="H64" s="220"/>
      <c r="I64" s="220"/>
    </row>
    <row r="65">
      <c r="B65" s="220"/>
      <c r="C65" s="220"/>
      <c r="D65" s="220"/>
      <c r="E65" s="220"/>
      <c r="F65" s="220"/>
      <c r="G65" s="220"/>
      <c r="H65" s="220"/>
      <c r="I65" s="220"/>
    </row>
    <row r="66">
      <c r="B66" s="220"/>
      <c r="C66" s="220"/>
      <c r="D66" s="220"/>
      <c r="E66" s="220"/>
      <c r="F66" s="220"/>
      <c r="G66" s="220"/>
      <c r="H66" s="220"/>
      <c r="I66" s="220"/>
    </row>
    <row r="67">
      <c r="B67" s="220"/>
      <c r="C67" s="220"/>
      <c r="D67" s="220"/>
      <c r="E67" s="220"/>
      <c r="F67" s="220"/>
      <c r="G67" s="220"/>
      <c r="H67" s="220"/>
      <c r="I67" s="220"/>
    </row>
    <row r="68">
      <c r="B68" s="220"/>
      <c r="C68" s="220"/>
      <c r="D68" s="220"/>
      <c r="E68" s="220"/>
      <c r="F68" s="220"/>
      <c r="G68" s="220"/>
      <c r="H68" s="220"/>
      <c r="I68" s="220"/>
    </row>
    <row r="69">
      <c r="B69" s="220"/>
      <c r="C69" s="220"/>
      <c r="D69" s="220"/>
      <c r="E69" s="220"/>
      <c r="F69" s="220"/>
      <c r="G69" s="220"/>
      <c r="H69" s="220"/>
      <c r="I69" s="220"/>
    </row>
    <row r="70">
      <c r="B70" s="220"/>
      <c r="C70" s="220"/>
      <c r="D70" s="220"/>
      <c r="E70" s="220"/>
      <c r="F70" s="220"/>
      <c r="G70" s="220"/>
      <c r="H70" s="220"/>
      <c r="I70" s="220"/>
    </row>
    <row r="71">
      <c r="B71" s="220"/>
      <c r="C71" s="220"/>
      <c r="D71" s="220"/>
      <c r="E71" s="220"/>
      <c r="F71" s="220"/>
      <c r="G71" s="220"/>
      <c r="H71" s="220"/>
      <c r="I71" s="220"/>
    </row>
    <row r="72">
      <c r="B72" s="220"/>
      <c r="C72" s="220"/>
      <c r="D72" s="220"/>
      <c r="E72" s="220"/>
      <c r="F72" s="220"/>
      <c r="G72" s="220"/>
      <c r="H72" s="220"/>
      <c r="I72" s="220"/>
    </row>
    <row r="73">
      <c r="B73" s="220"/>
      <c r="C73" s="220"/>
      <c r="D73" s="220"/>
      <c r="E73" s="220"/>
      <c r="F73" s="220"/>
      <c r="G73" s="220"/>
      <c r="H73" s="220"/>
      <c r="I73" s="220"/>
    </row>
    <row r="74">
      <c r="B74" s="220"/>
      <c r="C74" s="220"/>
      <c r="D74" s="220"/>
      <c r="E74" s="220"/>
      <c r="F74" s="220"/>
      <c r="G74" s="220"/>
      <c r="H74" s="220"/>
      <c r="I74" s="220"/>
    </row>
    <row r="75">
      <c r="B75" s="220"/>
      <c r="C75" s="220"/>
      <c r="D75" s="220"/>
      <c r="E75" s="220"/>
      <c r="F75" s="220"/>
      <c r="G75" s="220"/>
      <c r="H75" s="220"/>
      <c r="I75" s="220"/>
    </row>
    <row r="76">
      <c r="B76" s="220"/>
      <c r="C76" s="220"/>
      <c r="D76" s="220"/>
      <c r="E76" s="220"/>
      <c r="F76" s="220"/>
      <c r="G76" s="220"/>
      <c r="H76" s="220"/>
      <c r="I76" s="220"/>
    </row>
    <row r="77">
      <c r="B77" s="220"/>
      <c r="C77" s="220"/>
      <c r="D77" s="220"/>
      <c r="E77" s="220"/>
      <c r="F77" s="220"/>
      <c r="G77" s="220"/>
      <c r="H77" s="220"/>
      <c r="I77" s="220"/>
    </row>
    <row r="78">
      <c r="B78" s="220"/>
      <c r="C78" s="220"/>
      <c r="D78" s="220"/>
      <c r="E78" s="220"/>
      <c r="F78" s="220"/>
      <c r="G78" s="220"/>
      <c r="H78" s="220"/>
      <c r="I78" s="220"/>
    </row>
    <row r="79">
      <c r="B79" s="220"/>
      <c r="C79" s="220"/>
      <c r="D79" s="220"/>
      <c r="E79" s="220"/>
      <c r="F79" s="220"/>
      <c r="G79" s="220"/>
      <c r="H79" s="220"/>
      <c r="I79" s="220"/>
    </row>
    <row r="80">
      <c r="B80" s="220"/>
      <c r="C80" s="220"/>
      <c r="D80" s="220"/>
      <c r="E80" s="220"/>
      <c r="F80" s="220"/>
      <c r="G80" s="220"/>
      <c r="H80" s="220"/>
      <c r="I80" s="220"/>
    </row>
    <row r="81">
      <c r="B81" s="220"/>
      <c r="C81" s="220"/>
      <c r="D81" s="220"/>
      <c r="E81" s="220"/>
      <c r="F81" s="220"/>
      <c r="G81" s="220"/>
      <c r="H81" s="220"/>
      <c r="I81" s="220"/>
    </row>
    <row r="82">
      <c r="B82" s="220"/>
      <c r="C82" s="220"/>
      <c r="D82" s="220"/>
      <c r="E82" s="220"/>
      <c r="F82" s="220"/>
      <c r="G82" s="220"/>
      <c r="H82" s="220"/>
      <c r="I82" s="220"/>
    </row>
    <row r="83">
      <c r="B83" s="220"/>
      <c r="C83" s="220"/>
      <c r="D83" s="220"/>
      <c r="E83" s="220"/>
      <c r="F83" s="220"/>
      <c r="G83" s="220"/>
      <c r="H83" s="220"/>
      <c r="I83" s="220"/>
    </row>
    <row r="84">
      <c r="B84" s="220"/>
      <c r="C84" s="220"/>
      <c r="D84" s="220"/>
      <c r="E84" s="220"/>
      <c r="F84" s="220"/>
      <c r="G84" s="220"/>
      <c r="H84" s="220"/>
      <c r="I84" s="220"/>
    </row>
    <row r="85">
      <c r="B85" s="220"/>
      <c r="C85" s="220"/>
      <c r="D85" s="220"/>
      <c r="E85" s="220"/>
      <c r="F85" s="220"/>
      <c r="G85" s="220"/>
      <c r="H85" s="220"/>
      <c r="I85" s="220"/>
    </row>
    <row r="86">
      <c r="B86" s="220"/>
      <c r="C86" s="220"/>
      <c r="D86" s="220"/>
      <c r="E86" s="220"/>
      <c r="F86" s="220"/>
      <c r="G86" s="220"/>
      <c r="H86" s="220"/>
      <c r="I86" s="220"/>
    </row>
    <row r="87">
      <c r="B87" s="220"/>
      <c r="C87" s="220"/>
      <c r="D87" s="220"/>
      <c r="E87" s="220"/>
      <c r="F87" s="220"/>
      <c r="G87" s="220"/>
      <c r="H87" s="220"/>
      <c r="I87" s="220"/>
    </row>
    <row r="88">
      <c r="B88" s="220"/>
      <c r="C88" s="220"/>
      <c r="D88" s="220"/>
      <c r="E88" s="220"/>
      <c r="F88" s="220"/>
      <c r="G88" s="220"/>
      <c r="H88" s="220"/>
      <c r="I88" s="220"/>
    </row>
    <row r="89">
      <c r="B89" s="220"/>
      <c r="C89" s="220"/>
      <c r="D89" s="220"/>
      <c r="E89" s="220"/>
      <c r="F89" s="220"/>
      <c r="G89" s="220"/>
      <c r="H89" s="220"/>
      <c r="I89" s="220"/>
    </row>
    <row r="90">
      <c r="B90" s="220"/>
      <c r="C90" s="220"/>
      <c r="D90" s="220"/>
      <c r="E90" s="220"/>
      <c r="F90" s="220"/>
      <c r="G90" s="220"/>
      <c r="H90" s="220"/>
      <c r="I90" s="220"/>
    </row>
    <row r="91">
      <c r="B91" s="220"/>
      <c r="C91" s="220"/>
      <c r="D91" s="220"/>
      <c r="E91" s="220"/>
      <c r="F91" s="220"/>
      <c r="G91" s="220"/>
      <c r="H91" s="220"/>
      <c r="I91" s="220"/>
    </row>
    <row r="92">
      <c r="B92" s="220"/>
      <c r="C92" s="220"/>
      <c r="D92" s="220"/>
      <c r="E92" s="220"/>
      <c r="F92" s="220"/>
      <c r="G92" s="220"/>
      <c r="H92" s="220"/>
      <c r="I92" s="220"/>
    </row>
    <row r="93">
      <c r="B93" s="220"/>
      <c r="C93" s="220"/>
      <c r="D93" s="220"/>
      <c r="E93" s="220"/>
      <c r="F93" s="220"/>
      <c r="G93" s="220"/>
      <c r="H93" s="220"/>
      <c r="I93" s="220"/>
    </row>
    <row r="94">
      <c r="B94" s="220"/>
      <c r="C94" s="220"/>
      <c r="D94" s="220"/>
      <c r="E94" s="220"/>
      <c r="F94" s="220"/>
      <c r="G94" s="220"/>
      <c r="H94" s="220"/>
      <c r="I94" s="220"/>
    </row>
    <row r="95">
      <c r="B95" s="220"/>
      <c r="C95" s="220"/>
      <c r="D95" s="220"/>
      <c r="E95" s="220"/>
      <c r="F95" s="220"/>
      <c r="G95" s="220"/>
      <c r="H95" s="220"/>
      <c r="I95" s="220"/>
    </row>
    <row r="96">
      <c r="B96" s="220"/>
      <c r="C96" s="220"/>
      <c r="D96" s="220"/>
      <c r="E96" s="220"/>
      <c r="F96" s="220"/>
      <c r="G96" s="220"/>
      <c r="H96" s="220"/>
      <c r="I96" s="220"/>
    </row>
    <row r="97">
      <c r="B97" s="220"/>
      <c r="C97" s="220"/>
      <c r="D97" s="220"/>
      <c r="E97" s="220"/>
      <c r="F97" s="220"/>
      <c r="G97" s="220"/>
      <c r="H97" s="220"/>
      <c r="I97" s="220"/>
    </row>
    <row r="98">
      <c r="B98" s="220"/>
      <c r="C98" s="220"/>
      <c r="D98" s="220"/>
      <c r="E98" s="220"/>
      <c r="F98" s="220"/>
      <c r="G98" s="220"/>
      <c r="H98" s="220"/>
      <c r="I98" s="220"/>
    </row>
    <row r="99">
      <c r="B99" s="220"/>
      <c r="C99" s="220"/>
      <c r="D99" s="220"/>
      <c r="E99" s="220"/>
      <c r="F99" s="220"/>
      <c r="G99" s="220"/>
      <c r="H99" s="220"/>
      <c r="I99" s="220"/>
    </row>
    <row r="100">
      <c r="B100" s="220"/>
      <c r="C100" s="220"/>
      <c r="D100" s="220"/>
      <c r="E100" s="220"/>
      <c r="F100" s="220"/>
      <c r="G100" s="220"/>
      <c r="H100" s="220"/>
      <c r="I100" s="220"/>
    </row>
    <row r="101">
      <c r="B101" s="220"/>
      <c r="C101" s="220"/>
      <c r="D101" s="220"/>
      <c r="E101" s="220"/>
      <c r="F101" s="220"/>
      <c r="G101" s="220"/>
      <c r="H101" s="220"/>
      <c r="I101" s="220"/>
    </row>
    <row r="102">
      <c r="B102" s="220"/>
      <c r="C102" s="220"/>
      <c r="D102" s="220"/>
      <c r="E102" s="220"/>
      <c r="F102" s="220"/>
      <c r="G102" s="220"/>
      <c r="H102" s="220"/>
      <c r="I102" s="220"/>
    </row>
    <row r="103">
      <c r="B103" s="220"/>
      <c r="C103" s="220"/>
      <c r="D103" s="220"/>
      <c r="E103" s="220"/>
      <c r="F103" s="220"/>
      <c r="G103" s="220"/>
      <c r="H103" s="220"/>
      <c r="I103" s="220"/>
    </row>
    <row r="104">
      <c r="B104" s="220"/>
      <c r="C104" s="220"/>
      <c r="D104" s="220"/>
      <c r="E104" s="220"/>
      <c r="F104" s="220"/>
      <c r="G104" s="220"/>
      <c r="H104" s="220"/>
      <c r="I104" s="220"/>
    </row>
    <row r="105">
      <c r="B105" s="220"/>
      <c r="C105" s="220"/>
      <c r="D105" s="220"/>
      <c r="E105" s="220"/>
      <c r="F105" s="220"/>
      <c r="G105" s="220"/>
      <c r="H105" s="220"/>
      <c r="I105" s="220"/>
    </row>
    <row r="106">
      <c r="B106" s="220"/>
      <c r="C106" s="220"/>
      <c r="D106" s="220"/>
      <c r="E106" s="220"/>
      <c r="F106" s="220"/>
      <c r="G106" s="220"/>
      <c r="H106" s="220"/>
      <c r="I106" s="220"/>
    </row>
    <row r="107">
      <c r="B107" s="220"/>
      <c r="C107" s="220"/>
      <c r="D107" s="220"/>
      <c r="E107" s="220"/>
      <c r="F107" s="220"/>
      <c r="G107" s="220"/>
      <c r="H107" s="220"/>
      <c r="I107" s="220"/>
    </row>
    <row r="108">
      <c r="B108" s="220"/>
      <c r="C108" s="220"/>
      <c r="D108" s="220"/>
      <c r="E108" s="220"/>
      <c r="F108" s="220"/>
      <c r="G108" s="220"/>
      <c r="H108" s="220"/>
      <c r="I108" s="220"/>
    </row>
    <row r="109">
      <c r="B109" s="220"/>
      <c r="C109" s="220"/>
      <c r="D109" s="220"/>
      <c r="E109" s="220"/>
      <c r="F109" s="220"/>
      <c r="G109" s="220"/>
      <c r="H109" s="220"/>
      <c r="I109" s="220"/>
    </row>
    <row r="110">
      <c r="B110" s="220"/>
      <c r="C110" s="220"/>
      <c r="D110" s="220"/>
      <c r="E110" s="220"/>
      <c r="F110" s="220"/>
      <c r="G110" s="220"/>
      <c r="H110" s="220"/>
      <c r="I110" s="220"/>
    </row>
    <row r="111">
      <c r="B111" s="220"/>
      <c r="C111" s="220"/>
      <c r="D111" s="220"/>
      <c r="E111" s="220"/>
      <c r="F111" s="220"/>
      <c r="G111" s="220"/>
      <c r="H111" s="220"/>
      <c r="I111" s="220"/>
    </row>
    <row r="112">
      <c r="B112" s="220"/>
      <c r="C112" s="220"/>
      <c r="D112" s="220"/>
      <c r="E112" s="220"/>
      <c r="F112" s="220"/>
      <c r="G112" s="220"/>
      <c r="H112" s="220"/>
      <c r="I112" s="220"/>
    </row>
    <row r="113">
      <c r="B113" s="220"/>
      <c r="C113" s="220"/>
      <c r="D113" s="220"/>
      <c r="E113" s="220"/>
      <c r="F113" s="220"/>
      <c r="G113" s="220"/>
      <c r="H113" s="220"/>
      <c r="I113" s="220"/>
    </row>
    <row r="114">
      <c r="B114" s="220"/>
      <c r="C114" s="220"/>
      <c r="D114" s="220"/>
      <c r="E114" s="220"/>
      <c r="F114" s="220"/>
      <c r="G114" s="220"/>
      <c r="H114" s="220"/>
      <c r="I114" s="220"/>
    </row>
    <row r="115">
      <c r="B115" s="220"/>
      <c r="C115" s="220"/>
      <c r="D115" s="220"/>
      <c r="E115" s="220"/>
      <c r="F115" s="220"/>
      <c r="G115" s="220"/>
      <c r="H115" s="220"/>
      <c r="I115" s="220"/>
    </row>
    <row r="116">
      <c r="B116" s="220"/>
      <c r="C116" s="220"/>
      <c r="D116" s="220"/>
      <c r="E116" s="220"/>
      <c r="F116" s="220"/>
      <c r="G116" s="220"/>
      <c r="H116" s="220"/>
      <c r="I116" s="220"/>
    </row>
    <row r="117">
      <c r="B117" s="220"/>
      <c r="C117" s="220"/>
      <c r="D117" s="220"/>
      <c r="E117" s="220"/>
      <c r="F117" s="220"/>
      <c r="G117" s="220"/>
      <c r="H117" s="220"/>
      <c r="I117" s="220"/>
    </row>
    <row r="118">
      <c r="B118" s="220"/>
      <c r="C118" s="220"/>
      <c r="D118" s="220"/>
      <c r="E118" s="220"/>
      <c r="F118" s="220"/>
      <c r="G118" s="220"/>
      <c r="H118" s="220"/>
      <c r="I118" s="220"/>
    </row>
    <row r="119">
      <c r="B119" s="220"/>
      <c r="C119" s="220"/>
      <c r="D119" s="220"/>
      <c r="E119" s="220"/>
      <c r="F119" s="220"/>
      <c r="G119" s="220"/>
      <c r="H119" s="220"/>
      <c r="I119" s="220"/>
    </row>
    <row r="120">
      <c r="B120" s="220"/>
      <c r="C120" s="220"/>
      <c r="D120" s="220"/>
      <c r="E120" s="220"/>
      <c r="F120" s="220"/>
      <c r="G120" s="220"/>
      <c r="H120" s="220"/>
      <c r="I120" s="220"/>
    </row>
    <row r="121">
      <c r="B121" s="220"/>
      <c r="C121" s="220"/>
      <c r="D121" s="220"/>
      <c r="E121" s="220"/>
      <c r="F121" s="220"/>
      <c r="G121" s="220"/>
      <c r="H121" s="220"/>
      <c r="I121" s="220"/>
    </row>
    <row r="122">
      <c r="B122" s="220"/>
      <c r="C122" s="220"/>
      <c r="D122" s="220"/>
      <c r="E122" s="220"/>
      <c r="F122" s="220"/>
      <c r="G122" s="220"/>
      <c r="H122" s="220"/>
      <c r="I122" s="220"/>
    </row>
    <row r="123">
      <c r="B123" s="220"/>
      <c r="C123" s="220"/>
      <c r="D123" s="220"/>
      <c r="E123" s="220"/>
      <c r="F123" s="220"/>
      <c r="G123" s="220"/>
      <c r="H123" s="220"/>
      <c r="I123" s="220"/>
    </row>
    <row r="124">
      <c r="B124" s="220"/>
      <c r="C124" s="220"/>
      <c r="D124" s="220"/>
      <c r="E124" s="220"/>
      <c r="F124" s="220"/>
      <c r="G124" s="220"/>
      <c r="H124" s="220"/>
      <c r="I124" s="220"/>
    </row>
    <row r="125">
      <c r="B125" s="220"/>
      <c r="C125" s="220"/>
      <c r="D125" s="220"/>
      <c r="E125" s="220"/>
      <c r="F125" s="220"/>
      <c r="G125" s="220"/>
      <c r="H125" s="220"/>
      <c r="I125" s="220"/>
    </row>
    <row r="126">
      <c r="B126" s="220"/>
      <c r="C126" s="220"/>
      <c r="D126" s="220"/>
      <c r="E126" s="220"/>
      <c r="F126" s="220"/>
      <c r="G126" s="220"/>
      <c r="H126" s="220"/>
      <c r="I126" s="220"/>
    </row>
    <row r="127">
      <c r="B127" s="220"/>
      <c r="C127" s="220"/>
      <c r="D127" s="220"/>
      <c r="E127" s="220"/>
      <c r="F127" s="220"/>
      <c r="G127" s="220"/>
      <c r="H127" s="220"/>
      <c r="I127" s="220"/>
    </row>
    <row r="128">
      <c r="B128" s="220"/>
      <c r="C128" s="220"/>
      <c r="D128" s="220"/>
      <c r="E128" s="220"/>
      <c r="F128" s="220"/>
      <c r="G128" s="220"/>
      <c r="H128" s="220"/>
      <c r="I128" s="220"/>
    </row>
    <row r="129">
      <c r="B129" s="220"/>
      <c r="C129" s="220"/>
      <c r="D129" s="220"/>
      <c r="E129" s="220"/>
      <c r="F129" s="220"/>
      <c r="G129" s="220"/>
      <c r="H129" s="220"/>
      <c r="I129" s="220"/>
    </row>
    <row r="130">
      <c r="B130" s="220"/>
      <c r="C130" s="220"/>
      <c r="D130" s="220"/>
      <c r="E130" s="220"/>
      <c r="F130" s="220"/>
      <c r="G130" s="220"/>
      <c r="H130" s="220"/>
      <c r="I130" s="220"/>
    </row>
    <row r="131">
      <c r="B131" s="220"/>
      <c r="C131" s="220"/>
      <c r="D131" s="220"/>
      <c r="E131" s="220"/>
      <c r="F131" s="220"/>
      <c r="G131" s="220"/>
      <c r="H131" s="220"/>
      <c r="I131" s="220"/>
    </row>
    <row r="132">
      <c r="B132" s="220"/>
      <c r="C132" s="220"/>
      <c r="D132" s="220"/>
      <c r="E132" s="220"/>
      <c r="F132" s="220"/>
      <c r="G132" s="220"/>
      <c r="H132" s="220"/>
      <c r="I132" s="220"/>
    </row>
    <row r="133">
      <c r="B133" s="220"/>
      <c r="C133" s="220"/>
      <c r="D133" s="220"/>
      <c r="E133" s="220"/>
      <c r="F133" s="220"/>
      <c r="G133" s="220"/>
      <c r="H133" s="220"/>
      <c r="I133" s="220"/>
    </row>
    <row r="134">
      <c r="B134" s="220"/>
      <c r="C134" s="220"/>
      <c r="D134" s="220"/>
      <c r="E134" s="220"/>
      <c r="F134" s="220"/>
      <c r="G134" s="220"/>
      <c r="H134" s="220"/>
      <c r="I134" s="220"/>
    </row>
    <row r="135">
      <c r="B135" s="220"/>
      <c r="C135" s="220"/>
      <c r="D135" s="220"/>
      <c r="E135" s="220"/>
      <c r="F135" s="220"/>
      <c r="G135" s="220"/>
      <c r="H135" s="220"/>
      <c r="I135" s="220"/>
    </row>
    <row r="136">
      <c r="B136" s="220"/>
      <c r="C136" s="220"/>
      <c r="D136" s="220"/>
      <c r="E136" s="220"/>
      <c r="F136" s="220"/>
      <c r="G136" s="220"/>
      <c r="H136" s="220"/>
      <c r="I136" s="220"/>
    </row>
    <row r="137">
      <c r="B137" s="220"/>
      <c r="C137" s="220"/>
      <c r="D137" s="220"/>
      <c r="E137" s="220"/>
      <c r="F137" s="220"/>
      <c r="G137" s="220"/>
      <c r="H137" s="220"/>
      <c r="I137" s="220"/>
    </row>
    <row r="138">
      <c r="B138" s="220"/>
      <c r="C138" s="220"/>
      <c r="D138" s="220"/>
      <c r="E138" s="220"/>
      <c r="F138" s="220"/>
      <c r="G138" s="220"/>
      <c r="H138" s="220"/>
      <c r="I138" s="220"/>
    </row>
    <row r="139">
      <c r="B139" s="220"/>
      <c r="C139" s="220"/>
      <c r="D139" s="220"/>
      <c r="E139" s="220"/>
      <c r="F139" s="220"/>
      <c r="G139" s="220"/>
      <c r="H139" s="220"/>
      <c r="I139" s="220"/>
    </row>
    <row r="140">
      <c r="B140" s="220"/>
      <c r="C140" s="220"/>
      <c r="D140" s="220"/>
      <c r="E140" s="220"/>
      <c r="F140" s="220"/>
      <c r="G140" s="220"/>
      <c r="H140" s="220"/>
      <c r="I140" s="220"/>
    </row>
    <row r="141">
      <c r="B141" s="220"/>
      <c r="C141" s="220"/>
      <c r="D141" s="220"/>
      <c r="E141" s="220"/>
      <c r="F141" s="220"/>
      <c r="G141" s="220"/>
      <c r="H141" s="220"/>
      <c r="I141" s="220"/>
    </row>
    <row r="142">
      <c r="B142" s="220"/>
      <c r="C142" s="220"/>
      <c r="D142" s="220"/>
      <c r="E142" s="220"/>
      <c r="F142" s="220"/>
      <c r="G142" s="220"/>
      <c r="H142" s="220"/>
      <c r="I142" s="220"/>
    </row>
    <row r="143">
      <c r="B143" s="220"/>
      <c r="C143" s="220"/>
      <c r="D143" s="220"/>
      <c r="E143" s="220"/>
      <c r="F143" s="220"/>
      <c r="G143" s="220"/>
      <c r="H143" s="220"/>
      <c r="I143" s="220"/>
    </row>
    <row r="144">
      <c r="B144" s="220"/>
      <c r="C144" s="220"/>
      <c r="D144" s="220"/>
      <c r="E144" s="220"/>
      <c r="F144" s="220"/>
      <c r="G144" s="220"/>
      <c r="H144" s="220"/>
      <c r="I144" s="220"/>
    </row>
    <row r="145">
      <c r="B145" s="220"/>
      <c r="C145" s="220"/>
      <c r="D145" s="220"/>
      <c r="E145" s="220"/>
      <c r="F145" s="220"/>
      <c r="G145" s="220"/>
      <c r="H145" s="220"/>
      <c r="I145" s="220"/>
    </row>
    <row r="146">
      <c r="B146" s="220"/>
      <c r="C146" s="220"/>
      <c r="D146" s="220"/>
      <c r="E146" s="220"/>
      <c r="F146" s="220"/>
      <c r="G146" s="220"/>
      <c r="H146" s="220"/>
      <c r="I146" s="220"/>
    </row>
    <row r="147">
      <c r="B147" s="220"/>
      <c r="C147" s="220"/>
      <c r="D147" s="220"/>
      <c r="E147" s="220"/>
      <c r="F147" s="220"/>
      <c r="G147" s="220"/>
      <c r="H147" s="220"/>
      <c r="I147" s="220"/>
    </row>
    <row r="148">
      <c r="B148" s="220"/>
      <c r="C148" s="220"/>
      <c r="D148" s="220"/>
      <c r="E148" s="220"/>
      <c r="F148" s="220"/>
      <c r="G148" s="220"/>
      <c r="H148" s="220"/>
      <c r="I148" s="220"/>
    </row>
    <row r="149">
      <c r="B149" s="220"/>
      <c r="C149" s="220"/>
      <c r="D149" s="220"/>
      <c r="E149" s="220"/>
      <c r="F149" s="220"/>
      <c r="G149" s="220"/>
      <c r="H149" s="220"/>
      <c r="I149" s="220"/>
    </row>
    <row r="150">
      <c r="B150" s="220"/>
      <c r="C150" s="220"/>
      <c r="D150" s="220"/>
      <c r="E150" s="220"/>
      <c r="F150" s="220"/>
      <c r="G150" s="220"/>
      <c r="H150" s="220"/>
      <c r="I150" s="220"/>
    </row>
    <row r="151">
      <c r="B151" s="220"/>
      <c r="C151" s="220"/>
      <c r="D151" s="220"/>
      <c r="E151" s="220"/>
      <c r="F151" s="220"/>
      <c r="G151" s="220"/>
      <c r="H151" s="220"/>
      <c r="I151" s="220"/>
    </row>
    <row r="152">
      <c r="B152" s="220"/>
      <c r="C152" s="220"/>
      <c r="D152" s="220"/>
      <c r="E152" s="220"/>
      <c r="F152" s="220"/>
      <c r="G152" s="220"/>
      <c r="H152" s="220"/>
      <c r="I152" s="220"/>
    </row>
    <row r="153">
      <c r="B153" s="220"/>
      <c r="C153" s="220"/>
      <c r="D153" s="220"/>
      <c r="E153" s="220"/>
      <c r="F153" s="220"/>
      <c r="G153" s="220"/>
      <c r="H153" s="220"/>
      <c r="I153" s="220"/>
    </row>
    <row r="154">
      <c r="B154" s="220"/>
      <c r="C154" s="220"/>
      <c r="D154" s="220"/>
      <c r="E154" s="220"/>
      <c r="F154" s="220"/>
      <c r="G154" s="220"/>
      <c r="H154" s="220"/>
      <c r="I154" s="220"/>
    </row>
    <row r="155">
      <c r="B155" s="220"/>
      <c r="C155" s="220"/>
      <c r="D155" s="220"/>
      <c r="E155" s="220"/>
      <c r="F155" s="220"/>
      <c r="G155" s="220"/>
      <c r="H155" s="220"/>
      <c r="I155" s="220"/>
    </row>
    <row r="156">
      <c r="B156" s="220"/>
      <c r="C156" s="220"/>
      <c r="D156" s="220"/>
      <c r="E156" s="220"/>
      <c r="F156" s="220"/>
      <c r="G156" s="220"/>
      <c r="H156" s="220"/>
      <c r="I156" s="220"/>
    </row>
    <row r="157">
      <c r="B157" s="220"/>
      <c r="C157" s="220"/>
      <c r="D157" s="220"/>
      <c r="E157" s="220"/>
      <c r="F157" s="220"/>
      <c r="G157" s="220"/>
      <c r="H157" s="220"/>
      <c r="I157" s="220"/>
    </row>
    <row r="158">
      <c r="B158" s="220"/>
      <c r="C158" s="220"/>
      <c r="D158" s="220"/>
      <c r="E158" s="220"/>
      <c r="F158" s="220"/>
      <c r="G158" s="220"/>
      <c r="H158" s="220"/>
      <c r="I158" s="220"/>
    </row>
    <row r="159">
      <c r="B159" s="220"/>
      <c r="C159" s="220"/>
      <c r="D159" s="220"/>
      <c r="E159" s="220"/>
      <c r="F159" s="220"/>
      <c r="G159" s="220"/>
      <c r="H159" s="220"/>
      <c r="I159" s="220"/>
    </row>
    <row r="160">
      <c r="B160" s="220"/>
      <c r="C160" s="220"/>
      <c r="D160" s="220"/>
      <c r="E160" s="220"/>
      <c r="F160" s="220"/>
      <c r="G160" s="220"/>
      <c r="H160" s="220"/>
      <c r="I160" s="220"/>
    </row>
    <row r="161">
      <c r="B161" s="220"/>
      <c r="C161" s="220"/>
      <c r="D161" s="220"/>
      <c r="E161" s="220"/>
      <c r="F161" s="220"/>
      <c r="G161" s="220"/>
      <c r="H161" s="220"/>
      <c r="I161" s="220"/>
    </row>
    <row r="162">
      <c r="B162" s="220"/>
      <c r="C162" s="220"/>
      <c r="D162" s="220"/>
      <c r="E162" s="220"/>
      <c r="F162" s="220"/>
      <c r="G162" s="220"/>
      <c r="H162" s="220"/>
      <c r="I162" s="220"/>
    </row>
    <row r="163">
      <c r="B163" s="220"/>
      <c r="C163" s="220"/>
      <c r="D163" s="220"/>
      <c r="E163" s="220"/>
      <c r="F163" s="220"/>
      <c r="G163" s="220"/>
      <c r="H163" s="220"/>
      <c r="I163" s="220"/>
    </row>
    <row r="164">
      <c r="B164" s="220"/>
      <c r="C164" s="220"/>
      <c r="D164" s="220"/>
      <c r="E164" s="220"/>
      <c r="F164" s="220"/>
      <c r="G164" s="220"/>
      <c r="H164" s="220"/>
      <c r="I164" s="220"/>
    </row>
    <row r="165">
      <c r="B165" s="220"/>
      <c r="C165" s="220"/>
      <c r="D165" s="220"/>
      <c r="E165" s="220"/>
      <c r="F165" s="220"/>
      <c r="G165" s="220"/>
      <c r="H165" s="220"/>
      <c r="I165" s="220"/>
    </row>
    <row r="166">
      <c r="B166" s="220"/>
      <c r="C166" s="220"/>
      <c r="D166" s="220"/>
      <c r="E166" s="220"/>
      <c r="F166" s="220"/>
      <c r="G166" s="220"/>
      <c r="H166" s="220"/>
      <c r="I166" s="220"/>
    </row>
    <row r="167">
      <c r="B167" s="220"/>
      <c r="C167" s="220"/>
      <c r="D167" s="220"/>
      <c r="E167" s="220"/>
      <c r="F167" s="220"/>
      <c r="G167" s="220"/>
      <c r="H167" s="220"/>
      <c r="I167" s="220"/>
    </row>
    <row r="168">
      <c r="B168" s="220"/>
      <c r="C168" s="220"/>
      <c r="D168" s="220"/>
      <c r="E168" s="220"/>
      <c r="F168" s="220"/>
      <c r="G168" s="220"/>
      <c r="H168" s="220"/>
      <c r="I168" s="220"/>
    </row>
    <row r="169">
      <c r="B169" s="220"/>
      <c r="C169" s="220"/>
      <c r="D169" s="220"/>
      <c r="E169" s="220"/>
      <c r="F169" s="220"/>
      <c r="G169" s="220"/>
      <c r="H169" s="220"/>
      <c r="I169" s="220"/>
    </row>
    <row r="170">
      <c r="B170" s="220"/>
      <c r="C170" s="220"/>
      <c r="D170" s="220"/>
      <c r="E170" s="220"/>
      <c r="F170" s="220"/>
      <c r="G170" s="220"/>
      <c r="H170" s="220"/>
      <c r="I170" s="220"/>
    </row>
    <row r="171">
      <c r="B171" s="220"/>
      <c r="C171" s="220"/>
      <c r="D171" s="220"/>
      <c r="E171" s="220"/>
      <c r="F171" s="220"/>
      <c r="G171" s="220"/>
      <c r="H171" s="220"/>
      <c r="I171" s="220"/>
    </row>
    <row r="172">
      <c r="B172" s="220"/>
      <c r="C172" s="220"/>
      <c r="D172" s="220"/>
      <c r="E172" s="220"/>
      <c r="F172" s="220"/>
      <c r="G172" s="220"/>
      <c r="H172" s="220"/>
      <c r="I172" s="220"/>
    </row>
    <row r="173">
      <c r="B173" s="220"/>
      <c r="C173" s="220"/>
      <c r="D173" s="220"/>
      <c r="E173" s="220"/>
      <c r="F173" s="220"/>
      <c r="G173" s="220"/>
      <c r="H173" s="220"/>
      <c r="I173" s="220"/>
    </row>
    <row r="174">
      <c r="B174" s="220"/>
      <c r="C174" s="220"/>
      <c r="D174" s="220"/>
      <c r="E174" s="220"/>
      <c r="F174" s="220"/>
      <c r="G174" s="220"/>
      <c r="H174" s="220"/>
      <c r="I174" s="220"/>
    </row>
    <row r="175">
      <c r="B175" s="220"/>
      <c r="C175" s="220"/>
      <c r="D175" s="220"/>
      <c r="E175" s="220"/>
      <c r="F175" s="220"/>
      <c r="G175" s="220"/>
      <c r="H175" s="220"/>
      <c r="I175" s="220"/>
    </row>
    <row r="176">
      <c r="B176" s="220"/>
      <c r="C176" s="220"/>
      <c r="D176" s="220"/>
      <c r="E176" s="220"/>
      <c r="F176" s="220"/>
      <c r="G176" s="220"/>
      <c r="H176" s="220"/>
      <c r="I176" s="220"/>
    </row>
    <row r="177">
      <c r="B177" s="220"/>
      <c r="C177" s="220"/>
      <c r="D177" s="220"/>
      <c r="E177" s="220"/>
      <c r="F177" s="220"/>
      <c r="G177" s="220"/>
      <c r="H177" s="220"/>
      <c r="I177" s="220"/>
    </row>
    <row r="178">
      <c r="B178" s="220"/>
      <c r="C178" s="220"/>
      <c r="D178" s="220"/>
      <c r="E178" s="220"/>
      <c r="F178" s="220"/>
      <c r="G178" s="220"/>
      <c r="H178" s="220"/>
      <c r="I178" s="220"/>
    </row>
    <row r="179">
      <c r="B179" s="220"/>
      <c r="C179" s="220"/>
      <c r="D179" s="220"/>
      <c r="E179" s="220"/>
      <c r="F179" s="220"/>
      <c r="G179" s="220"/>
      <c r="H179" s="220"/>
      <c r="I179" s="220"/>
    </row>
    <row r="180">
      <c r="B180" s="220"/>
      <c r="C180" s="220"/>
      <c r="D180" s="220"/>
      <c r="E180" s="220"/>
      <c r="F180" s="220"/>
      <c r="G180" s="220"/>
      <c r="H180" s="220"/>
      <c r="I180" s="220"/>
    </row>
    <row r="181">
      <c r="B181" s="220"/>
      <c r="C181" s="220"/>
      <c r="D181" s="220"/>
      <c r="E181" s="220"/>
      <c r="F181" s="220"/>
      <c r="G181" s="220"/>
      <c r="H181" s="220"/>
      <c r="I181" s="220"/>
    </row>
    <row r="182">
      <c r="B182" s="220"/>
      <c r="C182" s="220"/>
      <c r="D182" s="220"/>
      <c r="E182" s="220"/>
      <c r="F182" s="220"/>
      <c r="G182" s="220"/>
      <c r="H182" s="220"/>
      <c r="I182" s="220"/>
    </row>
    <row r="183">
      <c r="B183" s="220"/>
      <c r="C183" s="220"/>
      <c r="D183" s="220"/>
      <c r="E183" s="220"/>
      <c r="F183" s="220"/>
      <c r="G183" s="220"/>
      <c r="H183" s="220"/>
      <c r="I183" s="220"/>
    </row>
    <row r="184">
      <c r="B184" s="220"/>
      <c r="C184" s="220"/>
      <c r="D184" s="220"/>
      <c r="E184" s="220"/>
      <c r="F184" s="220"/>
      <c r="G184" s="220"/>
      <c r="H184" s="220"/>
      <c r="I184" s="220"/>
    </row>
    <row r="185">
      <c r="B185" s="220"/>
      <c r="C185" s="220"/>
      <c r="D185" s="220"/>
      <c r="E185" s="220"/>
      <c r="F185" s="220"/>
      <c r="G185" s="220"/>
      <c r="H185" s="220"/>
      <c r="I185" s="220"/>
    </row>
    <row r="186">
      <c r="B186" s="220"/>
      <c r="C186" s="220"/>
      <c r="D186" s="220"/>
      <c r="E186" s="220"/>
      <c r="F186" s="220"/>
      <c r="G186" s="220"/>
      <c r="H186" s="220"/>
      <c r="I186" s="220"/>
    </row>
    <row r="187">
      <c r="B187" s="220"/>
      <c r="C187" s="220"/>
      <c r="D187" s="220"/>
      <c r="E187" s="220"/>
      <c r="F187" s="220"/>
      <c r="G187" s="220"/>
      <c r="H187" s="220"/>
      <c r="I187" s="220"/>
    </row>
    <row r="188">
      <c r="B188" s="220"/>
      <c r="C188" s="220"/>
      <c r="D188" s="220"/>
      <c r="E188" s="220"/>
      <c r="F188" s="220"/>
      <c r="G188" s="220"/>
      <c r="H188" s="220"/>
      <c r="I188" s="220"/>
    </row>
    <row r="189">
      <c r="B189" s="220"/>
      <c r="C189" s="220"/>
      <c r="D189" s="220"/>
      <c r="E189" s="220"/>
      <c r="F189" s="220"/>
      <c r="G189" s="220"/>
      <c r="H189" s="220"/>
      <c r="I189" s="220"/>
    </row>
    <row r="190">
      <c r="B190" s="220"/>
      <c r="C190" s="220"/>
      <c r="D190" s="220"/>
      <c r="E190" s="220"/>
      <c r="F190" s="220"/>
      <c r="G190" s="220"/>
      <c r="H190" s="220"/>
      <c r="I190" s="220"/>
    </row>
    <row r="191">
      <c r="B191" s="220"/>
      <c r="C191" s="220"/>
      <c r="D191" s="220"/>
      <c r="E191" s="220"/>
      <c r="F191" s="220"/>
      <c r="G191" s="220"/>
      <c r="H191" s="220"/>
      <c r="I191" s="220"/>
    </row>
    <row r="192">
      <c r="B192" s="220"/>
      <c r="C192" s="220"/>
      <c r="D192" s="220"/>
      <c r="E192" s="220"/>
      <c r="F192" s="220"/>
      <c r="G192" s="220"/>
      <c r="H192" s="220"/>
      <c r="I192" s="220"/>
    </row>
    <row r="193">
      <c r="B193" s="220"/>
      <c r="C193" s="220"/>
      <c r="D193" s="220"/>
      <c r="E193" s="220"/>
      <c r="F193" s="220"/>
      <c r="G193" s="220"/>
      <c r="H193" s="220"/>
      <c r="I193" s="220"/>
    </row>
    <row r="194">
      <c r="B194" s="220"/>
      <c r="C194" s="220"/>
      <c r="D194" s="220"/>
      <c r="E194" s="220"/>
      <c r="F194" s="220"/>
      <c r="G194" s="220"/>
      <c r="H194" s="220"/>
      <c r="I194" s="220"/>
    </row>
    <row r="195">
      <c r="B195" s="220"/>
      <c r="C195" s="220"/>
      <c r="D195" s="220"/>
      <c r="E195" s="220"/>
      <c r="F195" s="220"/>
      <c r="G195" s="220"/>
      <c r="H195" s="220"/>
      <c r="I195" s="220"/>
    </row>
    <row r="196">
      <c r="B196" s="220"/>
      <c r="C196" s="220"/>
      <c r="D196" s="220"/>
      <c r="E196" s="220"/>
      <c r="F196" s="220"/>
      <c r="G196" s="220"/>
      <c r="H196" s="220"/>
      <c r="I196" s="220"/>
    </row>
    <row r="197">
      <c r="B197" s="220"/>
      <c r="C197" s="220"/>
      <c r="D197" s="220"/>
      <c r="E197" s="220"/>
      <c r="F197" s="220"/>
      <c r="G197" s="220"/>
      <c r="H197" s="220"/>
      <c r="I197" s="220"/>
    </row>
    <row r="198">
      <c r="B198" s="220"/>
      <c r="C198" s="220"/>
      <c r="D198" s="220"/>
      <c r="E198" s="220"/>
      <c r="F198" s="220"/>
      <c r="G198" s="220"/>
      <c r="H198" s="220"/>
      <c r="I198" s="220"/>
    </row>
    <row r="199">
      <c r="B199" s="220"/>
      <c r="C199" s="220"/>
      <c r="D199" s="220"/>
      <c r="E199" s="220"/>
      <c r="F199" s="220"/>
      <c r="G199" s="220"/>
      <c r="H199" s="220"/>
      <c r="I199" s="220"/>
    </row>
    <row r="200">
      <c r="B200" s="220"/>
      <c r="C200" s="220"/>
      <c r="D200" s="220"/>
      <c r="E200" s="220"/>
      <c r="F200" s="220"/>
      <c r="G200" s="220"/>
      <c r="H200" s="220"/>
      <c r="I200" s="220"/>
    </row>
    <row r="201">
      <c r="B201" s="220"/>
      <c r="C201" s="220"/>
      <c r="D201" s="220"/>
      <c r="E201" s="220"/>
      <c r="F201" s="220"/>
      <c r="G201" s="220"/>
      <c r="H201" s="220"/>
      <c r="I201" s="220"/>
    </row>
    <row r="202">
      <c r="B202" s="220"/>
      <c r="C202" s="220"/>
      <c r="D202" s="220"/>
      <c r="E202" s="220"/>
      <c r="F202" s="220"/>
      <c r="G202" s="220"/>
      <c r="H202" s="220"/>
      <c r="I202" s="220"/>
    </row>
    <row r="203">
      <c r="B203" s="220"/>
      <c r="C203" s="220"/>
      <c r="D203" s="220"/>
      <c r="E203" s="220"/>
      <c r="F203" s="220"/>
      <c r="G203" s="220"/>
      <c r="H203" s="220"/>
      <c r="I203" s="220"/>
    </row>
    <row r="204">
      <c r="B204" s="220"/>
      <c r="C204" s="220"/>
      <c r="D204" s="220"/>
      <c r="E204" s="220"/>
      <c r="F204" s="220"/>
      <c r="G204" s="220"/>
      <c r="H204" s="220"/>
      <c r="I204" s="220"/>
    </row>
    <row r="205">
      <c r="B205" s="220"/>
      <c r="C205" s="220"/>
      <c r="D205" s="220"/>
      <c r="E205" s="220"/>
      <c r="F205" s="220"/>
      <c r="G205" s="220"/>
      <c r="H205" s="220"/>
      <c r="I205" s="220"/>
    </row>
    <row r="206">
      <c r="B206" s="220"/>
      <c r="C206" s="220"/>
      <c r="D206" s="220"/>
      <c r="E206" s="220"/>
      <c r="F206" s="220"/>
      <c r="G206" s="220"/>
      <c r="H206" s="220"/>
      <c r="I206" s="220"/>
    </row>
    <row r="207">
      <c r="B207" s="220"/>
      <c r="C207" s="220"/>
      <c r="D207" s="220"/>
      <c r="E207" s="220"/>
      <c r="F207" s="220"/>
      <c r="G207" s="220"/>
      <c r="H207" s="220"/>
      <c r="I207" s="220"/>
    </row>
    <row r="208">
      <c r="B208" s="220"/>
      <c r="C208" s="220"/>
      <c r="D208" s="220"/>
      <c r="E208" s="220"/>
      <c r="F208" s="220"/>
      <c r="G208" s="220"/>
      <c r="H208" s="220"/>
      <c r="I208" s="220"/>
    </row>
    <row r="209">
      <c r="B209" s="220"/>
      <c r="C209" s="220"/>
      <c r="D209" s="220"/>
      <c r="E209" s="220"/>
      <c r="F209" s="220"/>
      <c r="G209" s="220"/>
      <c r="H209" s="220"/>
      <c r="I209" s="220"/>
    </row>
    <row r="210">
      <c r="B210" s="220"/>
      <c r="C210" s="220"/>
      <c r="D210" s="220"/>
      <c r="E210" s="220"/>
      <c r="F210" s="220"/>
      <c r="G210" s="220"/>
      <c r="H210" s="220"/>
      <c r="I210" s="220"/>
    </row>
    <row r="211">
      <c r="B211" s="220"/>
      <c r="C211" s="220"/>
      <c r="D211" s="220"/>
      <c r="E211" s="220"/>
      <c r="F211" s="220"/>
      <c r="G211" s="220"/>
      <c r="H211" s="220"/>
      <c r="I211" s="220"/>
    </row>
    <row r="212">
      <c r="B212" s="220"/>
      <c r="C212" s="220"/>
      <c r="D212" s="220"/>
      <c r="E212" s="220"/>
      <c r="F212" s="220"/>
      <c r="G212" s="220"/>
      <c r="H212" s="220"/>
      <c r="I212" s="220"/>
    </row>
    <row r="213">
      <c r="B213" s="220"/>
      <c r="C213" s="220"/>
      <c r="D213" s="220"/>
      <c r="E213" s="220"/>
      <c r="F213" s="220"/>
      <c r="G213" s="220"/>
      <c r="H213" s="220"/>
      <c r="I213" s="220"/>
    </row>
    <row r="214">
      <c r="B214" s="220"/>
      <c r="C214" s="220"/>
      <c r="D214" s="220"/>
      <c r="E214" s="220"/>
      <c r="F214" s="220"/>
      <c r="G214" s="220"/>
      <c r="H214" s="220"/>
      <c r="I214" s="220"/>
    </row>
    <row r="215">
      <c r="B215" s="220"/>
      <c r="C215" s="220"/>
      <c r="D215" s="220"/>
      <c r="E215" s="220"/>
      <c r="F215" s="220"/>
      <c r="G215" s="220"/>
      <c r="H215" s="220"/>
      <c r="I215" s="220"/>
    </row>
    <row r="216">
      <c r="B216" s="220"/>
      <c r="C216" s="220"/>
      <c r="D216" s="220"/>
      <c r="E216" s="220"/>
      <c r="F216" s="220"/>
      <c r="G216" s="220"/>
      <c r="H216" s="220"/>
      <c r="I216" s="220"/>
    </row>
    <row r="217">
      <c r="B217" s="220"/>
      <c r="C217" s="220"/>
      <c r="D217" s="220"/>
      <c r="E217" s="220"/>
      <c r="F217" s="220"/>
      <c r="G217" s="220"/>
      <c r="H217" s="220"/>
      <c r="I217" s="220"/>
    </row>
    <row r="218">
      <c r="B218" s="220"/>
      <c r="C218" s="220"/>
      <c r="D218" s="220"/>
      <c r="E218" s="220"/>
      <c r="F218" s="220"/>
      <c r="G218" s="220"/>
      <c r="H218" s="220"/>
      <c r="I218" s="220"/>
    </row>
    <row r="219">
      <c r="B219" s="220"/>
      <c r="C219" s="220"/>
      <c r="D219" s="220"/>
      <c r="E219" s="220"/>
      <c r="F219" s="220"/>
      <c r="G219" s="220"/>
      <c r="H219" s="220"/>
      <c r="I219" s="220"/>
    </row>
    <row r="220">
      <c r="B220" s="220"/>
      <c r="C220" s="220"/>
      <c r="D220" s="220"/>
      <c r="E220" s="220"/>
      <c r="F220" s="220"/>
      <c r="G220" s="220"/>
      <c r="H220" s="220"/>
      <c r="I220" s="220"/>
    </row>
    <row r="221">
      <c r="B221" s="220"/>
      <c r="C221" s="220"/>
      <c r="D221" s="220"/>
      <c r="E221" s="220"/>
      <c r="F221" s="220"/>
      <c r="G221" s="220"/>
      <c r="H221" s="220"/>
      <c r="I221" s="220"/>
    </row>
    <row r="222">
      <c r="B222" s="220"/>
      <c r="C222" s="220"/>
      <c r="D222" s="220"/>
      <c r="E222" s="220"/>
      <c r="F222" s="220"/>
      <c r="G222" s="220"/>
      <c r="H222" s="220"/>
      <c r="I222" s="220"/>
    </row>
    <row r="223">
      <c r="B223" s="220"/>
      <c r="C223" s="220"/>
      <c r="D223" s="220"/>
      <c r="E223" s="220"/>
      <c r="F223" s="220"/>
      <c r="G223" s="220"/>
      <c r="H223" s="220"/>
      <c r="I223" s="220"/>
    </row>
    <row r="224">
      <c r="B224" s="220"/>
      <c r="C224" s="220"/>
      <c r="D224" s="220"/>
      <c r="E224" s="220"/>
      <c r="F224" s="220"/>
      <c r="G224" s="220"/>
      <c r="H224" s="220"/>
      <c r="I224" s="220"/>
    </row>
    <row r="225">
      <c r="B225" s="220"/>
      <c r="C225" s="220"/>
      <c r="D225" s="220"/>
      <c r="E225" s="220"/>
      <c r="F225" s="220"/>
      <c r="G225" s="220"/>
      <c r="H225" s="220"/>
      <c r="I225" s="220"/>
    </row>
    <row r="226">
      <c r="B226" s="220"/>
      <c r="C226" s="220"/>
      <c r="D226" s="220"/>
      <c r="E226" s="220"/>
      <c r="F226" s="220"/>
      <c r="G226" s="220"/>
      <c r="H226" s="220"/>
      <c r="I226" s="220"/>
    </row>
    <row r="227">
      <c r="B227" s="220"/>
      <c r="C227" s="220"/>
      <c r="D227" s="220"/>
      <c r="E227" s="220"/>
      <c r="F227" s="220"/>
      <c r="G227" s="220"/>
      <c r="H227" s="220"/>
      <c r="I227" s="220"/>
    </row>
    <row r="228">
      <c r="B228" s="220"/>
      <c r="C228" s="220"/>
      <c r="D228" s="220"/>
      <c r="E228" s="220"/>
      <c r="F228" s="220"/>
      <c r="G228" s="220"/>
      <c r="H228" s="220"/>
      <c r="I228" s="220"/>
    </row>
    <row r="229">
      <c r="B229" s="220"/>
      <c r="C229" s="220"/>
      <c r="D229" s="220"/>
      <c r="E229" s="220"/>
      <c r="F229" s="220"/>
      <c r="G229" s="220"/>
      <c r="H229" s="220"/>
      <c r="I229" s="220"/>
    </row>
    <row r="230">
      <c r="B230" s="220"/>
      <c r="C230" s="220"/>
      <c r="D230" s="220"/>
      <c r="E230" s="220"/>
      <c r="F230" s="220"/>
      <c r="G230" s="220"/>
      <c r="H230" s="220"/>
      <c r="I230" s="220"/>
    </row>
    <row r="231">
      <c r="B231" s="220"/>
      <c r="C231" s="220"/>
      <c r="D231" s="220"/>
      <c r="E231" s="220"/>
      <c r="F231" s="220"/>
      <c r="G231" s="220"/>
      <c r="H231" s="220"/>
      <c r="I231" s="220"/>
    </row>
    <row r="232">
      <c r="B232" s="220"/>
      <c r="C232" s="220"/>
      <c r="D232" s="220"/>
      <c r="E232" s="220"/>
      <c r="F232" s="220"/>
      <c r="G232" s="220"/>
      <c r="H232" s="220"/>
      <c r="I232" s="220"/>
    </row>
    <row r="233">
      <c r="B233" s="220"/>
      <c r="C233" s="220"/>
      <c r="D233" s="220"/>
      <c r="E233" s="220"/>
      <c r="F233" s="220"/>
      <c r="G233" s="220"/>
      <c r="H233" s="220"/>
      <c r="I233" s="220"/>
    </row>
    <row r="234">
      <c r="B234" s="220"/>
      <c r="C234" s="220"/>
      <c r="D234" s="220"/>
      <c r="E234" s="220"/>
      <c r="F234" s="220"/>
      <c r="G234" s="220"/>
      <c r="H234" s="220"/>
      <c r="I234" s="220"/>
    </row>
    <row r="235">
      <c r="B235" s="220"/>
      <c r="C235" s="220"/>
      <c r="D235" s="220"/>
      <c r="E235" s="220"/>
      <c r="F235" s="220"/>
      <c r="G235" s="220"/>
      <c r="H235" s="220"/>
      <c r="I235" s="220"/>
    </row>
    <row r="236">
      <c r="B236" s="220"/>
      <c r="C236" s="220"/>
      <c r="D236" s="220"/>
      <c r="E236" s="220"/>
      <c r="F236" s="220"/>
      <c r="G236" s="220"/>
      <c r="H236" s="220"/>
      <c r="I236" s="220"/>
    </row>
    <row r="237">
      <c r="B237" s="220"/>
      <c r="C237" s="220"/>
      <c r="D237" s="220"/>
      <c r="E237" s="220"/>
      <c r="F237" s="220"/>
      <c r="G237" s="220"/>
      <c r="H237" s="220"/>
      <c r="I237" s="220"/>
    </row>
    <row r="238">
      <c r="B238" s="220"/>
      <c r="C238" s="220"/>
      <c r="D238" s="220"/>
      <c r="E238" s="220"/>
      <c r="F238" s="220"/>
      <c r="G238" s="220"/>
      <c r="H238" s="220"/>
      <c r="I238" s="220"/>
    </row>
    <row r="239">
      <c r="B239" s="220"/>
      <c r="C239" s="220"/>
      <c r="D239" s="220"/>
      <c r="E239" s="220"/>
      <c r="F239" s="220"/>
      <c r="G239" s="220"/>
      <c r="H239" s="220"/>
      <c r="I239" s="220"/>
    </row>
    <row r="240">
      <c r="B240" s="220"/>
      <c r="C240" s="220"/>
      <c r="D240" s="220"/>
      <c r="E240" s="220"/>
      <c r="F240" s="220"/>
      <c r="G240" s="220"/>
      <c r="H240" s="220"/>
      <c r="I240" s="220"/>
    </row>
    <row r="241">
      <c r="B241" s="220"/>
      <c r="C241" s="220"/>
      <c r="D241" s="220"/>
      <c r="E241" s="220"/>
      <c r="F241" s="220"/>
      <c r="G241" s="220"/>
      <c r="H241" s="220"/>
      <c r="I241" s="220"/>
    </row>
    <row r="242">
      <c r="B242" s="220"/>
      <c r="C242" s="220"/>
      <c r="D242" s="220"/>
      <c r="E242" s="220"/>
      <c r="F242" s="220"/>
      <c r="G242" s="220"/>
      <c r="H242" s="220"/>
      <c r="I242" s="220"/>
    </row>
    <row r="243">
      <c r="B243" s="220"/>
      <c r="C243" s="220"/>
      <c r="D243" s="220"/>
      <c r="E243" s="220"/>
      <c r="F243" s="220"/>
      <c r="G243" s="220"/>
      <c r="H243" s="220"/>
      <c r="I243" s="220"/>
    </row>
    <row r="244">
      <c r="B244" s="220"/>
      <c r="C244" s="220"/>
      <c r="D244" s="220"/>
      <c r="E244" s="220"/>
      <c r="F244" s="220"/>
      <c r="G244" s="220"/>
      <c r="H244" s="220"/>
      <c r="I244" s="220"/>
    </row>
    <row r="245">
      <c r="B245" s="220"/>
      <c r="C245" s="220"/>
      <c r="D245" s="220"/>
      <c r="E245" s="220"/>
      <c r="F245" s="220"/>
      <c r="G245" s="220"/>
      <c r="H245" s="220"/>
      <c r="I245" s="220"/>
    </row>
    <row r="246">
      <c r="B246" s="220"/>
      <c r="C246" s="220"/>
      <c r="D246" s="220"/>
      <c r="E246" s="220"/>
      <c r="F246" s="220"/>
      <c r="G246" s="220"/>
      <c r="H246" s="220"/>
      <c r="I246" s="220"/>
    </row>
    <row r="247">
      <c r="B247" s="220"/>
      <c r="C247" s="220"/>
      <c r="D247" s="220"/>
      <c r="E247" s="220"/>
      <c r="F247" s="220"/>
      <c r="G247" s="220"/>
      <c r="H247" s="220"/>
      <c r="I247" s="220"/>
    </row>
    <row r="248">
      <c r="B248" s="220"/>
      <c r="C248" s="220"/>
      <c r="D248" s="220"/>
      <c r="E248" s="220"/>
      <c r="F248" s="220"/>
      <c r="G248" s="220"/>
      <c r="H248" s="220"/>
      <c r="I248" s="220"/>
    </row>
    <row r="249">
      <c r="B249" s="220"/>
      <c r="C249" s="220"/>
      <c r="D249" s="220"/>
      <c r="E249" s="220"/>
      <c r="F249" s="220"/>
      <c r="G249" s="220"/>
      <c r="H249" s="220"/>
      <c r="I249" s="220"/>
    </row>
    <row r="250">
      <c r="B250" s="220"/>
      <c r="C250" s="220"/>
      <c r="D250" s="220"/>
      <c r="E250" s="220"/>
      <c r="F250" s="220"/>
      <c r="G250" s="220"/>
      <c r="H250" s="220"/>
      <c r="I250" s="220"/>
    </row>
    <row r="251">
      <c r="B251" s="220"/>
      <c r="C251" s="220"/>
      <c r="D251" s="220"/>
      <c r="E251" s="220"/>
      <c r="F251" s="220"/>
      <c r="G251" s="220"/>
      <c r="H251" s="220"/>
      <c r="I251" s="220"/>
    </row>
    <row r="252">
      <c r="B252" s="220"/>
      <c r="C252" s="220"/>
      <c r="D252" s="220"/>
      <c r="E252" s="220"/>
      <c r="F252" s="220"/>
      <c r="G252" s="220"/>
      <c r="H252" s="220"/>
      <c r="I252" s="220"/>
    </row>
    <row r="253">
      <c r="B253" s="220"/>
      <c r="C253" s="220"/>
      <c r="D253" s="220"/>
      <c r="E253" s="220"/>
      <c r="F253" s="220"/>
      <c r="G253" s="220"/>
      <c r="H253" s="220"/>
      <c r="I253" s="220"/>
    </row>
    <row r="254">
      <c r="B254" s="220"/>
      <c r="C254" s="220"/>
      <c r="D254" s="220"/>
      <c r="E254" s="220"/>
      <c r="F254" s="220"/>
      <c r="G254" s="220"/>
      <c r="H254" s="220"/>
      <c r="I254" s="220"/>
    </row>
    <row r="255">
      <c r="B255" s="220"/>
      <c r="C255" s="220"/>
      <c r="D255" s="220"/>
      <c r="E255" s="220"/>
      <c r="F255" s="220"/>
      <c r="G255" s="220"/>
      <c r="H255" s="220"/>
      <c r="I255" s="220"/>
    </row>
    <row r="256">
      <c r="B256" s="220"/>
      <c r="C256" s="220"/>
      <c r="D256" s="220"/>
      <c r="E256" s="220"/>
      <c r="F256" s="220"/>
      <c r="G256" s="220"/>
      <c r="H256" s="220"/>
      <c r="I256" s="220"/>
    </row>
    <row r="257">
      <c r="B257" s="220"/>
      <c r="C257" s="220"/>
      <c r="D257" s="220"/>
      <c r="E257" s="220"/>
      <c r="F257" s="220"/>
      <c r="G257" s="220"/>
      <c r="H257" s="220"/>
      <c r="I257" s="220"/>
    </row>
    <row r="258">
      <c r="B258" s="220"/>
      <c r="C258" s="220"/>
      <c r="D258" s="220"/>
      <c r="E258" s="220"/>
      <c r="F258" s="220"/>
      <c r="G258" s="220"/>
      <c r="H258" s="220"/>
      <c r="I258" s="220"/>
    </row>
    <row r="259">
      <c r="B259" s="220"/>
      <c r="C259" s="220"/>
      <c r="D259" s="220"/>
      <c r="E259" s="220"/>
      <c r="F259" s="220"/>
      <c r="G259" s="220"/>
      <c r="H259" s="220"/>
      <c r="I259" s="220"/>
    </row>
    <row r="260">
      <c r="B260" s="220"/>
      <c r="C260" s="220"/>
      <c r="D260" s="220"/>
      <c r="E260" s="220"/>
      <c r="F260" s="220"/>
      <c r="G260" s="220"/>
      <c r="H260" s="220"/>
      <c r="I260" s="220"/>
    </row>
    <row r="261">
      <c r="B261" s="220"/>
      <c r="C261" s="220"/>
      <c r="D261" s="220"/>
      <c r="E261" s="220"/>
      <c r="F261" s="220"/>
      <c r="G261" s="220"/>
      <c r="H261" s="220"/>
      <c r="I261" s="220"/>
    </row>
    <row r="262">
      <c r="B262" s="220"/>
      <c r="C262" s="220"/>
      <c r="D262" s="220"/>
      <c r="E262" s="220"/>
      <c r="F262" s="220"/>
      <c r="G262" s="220"/>
      <c r="H262" s="220"/>
      <c r="I262" s="220"/>
    </row>
    <row r="263">
      <c r="B263" s="220"/>
      <c r="C263" s="220"/>
      <c r="D263" s="220"/>
      <c r="E263" s="220"/>
      <c r="F263" s="220"/>
      <c r="G263" s="220"/>
      <c r="H263" s="220"/>
      <c r="I263" s="220"/>
    </row>
    <row r="264">
      <c r="B264" s="220"/>
      <c r="C264" s="220"/>
      <c r="D264" s="220"/>
      <c r="E264" s="220"/>
      <c r="F264" s="220"/>
      <c r="G264" s="220"/>
      <c r="H264" s="220"/>
      <c r="I264" s="220"/>
    </row>
    <row r="265">
      <c r="B265" s="220"/>
      <c r="C265" s="220"/>
      <c r="D265" s="220"/>
      <c r="E265" s="220"/>
      <c r="F265" s="220"/>
      <c r="G265" s="220"/>
      <c r="H265" s="220"/>
      <c r="I265" s="220"/>
    </row>
    <row r="266">
      <c r="B266" s="220"/>
      <c r="C266" s="220"/>
      <c r="D266" s="220"/>
      <c r="E266" s="220"/>
      <c r="F266" s="220"/>
      <c r="G266" s="220"/>
      <c r="H266" s="220"/>
      <c r="I266" s="220"/>
    </row>
    <row r="267">
      <c r="B267" s="220"/>
      <c r="C267" s="220"/>
      <c r="D267" s="220"/>
      <c r="E267" s="220"/>
      <c r="F267" s="220"/>
      <c r="G267" s="220"/>
      <c r="H267" s="220"/>
      <c r="I267" s="220"/>
    </row>
    <row r="268">
      <c r="B268" s="220"/>
      <c r="C268" s="220"/>
      <c r="D268" s="220"/>
      <c r="E268" s="220"/>
      <c r="F268" s="220"/>
      <c r="G268" s="220"/>
      <c r="H268" s="220"/>
      <c r="I268" s="220"/>
    </row>
    <row r="269">
      <c r="B269" s="220"/>
      <c r="C269" s="220"/>
      <c r="D269" s="220"/>
      <c r="E269" s="220"/>
      <c r="F269" s="220"/>
      <c r="G269" s="220"/>
      <c r="H269" s="220"/>
      <c r="I269" s="220"/>
    </row>
    <row r="270">
      <c r="B270" s="220"/>
      <c r="C270" s="220"/>
      <c r="D270" s="220"/>
      <c r="E270" s="220"/>
      <c r="F270" s="220"/>
      <c r="G270" s="220"/>
      <c r="H270" s="220"/>
      <c r="I270" s="220"/>
    </row>
    <row r="271">
      <c r="B271" s="220"/>
      <c r="C271" s="220"/>
      <c r="D271" s="220"/>
      <c r="E271" s="220"/>
      <c r="F271" s="220"/>
      <c r="G271" s="220"/>
      <c r="H271" s="220"/>
      <c r="I271" s="220"/>
    </row>
    <row r="272">
      <c r="B272" s="220"/>
      <c r="C272" s="220"/>
      <c r="D272" s="220"/>
      <c r="E272" s="220"/>
      <c r="F272" s="220"/>
      <c r="G272" s="220"/>
      <c r="H272" s="220"/>
      <c r="I272" s="220"/>
    </row>
    <row r="273">
      <c r="B273" s="220"/>
      <c r="C273" s="220"/>
      <c r="D273" s="220"/>
      <c r="E273" s="220"/>
      <c r="F273" s="220"/>
      <c r="G273" s="220"/>
      <c r="H273" s="220"/>
      <c r="I273" s="220"/>
    </row>
    <row r="274">
      <c r="B274" s="220"/>
      <c r="C274" s="220"/>
      <c r="D274" s="220"/>
      <c r="E274" s="220"/>
      <c r="F274" s="220"/>
      <c r="G274" s="220"/>
      <c r="H274" s="220"/>
      <c r="I274" s="220"/>
    </row>
    <row r="275">
      <c r="B275" s="220"/>
      <c r="C275" s="220"/>
      <c r="D275" s="220"/>
      <c r="E275" s="220"/>
      <c r="F275" s="220"/>
      <c r="G275" s="220"/>
      <c r="H275" s="220"/>
      <c r="I275" s="220"/>
    </row>
    <row r="276">
      <c r="B276" s="220"/>
      <c r="C276" s="220"/>
      <c r="D276" s="220"/>
      <c r="E276" s="220"/>
      <c r="F276" s="220"/>
      <c r="G276" s="220"/>
      <c r="H276" s="220"/>
      <c r="I276" s="220"/>
    </row>
    <row r="277">
      <c r="B277" s="220"/>
      <c r="C277" s="220"/>
      <c r="D277" s="220"/>
      <c r="E277" s="220"/>
      <c r="F277" s="220"/>
      <c r="G277" s="220"/>
      <c r="H277" s="220"/>
      <c r="I277" s="220"/>
    </row>
    <row r="278">
      <c r="B278" s="220"/>
      <c r="C278" s="220"/>
      <c r="D278" s="220"/>
      <c r="E278" s="220"/>
      <c r="F278" s="220"/>
      <c r="G278" s="220"/>
      <c r="H278" s="220"/>
      <c r="I278" s="220"/>
    </row>
    <row r="279">
      <c r="B279" s="220"/>
      <c r="C279" s="220"/>
      <c r="D279" s="220"/>
      <c r="E279" s="220"/>
      <c r="F279" s="220"/>
      <c r="G279" s="220"/>
      <c r="H279" s="220"/>
      <c r="I279" s="220"/>
    </row>
    <row r="280">
      <c r="B280" s="220"/>
      <c r="C280" s="220"/>
      <c r="D280" s="220"/>
      <c r="E280" s="220"/>
      <c r="F280" s="220"/>
      <c r="G280" s="220"/>
      <c r="H280" s="220"/>
      <c r="I280" s="220"/>
    </row>
    <row r="281">
      <c r="B281" s="220"/>
      <c r="C281" s="220"/>
      <c r="D281" s="220"/>
      <c r="E281" s="220"/>
      <c r="F281" s="220"/>
      <c r="G281" s="220"/>
      <c r="H281" s="220"/>
      <c r="I281" s="220"/>
    </row>
    <row r="282">
      <c r="B282" s="220"/>
      <c r="C282" s="220"/>
      <c r="D282" s="220"/>
      <c r="E282" s="220"/>
      <c r="F282" s="220"/>
      <c r="G282" s="220"/>
      <c r="H282" s="220"/>
      <c r="I282" s="220"/>
    </row>
    <row r="283">
      <c r="B283" s="220"/>
      <c r="C283" s="220"/>
      <c r="D283" s="220"/>
      <c r="E283" s="220"/>
      <c r="F283" s="220"/>
      <c r="G283" s="220"/>
      <c r="H283" s="220"/>
      <c r="I283" s="220"/>
    </row>
    <row r="284">
      <c r="B284" s="220"/>
      <c r="C284" s="220"/>
      <c r="D284" s="220"/>
      <c r="E284" s="220"/>
      <c r="F284" s="220"/>
      <c r="G284" s="220"/>
      <c r="H284" s="220"/>
      <c r="I284" s="220"/>
    </row>
    <row r="285">
      <c r="B285" s="220"/>
      <c r="C285" s="220"/>
      <c r="D285" s="220"/>
      <c r="E285" s="220"/>
      <c r="F285" s="220"/>
      <c r="G285" s="220"/>
      <c r="H285" s="220"/>
      <c r="I285" s="220"/>
    </row>
    <row r="286">
      <c r="B286" s="220"/>
      <c r="C286" s="220"/>
      <c r="D286" s="220"/>
      <c r="E286" s="220"/>
      <c r="F286" s="220"/>
      <c r="G286" s="220"/>
      <c r="H286" s="220"/>
      <c r="I286" s="220"/>
    </row>
    <row r="287">
      <c r="B287" s="220"/>
      <c r="C287" s="220"/>
      <c r="D287" s="220"/>
      <c r="E287" s="220"/>
      <c r="F287" s="220"/>
      <c r="G287" s="220"/>
      <c r="H287" s="220"/>
      <c r="I287" s="220"/>
    </row>
    <row r="288">
      <c r="B288" s="220"/>
      <c r="C288" s="220"/>
      <c r="D288" s="220"/>
      <c r="E288" s="220"/>
      <c r="F288" s="220"/>
      <c r="G288" s="220"/>
      <c r="H288" s="220"/>
      <c r="I288" s="220"/>
    </row>
    <row r="289">
      <c r="B289" s="220"/>
      <c r="C289" s="220"/>
      <c r="D289" s="220"/>
      <c r="E289" s="220"/>
      <c r="F289" s="220"/>
      <c r="G289" s="220"/>
      <c r="H289" s="220"/>
      <c r="I289" s="220"/>
    </row>
    <row r="290">
      <c r="B290" s="220"/>
      <c r="C290" s="220"/>
      <c r="D290" s="220"/>
      <c r="E290" s="220"/>
      <c r="F290" s="220"/>
      <c r="G290" s="220"/>
      <c r="H290" s="220"/>
      <c r="I290" s="220"/>
    </row>
    <row r="291">
      <c r="B291" s="220"/>
      <c r="C291" s="220"/>
      <c r="D291" s="220"/>
      <c r="E291" s="220"/>
      <c r="F291" s="220"/>
      <c r="G291" s="220"/>
      <c r="H291" s="220"/>
      <c r="I291" s="220"/>
    </row>
    <row r="292">
      <c r="B292" s="220"/>
      <c r="C292" s="220"/>
      <c r="D292" s="220"/>
      <c r="E292" s="220"/>
      <c r="F292" s="220"/>
      <c r="G292" s="220"/>
      <c r="H292" s="220"/>
      <c r="I292" s="220"/>
    </row>
    <row r="293">
      <c r="B293" s="220"/>
      <c r="C293" s="220"/>
      <c r="D293" s="220"/>
      <c r="E293" s="220"/>
      <c r="F293" s="220"/>
      <c r="G293" s="220"/>
      <c r="H293" s="220"/>
      <c r="I293" s="220"/>
    </row>
    <row r="294">
      <c r="B294" s="220"/>
      <c r="C294" s="220"/>
      <c r="D294" s="220"/>
      <c r="E294" s="220"/>
      <c r="F294" s="220"/>
      <c r="G294" s="220"/>
      <c r="H294" s="220"/>
      <c r="I294" s="220"/>
    </row>
    <row r="295">
      <c r="B295" s="220"/>
      <c r="C295" s="220"/>
      <c r="D295" s="220"/>
      <c r="E295" s="220"/>
      <c r="F295" s="220"/>
      <c r="G295" s="220"/>
      <c r="H295" s="220"/>
      <c r="I295" s="220"/>
    </row>
    <row r="296">
      <c r="B296" s="220"/>
      <c r="C296" s="220"/>
      <c r="D296" s="220"/>
      <c r="E296" s="220"/>
      <c r="F296" s="220"/>
      <c r="G296" s="220"/>
      <c r="H296" s="220"/>
      <c r="I296" s="220"/>
    </row>
    <row r="297">
      <c r="B297" s="220"/>
      <c r="C297" s="220"/>
      <c r="D297" s="220"/>
      <c r="E297" s="220"/>
      <c r="F297" s="220"/>
      <c r="G297" s="220"/>
      <c r="H297" s="220"/>
      <c r="I297" s="220"/>
    </row>
    <row r="298">
      <c r="B298" s="220"/>
      <c r="C298" s="220"/>
      <c r="D298" s="220"/>
      <c r="E298" s="220"/>
      <c r="F298" s="220"/>
      <c r="G298" s="220"/>
      <c r="H298" s="220"/>
      <c r="I298" s="220"/>
    </row>
    <row r="299">
      <c r="B299" s="220"/>
      <c r="C299" s="220"/>
      <c r="D299" s="220"/>
      <c r="E299" s="220"/>
      <c r="F299" s="220"/>
      <c r="G299" s="220"/>
      <c r="H299" s="220"/>
      <c r="I299" s="220"/>
    </row>
    <row r="300">
      <c r="B300" s="220"/>
      <c r="C300" s="220"/>
      <c r="D300" s="220"/>
      <c r="E300" s="220"/>
      <c r="F300" s="220"/>
      <c r="G300" s="220"/>
      <c r="H300" s="220"/>
      <c r="I300" s="220"/>
    </row>
    <row r="301">
      <c r="B301" s="220"/>
      <c r="C301" s="220"/>
      <c r="D301" s="220"/>
      <c r="E301" s="220"/>
      <c r="F301" s="220"/>
      <c r="G301" s="220"/>
      <c r="H301" s="220"/>
      <c r="I301" s="220"/>
    </row>
    <row r="302">
      <c r="B302" s="220"/>
      <c r="C302" s="220"/>
      <c r="D302" s="220"/>
      <c r="E302" s="220"/>
      <c r="F302" s="220"/>
      <c r="G302" s="220"/>
      <c r="H302" s="220"/>
      <c r="I302" s="220"/>
    </row>
    <row r="303">
      <c r="B303" s="220"/>
      <c r="C303" s="220"/>
      <c r="D303" s="220"/>
      <c r="E303" s="220"/>
      <c r="F303" s="220"/>
      <c r="G303" s="220"/>
      <c r="H303" s="220"/>
      <c r="I303" s="220"/>
    </row>
    <row r="304">
      <c r="B304" s="220"/>
      <c r="C304" s="220"/>
      <c r="D304" s="220"/>
      <c r="E304" s="220"/>
      <c r="F304" s="220"/>
      <c r="G304" s="220"/>
      <c r="H304" s="220"/>
      <c r="I304" s="220"/>
    </row>
    <row r="305">
      <c r="B305" s="220"/>
      <c r="C305" s="220"/>
      <c r="D305" s="220"/>
      <c r="E305" s="220"/>
      <c r="F305" s="220"/>
      <c r="G305" s="220"/>
      <c r="H305" s="220"/>
      <c r="I305" s="220"/>
    </row>
    <row r="306">
      <c r="B306" s="220"/>
      <c r="C306" s="220"/>
      <c r="D306" s="220"/>
      <c r="E306" s="220"/>
      <c r="F306" s="220"/>
      <c r="G306" s="220"/>
      <c r="H306" s="220"/>
      <c r="I306" s="220"/>
    </row>
    <row r="307">
      <c r="B307" s="220"/>
      <c r="C307" s="220"/>
      <c r="D307" s="220"/>
      <c r="E307" s="220"/>
      <c r="F307" s="220"/>
      <c r="G307" s="220"/>
      <c r="H307" s="220"/>
      <c r="I307" s="220"/>
    </row>
    <row r="308">
      <c r="B308" s="220"/>
      <c r="C308" s="220"/>
      <c r="D308" s="220"/>
      <c r="E308" s="220"/>
      <c r="F308" s="220"/>
      <c r="G308" s="220"/>
      <c r="H308" s="220"/>
      <c r="I308" s="220"/>
    </row>
    <row r="309">
      <c r="B309" s="220"/>
      <c r="C309" s="220"/>
      <c r="D309" s="220"/>
      <c r="E309" s="220"/>
      <c r="F309" s="220"/>
      <c r="G309" s="220"/>
      <c r="H309" s="220"/>
      <c r="I309" s="220"/>
    </row>
    <row r="310">
      <c r="B310" s="220"/>
      <c r="C310" s="220"/>
      <c r="D310" s="220"/>
      <c r="E310" s="220"/>
      <c r="F310" s="220"/>
      <c r="G310" s="220"/>
      <c r="H310" s="220"/>
      <c r="I310" s="220"/>
    </row>
    <row r="311">
      <c r="B311" s="220"/>
      <c r="C311" s="220"/>
      <c r="D311" s="220"/>
      <c r="E311" s="220"/>
      <c r="F311" s="220"/>
      <c r="G311" s="220"/>
      <c r="H311" s="220"/>
      <c r="I311" s="220"/>
    </row>
    <row r="312">
      <c r="B312" s="220"/>
      <c r="C312" s="220"/>
      <c r="D312" s="220"/>
      <c r="E312" s="220"/>
      <c r="F312" s="220"/>
      <c r="G312" s="220"/>
      <c r="H312" s="220"/>
      <c r="I312" s="220"/>
    </row>
    <row r="313">
      <c r="B313" s="220"/>
      <c r="C313" s="220"/>
      <c r="D313" s="220"/>
      <c r="E313" s="220"/>
      <c r="F313" s="220"/>
      <c r="G313" s="220"/>
      <c r="H313" s="220"/>
      <c r="I313" s="220"/>
    </row>
    <row r="314">
      <c r="B314" s="220"/>
      <c r="C314" s="220"/>
      <c r="D314" s="220"/>
      <c r="E314" s="220"/>
      <c r="F314" s="220"/>
      <c r="G314" s="220"/>
      <c r="H314" s="220"/>
      <c r="I314" s="220"/>
    </row>
    <row r="315">
      <c r="B315" s="220"/>
      <c r="C315" s="220"/>
      <c r="D315" s="220"/>
      <c r="E315" s="220"/>
      <c r="F315" s="220"/>
      <c r="G315" s="220"/>
      <c r="H315" s="220"/>
      <c r="I315" s="220"/>
    </row>
    <row r="316">
      <c r="B316" s="220"/>
      <c r="C316" s="220"/>
      <c r="D316" s="220"/>
      <c r="E316" s="220"/>
      <c r="F316" s="220"/>
      <c r="G316" s="220"/>
      <c r="H316" s="220"/>
      <c r="I316" s="220"/>
    </row>
    <row r="317">
      <c r="B317" s="220"/>
      <c r="C317" s="220"/>
      <c r="D317" s="220"/>
      <c r="E317" s="220"/>
      <c r="F317" s="220"/>
      <c r="G317" s="220"/>
      <c r="H317" s="220"/>
      <c r="I317" s="220"/>
    </row>
    <row r="318">
      <c r="B318" s="220"/>
      <c r="C318" s="220"/>
      <c r="D318" s="220"/>
      <c r="E318" s="220"/>
      <c r="F318" s="220"/>
      <c r="G318" s="220"/>
      <c r="H318" s="220"/>
      <c r="I318" s="220"/>
    </row>
    <row r="319">
      <c r="B319" s="220"/>
      <c r="C319" s="220"/>
      <c r="D319" s="220"/>
      <c r="E319" s="220"/>
      <c r="F319" s="220"/>
      <c r="G319" s="220"/>
      <c r="H319" s="220"/>
      <c r="I319" s="220"/>
    </row>
    <row r="320">
      <c r="B320" s="220"/>
      <c r="C320" s="220"/>
      <c r="D320" s="220"/>
      <c r="E320" s="220"/>
      <c r="F320" s="220"/>
      <c r="G320" s="220"/>
      <c r="H320" s="220"/>
      <c r="I320" s="220"/>
    </row>
    <row r="321">
      <c r="B321" s="220"/>
      <c r="C321" s="220"/>
      <c r="D321" s="220"/>
      <c r="E321" s="220"/>
      <c r="F321" s="220"/>
      <c r="G321" s="220"/>
      <c r="H321" s="220"/>
      <c r="I321" s="220"/>
    </row>
    <row r="322">
      <c r="B322" s="220"/>
      <c r="C322" s="220"/>
      <c r="D322" s="220"/>
      <c r="E322" s="220"/>
      <c r="F322" s="220"/>
      <c r="G322" s="220"/>
      <c r="H322" s="220"/>
      <c r="I322" s="220"/>
    </row>
    <row r="323">
      <c r="B323" s="220"/>
      <c r="C323" s="220"/>
      <c r="D323" s="220"/>
      <c r="E323" s="220"/>
      <c r="F323" s="220"/>
      <c r="G323" s="220"/>
      <c r="H323" s="220"/>
      <c r="I323" s="220"/>
    </row>
    <row r="324">
      <c r="B324" s="220"/>
      <c r="C324" s="220"/>
      <c r="D324" s="220"/>
      <c r="E324" s="220"/>
      <c r="F324" s="220"/>
      <c r="G324" s="220"/>
      <c r="H324" s="220"/>
      <c r="I324" s="220"/>
    </row>
    <row r="325">
      <c r="B325" s="220"/>
      <c r="C325" s="220"/>
      <c r="D325" s="220"/>
      <c r="E325" s="220"/>
      <c r="F325" s="220"/>
      <c r="G325" s="220"/>
      <c r="H325" s="220"/>
      <c r="I325" s="220"/>
    </row>
    <row r="326">
      <c r="B326" s="220"/>
      <c r="C326" s="220"/>
      <c r="D326" s="220"/>
      <c r="E326" s="220"/>
      <c r="F326" s="220"/>
      <c r="G326" s="220"/>
      <c r="H326" s="220"/>
      <c r="I326" s="220"/>
    </row>
    <row r="327">
      <c r="B327" s="220"/>
      <c r="C327" s="220"/>
      <c r="D327" s="220"/>
      <c r="E327" s="220"/>
      <c r="F327" s="220"/>
      <c r="G327" s="220"/>
      <c r="H327" s="220"/>
      <c r="I327" s="220"/>
    </row>
    <row r="328">
      <c r="B328" s="220"/>
      <c r="C328" s="220"/>
      <c r="D328" s="220"/>
      <c r="E328" s="220"/>
      <c r="F328" s="220"/>
      <c r="G328" s="220"/>
      <c r="H328" s="220"/>
      <c r="I328" s="220"/>
    </row>
    <row r="329">
      <c r="B329" s="220"/>
      <c r="C329" s="220"/>
      <c r="D329" s="220"/>
      <c r="E329" s="220"/>
      <c r="F329" s="220"/>
      <c r="G329" s="220"/>
      <c r="H329" s="220"/>
      <c r="I329" s="220"/>
    </row>
    <row r="330">
      <c r="B330" s="220"/>
      <c r="C330" s="220"/>
      <c r="D330" s="220"/>
      <c r="E330" s="220"/>
      <c r="F330" s="220"/>
      <c r="G330" s="220"/>
      <c r="H330" s="220"/>
      <c r="I330" s="220"/>
    </row>
    <row r="331">
      <c r="B331" s="220"/>
      <c r="C331" s="220"/>
      <c r="D331" s="220"/>
      <c r="E331" s="220"/>
      <c r="F331" s="220"/>
      <c r="G331" s="220"/>
      <c r="H331" s="220"/>
      <c r="I331" s="220"/>
    </row>
    <row r="332">
      <c r="B332" s="220"/>
      <c r="C332" s="220"/>
      <c r="D332" s="220"/>
      <c r="E332" s="220"/>
      <c r="F332" s="220"/>
      <c r="G332" s="220"/>
      <c r="H332" s="220"/>
      <c r="I332" s="220"/>
    </row>
    <row r="333">
      <c r="B333" s="220"/>
      <c r="C333" s="220"/>
      <c r="D333" s="220"/>
      <c r="E333" s="220"/>
      <c r="F333" s="220"/>
      <c r="G333" s="220"/>
      <c r="H333" s="220"/>
      <c r="I333" s="220"/>
    </row>
    <row r="334">
      <c r="B334" s="220"/>
      <c r="C334" s="220"/>
      <c r="D334" s="220"/>
      <c r="E334" s="220"/>
      <c r="F334" s="220"/>
      <c r="G334" s="220"/>
      <c r="H334" s="220"/>
      <c r="I334" s="220"/>
    </row>
    <row r="335">
      <c r="B335" s="220"/>
      <c r="C335" s="220"/>
      <c r="D335" s="220"/>
      <c r="E335" s="220"/>
      <c r="F335" s="220"/>
      <c r="G335" s="220"/>
      <c r="H335" s="220"/>
      <c r="I335" s="220"/>
    </row>
    <row r="336">
      <c r="B336" s="220"/>
      <c r="C336" s="220"/>
      <c r="D336" s="220"/>
      <c r="E336" s="220"/>
      <c r="F336" s="220"/>
      <c r="G336" s="220"/>
      <c r="H336" s="220"/>
      <c r="I336" s="220"/>
    </row>
    <row r="337">
      <c r="B337" s="220"/>
      <c r="C337" s="220"/>
      <c r="D337" s="220"/>
      <c r="E337" s="220"/>
      <c r="F337" s="220"/>
      <c r="G337" s="220"/>
      <c r="H337" s="220"/>
      <c r="I337" s="220"/>
    </row>
    <row r="338">
      <c r="B338" s="220"/>
      <c r="C338" s="220"/>
      <c r="D338" s="220"/>
      <c r="E338" s="220"/>
      <c r="F338" s="220"/>
      <c r="G338" s="220"/>
      <c r="H338" s="220"/>
      <c r="I338" s="220"/>
    </row>
    <row r="339">
      <c r="B339" s="220"/>
      <c r="C339" s="220"/>
      <c r="D339" s="220"/>
      <c r="E339" s="220"/>
      <c r="F339" s="220"/>
      <c r="G339" s="220"/>
      <c r="H339" s="220"/>
      <c r="I339" s="220"/>
    </row>
    <row r="340">
      <c r="B340" s="220"/>
      <c r="C340" s="220"/>
      <c r="D340" s="220"/>
      <c r="E340" s="220"/>
      <c r="F340" s="220"/>
      <c r="G340" s="220"/>
      <c r="H340" s="220"/>
      <c r="I340" s="220"/>
    </row>
    <row r="341">
      <c r="B341" s="220"/>
      <c r="C341" s="220"/>
      <c r="D341" s="220"/>
      <c r="E341" s="220"/>
      <c r="F341" s="220"/>
      <c r="G341" s="220"/>
      <c r="H341" s="220"/>
      <c r="I341" s="220"/>
    </row>
    <row r="342">
      <c r="B342" s="220"/>
      <c r="C342" s="220"/>
      <c r="D342" s="220"/>
      <c r="E342" s="220"/>
      <c r="F342" s="220"/>
      <c r="G342" s="220"/>
      <c r="H342" s="220"/>
      <c r="I342" s="220"/>
    </row>
    <row r="343">
      <c r="B343" s="220"/>
      <c r="C343" s="220"/>
      <c r="D343" s="220"/>
      <c r="E343" s="220"/>
      <c r="F343" s="220"/>
      <c r="G343" s="220"/>
      <c r="H343" s="220"/>
      <c r="I343" s="220"/>
    </row>
    <row r="344">
      <c r="B344" s="220"/>
      <c r="C344" s="220"/>
      <c r="D344" s="220"/>
      <c r="E344" s="220"/>
      <c r="F344" s="220"/>
      <c r="G344" s="220"/>
      <c r="H344" s="220"/>
      <c r="I344" s="220"/>
    </row>
    <row r="345">
      <c r="B345" s="220"/>
      <c r="C345" s="220"/>
      <c r="D345" s="220"/>
      <c r="E345" s="220"/>
      <c r="F345" s="220"/>
      <c r="G345" s="220"/>
      <c r="H345" s="220"/>
      <c r="I345" s="220"/>
    </row>
    <row r="346">
      <c r="B346" s="220"/>
      <c r="C346" s="220"/>
      <c r="D346" s="220"/>
      <c r="E346" s="220"/>
      <c r="F346" s="220"/>
      <c r="G346" s="220"/>
      <c r="H346" s="220"/>
      <c r="I346" s="220"/>
    </row>
    <row r="347">
      <c r="B347" s="220"/>
      <c r="C347" s="220"/>
      <c r="D347" s="220"/>
      <c r="E347" s="220"/>
      <c r="F347" s="220"/>
      <c r="G347" s="220"/>
      <c r="H347" s="220"/>
      <c r="I347" s="220"/>
    </row>
    <row r="348">
      <c r="B348" s="220"/>
      <c r="C348" s="220"/>
      <c r="D348" s="220"/>
      <c r="E348" s="220"/>
      <c r="F348" s="220"/>
      <c r="G348" s="220"/>
      <c r="H348" s="220"/>
      <c r="I348" s="220"/>
    </row>
    <row r="349">
      <c r="B349" s="220"/>
      <c r="C349" s="220"/>
      <c r="D349" s="220"/>
      <c r="E349" s="220"/>
      <c r="F349" s="220"/>
      <c r="G349" s="220"/>
      <c r="H349" s="220"/>
      <c r="I349" s="220"/>
    </row>
    <row r="350">
      <c r="B350" s="220"/>
      <c r="C350" s="220"/>
      <c r="D350" s="220"/>
      <c r="E350" s="220"/>
      <c r="F350" s="220"/>
      <c r="G350" s="220"/>
      <c r="H350" s="220"/>
      <c r="I350" s="220"/>
    </row>
    <row r="351">
      <c r="B351" s="220"/>
      <c r="C351" s="220"/>
      <c r="D351" s="220"/>
      <c r="E351" s="220"/>
      <c r="F351" s="220"/>
      <c r="G351" s="220"/>
      <c r="H351" s="220"/>
      <c r="I351" s="220"/>
    </row>
    <row r="352">
      <c r="B352" s="220"/>
      <c r="C352" s="220"/>
      <c r="D352" s="220"/>
      <c r="E352" s="220"/>
      <c r="F352" s="220"/>
      <c r="G352" s="220"/>
      <c r="H352" s="220"/>
      <c r="I352" s="220"/>
    </row>
    <row r="353">
      <c r="B353" s="220"/>
      <c r="C353" s="220"/>
      <c r="D353" s="220"/>
      <c r="E353" s="220"/>
      <c r="F353" s="220"/>
      <c r="G353" s="220"/>
      <c r="H353" s="220"/>
      <c r="I353" s="220"/>
    </row>
    <row r="354">
      <c r="B354" s="220"/>
      <c r="C354" s="220"/>
      <c r="D354" s="220"/>
      <c r="E354" s="220"/>
      <c r="F354" s="220"/>
      <c r="G354" s="220"/>
      <c r="H354" s="220"/>
      <c r="I354" s="220"/>
    </row>
    <row r="355">
      <c r="B355" s="220"/>
      <c r="C355" s="220"/>
      <c r="D355" s="220"/>
      <c r="E355" s="220"/>
      <c r="F355" s="220"/>
      <c r="G355" s="220"/>
      <c r="H355" s="220"/>
      <c r="I355" s="220"/>
    </row>
    <row r="356">
      <c r="B356" s="220"/>
      <c r="C356" s="220"/>
      <c r="D356" s="220"/>
      <c r="E356" s="220"/>
      <c r="F356" s="220"/>
      <c r="G356" s="220"/>
      <c r="H356" s="220"/>
      <c r="I356" s="220"/>
    </row>
    <row r="357">
      <c r="B357" s="220"/>
      <c r="C357" s="220"/>
      <c r="D357" s="220"/>
      <c r="E357" s="220"/>
      <c r="F357" s="220"/>
      <c r="G357" s="220"/>
      <c r="H357" s="220"/>
      <c r="I357" s="220"/>
    </row>
    <row r="358">
      <c r="B358" s="220"/>
      <c r="C358" s="220"/>
      <c r="D358" s="220"/>
      <c r="E358" s="220"/>
      <c r="F358" s="220"/>
      <c r="G358" s="220"/>
      <c r="H358" s="220"/>
      <c r="I358" s="220"/>
    </row>
    <row r="359">
      <c r="B359" s="220"/>
      <c r="C359" s="220"/>
      <c r="D359" s="220"/>
      <c r="E359" s="220"/>
      <c r="F359" s="220"/>
      <c r="G359" s="220"/>
      <c r="H359" s="220"/>
      <c r="I359" s="220"/>
    </row>
    <row r="360">
      <c r="B360" s="220"/>
      <c r="C360" s="220"/>
      <c r="D360" s="220"/>
      <c r="E360" s="220"/>
      <c r="F360" s="220"/>
      <c r="G360" s="220"/>
      <c r="H360" s="220"/>
      <c r="I360" s="220"/>
    </row>
    <row r="361">
      <c r="B361" s="220"/>
      <c r="C361" s="220"/>
      <c r="D361" s="220"/>
      <c r="E361" s="220"/>
      <c r="F361" s="220"/>
      <c r="G361" s="220"/>
      <c r="H361" s="220"/>
      <c r="I361" s="220"/>
    </row>
    <row r="362">
      <c r="B362" s="220"/>
      <c r="C362" s="220"/>
      <c r="D362" s="220"/>
      <c r="E362" s="220"/>
      <c r="F362" s="220"/>
      <c r="G362" s="220"/>
      <c r="H362" s="220"/>
      <c r="I362" s="220"/>
    </row>
    <row r="363">
      <c r="B363" s="220"/>
      <c r="C363" s="220"/>
      <c r="D363" s="220"/>
      <c r="E363" s="220"/>
      <c r="F363" s="220"/>
      <c r="G363" s="220"/>
      <c r="H363" s="220"/>
      <c r="I363" s="220"/>
    </row>
    <row r="364">
      <c r="B364" s="220"/>
      <c r="C364" s="220"/>
      <c r="D364" s="220"/>
      <c r="E364" s="220"/>
      <c r="F364" s="220"/>
      <c r="G364" s="220"/>
      <c r="H364" s="220"/>
      <c r="I364" s="220"/>
    </row>
    <row r="365">
      <c r="B365" s="220"/>
      <c r="C365" s="220"/>
      <c r="D365" s="220"/>
      <c r="E365" s="220"/>
      <c r="F365" s="220"/>
      <c r="G365" s="220"/>
      <c r="H365" s="220"/>
      <c r="I365" s="220"/>
    </row>
    <row r="366">
      <c r="B366" s="220"/>
      <c r="C366" s="220"/>
      <c r="D366" s="220"/>
      <c r="E366" s="220"/>
      <c r="F366" s="220"/>
      <c r="G366" s="220"/>
      <c r="H366" s="220"/>
      <c r="I366" s="220"/>
    </row>
    <row r="367">
      <c r="B367" s="220"/>
      <c r="C367" s="220"/>
      <c r="D367" s="220"/>
      <c r="E367" s="220"/>
      <c r="F367" s="220"/>
      <c r="G367" s="220"/>
      <c r="H367" s="220"/>
      <c r="I367" s="220"/>
    </row>
    <row r="368">
      <c r="B368" s="220"/>
      <c r="C368" s="220"/>
      <c r="D368" s="220"/>
      <c r="E368" s="220"/>
      <c r="F368" s="220"/>
      <c r="G368" s="220"/>
      <c r="H368" s="220"/>
      <c r="I368" s="220"/>
    </row>
    <row r="369">
      <c r="B369" s="220"/>
      <c r="C369" s="220"/>
      <c r="D369" s="220"/>
      <c r="E369" s="220"/>
      <c r="F369" s="220"/>
      <c r="G369" s="220"/>
      <c r="H369" s="220"/>
      <c r="I369" s="220"/>
    </row>
    <row r="370">
      <c r="B370" s="220"/>
      <c r="C370" s="220"/>
      <c r="D370" s="220"/>
      <c r="E370" s="220"/>
      <c r="F370" s="220"/>
      <c r="G370" s="220"/>
      <c r="H370" s="220"/>
      <c r="I370" s="220"/>
    </row>
    <row r="371">
      <c r="B371" s="220"/>
      <c r="C371" s="220"/>
      <c r="D371" s="220"/>
      <c r="E371" s="220"/>
      <c r="F371" s="220"/>
      <c r="G371" s="220"/>
      <c r="H371" s="220"/>
      <c r="I371" s="220"/>
    </row>
    <row r="372">
      <c r="B372" s="220"/>
      <c r="C372" s="220"/>
      <c r="D372" s="220"/>
      <c r="E372" s="220"/>
      <c r="F372" s="220"/>
      <c r="G372" s="220"/>
      <c r="H372" s="220"/>
      <c r="I372" s="220"/>
    </row>
    <row r="373">
      <c r="B373" s="220"/>
      <c r="C373" s="220"/>
      <c r="D373" s="220"/>
      <c r="E373" s="220"/>
      <c r="F373" s="220"/>
      <c r="G373" s="220"/>
      <c r="H373" s="220"/>
      <c r="I373" s="220"/>
    </row>
    <row r="374">
      <c r="B374" s="220"/>
      <c r="C374" s="220"/>
      <c r="D374" s="220"/>
      <c r="E374" s="220"/>
      <c r="F374" s="220"/>
      <c r="G374" s="220"/>
      <c r="H374" s="220"/>
      <c r="I374" s="220"/>
    </row>
    <row r="375">
      <c r="B375" s="220"/>
      <c r="C375" s="220"/>
      <c r="D375" s="220"/>
      <c r="E375" s="220"/>
      <c r="F375" s="220"/>
      <c r="G375" s="220"/>
      <c r="H375" s="220"/>
      <c r="I375" s="220"/>
    </row>
    <row r="376">
      <c r="B376" s="220"/>
      <c r="C376" s="220"/>
      <c r="D376" s="220"/>
      <c r="E376" s="220"/>
      <c r="F376" s="220"/>
      <c r="G376" s="220"/>
      <c r="H376" s="220"/>
      <c r="I376" s="220"/>
    </row>
    <row r="377">
      <c r="B377" s="220"/>
      <c r="C377" s="220"/>
      <c r="D377" s="220"/>
      <c r="E377" s="220"/>
      <c r="F377" s="220"/>
      <c r="G377" s="220"/>
      <c r="H377" s="220"/>
      <c r="I377" s="220"/>
    </row>
    <row r="378">
      <c r="B378" s="220"/>
      <c r="C378" s="220"/>
      <c r="D378" s="220"/>
      <c r="E378" s="220"/>
      <c r="F378" s="220"/>
      <c r="G378" s="220"/>
      <c r="H378" s="220"/>
      <c r="I378" s="220"/>
    </row>
    <row r="379">
      <c r="B379" s="220"/>
      <c r="C379" s="220"/>
      <c r="D379" s="220"/>
      <c r="E379" s="220"/>
      <c r="F379" s="220"/>
      <c r="G379" s="220"/>
      <c r="H379" s="220"/>
      <c r="I379" s="220"/>
    </row>
    <row r="380">
      <c r="B380" s="220"/>
      <c r="C380" s="220"/>
      <c r="D380" s="220"/>
      <c r="E380" s="220"/>
      <c r="F380" s="220"/>
      <c r="G380" s="220"/>
      <c r="H380" s="220"/>
      <c r="I380" s="220"/>
    </row>
    <row r="381">
      <c r="B381" s="220"/>
      <c r="C381" s="220"/>
      <c r="D381" s="220"/>
      <c r="E381" s="220"/>
      <c r="F381" s="220"/>
      <c r="G381" s="220"/>
      <c r="H381" s="220"/>
      <c r="I381" s="220"/>
    </row>
    <row r="382">
      <c r="B382" s="220"/>
      <c r="C382" s="220"/>
      <c r="D382" s="220"/>
      <c r="E382" s="220"/>
      <c r="F382" s="220"/>
      <c r="G382" s="220"/>
      <c r="H382" s="220"/>
      <c r="I382" s="220"/>
    </row>
    <row r="383">
      <c r="B383" s="220"/>
      <c r="C383" s="220"/>
      <c r="D383" s="220"/>
      <c r="E383" s="220"/>
      <c r="F383" s="220"/>
      <c r="G383" s="220"/>
      <c r="H383" s="220"/>
      <c r="I383" s="220"/>
    </row>
    <row r="384">
      <c r="B384" s="220"/>
      <c r="C384" s="220"/>
      <c r="D384" s="220"/>
      <c r="E384" s="220"/>
      <c r="F384" s="220"/>
      <c r="G384" s="220"/>
      <c r="H384" s="220"/>
      <c r="I384" s="220"/>
    </row>
    <row r="385">
      <c r="B385" s="220"/>
      <c r="C385" s="220"/>
      <c r="D385" s="220"/>
      <c r="E385" s="220"/>
      <c r="F385" s="220"/>
      <c r="G385" s="220"/>
      <c r="H385" s="220"/>
      <c r="I385" s="220"/>
    </row>
    <row r="386">
      <c r="B386" s="220"/>
      <c r="C386" s="220"/>
      <c r="D386" s="220"/>
      <c r="E386" s="220"/>
      <c r="F386" s="220"/>
      <c r="G386" s="220"/>
      <c r="H386" s="220"/>
      <c r="I386" s="220"/>
    </row>
    <row r="387">
      <c r="B387" s="220"/>
      <c r="C387" s="220"/>
      <c r="D387" s="220"/>
      <c r="E387" s="220"/>
      <c r="F387" s="220"/>
      <c r="G387" s="220"/>
      <c r="H387" s="220"/>
      <c r="I387" s="220"/>
    </row>
    <row r="388">
      <c r="B388" s="220"/>
      <c r="C388" s="220"/>
      <c r="D388" s="220"/>
      <c r="E388" s="220"/>
      <c r="F388" s="220"/>
      <c r="G388" s="220"/>
      <c r="H388" s="220"/>
      <c r="I388" s="220"/>
    </row>
    <row r="389">
      <c r="B389" s="220"/>
      <c r="C389" s="220"/>
      <c r="D389" s="220"/>
      <c r="E389" s="220"/>
      <c r="F389" s="220"/>
      <c r="G389" s="220"/>
      <c r="H389" s="220"/>
      <c r="I389" s="220"/>
    </row>
    <row r="390">
      <c r="B390" s="220"/>
      <c r="C390" s="220"/>
      <c r="D390" s="220"/>
      <c r="E390" s="220"/>
      <c r="F390" s="220"/>
      <c r="G390" s="220"/>
      <c r="H390" s="220"/>
      <c r="I390" s="220"/>
    </row>
    <row r="391">
      <c r="B391" s="220"/>
      <c r="C391" s="220"/>
      <c r="D391" s="220"/>
      <c r="E391" s="220"/>
      <c r="F391" s="220"/>
      <c r="G391" s="220"/>
      <c r="H391" s="220"/>
      <c r="I391" s="220"/>
    </row>
    <row r="392">
      <c r="B392" s="220"/>
      <c r="C392" s="220"/>
      <c r="D392" s="220"/>
      <c r="E392" s="220"/>
      <c r="F392" s="220"/>
      <c r="G392" s="220"/>
      <c r="H392" s="220"/>
      <c r="I392" s="220"/>
    </row>
    <row r="393">
      <c r="B393" s="220"/>
      <c r="C393" s="220"/>
      <c r="D393" s="220"/>
      <c r="E393" s="220"/>
      <c r="F393" s="220"/>
      <c r="G393" s="220"/>
      <c r="H393" s="220"/>
      <c r="I393" s="220"/>
    </row>
    <row r="394">
      <c r="B394" s="220"/>
      <c r="C394" s="220"/>
      <c r="D394" s="220"/>
      <c r="E394" s="220"/>
      <c r="F394" s="220"/>
      <c r="G394" s="220"/>
      <c r="H394" s="220"/>
      <c r="I394" s="220"/>
    </row>
    <row r="395">
      <c r="B395" s="220"/>
      <c r="C395" s="220"/>
      <c r="D395" s="220"/>
      <c r="E395" s="220"/>
      <c r="F395" s="220"/>
      <c r="G395" s="220"/>
      <c r="H395" s="220"/>
      <c r="I395" s="220"/>
    </row>
    <row r="396">
      <c r="B396" s="220"/>
      <c r="C396" s="220"/>
      <c r="D396" s="220"/>
      <c r="E396" s="220"/>
      <c r="F396" s="220"/>
      <c r="G396" s="220"/>
      <c r="H396" s="220"/>
      <c r="I396" s="220"/>
    </row>
    <row r="397">
      <c r="B397" s="220"/>
      <c r="C397" s="220"/>
      <c r="D397" s="220"/>
      <c r="E397" s="220"/>
      <c r="F397" s="220"/>
      <c r="G397" s="220"/>
      <c r="H397" s="220"/>
      <c r="I397" s="220"/>
    </row>
    <row r="398">
      <c r="B398" s="220"/>
      <c r="C398" s="220"/>
      <c r="D398" s="220"/>
      <c r="E398" s="220"/>
      <c r="F398" s="220"/>
      <c r="G398" s="220"/>
      <c r="H398" s="220"/>
      <c r="I398" s="220"/>
    </row>
    <row r="399">
      <c r="B399" s="220"/>
      <c r="C399" s="220"/>
      <c r="D399" s="220"/>
      <c r="E399" s="220"/>
      <c r="F399" s="220"/>
      <c r="G399" s="220"/>
      <c r="H399" s="220"/>
      <c r="I399" s="220"/>
    </row>
    <row r="400">
      <c r="B400" s="220"/>
      <c r="C400" s="220"/>
      <c r="D400" s="220"/>
      <c r="E400" s="220"/>
      <c r="F400" s="220"/>
      <c r="G400" s="220"/>
      <c r="H400" s="220"/>
      <c r="I400" s="220"/>
    </row>
    <row r="401">
      <c r="B401" s="220"/>
      <c r="C401" s="220"/>
      <c r="D401" s="220"/>
      <c r="E401" s="220"/>
      <c r="F401" s="220"/>
      <c r="G401" s="220"/>
      <c r="H401" s="220"/>
      <c r="I401" s="220"/>
    </row>
    <row r="402">
      <c r="B402" s="220"/>
      <c r="C402" s="220"/>
      <c r="D402" s="220"/>
      <c r="E402" s="220"/>
      <c r="F402" s="220"/>
      <c r="G402" s="220"/>
      <c r="H402" s="220"/>
      <c r="I402" s="220"/>
    </row>
    <row r="403">
      <c r="B403" s="220"/>
      <c r="C403" s="220"/>
      <c r="D403" s="220"/>
      <c r="E403" s="220"/>
      <c r="F403" s="220"/>
      <c r="G403" s="220"/>
      <c r="H403" s="220"/>
      <c r="I403" s="220"/>
    </row>
    <row r="404">
      <c r="B404" s="220"/>
      <c r="C404" s="220"/>
      <c r="D404" s="220"/>
      <c r="E404" s="220"/>
      <c r="F404" s="220"/>
      <c r="G404" s="220"/>
      <c r="H404" s="220"/>
      <c r="I404" s="220"/>
    </row>
    <row r="405">
      <c r="B405" s="220"/>
      <c r="C405" s="220"/>
      <c r="D405" s="220"/>
      <c r="E405" s="220"/>
      <c r="F405" s="220"/>
      <c r="G405" s="220"/>
      <c r="H405" s="220"/>
      <c r="I405" s="220"/>
    </row>
    <row r="406">
      <c r="B406" s="220"/>
      <c r="C406" s="220"/>
      <c r="D406" s="220"/>
      <c r="E406" s="220"/>
      <c r="F406" s="220"/>
      <c r="G406" s="220"/>
      <c r="H406" s="220"/>
      <c r="I406" s="220"/>
    </row>
    <row r="407">
      <c r="B407" s="220"/>
      <c r="C407" s="220"/>
      <c r="D407" s="220"/>
      <c r="E407" s="220"/>
      <c r="F407" s="220"/>
      <c r="G407" s="220"/>
      <c r="H407" s="220"/>
      <c r="I407" s="220"/>
    </row>
    <row r="408">
      <c r="B408" s="220"/>
      <c r="C408" s="220"/>
      <c r="D408" s="220"/>
      <c r="E408" s="220"/>
      <c r="F408" s="220"/>
      <c r="G408" s="220"/>
      <c r="H408" s="220"/>
      <c r="I408" s="220"/>
    </row>
    <row r="409">
      <c r="B409" s="220"/>
      <c r="C409" s="220"/>
      <c r="D409" s="220"/>
      <c r="E409" s="220"/>
      <c r="F409" s="220"/>
      <c r="G409" s="220"/>
      <c r="H409" s="220"/>
      <c r="I409" s="220"/>
    </row>
    <row r="410">
      <c r="B410" s="220"/>
      <c r="C410" s="220"/>
      <c r="D410" s="220"/>
      <c r="E410" s="220"/>
      <c r="F410" s="220"/>
      <c r="G410" s="220"/>
      <c r="H410" s="220"/>
      <c r="I410" s="220"/>
    </row>
    <row r="411">
      <c r="B411" s="220"/>
      <c r="C411" s="220"/>
      <c r="D411" s="220"/>
      <c r="E411" s="220"/>
      <c r="F411" s="220"/>
      <c r="G411" s="220"/>
      <c r="H411" s="220"/>
      <c r="I411" s="220"/>
    </row>
    <row r="412">
      <c r="B412" s="220"/>
      <c r="C412" s="220"/>
      <c r="D412" s="220"/>
      <c r="E412" s="220"/>
      <c r="F412" s="220"/>
      <c r="G412" s="220"/>
      <c r="H412" s="220"/>
      <c r="I412" s="220"/>
    </row>
    <row r="413">
      <c r="B413" s="220"/>
      <c r="C413" s="220"/>
      <c r="D413" s="220"/>
      <c r="E413" s="220"/>
      <c r="F413" s="220"/>
      <c r="G413" s="220"/>
      <c r="H413" s="220"/>
      <c r="I413" s="220"/>
    </row>
    <row r="414">
      <c r="B414" s="220"/>
      <c r="C414" s="220"/>
      <c r="D414" s="220"/>
      <c r="E414" s="220"/>
      <c r="F414" s="220"/>
      <c r="G414" s="220"/>
      <c r="H414" s="220"/>
      <c r="I414" s="220"/>
    </row>
    <row r="415">
      <c r="B415" s="220"/>
      <c r="C415" s="220"/>
      <c r="D415" s="220"/>
      <c r="E415" s="220"/>
      <c r="F415" s="220"/>
      <c r="G415" s="220"/>
      <c r="H415" s="220"/>
      <c r="I415" s="220"/>
    </row>
    <row r="416">
      <c r="B416" s="220"/>
      <c r="C416" s="220"/>
      <c r="D416" s="220"/>
      <c r="E416" s="220"/>
      <c r="F416" s="220"/>
      <c r="G416" s="220"/>
      <c r="H416" s="220"/>
      <c r="I416" s="220"/>
    </row>
    <row r="417">
      <c r="B417" s="220"/>
      <c r="C417" s="220"/>
      <c r="D417" s="220"/>
      <c r="E417" s="220"/>
      <c r="F417" s="220"/>
      <c r="G417" s="220"/>
      <c r="H417" s="220"/>
      <c r="I417" s="220"/>
    </row>
    <row r="418">
      <c r="B418" s="220"/>
      <c r="C418" s="220"/>
      <c r="D418" s="220"/>
      <c r="E418" s="220"/>
      <c r="F418" s="220"/>
      <c r="G418" s="220"/>
      <c r="H418" s="220"/>
      <c r="I418" s="220"/>
    </row>
    <row r="419">
      <c r="B419" s="220"/>
      <c r="C419" s="220"/>
      <c r="D419" s="220"/>
      <c r="E419" s="220"/>
      <c r="F419" s="220"/>
      <c r="G419" s="220"/>
      <c r="H419" s="220"/>
      <c r="I419" s="220"/>
    </row>
    <row r="420">
      <c r="B420" s="220"/>
      <c r="C420" s="220"/>
      <c r="D420" s="220"/>
      <c r="E420" s="220"/>
      <c r="F420" s="220"/>
      <c r="G420" s="220"/>
      <c r="H420" s="220"/>
      <c r="I420" s="220"/>
    </row>
    <row r="421">
      <c r="B421" s="220"/>
      <c r="C421" s="220"/>
      <c r="D421" s="220"/>
      <c r="E421" s="220"/>
      <c r="F421" s="220"/>
      <c r="G421" s="220"/>
      <c r="H421" s="220"/>
      <c r="I421" s="220"/>
    </row>
    <row r="422">
      <c r="B422" s="220"/>
      <c r="C422" s="220"/>
      <c r="D422" s="220"/>
      <c r="E422" s="220"/>
      <c r="F422" s="220"/>
      <c r="G422" s="220"/>
      <c r="H422" s="220"/>
      <c r="I422" s="220"/>
    </row>
    <row r="423">
      <c r="B423" s="220"/>
      <c r="C423" s="220"/>
      <c r="D423" s="220"/>
      <c r="E423" s="220"/>
      <c r="F423" s="220"/>
      <c r="G423" s="220"/>
      <c r="H423" s="220"/>
      <c r="I423" s="220"/>
    </row>
    <row r="424">
      <c r="B424" s="220"/>
      <c r="C424" s="220"/>
      <c r="D424" s="220"/>
      <c r="E424" s="220"/>
      <c r="F424" s="220"/>
      <c r="G424" s="220"/>
      <c r="H424" s="220"/>
      <c r="I424" s="220"/>
    </row>
    <row r="425">
      <c r="B425" s="220"/>
      <c r="C425" s="220"/>
      <c r="D425" s="220"/>
      <c r="E425" s="220"/>
      <c r="F425" s="220"/>
      <c r="G425" s="220"/>
      <c r="H425" s="220"/>
      <c r="I425" s="220"/>
    </row>
    <row r="426">
      <c r="B426" s="220"/>
      <c r="C426" s="220"/>
      <c r="D426" s="220"/>
      <c r="E426" s="220"/>
      <c r="F426" s="220"/>
      <c r="G426" s="220"/>
      <c r="H426" s="220"/>
      <c r="I426" s="220"/>
    </row>
    <row r="427">
      <c r="B427" s="220"/>
      <c r="C427" s="220"/>
      <c r="D427" s="220"/>
      <c r="E427" s="220"/>
      <c r="F427" s="220"/>
      <c r="G427" s="220"/>
      <c r="H427" s="220"/>
      <c r="I427" s="220"/>
    </row>
    <row r="428">
      <c r="B428" s="220"/>
      <c r="C428" s="220"/>
      <c r="D428" s="220"/>
      <c r="E428" s="220"/>
      <c r="F428" s="220"/>
      <c r="G428" s="220"/>
      <c r="H428" s="220"/>
      <c r="I428" s="220"/>
    </row>
    <row r="429">
      <c r="B429" s="220"/>
      <c r="C429" s="220"/>
      <c r="D429" s="220"/>
      <c r="E429" s="220"/>
      <c r="F429" s="220"/>
      <c r="G429" s="220"/>
      <c r="H429" s="220"/>
      <c r="I429" s="220"/>
    </row>
    <row r="430">
      <c r="B430" s="220"/>
      <c r="C430" s="220"/>
      <c r="D430" s="220"/>
      <c r="E430" s="220"/>
      <c r="F430" s="220"/>
      <c r="G430" s="220"/>
      <c r="H430" s="220"/>
      <c r="I430" s="220"/>
    </row>
    <row r="431">
      <c r="B431" s="220"/>
      <c r="C431" s="220"/>
      <c r="D431" s="220"/>
      <c r="E431" s="220"/>
      <c r="F431" s="220"/>
      <c r="G431" s="220"/>
      <c r="H431" s="220"/>
      <c r="I431" s="220"/>
    </row>
    <row r="432">
      <c r="B432" s="220"/>
      <c r="C432" s="220"/>
      <c r="D432" s="220"/>
      <c r="E432" s="220"/>
      <c r="F432" s="220"/>
      <c r="G432" s="220"/>
      <c r="H432" s="220"/>
      <c r="I432" s="220"/>
    </row>
    <row r="433">
      <c r="B433" s="220"/>
      <c r="C433" s="220"/>
      <c r="D433" s="220"/>
      <c r="E433" s="220"/>
      <c r="F433" s="220"/>
      <c r="G433" s="220"/>
      <c r="H433" s="220"/>
      <c r="I433" s="220"/>
    </row>
    <row r="434">
      <c r="B434" s="220"/>
      <c r="C434" s="220"/>
      <c r="D434" s="220"/>
      <c r="E434" s="220"/>
      <c r="F434" s="220"/>
      <c r="G434" s="220"/>
      <c r="H434" s="220"/>
      <c r="I434" s="220"/>
    </row>
    <row r="435">
      <c r="B435" s="220"/>
      <c r="C435" s="220"/>
      <c r="D435" s="220"/>
      <c r="E435" s="220"/>
      <c r="F435" s="220"/>
      <c r="G435" s="220"/>
      <c r="H435" s="220"/>
      <c r="I435" s="220"/>
    </row>
    <row r="436">
      <c r="B436" s="220"/>
      <c r="C436" s="220"/>
      <c r="D436" s="220"/>
      <c r="E436" s="220"/>
      <c r="F436" s="220"/>
      <c r="G436" s="220"/>
      <c r="H436" s="220"/>
      <c r="I436" s="220"/>
    </row>
    <row r="437">
      <c r="B437" s="220"/>
      <c r="C437" s="220"/>
      <c r="D437" s="220"/>
      <c r="E437" s="220"/>
      <c r="F437" s="220"/>
      <c r="G437" s="220"/>
      <c r="H437" s="220"/>
      <c r="I437" s="220"/>
    </row>
    <row r="438">
      <c r="B438" s="220"/>
      <c r="C438" s="220"/>
      <c r="D438" s="220"/>
      <c r="E438" s="220"/>
      <c r="F438" s="220"/>
      <c r="G438" s="220"/>
      <c r="H438" s="220"/>
      <c r="I438" s="220"/>
    </row>
    <row r="439">
      <c r="B439" s="220"/>
      <c r="C439" s="220"/>
      <c r="D439" s="220"/>
      <c r="E439" s="220"/>
      <c r="F439" s="220"/>
      <c r="G439" s="220"/>
      <c r="H439" s="220"/>
      <c r="I439" s="220"/>
    </row>
    <row r="440">
      <c r="B440" s="220"/>
      <c r="C440" s="220"/>
      <c r="D440" s="220"/>
      <c r="E440" s="220"/>
      <c r="F440" s="220"/>
      <c r="G440" s="220"/>
      <c r="H440" s="220"/>
      <c r="I440" s="220"/>
    </row>
    <row r="441">
      <c r="B441" s="220"/>
      <c r="C441" s="220"/>
      <c r="D441" s="220"/>
      <c r="E441" s="220"/>
      <c r="F441" s="220"/>
      <c r="G441" s="220"/>
      <c r="H441" s="220"/>
      <c r="I441" s="220"/>
    </row>
    <row r="442">
      <c r="B442" s="220"/>
      <c r="C442" s="220"/>
      <c r="D442" s="220"/>
      <c r="E442" s="220"/>
      <c r="F442" s="220"/>
      <c r="G442" s="220"/>
      <c r="H442" s="220"/>
      <c r="I442" s="220"/>
    </row>
    <row r="443">
      <c r="B443" s="220"/>
      <c r="C443" s="220"/>
      <c r="D443" s="220"/>
      <c r="E443" s="220"/>
      <c r="F443" s="220"/>
      <c r="G443" s="220"/>
      <c r="H443" s="220"/>
      <c r="I443" s="220"/>
    </row>
    <row r="444">
      <c r="B444" s="220"/>
      <c r="C444" s="220"/>
      <c r="D444" s="220"/>
      <c r="E444" s="220"/>
      <c r="F444" s="220"/>
      <c r="G444" s="220"/>
      <c r="H444" s="220"/>
      <c r="I444" s="220"/>
    </row>
    <row r="445">
      <c r="B445" s="220"/>
      <c r="C445" s="220"/>
      <c r="D445" s="220"/>
      <c r="E445" s="220"/>
      <c r="F445" s="220"/>
      <c r="G445" s="220"/>
      <c r="H445" s="220"/>
      <c r="I445" s="220"/>
    </row>
    <row r="446">
      <c r="B446" s="220"/>
      <c r="C446" s="220"/>
      <c r="D446" s="220"/>
      <c r="E446" s="220"/>
      <c r="F446" s="220"/>
      <c r="G446" s="220"/>
      <c r="H446" s="220"/>
      <c r="I446" s="220"/>
    </row>
    <row r="447">
      <c r="B447" s="220"/>
      <c r="C447" s="220"/>
      <c r="D447" s="220"/>
      <c r="E447" s="220"/>
      <c r="F447" s="220"/>
      <c r="G447" s="220"/>
      <c r="H447" s="220"/>
      <c r="I447" s="220"/>
    </row>
    <row r="448">
      <c r="B448" s="220"/>
      <c r="C448" s="220"/>
      <c r="D448" s="220"/>
      <c r="E448" s="220"/>
      <c r="F448" s="220"/>
      <c r="G448" s="220"/>
      <c r="H448" s="220"/>
      <c r="I448" s="220"/>
    </row>
    <row r="449">
      <c r="B449" s="220"/>
      <c r="C449" s="220"/>
      <c r="D449" s="220"/>
      <c r="E449" s="220"/>
      <c r="F449" s="220"/>
      <c r="G449" s="220"/>
      <c r="H449" s="220"/>
      <c r="I449" s="220"/>
    </row>
    <row r="450">
      <c r="B450" s="220"/>
      <c r="C450" s="220"/>
      <c r="D450" s="220"/>
      <c r="E450" s="220"/>
      <c r="F450" s="220"/>
      <c r="G450" s="220"/>
      <c r="H450" s="220"/>
      <c r="I450" s="220"/>
    </row>
    <row r="451">
      <c r="B451" s="220"/>
      <c r="C451" s="220"/>
      <c r="D451" s="220"/>
      <c r="E451" s="220"/>
      <c r="F451" s="220"/>
      <c r="G451" s="220"/>
      <c r="H451" s="220"/>
      <c r="I451" s="220"/>
    </row>
    <row r="452">
      <c r="B452" s="220"/>
      <c r="C452" s="220"/>
      <c r="D452" s="220"/>
      <c r="E452" s="220"/>
      <c r="F452" s="220"/>
      <c r="G452" s="220"/>
      <c r="H452" s="220"/>
      <c r="I452" s="220"/>
    </row>
    <row r="453">
      <c r="B453" s="220"/>
      <c r="C453" s="220"/>
      <c r="D453" s="220"/>
      <c r="E453" s="220"/>
      <c r="F453" s="220"/>
      <c r="G453" s="220"/>
      <c r="H453" s="220"/>
      <c r="I453" s="220"/>
    </row>
    <row r="454">
      <c r="B454" s="220"/>
      <c r="C454" s="220"/>
      <c r="D454" s="220"/>
      <c r="E454" s="220"/>
      <c r="F454" s="220"/>
      <c r="G454" s="220"/>
      <c r="H454" s="220"/>
      <c r="I454" s="220"/>
    </row>
    <row r="455">
      <c r="B455" s="220"/>
      <c r="C455" s="220"/>
      <c r="D455" s="220"/>
      <c r="E455" s="220"/>
      <c r="F455" s="220"/>
      <c r="G455" s="220"/>
      <c r="H455" s="220"/>
      <c r="I455" s="220"/>
    </row>
    <row r="456">
      <c r="B456" s="220"/>
      <c r="C456" s="220"/>
      <c r="D456" s="220"/>
      <c r="E456" s="220"/>
      <c r="F456" s="220"/>
      <c r="G456" s="220"/>
      <c r="H456" s="220"/>
      <c r="I456" s="220"/>
    </row>
    <row r="457">
      <c r="B457" s="220"/>
      <c r="C457" s="220"/>
      <c r="D457" s="220"/>
      <c r="E457" s="220"/>
      <c r="F457" s="220"/>
      <c r="G457" s="220"/>
      <c r="H457" s="220"/>
      <c r="I457" s="220"/>
    </row>
    <row r="458">
      <c r="B458" s="220"/>
      <c r="C458" s="220"/>
      <c r="D458" s="220"/>
      <c r="E458" s="220"/>
      <c r="F458" s="220"/>
      <c r="G458" s="220"/>
      <c r="H458" s="220"/>
      <c r="I458" s="220"/>
    </row>
    <row r="459">
      <c r="B459" s="220"/>
      <c r="C459" s="220"/>
      <c r="D459" s="220"/>
      <c r="E459" s="220"/>
      <c r="F459" s="220"/>
      <c r="G459" s="220"/>
      <c r="H459" s="220"/>
      <c r="I459" s="220"/>
    </row>
    <row r="460">
      <c r="B460" s="220"/>
      <c r="C460" s="220"/>
      <c r="D460" s="220"/>
      <c r="E460" s="220"/>
      <c r="F460" s="220"/>
      <c r="G460" s="220"/>
      <c r="H460" s="220"/>
      <c r="I460" s="220"/>
    </row>
    <row r="461">
      <c r="B461" s="220"/>
      <c r="C461" s="220"/>
      <c r="D461" s="220"/>
      <c r="E461" s="220"/>
      <c r="F461" s="220"/>
      <c r="G461" s="220"/>
      <c r="H461" s="220"/>
      <c r="I461" s="220"/>
    </row>
    <row r="462">
      <c r="B462" s="220"/>
      <c r="C462" s="220"/>
      <c r="D462" s="220"/>
      <c r="E462" s="220"/>
      <c r="F462" s="220"/>
      <c r="G462" s="220"/>
      <c r="H462" s="220"/>
      <c r="I462" s="220"/>
    </row>
    <row r="463">
      <c r="B463" s="220"/>
      <c r="C463" s="220"/>
      <c r="D463" s="220"/>
      <c r="E463" s="220"/>
      <c r="F463" s="220"/>
      <c r="G463" s="220"/>
      <c r="H463" s="220"/>
      <c r="I463" s="220"/>
    </row>
    <row r="464">
      <c r="B464" s="220"/>
      <c r="C464" s="220"/>
      <c r="D464" s="220"/>
      <c r="E464" s="220"/>
      <c r="F464" s="220"/>
      <c r="G464" s="220"/>
      <c r="H464" s="220"/>
      <c r="I464" s="220"/>
    </row>
    <row r="465">
      <c r="B465" s="220"/>
      <c r="C465" s="220"/>
      <c r="D465" s="220"/>
      <c r="E465" s="220"/>
      <c r="F465" s="220"/>
      <c r="G465" s="220"/>
      <c r="H465" s="220"/>
      <c r="I465" s="220"/>
    </row>
    <row r="466">
      <c r="B466" s="220"/>
      <c r="C466" s="220"/>
      <c r="D466" s="220"/>
      <c r="E466" s="220"/>
      <c r="F466" s="220"/>
      <c r="G466" s="220"/>
      <c r="H466" s="220"/>
      <c r="I466" s="220"/>
    </row>
    <row r="467">
      <c r="B467" s="220"/>
      <c r="C467" s="220"/>
      <c r="D467" s="220"/>
      <c r="E467" s="220"/>
      <c r="F467" s="220"/>
      <c r="G467" s="220"/>
      <c r="H467" s="220"/>
      <c r="I467" s="220"/>
    </row>
    <row r="468">
      <c r="B468" s="220"/>
      <c r="C468" s="220"/>
      <c r="D468" s="220"/>
      <c r="E468" s="220"/>
      <c r="F468" s="220"/>
      <c r="G468" s="220"/>
      <c r="H468" s="220"/>
      <c r="I468" s="220"/>
    </row>
    <row r="469">
      <c r="B469" s="220"/>
      <c r="C469" s="220"/>
      <c r="D469" s="220"/>
      <c r="E469" s="220"/>
      <c r="F469" s="220"/>
      <c r="G469" s="220"/>
      <c r="H469" s="220"/>
      <c r="I469" s="220"/>
    </row>
    <row r="470">
      <c r="B470" s="220"/>
      <c r="C470" s="220"/>
      <c r="D470" s="220"/>
      <c r="E470" s="220"/>
      <c r="F470" s="220"/>
      <c r="G470" s="220"/>
      <c r="H470" s="220"/>
      <c r="I470" s="220"/>
    </row>
    <row r="471">
      <c r="B471" s="220"/>
      <c r="C471" s="220"/>
      <c r="D471" s="220"/>
      <c r="E471" s="220"/>
      <c r="F471" s="220"/>
      <c r="G471" s="220"/>
      <c r="H471" s="220"/>
      <c r="I471" s="220"/>
    </row>
    <row r="472">
      <c r="B472" s="220"/>
      <c r="C472" s="220"/>
      <c r="D472" s="220"/>
      <c r="E472" s="220"/>
      <c r="F472" s="220"/>
      <c r="G472" s="220"/>
      <c r="H472" s="220"/>
      <c r="I472" s="220"/>
    </row>
    <row r="473">
      <c r="B473" s="220"/>
      <c r="C473" s="220"/>
      <c r="D473" s="220"/>
      <c r="E473" s="220"/>
      <c r="F473" s="220"/>
      <c r="G473" s="220"/>
      <c r="H473" s="220"/>
      <c r="I473" s="220"/>
    </row>
    <row r="474">
      <c r="B474" s="220"/>
      <c r="C474" s="220"/>
      <c r="D474" s="220"/>
      <c r="E474" s="220"/>
      <c r="F474" s="220"/>
      <c r="G474" s="220"/>
      <c r="H474" s="220"/>
      <c r="I474" s="220"/>
    </row>
    <row r="475">
      <c r="B475" s="220"/>
      <c r="C475" s="220"/>
      <c r="D475" s="220"/>
      <c r="E475" s="220"/>
      <c r="F475" s="220"/>
      <c r="G475" s="220"/>
      <c r="H475" s="220"/>
      <c r="I475" s="220"/>
    </row>
    <row r="476">
      <c r="B476" s="220"/>
      <c r="C476" s="220"/>
      <c r="D476" s="220"/>
      <c r="E476" s="220"/>
      <c r="F476" s="220"/>
      <c r="G476" s="220"/>
      <c r="H476" s="220"/>
      <c r="I476" s="220"/>
    </row>
    <row r="477">
      <c r="B477" s="220"/>
      <c r="C477" s="220"/>
      <c r="D477" s="220"/>
      <c r="E477" s="220"/>
      <c r="F477" s="220"/>
      <c r="G477" s="220"/>
      <c r="H477" s="220"/>
      <c r="I477" s="220"/>
    </row>
    <row r="478">
      <c r="B478" s="220"/>
      <c r="C478" s="220"/>
      <c r="D478" s="220"/>
      <c r="E478" s="220"/>
      <c r="F478" s="220"/>
      <c r="G478" s="220"/>
      <c r="H478" s="220"/>
      <c r="I478" s="220"/>
    </row>
    <row r="479">
      <c r="B479" s="220"/>
      <c r="C479" s="220"/>
      <c r="D479" s="220"/>
      <c r="E479" s="220"/>
      <c r="F479" s="220"/>
      <c r="G479" s="220"/>
      <c r="H479" s="220"/>
      <c r="I479" s="220"/>
    </row>
    <row r="480">
      <c r="B480" s="220"/>
      <c r="C480" s="220"/>
      <c r="D480" s="220"/>
      <c r="E480" s="220"/>
      <c r="F480" s="220"/>
      <c r="G480" s="220"/>
      <c r="H480" s="220"/>
      <c r="I480" s="220"/>
    </row>
    <row r="481">
      <c r="B481" s="220"/>
      <c r="C481" s="220"/>
      <c r="D481" s="220"/>
      <c r="E481" s="220"/>
      <c r="F481" s="220"/>
      <c r="G481" s="220"/>
      <c r="H481" s="220"/>
      <c r="I481" s="220"/>
    </row>
    <row r="482">
      <c r="B482" s="220"/>
      <c r="C482" s="220"/>
      <c r="D482" s="220"/>
      <c r="E482" s="220"/>
      <c r="F482" s="220"/>
      <c r="G482" s="220"/>
      <c r="H482" s="220"/>
      <c r="I482" s="220"/>
    </row>
    <row r="483">
      <c r="B483" s="220"/>
      <c r="C483" s="220"/>
      <c r="D483" s="220"/>
      <c r="E483" s="220"/>
      <c r="F483" s="220"/>
      <c r="G483" s="220"/>
      <c r="H483" s="220"/>
      <c r="I483" s="220"/>
    </row>
    <row r="484">
      <c r="B484" s="220"/>
      <c r="C484" s="220"/>
      <c r="D484" s="220"/>
      <c r="E484" s="220"/>
      <c r="F484" s="220"/>
      <c r="G484" s="220"/>
      <c r="H484" s="220"/>
      <c r="I484" s="220"/>
    </row>
    <row r="485">
      <c r="B485" s="220"/>
      <c r="C485" s="220"/>
      <c r="D485" s="220"/>
      <c r="E485" s="220"/>
      <c r="F485" s="220"/>
      <c r="G485" s="220"/>
      <c r="H485" s="220"/>
      <c r="I485" s="220"/>
    </row>
    <row r="486">
      <c r="B486" s="220"/>
      <c r="C486" s="220"/>
      <c r="D486" s="220"/>
      <c r="E486" s="220"/>
      <c r="F486" s="220"/>
      <c r="G486" s="220"/>
      <c r="H486" s="220"/>
      <c r="I486" s="220"/>
    </row>
    <row r="487">
      <c r="B487" s="220"/>
      <c r="C487" s="220"/>
      <c r="D487" s="220"/>
      <c r="E487" s="220"/>
      <c r="F487" s="220"/>
      <c r="G487" s="220"/>
      <c r="H487" s="220"/>
      <c r="I487" s="220"/>
    </row>
    <row r="488">
      <c r="B488" s="220"/>
      <c r="C488" s="220"/>
      <c r="D488" s="220"/>
      <c r="E488" s="220"/>
      <c r="F488" s="220"/>
      <c r="G488" s="220"/>
      <c r="H488" s="220"/>
      <c r="I488" s="220"/>
    </row>
    <row r="489">
      <c r="B489" s="220"/>
      <c r="C489" s="220"/>
      <c r="D489" s="220"/>
      <c r="E489" s="220"/>
      <c r="F489" s="220"/>
      <c r="G489" s="220"/>
      <c r="H489" s="220"/>
      <c r="I489" s="220"/>
    </row>
    <row r="490">
      <c r="B490" s="220"/>
      <c r="C490" s="220"/>
      <c r="D490" s="220"/>
      <c r="E490" s="220"/>
      <c r="F490" s="220"/>
      <c r="G490" s="220"/>
      <c r="H490" s="220"/>
      <c r="I490" s="220"/>
    </row>
    <row r="491">
      <c r="B491" s="220"/>
      <c r="C491" s="220"/>
      <c r="D491" s="220"/>
      <c r="E491" s="220"/>
      <c r="F491" s="220"/>
      <c r="G491" s="220"/>
      <c r="H491" s="220"/>
      <c r="I491" s="220"/>
    </row>
    <row r="492">
      <c r="B492" s="220"/>
      <c r="C492" s="220"/>
      <c r="D492" s="220"/>
      <c r="E492" s="220"/>
      <c r="F492" s="220"/>
      <c r="G492" s="220"/>
      <c r="H492" s="220"/>
      <c r="I492" s="220"/>
    </row>
    <row r="493">
      <c r="B493" s="220"/>
      <c r="C493" s="220"/>
      <c r="D493" s="220"/>
      <c r="E493" s="220"/>
      <c r="F493" s="220"/>
      <c r="G493" s="220"/>
      <c r="H493" s="220"/>
      <c r="I493" s="220"/>
    </row>
    <row r="494">
      <c r="B494" s="220"/>
      <c r="C494" s="220"/>
      <c r="D494" s="220"/>
      <c r="E494" s="220"/>
      <c r="F494" s="220"/>
      <c r="G494" s="220"/>
      <c r="H494" s="220"/>
      <c r="I494" s="220"/>
    </row>
    <row r="495">
      <c r="B495" s="220"/>
      <c r="C495" s="220"/>
      <c r="D495" s="220"/>
      <c r="E495" s="220"/>
      <c r="F495" s="220"/>
      <c r="G495" s="220"/>
      <c r="H495" s="220"/>
      <c r="I495" s="220"/>
    </row>
    <row r="496">
      <c r="B496" s="220"/>
      <c r="C496" s="220"/>
      <c r="D496" s="220"/>
      <c r="E496" s="220"/>
      <c r="F496" s="220"/>
      <c r="G496" s="220"/>
      <c r="H496" s="220"/>
      <c r="I496" s="220"/>
    </row>
    <row r="497">
      <c r="B497" s="220"/>
      <c r="C497" s="220"/>
      <c r="D497" s="220"/>
      <c r="E497" s="220"/>
      <c r="F497" s="220"/>
      <c r="G497" s="220"/>
      <c r="H497" s="220"/>
      <c r="I497" s="220"/>
    </row>
    <row r="498">
      <c r="B498" s="220"/>
      <c r="C498" s="220"/>
      <c r="D498" s="220"/>
      <c r="E498" s="220"/>
      <c r="F498" s="220"/>
      <c r="G498" s="220"/>
      <c r="H498" s="220"/>
      <c r="I498" s="220"/>
    </row>
    <row r="499">
      <c r="B499" s="220"/>
      <c r="C499" s="220"/>
      <c r="D499" s="220"/>
      <c r="E499" s="220"/>
      <c r="F499" s="220"/>
      <c r="G499" s="220"/>
      <c r="H499" s="220"/>
      <c r="I499" s="220"/>
    </row>
    <row r="500">
      <c r="B500" s="220"/>
      <c r="C500" s="220"/>
      <c r="D500" s="220"/>
      <c r="E500" s="220"/>
      <c r="F500" s="220"/>
      <c r="G500" s="220"/>
      <c r="H500" s="220"/>
      <c r="I500" s="220"/>
    </row>
    <row r="501">
      <c r="B501" s="220"/>
      <c r="C501" s="220"/>
      <c r="D501" s="220"/>
      <c r="E501" s="220"/>
      <c r="F501" s="220"/>
      <c r="G501" s="220"/>
      <c r="H501" s="220"/>
      <c r="I501" s="220"/>
    </row>
    <row r="502">
      <c r="B502" s="220"/>
      <c r="C502" s="220"/>
      <c r="D502" s="220"/>
      <c r="E502" s="220"/>
      <c r="F502" s="220"/>
      <c r="G502" s="220"/>
      <c r="H502" s="220"/>
      <c r="I502" s="220"/>
    </row>
    <row r="503">
      <c r="B503" s="220"/>
      <c r="C503" s="220"/>
      <c r="D503" s="220"/>
      <c r="E503" s="220"/>
      <c r="F503" s="220"/>
      <c r="G503" s="220"/>
      <c r="H503" s="220"/>
      <c r="I503" s="220"/>
    </row>
    <row r="504">
      <c r="B504" s="220"/>
      <c r="C504" s="220"/>
      <c r="D504" s="220"/>
      <c r="E504" s="220"/>
      <c r="F504" s="220"/>
      <c r="G504" s="220"/>
      <c r="H504" s="220"/>
      <c r="I504" s="220"/>
    </row>
    <row r="505">
      <c r="B505" s="220"/>
      <c r="C505" s="220"/>
      <c r="D505" s="220"/>
      <c r="E505" s="220"/>
      <c r="F505" s="220"/>
      <c r="G505" s="220"/>
      <c r="H505" s="220"/>
      <c r="I505" s="220"/>
    </row>
    <row r="506">
      <c r="B506" s="220"/>
      <c r="C506" s="220"/>
      <c r="D506" s="220"/>
      <c r="E506" s="220"/>
      <c r="F506" s="220"/>
      <c r="G506" s="220"/>
      <c r="H506" s="220"/>
      <c r="I506" s="220"/>
    </row>
    <row r="507">
      <c r="B507" s="220"/>
      <c r="C507" s="220"/>
      <c r="D507" s="220"/>
      <c r="E507" s="220"/>
      <c r="F507" s="220"/>
      <c r="G507" s="220"/>
      <c r="H507" s="220"/>
      <c r="I507" s="220"/>
    </row>
    <row r="508">
      <c r="B508" s="220"/>
      <c r="C508" s="220"/>
      <c r="D508" s="220"/>
      <c r="E508" s="220"/>
      <c r="F508" s="220"/>
      <c r="G508" s="220"/>
      <c r="H508" s="220"/>
      <c r="I508" s="220"/>
    </row>
    <row r="509">
      <c r="B509" s="220"/>
      <c r="C509" s="220"/>
      <c r="D509" s="220"/>
      <c r="E509" s="220"/>
      <c r="F509" s="220"/>
      <c r="G509" s="220"/>
      <c r="H509" s="220"/>
      <c r="I509" s="220"/>
    </row>
    <row r="510">
      <c r="B510" s="220"/>
      <c r="C510" s="220"/>
      <c r="D510" s="220"/>
      <c r="E510" s="220"/>
      <c r="F510" s="220"/>
      <c r="G510" s="220"/>
      <c r="H510" s="220"/>
      <c r="I510" s="220"/>
    </row>
    <row r="511">
      <c r="B511" s="220"/>
      <c r="C511" s="220"/>
      <c r="D511" s="220"/>
      <c r="E511" s="220"/>
      <c r="F511" s="220"/>
      <c r="G511" s="220"/>
      <c r="H511" s="220"/>
      <c r="I511" s="220"/>
    </row>
    <row r="512">
      <c r="B512" s="220"/>
      <c r="C512" s="220"/>
      <c r="D512" s="220"/>
      <c r="E512" s="220"/>
      <c r="F512" s="220"/>
      <c r="G512" s="220"/>
      <c r="H512" s="220"/>
      <c r="I512" s="220"/>
    </row>
    <row r="513">
      <c r="B513" s="220"/>
      <c r="C513" s="220"/>
      <c r="D513" s="220"/>
      <c r="E513" s="220"/>
      <c r="F513" s="220"/>
      <c r="G513" s="220"/>
      <c r="H513" s="220"/>
      <c r="I513" s="220"/>
    </row>
    <row r="514">
      <c r="B514" s="220"/>
      <c r="C514" s="220"/>
      <c r="D514" s="220"/>
      <c r="E514" s="220"/>
      <c r="F514" s="220"/>
      <c r="G514" s="220"/>
      <c r="H514" s="220"/>
      <c r="I514" s="220"/>
    </row>
    <row r="515">
      <c r="B515" s="220"/>
      <c r="C515" s="220"/>
      <c r="D515" s="220"/>
      <c r="E515" s="220"/>
      <c r="F515" s="220"/>
      <c r="G515" s="220"/>
      <c r="H515" s="220"/>
      <c r="I515" s="220"/>
    </row>
    <row r="516">
      <c r="B516" s="220"/>
      <c r="C516" s="220"/>
      <c r="D516" s="220"/>
      <c r="E516" s="220"/>
      <c r="F516" s="220"/>
      <c r="G516" s="220"/>
      <c r="H516" s="220"/>
      <c r="I516" s="220"/>
    </row>
    <row r="517">
      <c r="B517" s="220"/>
      <c r="C517" s="220"/>
      <c r="D517" s="220"/>
      <c r="E517" s="220"/>
      <c r="F517" s="220"/>
      <c r="G517" s="220"/>
      <c r="H517" s="220"/>
      <c r="I517" s="220"/>
    </row>
    <row r="518">
      <c r="B518" s="220"/>
      <c r="C518" s="220"/>
      <c r="D518" s="220"/>
      <c r="E518" s="220"/>
      <c r="F518" s="220"/>
      <c r="G518" s="220"/>
      <c r="H518" s="220"/>
      <c r="I518" s="220"/>
    </row>
    <row r="519">
      <c r="B519" s="220"/>
      <c r="C519" s="220"/>
      <c r="D519" s="220"/>
      <c r="E519" s="220"/>
      <c r="F519" s="220"/>
      <c r="G519" s="220"/>
      <c r="H519" s="220"/>
      <c r="I519" s="220"/>
    </row>
    <row r="520">
      <c r="B520" s="220"/>
      <c r="C520" s="220"/>
      <c r="D520" s="220"/>
      <c r="E520" s="220"/>
      <c r="F520" s="220"/>
      <c r="G520" s="220"/>
      <c r="H520" s="220"/>
      <c r="I520" s="220"/>
    </row>
    <row r="521">
      <c r="B521" s="220"/>
      <c r="C521" s="220"/>
      <c r="D521" s="220"/>
      <c r="E521" s="220"/>
      <c r="F521" s="220"/>
      <c r="G521" s="220"/>
      <c r="H521" s="220"/>
      <c r="I521" s="220"/>
    </row>
    <row r="522">
      <c r="B522" s="220"/>
      <c r="C522" s="220"/>
      <c r="D522" s="220"/>
      <c r="E522" s="220"/>
      <c r="F522" s="220"/>
      <c r="G522" s="220"/>
      <c r="H522" s="220"/>
      <c r="I522" s="220"/>
    </row>
    <row r="523">
      <c r="B523" s="220"/>
      <c r="C523" s="220"/>
      <c r="D523" s="220"/>
      <c r="E523" s="220"/>
      <c r="F523" s="220"/>
      <c r="G523" s="220"/>
      <c r="H523" s="220"/>
      <c r="I523" s="220"/>
    </row>
    <row r="524">
      <c r="B524" s="220"/>
      <c r="C524" s="220"/>
      <c r="D524" s="220"/>
      <c r="E524" s="220"/>
      <c r="F524" s="220"/>
      <c r="G524" s="220"/>
      <c r="H524" s="220"/>
      <c r="I524" s="220"/>
    </row>
    <row r="525">
      <c r="B525" s="220"/>
      <c r="C525" s="220"/>
      <c r="D525" s="220"/>
      <c r="E525" s="220"/>
      <c r="F525" s="220"/>
      <c r="G525" s="220"/>
      <c r="H525" s="220"/>
      <c r="I525" s="220"/>
    </row>
    <row r="526">
      <c r="B526" s="220"/>
      <c r="C526" s="220"/>
      <c r="D526" s="220"/>
      <c r="E526" s="220"/>
      <c r="F526" s="220"/>
      <c r="G526" s="220"/>
      <c r="H526" s="220"/>
      <c r="I526" s="220"/>
    </row>
    <row r="527">
      <c r="B527" s="220"/>
      <c r="C527" s="220"/>
      <c r="D527" s="220"/>
      <c r="E527" s="220"/>
      <c r="F527" s="220"/>
      <c r="G527" s="220"/>
      <c r="H527" s="220"/>
      <c r="I527" s="220"/>
    </row>
    <row r="528">
      <c r="B528" s="220"/>
      <c r="C528" s="220"/>
      <c r="D528" s="220"/>
      <c r="E528" s="220"/>
      <c r="F528" s="220"/>
      <c r="G528" s="220"/>
      <c r="H528" s="220"/>
      <c r="I528" s="220"/>
    </row>
    <row r="529">
      <c r="B529" s="220"/>
      <c r="C529" s="220"/>
      <c r="D529" s="220"/>
      <c r="E529" s="220"/>
      <c r="F529" s="220"/>
      <c r="G529" s="220"/>
      <c r="H529" s="220"/>
      <c r="I529" s="220"/>
    </row>
    <row r="530">
      <c r="B530" s="220"/>
      <c r="C530" s="220"/>
      <c r="D530" s="220"/>
      <c r="E530" s="220"/>
      <c r="F530" s="220"/>
      <c r="G530" s="220"/>
      <c r="H530" s="220"/>
      <c r="I530" s="220"/>
    </row>
    <row r="531">
      <c r="B531" s="220"/>
      <c r="C531" s="220"/>
      <c r="D531" s="220"/>
      <c r="E531" s="220"/>
      <c r="F531" s="220"/>
      <c r="G531" s="220"/>
      <c r="H531" s="220"/>
      <c r="I531" s="220"/>
    </row>
    <row r="532">
      <c r="B532" s="220"/>
      <c r="C532" s="220"/>
      <c r="D532" s="220"/>
      <c r="E532" s="220"/>
      <c r="F532" s="220"/>
      <c r="G532" s="220"/>
      <c r="H532" s="220"/>
      <c r="I532" s="220"/>
    </row>
    <row r="533">
      <c r="B533" s="220"/>
      <c r="C533" s="220"/>
      <c r="D533" s="220"/>
      <c r="E533" s="220"/>
      <c r="F533" s="220"/>
      <c r="G533" s="220"/>
      <c r="H533" s="220"/>
      <c r="I533" s="220"/>
    </row>
    <row r="534">
      <c r="B534" s="220"/>
      <c r="C534" s="220"/>
      <c r="D534" s="220"/>
      <c r="E534" s="220"/>
      <c r="F534" s="220"/>
      <c r="G534" s="220"/>
      <c r="H534" s="220"/>
      <c r="I534" s="220"/>
    </row>
    <row r="535">
      <c r="B535" s="220"/>
      <c r="C535" s="220"/>
      <c r="D535" s="220"/>
      <c r="E535" s="220"/>
      <c r="F535" s="220"/>
      <c r="G535" s="220"/>
      <c r="H535" s="220"/>
      <c r="I535" s="220"/>
    </row>
    <row r="536">
      <c r="B536" s="220"/>
      <c r="C536" s="220"/>
      <c r="D536" s="220"/>
      <c r="E536" s="220"/>
      <c r="F536" s="220"/>
      <c r="G536" s="220"/>
      <c r="H536" s="220"/>
      <c r="I536" s="220"/>
    </row>
    <row r="537">
      <c r="B537" s="220"/>
      <c r="C537" s="220"/>
      <c r="D537" s="220"/>
      <c r="E537" s="220"/>
      <c r="F537" s="220"/>
      <c r="G537" s="220"/>
      <c r="H537" s="220"/>
      <c r="I537" s="220"/>
    </row>
    <row r="538">
      <c r="B538" s="220"/>
      <c r="C538" s="220"/>
      <c r="D538" s="220"/>
      <c r="E538" s="220"/>
      <c r="F538" s="220"/>
      <c r="G538" s="220"/>
      <c r="H538" s="220"/>
      <c r="I538" s="220"/>
    </row>
    <row r="539">
      <c r="B539" s="220"/>
      <c r="C539" s="220"/>
      <c r="D539" s="220"/>
      <c r="E539" s="220"/>
      <c r="F539" s="220"/>
      <c r="G539" s="220"/>
      <c r="H539" s="220"/>
      <c r="I539" s="220"/>
    </row>
    <row r="540">
      <c r="B540" s="220"/>
      <c r="C540" s="220"/>
      <c r="D540" s="220"/>
      <c r="E540" s="220"/>
      <c r="F540" s="220"/>
      <c r="G540" s="220"/>
      <c r="H540" s="220"/>
      <c r="I540" s="220"/>
    </row>
    <row r="541">
      <c r="B541" s="220"/>
      <c r="C541" s="220"/>
      <c r="D541" s="220"/>
      <c r="E541" s="220"/>
      <c r="F541" s="220"/>
      <c r="G541" s="220"/>
      <c r="H541" s="220"/>
      <c r="I541" s="220"/>
    </row>
    <row r="542">
      <c r="B542" s="220"/>
      <c r="C542" s="220"/>
      <c r="D542" s="220"/>
      <c r="E542" s="220"/>
      <c r="F542" s="220"/>
      <c r="G542" s="220"/>
      <c r="H542" s="220"/>
      <c r="I542" s="220"/>
    </row>
    <row r="543">
      <c r="B543" s="220"/>
      <c r="C543" s="220"/>
      <c r="D543" s="220"/>
      <c r="E543" s="220"/>
      <c r="F543" s="220"/>
      <c r="G543" s="220"/>
      <c r="H543" s="220"/>
      <c r="I543" s="220"/>
    </row>
    <row r="544">
      <c r="B544" s="220"/>
      <c r="C544" s="220"/>
      <c r="D544" s="220"/>
      <c r="E544" s="220"/>
      <c r="F544" s="220"/>
      <c r="G544" s="220"/>
      <c r="H544" s="220"/>
      <c r="I544" s="220"/>
    </row>
    <row r="545">
      <c r="B545" s="220"/>
      <c r="C545" s="220"/>
      <c r="D545" s="220"/>
      <c r="E545" s="220"/>
      <c r="F545" s="220"/>
      <c r="G545" s="220"/>
      <c r="H545" s="220"/>
      <c r="I545" s="220"/>
    </row>
    <row r="546">
      <c r="B546" s="220"/>
      <c r="C546" s="220"/>
      <c r="D546" s="220"/>
      <c r="E546" s="220"/>
      <c r="F546" s="220"/>
      <c r="G546" s="220"/>
      <c r="H546" s="220"/>
      <c r="I546" s="220"/>
    </row>
    <row r="547">
      <c r="B547" s="220"/>
      <c r="C547" s="220"/>
      <c r="D547" s="220"/>
      <c r="E547" s="220"/>
      <c r="F547" s="220"/>
      <c r="G547" s="220"/>
      <c r="H547" s="220"/>
      <c r="I547" s="220"/>
    </row>
    <row r="548">
      <c r="B548" s="220"/>
      <c r="C548" s="220"/>
      <c r="D548" s="220"/>
      <c r="E548" s="220"/>
      <c r="F548" s="220"/>
      <c r="G548" s="220"/>
      <c r="H548" s="220"/>
      <c r="I548" s="220"/>
    </row>
    <row r="549">
      <c r="B549" s="220"/>
      <c r="C549" s="220"/>
      <c r="D549" s="220"/>
      <c r="E549" s="220"/>
      <c r="F549" s="220"/>
      <c r="G549" s="220"/>
      <c r="H549" s="220"/>
      <c r="I549" s="220"/>
    </row>
    <row r="550">
      <c r="B550" s="220"/>
      <c r="C550" s="220"/>
      <c r="D550" s="220"/>
      <c r="E550" s="220"/>
      <c r="F550" s="220"/>
      <c r="G550" s="220"/>
      <c r="H550" s="220"/>
      <c r="I550" s="220"/>
    </row>
    <row r="551">
      <c r="B551" s="220"/>
      <c r="C551" s="220"/>
      <c r="D551" s="220"/>
      <c r="E551" s="220"/>
      <c r="F551" s="220"/>
      <c r="G551" s="220"/>
      <c r="H551" s="220"/>
      <c r="I551" s="220"/>
    </row>
    <row r="552">
      <c r="B552" s="220"/>
      <c r="C552" s="220"/>
      <c r="D552" s="220"/>
      <c r="E552" s="220"/>
      <c r="F552" s="220"/>
      <c r="G552" s="220"/>
      <c r="H552" s="220"/>
      <c r="I552" s="220"/>
    </row>
    <row r="553">
      <c r="B553" s="220"/>
      <c r="C553" s="220"/>
      <c r="D553" s="220"/>
      <c r="E553" s="220"/>
      <c r="F553" s="220"/>
      <c r="G553" s="220"/>
      <c r="H553" s="220"/>
      <c r="I553" s="220"/>
    </row>
    <row r="554">
      <c r="B554" s="220"/>
      <c r="C554" s="220"/>
      <c r="D554" s="220"/>
      <c r="E554" s="220"/>
      <c r="F554" s="220"/>
      <c r="G554" s="220"/>
      <c r="H554" s="220"/>
      <c r="I554" s="220"/>
    </row>
    <row r="555">
      <c r="B555" s="220"/>
      <c r="C555" s="220"/>
      <c r="D555" s="220"/>
      <c r="E555" s="220"/>
      <c r="F555" s="220"/>
      <c r="G555" s="220"/>
      <c r="H555" s="220"/>
      <c r="I555" s="220"/>
    </row>
    <row r="556">
      <c r="B556" s="220"/>
      <c r="C556" s="220"/>
      <c r="D556" s="220"/>
      <c r="E556" s="220"/>
      <c r="F556" s="220"/>
      <c r="G556" s="220"/>
      <c r="H556" s="220"/>
      <c r="I556" s="220"/>
    </row>
    <row r="557">
      <c r="B557" s="220"/>
      <c r="C557" s="220"/>
      <c r="D557" s="220"/>
      <c r="E557" s="220"/>
      <c r="F557" s="220"/>
      <c r="G557" s="220"/>
      <c r="H557" s="220"/>
      <c r="I557" s="220"/>
    </row>
    <row r="558">
      <c r="B558" s="220"/>
      <c r="C558" s="220"/>
      <c r="D558" s="220"/>
      <c r="E558" s="220"/>
      <c r="F558" s="220"/>
      <c r="G558" s="220"/>
      <c r="H558" s="220"/>
      <c r="I558" s="220"/>
    </row>
    <row r="559">
      <c r="B559" s="220"/>
      <c r="C559" s="220"/>
      <c r="D559" s="220"/>
      <c r="E559" s="220"/>
      <c r="F559" s="220"/>
      <c r="G559" s="220"/>
      <c r="H559" s="220"/>
      <c r="I559" s="220"/>
    </row>
    <row r="560">
      <c r="B560" s="220"/>
      <c r="C560" s="220"/>
      <c r="D560" s="220"/>
      <c r="E560" s="220"/>
      <c r="F560" s="220"/>
      <c r="G560" s="220"/>
      <c r="H560" s="220"/>
      <c r="I560" s="220"/>
    </row>
    <row r="561">
      <c r="B561" s="220"/>
      <c r="C561" s="220"/>
      <c r="D561" s="220"/>
      <c r="E561" s="220"/>
      <c r="F561" s="220"/>
      <c r="G561" s="220"/>
      <c r="H561" s="220"/>
      <c r="I561" s="220"/>
    </row>
    <row r="562">
      <c r="B562" s="220"/>
      <c r="C562" s="220"/>
      <c r="D562" s="220"/>
      <c r="E562" s="220"/>
      <c r="F562" s="220"/>
      <c r="G562" s="220"/>
      <c r="H562" s="220"/>
      <c r="I562" s="220"/>
    </row>
    <row r="563">
      <c r="B563" s="220"/>
      <c r="C563" s="220"/>
      <c r="D563" s="220"/>
      <c r="E563" s="220"/>
      <c r="F563" s="220"/>
      <c r="G563" s="220"/>
      <c r="H563" s="220"/>
      <c r="I563" s="220"/>
    </row>
    <row r="564">
      <c r="B564" s="220"/>
      <c r="C564" s="220"/>
      <c r="D564" s="220"/>
      <c r="E564" s="220"/>
      <c r="F564" s="220"/>
      <c r="G564" s="220"/>
      <c r="H564" s="220"/>
      <c r="I564" s="220"/>
    </row>
    <row r="565">
      <c r="B565" s="220"/>
      <c r="C565" s="220"/>
      <c r="D565" s="220"/>
      <c r="E565" s="220"/>
      <c r="F565" s="220"/>
      <c r="G565" s="220"/>
      <c r="H565" s="220"/>
      <c r="I565" s="220"/>
    </row>
    <row r="566">
      <c r="B566" s="220"/>
      <c r="C566" s="220"/>
      <c r="D566" s="220"/>
      <c r="E566" s="220"/>
      <c r="F566" s="220"/>
      <c r="G566" s="220"/>
      <c r="H566" s="220"/>
      <c r="I566" s="220"/>
    </row>
    <row r="567">
      <c r="B567" s="220"/>
      <c r="C567" s="220"/>
      <c r="D567" s="220"/>
      <c r="E567" s="220"/>
      <c r="F567" s="220"/>
      <c r="G567" s="220"/>
      <c r="H567" s="220"/>
      <c r="I567" s="220"/>
    </row>
    <row r="568">
      <c r="B568" s="220"/>
      <c r="C568" s="220"/>
      <c r="D568" s="220"/>
      <c r="E568" s="220"/>
      <c r="F568" s="220"/>
      <c r="G568" s="220"/>
      <c r="H568" s="220"/>
      <c r="I568" s="220"/>
    </row>
    <row r="569">
      <c r="B569" s="220"/>
      <c r="C569" s="220"/>
      <c r="D569" s="220"/>
      <c r="E569" s="220"/>
      <c r="F569" s="220"/>
      <c r="G569" s="220"/>
      <c r="H569" s="220"/>
      <c r="I569" s="220"/>
    </row>
    <row r="570">
      <c r="B570" s="220"/>
      <c r="C570" s="220"/>
      <c r="D570" s="220"/>
      <c r="E570" s="220"/>
      <c r="F570" s="220"/>
      <c r="G570" s="220"/>
      <c r="H570" s="220"/>
      <c r="I570" s="220"/>
    </row>
    <row r="571">
      <c r="B571" s="220"/>
      <c r="C571" s="220"/>
      <c r="D571" s="220"/>
      <c r="E571" s="220"/>
      <c r="F571" s="220"/>
      <c r="G571" s="220"/>
      <c r="H571" s="220"/>
      <c r="I571" s="220"/>
    </row>
    <row r="572">
      <c r="B572" s="220"/>
      <c r="C572" s="220"/>
      <c r="D572" s="220"/>
      <c r="E572" s="220"/>
      <c r="F572" s="220"/>
      <c r="G572" s="220"/>
      <c r="H572" s="220"/>
      <c r="I572" s="220"/>
    </row>
    <row r="573">
      <c r="B573" s="220"/>
      <c r="C573" s="220"/>
      <c r="D573" s="220"/>
      <c r="E573" s="220"/>
      <c r="F573" s="220"/>
      <c r="G573" s="220"/>
      <c r="H573" s="220"/>
      <c r="I573" s="220"/>
    </row>
    <row r="574">
      <c r="B574" s="220"/>
      <c r="C574" s="220"/>
      <c r="D574" s="220"/>
      <c r="E574" s="220"/>
      <c r="F574" s="220"/>
      <c r="G574" s="220"/>
      <c r="H574" s="220"/>
      <c r="I574" s="220"/>
    </row>
    <row r="575">
      <c r="B575" s="220"/>
      <c r="C575" s="220"/>
      <c r="D575" s="220"/>
      <c r="E575" s="220"/>
      <c r="F575" s="220"/>
      <c r="G575" s="220"/>
      <c r="H575" s="220"/>
      <c r="I575" s="220"/>
    </row>
    <row r="576">
      <c r="B576" s="220"/>
      <c r="C576" s="220"/>
      <c r="D576" s="220"/>
      <c r="E576" s="220"/>
      <c r="F576" s="220"/>
      <c r="G576" s="220"/>
      <c r="H576" s="220"/>
      <c r="I576" s="220"/>
    </row>
    <row r="577">
      <c r="B577" s="220"/>
      <c r="C577" s="220"/>
      <c r="D577" s="220"/>
      <c r="E577" s="220"/>
      <c r="F577" s="220"/>
      <c r="G577" s="220"/>
      <c r="H577" s="220"/>
      <c r="I577" s="220"/>
    </row>
    <row r="578">
      <c r="B578" s="220"/>
      <c r="C578" s="220"/>
      <c r="D578" s="220"/>
      <c r="E578" s="220"/>
      <c r="F578" s="220"/>
      <c r="G578" s="220"/>
      <c r="H578" s="220"/>
      <c r="I578" s="220"/>
    </row>
    <row r="579">
      <c r="B579" s="220"/>
      <c r="C579" s="220"/>
      <c r="D579" s="220"/>
      <c r="E579" s="220"/>
      <c r="F579" s="220"/>
      <c r="G579" s="220"/>
      <c r="H579" s="220"/>
      <c r="I579" s="220"/>
    </row>
    <row r="580">
      <c r="B580" s="220"/>
      <c r="C580" s="220"/>
      <c r="D580" s="220"/>
      <c r="E580" s="220"/>
      <c r="F580" s="220"/>
      <c r="G580" s="220"/>
      <c r="H580" s="220"/>
      <c r="I580" s="220"/>
    </row>
    <row r="581">
      <c r="B581" s="220"/>
      <c r="C581" s="220"/>
      <c r="D581" s="220"/>
      <c r="E581" s="220"/>
      <c r="F581" s="220"/>
      <c r="G581" s="220"/>
      <c r="H581" s="220"/>
      <c r="I581" s="220"/>
    </row>
    <row r="582">
      <c r="B582" s="220"/>
      <c r="C582" s="220"/>
      <c r="D582" s="220"/>
      <c r="E582" s="220"/>
      <c r="F582" s="220"/>
      <c r="G582" s="220"/>
      <c r="H582" s="220"/>
      <c r="I582" s="220"/>
    </row>
    <row r="583">
      <c r="B583" s="220"/>
      <c r="C583" s="220"/>
      <c r="D583" s="220"/>
      <c r="E583" s="220"/>
      <c r="F583" s="220"/>
      <c r="G583" s="220"/>
      <c r="H583" s="220"/>
      <c r="I583" s="220"/>
    </row>
    <row r="584">
      <c r="B584" s="220"/>
      <c r="C584" s="220"/>
      <c r="D584" s="220"/>
      <c r="E584" s="220"/>
      <c r="F584" s="220"/>
      <c r="G584" s="220"/>
      <c r="H584" s="220"/>
      <c r="I584" s="220"/>
    </row>
    <row r="585">
      <c r="B585" s="220"/>
      <c r="C585" s="220"/>
      <c r="D585" s="220"/>
      <c r="E585" s="220"/>
      <c r="F585" s="220"/>
      <c r="G585" s="220"/>
      <c r="H585" s="220"/>
      <c r="I585" s="220"/>
    </row>
    <row r="586">
      <c r="B586" s="220"/>
      <c r="C586" s="220"/>
      <c r="D586" s="220"/>
      <c r="E586" s="220"/>
      <c r="F586" s="220"/>
      <c r="G586" s="220"/>
      <c r="H586" s="220"/>
      <c r="I586" s="220"/>
    </row>
    <row r="587">
      <c r="B587" s="220"/>
      <c r="C587" s="220"/>
      <c r="D587" s="220"/>
      <c r="E587" s="220"/>
      <c r="F587" s="220"/>
      <c r="G587" s="220"/>
      <c r="H587" s="220"/>
      <c r="I587" s="220"/>
    </row>
    <row r="588">
      <c r="B588" s="220"/>
      <c r="C588" s="220"/>
      <c r="D588" s="220"/>
      <c r="E588" s="220"/>
      <c r="F588" s="220"/>
      <c r="G588" s="220"/>
      <c r="H588" s="220"/>
      <c r="I588" s="220"/>
    </row>
    <row r="589">
      <c r="B589" s="220"/>
      <c r="C589" s="220"/>
      <c r="D589" s="220"/>
      <c r="E589" s="220"/>
      <c r="F589" s="220"/>
      <c r="G589" s="220"/>
      <c r="H589" s="220"/>
      <c r="I589" s="220"/>
    </row>
    <row r="590">
      <c r="B590" s="220"/>
      <c r="C590" s="220"/>
      <c r="D590" s="220"/>
      <c r="E590" s="220"/>
      <c r="F590" s="220"/>
      <c r="G590" s="220"/>
      <c r="H590" s="220"/>
      <c r="I590" s="220"/>
    </row>
    <row r="591">
      <c r="B591" s="220"/>
      <c r="C591" s="220"/>
      <c r="D591" s="220"/>
      <c r="E591" s="220"/>
      <c r="F591" s="220"/>
      <c r="G591" s="220"/>
      <c r="H591" s="220"/>
      <c r="I591" s="220"/>
    </row>
    <row r="592">
      <c r="B592" s="220"/>
      <c r="C592" s="220"/>
      <c r="D592" s="220"/>
      <c r="E592" s="220"/>
      <c r="F592" s="220"/>
      <c r="G592" s="220"/>
      <c r="H592" s="220"/>
      <c r="I592" s="220"/>
    </row>
    <row r="593">
      <c r="B593" s="220"/>
      <c r="C593" s="220"/>
      <c r="D593" s="220"/>
      <c r="E593" s="220"/>
      <c r="F593" s="220"/>
      <c r="G593" s="220"/>
      <c r="H593" s="220"/>
      <c r="I593" s="220"/>
    </row>
    <row r="594">
      <c r="B594" s="220"/>
      <c r="C594" s="220"/>
      <c r="D594" s="220"/>
      <c r="E594" s="220"/>
      <c r="F594" s="220"/>
      <c r="G594" s="220"/>
      <c r="H594" s="220"/>
      <c r="I594" s="220"/>
    </row>
    <row r="595">
      <c r="B595" s="220"/>
      <c r="C595" s="220"/>
      <c r="D595" s="220"/>
      <c r="E595" s="220"/>
      <c r="F595" s="220"/>
      <c r="G595" s="220"/>
      <c r="H595" s="220"/>
      <c r="I595" s="220"/>
    </row>
    <row r="596">
      <c r="B596" s="220"/>
      <c r="C596" s="220"/>
      <c r="D596" s="220"/>
      <c r="E596" s="220"/>
      <c r="F596" s="220"/>
      <c r="G596" s="220"/>
      <c r="H596" s="220"/>
      <c r="I596" s="220"/>
    </row>
    <row r="597">
      <c r="B597" s="220"/>
      <c r="C597" s="220"/>
      <c r="D597" s="220"/>
      <c r="E597" s="220"/>
      <c r="F597" s="220"/>
      <c r="G597" s="220"/>
      <c r="H597" s="220"/>
      <c r="I597" s="220"/>
    </row>
    <row r="598">
      <c r="B598" s="220"/>
      <c r="C598" s="220"/>
      <c r="D598" s="220"/>
      <c r="E598" s="220"/>
      <c r="F598" s="220"/>
      <c r="G598" s="220"/>
      <c r="H598" s="220"/>
      <c r="I598" s="220"/>
    </row>
    <row r="599">
      <c r="B599" s="220"/>
      <c r="C599" s="220"/>
      <c r="D599" s="220"/>
      <c r="E599" s="220"/>
      <c r="F599" s="220"/>
      <c r="G599" s="220"/>
      <c r="H599" s="220"/>
      <c r="I599" s="220"/>
    </row>
    <row r="600">
      <c r="B600" s="220"/>
      <c r="C600" s="220"/>
      <c r="D600" s="220"/>
      <c r="E600" s="220"/>
      <c r="F600" s="220"/>
      <c r="G600" s="220"/>
      <c r="H600" s="220"/>
      <c r="I600" s="220"/>
    </row>
    <row r="601">
      <c r="B601" s="220"/>
      <c r="C601" s="220"/>
      <c r="D601" s="220"/>
      <c r="E601" s="220"/>
      <c r="F601" s="220"/>
      <c r="G601" s="220"/>
      <c r="H601" s="220"/>
      <c r="I601" s="220"/>
    </row>
    <row r="602">
      <c r="B602" s="220"/>
      <c r="C602" s="220"/>
      <c r="D602" s="220"/>
      <c r="E602" s="220"/>
      <c r="F602" s="220"/>
      <c r="G602" s="220"/>
      <c r="H602" s="220"/>
      <c r="I602" s="220"/>
    </row>
    <row r="603">
      <c r="B603" s="220"/>
      <c r="C603" s="220"/>
      <c r="D603" s="220"/>
      <c r="E603" s="220"/>
      <c r="F603" s="220"/>
      <c r="G603" s="220"/>
      <c r="H603" s="220"/>
      <c r="I603" s="220"/>
    </row>
    <row r="604">
      <c r="B604" s="220"/>
      <c r="C604" s="220"/>
      <c r="D604" s="220"/>
      <c r="E604" s="220"/>
      <c r="F604" s="220"/>
      <c r="G604" s="220"/>
      <c r="H604" s="220"/>
      <c r="I604" s="220"/>
    </row>
    <row r="605">
      <c r="B605" s="220"/>
      <c r="C605" s="220"/>
      <c r="D605" s="220"/>
      <c r="E605" s="220"/>
      <c r="F605" s="220"/>
      <c r="G605" s="220"/>
      <c r="H605" s="220"/>
      <c r="I605" s="220"/>
    </row>
    <row r="606">
      <c r="B606" s="220"/>
      <c r="C606" s="220"/>
      <c r="D606" s="220"/>
      <c r="E606" s="220"/>
      <c r="F606" s="220"/>
      <c r="G606" s="220"/>
      <c r="H606" s="220"/>
      <c r="I606" s="220"/>
    </row>
    <row r="607">
      <c r="B607" s="220"/>
      <c r="C607" s="220"/>
      <c r="D607" s="220"/>
      <c r="E607" s="220"/>
      <c r="F607" s="220"/>
      <c r="G607" s="220"/>
      <c r="H607" s="220"/>
      <c r="I607" s="220"/>
    </row>
    <row r="608">
      <c r="B608" s="220"/>
      <c r="C608" s="220"/>
      <c r="D608" s="220"/>
      <c r="E608" s="220"/>
      <c r="F608" s="220"/>
      <c r="G608" s="220"/>
      <c r="H608" s="220"/>
      <c r="I608" s="220"/>
    </row>
    <row r="609">
      <c r="B609" s="220"/>
      <c r="C609" s="220"/>
      <c r="D609" s="220"/>
      <c r="E609" s="220"/>
      <c r="F609" s="220"/>
      <c r="G609" s="220"/>
      <c r="H609" s="220"/>
      <c r="I609" s="220"/>
    </row>
    <row r="610">
      <c r="B610" s="220"/>
      <c r="C610" s="220"/>
      <c r="D610" s="220"/>
      <c r="E610" s="220"/>
      <c r="F610" s="220"/>
      <c r="G610" s="220"/>
      <c r="H610" s="220"/>
      <c r="I610" s="220"/>
    </row>
    <row r="611">
      <c r="B611" s="220"/>
      <c r="C611" s="220"/>
      <c r="D611" s="220"/>
      <c r="E611" s="220"/>
      <c r="F611" s="220"/>
      <c r="G611" s="220"/>
      <c r="H611" s="220"/>
      <c r="I611" s="220"/>
    </row>
    <row r="612">
      <c r="B612" s="220"/>
      <c r="C612" s="220"/>
      <c r="D612" s="220"/>
      <c r="E612" s="220"/>
      <c r="F612" s="220"/>
      <c r="G612" s="220"/>
      <c r="H612" s="220"/>
      <c r="I612" s="220"/>
    </row>
    <row r="613">
      <c r="B613" s="220"/>
      <c r="C613" s="220"/>
      <c r="D613" s="220"/>
      <c r="E613" s="220"/>
      <c r="F613" s="220"/>
      <c r="G613" s="220"/>
      <c r="H613" s="220"/>
      <c r="I613" s="220"/>
    </row>
    <row r="614">
      <c r="B614" s="220"/>
      <c r="C614" s="220"/>
      <c r="D614" s="220"/>
      <c r="E614" s="220"/>
      <c r="F614" s="220"/>
      <c r="G614" s="220"/>
      <c r="H614" s="220"/>
      <c r="I614" s="220"/>
    </row>
    <row r="615">
      <c r="B615" s="220"/>
      <c r="C615" s="220"/>
      <c r="D615" s="220"/>
      <c r="E615" s="220"/>
      <c r="F615" s="220"/>
      <c r="G615" s="220"/>
      <c r="H615" s="220"/>
      <c r="I615" s="220"/>
    </row>
    <row r="616">
      <c r="B616" s="220"/>
      <c r="C616" s="220"/>
      <c r="D616" s="220"/>
      <c r="E616" s="220"/>
      <c r="F616" s="220"/>
      <c r="G616" s="220"/>
      <c r="H616" s="220"/>
      <c r="I616" s="220"/>
    </row>
    <row r="617">
      <c r="B617" s="220"/>
      <c r="C617" s="220"/>
      <c r="D617" s="220"/>
      <c r="E617" s="220"/>
      <c r="F617" s="220"/>
      <c r="G617" s="220"/>
      <c r="H617" s="220"/>
      <c r="I617" s="220"/>
    </row>
    <row r="618">
      <c r="B618" s="220"/>
      <c r="C618" s="220"/>
      <c r="D618" s="220"/>
      <c r="E618" s="220"/>
      <c r="F618" s="220"/>
      <c r="G618" s="220"/>
      <c r="H618" s="220"/>
      <c r="I618" s="220"/>
    </row>
    <row r="619">
      <c r="B619" s="220"/>
      <c r="C619" s="220"/>
      <c r="D619" s="220"/>
      <c r="E619" s="220"/>
      <c r="F619" s="220"/>
      <c r="G619" s="220"/>
      <c r="H619" s="220"/>
      <c r="I619" s="220"/>
    </row>
    <row r="620">
      <c r="B620" s="220"/>
      <c r="C620" s="220"/>
      <c r="D620" s="220"/>
      <c r="E620" s="220"/>
      <c r="F620" s="220"/>
      <c r="G620" s="220"/>
      <c r="H620" s="220"/>
      <c r="I620" s="220"/>
    </row>
    <row r="621">
      <c r="B621" s="220"/>
      <c r="C621" s="220"/>
      <c r="D621" s="220"/>
      <c r="E621" s="220"/>
      <c r="F621" s="220"/>
      <c r="G621" s="220"/>
      <c r="H621" s="220"/>
      <c r="I621" s="220"/>
    </row>
    <row r="622">
      <c r="B622" s="220"/>
      <c r="C622" s="220"/>
      <c r="D622" s="220"/>
      <c r="E622" s="220"/>
      <c r="F622" s="220"/>
      <c r="G622" s="220"/>
      <c r="H622" s="220"/>
      <c r="I622" s="220"/>
    </row>
    <row r="623">
      <c r="B623" s="220"/>
      <c r="C623" s="220"/>
      <c r="D623" s="220"/>
      <c r="E623" s="220"/>
      <c r="F623" s="220"/>
      <c r="G623" s="220"/>
      <c r="H623" s="220"/>
      <c r="I623" s="220"/>
    </row>
    <row r="624">
      <c r="B624" s="220"/>
      <c r="C624" s="220"/>
      <c r="D624" s="220"/>
      <c r="E624" s="220"/>
      <c r="F624" s="220"/>
      <c r="G624" s="220"/>
      <c r="H624" s="220"/>
      <c r="I624" s="220"/>
    </row>
    <row r="625">
      <c r="B625" s="220"/>
      <c r="C625" s="220"/>
      <c r="D625" s="220"/>
      <c r="E625" s="220"/>
      <c r="F625" s="220"/>
      <c r="G625" s="220"/>
      <c r="H625" s="220"/>
      <c r="I625" s="220"/>
    </row>
    <row r="626">
      <c r="B626" s="220"/>
      <c r="C626" s="220"/>
      <c r="D626" s="220"/>
      <c r="E626" s="220"/>
      <c r="F626" s="220"/>
      <c r="G626" s="220"/>
      <c r="H626" s="220"/>
      <c r="I626" s="220"/>
    </row>
    <row r="627">
      <c r="B627" s="220"/>
      <c r="C627" s="220"/>
      <c r="D627" s="220"/>
      <c r="E627" s="220"/>
      <c r="F627" s="220"/>
      <c r="G627" s="220"/>
      <c r="H627" s="220"/>
      <c r="I627" s="220"/>
    </row>
    <row r="628">
      <c r="B628" s="220"/>
      <c r="C628" s="220"/>
      <c r="D628" s="220"/>
      <c r="E628" s="220"/>
      <c r="F628" s="220"/>
      <c r="G628" s="220"/>
      <c r="H628" s="220"/>
      <c r="I628" s="220"/>
    </row>
    <row r="629">
      <c r="B629" s="220"/>
      <c r="C629" s="220"/>
      <c r="D629" s="220"/>
      <c r="E629" s="220"/>
      <c r="F629" s="220"/>
      <c r="G629" s="220"/>
      <c r="H629" s="220"/>
      <c r="I629" s="220"/>
    </row>
    <row r="630">
      <c r="B630" s="220"/>
      <c r="C630" s="220"/>
      <c r="D630" s="220"/>
      <c r="E630" s="220"/>
      <c r="F630" s="220"/>
      <c r="G630" s="220"/>
      <c r="H630" s="220"/>
      <c r="I630" s="220"/>
    </row>
    <row r="631">
      <c r="B631" s="220"/>
      <c r="C631" s="220"/>
      <c r="D631" s="220"/>
      <c r="E631" s="220"/>
      <c r="F631" s="220"/>
      <c r="G631" s="220"/>
      <c r="H631" s="220"/>
      <c r="I631" s="220"/>
    </row>
    <row r="632">
      <c r="B632" s="220"/>
      <c r="C632" s="220"/>
      <c r="D632" s="220"/>
      <c r="E632" s="220"/>
      <c r="F632" s="220"/>
      <c r="G632" s="220"/>
      <c r="H632" s="220"/>
      <c r="I632" s="220"/>
    </row>
    <row r="633">
      <c r="B633" s="220"/>
      <c r="C633" s="220"/>
      <c r="D633" s="220"/>
      <c r="E633" s="220"/>
      <c r="F633" s="220"/>
      <c r="G633" s="220"/>
      <c r="H633" s="220"/>
      <c r="I633" s="220"/>
    </row>
    <row r="634">
      <c r="B634" s="220"/>
      <c r="C634" s="220"/>
      <c r="D634" s="220"/>
      <c r="E634" s="220"/>
      <c r="F634" s="220"/>
      <c r="G634" s="220"/>
      <c r="H634" s="220"/>
      <c r="I634" s="220"/>
    </row>
    <row r="635">
      <c r="B635" s="220"/>
      <c r="C635" s="220"/>
      <c r="D635" s="220"/>
      <c r="E635" s="220"/>
      <c r="F635" s="220"/>
      <c r="G635" s="220"/>
      <c r="H635" s="220"/>
      <c r="I635" s="220"/>
    </row>
    <row r="636">
      <c r="B636" s="220"/>
      <c r="C636" s="220"/>
      <c r="D636" s="220"/>
      <c r="E636" s="220"/>
      <c r="F636" s="220"/>
      <c r="G636" s="220"/>
      <c r="H636" s="220"/>
      <c r="I636" s="220"/>
    </row>
    <row r="637">
      <c r="B637" s="220"/>
      <c r="C637" s="220"/>
      <c r="D637" s="220"/>
      <c r="E637" s="220"/>
      <c r="F637" s="220"/>
      <c r="G637" s="220"/>
      <c r="H637" s="220"/>
      <c r="I637" s="220"/>
    </row>
    <row r="638">
      <c r="B638" s="220"/>
      <c r="C638" s="220"/>
      <c r="D638" s="220"/>
      <c r="E638" s="220"/>
      <c r="F638" s="220"/>
      <c r="G638" s="220"/>
      <c r="H638" s="220"/>
      <c r="I638" s="220"/>
    </row>
    <row r="639">
      <c r="B639" s="220"/>
      <c r="C639" s="220"/>
      <c r="D639" s="220"/>
      <c r="E639" s="220"/>
      <c r="F639" s="220"/>
      <c r="G639" s="220"/>
      <c r="H639" s="220"/>
      <c r="I639" s="220"/>
    </row>
    <row r="640">
      <c r="B640" s="220"/>
      <c r="C640" s="220"/>
      <c r="D640" s="220"/>
      <c r="E640" s="220"/>
      <c r="F640" s="220"/>
      <c r="G640" s="220"/>
      <c r="H640" s="220"/>
      <c r="I640" s="220"/>
    </row>
    <row r="641">
      <c r="B641" s="220"/>
      <c r="C641" s="220"/>
      <c r="D641" s="220"/>
      <c r="E641" s="220"/>
      <c r="F641" s="220"/>
      <c r="G641" s="220"/>
      <c r="H641" s="220"/>
      <c r="I641" s="220"/>
    </row>
    <row r="642">
      <c r="B642" s="220"/>
      <c r="C642" s="220"/>
      <c r="D642" s="220"/>
      <c r="E642" s="220"/>
      <c r="F642" s="220"/>
      <c r="G642" s="220"/>
      <c r="H642" s="220"/>
      <c r="I642" s="220"/>
    </row>
    <row r="643">
      <c r="B643" s="220"/>
      <c r="C643" s="220"/>
      <c r="D643" s="220"/>
      <c r="E643" s="220"/>
      <c r="F643" s="220"/>
      <c r="G643" s="220"/>
      <c r="H643" s="220"/>
      <c r="I643" s="220"/>
    </row>
    <row r="644">
      <c r="B644" s="220"/>
      <c r="C644" s="220"/>
      <c r="D644" s="220"/>
      <c r="E644" s="220"/>
      <c r="F644" s="220"/>
      <c r="G644" s="220"/>
      <c r="H644" s="220"/>
      <c r="I644" s="220"/>
    </row>
    <row r="645">
      <c r="B645" s="220"/>
      <c r="C645" s="220"/>
      <c r="D645" s="220"/>
      <c r="E645" s="220"/>
      <c r="F645" s="220"/>
      <c r="G645" s="220"/>
      <c r="H645" s="220"/>
      <c r="I645" s="220"/>
    </row>
    <row r="646">
      <c r="B646" s="220"/>
      <c r="C646" s="220"/>
      <c r="D646" s="220"/>
      <c r="E646" s="220"/>
      <c r="F646" s="220"/>
      <c r="G646" s="220"/>
      <c r="H646" s="220"/>
      <c r="I646" s="220"/>
    </row>
    <row r="647">
      <c r="B647" s="220"/>
      <c r="C647" s="220"/>
      <c r="D647" s="220"/>
      <c r="E647" s="220"/>
      <c r="F647" s="220"/>
      <c r="G647" s="220"/>
      <c r="H647" s="220"/>
      <c r="I647" s="220"/>
    </row>
    <row r="648">
      <c r="B648" s="220"/>
      <c r="C648" s="220"/>
      <c r="D648" s="220"/>
      <c r="E648" s="220"/>
      <c r="F648" s="220"/>
      <c r="G648" s="220"/>
      <c r="H648" s="220"/>
      <c r="I648" s="220"/>
    </row>
    <row r="649">
      <c r="B649" s="220"/>
      <c r="C649" s="220"/>
      <c r="D649" s="220"/>
      <c r="E649" s="220"/>
      <c r="F649" s="220"/>
      <c r="G649" s="220"/>
      <c r="H649" s="220"/>
      <c r="I649" s="220"/>
    </row>
    <row r="650">
      <c r="B650" s="220"/>
      <c r="C650" s="220"/>
      <c r="D650" s="220"/>
      <c r="E650" s="220"/>
      <c r="F650" s="220"/>
      <c r="G650" s="220"/>
      <c r="H650" s="220"/>
      <c r="I650" s="220"/>
    </row>
    <row r="651">
      <c r="B651" s="220"/>
      <c r="C651" s="220"/>
      <c r="D651" s="220"/>
      <c r="E651" s="220"/>
      <c r="F651" s="220"/>
      <c r="G651" s="220"/>
      <c r="H651" s="220"/>
      <c r="I651" s="220"/>
    </row>
    <row r="652">
      <c r="B652" s="220"/>
      <c r="C652" s="220"/>
      <c r="D652" s="220"/>
      <c r="E652" s="220"/>
      <c r="F652" s="220"/>
      <c r="G652" s="220"/>
      <c r="H652" s="220"/>
      <c r="I652" s="220"/>
    </row>
    <row r="653">
      <c r="B653" s="220"/>
      <c r="C653" s="220"/>
      <c r="D653" s="220"/>
      <c r="E653" s="220"/>
      <c r="F653" s="220"/>
      <c r="G653" s="220"/>
      <c r="H653" s="220"/>
      <c r="I653" s="220"/>
    </row>
    <row r="654">
      <c r="B654" s="220"/>
      <c r="C654" s="220"/>
      <c r="D654" s="220"/>
      <c r="E654" s="220"/>
      <c r="F654" s="220"/>
      <c r="G654" s="220"/>
      <c r="H654" s="220"/>
      <c r="I654" s="220"/>
    </row>
    <row r="655">
      <c r="B655" s="220"/>
      <c r="C655" s="220"/>
      <c r="D655" s="220"/>
      <c r="E655" s="220"/>
      <c r="F655" s="220"/>
      <c r="G655" s="220"/>
      <c r="H655" s="220"/>
      <c r="I655" s="220"/>
    </row>
    <row r="656">
      <c r="B656" s="220"/>
      <c r="C656" s="220"/>
      <c r="D656" s="220"/>
      <c r="E656" s="220"/>
      <c r="F656" s="220"/>
      <c r="G656" s="220"/>
      <c r="H656" s="220"/>
      <c r="I656" s="220"/>
    </row>
    <row r="657">
      <c r="B657" s="220"/>
      <c r="C657" s="220"/>
      <c r="D657" s="220"/>
      <c r="E657" s="220"/>
      <c r="F657" s="220"/>
      <c r="G657" s="220"/>
      <c r="H657" s="220"/>
      <c r="I657" s="220"/>
    </row>
    <row r="658">
      <c r="B658" s="220"/>
      <c r="C658" s="220"/>
      <c r="D658" s="220"/>
      <c r="E658" s="220"/>
      <c r="F658" s="220"/>
      <c r="G658" s="220"/>
      <c r="H658" s="220"/>
      <c r="I658" s="220"/>
    </row>
    <row r="659">
      <c r="B659" s="220"/>
      <c r="C659" s="220"/>
      <c r="D659" s="220"/>
      <c r="E659" s="220"/>
      <c r="F659" s="220"/>
      <c r="G659" s="220"/>
      <c r="H659" s="220"/>
      <c r="I659" s="220"/>
    </row>
    <row r="660">
      <c r="B660" s="220"/>
      <c r="C660" s="220"/>
      <c r="D660" s="220"/>
      <c r="E660" s="220"/>
      <c r="F660" s="220"/>
      <c r="G660" s="220"/>
      <c r="H660" s="220"/>
      <c r="I660" s="220"/>
    </row>
    <row r="661">
      <c r="B661" s="220"/>
      <c r="C661" s="220"/>
      <c r="D661" s="220"/>
      <c r="E661" s="220"/>
      <c r="F661" s="220"/>
      <c r="G661" s="220"/>
      <c r="H661" s="220"/>
      <c r="I661" s="220"/>
    </row>
    <row r="662">
      <c r="B662" s="220"/>
      <c r="C662" s="220"/>
      <c r="D662" s="220"/>
      <c r="E662" s="220"/>
      <c r="F662" s="220"/>
      <c r="G662" s="220"/>
      <c r="H662" s="220"/>
      <c r="I662" s="220"/>
    </row>
    <row r="663">
      <c r="B663" s="220"/>
      <c r="C663" s="220"/>
      <c r="D663" s="220"/>
      <c r="E663" s="220"/>
      <c r="F663" s="220"/>
      <c r="G663" s="220"/>
      <c r="H663" s="220"/>
      <c r="I663" s="220"/>
    </row>
    <row r="664">
      <c r="B664" s="220"/>
      <c r="C664" s="220"/>
      <c r="D664" s="220"/>
      <c r="E664" s="220"/>
      <c r="F664" s="220"/>
      <c r="G664" s="220"/>
      <c r="H664" s="220"/>
      <c r="I664" s="220"/>
    </row>
    <row r="665">
      <c r="B665" s="220"/>
      <c r="C665" s="220"/>
      <c r="D665" s="220"/>
      <c r="E665" s="220"/>
      <c r="F665" s="220"/>
      <c r="G665" s="220"/>
      <c r="H665" s="220"/>
      <c r="I665" s="220"/>
    </row>
    <row r="666">
      <c r="B666" s="220"/>
      <c r="C666" s="220"/>
      <c r="D666" s="220"/>
      <c r="E666" s="220"/>
      <c r="F666" s="220"/>
      <c r="G666" s="220"/>
      <c r="H666" s="220"/>
      <c r="I666" s="220"/>
    </row>
    <row r="667">
      <c r="B667" s="220"/>
      <c r="C667" s="220"/>
      <c r="D667" s="220"/>
      <c r="E667" s="220"/>
      <c r="F667" s="220"/>
      <c r="G667" s="220"/>
      <c r="H667" s="220"/>
      <c r="I667" s="220"/>
    </row>
    <row r="668">
      <c r="B668" s="220"/>
      <c r="C668" s="220"/>
      <c r="D668" s="220"/>
      <c r="E668" s="220"/>
      <c r="F668" s="220"/>
      <c r="G668" s="220"/>
      <c r="H668" s="220"/>
      <c r="I668" s="220"/>
    </row>
    <row r="669">
      <c r="B669" s="220"/>
      <c r="C669" s="220"/>
      <c r="D669" s="220"/>
      <c r="E669" s="220"/>
      <c r="F669" s="220"/>
      <c r="G669" s="220"/>
      <c r="H669" s="220"/>
      <c r="I669" s="220"/>
    </row>
    <row r="670">
      <c r="B670" s="220"/>
      <c r="C670" s="220"/>
      <c r="D670" s="220"/>
      <c r="E670" s="220"/>
      <c r="F670" s="220"/>
      <c r="G670" s="220"/>
      <c r="H670" s="220"/>
      <c r="I670" s="220"/>
    </row>
    <row r="671">
      <c r="B671" s="220"/>
      <c r="C671" s="220"/>
      <c r="D671" s="220"/>
      <c r="E671" s="220"/>
      <c r="F671" s="220"/>
      <c r="G671" s="220"/>
      <c r="H671" s="220"/>
      <c r="I671" s="220"/>
    </row>
    <row r="672">
      <c r="B672" s="220"/>
      <c r="C672" s="220"/>
      <c r="D672" s="220"/>
      <c r="E672" s="220"/>
      <c r="F672" s="220"/>
      <c r="G672" s="220"/>
      <c r="H672" s="220"/>
      <c r="I672" s="220"/>
    </row>
    <row r="673">
      <c r="B673" s="220"/>
      <c r="C673" s="220"/>
      <c r="D673" s="220"/>
      <c r="E673" s="220"/>
      <c r="F673" s="220"/>
      <c r="G673" s="220"/>
      <c r="H673" s="220"/>
      <c r="I673" s="220"/>
    </row>
    <row r="674">
      <c r="B674" s="220"/>
      <c r="C674" s="220"/>
      <c r="D674" s="220"/>
      <c r="E674" s="220"/>
      <c r="F674" s="220"/>
      <c r="G674" s="220"/>
      <c r="H674" s="220"/>
      <c r="I674" s="220"/>
    </row>
    <row r="675">
      <c r="B675" s="220"/>
      <c r="C675" s="220"/>
      <c r="D675" s="220"/>
      <c r="E675" s="220"/>
      <c r="F675" s="220"/>
      <c r="G675" s="220"/>
      <c r="H675" s="220"/>
      <c r="I675" s="220"/>
    </row>
    <row r="676">
      <c r="B676" s="220"/>
      <c r="C676" s="220"/>
      <c r="D676" s="220"/>
      <c r="E676" s="220"/>
      <c r="F676" s="220"/>
      <c r="G676" s="220"/>
      <c r="H676" s="220"/>
      <c r="I676" s="220"/>
    </row>
    <row r="677">
      <c r="B677" s="220"/>
      <c r="C677" s="220"/>
      <c r="D677" s="220"/>
      <c r="E677" s="220"/>
      <c r="F677" s="220"/>
      <c r="G677" s="220"/>
      <c r="H677" s="220"/>
      <c r="I677" s="220"/>
    </row>
    <row r="678">
      <c r="B678" s="220"/>
      <c r="C678" s="220"/>
      <c r="D678" s="220"/>
      <c r="E678" s="220"/>
      <c r="F678" s="220"/>
      <c r="G678" s="220"/>
      <c r="H678" s="220"/>
      <c r="I678" s="220"/>
    </row>
    <row r="679">
      <c r="B679" s="220"/>
      <c r="C679" s="220"/>
      <c r="D679" s="220"/>
      <c r="E679" s="220"/>
      <c r="F679" s="220"/>
      <c r="G679" s="220"/>
      <c r="H679" s="220"/>
      <c r="I679" s="220"/>
    </row>
    <row r="680">
      <c r="B680" s="220"/>
      <c r="C680" s="220"/>
      <c r="D680" s="220"/>
      <c r="E680" s="220"/>
      <c r="F680" s="220"/>
      <c r="G680" s="220"/>
      <c r="H680" s="220"/>
      <c r="I680" s="220"/>
    </row>
    <row r="681">
      <c r="B681" s="220"/>
      <c r="C681" s="220"/>
      <c r="D681" s="220"/>
      <c r="E681" s="220"/>
      <c r="F681" s="220"/>
      <c r="G681" s="220"/>
      <c r="H681" s="220"/>
      <c r="I681" s="220"/>
    </row>
    <row r="682">
      <c r="B682" s="220"/>
      <c r="C682" s="220"/>
      <c r="D682" s="220"/>
      <c r="E682" s="220"/>
      <c r="F682" s="220"/>
      <c r="G682" s="220"/>
      <c r="H682" s="220"/>
      <c r="I682" s="220"/>
    </row>
    <row r="683">
      <c r="B683" s="220"/>
      <c r="C683" s="220"/>
      <c r="D683" s="220"/>
      <c r="E683" s="220"/>
      <c r="F683" s="220"/>
      <c r="G683" s="220"/>
      <c r="H683" s="220"/>
      <c r="I683" s="220"/>
    </row>
    <row r="684">
      <c r="B684" s="220"/>
      <c r="C684" s="220"/>
      <c r="D684" s="220"/>
      <c r="E684" s="220"/>
      <c r="F684" s="220"/>
      <c r="G684" s="220"/>
      <c r="H684" s="220"/>
      <c r="I684" s="220"/>
    </row>
    <row r="685">
      <c r="B685" s="220"/>
      <c r="C685" s="220"/>
      <c r="D685" s="220"/>
      <c r="E685" s="220"/>
      <c r="F685" s="220"/>
      <c r="G685" s="220"/>
      <c r="H685" s="220"/>
      <c r="I685" s="220"/>
    </row>
    <row r="686">
      <c r="B686" s="220"/>
      <c r="C686" s="220"/>
      <c r="D686" s="220"/>
      <c r="E686" s="220"/>
      <c r="F686" s="220"/>
      <c r="G686" s="220"/>
      <c r="H686" s="220"/>
      <c r="I686" s="220"/>
    </row>
    <row r="687">
      <c r="B687" s="220"/>
      <c r="C687" s="220"/>
      <c r="D687" s="220"/>
      <c r="E687" s="220"/>
      <c r="F687" s="220"/>
      <c r="G687" s="220"/>
      <c r="H687" s="220"/>
      <c r="I687" s="220"/>
    </row>
    <row r="688">
      <c r="B688" s="220"/>
      <c r="C688" s="220"/>
      <c r="D688" s="220"/>
      <c r="E688" s="220"/>
      <c r="F688" s="220"/>
      <c r="G688" s="220"/>
      <c r="H688" s="220"/>
      <c r="I688" s="220"/>
    </row>
    <row r="689">
      <c r="B689" s="220"/>
      <c r="C689" s="220"/>
      <c r="D689" s="220"/>
      <c r="E689" s="220"/>
      <c r="F689" s="220"/>
      <c r="G689" s="220"/>
      <c r="H689" s="220"/>
      <c r="I689" s="220"/>
    </row>
    <row r="690">
      <c r="B690" s="220"/>
      <c r="C690" s="220"/>
      <c r="D690" s="220"/>
      <c r="E690" s="220"/>
      <c r="F690" s="220"/>
      <c r="G690" s="220"/>
      <c r="H690" s="220"/>
      <c r="I690" s="220"/>
    </row>
    <row r="691">
      <c r="B691" s="220"/>
      <c r="C691" s="220"/>
      <c r="D691" s="220"/>
      <c r="E691" s="220"/>
      <c r="F691" s="220"/>
      <c r="G691" s="220"/>
      <c r="H691" s="220"/>
      <c r="I691" s="220"/>
    </row>
    <row r="692">
      <c r="B692" s="220"/>
      <c r="C692" s="220"/>
      <c r="D692" s="220"/>
      <c r="E692" s="220"/>
      <c r="F692" s="220"/>
      <c r="G692" s="220"/>
      <c r="H692" s="220"/>
      <c r="I692" s="220"/>
    </row>
    <row r="693">
      <c r="B693" s="220"/>
      <c r="C693" s="220"/>
      <c r="D693" s="220"/>
      <c r="E693" s="220"/>
      <c r="F693" s="220"/>
      <c r="G693" s="220"/>
      <c r="H693" s="220"/>
      <c r="I693" s="220"/>
    </row>
    <row r="694">
      <c r="B694" s="220"/>
      <c r="C694" s="220"/>
      <c r="D694" s="220"/>
      <c r="E694" s="220"/>
      <c r="F694" s="220"/>
      <c r="G694" s="220"/>
      <c r="H694" s="220"/>
      <c r="I694" s="220"/>
    </row>
    <row r="695">
      <c r="B695" s="220"/>
      <c r="C695" s="220"/>
      <c r="D695" s="220"/>
      <c r="E695" s="220"/>
      <c r="F695" s="220"/>
      <c r="G695" s="220"/>
      <c r="H695" s="220"/>
      <c r="I695" s="220"/>
    </row>
    <row r="696">
      <c r="B696" s="220"/>
      <c r="C696" s="220"/>
      <c r="D696" s="220"/>
      <c r="E696" s="220"/>
      <c r="F696" s="220"/>
      <c r="G696" s="220"/>
      <c r="H696" s="220"/>
      <c r="I696" s="220"/>
    </row>
    <row r="697">
      <c r="B697" s="220"/>
      <c r="C697" s="220"/>
      <c r="D697" s="220"/>
      <c r="E697" s="220"/>
      <c r="F697" s="220"/>
      <c r="G697" s="220"/>
      <c r="H697" s="220"/>
      <c r="I697" s="220"/>
    </row>
    <row r="698">
      <c r="B698" s="220"/>
      <c r="C698" s="220"/>
      <c r="D698" s="220"/>
      <c r="E698" s="220"/>
      <c r="F698" s="220"/>
      <c r="G698" s="220"/>
      <c r="H698" s="220"/>
      <c r="I698" s="220"/>
    </row>
    <row r="699">
      <c r="B699" s="220"/>
      <c r="C699" s="220"/>
      <c r="D699" s="220"/>
      <c r="E699" s="220"/>
      <c r="F699" s="220"/>
      <c r="G699" s="220"/>
      <c r="H699" s="220"/>
      <c r="I699" s="220"/>
    </row>
    <row r="700">
      <c r="B700" s="220"/>
      <c r="C700" s="220"/>
      <c r="D700" s="220"/>
      <c r="E700" s="220"/>
      <c r="F700" s="220"/>
      <c r="G700" s="220"/>
      <c r="H700" s="220"/>
      <c r="I700" s="220"/>
    </row>
    <row r="701">
      <c r="B701" s="220"/>
      <c r="C701" s="220"/>
      <c r="D701" s="220"/>
      <c r="E701" s="220"/>
      <c r="F701" s="220"/>
      <c r="G701" s="220"/>
      <c r="H701" s="220"/>
      <c r="I701" s="220"/>
    </row>
    <row r="702">
      <c r="B702" s="220"/>
      <c r="C702" s="220"/>
      <c r="D702" s="220"/>
      <c r="E702" s="220"/>
      <c r="F702" s="220"/>
      <c r="G702" s="220"/>
      <c r="H702" s="220"/>
      <c r="I702" s="220"/>
    </row>
    <row r="703">
      <c r="B703" s="220"/>
      <c r="C703" s="220"/>
      <c r="D703" s="220"/>
      <c r="E703" s="220"/>
      <c r="F703" s="220"/>
      <c r="G703" s="220"/>
      <c r="H703" s="220"/>
      <c r="I703" s="220"/>
    </row>
    <row r="704">
      <c r="B704" s="220"/>
      <c r="C704" s="220"/>
      <c r="D704" s="220"/>
      <c r="E704" s="220"/>
      <c r="F704" s="220"/>
      <c r="G704" s="220"/>
      <c r="H704" s="220"/>
      <c r="I704" s="220"/>
    </row>
    <row r="705">
      <c r="B705" s="220"/>
      <c r="C705" s="220"/>
      <c r="D705" s="220"/>
      <c r="E705" s="220"/>
      <c r="F705" s="220"/>
      <c r="G705" s="220"/>
      <c r="H705" s="220"/>
      <c r="I705" s="220"/>
    </row>
    <row r="706">
      <c r="B706" s="220"/>
      <c r="C706" s="220"/>
      <c r="D706" s="220"/>
      <c r="E706" s="220"/>
      <c r="F706" s="220"/>
      <c r="G706" s="220"/>
      <c r="H706" s="220"/>
      <c r="I706" s="220"/>
    </row>
    <row r="707">
      <c r="B707" s="220"/>
      <c r="C707" s="220"/>
      <c r="D707" s="220"/>
      <c r="E707" s="220"/>
      <c r="F707" s="220"/>
      <c r="G707" s="220"/>
      <c r="H707" s="220"/>
      <c r="I707" s="220"/>
    </row>
    <row r="708">
      <c r="B708" s="220"/>
      <c r="C708" s="220"/>
      <c r="D708" s="220"/>
      <c r="E708" s="220"/>
      <c r="F708" s="220"/>
      <c r="G708" s="220"/>
      <c r="H708" s="220"/>
      <c r="I708" s="220"/>
    </row>
    <row r="709">
      <c r="B709" s="220"/>
      <c r="C709" s="220"/>
      <c r="D709" s="220"/>
      <c r="E709" s="220"/>
      <c r="F709" s="220"/>
      <c r="G709" s="220"/>
      <c r="H709" s="220"/>
      <c r="I709" s="220"/>
    </row>
    <row r="710">
      <c r="B710" s="220"/>
      <c r="C710" s="220"/>
      <c r="D710" s="220"/>
      <c r="E710" s="220"/>
      <c r="F710" s="220"/>
      <c r="G710" s="220"/>
      <c r="H710" s="220"/>
      <c r="I710" s="220"/>
    </row>
    <row r="711">
      <c r="B711" s="220"/>
      <c r="C711" s="220"/>
      <c r="D711" s="220"/>
      <c r="E711" s="220"/>
      <c r="F711" s="220"/>
      <c r="G711" s="220"/>
      <c r="H711" s="220"/>
      <c r="I711" s="220"/>
    </row>
    <row r="712">
      <c r="B712" s="220"/>
      <c r="C712" s="220"/>
      <c r="D712" s="220"/>
      <c r="E712" s="220"/>
      <c r="F712" s="220"/>
      <c r="G712" s="220"/>
      <c r="H712" s="220"/>
      <c r="I712" s="220"/>
    </row>
    <row r="713">
      <c r="B713" s="220"/>
      <c r="C713" s="220"/>
      <c r="D713" s="220"/>
      <c r="E713" s="220"/>
      <c r="F713" s="220"/>
      <c r="G713" s="220"/>
      <c r="H713" s="220"/>
      <c r="I713" s="220"/>
    </row>
    <row r="714">
      <c r="B714" s="220"/>
      <c r="C714" s="220"/>
      <c r="D714" s="220"/>
      <c r="E714" s="220"/>
      <c r="F714" s="220"/>
      <c r="G714" s="220"/>
      <c r="H714" s="220"/>
      <c r="I714" s="220"/>
    </row>
    <row r="715">
      <c r="B715" s="220"/>
      <c r="C715" s="220"/>
      <c r="D715" s="220"/>
      <c r="E715" s="220"/>
      <c r="F715" s="220"/>
      <c r="G715" s="220"/>
      <c r="H715" s="220"/>
      <c r="I715" s="220"/>
    </row>
    <row r="716">
      <c r="B716" s="220"/>
      <c r="C716" s="220"/>
      <c r="D716" s="220"/>
      <c r="E716" s="220"/>
      <c r="F716" s="220"/>
      <c r="G716" s="220"/>
      <c r="H716" s="220"/>
      <c r="I716" s="220"/>
    </row>
    <row r="717">
      <c r="B717" s="220"/>
      <c r="C717" s="220"/>
      <c r="D717" s="220"/>
      <c r="E717" s="220"/>
      <c r="F717" s="220"/>
      <c r="G717" s="220"/>
      <c r="H717" s="220"/>
      <c r="I717" s="220"/>
    </row>
    <row r="718">
      <c r="B718" s="220"/>
      <c r="C718" s="220"/>
      <c r="D718" s="220"/>
      <c r="E718" s="220"/>
      <c r="F718" s="220"/>
      <c r="G718" s="220"/>
      <c r="H718" s="220"/>
      <c r="I718" s="220"/>
    </row>
    <row r="719">
      <c r="B719" s="220"/>
      <c r="C719" s="220"/>
      <c r="D719" s="220"/>
      <c r="E719" s="220"/>
      <c r="F719" s="220"/>
      <c r="G719" s="220"/>
      <c r="H719" s="220"/>
      <c r="I719" s="220"/>
    </row>
    <row r="720">
      <c r="B720" s="220"/>
      <c r="C720" s="220"/>
      <c r="D720" s="220"/>
      <c r="E720" s="220"/>
      <c r="F720" s="220"/>
      <c r="G720" s="220"/>
      <c r="H720" s="220"/>
      <c r="I720" s="220"/>
    </row>
    <row r="721">
      <c r="B721" s="220"/>
      <c r="C721" s="220"/>
      <c r="D721" s="220"/>
      <c r="E721" s="220"/>
      <c r="F721" s="220"/>
      <c r="G721" s="220"/>
      <c r="H721" s="220"/>
      <c r="I721" s="220"/>
    </row>
    <row r="722">
      <c r="B722" s="220"/>
      <c r="C722" s="220"/>
      <c r="D722" s="220"/>
      <c r="E722" s="220"/>
      <c r="F722" s="220"/>
      <c r="G722" s="220"/>
      <c r="H722" s="220"/>
      <c r="I722" s="220"/>
    </row>
    <row r="723">
      <c r="B723" s="220"/>
      <c r="C723" s="220"/>
      <c r="D723" s="220"/>
      <c r="E723" s="220"/>
      <c r="F723" s="220"/>
      <c r="G723" s="220"/>
      <c r="H723" s="220"/>
      <c r="I723" s="220"/>
    </row>
    <row r="724">
      <c r="B724" s="220"/>
      <c r="C724" s="220"/>
      <c r="D724" s="220"/>
      <c r="E724" s="220"/>
      <c r="F724" s="220"/>
      <c r="G724" s="220"/>
      <c r="H724" s="220"/>
      <c r="I724" s="220"/>
    </row>
    <row r="725">
      <c r="B725" s="220"/>
      <c r="C725" s="220"/>
      <c r="D725" s="220"/>
      <c r="E725" s="220"/>
      <c r="F725" s="220"/>
      <c r="G725" s="220"/>
      <c r="H725" s="220"/>
      <c r="I725" s="220"/>
    </row>
    <row r="726">
      <c r="B726" s="220"/>
      <c r="C726" s="220"/>
      <c r="D726" s="220"/>
      <c r="E726" s="220"/>
      <c r="F726" s="220"/>
      <c r="G726" s="220"/>
      <c r="H726" s="220"/>
      <c r="I726" s="220"/>
    </row>
    <row r="727">
      <c r="B727" s="220"/>
      <c r="C727" s="220"/>
      <c r="D727" s="220"/>
      <c r="E727" s="220"/>
      <c r="F727" s="220"/>
      <c r="G727" s="220"/>
      <c r="H727" s="220"/>
      <c r="I727" s="220"/>
    </row>
    <row r="728">
      <c r="B728" s="220"/>
      <c r="C728" s="220"/>
      <c r="D728" s="220"/>
      <c r="E728" s="220"/>
      <c r="F728" s="220"/>
      <c r="G728" s="220"/>
      <c r="H728" s="220"/>
      <c r="I728" s="220"/>
    </row>
    <row r="729">
      <c r="B729" s="220"/>
      <c r="C729" s="220"/>
      <c r="D729" s="220"/>
      <c r="E729" s="220"/>
      <c r="F729" s="220"/>
      <c r="G729" s="220"/>
      <c r="H729" s="220"/>
      <c r="I729" s="220"/>
    </row>
    <row r="730">
      <c r="B730" s="220"/>
      <c r="C730" s="220"/>
      <c r="D730" s="220"/>
      <c r="E730" s="220"/>
      <c r="F730" s="220"/>
      <c r="G730" s="220"/>
      <c r="H730" s="220"/>
      <c r="I730" s="220"/>
    </row>
    <row r="731">
      <c r="B731" s="220"/>
      <c r="C731" s="220"/>
      <c r="D731" s="220"/>
      <c r="E731" s="220"/>
      <c r="F731" s="220"/>
      <c r="G731" s="220"/>
      <c r="H731" s="220"/>
      <c r="I731" s="220"/>
    </row>
    <row r="732">
      <c r="B732" s="220"/>
      <c r="C732" s="220"/>
      <c r="D732" s="220"/>
      <c r="E732" s="220"/>
      <c r="F732" s="220"/>
      <c r="G732" s="220"/>
      <c r="H732" s="220"/>
      <c r="I732" s="220"/>
    </row>
    <row r="733">
      <c r="B733" s="220"/>
      <c r="C733" s="220"/>
      <c r="D733" s="220"/>
      <c r="E733" s="220"/>
      <c r="F733" s="220"/>
      <c r="G733" s="220"/>
      <c r="H733" s="220"/>
      <c r="I733" s="220"/>
    </row>
    <row r="734">
      <c r="B734" s="220"/>
      <c r="C734" s="220"/>
      <c r="D734" s="220"/>
      <c r="E734" s="220"/>
      <c r="F734" s="220"/>
      <c r="G734" s="220"/>
      <c r="H734" s="220"/>
      <c r="I734" s="220"/>
    </row>
    <row r="735">
      <c r="B735" s="220"/>
      <c r="C735" s="220"/>
      <c r="D735" s="220"/>
      <c r="E735" s="220"/>
      <c r="F735" s="220"/>
      <c r="G735" s="220"/>
      <c r="H735" s="220"/>
      <c r="I735" s="220"/>
    </row>
    <row r="736">
      <c r="B736" s="220"/>
      <c r="C736" s="220"/>
      <c r="D736" s="220"/>
      <c r="E736" s="220"/>
      <c r="F736" s="220"/>
      <c r="G736" s="220"/>
      <c r="H736" s="220"/>
      <c r="I736" s="220"/>
    </row>
    <row r="737">
      <c r="B737" s="220"/>
      <c r="C737" s="220"/>
      <c r="D737" s="220"/>
      <c r="E737" s="220"/>
      <c r="F737" s="220"/>
      <c r="G737" s="220"/>
      <c r="H737" s="220"/>
      <c r="I737" s="220"/>
    </row>
    <row r="738">
      <c r="B738" s="220"/>
      <c r="C738" s="220"/>
      <c r="D738" s="220"/>
      <c r="E738" s="220"/>
      <c r="F738" s="220"/>
      <c r="G738" s="220"/>
      <c r="H738" s="220"/>
      <c r="I738" s="220"/>
    </row>
    <row r="739">
      <c r="B739" s="220"/>
      <c r="C739" s="220"/>
      <c r="D739" s="220"/>
      <c r="E739" s="220"/>
      <c r="F739" s="220"/>
      <c r="G739" s="220"/>
      <c r="H739" s="220"/>
      <c r="I739" s="220"/>
    </row>
    <row r="740">
      <c r="B740" s="220"/>
      <c r="C740" s="220"/>
      <c r="D740" s="220"/>
      <c r="E740" s="220"/>
      <c r="F740" s="220"/>
      <c r="G740" s="220"/>
      <c r="H740" s="220"/>
      <c r="I740" s="220"/>
    </row>
    <row r="741">
      <c r="B741" s="220"/>
      <c r="C741" s="220"/>
      <c r="D741" s="220"/>
      <c r="E741" s="220"/>
      <c r="F741" s="220"/>
      <c r="G741" s="220"/>
      <c r="H741" s="220"/>
      <c r="I741" s="220"/>
    </row>
    <row r="742">
      <c r="B742" s="220"/>
      <c r="C742" s="220"/>
      <c r="D742" s="220"/>
      <c r="E742" s="220"/>
      <c r="F742" s="220"/>
      <c r="G742" s="220"/>
      <c r="H742" s="220"/>
      <c r="I742" s="220"/>
    </row>
    <row r="743">
      <c r="B743" s="220"/>
      <c r="C743" s="220"/>
      <c r="D743" s="220"/>
      <c r="E743" s="220"/>
      <c r="F743" s="220"/>
      <c r="G743" s="220"/>
      <c r="H743" s="220"/>
      <c r="I743" s="220"/>
    </row>
    <row r="744">
      <c r="B744" s="220"/>
      <c r="C744" s="220"/>
      <c r="D744" s="220"/>
      <c r="E744" s="220"/>
      <c r="F744" s="220"/>
      <c r="G744" s="220"/>
      <c r="H744" s="220"/>
      <c r="I744" s="220"/>
    </row>
    <row r="745">
      <c r="B745" s="220"/>
      <c r="C745" s="220"/>
      <c r="D745" s="220"/>
      <c r="E745" s="220"/>
      <c r="F745" s="220"/>
      <c r="G745" s="220"/>
      <c r="H745" s="220"/>
      <c r="I745" s="220"/>
    </row>
    <row r="746">
      <c r="B746" s="220"/>
      <c r="C746" s="220"/>
      <c r="D746" s="220"/>
      <c r="E746" s="220"/>
      <c r="F746" s="220"/>
      <c r="G746" s="220"/>
      <c r="H746" s="220"/>
      <c r="I746" s="220"/>
    </row>
    <row r="747">
      <c r="B747" s="220"/>
      <c r="C747" s="220"/>
      <c r="D747" s="220"/>
      <c r="E747" s="220"/>
      <c r="F747" s="220"/>
      <c r="G747" s="220"/>
      <c r="H747" s="220"/>
      <c r="I747" s="220"/>
    </row>
    <row r="748">
      <c r="B748" s="220"/>
      <c r="C748" s="220"/>
      <c r="D748" s="220"/>
      <c r="E748" s="220"/>
      <c r="F748" s="220"/>
      <c r="G748" s="220"/>
      <c r="H748" s="220"/>
      <c r="I748" s="220"/>
    </row>
    <row r="749">
      <c r="B749" s="220"/>
      <c r="C749" s="220"/>
      <c r="D749" s="220"/>
      <c r="E749" s="220"/>
      <c r="F749" s="220"/>
      <c r="G749" s="220"/>
      <c r="H749" s="220"/>
      <c r="I749" s="220"/>
    </row>
    <row r="750">
      <c r="B750" s="220"/>
      <c r="C750" s="220"/>
      <c r="D750" s="220"/>
      <c r="E750" s="220"/>
      <c r="F750" s="220"/>
      <c r="G750" s="220"/>
      <c r="H750" s="220"/>
      <c r="I750" s="220"/>
    </row>
    <row r="751">
      <c r="B751" s="220"/>
      <c r="C751" s="220"/>
      <c r="D751" s="220"/>
      <c r="E751" s="220"/>
      <c r="F751" s="220"/>
      <c r="G751" s="220"/>
      <c r="H751" s="220"/>
      <c r="I751" s="220"/>
    </row>
    <row r="752">
      <c r="B752" s="220"/>
      <c r="C752" s="220"/>
      <c r="D752" s="220"/>
      <c r="E752" s="220"/>
      <c r="F752" s="220"/>
      <c r="G752" s="220"/>
      <c r="H752" s="220"/>
      <c r="I752" s="220"/>
    </row>
    <row r="753">
      <c r="B753" s="220"/>
      <c r="C753" s="220"/>
      <c r="D753" s="220"/>
      <c r="E753" s="220"/>
      <c r="F753" s="220"/>
      <c r="G753" s="220"/>
      <c r="H753" s="220"/>
      <c r="I753" s="220"/>
    </row>
    <row r="754">
      <c r="B754" s="220"/>
      <c r="C754" s="220"/>
      <c r="D754" s="220"/>
      <c r="E754" s="220"/>
      <c r="F754" s="220"/>
      <c r="G754" s="220"/>
      <c r="H754" s="220"/>
      <c r="I754" s="220"/>
    </row>
    <row r="755">
      <c r="B755" s="220"/>
      <c r="C755" s="220"/>
      <c r="D755" s="220"/>
      <c r="E755" s="220"/>
      <c r="F755" s="220"/>
      <c r="G755" s="220"/>
      <c r="H755" s="220"/>
      <c r="I755" s="220"/>
    </row>
    <row r="756">
      <c r="B756" s="220"/>
      <c r="C756" s="220"/>
      <c r="D756" s="220"/>
      <c r="E756" s="220"/>
      <c r="F756" s="220"/>
      <c r="G756" s="220"/>
      <c r="H756" s="220"/>
      <c r="I756" s="220"/>
    </row>
    <row r="757">
      <c r="B757" s="220"/>
      <c r="C757" s="220"/>
      <c r="D757" s="220"/>
      <c r="E757" s="220"/>
      <c r="F757" s="220"/>
      <c r="G757" s="220"/>
      <c r="H757" s="220"/>
      <c r="I757" s="220"/>
    </row>
    <row r="758">
      <c r="B758" s="220"/>
      <c r="C758" s="220"/>
      <c r="D758" s="220"/>
      <c r="E758" s="220"/>
      <c r="F758" s="220"/>
      <c r="G758" s="220"/>
      <c r="H758" s="220"/>
      <c r="I758" s="220"/>
    </row>
    <row r="759">
      <c r="B759" s="220"/>
      <c r="C759" s="220"/>
      <c r="D759" s="220"/>
      <c r="E759" s="220"/>
      <c r="F759" s="220"/>
      <c r="G759" s="220"/>
      <c r="H759" s="220"/>
      <c r="I759" s="220"/>
    </row>
    <row r="760">
      <c r="B760" s="220"/>
      <c r="C760" s="220"/>
      <c r="D760" s="220"/>
      <c r="E760" s="220"/>
      <c r="F760" s="220"/>
      <c r="G760" s="220"/>
      <c r="H760" s="220"/>
      <c r="I760" s="220"/>
    </row>
    <row r="761">
      <c r="B761" s="220"/>
      <c r="C761" s="220"/>
      <c r="D761" s="220"/>
      <c r="E761" s="220"/>
      <c r="F761" s="220"/>
      <c r="G761" s="220"/>
      <c r="H761" s="220"/>
      <c r="I761" s="220"/>
    </row>
    <row r="762">
      <c r="B762" s="220"/>
      <c r="C762" s="220"/>
      <c r="D762" s="220"/>
      <c r="E762" s="220"/>
      <c r="F762" s="220"/>
      <c r="G762" s="220"/>
      <c r="H762" s="220"/>
      <c r="I762" s="220"/>
    </row>
    <row r="763">
      <c r="B763" s="220"/>
      <c r="C763" s="220"/>
      <c r="D763" s="220"/>
      <c r="E763" s="220"/>
      <c r="F763" s="220"/>
      <c r="G763" s="220"/>
      <c r="H763" s="220"/>
      <c r="I763" s="220"/>
    </row>
    <row r="764">
      <c r="B764" s="220"/>
      <c r="C764" s="220"/>
      <c r="D764" s="220"/>
      <c r="E764" s="220"/>
      <c r="F764" s="220"/>
      <c r="G764" s="220"/>
      <c r="H764" s="220"/>
      <c r="I764" s="220"/>
    </row>
    <row r="765">
      <c r="B765" s="220"/>
      <c r="C765" s="220"/>
      <c r="D765" s="220"/>
      <c r="E765" s="220"/>
      <c r="F765" s="220"/>
      <c r="G765" s="220"/>
      <c r="H765" s="220"/>
      <c r="I765" s="220"/>
    </row>
    <row r="766">
      <c r="B766" s="220"/>
      <c r="C766" s="220"/>
      <c r="D766" s="220"/>
      <c r="E766" s="220"/>
      <c r="F766" s="220"/>
      <c r="G766" s="220"/>
      <c r="H766" s="220"/>
      <c r="I766" s="220"/>
    </row>
    <row r="767">
      <c r="B767" s="220"/>
      <c r="C767" s="220"/>
      <c r="D767" s="220"/>
      <c r="E767" s="220"/>
      <c r="F767" s="220"/>
      <c r="G767" s="220"/>
      <c r="H767" s="220"/>
      <c r="I767" s="220"/>
    </row>
    <row r="768">
      <c r="B768" s="220"/>
      <c r="C768" s="220"/>
      <c r="D768" s="220"/>
      <c r="E768" s="220"/>
      <c r="F768" s="220"/>
      <c r="G768" s="220"/>
      <c r="H768" s="220"/>
      <c r="I768" s="220"/>
    </row>
    <row r="769">
      <c r="B769" s="220"/>
      <c r="C769" s="220"/>
      <c r="D769" s="220"/>
      <c r="E769" s="220"/>
      <c r="F769" s="220"/>
      <c r="G769" s="220"/>
      <c r="H769" s="220"/>
      <c r="I769" s="220"/>
    </row>
    <row r="770">
      <c r="B770" s="220"/>
      <c r="C770" s="220"/>
      <c r="D770" s="220"/>
      <c r="E770" s="220"/>
      <c r="F770" s="220"/>
      <c r="G770" s="220"/>
      <c r="H770" s="220"/>
      <c r="I770" s="220"/>
    </row>
    <row r="771">
      <c r="B771" s="220"/>
      <c r="C771" s="220"/>
      <c r="D771" s="220"/>
      <c r="E771" s="220"/>
      <c r="F771" s="220"/>
      <c r="G771" s="220"/>
      <c r="H771" s="220"/>
      <c r="I771" s="220"/>
    </row>
    <row r="772">
      <c r="B772" s="220"/>
      <c r="C772" s="220"/>
      <c r="D772" s="220"/>
      <c r="E772" s="220"/>
      <c r="F772" s="220"/>
      <c r="G772" s="220"/>
      <c r="H772" s="220"/>
      <c r="I772" s="220"/>
    </row>
    <row r="773">
      <c r="B773" s="220"/>
      <c r="C773" s="220"/>
      <c r="D773" s="220"/>
      <c r="E773" s="220"/>
      <c r="F773" s="220"/>
      <c r="G773" s="220"/>
      <c r="H773" s="220"/>
      <c r="I773" s="220"/>
    </row>
    <row r="774">
      <c r="B774" s="220"/>
      <c r="C774" s="220"/>
      <c r="D774" s="220"/>
      <c r="E774" s="220"/>
      <c r="F774" s="220"/>
      <c r="G774" s="220"/>
      <c r="H774" s="220"/>
      <c r="I774" s="220"/>
    </row>
    <row r="775">
      <c r="B775" s="220"/>
      <c r="C775" s="220"/>
      <c r="D775" s="220"/>
      <c r="E775" s="220"/>
      <c r="F775" s="220"/>
      <c r="G775" s="220"/>
      <c r="H775" s="220"/>
      <c r="I775" s="220"/>
    </row>
    <row r="776">
      <c r="B776" s="220"/>
      <c r="C776" s="220"/>
      <c r="D776" s="220"/>
      <c r="E776" s="220"/>
      <c r="F776" s="220"/>
      <c r="G776" s="220"/>
      <c r="H776" s="220"/>
      <c r="I776" s="220"/>
    </row>
    <row r="777">
      <c r="B777" s="220"/>
      <c r="C777" s="220"/>
      <c r="D777" s="220"/>
      <c r="E777" s="220"/>
      <c r="F777" s="220"/>
      <c r="G777" s="220"/>
      <c r="H777" s="220"/>
      <c r="I777" s="220"/>
    </row>
    <row r="778">
      <c r="B778" s="220"/>
      <c r="C778" s="220"/>
      <c r="D778" s="220"/>
      <c r="E778" s="220"/>
      <c r="F778" s="220"/>
      <c r="G778" s="220"/>
      <c r="H778" s="220"/>
      <c r="I778" s="220"/>
    </row>
    <row r="779">
      <c r="B779" s="220"/>
      <c r="C779" s="220"/>
      <c r="D779" s="220"/>
      <c r="E779" s="220"/>
      <c r="F779" s="220"/>
      <c r="G779" s="220"/>
      <c r="H779" s="220"/>
      <c r="I779" s="220"/>
    </row>
    <row r="780">
      <c r="B780" s="220"/>
      <c r="C780" s="220"/>
      <c r="D780" s="220"/>
      <c r="E780" s="220"/>
      <c r="F780" s="220"/>
      <c r="G780" s="220"/>
      <c r="H780" s="220"/>
      <c r="I780" s="220"/>
    </row>
    <row r="781">
      <c r="B781" s="220"/>
      <c r="C781" s="220"/>
      <c r="D781" s="220"/>
      <c r="E781" s="220"/>
      <c r="F781" s="220"/>
      <c r="G781" s="220"/>
      <c r="H781" s="220"/>
      <c r="I781" s="220"/>
    </row>
    <row r="782">
      <c r="B782" s="220"/>
      <c r="C782" s="220"/>
      <c r="D782" s="220"/>
      <c r="E782" s="220"/>
      <c r="F782" s="220"/>
      <c r="G782" s="220"/>
      <c r="H782" s="220"/>
      <c r="I782" s="220"/>
    </row>
    <row r="783">
      <c r="B783" s="220"/>
      <c r="C783" s="220"/>
      <c r="D783" s="220"/>
      <c r="E783" s="220"/>
      <c r="F783" s="220"/>
      <c r="G783" s="220"/>
      <c r="H783" s="220"/>
      <c r="I783" s="220"/>
    </row>
    <row r="784">
      <c r="B784" s="220"/>
      <c r="C784" s="220"/>
      <c r="D784" s="220"/>
      <c r="E784" s="220"/>
      <c r="F784" s="220"/>
      <c r="G784" s="220"/>
      <c r="H784" s="220"/>
      <c r="I784" s="220"/>
    </row>
    <row r="785">
      <c r="B785" s="220"/>
      <c r="C785" s="220"/>
      <c r="D785" s="220"/>
      <c r="E785" s="220"/>
      <c r="F785" s="220"/>
      <c r="G785" s="220"/>
      <c r="H785" s="220"/>
      <c r="I785" s="220"/>
    </row>
    <row r="786">
      <c r="B786" s="220"/>
      <c r="C786" s="220"/>
      <c r="D786" s="220"/>
      <c r="E786" s="220"/>
      <c r="F786" s="220"/>
      <c r="G786" s="220"/>
      <c r="H786" s="220"/>
      <c r="I786" s="220"/>
    </row>
    <row r="787">
      <c r="B787" s="220"/>
      <c r="C787" s="220"/>
      <c r="D787" s="220"/>
      <c r="E787" s="220"/>
      <c r="F787" s="220"/>
      <c r="G787" s="220"/>
      <c r="H787" s="220"/>
      <c r="I787" s="220"/>
    </row>
    <row r="788">
      <c r="B788" s="220"/>
      <c r="C788" s="220"/>
      <c r="D788" s="220"/>
      <c r="E788" s="220"/>
      <c r="F788" s="220"/>
      <c r="G788" s="220"/>
      <c r="H788" s="220"/>
      <c r="I788" s="220"/>
    </row>
    <row r="789">
      <c r="B789" s="220"/>
      <c r="C789" s="220"/>
      <c r="D789" s="220"/>
      <c r="E789" s="220"/>
      <c r="F789" s="220"/>
      <c r="G789" s="220"/>
      <c r="H789" s="220"/>
      <c r="I789" s="220"/>
    </row>
    <row r="790">
      <c r="B790" s="220"/>
      <c r="C790" s="220"/>
      <c r="D790" s="220"/>
      <c r="E790" s="220"/>
      <c r="F790" s="220"/>
      <c r="G790" s="220"/>
      <c r="H790" s="220"/>
      <c r="I790" s="220"/>
    </row>
    <row r="791">
      <c r="B791" s="220"/>
      <c r="C791" s="220"/>
      <c r="D791" s="220"/>
      <c r="E791" s="220"/>
      <c r="F791" s="220"/>
      <c r="G791" s="220"/>
      <c r="H791" s="220"/>
      <c r="I791" s="220"/>
    </row>
    <row r="792">
      <c r="B792" s="220"/>
      <c r="C792" s="220"/>
      <c r="D792" s="220"/>
      <c r="E792" s="220"/>
      <c r="F792" s="220"/>
      <c r="G792" s="220"/>
      <c r="H792" s="220"/>
      <c r="I792" s="220"/>
    </row>
    <row r="793">
      <c r="B793" s="220"/>
      <c r="C793" s="220"/>
      <c r="D793" s="220"/>
      <c r="E793" s="220"/>
      <c r="F793" s="220"/>
      <c r="G793" s="220"/>
      <c r="H793" s="220"/>
      <c r="I793" s="220"/>
    </row>
    <row r="794">
      <c r="B794" s="220"/>
      <c r="C794" s="220"/>
      <c r="D794" s="220"/>
      <c r="E794" s="220"/>
      <c r="F794" s="220"/>
      <c r="G794" s="220"/>
      <c r="H794" s="220"/>
      <c r="I794" s="220"/>
    </row>
    <row r="795">
      <c r="B795" s="220"/>
      <c r="C795" s="220"/>
      <c r="D795" s="220"/>
      <c r="E795" s="220"/>
      <c r="F795" s="220"/>
      <c r="G795" s="220"/>
      <c r="H795" s="220"/>
      <c r="I795" s="220"/>
    </row>
    <row r="796">
      <c r="B796" s="220"/>
      <c r="C796" s="220"/>
      <c r="D796" s="220"/>
      <c r="E796" s="220"/>
      <c r="F796" s="220"/>
      <c r="G796" s="220"/>
      <c r="H796" s="220"/>
      <c r="I796" s="220"/>
    </row>
    <row r="797">
      <c r="B797" s="220"/>
      <c r="C797" s="220"/>
      <c r="D797" s="220"/>
      <c r="E797" s="220"/>
      <c r="F797" s="220"/>
      <c r="G797" s="220"/>
      <c r="H797" s="220"/>
      <c r="I797" s="220"/>
    </row>
    <row r="798">
      <c r="B798" s="220"/>
      <c r="C798" s="220"/>
      <c r="D798" s="220"/>
      <c r="E798" s="220"/>
      <c r="F798" s="220"/>
      <c r="G798" s="220"/>
      <c r="H798" s="220"/>
      <c r="I798" s="220"/>
    </row>
    <row r="799">
      <c r="B799" s="220"/>
      <c r="C799" s="220"/>
      <c r="D799" s="220"/>
      <c r="E799" s="220"/>
      <c r="F799" s="220"/>
      <c r="G799" s="220"/>
      <c r="H799" s="220"/>
      <c r="I799" s="220"/>
    </row>
    <row r="800">
      <c r="B800" s="220"/>
      <c r="C800" s="220"/>
      <c r="D800" s="220"/>
      <c r="E800" s="220"/>
      <c r="F800" s="220"/>
      <c r="G800" s="220"/>
      <c r="H800" s="220"/>
      <c r="I800" s="220"/>
    </row>
    <row r="801">
      <c r="B801" s="220"/>
      <c r="C801" s="220"/>
      <c r="D801" s="220"/>
      <c r="E801" s="220"/>
      <c r="F801" s="220"/>
      <c r="G801" s="220"/>
      <c r="H801" s="220"/>
      <c r="I801" s="220"/>
    </row>
    <row r="802">
      <c r="B802" s="220"/>
      <c r="C802" s="220"/>
      <c r="D802" s="220"/>
      <c r="E802" s="220"/>
      <c r="F802" s="220"/>
      <c r="G802" s="220"/>
      <c r="H802" s="220"/>
      <c r="I802" s="220"/>
    </row>
    <row r="803">
      <c r="B803" s="220"/>
      <c r="C803" s="220"/>
      <c r="D803" s="220"/>
      <c r="E803" s="220"/>
      <c r="F803" s="220"/>
      <c r="G803" s="220"/>
      <c r="H803" s="220"/>
      <c r="I803" s="220"/>
    </row>
    <row r="804">
      <c r="B804" s="220"/>
      <c r="C804" s="220"/>
      <c r="D804" s="220"/>
      <c r="E804" s="220"/>
      <c r="F804" s="220"/>
      <c r="G804" s="220"/>
      <c r="H804" s="220"/>
      <c r="I804" s="220"/>
    </row>
    <row r="805">
      <c r="B805" s="220"/>
      <c r="C805" s="220"/>
      <c r="D805" s="220"/>
      <c r="E805" s="220"/>
      <c r="F805" s="220"/>
      <c r="G805" s="220"/>
      <c r="H805" s="220"/>
      <c r="I805" s="220"/>
    </row>
    <row r="806">
      <c r="B806" s="220"/>
      <c r="C806" s="220"/>
      <c r="D806" s="220"/>
      <c r="E806" s="220"/>
      <c r="F806" s="220"/>
      <c r="G806" s="220"/>
      <c r="H806" s="220"/>
      <c r="I806" s="220"/>
    </row>
    <row r="807">
      <c r="B807" s="220"/>
      <c r="C807" s="220"/>
      <c r="D807" s="220"/>
      <c r="E807" s="220"/>
      <c r="F807" s="220"/>
      <c r="G807" s="220"/>
      <c r="H807" s="220"/>
      <c r="I807" s="220"/>
    </row>
    <row r="808">
      <c r="B808" s="220"/>
      <c r="C808" s="220"/>
      <c r="D808" s="220"/>
      <c r="E808" s="220"/>
      <c r="F808" s="220"/>
      <c r="G808" s="220"/>
      <c r="H808" s="220"/>
      <c r="I808" s="220"/>
    </row>
    <row r="809">
      <c r="B809" s="220"/>
      <c r="C809" s="220"/>
      <c r="D809" s="220"/>
      <c r="E809" s="220"/>
      <c r="F809" s="220"/>
      <c r="G809" s="220"/>
      <c r="H809" s="220"/>
      <c r="I809" s="220"/>
    </row>
    <row r="810">
      <c r="B810" s="220"/>
      <c r="C810" s="220"/>
      <c r="D810" s="220"/>
      <c r="E810" s="220"/>
      <c r="F810" s="220"/>
      <c r="G810" s="220"/>
      <c r="H810" s="220"/>
      <c r="I810" s="220"/>
    </row>
    <row r="811">
      <c r="B811" s="220"/>
      <c r="C811" s="220"/>
      <c r="D811" s="220"/>
      <c r="E811" s="220"/>
      <c r="F811" s="220"/>
      <c r="G811" s="220"/>
      <c r="H811" s="220"/>
      <c r="I811" s="220"/>
    </row>
    <row r="812">
      <c r="B812" s="220"/>
      <c r="C812" s="220"/>
      <c r="D812" s="220"/>
      <c r="E812" s="220"/>
      <c r="F812" s="220"/>
      <c r="G812" s="220"/>
      <c r="H812" s="220"/>
      <c r="I812" s="220"/>
    </row>
    <row r="813">
      <c r="B813" s="220"/>
      <c r="C813" s="220"/>
      <c r="D813" s="220"/>
      <c r="E813" s="220"/>
      <c r="F813" s="220"/>
      <c r="G813" s="220"/>
      <c r="H813" s="220"/>
      <c r="I813" s="220"/>
    </row>
    <row r="814">
      <c r="B814" s="220"/>
      <c r="C814" s="220"/>
      <c r="D814" s="220"/>
      <c r="E814" s="220"/>
      <c r="F814" s="220"/>
      <c r="G814" s="220"/>
      <c r="H814" s="220"/>
      <c r="I814" s="220"/>
    </row>
    <row r="815">
      <c r="B815" s="220"/>
      <c r="C815" s="220"/>
      <c r="D815" s="220"/>
      <c r="E815" s="220"/>
      <c r="F815" s="220"/>
      <c r="G815" s="220"/>
      <c r="H815" s="220"/>
      <c r="I815" s="220"/>
    </row>
    <row r="816">
      <c r="B816" s="220"/>
      <c r="C816" s="220"/>
      <c r="D816" s="220"/>
      <c r="E816" s="220"/>
      <c r="F816" s="220"/>
      <c r="G816" s="220"/>
      <c r="H816" s="220"/>
      <c r="I816" s="220"/>
    </row>
    <row r="817">
      <c r="B817" s="220"/>
      <c r="C817" s="220"/>
      <c r="D817" s="220"/>
      <c r="E817" s="220"/>
      <c r="F817" s="220"/>
      <c r="G817" s="220"/>
      <c r="H817" s="220"/>
      <c r="I817" s="220"/>
    </row>
    <row r="818">
      <c r="B818" s="220"/>
      <c r="C818" s="220"/>
      <c r="D818" s="220"/>
      <c r="E818" s="220"/>
      <c r="F818" s="220"/>
      <c r="G818" s="220"/>
      <c r="H818" s="220"/>
      <c r="I818" s="220"/>
    </row>
    <row r="819">
      <c r="B819" s="220"/>
      <c r="C819" s="220"/>
      <c r="D819" s="220"/>
      <c r="E819" s="220"/>
      <c r="F819" s="220"/>
      <c r="G819" s="220"/>
      <c r="H819" s="220"/>
      <c r="I819" s="220"/>
    </row>
    <row r="820">
      <c r="B820" s="220"/>
      <c r="C820" s="220"/>
      <c r="D820" s="220"/>
      <c r="E820" s="220"/>
      <c r="F820" s="220"/>
      <c r="G820" s="220"/>
      <c r="H820" s="220"/>
      <c r="I820" s="220"/>
    </row>
    <row r="821">
      <c r="B821" s="220"/>
      <c r="C821" s="220"/>
      <c r="D821" s="220"/>
      <c r="E821" s="220"/>
      <c r="F821" s="220"/>
      <c r="G821" s="220"/>
      <c r="H821" s="220"/>
      <c r="I821" s="220"/>
    </row>
    <row r="822">
      <c r="B822" s="220"/>
      <c r="C822" s="220"/>
      <c r="D822" s="220"/>
      <c r="E822" s="220"/>
      <c r="F822" s="220"/>
      <c r="G822" s="220"/>
      <c r="H822" s="220"/>
      <c r="I822" s="220"/>
    </row>
    <row r="823">
      <c r="B823" s="220"/>
      <c r="C823" s="220"/>
      <c r="D823" s="220"/>
      <c r="E823" s="220"/>
      <c r="F823" s="220"/>
      <c r="G823" s="220"/>
      <c r="H823" s="220"/>
      <c r="I823" s="220"/>
    </row>
    <row r="824">
      <c r="B824" s="220"/>
      <c r="C824" s="220"/>
      <c r="D824" s="220"/>
      <c r="E824" s="220"/>
      <c r="F824" s="220"/>
      <c r="G824" s="220"/>
      <c r="H824" s="220"/>
      <c r="I824" s="220"/>
    </row>
    <row r="825">
      <c r="B825" s="220"/>
      <c r="C825" s="220"/>
      <c r="D825" s="220"/>
      <c r="E825" s="220"/>
      <c r="F825" s="220"/>
      <c r="G825" s="220"/>
      <c r="H825" s="220"/>
      <c r="I825" s="220"/>
    </row>
    <row r="826">
      <c r="B826" s="220"/>
      <c r="C826" s="220"/>
      <c r="D826" s="220"/>
      <c r="E826" s="220"/>
      <c r="F826" s="220"/>
      <c r="G826" s="220"/>
      <c r="H826" s="220"/>
      <c r="I826" s="220"/>
    </row>
    <row r="827">
      <c r="B827" s="220"/>
      <c r="C827" s="220"/>
      <c r="D827" s="220"/>
      <c r="E827" s="220"/>
      <c r="F827" s="220"/>
      <c r="G827" s="220"/>
      <c r="H827" s="220"/>
      <c r="I827" s="220"/>
    </row>
    <row r="828">
      <c r="B828" s="220"/>
      <c r="C828" s="220"/>
      <c r="D828" s="220"/>
      <c r="E828" s="220"/>
      <c r="F828" s="220"/>
      <c r="G828" s="220"/>
      <c r="H828" s="220"/>
      <c r="I828" s="220"/>
    </row>
    <row r="829">
      <c r="B829" s="220"/>
      <c r="C829" s="220"/>
      <c r="D829" s="220"/>
      <c r="E829" s="220"/>
      <c r="F829" s="220"/>
      <c r="G829" s="220"/>
      <c r="H829" s="220"/>
      <c r="I829" s="220"/>
    </row>
    <row r="830">
      <c r="B830" s="220"/>
      <c r="C830" s="220"/>
      <c r="D830" s="220"/>
      <c r="E830" s="220"/>
      <c r="F830" s="220"/>
      <c r="G830" s="220"/>
      <c r="H830" s="220"/>
      <c r="I830" s="220"/>
    </row>
    <row r="831">
      <c r="B831" s="220"/>
      <c r="C831" s="220"/>
      <c r="D831" s="220"/>
      <c r="E831" s="220"/>
      <c r="F831" s="220"/>
      <c r="G831" s="220"/>
      <c r="H831" s="220"/>
      <c r="I831" s="220"/>
    </row>
    <row r="832">
      <c r="B832" s="220"/>
      <c r="C832" s="220"/>
      <c r="D832" s="220"/>
      <c r="E832" s="220"/>
      <c r="F832" s="220"/>
      <c r="G832" s="220"/>
      <c r="H832" s="220"/>
      <c r="I832" s="220"/>
    </row>
    <row r="833">
      <c r="B833" s="220"/>
      <c r="C833" s="220"/>
      <c r="D833" s="220"/>
      <c r="E833" s="220"/>
      <c r="F833" s="220"/>
      <c r="G833" s="220"/>
      <c r="H833" s="220"/>
      <c r="I833" s="220"/>
    </row>
    <row r="834">
      <c r="B834" s="220"/>
      <c r="C834" s="220"/>
      <c r="D834" s="220"/>
      <c r="E834" s="220"/>
      <c r="F834" s="220"/>
      <c r="G834" s="220"/>
      <c r="H834" s="220"/>
      <c r="I834" s="220"/>
    </row>
    <row r="835">
      <c r="B835" s="220"/>
      <c r="C835" s="220"/>
      <c r="D835" s="220"/>
      <c r="E835" s="220"/>
      <c r="F835" s="220"/>
      <c r="G835" s="220"/>
      <c r="H835" s="220"/>
      <c r="I835" s="220"/>
    </row>
    <row r="836">
      <c r="B836" s="220"/>
      <c r="C836" s="220"/>
      <c r="D836" s="220"/>
      <c r="E836" s="220"/>
      <c r="F836" s="220"/>
      <c r="G836" s="220"/>
      <c r="H836" s="220"/>
      <c r="I836" s="220"/>
    </row>
    <row r="837">
      <c r="B837" s="220"/>
      <c r="C837" s="220"/>
      <c r="D837" s="220"/>
      <c r="E837" s="220"/>
      <c r="F837" s="220"/>
      <c r="G837" s="220"/>
      <c r="H837" s="220"/>
      <c r="I837" s="220"/>
    </row>
    <row r="838">
      <c r="B838" s="220"/>
      <c r="C838" s="220"/>
      <c r="D838" s="220"/>
      <c r="E838" s="220"/>
      <c r="F838" s="220"/>
      <c r="G838" s="220"/>
      <c r="H838" s="220"/>
      <c r="I838" s="220"/>
    </row>
    <row r="839">
      <c r="B839" s="220"/>
      <c r="C839" s="220"/>
      <c r="D839" s="220"/>
      <c r="E839" s="220"/>
      <c r="F839" s="220"/>
      <c r="G839" s="220"/>
      <c r="H839" s="220"/>
      <c r="I839" s="220"/>
    </row>
    <row r="840">
      <c r="B840" s="220"/>
      <c r="C840" s="220"/>
      <c r="D840" s="220"/>
      <c r="E840" s="220"/>
      <c r="F840" s="220"/>
      <c r="G840" s="220"/>
      <c r="H840" s="220"/>
      <c r="I840" s="220"/>
    </row>
    <row r="841">
      <c r="B841" s="220"/>
      <c r="C841" s="220"/>
      <c r="D841" s="220"/>
      <c r="E841" s="220"/>
      <c r="F841" s="220"/>
      <c r="G841" s="220"/>
      <c r="H841" s="220"/>
      <c r="I841" s="220"/>
    </row>
    <row r="842">
      <c r="B842" s="220"/>
      <c r="C842" s="220"/>
      <c r="D842" s="220"/>
      <c r="E842" s="220"/>
      <c r="F842" s="220"/>
      <c r="G842" s="220"/>
      <c r="H842" s="220"/>
      <c r="I842" s="220"/>
    </row>
    <row r="843">
      <c r="B843" s="220"/>
      <c r="C843" s="220"/>
      <c r="D843" s="220"/>
      <c r="E843" s="220"/>
      <c r="F843" s="220"/>
      <c r="G843" s="220"/>
      <c r="H843" s="220"/>
      <c r="I843" s="220"/>
    </row>
    <row r="844">
      <c r="B844" s="220"/>
      <c r="C844" s="220"/>
      <c r="D844" s="220"/>
      <c r="E844" s="220"/>
      <c r="F844" s="220"/>
      <c r="G844" s="220"/>
      <c r="H844" s="220"/>
      <c r="I844" s="220"/>
    </row>
    <row r="845">
      <c r="B845" s="220"/>
      <c r="C845" s="220"/>
      <c r="D845" s="220"/>
      <c r="E845" s="220"/>
      <c r="F845" s="220"/>
      <c r="G845" s="220"/>
      <c r="H845" s="220"/>
      <c r="I845" s="220"/>
    </row>
    <row r="846">
      <c r="B846" s="220"/>
      <c r="C846" s="220"/>
      <c r="D846" s="220"/>
      <c r="E846" s="220"/>
      <c r="F846" s="220"/>
      <c r="G846" s="220"/>
      <c r="H846" s="220"/>
      <c r="I846" s="220"/>
    </row>
    <row r="847">
      <c r="B847" s="220"/>
      <c r="C847" s="220"/>
      <c r="D847" s="220"/>
      <c r="E847" s="220"/>
      <c r="F847" s="220"/>
      <c r="G847" s="220"/>
      <c r="H847" s="220"/>
      <c r="I847" s="220"/>
    </row>
    <row r="848">
      <c r="B848" s="220"/>
      <c r="C848" s="220"/>
      <c r="D848" s="220"/>
      <c r="E848" s="220"/>
      <c r="F848" s="220"/>
      <c r="G848" s="220"/>
      <c r="H848" s="220"/>
      <c r="I848" s="220"/>
    </row>
    <row r="849">
      <c r="B849" s="220"/>
      <c r="C849" s="220"/>
      <c r="D849" s="220"/>
      <c r="E849" s="220"/>
      <c r="F849" s="220"/>
      <c r="G849" s="220"/>
      <c r="H849" s="220"/>
      <c r="I849" s="220"/>
    </row>
    <row r="850">
      <c r="B850" s="220"/>
      <c r="C850" s="220"/>
      <c r="D850" s="220"/>
      <c r="E850" s="220"/>
      <c r="F850" s="220"/>
      <c r="G850" s="220"/>
      <c r="H850" s="220"/>
      <c r="I850" s="220"/>
    </row>
    <row r="851">
      <c r="B851" s="220"/>
      <c r="C851" s="220"/>
      <c r="D851" s="220"/>
      <c r="E851" s="220"/>
      <c r="F851" s="220"/>
      <c r="G851" s="220"/>
      <c r="H851" s="220"/>
      <c r="I851" s="220"/>
    </row>
    <row r="852">
      <c r="B852" s="220"/>
      <c r="C852" s="220"/>
      <c r="D852" s="220"/>
      <c r="E852" s="220"/>
      <c r="F852" s="220"/>
      <c r="G852" s="220"/>
      <c r="H852" s="220"/>
      <c r="I852" s="220"/>
    </row>
    <row r="853">
      <c r="B853" s="220"/>
      <c r="C853" s="220"/>
      <c r="D853" s="220"/>
      <c r="E853" s="220"/>
      <c r="F853" s="220"/>
      <c r="G853" s="220"/>
      <c r="H853" s="220"/>
      <c r="I853" s="220"/>
    </row>
    <row r="854">
      <c r="B854" s="220"/>
      <c r="C854" s="220"/>
      <c r="D854" s="220"/>
      <c r="E854" s="220"/>
      <c r="F854" s="220"/>
      <c r="G854" s="220"/>
      <c r="H854" s="220"/>
      <c r="I854" s="220"/>
    </row>
    <row r="855">
      <c r="B855" s="220"/>
      <c r="C855" s="220"/>
      <c r="D855" s="220"/>
      <c r="E855" s="220"/>
      <c r="F855" s="220"/>
      <c r="G855" s="220"/>
      <c r="H855" s="220"/>
      <c r="I855" s="220"/>
    </row>
    <row r="856">
      <c r="B856" s="220"/>
      <c r="C856" s="220"/>
      <c r="D856" s="220"/>
      <c r="E856" s="220"/>
      <c r="F856" s="220"/>
      <c r="G856" s="220"/>
      <c r="H856" s="220"/>
      <c r="I856" s="220"/>
    </row>
    <row r="857">
      <c r="B857" s="220"/>
      <c r="C857" s="220"/>
      <c r="D857" s="220"/>
      <c r="E857" s="220"/>
      <c r="F857" s="220"/>
      <c r="G857" s="220"/>
      <c r="H857" s="220"/>
      <c r="I857" s="220"/>
    </row>
    <row r="858">
      <c r="B858" s="220"/>
      <c r="C858" s="220"/>
      <c r="D858" s="220"/>
      <c r="E858" s="220"/>
      <c r="F858" s="220"/>
      <c r="G858" s="220"/>
      <c r="H858" s="220"/>
      <c r="I858" s="220"/>
    </row>
    <row r="859">
      <c r="B859" s="220"/>
      <c r="C859" s="220"/>
      <c r="D859" s="220"/>
      <c r="E859" s="220"/>
      <c r="F859" s="220"/>
      <c r="G859" s="220"/>
      <c r="H859" s="220"/>
      <c r="I859" s="220"/>
    </row>
    <row r="860">
      <c r="B860" s="220"/>
      <c r="C860" s="220"/>
      <c r="D860" s="220"/>
      <c r="E860" s="220"/>
      <c r="F860" s="220"/>
      <c r="G860" s="220"/>
      <c r="H860" s="220"/>
      <c r="I860" s="220"/>
    </row>
    <row r="861">
      <c r="B861" s="220"/>
      <c r="C861" s="220"/>
      <c r="D861" s="220"/>
      <c r="E861" s="220"/>
      <c r="F861" s="220"/>
      <c r="G861" s="220"/>
      <c r="H861" s="220"/>
      <c r="I861" s="220"/>
    </row>
    <row r="862">
      <c r="B862" s="220"/>
      <c r="C862" s="220"/>
      <c r="D862" s="220"/>
      <c r="E862" s="220"/>
      <c r="F862" s="220"/>
      <c r="G862" s="220"/>
      <c r="H862" s="220"/>
      <c r="I862" s="220"/>
    </row>
    <row r="863">
      <c r="B863" s="220"/>
      <c r="C863" s="220"/>
      <c r="D863" s="220"/>
      <c r="E863" s="220"/>
      <c r="F863" s="220"/>
      <c r="G863" s="220"/>
      <c r="H863" s="220"/>
      <c r="I863" s="220"/>
    </row>
    <row r="864">
      <c r="B864" s="220"/>
      <c r="C864" s="220"/>
      <c r="D864" s="220"/>
      <c r="E864" s="220"/>
      <c r="F864" s="220"/>
      <c r="G864" s="220"/>
      <c r="H864" s="220"/>
      <c r="I864" s="220"/>
    </row>
    <row r="865">
      <c r="B865" s="220"/>
      <c r="C865" s="220"/>
      <c r="D865" s="220"/>
      <c r="E865" s="220"/>
      <c r="F865" s="220"/>
      <c r="G865" s="220"/>
      <c r="H865" s="220"/>
      <c r="I865" s="220"/>
    </row>
    <row r="866">
      <c r="B866" s="220"/>
      <c r="C866" s="220"/>
      <c r="D866" s="220"/>
      <c r="E866" s="220"/>
      <c r="F866" s="220"/>
      <c r="G866" s="220"/>
      <c r="H866" s="220"/>
      <c r="I866" s="220"/>
    </row>
    <row r="867">
      <c r="B867" s="220"/>
      <c r="C867" s="220"/>
      <c r="D867" s="220"/>
      <c r="E867" s="220"/>
      <c r="F867" s="220"/>
      <c r="G867" s="220"/>
      <c r="H867" s="220"/>
      <c r="I867" s="220"/>
    </row>
    <row r="868">
      <c r="B868" s="220"/>
      <c r="C868" s="220"/>
      <c r="D868" s="220"/>
      <c r="E868" s="220"/>
      <c r="F868" s="220"/>
      <c r="G868" s="220"/>
      <c r="H868" s="220"/>
      <c r="I868" s="220"/>
    </row>
    <row r="869">
      <c r="B869" s="220"/>
      <c r="C869" s="220"/>
      <c r="D869" s="220"/>
      <c r="E869" s="220"/>
      <c r="F869" s="220"/>
      <c r="G869" s="220"/>
      <c r="H869" s="220"/>
      <c r="I869" s="220"/>
    </row>
    <row r="870">
      <c r="B870" s="220"/>
      <c r="C870" s="220"/>
      <c r="D870" s="220"/>
      <c r="E870" s="220"/>
      <c r="F870" s="220"/>
      <c r="G870" s="220"/>
      <c r="H870" s="220"/>
      <c r="I870" s="220"/>
    </row>
    <row r="871">
      <c r="B871" s="220"/>
      <c r="C871" s="220"/>
      <c r="D871" s="220"/>
      <c r="E871" s="220"/>
      <c r="F871" s="220"/>
      <c r="G871" s="220"/>
      <c r="H871" s="220"/>
      <c r="I871" s="220"/>
    </row>
    <row r="872">
      <c r="B872" s="220"/>
      <c r="C872" s="220"/>
      <c r="D872" s="220"/>
      <c r="E872" s="220"/>
      <c r="F872" s="220"/>
      <c r="G872" s="220"/>
      <c r="H872" s="220"/>
      <c r="I872" s="220"/>
    </row>
    <row r="873">
      <c r="B873" s="220"/>
      <c r="C873" s="220"/>
      <c r="D873" s="220"/>
      <c r="E873" s="220"/>
      <c r="F873" s="220"/>
      <c r="G873" s="220"/>
      <c r="H873" s="220"/>
      <c r="I873" s="220"/>
    </row>
    <row r="874">
      <c r="B874" s="220"/>
      <c r="C874" s="220"/>
      <c r="D874" s="220"/>
      <c r="E874" s="220"/>
      <c r="F874" s="220"/>
      <c r="G874" s="220"/>
      <c r="H874" s="220"/>
      <c r="I874" s="220"/>
    </row>
    <row r="875">
      <c r="B875" s="220"/>
      <c r="C875" s="220"/>
      <c r="D875" s="220"/>
      <c r="E875" s="220"/>
      <c r="F875" s="220"/>
      <c r="G875" s="220"/>
      <c r="H875" s="220"/>
      <c r="I875" s="220"/>
    </row>
    <row r="876">
      <c r="B876" s="220"/>
      <c r="C876" s="220"/>
      <c r="D876" s="220"/>
      <c r="E876" s="220"/>
      <c r="F876" s="220"/>
      <c r="G876" s="220"/>
      <c r="H876" s="220"/>
      <c r="I876" s="220"/>
    </row>
    <row r="877">
      <c r="B877" s="220"/>
      <c r="C877" s="220"/>
      <c r="D877" s="220"/>
      <c r="E877" s="220"/>
      <c r="F877" s="220"/>
      <c r="G877" s="220"/>
      <c r="H877" s="220"/>
      <c r="I877" s="220"/>
    </row>
    <row r="878">
      <c r="B878" s="220"/>
      <c r="C878" s="220"/>
      <c r="D878" s="220"/>
      <c r="E878" s="220"/>
      <c r="F878" s="220"/>
      <c r="G878" s="220"/>
      <c r="H878" s="220"/>
      <c r="I878" s="220"/>
    </row>
    <row r="879">
      <c r="B879" s="220"/>
      <c r="C879" s="220"/>
      <c r="D879" s="220"/>
      <c r="E879" s="220"/>
      <c r="F879" s="220"/>
      <c r="G879" s="220"/>
      <c r="H879" s="220"/>
      <c r="I879" s="220"/>
    </row>
    <row r="880">
      <c r="B880" s="220"/>
      <c r="C880" s="220"/>
      <c r="D880" s="220"/>
      <c r="E880" s="220"/>
      <c r="F880" s="220"/>
      <c r="G880" s="220"/>
      <c r="H880" s="220"/>
      <c r="I880" s="220"/>
    </row>
    <row r="881">
      <c r="B881" s="220"/>
      <c r="C881" s="220"/>
      <c r="D881" s="220"/>
      <c r="E881" s="220"/>
      <c r="F881" s="220"/>
      <c r="G881" s="220"/>
      <c r="H881" s="220"/>
      <c r="I881" s="220"/>
    </row>
    <row r="882">
      <c r="B882" s="220"/>
      <c r="C882" s="220"/>
      <c r="D882" s="220"/>
      <c r="E882" s="220"/>
      <c r="F882" s="220"/>
      <c r="G882" s="220"/>
      <c r="H882" s="220"/>
      <c r="I882" s="220"/>
    </row>
    <row r="883">
      <c r="B883" s="220"/>
      <c r="C883" s="220"/>
      <c r="D883" s="220"/>
      <c r="E883" s="220"/>
      <c r="F883" s="220"/>
      <c r="G883" s="220"/>
      <c r="H883" s="220"/>
      <c r="I883" s="220"/>
    </row>
    <row r="884">
      <c r="B884" s="220"/>
      <c r="C884" s="220"/>
      <c r="D884" s="220"/>
      <c r="E884" s="220"/>
      <c r="F884" s="220"/>
      <c r="G884" s="220"/>
      <c r="H884" s="220"/>
      <c r="I884" s="220"/>
    </row>
    <row r="885">
      <c r="B885" s="220"/>
      <c r="C885" s="220"/>
      <c r="D885" s="220"/>
      <c r="E885" s="220"/>
      <c r="F885" s="220"/>
      <c r="G885" s="220"/>
      <c r="H885" s="220"/>
      <c r="I885" s="220"/>
    </row>
    <row r="886">
      <c r="B886" s="220"/>
      <c r="C886" s="220"/>
      <c r="D886" s="220"/>
      <c r="E886" s="220"/>
      <c r="F886" s="220"/>
      <c r="G886" s="220"/>
      <c r="H886" s="220"/>
      <c r="I886" s="220"/>
    </row>
    <row r="887">
      <c r="B887" s="220"/>
      <c r="C887" s="220"/>
      <c r="D887" s="220"/>
      <c r="E887" s="220"/>
      <c r="F887" s="220"/>
      <c r="G887" s="220"/>
      <c r="H887" s="220"/>
      <c r="I887" s="220"/>
    </row>
    <row r="888">
      <c r="B888" s="220"/>
      <c r="C888" s="220"/>
      <c r="D888" s="220"/>
      <c r="E888" s="220"/>
      <c r="F888" s="220"/>
      <c r="G888" s="220"/>
      <c r="H888" s="220"/>
      <c r="I888" s="220"/>
    </row>
    <row r="889">
      <c r="B889" s="220"/>
      <c r="C889" s="220"/>
      <c r="D889" s="220"/>
      <c r="E889" s="220"/>
      <c r="F889" s="220"/>
      <c r="G889" s="220"/>
      <c r="H889" s="220"/>
      <c r="I889" s="220"/>
    </row>
    <row r="890">
      <c r="B890" s="220"/>
      <c r="C890" s="220"/>
      <c r="D890" s="220"/>
      <c r="E890" s="220"/>
      <c r="F890" s="220"/>
      <c r="G890" s="220"/>
      <c r="H890" s="220"/>
      <c r="I890" s="220"/>
    </row>
    <row r="891">
      <c r="B891" s="220"/>
      <c r="C891" s="220"/>
      <c r="D891" s="220"/>
      <c r="E891" s="220"/>
      <c r="F891" s="220"/>
      <c r="G891" s="220"/>
      <c r="H891" s="220"/>
      <c r="I891" s="220"/>
    </row>
    <row r="892">
      <c r="B892" s="220"/>
      <c r="C892" s="220"/>
      <c r="D892" s="220"/>
      <c r="E892" s="220"/>
      <c r="F892" s="220"/>
      <c r="G892" s="220"/>
      <c r="H892" s="220"/>
      <c r="I892" s="220"/>
    </row>
    <row r="893">
      <c r="B893" s="220"/>
      <c r="C893" s="220"/>
      <c r="D893" s="220"/>
      <c r="E893" s="220"/>
      <c r="F893" s="220"/>
      <c r="G893" s="220"/>
      <c r="H893" s="220"/>
      <c r="I893" s="220"/>
    </row>
    <row r="894">
      <c r="B894" s="220"/>
      <c r="C894" s="220"/>
      <c r="D894" s="220"/>
      <c r="E894" s="220"/>
      <c r="F894" s="220"/>
      <c r="G894" s="220"/>
      <c r="H894" s="220"/>
      <c r="I894" s="220"/>
    </row>
    <row r="895">
      <c r="B895" s="220"/>
      <c r="C895" s="220"/>
      <c r="D895" s="220"/>
      <c r="E895" s="220"/>
      <c r="F895" s="220"/>
      <c r="G895" s="220"/>
      <c r="H895" s="220"/>
      <c r="I895" s="220"/>
    </row>
    <row r="896">
      <c r="B896" s="220"/>
      <c r="C896" s="220"/>
      <c r="D896" s="220"/>
      <c r="E896" s="220"/>
      <c r="F896" s="220"/>
      <c r="G896" s="220"/>
      <c r="H896" s="220"/>
      <c r="I896" s="220"/>
    </row>
    <row r="897">
      <c r="B897" s="220"/>
      <c r="C897" s="220"/>
      <c r="D897" s="220"/>
      <c r="E897" s="220"/>
      <c r="F897" s="220"/>
      <c r="G897" s="220"/>
      <c r="H897" s="220"/>
      <c r="I897" s="220"/>
    </row>
    <row r="898">
      <c r="B898" s="220"/>
      <c r="C898" s="220"/>
      <c r="D898" s="220"/>
      <c r="E898" s="220"/>
      <c r="F898" s="220"/>
      <c r="G898" s="220"/>
      <c r="H898" s="220"/>
      <c r="I898" s="220"/>
    </row>
    <row r="899">
      <c r="B899" s="220"/>
      <c r="C899" s="220"/>
      <c r="D899" s="220"/>
      <c r="E899" s="220"/>
      <c r="F899" s="220"/>
      <c r="G899" s="220"/>
      <c r="H899" s="220"/>
      <c r="I899" s="220"/>
    </row>
    <row r="900">
      <c r="B900" s="220"/>
      <c r="C900" s="220"/>
      <c r="D900" s="220"/>
      <c r="E900" s="220"/>
      <c r="F900" s="220"/>
      <c r="G900" s="220"/>
      <c r="H900" s="220"/>
      <c r="I900" s="220"/>
    </row>
    <row r="901">
      <c r="B901" s="220"/>
      <c r="C901" s="220"/>
      <c r="D901" s="220"/>
      <c r="E901" s="220"/>
      <c r="F901" s="220"/>
      <c r="G901" s="220"/>
      <c r="H901" s="220"/>
      <c r="I901" s="220"/>
    </row>
    <row r="902">
      <c r="B902" s="220"/>
      <c r="C902" s="220"/>
      <c r="D902" s="220"/>
      <c r="E902" s="220"/>
      <c r="F902" s="220"/>
      <c r="G902" s="220"/>
      <c r="H902" s="220"/>
      <c r="I902" s="220"/>
    </row>
    <row r="903">
      <c r="B903" s="220"/>
      <c r="C903" s="220"/>
      <c r="D903" s="220"/>
      <c r="E903" s="220"/>
      <c r="F903" s="220"/>
      <c r="G903" s="220"/>
      <c r="H903" s="220"/>
      <c r="I903" s="220"/>
    </row>
    <row r="904">
      <c r="B904" s="220"/>
      <c r="C904" s="220"/>
      <c r="D904" s="220"/>
      <c r="E904" s="220"/>
      <c r="F904" s="220"/>
      <c r="G904" s="220"/>
      <c r="H904" s="220"/>
      <c r="I904" s="220"/>
    </row>
    <row r="905">
      <c r="B905" s="220"/>
      <c r="C905" s="220"/>
      <c r="D905" s="220"/>
      <c r="E905" s="220"/>
      <c r="F905" s="220"/>
      <c r="G905" s="220"/>
      <c r="H905" s="220"/>
      <c r="I905" s="220"/>
    </row>
    <row r="906">
      <c r="B906" s="220"/>
      <c r="C906" s="220"/>
      <c r="D906" s="220"/>
      <c r="E906" s="220"/>
      <c r="F906" s="220"/>
      <c r="G906" s="220"/>
      <c r="H906" s="220"/>
      <c r="I906" s="220"/>
    </row>
    <row r="907">
      <c r="B907" s="220"/>
      <c r="C907" s="220"/>
      <c r="D907" s="220"/>
      <c r="E907" s="220"/>
      <c r="F907" s="220"/>
      <c r="G907" s="220"/>
      <c r="H907" s="220"/>
      <c r="I907" s="220"/>
    </row>
    <row r="908">
      <c r="B908" s="220"/>
      <c r="C908" s="220"/>
      <c r="D908" s="220"/>
      <c r="E908" s="220"/>
      <c r="F908" s="220"/>
      <c r="G908" s="220"/>
      <c r="H908" s="220"/>
      <c r="I908" s="220"/>
    </row>
    <row r="909">
      <c r="B909" s="220"/>
      <c r="C909" s="220"/>
      <c r="D909" s="220"/>
      <c r="E909" s="220"/>
      <c r="F909" s="220"/>
      <c r="G909" s="220"/>
      <c r="H909" s="220"/>
      <c r="I909" s="220"/>
    </row>
    <row r="910">
      <c r="B910" s="220"/>
      <c r="C910" s="220"/>
      <c r="D910" s="220"/>
      <c r="E910" s="220"/>
      <c r="F910" s="220"/>
      <c r="G910" s="220"/>
      <c r="H910" s="220"/>
      <c r="I910" s="220"/>
    </row>
    <row r="911">
      <c r="B911" s="220"/>
      <c r="C911" s="220"/>
      <c r="D911" s="220"/>
      <c r="E911" s="220"/>
      <c r="F911" s="220"/>
      <c r="G911" s="220"/>
      <c r="H911" s="220"/>
      <c r="I911" s="220"/>
    </row>
    <row r="912">
      <c r="B912" s="220"/>
      <c r="C912" s="220"/>
      <c r="D912" s="220"/>
      <c r="E912" s="220"/>
      <c r="F912" s="220"/>
      <c r="G912" s="220"/>
      <c r="H912" s="220"/>
      <c r="I912" s="220"/>
    </row>
    <row r="913">
      <c r="B913" s="220"/>
      <c r="C913" s="220"/>
      <c r="D913" s="220"/>
      <c r="E913" s="220"/>
      <c r="F913" s="220"/>
      <c r="G913" s="220"/>
      <c r="H913" s="220"/>
      <c r="I913" s="220"/>
    </row>
    <row r="914">
      <c r="B914" s="220"/>
      <c r="C914" s="220"/>
      <c r="D914" s="220"/>
      <c r="E914" s="220"/>
      <c r="F914" s="220"/>
      <c r="G914" s="220"/>
      <c r="H914" s="220"/>
      <c r="I914" s="220"/>
    </row>
    <row r="915">
      <c r="B915" s="220"/>
      <c r="C915" s="220"/>
      <c r="D915" s="220"/>
      <c r="E915" s="220"/>
      <c r="F915" s="220"/>
      <c r="G915" s="220"/>
      <c r="H915" s="220"/>
      <c r="I915" s="220"/>
    </row>
    <row r="916">
      <c r="B916" s="220"/>
      <c r="C916" s="220"/>
      <c r="D916" s="220"/>
      <c r="E916" s="220"/>
      <c r="F916" s="220"/>
      <c r="G916" s="220"/>
      <c r="H916" s="220"/>
      <c r="I916" s="220"/>
    </row>
    <row r="917">
      <c r="B917" s="220"/>
      <c r="C917" s="220"/>
      <c r="D917" s="220"/>
      <c r="E917" s="220"/>
      <c r="F917" s="220"/>
      <c r="G917" s="220"/>
      <c r="H917" s="220"/>
      <c r="I917" s="220"/>
    </row>
    <row r="918">
      <c r="B918" s="220"/>
      <c r="C918" s="220"/>
      <c r="D918" s="220"/>
      <c r="E918" s="220"/>
      <c r="F918" s="220"/>
      <c r="G918" s="220"/>
      <c r="H918" s="220"/>
      <c r="I918" s="220"/>
    </row>
    <row r="919">
      <c r="B919" s="220"/>
      <c r="C919" s="220"/>
      <c r="D919" s="220"/>
      <c r="E919" s="220"/>
      <c r="F919" s="220"/>
      <c r="G919" s="220"/>
      <c r="H919" s="220"/>
      <c r="I919" s="220"/>
    </row>
    <row r="920">
      <c r="B920" s="220"/>
      <c r="C920" s="220"/>
      <c r="D920" s="220"/>
      <c r="E920" s="220"/>
      <c r="F920" s="220"/>
      <c r="G920" s="220"/>
      <c r="H920" s="220"/>
      <c r="I920" s="220"/>
    </row>
    <row r="921">
      <c r="B921" s="220"/>
      <c r="C921" s="220"/>
      <c r="D921" s="220"/>
      <c r="E921" s="220"/>
      <c r="F921" s="220"/>
      <c r="G921" s="220"/>
      <c r="H921" s="220"/>
      <c r="I921" s="220"/>
    </row>
    <row r="922">
      <c r="B922" s="220"/>
      <c r="C922" s="220"/>
      <c r="D922" s="220"/>
      <c r="E922" s="220"/>
      <c r="F922" s="220"/>
      <c r="G922" s="220"/>
      <c r="H922" s="220"/>
      <c r="I922" s="220"/>
    </row>
    <row r="923">
      <c r="B923" s="220"/>
      <c r="C923" s="220"/>
      <c r="D923" s="220"/>
      <c r="E923" s="220"/>
      <c r="F923" s="220"/>
      <c r="G923" s="220"/>
      <c r="H923" s="220"/>
      <c r="I923" s="220"/>
    </row>
    <row r="924">
      <c r="B924" s="220"/>
      <c r="C924" s="220"/>
      <c r="D924" s="220"/>
      <c r="E924" s="220"/>
      <c r="F924" s="220"/>
      <c r="G924" s="220"/>
      <c r="H924" s="220"/>
      <c r="I924" s="220"/>
    </row>
    <row r="925">
      <c r="B925" s="220"/>
      <c r="C925" s="220"/>
      <c r="D925" s="220"/>
      <c r="E925" s="220"/>
      <c r="F925" s="220"/>
      <c r="G925" s="220"/>
      <c r="H925" s="220"/>
      <c r="I925" s="220"/>
    </row>
    <row r="926">
      <c r="B926" s="220"/>
      <c r="C926" s="220"/>
      <c r="D926" s="220"/>
      <c r="E926" s="220"/>
      <c r="F926" s="220"/>
      <c r="G926" s="220"/>
      <c r="H926" s="220"/>
      <c r="I926" s="220"/>
    </row>
    <row r="927">
      <c r="B927" s="220"/>
      <c r="C927" s="220"/>
      <c r="D927" s="220"/>
      <c r="E927" s="220"/>
      <c r="F927" s="220"/>
      <c r="G927" s="220"/>
      <c r="H927" s="220"/>
      <c r="I927" s="220"/>
    </row>
    <row r="928">
      <c r="B928" s="220"/>
      <c r="C928" s="220"/>
      <c r="D928" s="220"/>
      <c r="E928" s="220"/>
      <c r="F928" s="220"/>
      <c r="G928" s="220"/>
      <c r="H928" s="220"/>
      <c r="I928" s="220"/>
    </row>
    <row r="929">
      <c r="B929" s="220"/>
      <c r="C929" s="220"/>
      <c r="D929" s="220"/>
      <c r="E929" s="220"/>
      <c r="F929" s="220"/>
      <c r="G929" s="220"/>
      <c r="H929" s="220"/>
      <c r="I929" s="220"/>
    </row>
    <row r="930">
      <c r="B930" s="220"/>
      <c r="C930" s="220"/>
      <c r="D930" s="220"/>
      <c r="E930" s="220"/>
      <c r="F930" s="220"/>
      <c r="G930" s="220"/>
      <c r="H930" s="220"/>
      <c r="I930" s="220"/>
    </row>
    <row r="931">
      <c r="B931" s="220"/>
      <c r="C931" s="220"/>
      <c r="D931" s="220"/>
      <c r="E931" s="220"/>
      <c r="F931" s="220"/>
      <c r="G931" s="220"/>
      <c r="H931" s="220"/>
      <c r="I931" s="220"/>
    </row>
    <row r="932">
      <c r="B932" s="220"/>
      <c r="C932" s="220"/>
      <c r="D932" s="220"/>
      <c r="E932" s="220"/>
      <c r="F932" s="220"/>
      <c r="G932" s="220"/>
      <c r="H932" s="220"/>
      <c r="I932" s="220"/>
    </row>
    <row r="933">
      <c r="B933" s="220"/>
      <c r="C933" s="220"/>
      <c r="D933" s="220"/>
      <c r="E933" s="220"/>
      <c r="F933" s="220"/>
      <c r="G933" s="220"/>
      <c r="H933" s="220"/>
      <c r="I933" s="220"/>
    </row>
    <row r="934">
      <c r="B934" s="220"/>
      <c r="C934" s="220"/>
      <c r="D934" s="220"/>
      <c r="E934" s="220"/>
      <c r="F934" s="220"/>
      <c r="G934" s="220"/>
      <c r="H934" s="220"/>
      <c r="I934" s="220"/>
    </row>
    <row r="935">
      <c r="B935" s="220"/>
      <c r="C935" s="220"/>
      <c r="D935" s="220"/>
      <c r="E935" s="220"/>
      <c r="F935" s="220"/>
      <c r="G935" s="220"/>
      <c r="H935" s="220"/>
      <c r="I935" s="220"/>
    </row>
    <row r="936">
      <c r="B936" s="220"/>
      <c r="C936" s="220"/>
      <c r="D936" s="220"/>
      <c r="E936" s="220"/>
      <c r="F936" s="220"/>
      <c r="G936" s="220"/>
      <c r="H936" s="220"/>
      <c r="I936" s="220"/>
    </row>
    <row r="937">
      <c r="B937" s="220"/>
      <c r="C937" s="220"/>
      <c r="D937" s="220"/>
      <c r="E937" s="220"/>
      <c r="F937" s="220"/>
      <c r="G937" s="220"/>
      <c r="H937" s="220"/>
      <c r="I937" s="220"/>
    </row>
    <row r="938">
      <c r="B938" s="220"/>
      <c r="C938" s="220"/>
      <c r="D938" s="220"/>
      <c r="E938" s="220"/>
      <c r="F938" s="220"/>
      <c r="G938" s="220"/>
      <c r="H938" s="220"/>
      <c r="I938" s="220"/>
    </row>
    <row r="939">
      <c r="B939" s="220"/>
      <c r="C939" s="220"/>
      <c r="D939" s="220"/>
      <c r="E939" s="220"/>
      <c r="F939" s="220"/>
      <c r="G939" s="220"/>
      <c r="H939" s="220"/>
      <c r="I939" s="220"/>
    </row>
    <row r="940">
      <c r="B940" s="220"/>
      <c r="C940" s="220"/>
      <c r="D940" s="220"/>
      <c r="E940" s="220"/>
      <c r="F940" s="220"/>
      <c r="G940" s="220"/>
      <c r="H940" s="220"/>
      <c r="I940" s="220"/>
    </row>
    <row r="941">
      <c r="B941" s="220"/>
      <c r="C941" s="220"/>
      <c r="D941" s="220"/>
      <c r="E941" s="220"/>
      <c r="F941" s="220"/>
      <c r="G941" s="220"/>
      <c r="H941" s="220"/>
      <c r="I941" s="220"/>
    </row>
    <row r="942">
      <c r="B942" s="220"/>
      <c r="C942" s="220"/>
      <c r="D942" s="220"/>
      <c r="E942" s="220"/>
      <c r="F942" s="220"/>
      <c r="G942" s="220"/>
      <c r="H942" s="220"/>
      <c r="I942" s="220"/>
    </row>
    <row r="943">
      <c r="B943" s="220"/>
      <c r="C943" s="220"/>
      <c r="D943" s="220"/>
      <c r="E943" s="220"/>
      <c r="F943" s="220"/>
      <c r="G943" s="220"/>
      <c r="H943" s="220"/>
      <c r="I943" s="220"/>
    </row>
    <row r="944">
      <c r="B944" s="220"/>
      <c r="C944" s="220"/>
      <c r="D944" s="220"/>
      <c r="E944" s="220"/>
      <c r="F944" s="220"/>
      <c r="G944" s="220"/>
      <c r="H944" s="220"/>
      <c r="I944" s="220"/>
    </row>
    <row r="945">
      <c r="B945" s="220"/>
      <c r="C945" s="220"/>
      <c r="D945" s="220"/>
      <c r="E945" s="220"/>
      <c r="F945" s="220"/>
      <c r="G945" s="220"/>
      <c r="H945" s="220"/>
      <c r="I945" s="220"/>
    </row>
    <row r="946">
      <c r="B946" s="220"/>
      <c r="C946" s="220"/>
      <c r="D946" s="220"/>
      <c r="E946" s="220"/>
      <c r="F946" s="220"/>
      <c r="G946" s="220"/>
      <c r="H946" s="220"/>
      <c r="I946" s="220"/>
    </row>
    <row r="947">
      <c r="B947" s="220"/>
      <c r="C947" s="220"/>
      <c r="D947" s="220"/>
      <c r="E947" s="220"/>
      <c r="F947" s="220"/>
      <c r="G947" s="220"/>
      <c r="H947" s="220"/>
      <c r="I947" s="220"/>
    </row>
    <row r="948">
      <c r="B948" s="220"/>
      <c r="C948" s="220"/>
      <c r="D948" s="220"/>
      <c r="E948" s="220"/>
      <c r="F948" s="220"/>
      <c r="G948" s="220"/>
      <c r="H948" s="220"/>
      <c r="I948" s="220"/>
    </row>
    <row r="949">
      <c r="B949" s="220"/>
      <c r="C949" s="220"/>
      <c r="D949" s="220"/>
      <c r="E949" s="220"/>
      <c r="F949" s="220"/>
      <c r="G949" s="220"/>
      <c r="H949" s="220"/>
      <c r="I949" s="220"/>
    </row>
    <row r="950">
      <c r="B950" s="220"/>
      <c r="C950" s="220"/>
      <c r="D950" s="220"/>
      <c r="E950" s="220"/>
      <c r="F950" s="220"/>
      <c r="G950" s="220"/>
      <c r="H950" s="220"/>
      <c r="I950" s="220"/>
    </row>
    <row r="951">
      <c r="B951" s="220"/>
      <c r="C951" s="220"/>
      <c r="D951" s="220"/>
      <c r="E951" s="220"/>
      <c r="F951" s="220"/>
      <c r="G951" s="220"/>
      <c r="H951" s="220"/>
      <c r="I951" s="220"/>
    </row>
    <row r="952">
      <c r="B952" s="220"/>
      <c r="C952" s="220"/>
      <c r="D952" s="220"/>
      <c r="E952" s="220"/>
      <c r="F952" s="220"/>
      <c r="G952" s="220"/>
      <c r="H952" s="220"/>
      <c r="I952" s="220"/>
    </row>
    <row r="953">
      <c r="B953" s="220"/>
      <c r="C953" s="220"/>
      <c r="D953" s="220"/>
      <c r="E953" s="220"/>
      <c r="F953" s="220"/>
      <c r="G953" s="220"/>
      <c r="H953" s="220"/>
      <c r="I953" s="220"/>
    </row>
    <row r="954">
      <c r="B954" s="220"/>
      <c r="C954" s="220"/>
      <c r="D954" s="220"/>
      <c r="E954" s="220"/>
      <c r="F954" s="220"/>
      <c r="G954" s="220"/>
      <c r="H954" s="220"/>
      <c r="I954" s="220"/>
    </row>
    <row r="955">
      <c r="B955" s="220"/>
      <c r="C955" s="220"/>
      <c r="D955" s="220"/>
      <c r="E955" s="220"/>
      <c r="F955" s="220"/>
      <c r="G955" s="220"/>
      <c r="H955" s="220"/>
      <c r="I955" s="220"/>
    </row>
    <row r="956">
      <c r="B956" s="220"/>
      <c r="C956" s="220"/>
      <c r="D956" s="220"/>
      <c r="E956" s="220"/>
      <c r="F956" s="220"/>
      <c r="G956" s="220"/>
      <c r="H956" s="220"/>
      <c r="I956" s="220"/>
    </row>
    <row r="957">
      <c r="B957" s="220"/>
      <c r="C957" s="220"/>
      <c r="D957" s="220"/>
      <c r="E957" s="220"/>
      <c r="F957" s="220"/>
      <c r="G957" s="220"/>
      <c r="H957" s="220"/>
      <c r="I957" s="220"/>
    </row>
    <row r="958">
      <c r="B958" s="220"/>
      <c r="C958" s="220"/>
      <c r="D958" s="220"/>
      <c r="E958" s="220"/>
      <c r="F958" s="220"/>
      <c r="G958" s="220"/>
      <c r="H958" s="220"/>
      <c r="I958" s="220"/>
    </row>
    <row r="959">
      <c r="B959" s="220"/>
      <c r="C959" s="220"/>
      <c r="D959" s="220"/>
      <c r="E959" s="220"/>
      <c r="F959" s="220"/>
      <c r="G959" s="220"/>
      <c r="H959" s="220"/>
      <c r="I959" s="220"/>
    </row>
    <row r="960">
      <c r="B960" s="220"/>
      <c r="C960" s="220"/>
      <c r="D960" s="220"/>
      <c r="E960" s="220"/>
      <c r="F960" s="220"/>
      <c r="G960" s="220"/>
      <c r="H960" s="220"/>
      <c r="I960" s="220"/>
    </row>
    <row r="961">
      <c r="B961" s="220"/>
      <c r="C961" s="220"/>
      <c r="D961" s="220"/>
      <c r="E961" s="220"/>
      <c r="F961" s="220"/>
      <c r="G961" s="220"/>
      <c r="H961" s="220"/>
      <c r="I961" s="220"/>
    </row>
    <row r="962">
      <c r="B962" s="220"/>
      <c r="C962" s="220"/>
      <c r="D962" s="220"/>
      <c r="E962" s="220"/>
      <c r="F962" s="220"/>
      <c r="G962" s="220"/>
      <c r="H962" s="220"/>
      <c r="I962" s="220"/>
    </row>
    <row r="963">
      <c r="B963" s="220"/>
      <c r="C963" s="220"/>
      <c r="D963" s="220"/>
      <c r="E963" s="220"/>
      <c r="F963" s="220"/>
      <c r="G963" s="220"/>
      <c r="H963" s="220"/>
      <c r="I963" s="220"/>
    </row>
    <row r="964">
      <c r="B964" s="220"/>
      <c r="C964" s="220"/>
      <c r="D964" s="220"/>
      <c r="E964" s="220"/>
      <c r="F964" s="220"/>
      <c r="G964" s="220"/>
      <c r="H964" s="220"/>
      <c r="I964" s="220"/>
    </row>
    <row r="965">
      <c r="B965" s="220"/>
      <c r="C965" s="220"/>
      <c r="D965" s="220"/>
      <c r="E965" s="220"/>
      <c r="F965" s="220"/>
      <c r="G965" s="220"/>
      <c r="H965" s="220"/>
      <c r="I965" s="220"/>
    </row>
    <row r="966">
      <c r="B966" s="220"/>
      <c r="C966" s="220"/>
      <c r="D966" s="220"/>
      <c r="E966" s="220"/>
      <c r="F966" s="220"/>
      <c r="G966" s="220"/>
      <c r="H966" s="220"/>
      <c r="I966" s="220"/>
    </row>
    <row r="967">
      <c r="B967" s="220"/>
      <c r="C967" s="220"/>
      <c r="D967" s="220"/>
      <c r="E967" s="220"/>
      <c r="F967" s="220"/>
      <c r="G967" s="220"/>
      <c r="H967" s="220"/>
      <c r="I967" s="220"/>
    </row>
    <row r="968">
      <c r="B968" s="220"/>
      <c r="C968" s="220"/>
      <c r="D968" s="220"/>
      <c r="E968" s="220"/>
      <c r="F968" s="220"/>
      <c r="G968" s="220"/>
      <c r="H968" s="220"/>
      <c r="I968" s="220"/>
    </row>
    <row r="969">
      <c r="B969" s="220"/>
      <c r="C969" s="220"/>
      <c r="D969" s="220"/>
      <c r="E969" s="220"/>
      <c r="F969" s="220"/>
      <c r="G969" s="220"/>
      <c r="H969" s="220"/>
      <c r="I969" s="220"/>
    </row>
    <row r="970">
      <c r="B970" s="220"/>
      <c r="C970" s="220"/>
      <c r="D970" s="220"/>
      <c r="E970" s="220"/>
      <c r="F970" s="220"/>
      <c r="G970" s="220"/>
      <c r="H970" s="220"/>
      <c r="I970" s="220"/>
    </row>
    <row r="971">
      <c r="B971" s="220"/>
      <c r="C971" s="220"/>
      <c r="D971" s="220"/>
      <c r="E971" s="220"/>
      <c r="F971" s="220"/>
      <c r="G971" s="220"/>
      <c r="H971" s="220"/>
      <c r="I971" s="220"/>
    </row>
    <row r="972">
      <c r="B972" s="220"/>
      <c r="C972" s="220"/>
      <c r="D972" s="220"/>
      <c r="E972" s="220"/>
      <c r="F972" s="220"/>
      <c r="G972" s="220"/>
      <c r="H972" s="220"/>
      <c r="I972" s="220"/>
    </row>
    <row r="973">
      <c r="B973" s="220"/>
      <c r="C973" s="220"/>
      <c r="D973" s="220"/>
      <c r="E973" s="220"/>
      <c r="F973" s="220"/>
      <c r="G973" s="220"/>
      <c r="H973" s="220"/>
      <c r="I973" s="220"/>
    </row>
    <row r="974">
      <c r="B974" s="220"/>
      <c r="C974" s="220"/>
      <c r="D974" s="220"/>
      <c r="E974" s="220"/>
      <c r="F974" s="220"/>
      <c r="G974" s="220"/>
      <c r="H974" s="220"/>
      <c r="I974" s="220"/>
    </row>
    <row r="975">
      <c r="B975" s="220"/>
      <c r="C975" s="220"/>
      <c r="D975" s="220"/>
      <c r="E975" s="220"/>
      <c r="F975" s="220"/>
      <c r="G975" s="220"/>
      <c r="H975" s="220"/>
      <c r="I975" s="220"/>
    </row>
    <row r="976">
      <c r="B976" s="220"/>
      <c r="C976" s="220"/>
      <c r="D976" s="220"/>
      <c r="E976" s="220"/>
      <c r="F976" s="220"/>
      <c r="G976" s="220"/>
      <c r="H976" s="220"/>
      <c r="I976" s="220"/>
    </row>
    <row r="977">
      <c r="B977" s="220"/>
      <c r="C977" s="220"/>
      <c r="D977" s="220"/>
      <c r="E977" s="220"/>
      <c r="F977" s="220"/>
      <c r="G977" s="220"/>
      <c r="H977" s="220"/>
      <c r="I977" s="220"/>
    </row>
    <row r="978">
      <c r="B978" s="220"/>
      <c r="C978" s="220"/>
      <c r="D978" s="220"/>
      <c r="E978" s="220"/>
      <c r="F978" s="220"/>
      <c r="G978" s="220"/>
      <c r="H978" s="220"/>
      <c r="I978" s="220"/>
    </row>
    <row r="979">
      <c r="B979" s="220"/>
      <c r="C979" s="220"/>
      <c r="D979" s="220"/>
      <c r="E979" s="220"/>
      <c r="F979" s="220"/>
      <c r="G979" s="220"/>
      <c r="H979" s="220"/>
      <c r="I979" s="220"/>
    </row>
    <row r="980">
      <c r="B980" s="220"/>
      <c r="C980" s="220"/>
      <c r="D980" s="220"/>
      <c r="E980" s="220"/>
      <c r="F980" s="220"/>
      <c r="G980" s="220"/>
      <c r="H980" s="220"/>
      <c r="I980" s="220"/>
    </row>
    <row r="981">
      <c r="B981" s="220"/>
      <c r="C981" s="220"/>
      <c r="D981" s="220"/>
      <c r="E981" s="220"/>
      <c r="F981" s="220"/>
      <c r="G981" s="220"/>
      <c r="H981" s="220"/>
      <c r="I981" s="220"/>
    </row>
    <row r="982">
      <c r="B982" s="220"/>
      <c r="C982" s="220"/>
      <c r="D982" s="220"/>
      <c r="E982" s="220"/>
      <c r="F982" s="220"/>
      <c r="G982" s="220"/>
      <c r="H982" s="220"/>
      <c r="I982" s="220"/>
    </row>
    <row r="983">
      <c r="B983" s="220"/>
      <c r="C983" s="220"/>
      <c r="D983" s="220"/>
      <c r="E983" s="220"/>
      <c r="F983" s="220"/>
      <c r="G983" s="220"/>
      <c r="H983" s="220"/>
      <c r="I983" s="220"/>
    </row>
    <row r="984">
      <c r="B984" s="220"/>
      <c r="C984" s="220"/>
      <c r="D984" s="220"/>
      <c r="E984" s="220"/>
      <c r="F984" s="220"/>
      <c r="G984" s="220"/>
      <c r="H984" s="220"/>
      <c r="I984" s="220"/>
    </row>
    <row r="985">
      <c r="B985" s="220"/>
      <c r="C985" s="220"/>
      <c r="D985" s="220"/>
      <c r="E985" s="220"/>
      <c r="F985" s="220"/>
      <c r="G985" s="220"/>
      <c r="H985" s="220"/>
      <c r="I985" s="220"/>
    </row>
    <row r="986">
      <c r="B986" s="220"/>
      <c r="C986" s="220"/>
      <c r="D986" s="220"/>
      <c r="E986" s="220"/>
      <c r="F986" s="220"/>
      <c r="G986" s="220"/>
      <c r="H986" s="220"/>
      <c r="I986" s="220"/>
    </row>
    <row r="987">
      <c r="B987" s="220"/>
      <c r="C987" s="220"/>
      <c r="D987" s="220"/>
      <c r="E987" s="220"/>
      <c r="F987" s="220"/>
      <c r="G987" s="220"/>
      <c r="H987" s="220"/>
      <c r="I987" s="220"/>
    </row>
    <row r="988">
      <c r="B988" s="220"/>
      <c r="C988" s="220"/>
      <c r="D988" s="220"/>
      <c r="E988" s="220"/>
      <c r="F988" s="220"/>
      <c r="G988" s="220"/>
      <c r="H988" s="220"/>
      <c r="I988" s="220"/>
    </row>
    <row r="989">
      <c r="B989" s="220"/>
      <c r="C989" s="220"/>
      <c r="D989" s="220"/>
      <c r="E989" s="220"/>
      <c r="F989" s="220"/>
      <c r="G989" s="220"/>
      <c r="H989" s="220"/>
      <c r="I989" s="220"/>
    </row>
    <row r="990">
      <c r="B990" s="220"/>
      <c r="C990" s="220"/>
      <c r="D990" s="220"/>
      <c r="E990" s="220"/>
      <c r="F990" s="220"/>
      <c r="G990" s="220"/>
      <c r="H990" s="220"/>
      <c r="I990" s="220"/>
    </row>
    <row r="991">
      <c r="B991" s="220"/>
      <c r="C991" s="220"/>
      <c r="D991" s="220"/>
      <c r="E991" s="220"/>
      <c r="F991" s="220"/>
      <c r="G991" s="220"/>
      <c r="H991" s="220"/>
      <c r="I991" s="220"/>
    </row>
    <row r="992">
      <c r="B992" s="220"/>
      <c r="C992" s="220"/>
      <c r="D992" s="220"/>
      <c r="E992" s="220"/>
      <c r="F992" s="220"/>
      <c r="G992" s="220"/>
      <c r="H992" s="220"/>
      <c r="I992" s="220"/>
    </row>
    <row r="993">
      <c r="B993" s="220"/>
      <c r="C993" s="220"/>
      <c r="D993" s="220"/>
      <c r="E993" s="220"/>
      <c r="F993" s="220"/>
      <c r="G993" s="220"/>
      <c r="H993" s="220"/>
      <c r="I993" s="220"/>
    </row>
    <row r="994">
      <c r="B994" s="220"/>
      <c r="C994" s="220"/>
      <c r="D994" s="220"/>
      <c r="E994" s="220"/>
      <c r="F994" s="220"/>
      <c r="G994" s="220"/>
      <c r="H994" s="220"/>
      <c r="I994" s="220"/>
    </row>
    <row r="995">
      <c r="B995" s="220"/>
      <c r="C995" s="220"/>
      <c r="D995" s="220"/>
      <c r="E995" s="220"/>
      <c r="F995" s="220"/>
      <c r="G995" s="220"/>
      <c r="H995" s="220"/>
      <c r="I995" s="220"/>
    </row>
    <row r="996">
      <c r="B996" s="220"/>
      <c r="C996" s="220"/>
      <c r="D996" s="220"/>
      <c r="E996" s="220"/>
      <c r="F996" s="220"/>
      <c r="G996" s="220"/>
      <c r="H996" s="220"/>
      <c r="I996" s="220"/>
    </row>
    <row r="997">
      <c r="B997" s="220"/>
      <c r="C997" s="220"/>
      <c r="D997" s="220"/>
      <c r="E997" s="220"/>
      <c r="F997" s="220"/>
      <c r="G997" s="220"/>
      <c r="H997" s="220"/>
      <c r="I997" s="220"/>
    </row>
    <row r="998">
      <c r="B998" s="220"/>
      <c r="C998" s="220"/>
      <c r="D998" s="220"/>
      <c r="E998" s="220"/>
      <c r="F998" s="220"/>
      <c r="G998" s="220"/>
      <c r="H998" s="220"/>
      <c r="I998" s="220"/>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5.0"/>
    <col customWidth="1" min="2" max="2" width="15.0"/>
    <col customWidth="1" min="3" max="6" width="14.43"/>
  </cols>
  <sheetData>
    <row r="1">
      <c r="A1" s="207" t="s">
        <v>985</v>
      </c>
      <c r="B1" s="207" t="s">
        <v>986</v>
      </c>
      <c r="C1" s="138"/>
      <c r="D1" s="138"/>
      <c r="E1" s="138"/>
      <c r="F1" s="138"/>
    </row>
    <row r="2">
      <c r="A2" s="279" t="s">
        <v>958</v>
      </c>
      <c r="B2" s="279">
        <v>0.0</v>
      </c>
      <c r="C2" s="138"/>
      <c r="D2" s="280" t="s">
        <v>987</v>
      </c>
      <c r="E2" s="138"/>
      <c r="F2" s="138"/>
    </row>
    <row r="3">
      <c r="A3" s="279" t="s">
        <v>25</v>
      </c>
      <c r="B3" s="279">
        <v>0.5</v>
      </c>
      <c r="C3" s="138"/>
      <c r="E3" s="138"/>
      <c r="F3" s="138"/>
    </row>
    <row r="4">
      <c r="A4" s="281" t="s">
        <v>927</v>
      </c>
      <c r="B4" s="281">
        <v>1.0</v>
      </c>
      <c r="C4" s="138"/>
      <c r="E4" s="138"/>
      <c r="F4" s="138"/>
    </row>
    <row r="5">
      <c r="A5" s="281" t="s">
        <v>929</v>
      </c>
      <c r="B5" s="281">
        <v>1.5</v>
      </c>
      <c r="C5" s="138"/>
      <c r="E5" s="138"/>
      <c r="F5" s="138"/>
    </row>
    <row r="6">
      <c r="A6" s="281" t="s">
        <v>937</v>
      </c>
      <c r="B6" s="281">
        <v>2.0</v>
      </c>
      <c r="C6" s="138"/>
      <c r="E6" s="282" t="s">
        <v>988</v>
      </c>
      <c r="F6" s="138"/>
    </row>
    <row r="7">
      <c r="A7" s="281" t="s">
        <v>917</v>
      </c>
      <c r="B7" s="281">
        <v>2.5</v>
      </c>
      <c r="C7" s="138"/>
      <c r="D7" s="280" t="s">
        <v>989</v>
      </c>
      <c r="E7" s="138"/>
      <c r="F7" s="138"/>
    </row>
    <row r="8">
      <c r="A8" s="281" t="s">
        <v>918</v>
      </c>
      <c r="B8" s="281">
        <v>3.0</v>
      </c>
      <c r="C8" s="138"/>
      <c r="E8" s="138"/>
      <c r="F8" s="138"/>
    </row>
    <row r="9">
      <c r="A9" s="281" t="s">
        <v>935</v>
      </c>
      <c r="B9" s="281">
        <v>3.5</v>
      </c>
      <c r="C9" s="138"/>
      <c r="E9" s="138"/>
      <c r="F9" s="138"/>
    </row>
    <row r="10">
      <c r="A10" s="279" t="s">
        <v>953</v>
      </c>
      <c r="B10" s="279">
        <v>4.0</v>
      </c>
      <c r="C10" s="138"/>
      <c r="E10" s="282" t="s">
        <v>990</v>
      </c>
      <c r="F10" s="138"/>
    </row>
    <row r="11">
      <c r="A11" s="281" t="s">
        <v>932</v>
      </c>
      <c r="B11" s="279">
        <v>4.5</v>
      </c>
      <c r="C11" s="138"/>
      <c r="D11" s="280" t="s">
        <v>991</v>
      </c>
      <c r="E11" s="138"/>
      <c r="F11" s="138"/>
    </row>
    <row r="12">
      <c r="A12" s="281" t="s">
        <v>941</v>
      </c>
      <c r="B12" s="279">
        <v>5.0</v>
      </c>
      <c r="C12" s="138"/>
      <c r="E12" s="138"/>
      <c r="F12" s="138"/>
    </row>
    <row r="13">
      <c r="A13" s="281" t="s">
        <v>938</v>
      </c>
      <c r="B13" s="279">
        <v>5.5</v>
      </c>
      <c r="C13" s="138"/>
      <c r="E13" s="282" t="s">
        <v>992</v>
      </c>
      <c r="F13" s="138"/>
    </row>
    <row r="14">
      <c r="A14" s="281" t="s">
        <v>950</v>
      </c>
      <c r="B14" s="279">
        <v>6.0</v>
      </c>
      <c r="C14" s="138"/>
      <c r="D14" s="280" t="s">
        <v>993</v>
      </c>
      <c r="E14" s="138"/>
      <c r="F14" s="138"/>
    </row>
    <row r="15">
      <c r="A15" s="281" t="s">
        <v>994</v>
      </c>
      <c r="B15" s="279">
        <v>6.5</v>
      </c>
      <c r="C15" s="138"/>
      <c r="E15" s="282" t="s">
        <v>995</v>
      </c>
      <c r="F15" s="138"/>
    </row>
    <row r="16">
      <c r="A16" s="138"/>
      <c r="B16" s="138"/>
      <c r="C16" s="138"/>
      <c r="D16" s="138"/>
      <c r="E16" s="138"/>
      <c r="F16" s="138"/>
    </row>
    <row r="17">
      <c r="A17" s="138"/>
      <c r="B17" s="138"/>
      <c r="C17" s="138"/>
      <c r="D17" s="138"/>
      <c r="E17" s="138"/>
      <c r="F17" s="138"/>
    </row>
    <row r="18">
      <c r="A18" s="138"/>
      <c r="B18" s="138"/>
      <c r="C18" s="138"/>
      <c r="D18" s="138"/>
      <c r="E18" s="138"/>
      <c r="F18" s="138"/>
    </row>
    <row r="19">
      <c r="A19" s="138"/>
      <c r="B19" s="138"/>
      <c r="C19" s="138"/>
      <c r="D19" s="138"/>
      <c r="E19" s="138"/>
      <c r="F19" s="138"/>
    </row>
    <row r="20">
      <c r="A20" s="138"/>
      <c r="B20" s="138"/>
      <c r="C20" s="138"/>
      <c r="D20" s="138"/>
      <c r="E20" s="138"/>
      <c r="F20" s="138"/>
    </row>
    <row r="21">
      <c r="A21" s="138"/>
      <c r="B21" s="138"/>
      <c r="C21" s="138"/>
      <c r="D21" s="138"/>
      <c r="E21" s="138"/>
      <c r="F21" s="138"/>
    </row>
    <row r="22">
      <c r="A22" s="138"/>
      <c r="B22" s="138"/>
      <c r="C22" s="138"/>
      <c r="D22" s="138"/>
      <c r="E22" s="138"/>
      <c r="F22" s="138"/>
    </row>
    <row r="23">
      <c r="A23" s="138"/>
      <c r="B23" s="138"/>
      <c r="C23" s="138"/>
      <c r="D23" s="138"/>
      <c r="E23" s="138"/>
      <c r="F23" s="138"/>
    </row>
    <row r="24" ht="15.75" customHeight="1">
      <c r="A24" s="138"/>
      <c r="B24" s="138"/>
      <c r="C24" s="138"/>
      <c r="D24" s="138"/>
      <c r="E24" s="138"/>
      <c r="F24" s="138"/>
    </row>
    <row r="25" ht="15.75" customHeight="1">
      <c r="A25" s="138"/>
      <c r="B25" s="138"/>
      <c r="C25" s="138"/>
      <c r="D25" s="138"/>
      <c r="E25" s="138"/>
      <c r="F25" s="138"/>
    </row>
    <row r="26" ht="15.75" customHeight="1">
      <c r="A26" s="138"/>
      <c r="B26" s="138"/>
      <c r="C26" s="138"/>
      <c r="D26" s="138"/>
      <c r="E26" s="138"/>
      <c r="F26" s="138"/>
    </row>
    <row r="27" ht="15.75" customHeight="1">
      <c r="A27" s="138"/>
      <c r="B27" s="138"/>
      <c r="C27" s="138"/>
      <c r="D27" s="138"/>
      <c r="E27" s="138"/>
      <c r="F27" s="138"/>
    </row>
    <row r="28" ht="15.75" customHeight="1">
      <c r="A28" s="138"/>
      <c r="B28" s="138"/>
      <c r="C28" s="138"/>
      <c r="D28" s="138"/>
      <c r="E28" s="138"/>
      <c r="F28" s="138"/>
    </row>
    <row r="29" ht="15.75" customHeight="1">
      <c r="A29" s="138"/>
      <c r="B29" s="138"/>
      <c r="C29" s="138"/>
      <c r="D29" s="138"/>
      <c r="E29" s="138"/>
      <c r="F29" s="138"/>
    </row>
    <row r="30" ht="15.75" customHeight="1">
      <c r="A30" s="138"/>
      <c r="B30" s="138"/>
      <c r="C30" s="138"/>
      <c r="D30" s="138"/>
      <c r="E30" s="138"/>
      <c r="F30" s="138"/>
    </row>
    <row r="31" ht="15.75" customHeight="1">
      <c r="A31" s="138"/>
      <c r="B31" s="138"/>
      <c r="C31" s="138"/>
      <c r="D31" s="138"/>
      <c r="E31" s="138"/>
      <c r="F31" s="138"/>
    </row>
    <row r="32" ht="15.75" customHeight="1">
      <c r="A32" s="138"/>
      <c r="B32" s="138"/>
      <c r="C32" s="138"/>
      <c r="D32" s="138"/>
      <c r="E32" s="138"/>
      <c r="F32" s="138"/>
    </row>
    <row r="33" ht="15.75" customHeight="1">
      <c r="A33" s="138"/>
      <c r="B33" s="138"/>
      <c r="C33" s="138"/>
      <c r="D33" s="138"/>
      <c r="E33" s="138"/>
      <c r="F33" s="138"/>
    </row>
    <row r="34" ht="15.75" customHeight="1">
      <c r="A34" s="138"/>
      <c r="B34" s="138"/>
      <c r="C34" s="138"/>
      <c r="D34" s="138"/>
      <c r="E34" s="138"/>
      <c r="F34" s="138"/>
    </row>
    <row r="35" ht="15.75" customHeight="1">
      <c r="A35" s="138"/>
      <c r="B35" s="138"/>
      <c r="C35" s="138"/>
      <c r="D35" s="138"/>
      <c r="E35" s="138"/>
      <c r="F35" s="138"/>
    </row>
    <row r="36" ht="15.75" customHeight="1">
      <c r="A36" s="138"/>
      <c r="B36" s="138"/>
      <c r="C36" s="138"/>
      <c r="D36" s="138"/>
      <c r="E36" s="138"/>
      <c r="F36" s="138"/>
    </row>
    <row r="37" ht="15.75" customHeight="1">
      <c r="A37" s="138"/>
      <c r="B37" s="138"/>
      <c r="C37" s="138"/>
      <c r="D37" s="138"/>
      <c r="E37" s="138"/>
      <c r="F37" s="138"/>
    </row>
    <row r="38" ht="15.75" customHeight="1">
      <c r="A38" s="138"/>
      <c r="B38" s="138"/>
      <c r="C38" s="138"/>
      <c r="D38" s="138"/>
      <c r="E38" s="138"/>
      <c r="F38" s="138"/>
    </row>
    <row r="39" ht="15.75" customHeight="1">
      <c r="A39" s="138"/>
      <c r="B39" s="138"/>
      <c r="C39" s="138"/>
      <c r="D39" s="138"/>
      <c r="E39" s="138"/>
      <c r="F39" s="138"/>
    </row>
    <row r="40" ht="15.75" customHeight="1">
      <c r="A40" s="138"/>
      <c r="B40" s="138"/>
      <c r="C40" s="138"/>
      <c r="D40" s="138"/>
      <c r="E40" s="138"/>
      <c r="F40" s="138"/>
    </row>
    <row r="41" ht="15.75" customHeight="1">
      <c r="A41" s="138"/>
      <c r="B41" s="138"/>
      <c r="C41" s="138"/>
      <c r="D41" s="138"/>
      <c r="E41" s="138"/>
      <c r="F41" s="138"/>
    </row>
    <row r="42" ht="15.75" customHeight="1">
      <c r="A42" s="138"/>
      <c r="B42" s="138"/>
      <c r="C42" s="138"/>
      <c r="D42" s="138"/>
      <c r="E42" s="138"/>
      <c r="F42" s="138"/>
    </row>
    <row r="43" ht="15.75" customHeight="1">
      <c r="A43" s="138"/>
      <c r="B43" s="138"/>
      <c r="C43" s="138"/>
      <c r="D43" s="138"/>
      <c r="E43" s="138"/>
      <c r="F43" s="138"/>
    </row>
    <row r="44" ht="15.75" customHeight="1">
      <c r="A44" s="138"/>
      <c r="B44" s="138"/>
      <c r="C44" s="138"/>
      <c r="D44" s="138"/>
      <c r="E44" s="138"/>
      <c r="F44" s="138"/>
    </row>
    <row r="45" ht="15.75" customHeight="1">
      <c r="A45" s="138"/>
      <c r="B45" s="138"/>
      <c r="C45" s="138"/>
      <c r="D45" s="138"/>
      <c r="E45" s="138"/>
      <c r="F45" s="138"/>
    </row>
    <row r="46" ht="15.75" customHeight="1">
      <c r="A46" s="138"/>
      <c r="B46" s="138"/>
      <c r="C46" s="138"/>
      <c r="D46" s="138"/>
      <c r="E46" s="138"/>
      <c r="F46" s="138"/>
    </row>
    <row r="47" ht="15.75" customHeight="1">
      <c r="A47" s="138"/>
      <c r="B47" s="138"/>
      <c r="C47" s="138"/>
      <c r="D47" s="138"/>
      <c r="E47" s="138"/>
      <c r="F47" s="138"/>
    </row>
    <row r="48" ht="15.75" customHeight="1">
      <c r="A48" s="138"/>
      <c r="B48" s="138"/>
      <c r="C48" s="138"/>
      <c r="D48" s="138"/>
      <c r="E48" s="138"/>
      <c r="F48" s="138"/>
    </row>
    <row r="49" ht="15.75" customHeight="1">
      <c r="A49" s="138"/>
      <c r="B49" s="138"/>
      <c r="C49" s="138"/>
      <c r="D49" s="138"/>
      <c r="E49" s="138"/>
      <c r="F49" s="138"/>
    </row>
    <row r="50" ht="15.75" customHeight="1">
      <c r="A50" s="138"/>
      <c r="B50" s="138"/>
      <c r="C50" s="138"/>
      <c r="D50" s="138"/>
      <c r="E50" s="138"/>
      <c r="F50" s="138"/>
    </row>
    <row r="51" ht="15.75" customHeight="1">
      <c r="A51" s="138"/>
      <c r="B51" s="138"/>
      <c r="C51" s="138"/>
      <c r="D51" s="138"/>
      <c r="E51" s="138"/>
      <c r="F51" s="138"/>
    </row>
    <row r="52" ht="15.75" customHeight="1">
      <c r="A52" s="138"/>
      <c r="B52" s="138"/>
      <c r="C52" s="138"/>
      <c r="D52" s="138"/>
      <c r="E52" s="138"/>
      <c r="F52" s="138"/>
    </row>
    <row r="53" ht="15.75" customHeight="1">
      <c r="A53" s="138"/>
      <c r="B53" s="138"/>
      <c r="C53" s="138"/>
      <c r="D53" s="138"/>
      <c r="E53" s="138"/>
      <c r="F53" s="138"/>
    </row>
    <row r="54" ht="15.75" customHeight="1">
      <c r="A54" s="138"/>
      <c r="B54" s="138"/>
      <c r="C54" s="138"/>
      <c r="D54" s="138"/>
      <c r="E54" s="138"/>
      <c r="F54" s="138"/>
    </row>
    <row r="55" ht="15.75" customHeight="1">
      <c r="A55" s="138"/>
      <c r="B55" s="138"/>
      <c r="C55" s="138"/>
      <c r="D55" s="138"/>
      <c r="E55" s="138"/>
      <c r="F55" s="138"/>
    </row>
    <row r="56" ht="15.75" customHeight="1">
      <c r="A56" s="138"/>
      <c r="B56" s="138"/>
      <c r="C56" s="138"/>
      <c r="D56" s="138"/>
      <c r="E56" s="138"/>
      <c r="F56" s="138"/>
    </row>
    <row r="57" ht="15.75" customHeight="1">
      <c r="A57" s="138"/>
      <c r="B57" s="138"/>
      <c r="C57" s="138"/>
      <c r="D57" s="138"/>
      <c r="E57" s="138"/>
      <c r="F57" s="138"/>
    </row>
    <row r="58" ht="15.75" customHeight="1">
      <c r="A58" s="138"/>
      <c r="B58" s="138"/>
      <c r="C58" s="138"/>
      <c r="D58" s="138"/>
      <c r="E58" s="138"/>
      <c r="F58" s="138"/>
    </row>
    <row r="59" ht="15.75" customHeight="1">
      <c r="A59" s="138"/>
      <c r="B59" s="138"/>
      <c r="C59" s="138"/>
      <c r="D59" s="138"/>
      <c r="E59" s="138"/>
      <c r="F59" s="138"/>
    </row>
    <row r="60" ht="15.75" customHeight="1">
      <c r="A60" s="138"/>
      <c r="B60" s="138"/>
      <c r="C60" s="138"/>
      <c r="D60" s="138"/>
      <c r="E60" s="138"/>
      <c r="F60" s="138"/>
    </row>
    <row r="61" ht="15.75" customHeight="1">
      <c r="A61" s="138"/>
      <c r="B61" s="138"/>
      <c r="C61" s="138"/>
      <c r="D61" s="138"/>
      <c r="E61" s="138"/>
      <c r="F61" s="138"/>
    </row>
    <row r="62" ht="15.75" customHeight="1">
      <c r="A62" s="138"/>
      <c r="B62" s="138"/>
      <c r="C62" s="138"/>
      <c r="D62" s="138"/>
      <c r="E62" s="138"/>
      <c r="F62" s="138"/>
    </row>
    <row r="63" ht="15.75" customHeight="1">
      <c r="A63" s="138"/>
      <c r="B63" s="138"/>
      <c r="C63" s="138"/>
      <c r="D63" s="138"/>
      <c r="E63" s="138"/>
      <c r="F63" s="138"/>
    </row>
    <row r="64" ht="15.75" customHeight="1">
      <c r="A64" s="138"/>
      <c r="B64" s="138"/>
      <c r="C64" s="138"/>
      <c r="D64" s="138"/>
      <c r="E64" s="138"/>
      <c r="F64" s="138"/>
    </row>
    <row r="65" ht="15.75" customHeight="1">
      <c r="A65" s="138"/>
      <c r="B65" s="138"/>
      <c r="C65" s="138"/>
      <c r="D65" s="138"/>
      <c r="E65" s="138"/>
      <c r="F65" s="138"/>
    </row>
    <row r="66" ht="15.75" customHeight="1">
      <c r="A66" s="138"/>
      <c r="B66" s="138"/>
      <c r="C66" s="138"/>
      <c r="D66" s="138"/>
      <c r="E66" s="138"/>
      <c r="F66" s="138"/>
    </row>
    <row r="67" ht="15.75" customHeight="1">
      <c r="A67" s="138"/>
      <c r="B67" s="138"/>
      <c r="C67" s="138"/>
      <c r="D67" s="138"/>
      <c r="E67" s="138"/>
      <c r="F67" s="138"/>
    </row>
    <row r="68" ht="15.75" customHeight="1">
      <c r="A68" s="138"/>
      <c r="B68" s="138"/>
      <c r="C68" s="138"/>
      <c r="D68" s="138"/>
      <c r="E68" s="138"/>
      <c r="F68" s="138"/>
    </row>
    <row r="69" ht="15.75" customHeight="1">
      <c r="A69" s="138"/>
      <c r="B69" s="138"/>
      <c r="C69" s="138"/>
      <c r="D69" s="138"/>
      <c r="E69" s="138"/>
      <c r="F69" s="138"/>
    </row>
    <row r="70" ht="15.75" customHeight="1">
      <c r="A70" s="138"/>
      <c r="B70" s="138"/>
      <c r="C70" s="138"/>
      <c r="D70" s="138"/>
      <c r="E70" s="138"/>
      <c r="F70" s="138"/>
    </row>
    <row r="71" ht="15.75" customHeight="1">
      <c r="A71" s="138"/>
      <c r="B71" s="138"/>
      <c r="C71" s="138"/>
      <c r="D71" s="138"/>
      <c r="E71" s="138"/>
      <c r="F71" s="138"/>
    </row>
    <row r="72" ht="15.75" customHeight="1">
      <c r="A72" s="138"/>
      <c r="B72" s="138"/>
      <c r="C72" s="138"/>
      <c r="D72" s="138"/>
      <c r="E72" s="138"/>
      <c r="F72" s="138"/>
    </row>
    <row r="73" ht="15.75" customHeight="1">
      <c r="A73" s="138"/>
      <c r="B73" s="138"/>
      <c r="C73" s="138"/>
      <c r="D73" s="138"/>
      <c r="E73" s="138"/>
      <c r="F73" s="138"/>
    </row>
    <row r="74" ht="15.75" customHeight="1">
      <c r="A74" s="138"/>
      <c r="B74" s="138"/>
      <c r="C74" s="138"/>
      <c r="D74" s="138"/>
      <c r="E74" s="138"/>
      <c r="F74" s="138"/>
    </row>
    <row r="75" ht="15.75" customHeight="1">
      <c r="A75" s="138"/>
      <c r="B75" s="138"/>
      <c r="C75" s="138"/>
      <c r="D75" s="138"/>
      <c r="E75" s="138"/>
      <c r="F75" s="138"/>
    </row>
    <row r="76" ht="15.75" customHeight="1">
      <c r="A76" s="138"/>
      <c r="B76" s="138"/>
      <c r="C76" s="138"/>
      <c r="D76" s="138"/>
      <c r="E76" s="138"/>
      <c r="F76" s="138"/>
    </row>
    <row r="77" ht="15.75" customHeight="1">
      <c r="A77" s="138"/>
      <c r="B77" s="138"/>
      <c r="C77" s="138"/>
      <c r="D77" s="138"/>
      <c r="E77" s="138"/>
      <c r="F77" s="138"/>
    </row>
    <row r="78" ht="15.75" customHeight="1">
      <c r="A78" s="138"/>
      <c r="B78" s="138"/>
      <c r="C78" s="138"/>
      <c r="D78" s="138"/>
      <c r="E78" s="138"/>
      <c r="F78" s="138"/>
    </row>
    <row r="79" ht="15.75" customHeight="1">
      <c r="A79" s="138"/>
      <c r="B79" s="138"/>
      <c r="C79" s="138"/>
      <c r="D79" s="138"/>
      <c r="E79" s="138"/>
      <c r="F79" s="138"/>
    </row>
    <row r="80" ht="15.75" customHeight="1">
      <c r="A80" s="138"/>
      <c r="B80" s="138"/>
      <c r="C80" s="138"/>
      <c r="D80" s="138"/>
      <c r="E80" s="138"/>
      <c r="F80" s="138"/>
    </row>
    <row r="81" ht="15.75" customHeight="1">
      <c r="A81" s="138"/>
      <c r="B81" s="138"/>
      <c r="C81" s="138"/>
      <c r="D81" s="138"/>
      <c r="E81" s="138"/>
      <c r="F81" s="138"/>
    </row>
    <row r="82" ht="15.75" customHeight="1">
      <c r="A82" s="138"/>
      <c r="B82" s="138"/>
      <c r="C82" s="138"/>
      <c r="D82" s="138"/>
      <c r="E82" s="138"/>
      <c r="F82" s="138"/>
    </row>
    <row r="83" ht="15.75" customHeight="1">
      <c r="A83" s="138"/>
      <c r="B83" s="138"/>
      <c r="C83" s="138"/>
      <c r="D83" s="138"/>
      <c r="E83" s="138"/>
      <c r="F83" s="138"/>
    </row>
    <row r="84" ht="15.75" customHeight="1">
      <c r="A84" s="138"/>
      <c r="B84" s="138"/>
      <c r="C84" s="138"/>
      <c r="D84" s="138"/>
      <c r="E84" s="138"/>
      <c r="F84" s="138"/>
    </row>
    <row r="85" ht="15.75" customHeight="1">
      <c r="A85" s="138"/>
      <c r="B85" s="138"/>
      <c r="C85" s="138"/>
      <c r="D85" s="138"/>
      <c r="E85" s="138"/>
      <c r="F85" s="138"/>
    </row>
    <row r="86" ht="15.75" customHeight="1">
      <c r="A86" s="138"/>
      <c r="B86" s="138"/>
      <c r="C86" s="138"/>
      <c r="D86" s="138"/>
      <c r="E86" s="138"/>
      <c r="F86" s="138"/>
    </row>
    <row r="87" ht="15.75" customHeight="1">
      <c r="A87" s="138"/>
      <c r="B87" s="138"/>
      <c r="C87" s="138"/>
      <c r="D87" s="138"/>
      <c r="E87" s="138"/>
      <c r="F87" s="138"/>
    </row>
    <row r="88" ht="15.75" customHeight="1">
      <c r="A88" s="138"/>
      <c r="B88" s="138"/>
      <c r="C88" s="138"/>
      <c r="D88" s="138"/>
      <c r="E88" s="138"/>
      <c r="F88" s="138"/>
    </row>
    <row r="89" ht="15.75" customHeight="1">
      <c r="A89" s="138"/>
      <c r="B89" s="138"/>
      <c r="C89" s="138"/>
      <c r="D89" s="138"/>
      <c r="E89" s="138"/>
      <c r="F89" s="138"/>
    </row>
    <row r="90" ht="15.75" customHeight="1">
      <c r="A90" s="138"/>
      <c r="B90" s="138"/>
      <c r="C90" s="138"/>
      <c r="D90" s="138"/>
      <c r="E90" s="138"/>
      <c r="F90" s="138"/>
    </row>
    <row r="91" ht="15.75" customHeight="1">
      <c r="A91" s="138"/>
      <c r="B91" s="138"/>
      <c r="C91" s="138"/>
      <c r="D91" s="138"/>
      <c r="E91" s="138"/>
      <c r="F91" s="138"/>
    </row>
    <row r="92" ht="15.75" customHeight="1">
      <c r="A92" s="138"/>
      <c r="B92" s="138"/>
      <c r="C92" s="138"/>
      <c r="D92" s="138"/>
      <c r="E92" s="138"/>
      <c r="F92" s="138"/>
    </row>
    <row r="93" ht="15.75" customHeight="1">
      <c r="A93" s="138"/>
      <c r="B93" s="138"/>
      <c r="C93" s="138"/>
      <c r="D93" s="138"/>
      <c r="E93" s="138"/>
      <c r="F93" s="138"/>
    </row>
    <row r="94" ht="15.75" customHeight="1">
      <c r="A94" s="138"/>
      <c r="B94" s="138"/>
      <c r="C94" s="138"/>
      <c r="D94" s="138"/>
      <c r="E94" s="138"/>
      <c r="F94" s="138"/>
    </row>
    <row r="95" ht="15.75" customHeight="1">
      <c r="A95" s="138"/>
      <c r="B95" s="138"/>
      <c r="C95" s="138"/>
      <c r="D95" s="138"/>
      <c r="E95" s="138"/>
      <c r="F95" s="138"/>
    </row>
    <row r="96" ht="15.75" customHeight="1">
      <c r="A96" s="138"/>
      <c r="B96" s="138"/>
      <c r="C96" s="138"/>
      <c r="D96" s="138"/>
      <c r="E96" s="138"/>
      <c r="F96" s="138"/>
    </row>
    <row r="97" ht="15.75" customHeight="1">
      <c r="A97" s="138"/>
      <c r="B97" s="138"/>
      <c r="C97" s="138"/>
      <c r="D97" s="138"/>
      <c r="E97" s="138"/>
      <c r="F97" s="138"/>
    </row>
    <row r="98" ht="15.75" customHeight="1">
      <c r="A98" s="138"/>
      <c r="B98" s="138"/>
      <c r="C98" s="138"/>
      <c r="D98" s="138"/>
      <c r="E98" s="138"/>
      <c r="F98" s="138"/>
    </row>
    <row r="99" ht="15.75" customHeight="1">
      <c r="A99" s="138"/>
      <c r="B99" s="138"/>
      <c r="C99" s="138"/>
      <c r="D99" s="138"/>
      <c r="E99" s="138"/>
      <c r="F99" s="138"/>
    </row>
    <row r="100" ht="15.75" customHeight="1">
      <c r="A100" s="138"/>
      <c r="B100" s="138"/>
      <c r="C100" s="138"/>
      <c r="D100" s="138"/>
      <c r="E100" s="138"/>
      <c r="F100" s="138"/>
    </row>
    <row r="101" ht="15.75" customHeight="1">
      <c r="A101" s="138"/>
      <c r="B101" s="138"/>
      <c r="C101" s="138"/>
      <c r="D101" s="138"/>
      <c r="E101" s="138"/>
      <c r="F101" s="138"/>
    </row>
    <row r="102" ht="15.75" customHeight="1">
      <c r="A102" s="138"/>
      <c r="B102" s="138"/>
      <c r="C102" s="138"/>
      <c r="D102" s="138"/>
      <c r="E102" s="138"/>
      <c r="F102" s="138"/>
    </row>
    <row r="103" ht="15.75" customHeight="1">
      <c r="A103" s="138"/>
      <c r="B103" s="138"/>
      <c r="C103" s="138"/>
      <c r="D103" s="138"/>
      <c r="E103" s="138"/>
      <c r="F103" s="138"/>
    </row>
    <row r="104" ht="15.75" customHeight="1">
      <c r="A104" s="138"/>
      <c r="B104" s="138"/>
      <c r="C104" s="138"/>
      <c r="D104" s="138"/>
      <c r="E104" s="138"/>
      <c r="F104" s="138"/>
    </row>
    <row r="105" ht="15.75" customHeight="1">
      <c r="A105" s="138"/>
      <c r="B105" s="138"/>
      <c r="C105" s="138"/>
      <c r="D105" s="138"/>
      <c r="E105" s="138"/>
      <c r="F105" s="138"/>
    </row>
    <row r="106" ht="15.75" customHeight="1">
      <c r="A106" s="138"/>
      <c r="B106" s="138"/>
      <c r="C106" s="138"/>
      <c r="D106" s="138"/>
      <c r="E106" s="138"/>
      <c r="F106" s="138"/>
    </row>
    <row r="107" ht="15.75" customHeight="1">
      <c r="A107" s="138"/>
      <c r="B107" s="138"/>
      <c r="C107" s="138"/>
      <c r="D107" s="138"/>
      <c r="E107" s="138"/>
      <c r="F107" s="138"/>
    </row>
    <row r="108" ht="15.75" customHeight="1">
      <c r="A108" s="138"/>
      <c r="B108" s="138"/>
      <c r="C108" s="138"/>
      <c r="D108" s="138"/>
      <c r="E108" s="138"/>
      <c r="F108" s="138"/>
    </row>
    <row r="109" ht="15.75" customHeight="1">
      <c r="A109" s="138"/>
      <c r="B109" s="138"/>
      <c r="C109" s="138"/>
      <c r="D109" s="138"/>
      <c r="E109" s="138"/>
      <c r="F109" s="138"/>
    </row>
    <row r="110" ht="15.75" customHeight="1">
      <c r="A110" s="138"/>
      <c r="B110" s="138"/>
      <c r="C110" s="138"/>
      <c r="D110" s="138"/>
      <c r="E110" s="138"/>
      <c r="F110" s="138"/>
    </row>
    <row r="111" ht="15.75" customHeight="1">
      <c r="A111" s="138"/>
      <c r="B111" s="138"/>
      <c r="C111" s="138"/>
      <c r="D111" s="138"/>
      <c r="E111" s="138"/>
      <c r="F111" s="138"/>
    </row>
    <row r="112" ht="15.75" customHeight="1">
      <c r="A112" s="138"/>
      <c r="B112" s="138"/>
      <c r="C112" s="138"/>
      <c r="D112" s="138"/>
      <c r="E112" s="138"/>
      <c r="F112" s="138"/>
    </row>
    <row r="113" ht="15.75" customHeight="1">
      <c r="A113" s="138"/>
      <c r="B113" s="138"/>
      <c r="C113" s="138"/>
      <c r="D113" s="138"/>
      <c r="E113" s="138"/>
      <c r="F113" s="138"/>
    </row>
    <row r="114" ht="15.75" customHeight="1">
      <c r="A114" s="138"/>
      <c r="B114" s="138"/>
      <c r="C114" s="138"/>
      <c r="D114" s="138"/>
      <c r="E114" s="138"/>
      <c r="F114" s="138"/>
    </row>
    <row r="115" ht="15.75" customHeight="1">
      <c r="A115" s="138"/>
      <c r="B115" s="138"/>
      <c r="C115" s="138"/>
      <c r="D115" s="138"/>
      <c r="E115" s="138"/>
      <c r="F115" s="138"/>
    </row>
    <row r="116" ht="15.75" customHeight="1">
      <c r="A116" s="138"/>
      <c r="B116" s="138"/>
      <c r="C116" s="138"/>
      <c r="D116" s="138"/>
      <c r="E116" s="138"/>
      <c r="F116" s="138"/>
    </row>
    <row r="117" ht="15.75" customHeight="1">
      <c r="A117" s="138"/>
      <c r="B117" s="138"/>
      <c r="C117" s="138"/>
      <c r="D117" s="138"/>
      <c r="E117" s="138"/>
      <c r="F117" s="138"/>
    </row>
    <row r="118" ht="15.75" customHeight="1">
      <c r="A118" s="138"/>
      <c r="B118" s="138"/>
      <c r="C118" s="138"/>
      <c r="D118" s="138"/>
      <c r="E118" s="138"/>
      <c r="F118" s="138"/>
    </row>
    <row r="119" ht="15.75" customHeight="1">
      <c r="A119" s="138"/>
      <c r="B119" s="138"/>
      <c r="C119" s="138"/>
      <c r="D119" s="138"/>
      <c r="E119" s="138"/>
      <c r="F119" s="138"/>
    </row>
    <row r="120" ht="15.75" customHeight="1">
      <c r="A120" s="138"/>
      <c r="B120" s="138"/>
      <c r="C120" s="138"/>
      <c r="D120" s="138"/>
      <c r="E120" s="138"/>
      <c r="F120" s="138"/>
    </row>
    <row r="121" ht="15.75" customHeight="1">
      <c r="A121" s="138"/>
      <c r="B121" s="138"/>
      <c r="C121" s="138"/>
      <c r="D121" s="138"/>
      <c r="E121" s="138"/>
      <c r="F121" s="138"/>
    </row>
    <row r="122" ht="15.75" customHeight="1">
      <c r="A122" s="138"/>
      <c r="B122" s="138"/>
      <c r="C122" s="138"/>
      <c r="D122" s="138"/>
      <c r="E122" s="138"/>
      <c r="F122" s="138"/>
    </row>
    <row r="123" ht="15.75" customHeight="1">
      <c r="A123" s="138"/>
      <c r="B123" s="138"/>
      <c r="C123" s="138"/>
      <c r="D123" s="138"/>
      <c r="E123" s="138"/>
      <c r="F123" s="138"/>
    </row>
    <row r="124" ht="15.75" customHeight="1">
      <c r="A124" s="138"/>
      <c r="B124" s="138"/>
      <c r="C124" s="138"/>
      <c r="D124" s="138"/>
      <c r="E124" s="138"/>
      <c r="F124" s="138"/>
    </row>
    <row r="125" ht="15.75" customHeight="1">
      <c r="A125" s="138"/>
      <c r="B125" s="138"/>
      <c r="C125" s="138"/>
      <c r="D125" s="138"/>
      <c r="E125" s="138"/>
      <c r="F125" s="138"/>
    </row>
    <row r="126" ht="15.75" customHeight="1">
      <c r="A126" s="138"/>
      <c r="B126" s="138"/>
      <c r="C126" s="138"/>
      <c r="D126" s="138"/>
      <c r="E126" s="138"/>
      <c r="F126" s="138"/>
    </row>
    <row r="127" ht="15.75" customHeight="1">
      <c r="A127" s="138"/>
      <c r="B127" s="138"/>
      <c r="C127" s="138"/>
      <c r="D127" s="138"/>
      <c r="E127" s="138"/>
      <c r="F127" s="138"/>
    </row>
    <row r="128" ht="15.75" customHeight="1">
      <c r="A128" s="138"/>
      <c r="B128" s="138"/>
      <c r="C128" s="138"/>
      <c r="D128" s="138"/>
      <c r="E128" s="138"/>
      <c r="F128" s="138"/>
    </row>
    <row r="129" ht="15.75" customHeight="1">
      <c r="A129" s="138"/>
      <c r="B129" s="138"/>
      <c r="C129" s="138"/>
      <c r="D129" s="138"/>
      <c r="E129" s="138"/>
      <c r="F129" s="138"/>
    </row>
    <row r="130" ht="15.75" customHeight="1">
      <c r="A130" s="138"/>
      <c r="B130" s="138"/>
      <c r="C130" s="138"/>
      <c r="D130" s="138"/>
      <c r="E130" s="138"/>
      <c r="F130" s="138"/>
    </row>
    <row r="131" ht="15.75" customHeight="1">
      <c r="A131" s="138"/>
      <c r="B131" s="138"/>
      <c r="C131" s="138"/>
      <c r="D131" s="138"/>
      <c r="E131" s="138"/>
      <c r="F131" s="138"/>
    </row>
    <row r="132" ht="15.75" customHeight="1">
      <c r="A132" s="138"/>
      <c r="B132" s="138"/>
      <c r="C132" s="138"/>
      <c r="D132" s="138"/>
      <c r="E132" s="138"/>
      <c r="F132" s="138"/>
    </row>
    <row r="133" ht="15.75" customHeight="1">
      <c r="A133" s="138"/>
      <c r="B133" s="138"/>
      <c r="C133" s="138"/>
      <c r="D133" s="138"/>
      <c r="E133" s="138"/>
      <c r="F133" s="138"/>
    </row>
    <row r="134" ht="15.75" customHeight="1">
      <c r="A134" s="138"/>
      <c r="B134" s="138"/>
      <c r="C134" s="138"/>
      <c r="D134" s="138"/>
      <c r="E134" s="138"/>
      <c r="F134" s="138"/>
    </row>
    <row r="135" ht="15.75" customHeight="1">
      <c r="A135" s="138"/>
      <c r="B135" s="138"/>
      <c r="C135" s="138"/>
      <c r="D135" s="138"/>
      <c r="E135" s="138"/>
      <c r="F135" s="138"/>
    </row>
    <row r="136" ht="15.75" customHeight="1">
      <c r="A136" s="138"/>
      <c r="B136" s="138"/>
      <c r="C136" s="138"/>
      <c r="D136" s="138"/>
      <c r="E136" s="138"/>
      <c r="F136" s="138"/>
    </row>
    <row r="137" ht="15.75" customHeight="1">
      <c r="A137" s="138"/>
      <c r="B137" s="138"/>
      <c r="C137" s="138"/>
      <c r="D137" s="138"/>
      <c r="E137" s="138"/>
      <c r="F137" s="138"/>
    </row>
    <row r="138" ht="15.75" customHeight="1">
      <c r="A138" s="138"/>
      <c r="B138" s="138"/>
      <c r="C138" s="138"/>
      <c r="D138" s="138"/>
      <c r="E138" s="138"/>
      <c r="F138" s="138"/>
    </row>
    <row r="139" ht="15.75" customHeight="1">
      <c r="A139" s="138"/>
      <c r="B139" s="138"/>
      <c r="C139" s="138"/>
      <c r="D139" s="138"/>
      <c r="E139" s="138"/>
      <c r="F139" s="138"/>
    </row>
    <row r="140" ht="15.75" customHeight="1">
      <c r="A140" s="138"/>
      <c r="B140" s="138"/>
      <c r="C140" s="138"/>
      <c r="D140" s="138"/>
      <c r="E140" s="138"/>
      <c r="F140" s="138"/>
    </row>
    <row r="141" ht="15.75" customHeight="1">
      <c r="A141" s="138"/>
      <c r="B141" s="138"/>
      <c r="C141" s="138"/>
      <c r="D141" s="138"/>
      <c r="E141" s="138"/>
      <c r="F141" s="138"/>
    </row>
    <row r="142" ht="15.75" customHeight="1">
      <c r="A142" s="138"/>
      <c r="B142" s="138"/>
      <c r="C142" s="138"/>
      <c r="D142" s="138"/>
      <c r="E142" s="138"/>
      <c r="F142" s="138"/>
    </row>
    <row r="143" ht="15.75" customHeight="1">
      <c r="A143" s="138"/>
      <c r="B143" s="138"/>
      <c r="C143" s="138"/>
      <c r="D143" s="138"/>
      <c r="E143" s="138"/>
      <c r="F143" s="138"/>
    </row>
    <row r="144" ht="15.75" customHeight="1">
      <c r="A144" s="138"/>
      <c r="B144" s="138"/>
      <c r="C144" s="138"/>
      <c r="D144" s="138"/>
      <c r="E144" s="138"/>
      <c r="F144" s="138"/>
    </row>
    <row r="145" ht="15.75" customHeight="1">
      <c r="A145" s="138"/>
      <c r="B145" s="138"/>
      <c r="C145" s="138"/>
      <c r="D145" s="138"/>
      <c r="E145" s="138"/>
      <c r="F145" s="138"/>
    </row>
    <row r="146" ht="15.75" customHeight="1">
      <c r="A146" s="138"/>
      <c r="B146" s="138"/>
      <c r="C146" s="138"/>
      <c r="D146" s="138"/>
      <c r="E146" s="138"/>
      <c r="F146" s="138"/>
    </row>
    <row r="147" ht="15.75" customHeight="1">
      <c r="A147" s="138"/>
      <c r="B147" s="138"/>
      <c r="C147" s="138"/>
      <c r="D147" s="138"/>
      <c r="E147" s="138"/>
      <c r="F147" s="138"/>
    </row>
    <row r="148" ht="15.75" customHeight="1">
      <c r="A148" s="138"/>
      <c r="B148" s="138"/>
      <c r="C148" s="138"/>
      <c r="D148" s="138"/>
      <c r="E148" s="138"/>
      <c r="F148" s="138"/>
    </row>
    <row r="149" ht="15.75" customHeight="1">
      <c r="A149" s="138"/>
      <c r="B149" s="138"/>
      <c r="C149" s="138"/>
      <c r="D149" s="138"/>
      <c r="E149" s="138"/>
      <c r="F149" s="138"/>
    </row>
    <row r="150" ht="15.75" customHeight="1">
      <c r="A150" s="138"/>
      <c r="B150" s="138"/>
      <c r="C150" s="138"/>
      <c r="D150" s="138"/>
      <c r="E150" s="138"/>
      <c r="F150" s="138"/>
    </row>
    <row r="151" ht="15.75" customHeight="1">
      <c r="A151" s="138"/>
      <c r="B151" s="138"/>
      <c r="C151" s="138"/>
      <c r="D151" s="138"/>
      <c r="E151" s="138"/>
      <c r="F151" s="138"/>
    </row>
    <row r="152" ht="15.75" customHeight="1">
      <c r="A152" s="138"/>
      <c r="B152" s="138"/>
      <c r="C152" s="138"/>
      <c r="D152" s="138"/>
      <c r="E152" s="138"/>
      <c r="F152" s="138"/>
    </row>
    <row r="153" ht="15.75" customHeight="1">
      <c r="A153" s="138"/>
      <c r="B153" s="138"/>
      <c r="C153" s="138"/>
      <c r="D153" s="138"/>
      <c r="E153" s="138"/>
      <c r="F153" s="138"/>
    </row>
    <row r="154" ht="15.75" customHeight="1">
      <c r="A154" s="138"/>
      <c r="B154" s="138"/>
      <c r="C154" s="138"/>
      <c r="D154" s="138"/>
      <c r="E154" s="138"/>
      <c r="F154" s="138"/>
    </row>
    <row r="155" ht="15.75" customHeight="1">
      <c r="A155" s="138"/>
      <c r="B155" s="138"/>
      <c r="C155" s="138"/>
      <c r="D155" s="138"/>
      <c r="E155" s="138"/>
      <c r="F155" s="138"/>
    </row>
    <row r="156" ht="15.75" customHeight="1">
      <c r="A156" s="138"/>
      <c r="B156" s="138"/>
      <c r="C156" s="138"/>
      <c r="D156" s="138"/>
      <c r="E156" s="138"/>
      <c r="F156" s="138"/>
    </row>
    <row r="157" ht="15.75" customHeight="1">
      <c r="A157" s="138"/>
      <c r="B157" s="138"/>
      <c r="C157" s="138"/>
      <c r="D157" s="138"/>
      <c r="E157" s="138"/>
      <c r="F157" s="138"/>
    </row>
    <row r="158" ht="15.75" customHeight="1">
      <c r="A158" s="138"/>
      <c r="B158" s="138"/>
      <c r="C158" s="138"/>
      <c r="D158" s="138"/>
      <c r="E158" s="138"/>
      <c r="F158" s="138"/>
    </row>
    <row r="159" ht="15.75" customHeight="1">
      <c r="A159" s="138"/>
      <c r="B159" s="138"/>
      <c r="C159" s="138"/>
      <c r="D159" s="138"/>
      <c r="E159" s="138"/>
      <c r="F159" s="138"/>
    </row>
    <row r="160" ht="15.75" customHeight="1">
      <c r="A160" s="138"/>
      <c r="B160" s="138"/>
      <c r="C160" s="138"/>
      <c r="D160" s="138"/>
      <c r="E160" s="138"/>
      <c r="F160" s="138"/>
    </row>
    <row r="161" ht="15.75" customHeight="1">
      <c r="A161" s="138"/>
      <c r="B161" s="138"/>
      <c r="C161" s="138"/>
      <c r="D161" s="138"/>
      <c r="E161" s="138"/>
      <c r="F161" s="138"/>
    </row>
    <row r="162" ht="15.75" customHeight="1">
      <c r="A162" s="138"/>
      <c r="B162" s="138"/>
      <c r="C162" s="138"/>
      <c r="D162" s="138"/>
      <c r="E162" s="138"/>
      <c r="F162" s="138"/>
    </row>
    <row r="163" ht="15.75" customHeight="1">
      <c r="A163" s="138"/>
      <c r="B163" s="138"/>
      <c r="C163" s="138"/>
      <c r="D163" s="138"/>
      <c r="E163" s="138"/>
      <c r="F163" s="138"/>
    </row>
    <row r="164" ht="15.75" customHeight="1">
      <c r="A164" s="138"/>
      <c r="B164" s="138"/>
      <c r="C164" s="138"/>
      <c r="D164" s="138"/>
      <c r="E164" s="138"/>
      <c r="F164" s="138"/>
    </row>
    <row r="165" ht="15.75" customHeight="1">
      <c r="A165" s="138"/>
      <c r="B165" s="138"/>
      <c r="C165" s="138"/>
      <c r="D165" s="138"/>
      <c r="E165" s="138"/>
      <c r="F165" s="138"/>
    </row>
    <row r="166" ht="15.75" customHeight="1">
      <c r="A166" s="138"/>
      <c r="B166" s="138"/>
      <c r="C166" s="138"/>
      <c r="D166" s="138"/>
      <c r="E166" s="138"/>
      <c r="F166" s="138"/>
    </row>
    <row r="167" ht="15.75" customHeight="1">
      <c r="A167" s="138"/>
      <c r="B167" s="138"/>
      <c r="C167" s="138"/>
      <c r="D167" s="138"/>
      <c r="E167" s="138"/>
      <c r="F167" s="138"/>
    </row>
    <row r="168" ht="15.75" customHeight="1">
      <c r="A168" s="138"/>
      <c r="B168" s="138"/>
      <c r="C168" s="138"/>
      <c r="D168" s="138"/>
      <c r="E168" s="138"/>
      <c r="F168" s="138"/>
    </row>
    <row r="169" ht="15.75" customHeight="1">
      <c r="A169" s="138"/>
      <c r="B169" s="138"/>
      <c r="C169" s="138"/>
      <c r="D169" s="138"/>
      <c r="E169" s="138"/>
      <c r="F169" s="138"/>
    </row>
    <row r="170" ht="15.75" customHeight="1">
      <c r="A170" s="138"/>
      <c r="B170" s="138"/>
      <c r="C170" s="138"/>
      <c r="D170" s="138"/>
      <c r="E170" s="138"/>
      <c r="F170" s="138"/>
    </row>
    <row r="171" ht="15.75" customHeight="1">
      <c r="A171" s="138"/>
      <c r="B171" s="138"/>
      <c r="C171" s="138"/>
      <c r="D171" s="138"/>
      <c r="E171" s="138"/>
      <c r="F171" s="138"/>
    </row>
    <row r="172" ht="15.75" customHeight="1">
      <c r="A172" s="138"/>
      <c r="B172" s="138"/>
      <c r="C172" s="138"/>
      <c r="D172" s="138"/>
      <c r="E172" s="138"/>
      <c r="F172" s="138"/>
    </row>
    <row r="173" ht="15.75" customHeight="1">
      <c r="A173" s="138"/>
      <c r="B173" s="138"/>
      <c r="C173" s="138"/>
      <c r="D173" s="138"/>
      <c r="E173" s="138"/>
      <c r="F173" s="138"/>
    </row>
    <row r="174" ht="15.75" customHeight="1">
      <c r="A174" s="138"/>
      <c r="B174" s="138"/>
      <c r="C174" s="138"/>
      <c r="D174" s="138"/>
      <c r="E174" s="138"/>
      <c r="F174" s="138"/>
    </row>
    <row r="175" ht="15.75" customHeight="1">
      <c r="A175" s="138"/>
      <c r="B175" s="138"/>
      <c r="C175" s="138"/>
      <c r="D175" s="138"/>
      <c r="E175" s="138"/>
      <c r="F175" s="138"/>
    </row>
    <row r="176" ht="15.75" customHeight="1">
      <c r="A176" s="138"/>
      <c r="B176" s="138"/>
      <c r="C176" s="138"/>
      <c r="D176" s="138"/>
      <c r="E176" s="138"/>
      <c r="F176" s="138"/>
    </row>
    <row r="177" ht="15.75" customHeight="1">
      <c r="A177" s="138"/>
      <c r="B177" s="138"/>
      <c r="C177" s="138"/>
      <c r="D177" s="138"/>
      <c r="E177" s="138"/>
      <c r="F177" s="138"/>
    </row>
    <row r="178" ht="15.75" customHeight="1">
      <c r="A178" s="138"/>
      <c r="B178" s="138"/>
      <c r="C178" s="138"/>
      <c r="D178" s="138"/>
      <c r="E178" s="138"/>
      <c r="F178" s="138"/>
    </row>
    <row r="179" ht="15.75" customHeight="1">
      <c r="A179" s="138"/>
      <c r="B179" s="138"/>
      <c r="C179" s="138"/>
      <c r="D179" s="138"/>
      <c r="E179" s="138"/>
      <c r="F179" s="138"/>
    </row>
    <row r="180" ht="15.75" customHeight="1">
      <c r="A180" s="138"/>
      <c r="B180" s="138"/>
      <c r="C180" s="138"/>
      <c r="D180" s="138"/>
      <c r="E180" s="138"/>
      <c r="F180" s="138"/>
    </row>
    <row r="181" ht="15.75" customHeight="1">
      <c r="A181" s="138"/>
      <c r="B181" s="138"/>
      <c r="C181" s="138"/>
      <c r="D181" s="138"/>
      <c r="E181" s="138"/>
      <c r="F181" s="138"/>
    </row>
    <row r="182" ht="15.75" customHeight="1">
      <c r="A182" s="138"/>
      <c r="B182" s="138"/>
      <c r="C182" s="138"/>
      <c r="D182" s="138"/>
      <c r="E182" s="138"/>
      <c r="F182" s="138"/>
    </row>
    <row r="183" ht="15.75" customHeight="1">
      <c r="A183" s="138"/>
      <c r="B183" s="138"/>
      <c r="C183" s="138"/>
      <c r="D183" s="138"/>
      <c r="E183" s="138"/>
      <c r="F183" s="138"/>
    </row>
    <row r="184" ht="15.75" customHeight="1">
      <c r="A184" s="138"/>
      <c r="B184" s="138"/>
      <c r="C184" s="138"/>
      <c r="D184" s="138"/>
      <c r="E184" s="138"/>
      <c r="F184" s="138"/>
    </row>
    <row r="185" ht="15.75" customHeight="1">
      <c r="A185" s="138"/>
      <c r="B185" s="138"/>
      <c r="C185" s="138"/>
      <c r="D185" s="138"/>
      <c r="E185" s="138"/>
      <c r="F185" s="138"/>
    </row>
    <row r="186" ht="15.75" customHeight="1">
      <c r="A186" s="138"/>
      <c r="B186" s="138"/>
      <c r="C186" s="138"/>
      <c r="D186" s="138"/>
      <c r="E186" s="138"/>
      <c r="F186" s="138"/>
    </row>
    <row r="187" ht="15.75" customHeight="1">
      <c r="A187" s="138"/>
      <c r="B187" s="138"/>
      <c r="C187" s="138"/>
      <c r="D187" s="138"/>
      <c r="E187" s="138"/>
      <c r="F187" s="138"/>
    </row>
    <row r="188" ht="15.75" customHeight="1">
      <c r="A188" s="138"/>
      <c r="B188" s="138"/>
      <c r="C188" s="138"/>
      <c r="D188" s="138"/>
      <c r="E188" s="138"/>
      <c r="F188" s="138"/>
    </row>
    <row r="189" ht="15.75" customHeight="1">
      <c r="A189" s="138"/>
      <c r="B189" s="138"/>
      <c r="C189" s="138"/>
      <c r="D189" s="138"/>
      <c r="E189" s="138"/>
      <c r="F189" s="138"/>
    </row>
    <row r="190" ht="15.75" customHeight="1">
      <c r="A190" s="138"/>
      <c r="B190" s="138"/>
      <c r="C190" s="138"/>
      <c r="D190" s="138"/>
      <c r="E190" s="138"/>
      <c r="F190" s="138"/>
    </row>
    <row r="191" ht="15.75" customHeight="1">
      <c r="A191" s="138"/>
      <c r="B191" s="138"/>
      <c r="C191" s="138"/>
      <c r="D191" s="138"/>
      <c r="E191" s="138"/>
      <c r="F191" s="138"/>
    </row>
    <row r="192" ht="15.75" customHeight="1">
      <c r="A192" s="138"/>
      <c r="B192" s="138"/>
      <c r="C192" s="138"/>
      <c r="D192" s="138"/>
      <c r="E192" s="138"/>
      <c r="F192" s="138"/>
    </row>
    <row r="193" ht="15.75" customHeight="1">
      <c r="A193" s="138"/>
      <c r="B193" s="138"/>
      <c r="C193" s="138"/>
      <c r="D193" s="138"/>
      <c r="E193" s="138"/>
      <c r="F193" s="138"/>
    </row>
    <row r="194" ht="15.75" customHeight="1">
      <c r="A194" s="138"/>
      <c r="B194" s="138"/>
      <c r="C194" s="138"/>
      <c r="D194" s="138"/>
      <c r="E194" s="138"/>
      <c r="F194" s="138"/>
    </row>
    <row r="195" ht="15.75" customHeight="1">
      <c r="A195" s="138"/>
      <c r="B195" s="138"/>
      <c r="C195" s="138"/>
      <c r="D195" s="138"/>
      <c r="E195" s="138"/>
      <c r="F195" s="138"/>
    </row>
    <row r="196" ht="15.75" customHeight="1">
      <c r="A196" s="138"/>
      <c r="B196" s="138"/>
      <c r="C196" s="138"/>
      <c r="D196" s="138"/>
      <c r="E196" s="138"/>
      <c r="F196" s="138"/>
    </row>
    <row r="197" ht="15.75" customHeight="1">
      <c r="A197" s="138"/>
      <c r="B197" s="138"/>
      <c r="C197" s="138"/>
      <c r="D197" s="138"/>
      <c r="E197" s="138"/>
      <c r="F197" s="138"/>
    </row>
    <row r="198" ht="15.75" customHeight="1">
      <c r="A198" s="138"/>
      <c r="B198" s="138"/>
      <c r="C198" s="138"/>
      <c r="D198" s="138"/>
      <c r="E198" s="138"/>
      <c r="F198" s="138"/>
    </row>
    <row r="199" ht="15.75" customHeight="1">
      <c r="A199" s="138"/>
      <c r="B199" s="138"/>
      <c r="C199" s="138"/>
      <c r="D199" s="138"/>
      <c r="E199" s="138"/>
      <c r="F199" s="138"/>
    </row>
    <row r="200" ht="15.75" customHeight="1">
      <c r="A200" s="138"/>
      <c r="B200" s="138"/>
      <c r="C200" s="138"/>
      <c r="D200" s="138"/>
      <c r="E200" s="138"/>
      <c r="F200" s="138"/>
    </row>
    <row r="201" ht="15.75" customHeight="1">
      <c r="A201" s="138"/>
      <c r="B201" s="138"/>
      <c r="C201" s="138"/>
      <c r="D201" s="138"/>
      <c r="E201" s="138"/>
      <c r="F201" s="138"/>
    </row>
    <row r="202" ht="15.75" customHeight="1">
      <c r="A202" s="138"/>
      <c r="B202" s="138"/>
      <c r="C202" s="138"/>
      <c r="D202" s="138"/>
      <c r="E202" s="138"/>
      <c r="F202" s="138"/>
    </row>
    <row r="203" ht="15.75" customHeight="1">
      <c r="A203" s="138"/>
      <c r="B203" s="138"/>
      <c r="C203" s="138"/>
      <c r="D203" s="138"/>
      <c r="E203" s="138"/>
      <c r="F203" s="138"/>
    </row>
    <row r="204" ht="15.75" customHeight="1">
      <c r="A204" s="138"/>
      <c r="B204" s="138"/>
      <c r="C204" s="138"/>
      <c r="D204" s="138"/>
      <c r="E204" s="138"/>
      <c r="F204" s="138"/>
    </row>
    <row r="205" ht="15.75" customHeight="1">
      <c r="A205" s="138"/>
      <c r="B205" s="138"/>
      <c r="C205" s="138"/>
      <c r="D205" s="138"/>
      <c r="E205" s="138"/>
      <c r="F205" s="138"/>
    </row>
    <row r="206" ht="15.75" customHeight="1">
      <c r="A206" s="138"/>
      <c r="B206" s="138"/>
      <c r="C206" s="138"/>
      <c r="D206" s="138"/>
      <c r="E206" s="138"/>
      <c r="F206" s="138"/>
    </row>
    <row r="207" ht="15.75" customHeight="1">
      <c r="A207" s="138"/>
      <c r="B207" s="138"/>
      <c r="C207" s="138"/>
      <c r="D207" s="138"/>
      <c r="E207" s="138"/>
      <c r="F207" s="138"/>
    </row>
    <row r="208" ht="15.75" customHeight="1">
      <c r="A208" s="138"/>
      <c r="B208" s="138"/>
      <c r="C208" s="138"/>
      <c r="D208" s="138"/>
      <c r="E208" s="138"/>
      <c r="F208" s="138"/>
    </row>
    <row r="209" ht="15.75" customHeight="1">
      <c r="A209" s="138"/>
      <c r="B209" s="138"/>
      <c r="C209" s="138"/>
      <c r="D209" s="138"/>
      <c r="E209" s="138"/>
      <c r="F209" s="138"/>
    </row>
    <row r="210" ht="15.75" customHeight="1">
      <c r="A210" s="138"/>
      <c r="B210" s="138"/>
      <c r="C210" s="138"/>
      <c r="D210" s="138"/>
      <c r="E210" s="138"/>
      <c r="F210" s="138"/>
    </row>
    <row r="211" ht="15.75" customHeight="1">
      <c r="A211" s="138"/>
      <c r="B211" s="138"/>
      <c r="C211" s="138"/>
      <c r="D211" s="138"/>
      <c r="E211" s="138"/>
      <c r="F211" s="138"/>
    </row>
    <row r="212" ht="15.75" customHeight="1">
      <c r="A212" s="138"/>
      <c r="B212" s="138"/>
      <c r="C212" s="138"/>
      <c r="D212" s="138"/>
      <c r="E212" s="138"/>
      <c r="F212" s="138"/>
    </row>
    <row r="213" ht="15.75" customHeight="1">
      <c r="A213" s="138"/>
      <c r="B213" s="138"/>
      <c r="C213" s="138"/>
      <c r="D213" s="138"/>
      <c r="E213" s="138"/>
      <c r="F213" s="138"/>
    </row>
    <row r="214" ht="15.75" customHeight="1">
      <c r="A214" s="138"/>
      <c r="B214" s="138"/>
      <c r="C214" s="138"/>
      <c r="D214" s="138"/>
      <c r="E214" s="138"/>
      <c r="F214" s="138"/>
    </row>
    <row r="215" ht="15.75" customHeight="1">
      <c r="A215" s="138"/>
      <c r="B215" s="138"/>
      <c r="C215" s="138"/>
      <c r="D215" s="138"/>
      <c r="E215" s="138"/>
      <c r="F215" s="138"/>
    </row>
    <row r="216" ht="15.75" customHeight="1">
      <c r="A216" s="138"/>
      <c r="B216" s="138"/>
      <c r="C216" s="138"/>
      <c r="D216" s="138"/>
      <c r="E216" s="138"/>
      <c r="F216" s="138"/>
    </row>
    <row r="217" ht="15.75" customHeight="1">
      <c r="A217" s="138"/>
      <c r="B217" s="138"/>
      <c r="C217" s="138"/>
      <c r="D217" s="138"/>
      <c r="E217" s="138"/>
      <c r="F217" s="138"/>
    </row>
    <row r="218" ht="15.75" customHeight="1">
      <c r="A218" s="138"/>
      <c r="B218" s="138"/>
      <c r="C218" s="138"/>
      <c r="D218" s="138"/>
      <c r="E218" s="138"/>
      <c r="F218" s="138"/>
    </row>
    <row r="219" ht="15.75" customHeight="1">
      <c r="A219" s="138"/>
      <c r="B219" s="138"/>
      <c r="C219" s="138"/>
      <c r="D219" s="138"/>
      <c r="E219" s="138"/>
      <c r="F219" s="138"/>
    </row>
    <row r="220" ht="15.75" customHeight="1">
      <c r="A220" s="138"/>
      <c r="B220" s="138"/>
      <c r="C220" s="138"/>
      <c r="D220" s="138"/>
      <c r="E220" s="138"/>
      <c r="F220" s="138"/>
    </row>
    <row r="221" ht="15.75" customHeight="1">
      <c r="A221" s="138"/>
      <c r="B221" s="138"/>
      <c r="C221" s="138"/>
      <c r="D221" s="138"/>
      <c r="E221" s="138"/>
      <c r="F221" s="138"/>
    </row>
    <row r="222" ht="15.75" customHeight="1">
      <c r="A222" s="138"/>
      <c r="B222" s="138"/>
      <c r="C222" s="138"/>
      <c r="D222" s="138"/>
      <c r="E222" s="138"/>
      <c r="F222" s="138"/>
    </row>
    <row r="223" ht="15.75" customHeight="1">
      <c r="A223" s="138"/>
      <c r="B223" s="138"/>
      <c r="C223" s="138"/>
      <c r="D223" s="138"/>
      <c r="E223" s="138"/>
      <c r="F223" s="138"/>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4">
    <mergeCell ref="D2:D6"/>
    <mergeCell ref="D7:D10"/>
    <mergeCell ref="D11:D13"/>
    <mergeCell ref="D14:D15"/>
  </mergeCells>
  <printOptions/>
  <pageMargins bottom="1.0" footer="0.0" header="0.0" left="0.75" right="0.75" top="1.0"/>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9.0"/>
  </cols>
  <sheetData>
    <row r="1">
      <c r="A1" s="190" t="s">
        <v>44</v>
      </c>
      <c r="B1" s="190" t="s">
        <v>14</v>
      </c>
    </row>
    <row r="2">
      <c r="A2" s="190" t="s">
        <v>51</v>
      </c>
      <c r="B2" s="190" t="s">
        <v>24</v>
      </c>
      <c r="C2" s="219">
        <f>IFERROR(
  MINIFS(ATTENDANCE_LOG!$F:$F,
         ATTENDANCE_LOG!$A:$A, A2,
         ATTENDANCE_LOG!$B:$B, B2),
"")</f>
        <v>46084.54167</v>
      </c>
    </row>
    <row r="3">
      <c r="A3" s="190" t="s">
        <v>51</v>
      </c>
      <c r="B3" s="190" t="s">
        <v>21</v>
      </c>
      <c r="C3" s="219">
        <f>IFERROR(
  MINIFS(ATTENDANCE_LOG!$F:$F,
         ATTENDANCE_LOG!$A:$A, A3,
         ATTENDANCE_LOG!$B:$B, B3),
"")</f>
        <v>45700.41667</v>
      </c>
    </row>
    <row r="4">
      <c r="A4" s="190" t="s">
        <v>51</v>
      </c>
      <c r="B4" s="190" t="s">
        <v>22</v>
      </c>
      <c r="C4" s="219">
        <f>IFERROR(
  MINIFS(ATTENDANCE_LOG!$F:$F,
         ATTENDANCE_LOG!$A:$A, A4,
         ATTENDANCE_LOG!$B:$B, B4),
"")</f>
        <v>45889.45833</v>
      </c>
    </row>
    <row r="5">
      <c r="A5" s="190" t="s">
        <v>52</v>
      </c>
      <c r="B5" s="190" t="s">
        <v>21</v>
      </c>
      <c r="C5" s="219">
        <f>IFERROR(
  MINIFS(ATTENDANCE_LOG!$F:$F,
         ATTENDANCE_LOG!$A:$A, A5,
         ATTENDANCE_LOG!$B:$B, B5),
"")</f>
        <v>45715.41667</v>
      </c>
    </row>
    <row r="6">
      <c r="A6" s="190" t="s">
        <v>53</v>
      </c>
      <c r="B6" s="190" t="s">
        <v>21</v>
      </c>
      <c r="C6" s="219">
        <f>IFERROR(
  MINIFS(ATTENDANCE_LOG!$F:$F,
         ATTENDANCE_LOG!$A:$A, A6,
         ATTENDANCE_LOG!$B:$B, B6),
"")</f>
        <v>45715.45833</v>
      </c>
    </row>
    <row r="7">
      <c r="A7" s="190" t="s">
        <v>54</v>
      </c>
      <c r="B7" s="190" t="s">
        <v>21</v>
      </c>
      <c r="C7" s="219">
        <f>IFERROR(
  MINIFS(ATTENDANCE_LOG!$F:$F,
         ATTENDANCE_LOG!$A:$A, A7,
         ATTENDANCE_LOG!$B:$B, B7),
"")</f>
        <v>45639.58333</v>
      </c>
    </row>
    <row r="8">
      <c r="A8" s="190" t="s">
        <v>54</v>
      </c>
      <c r="B8" s="190" t="s">
        <v>22</v>
      </c>
      <c r="C8" s="219">
        <f>IFERROR(
  MINIFS(ATTENDANCE_LOG!$F:$F,
         ATTENDANCE_LOG!$A:$A, A8,
         ATTENDANCE_LOG!$B:$B, B8),
"")</f>
        <v>45869.58333</v>
      </c>
    </row>
    <row r="9">
      <c r="A9" s="190" t="s">
        <v>55</v>
      </c>
      <c r="B9" s="190" t="s">
        <v>21</v>
      </c>
      <c r="C9" s="219">
        <f>IFERROR(
  MINIFS(ATTENDANCE_LOG!$F:$F,
         ATTENDANCE_LOG!$A:$A, A9,
         ATTENDANCE_LOG!$B:$B, B9),
"")</f>
        <v>45637.41667</v>
      </c>
    </row>
    <row r="10">
      <c r="A10" s="190" t="s">
        <v>56</v>
      </c>
      <c r="B10" s="190" t="s">
        <v>21</v>
      </c>
      <c r="C10" s="219">
        <f>IFERROR(
  MINIFS(ATTENDANCE_LOG!$F:$F,
         ATTENDANCE_LOG!$A:$A, A10,
         ATTENDANCE_LOG!$B:$B, B10),
"")</f>
        <v>45639.41667</v>
      </c>
    </row>
    <row r="11">
      <c r="A11" s="190" t="s">
        <v>57</v>
      </c>
      <c r="B11" s="190" t="s">
        <v>21</v>
      </c>
      <c r="C11" s="219">
        <f>IFERROR(
  MINIFS(ATTENDANCE_LOG!$F:$F,
         ATTENDANCE_LOG!$A:$A, A11,
         ATTENDANCE_LOG!$B:$B, B11),
"")</f>
        <v>45702.45833</v>
      </c>
    </row>
    <row r="12">
      <c r="A12" s="190" t="s">
        <v>57</v>
      </c>
      <c r="B12" s="190" t="s">
        <v>22</v>
      </c>
      <c r="C12" s="219">
        <f>IFERROR(
  MINIFS(ATTENDANCE_LOG!$F:$F,
         ATTENDANCE_LOG!$A:$A, A12,
         ATTENDANCE_LOG!$B:$B, B12),
"")</f>
        <v>45841.58333</v>
      </c>
    </row>
    <row r="13">
      <c r="A13" s="190" t="s">
        <v>58</v>
      </c>
      <c r="B13" s="190" t="s">
        <v>21</v>
      </c>
      <c r="C13" s="219">
        <f>IFERROR(
  MINIFS(ATTENDANCE_LOG!$F:$F,
         ATTENDANCE_LOG!$A:$A, A13,
         ATTENDANCE_LOG!$B:$B, B13),
"")</f>
        <v>45772.58333</v>
      </c>
    </row>
    <row r="14">
      <c r="A14" s="190" t="s">
        <v>58</v>
      </c>
      <c r="B14" s="190" t="s">
        <v>22</v>
      </c>
      <c r="C14" s="219">
        <f>IFERROR(
  MINIFS(ATTENDANCE_LOG!$F:$F,
         ATTENDANCE_LOG!$A:$A, A14,
         ATTENDANCE_LOG!$B:$B, B14),
"")</f>
        <v>45946.45833</v>
      </c>
    </row>
    <row r="15">
      <c r="A15" s="190" t="s">
        <v>59</v>
      </c>
      <c r="B15" s="190" t="s">
        <v>21</v>
      </c>
      <c r="C15" s="219">
        <f>IFERROR(
  MINIFS(ATTENDANCE_LOG!$F:$F,
         ATTENDANCE_LOG!$A:$A, A15,
         ATTENDANCE_LOG!$B:$B, B15),
"")</f>
        <v>45663.58333</v>
      </c>
    </row>
    <row r="16">
      <c r="A16" s="190" t="s">
        <v>59</v>
      </c>
      <c r="B16" s="190" t="s">
        <v>22</v>
      </c>
      <c r="C16" s="219">
        <f>IFERROR(
  MINIFS(ATTENDANCE_LOG!$F:$F,
         ATTENDANCE_LOG!$A:$A, A16,
         ATTENDANCE_LOG!$B:$B, B16),
"")</f>
        <v>45915.54167</v>
      </c>
    </row>
    <row r="17">
      <c r="A17" s="190" t="s">
        <v>60</v>
      </c>
      <c r="B17" s="190" t="s">
        <v>21</v>
      </c>
      <c r="C17" s="219">
        <f>IFERROR(
  MINIFS(ATTENDANCE_LOG!$F:$F,
         ATTENDANCE_LOG!$A:$A, A17,
         ATTENDANCE_LOG!$B:$B, B17),
"")</f>
        <v>45644.375</v>
      </c>
    </row>
    <row r="18">
      <c r="A18" s="190" t="s">
        <v>60</v>
      </c>
      <c r="B18" s="190" t="s">
        <v>22</v>
      </c>
      <c r="C18" s="219">
        <f>IFERROR(
  MINIFS(ATTENDANCE_LOG!$F:$F,
         ATTENDANCE_LOG!$A:$A, A18,
         ATTENDANCE_LOG!$B:$B, B18),
"")</f>
        <v>45853.375</v>
      </c>
    </row>
    <row r="19">
      <c r="A19" s="190" t="s">
        <v>61</v>
      </c>
      <c r="B19" s="190" t="s">
        <v>21</v>
      </c>
      <c r="C19" s="219">
        <f>IFERROR(
  MINIFS(ATTENDANCE_LOG!$F:$F,
         ATTENDANCE_LOG!$A:$A, A19,
         ATTENDANCE_LOG!$B:$B, B19),
"")</f>
        <v>45644.375</v>
      </c>
    </row>
    <row r="20">
      <c r="A20" s="190" t="s">
        <v>62</v>
      </c>
      <c r="B20" s="190" t="s">
        <v>21</v>
      </c>
      <c r="C20" s="219">
        <f>IFERROR(
  MINIFS(ATTENDANCE_LOG!$F:$F,
         ATTENDANCE_LOG!$A:$A, A20,
         ATTENDANCE_LOG!$B:$B, B20),
"")</f>
        <v>45646.375</v>
      </c>
    </row>
    <row r="21">
      <c r="A21" s="190" t="s">
        <v>63</v>
      </c>
      <c r="B21" s="190" t="s">
        <v>21</v>
      </c>
      <c r="C21" s="219">
        <f>IFERROR(
  MINIFS(ATTENDANCE_LOG!$F:$F,
         ATTENDANCE_LOG!$A:$A, A21,
         ATTENDANCE_LOG!$B:$B, B21),
"")</f>
        <v>45636.45833</v>
      </c>
    </row>
    <row r="22">
      <c r="A22" s="190" t="s">
        <v>63</v>
      </c>
      <c r="B22" s="190" t="s">
        <v>22</v>
      </c>
      <c r="C22" s="219">
        <f>IFERROR(
  MINIFS(ATTENDANCE_LOG!$F:$F,
         ATTENDANCE_LOG!$A:$A, A22,
         ATTENDANCE_LOG!$B:$B, B22),
"")</f>
        <v>45841.375</v>
      </c>
    </row>
    <row r="23">
      <c r="A23" s="190" t="s">
        <v>63</v>
      </c>
      <c r="B23" s="190" t="s">
        <v>23</v>
      </c>
      <c r="C23" s="219">
        <f>IFERROR(
  MINIFS(ATTENDANCE_LOG!$F:$F,
         ATTENDANCE_LOG!$A:$A, A23,
         ATTENDANCE_LOG!$B:$B, B23),
"")</f>
        <v>45729.45833</v>
      </c>
    </row>
    <row r="24">
      <c r="A24" s="190" t="s">
        <v>64</v>
      </c>
      <c r="B24" s="190" t="s">
        <v>21</v>
      </c>
      <c r="C24" s="219">
        <f>IFERROR(
  MINIFS(ATTENDANCE_LOG!$F:$F,
         ATTENDANCE_LOG!$A:$A, A24,
         ATTENDANCE_LOG!$B:$B, B24),
"")</f>
        <v>45635.4375</v>
      </c>
    </row>
    <row r="25">
      <c r="A25" s="190" t="s">
        <v>65</v>
      </c>
      <c r="B25" s="190" t="s">
        <v>21</v>
      </c>
      <c r="C25" s="219">
        <f>IFERROR(
  MINIFS(ATTENDANCE_LOG!$F:$F,
         ATTENDANCE_LOG!$A:$A, A25,
         ATTENDANCE_LOG!$B:$B, B25),
"")</f>
        <v>45637.375</v>
      </c>
    </row>
    <row r="26">
      <c r="A26" s="190" t="s">
        <v>65</v>
      </c>
      <c r="B26" s="190" t="s">
        <v>22</v>
      </c>
      <c r="C26" s="219">
        <f>IFERROR(
  MINIFS(ATTENDANCE_LOG!$F:$F,
         ATTENDANCE_LOG!$A:$A, A26,
         ATTENDANCE_LOG!$B:$B, B26),
"")</f>
        <v>45839.375</v>
      </c>
    </row>
    <row r="27">
      <c r="A27" s="190" t="s">
        <v>66</v>
      </c>
      <c r="B27" s="190" t="s">
        <v>21</v>
      </c>
      <c r="C27" s="219">
        <f>IFERROR(
  MINIFS(ATTENDANCE_LOG!$F:$F,
         ATTENDANCE_LOG!$A:$A, A27,
         ATTENDANCE_LOG!$B:$B, B27),
"")</f>
        <v>45693.45833</v>
      </c>
    </row>
    <row r="28">
      <c r="A28" s="190" t="s">
        <v>67</v>
      </c>
      <c r="B28" s="190" t="s">
        <v>21</v>
      </c>
      <c r="C28" s="219">
        <f>IFERROR(
  MINIFS(ATTENDANCE_LOG!$F:$F,
         ATTENDANCE_LOG!$A:$A, A28,
         ATTENDANCE_LOG!$B:$B, B28),
"")</f>
        <v>45639.45833</v>
      </c>
    </row>
    <row r="29">
      <c r="A29" s="190" t="s">
        <v>68</v>
      </c>
      <c r="B29" s="190" t="s">
        <v>21</v>
      </c>
      <c r="C29" s="219">
        <f>IFERROR(
  MINIFS(ATTENDANCE_LOG!$F:$F,
         ATTENDANCE_LOG!$A:$A, A29,
         ATTENDANCE_LOG!$B:$B, B29),
"")</f>
        <v>45645.41667</v>
      </c>
    </row>
    <row r="30">
      <c r="A30" s="190" t="s">
        <v>68</v>
      </c>
      <c r="B30" s="190" t="s">
        <v>22</v>
      </c>
      <c r="C30" s="219">
        <f>IFERROR(
  MINIFS(ATTENDANCE_LOG!$F:$F,
         ATTENDANCE_LOG!$A:$A, A30,
         ATTENDANCE_LOG!$B:$B, B30),
"")</f>
        <v>45887.375</v>
      </c>
    </row>
    <row r="31">
      <c r="A31" s="190" t="s">
        <v>69</v>
      </c>
      <c r="B31" s="190" t="s">
        <v>21</v>
      </c>
      <c r="C31" s="219">
        <f>IFERROR(
  MINIFS(ATTENDANCE_LOG!$F:$F,
         ATTENDANCE_LOG!$A:$A, A31,
         ATTENDANCE_LOG!$B:$B, B31),
"")</f>
        <v>45663.41667</v>
      </c>
    </row>
    <row r="32">
      <c r="A32" s="190" t="s">
        <v>70</v>
      </c>
      <c r="B32" s="190" t="s">
        <v>21</v>
      </c>
      <c r="C32" s="219">
        <f>IFERROR(
  MINIFS(ATTENDANCE_LOG!$F:$F,
         ATTENDANCE_LOG!$A:$A, A32,
         ATTENDANCE_LOG!$B:$B, B32),
"")</f>
        <v>45638.41667</v>
      </c>
    </row>
    <row r="33">
      <c r="A33" s="190" t="s">
        <v>70</v>
      </c>
      <c r="B33" s="190" t="s">
        <v>22</v>
      </c>
      <c r="C33" s="219">
        <f>IFERROR(
  MINIFS(ATTENDANCE_LOG!$F:$F,
         ATTENDANCE_LOG!$A:$A, A33,
         ATTENDANCE_LOG!$B:$B, B33),
"")</f>
        <v>45841.58333</v>
      </c>
    </row>
    <row r="34">
      <c r="A34" s="190" t="s">
        <v>71</v>
      </c>
      <c r="B34" s="190" t="s">
        <v>24</v>
      </c>
      <c r="C34" s="219">
        <f>IFERROR(
  MINIFS(ATTENDANCE_LOG!$F:$F,
         ATTENDANCE_LOG!$A:$A, A34,
         ATTENDANCE_LOG!$B:$B, B34),
"")</f>
        <v>45713.58333</v>
      </c>
    </row>
    <row r="35">
      <c r="A35" s="190" t="s">
        <v>72</v>
      </c>
      <c r="B35" s="190" t="s">
        <v>21</v>
      </c>
      <c r="C35" s="219">
        <f>IFERROR(
  MINIFS(ATTENDANCE_LOG!$F:$F,
         ATTENDANCE_LOG!$A:$A, A35,
         ATTENDANCE_LOG!$B:$B, B35),
"")</f>
        <v>45670.54167</v>
      </c>
    </row>
    <row r="36">
      <c r="A36" s="190" t="s">
        <v>72</v>
      </c>
      <c r="B36" s="190" t="s">
        <v>22</v>
      </c>
      <c r="C36" s="219">
        <f>IFERROR(
  MINIFS(ATTENDANCE_LOG!$F:$F,
         ATTENDANCE_LOG!$A:$A, A36,
         ATTENDANCE_LOG!$B:$B, B36),
"")</f>
        <v>45866.54167</v>
      </c>
    </row>
    <row r="37">
      <c r="A37" s="190" t="s">
        <v>72</v>
      </c>
      <c r="B37" s="190" t="s">
        <v>23</v>
      </c>
      <c r="C37" s="219">
        <f>IFERROR(
  MINIFS(ATTENDANCE_LOG!$F:$F,
         ATTENDANCE_LOG!$A:$A, A37,
         ATTENDANCE_LOG!$B:$B, B37),
"")</f>
        <v>46084.58333</v>
      </c>
    </row>
    <row r="38">
      <c r="A38" s="190" t="s">
        <v>73</v>
      </c>
      <c r="B38" s="190" t="s">
        <v>21</v>
      </c>
      <c r="C38" s="219">
        <f>IFERROR(
  MINIFS(ATTENDANCE_LOG!$F:$F,
         ATTENDANCE_LOG!$A:$A, A38,
         ATTENDANCE_LOG!$B:$B, B38),
"")</f>
        <v>45765.375</v>
      </c>
    </row>
    <row r="39">
      <c r="A39" s="190" t="s">
        <v>74</v>
      </c>
      <c r="B39" s="190" t="s">
        <v>21</v>
      </c>
      <c r="C39" s="219">
        <f>IFERROR(
  MINIFS(ATTENDANCE_LOG!$F:$F,
         ATTENDANCE_LOG!$A:$A, A39,
         ATTENDANCE_LOG!$B:$B, B39),
"")</f>
        <v>45813.375</v>
      </c>
    </row>
    <row r="40">
      <c r="A40" s="190" t="s">
        <v>74</v>
      </c>
      <c r="B40" s="190" t="s">
        <v>22</v>
      </c>
      <c r="C40" s="219">
        <f>IFERROR(
  MINIFS(ATTENDANCE_LOG!$F:$F,
         ATTENDANCE_LOG!$A:$A, A40,
         ATTENDANCE_LOG!$B:$B, B40),
"")</f>
        <v>46106.41667</v>
      </c>
    </row>
    <row r="41">
      <c r="A41" s="190" t="s">
        <v>74</v>
      </c>
      <c r="B41" s="190" t="s">
        <v>25</v>
      </c>
      <c r="C41" s="219">
        <f>IFERROR(
  MINIFS(ATTENDANCE_LOG!$F:$F,
         ATTENDANCE_LOG!$A:$A, A41,
         ATTENDANCE_LOG!$B:$B, B41),
"")</f>
        <v>45818.375</v>
      </c>
    </row>
    <row r="42">
      <c r="A42" s="190" t="s">
        <v>75</v>
      </c>
      <c r="B42" s="190" t="s">
        <v>21</v>
      </c>
      <c r="C42" s="219">
        <f>IFERROR(
  MINIFS(ATTENDANCE_LOG!$F:$F,
         ATTENDANCE_LOG!$A:$A, A42,
         ATTENDANCE_LOG!$B:$B, B42),
"")</f>
        <v>45761.41667</v>
      </c>
    </row>
    <row r="43">
      <c r="A43" s="190" t="s">
        <v>75</v>
      </c>
      <c r="B43" s="190" t="s">
        <v>22</v>
      </c>
      <c r="C43" s="219">
        <f>IFERROR(
  MINIFS(ATTENDANCE_LOG!$F:$F,
         ATTENDANCE_LOG!$A:$A, A43,
         ATTENDANCE_LOG!$B:$B, B43),
"")</f>
        <v>45922.41667</v>
      </c>
    </row>
    <row r="44">
      <c r="A44" s="190" t="s">
        <v>76</v>
      </c>
      <c r="B44" s="190" t="s">
        <v>21</v>
      </c>
      <c r="C44" s="219">
        <f>IFERROR(
  MINIFS(ATTENDANCE_LOG!$F:$F,
         ATTENDANCE_LOG!$A:$A, A44,
         ATTENDANCE_LOG!$B:$B, B44),
"")</f>
        <v>45763.54167</v>
      </c>
    </row>
    <row r="45">
      <c r="A45" s="190" t="s">
        <v>76</v>
      </c>
      <c r="B45" s="190" t="s">
        <v>22</v>
      </c>
      <c r="C45" s="219">
        <f>IFERROR(
  MINIFS(ATTENDANCE_LOG!$F:$F,
         ATTENDANCE_LOG!$A:$A, A45,
         ATTENDANCE_LOG!$B:$B, B45),
"")</f>
        <v>45895.58333</v>
      </c>
    </row>
    <row r="46">
      <c r="A46" s="190" t="s">
        <v>77</v>
      </c>
      <c r="B46" s="190" t="s">
        <v>21</v>
      </c>
      <c r="C46" s="219">
        <f>IFERROR(
  MINIFS(ATTENDANCE_LOG!$F:$F,
         ATTENDANCE_LOG!$A:$A, A46,
         ATTENDANCE_LOG!$B:$B, B46),
"")</f>
        <v>45715.58333</v>
      </c>
    </row>
    <row r="47">
      <c r="A47" s="190" t="s">
        <v>77</v>
      </c>
      <c r="B47" s="190" t="s">
        <v>22</v>
      </c>
      <c r="C47" s="219">
        <f>IFERROR(
  MINIFS(ATTENDANCE_LOG!$F:$F,
         ATTENDANCE_LOG!$A:$A, A47,
         ATTENDANCE_LOG!$B:$B, B47),
"")</f>
        <v>45890.54167</v>
      </c>
    </row>
    <row r="48">
      <c r="A48" s="190" t="s">
        <v>77</v>
      </c>
      <c r="B48" s="190" t="s">
        <v>23</v>
      </c>
      <c r="C48" s="219">
        <f>IFERROR(
  MINIFS(ATTENDANCE_LOG!$F:$F,
         ATTENDANCE_LOG!$A:$A, A48,
         ATTENDANCE_LOG!$B:$B, B48),
"")</f>
        <v>46107.58333</v>
      </c>
    </row>
    <row r="49">
      <c r="A49" s="190" t="s">
        <v>78</v>
      </c>
      <c r="B49" s="190" t="s">
        <v>21</v>
      </c>
      <c r="C49" s="219">
        <f>IFERROR(
  MINIFS(ATTENDANCE_LOG!$F:$F,
         ATTENDANCE_LOG!$A:$A, A49,
         ATTENDANCE_LOG!$B:$B, B49),
"")</f>
        <v>45638.45833</v>
      </c>
    </row>
    <row r="50">
      <c r="A50" s="190" t="s">
        <v>79</v>
      </c>
      <c r="B50" s="190" t="s">
        <v>21</v>
      </c>
      <c r="C50" s="219">
        <f>IFERROR(
  MINIFS(ATTENDANCE_LOG!$F:$F,
         ATTENDANCE_LOG!$A:$A, A50,
         ATTENDANCE_LOG!$B:$B, B50),
"")</f>
        <v>45645.45833</v>
      </c>
    </row>
    <row r="51">
      <c r="A51" s="190" t="s">
        <v>80</v>
      </c>
      <c r="B51" s="190" t="s">
        <v>21</v>
      </c>
      <c r="C51" s="219">
        <f>IFERROR(
  MINIFS(ATTENDANCE_LOG!$F:$F,
         ATTENDANCE_LOG!$A:$A, A51,
         ATTENDANCE_LOG!$B:$B, B51),
"")</f>
        <v>45646.41667</v>
      </c>
    </row>
    <row r="52">
      <c r="A52" s="190" t="s">
        <v>81</v>
      </c>
      <c r="B52" s="190" t="s">
        <v>21</v>
      </c>
      <c r="C52" s="219">
        <f>IFERROR(
  MINIFS(ATTENDANCE_LOG!$F:$F,
         ATTENDANCE_LOG!$A:$A, A52,
         ATTENDANCE_LOG!$B:$B, B52),
"")</f>
        <v>45765.41667</v>
      </c>
    </row>
    <row r="53">
      <c r="A53" s="190" t="s">
        <v>82</v>
      </c>
      <c r="B53" s="190" t="s">
        <v>21</v>
      </c>
      <c r="C53" s="219">
        <f>IFERROR(
  MINIFS(ATTENDANCE_LOG!$F:$F,
         ATTENDANCE_LOG!$A:$A, A53,
         ATTENDANCE_LOG!$B:$B, B53),
"")</f>
        <v>45765.58333</v>
      </c>
    </row>
    <row r="54">
      <c r="A54" s="190" t="s">
        <v>82</v>
      </c>
      <c r="B54" s="190" t="s">
        <v>22</v>
      </c>
      <c r="C54" s="219">
        <f>IFERROR(
  MINIFS(ATTENDANCE_LOG!$F:$F,
         ATTENDANCE_LOG!$A:$A, A54,
         ATTENDANCE_LOG!$B:$B, B54),
"")</f>
        <v>45881.54167</v>
      </c>
    </row>
    <row r="55">
      <c r="A55" s="190" t="s">
        <v>83</v>
      </c>
      <c r="B55" s="190" t="s">
        <v>21</v>
      </c>
      <c r="C55" s="219">
        <f>IFERROR(
  MINIFS(ATTENDANCE_LOG!$F:$F,
         ATTENDANCE_LOG!$A:$A, A55,
         ATTENDANCE_LOG!$B:$B, B55),
"")</f>
        <v>45764.41667</v>
      </c>
    </row>
    <row r="56">
      <c r="A56" s="190" t="s">
        <v>83</v>
      </c>
      <c r="B56" s="190" t="s">
        <v>22</v>
      </c>
      <c r="C56" s="219">
        <f>IFERROR(
  MINIFS(ATTENDANCE_LOG!$F:$F,
         ATTENDANCE_LOG!$A:$A, A56,
         ATTENDANCE_LOG!$B:$B, B56),
"")</f>
        <v>45882.41667</v>
      </c>
    </row>
    <row r="57">
      <c r="A57" s="190" t="s">
        <v>84</v>
      </c>
      <c r="B57" s="190" t="s">
        <v>24</v>
      </c>
      <c r="C57" s="219">
        <f>IFERROR(
  MINIFS(ATTENDANCE_LOG!$F:$F,
         ATTENDANCE_LOG!$A:$A, A57,
         ATTENDANCE_LOG!$B:$B, B57),
"")</f>
        <v>46091.54167</v>
      </c>
    </row>
    <row r="58">
      <c r="A58" s="190" t="s">
        <v>84</v>
      </c>
      <c r="B58" s="190" t="s">
        <v>21</v>
      </c>
      <c r="C58" s="219">
        <f>IFERROR(
  MINIFS(ATTENDANCE_LOG!$F:$F,
         ATTENDANCE_LOG!$A:$A, A58,
         ATTENDANCE_LOG!$B:$B, B58),
"")</f>
        <v>45764.58333</v>
      </c>
    </row>
    <row r="59">
      <c r="A59" s="190" t="s">
        <v>84</v>
      </c>
      <c r="B59" s="190" t="s">
        <v>22</v>
      </c>
      <c r="C59" s="219">
        <f>IFERROR(
  MINIFS(ATTENDANCE_LOG!$F:$F,
         ATTENDANCE_LOG!$A:$A, A59,
         ATTENDANCE_LOG!$B:$B, B59),
"")</f>
        <v>45882.58333</v>
      </c>
    </row>
    <row r="60">
      <c r="A60" s="190" t="s">
        <v>85</v>
      </c>
      <c r="B60" s="190" t="s">
        <v>24</v>
      </c>
      <c r="C60" s="219">
        <f>IFERROR(
  MINIFS(ATTENDANCE_LOG!$F:$F,
         ATTENDANCE_LOG!$A:$A, A60,
         ATTENDANCE_LOG!$B:$B, B60),
"")</f>
        <v>46086.45833</v>
      </c>
    </row>
    <row r="61">
      <c r="A61" s="190" t="s">
        <v>85</v>
      </c>
      <c r="B61" s="190" t="s">
        <v>21</v>
      </c>
      <c r="C61" s="219">
        <f>IFERROR(
  MINIFS(ATTENDANCE_LOG!$F:$F,
         ATTENDANCE_LOG!$A:$A, A61,
         ATTENDANCE_LOG!$B:$B, B61),
"")</f>
        <v>45764.45833</v>
      </c>
    </row>
    <row r="62">
      <c r="A62" s="190" t="s">
        <v>85</v>
      </c>
      <c r="B62" s="190" t="s">
        <v>22</v>
      </c>
      <c r="C62" s="219">
        <f>IFERROR(
  MINIFS(ATTENDANCE_LOG!$F:$F,
         ATTENDANCE_LOG!$A:$A, A62,
         ATTENDANCE_LOG!$B:$B, B62),
"")</f>
        <v>45910.54167</v>
      </c>
    </row>
    <row r="63">
      <c r="A63" s="190" t="s">
        <v>86</v>
      </c>
      <c r="B63" s="190" t="s">
        <v>21</v>
      </c>
      <c r="C63" s="219">
        <f>IFERROR(
  MINIFS(ATTENDANCE_LOG!$F:$F,
         ATTENDANCE_LOG!$A:$A, A63,
         ATTENDANCE_LOG!$B:$B, B63),
"")</f>
        <v>45930.41667</v>
      </c>
    </row>
    <row r="64">
      <c r="A64" s="190" t="s">
        <v>86</v>
      </c>
      <c r="B64" s="190" t="s">
        <v>22</v>
      </c>
      <c r="C64" s="219">
        <f>IFERROR(
  MINIFS(ATTENDANCE_LOG!$F:$F,
         ATTENDANCE_LOG!$A:$A, A64,
         ATTENDANCE_LOG!$B:$B, B64),
"")</f>
        <v>46098.625</v>
      </c>
    </row>
    <row r="65">
      <c r="A65" s="190" t="s">
        <v>86</v>
      </c>
      <c r="B65" s="190" t="s">
        <v>25</v>
      </c>
      <c r="C65" s="219">
        <f>IFERROR(
  MINIFS(ATTENDANCE_LOG!$F:$F,
         ATTENDANCE_LOG!$A:$A, A65,
         ATTENDANCE_LOG!$B:$B, B65),
"")</f>
        <v>45805.375</v>
      </c>
    </row>
    <row r="66">
      <c r="A66" s="190" t="s">
        <v>87</v>
      </c>
      <c r="B66" s="190" t="s">
        <v>21</v>
      </c>
      <c r="C66" s="219">
        <f>IFERROR(
  MINIFS(ATTENDANCE_LOG!$F:$F,
         ATTENDANCE_LOG!$A:$A, A66,
         ATTENDANCE_LOG!$B:$B, B66),
"")</f>
        <v>45813.45833</v>
      </c>
    </row>
    <row r="67">
      <c r="A67" s="190" t="s">
        <v>87</v>
      </c>
      <c r="B67" s="190" t="s">
        <v>22</v>
      </c>
      <c r="C67" s="219">
        <f>IFERROR(
  MINIFS(ATTENDANCE_LOG!$F:$F,
         ATTENDANCE_LOG!$A:$A, A67,
         ATTENDANCE_LOG!$B:$B, B67),
"")</f>
        <v>46038.41667</v>
      </c>
    </row>
    <row r="68">
      <c r="A68" s="190" t="s">
        <v>88</v>
      </c>
      <c r="B68" s="190" t="s">
        <v>21</v>
      </c>
      <c r="C68" s="219">
        <f>IFERROR(
  MINIFS(ATTENDANCE_LOG!$F:$F,
         ATTENDANCE_LOG!$A:$A, A68,
         ATTENDANCE_LOG!$B:$B, B68),
"")</f>
        <v>45882.54167</v>
      </c>
    </row>
    <row r="69">
      <c r="A69" s="190" t="s">
        <v>89</v>
      </c>
      <c r="B69" s="190" t="s">
        <v>26</v>
      </c>
      <c r="C69" s="219">
        <f>IFERROR(
  MINIFS(ATTENDANCE_LOG!$F:$F,
         ATTENDANCE_LOG!$A:$A, A69,
         ATTENDANCE_LOG!$B:$B, B69),
"")</f>
        <v>46126.58333</v>
      </c>
    </row>
    <row r="70">
      <c r="A70" s="190" t="s">
        <v>89</v>
      </c>
      <c r="B70" s="190" t="s">
        <v>25</v>
      </c>
      <c r="C70" s="219">
        <f>IFERROR(
  MINIFS(ATTENDANCE_LOG!$F:$F,
         ATTENDANCE_LOG!$A:$A, A70,
         ATTENDANCE_LOG!$B:$B, B70),
"")</f>
        <v>45916.45833</v>
      </c>
    </row>
    <row r="71">
      <c r="A71" s="190" t="s">
        <v>90</v>
      </c>
      <c r="B71" s="190" t="s">
        <v>21</v>
      </c>
      <c r="C71" s="219">
        <f>IFERROR(
  MINIFS(ATTENDANCE_LOG!$F:$F,
         ATTENDANCE_LOG!$A:$A, A71,
         ATTENDANCE_LOG!$B:$B, B71),
"")</f>
        <v>45917.58333</v>
      </c>
    </row>
    <row r="72">
      <c r="A72" s="190" t="s">
        <v>91</v>
      </c>
      <c r="B72" s="190" t="s">
        <v>21</v>
      </c>
      <c r="C72" s="219">
        <f>IFERROR(
  MINIFS(ATTENDANCE_LOG!$F:$F,
         ATTENDANCE_LOG!$A:$A, A72,
         ATTENDANCE_LOG!$B:$B, B72),
"")</f>
        <v>45909.54167</v>
      </c>
    </row>
    <row r="73">
      <c r="A73" s="190" t="s">
        <v>91</v>
      </c>
      <c r="B73" s="190" t="s">
        <v>22</v>
      </c>
      <c r="C73" s="219">
        <f>IFERROR(
  MINIFS(ATTENDANCE_LOG!$F:$F,
         ATTENDANCE_LOG!$A:$A, A73,
         ATTENDANCE_LOG!$B:$B, B73),
"")</f>
        <v>46093.54167</v>
      </c>
    </row>
    <row r="74">
      <c r="A74" s="190" t="s">
        <v>92</v>
      </c>
      <c r="B74" s="190" t="s">
        <v>25</v>
      </c>
      <c r="C74" s="219">
        <f>IFERROR(
  MINIFS(ATTENDANCE_LOG!$F:$F,
         ATTENDANCE_LOG!$A:$A, A74,
         ATTENDANCE_LOG!$B:$B, B74),
"")</f>
        <v>45917.58333</v>
      </c>
    </row>
    <row r="75">
      <c r="A75" s="190" t="s">
        <v>93</v>
      </c>
      <c r="B75" s="190" t="s">
        <v>21</v>
      </c>
      <c r="C75" s="219">
        <f>IFERROR(
  MINIFS(ATTENDANCE_LOG!$F:$F,
         ATTENDANCE_LOG!$A:$A, A75,
         ATTENDANCE_LOG!$B:$B, B75),
"")</f>
        <v>45929.58333</v>
      </c>
    </row>
    <row r="76">
      <c r="A76" s="190" t="s">
        <v>94</v>
      </c>
      <c r="B76" s="190" t="s">
        <v>21</v>
      </c>
      <c r="C76" s="219">
        <f>IFERROR(
  MINIFS(ATTENDANCE_LOG!$F:$F,
         ATTENDANCE_LOG!$A:$A, A76,
         ATTENDANCE_LOG!$B:$B, B76),
"")</f>
        <v>46083.625</v>
      </c>
    </row>
    <row r="77">
      <c r="A77" s="190" t="s">
        <v>95</v>
      </c>
      <c r="B77" s="190" t="s">
        <v>25</v>
      </c>
      <c r="C77" s="219">
        <f>IFERROR(
  MINIFS(ATTENDANCE_LOG!$F:$F,
         ATTENDANCE_LOG!$A:$A, A77,
         ATTENDANCE_LOG!$B:$B, B77),
"")</f>
        <v>46086.58333</v>
      </c>
    </row>
    <row r="78">
      <c r="A78" s="190" t="s">
        <v>96</v>
      </c>
      <c r="B78" s="190" t="s">
        <v>21</v>
      </c>
      <c r="C78" s="219">
        <f>IFERROR(
  MINIFS(ATTENDANCE_LOG!$F:$F,
         ATTENDANCE_LOG!$A:$A, A78,
         ATTENDANCE_LOG!$B:$B, B78),
"")</f>
        <v>46120.45833</v>
      </c>
    </row>
    <row r="79">
      <c r="A79" s="190" t="s">
        <v>97</v>
      </c>
      <c r="B79" s="190" t="s">
        <v>21</v>
      </c>
      <c r="C79" s="219">
        <f>IFERROR(
  MINIFS(ATTENDANCE_LOG!$F:$F,
         ATTENDANCE_LOG!$A:$A, A79,
         ATTENDANCE_LOG!$B:$B, B79),
"")</f>
        <v>46126.625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5.0"/>
    <col customWidth="1" min="2" max="2" width="20.0"/>
    <col customWidth="1" min="3" max="6" width="14.43"/>
  </cols>
  <sheetData>
    <row r="1">
      <c r="A1" s="206" t="s">
        <v>44</v>
      </c>
      <c r="B1" s="206" t="s">
        <v>45</v>
      </c>
      <c r="C1" s="138"/>
      <c r="D1" s="138"/>
      <c r="E1" s="138"/>
      <c r="F1" s="138"/>
    </row>
    <row r="2">
      <c r="A2" s="283" t="s">
        <v>51</v>
      </c>
      <c r="B2" s="283" t="s">
        <v>844</v>
      </c>
      <c r="C2" s="138"/>
      <c r="D2" s="138"/>
      <c r="E2" s="138"/>
      <c r="F2" s="138"/>
    </row>
    <row r="3">
      <c r="A3" s="284" t="s">
        <v>52</v>
      </c>
      <c r="B3" s="284" t="s">
        <v>846</v>
      </c>
      <c r="C3" s="138"/>
      <c r="D3" s="138"/>
      <c r="E3" s="138"/>
      <c r="F3" s="138"/>
    </row>
    <row r="4">
      <c r="A4" s="283" t="s">
        <v>53</v>
      </c>
      <c r="B4" s="283" t="s">
        <v>847</v>
      </c>
      <c r="C4" s="138"/>
      <c r="D4" s="138"/>
      <c r="E4" s="138"/>
      <c r="F4" s="138"/>
    </row>
    <row r="5">
      <c r="A5" s="284" t="s">
        <v>54</v>
      </c>
      <c r="B5" s="284" t="s">
        <v>848</v>
      </c>
      <c r="C5" s="138"/>
      <c r="D5" s="138"/>
      <c r="E5" s="138"/>
      <c r="F5" s="138"/>
    </row>
    <row r="6">
      <c r="A6" s="283" t="s">
        <v>55</v>
      </c>
      <c r="B6" s="283" t="s">
        <v>849</v>
      </c>
      <c r="C6" s="138"/>
      <c r="D6" s="138"/>
      <c r="E6" s="138"/>
      <c r="F6" s="138"/>
    </row>
    <row r="7">
      <c r="A7" s="284" t="s">
        <v>56</v>
      </c>
      <c r="B7" s="284" t="s">
        <v>850</v>
      </c>
      <c r="C7" s="138"/>
      <c r="D7" s="138"/>
      <c r="E7" s="138"/>
      <c r="F7" s="138"/>
    </row>
    <row r="8">
      <c r="A8" s="283" t="s">
        <v>57</v>
      </c>
      <c r="B8" s="283" t="s">
        <v>851</v>
      </c>
      <c r="C8" s="138"/>
      <c r="D8" s="138"/>
      <c r="E8" s="138"/>
      <c r="F8" s="138"/>
    </row>
    <row r="9">
      <c r="A9" s="284" t="s">
        <v>58</v>
      </c>
      <c r="B9" s="284" t="s">
        <v>852</v>
      </c>
      <c r="C9" s="138"/>
      <c r="D9" s="138"/>
      <c r="E9" s="138"/>
      <c r="F9" s="138"/>
    </row>
    <row r="10">
      <c r="A10" s="283" t="s">
        <v>59</v>
      </c>
      <c r="B10" s="283" t="s">
        <v>853</v>
      </c>
      <c r="C10" s="138"/>
      <c r="D10" s="138"/>
      <c r="E10" s="138"/>
      <c r="F10" s="138"/>
    </row>
    <row r="11">
      <c r="A11" s="284" t="s">
        <v>60</v>
      </c>
      <c r="B11" s="284" t="s">
        <v>854</v>
      </c>
      <c r="C11" s="138"/>
      <c r="D11" s="138"/>
      <c r="E11" s="138"/>
      <c r="F11" s="138"/>
    </row>
    <row r="12">
      <c r="A12" s="283" t="s">
        <v>61</v>
      </c>
      <c r="B12" s="283" t="s">
        <v>855</v>
      </c>
      <c r="C12" s="138"/>
      <c r="D12" s="138"/>
      <c r="E12" s="138"/>
      <c r="F12" s="138"/>
    </row>
    <row r="13">
      <c r="A13" s="284" t="s">
        <v>62</v>
      </c>
      <c r="B13" s="284" t="s">
        <v>856</v>
      </c>
      <c r="C13" s="138"/>
      <c r="D13" s="138"/>
      <c r="E13" s="138"/>
      <c r="F13" s="138"/>
    </row>
    <row r="14">
      <c r="A14" s="283" t="s">
        <v>63</v>
      </c>
      <c r="B14" s="283" t="s">
        <v>857</v>
      </c>
      <c r="C14" s="138"/>
      <c r="D14" s="138"/>
      <c r="E14" s="138"/>
      <c r="F14" s="138"/>
    </row>
    <row r="15">
      <c r="A15" s="284" t="s">
        <v>64</v>
      </c>
      <c r="B15" s="284" t="s">
        <v>829</v>
      </c>
      <c r="C15" s="138"/>
      <c r="D15" s="138"/>
      <c r="E15" s="138"/>
      <c r="F15" s="138"/>
    </row>
    <row r="16">
      <c r="A16" s="283" t="s">
        <v>65</v>
      </c>
      <c r="B16" s="283" t="s">
        <v>858</v>
      </c>
      <c r="C16" s="138"/>
      <c r="D16" s="138"/>
      <c r="E16" s="138"/>
      <c r="F16" s="138"/>
    </row>
    <row r="17">
      <c r="A17" s="284" t="s">
        <v>66</v>
      </c>
      <c r="B17" s="284" t="s">
        <v>859</v>
      </c>
      <c r="C17" s="138"/>
      <c r="D17" s="138"/>
      <c r="E17" s="138"/>
      <c r="F17" s="138"/>
    </row>
    <row r="18">
      <c r="A18" s="283" t="s">
        <v>67</v>
      </c>
      <c r="B18" s="283" t="s">
        <v>860</v>
      </c>
      <c r="C18" s="138"/>
      <c r="D18" s="138"/>
      <c r="E18" s="138"/>
      <c r="F18" s="138"/>
    </row>
    <row r="19">
      <c r="A19" s="284" t="s">
        <v>68</v>
      </c>
      <c r="B19" s="284" t="s">
        <v>861</v>
      </c>
      <c r="C19" s="138"/>
      <c r="D19" s="138"/>
      <c r="E19" s="138"/>
      <c r="F19" s="138"/>
    </row>
    <row r="20">
      <c r="A20" s="283" t="s">
        <v>69</v>
      </c>
      <c r="B20" s="283" t="s">
        <v>862</v>
      </c>
      <c r="C20" s="138"/>
      <c r="D20" s="138"/>
      <c r="E20" s="138"/>
      <c r="F20" s="138"/>
    </row>
    <row r="21" ht="15.75" customHeight="1">
      <c r="A21" s="284" t="s">
        <v>70</v>
      </c>
      <c r="B21" s="284" t="s">
        <v>863</v>
      </c>
      <c r="C21" s="138"/>
      <c r="D21" s="138"/>
      <c r="E21" s="138"/>
      <c r="F21" s="138"/>
    </row>
    <row r="22" ht="15.75" customHeight="1">
      <c r="A22" s="283" t="s">
        <v>71</v>
      </c>
      <c r="B22" s="283" t="s">
        <v>864</v>
      </c>
      <c r="C22" s="138"/>
      <c r="D22" s="138"/>
      <c r="E22" s="138"/>
      <c r="F22" s="138"/>
    </row>
    <row r="23" ht="15.75" customHeight="1">
      <c r="A23" s="284" t="s">
        <v>72</v>
      </c>
      <c r="B23" s="284" t="s">
        <v>865</v>
      </c>
      <c r="C23" s="138"/>
      <c r="D23" s="138"/>
      <c r="E23" s="138"/>
      <c r="F23" s="138"/>
    </row>
    <row r="24" ht="15.75" customHeight="1">
      <c r="A24" s="283" t="s">
        <v>73</v>
      </c>
      <c r="B24" s="283" t="s">
        <v>866</v>
      </c>
      <c r="C24" s="138"/>
      <c r="D24" s="138"/>
      <c r="E24" s="138"/>
      <c r="F24" s="138"/>
    </row>
    <row r="25" ht="15.75" customHeight="1">
      <c r="A25" s="284" t="s">
        <v>74</v>
      </c>
      <c r="B25" s="284" t="s">
        <v>867</v>
      </c>
      <c r="C25" s="138"/>
      <c r="D25" s="138"/>
      <c r="E25" s="138"/>
      <c r="F25" s="138"/>
    </row>
    <row r="26" ht="15.75" customHeight="1">
      <c r="A26" s="283" t="s">
        <v>75</v>
      </c>
      <c r="B26" s="283" t="s">
        <v>868</v>
      </c>
      <c r="C26" s="138"/>
      <c r="D26" s="138"/>
      <c r="E26" s="138"/>
      <c r="F26" s="138"/>
    </row>
    <row r="27" ht="15.75" customHeight="1">
      <c r="A27" s="284" t="s">
        <v>76</v>
      </c>
      <c r="B27" s="284" t="s">
        <v>869</v>
      </c>
      <c r="C27" s="138"/>
      <c r="D27" s="138"/>
      <c r="E27" s="138"/>
      <c r="F27" s="138"/>
    </row>
    <row r="28" ht="15.75" customHeight="1">
      <c r="A28" s="283" t="s">
        <v>77</v>
      </c>
      <c r="B28" s="283" t="s">
        <v>870</v>
      </c>
      <c r="C28" s="138"/>
      <c r="D28" s="138"/>
      <c r="E28" s="138"/>
      <c r="F28" s="138"/>
    </row>
    <row r="29" ht="15.75" customHeight="1">
      <c r="A29" s="284" t="s">
        <v>78</v>
      </c>
      <c r="B29" s="284" t="s">
        <v>871</v>
      </c>
      <c r="C29" s="138"/>
      <c r="D29" s="138"/>
      <c r="E29" s="138"/>
      <c r="F29" s="138"/>
    </row>
    <row r="30" ht="15.75" customHeight="1">
      <c r="A30" s="283" t="s">
        <v>79</v>
      </c>
      <c r="B30" s="283" t="s">
        <v>872</v>
      </c>
      <c r="C30" s="138"/>
      <c r="D30" s="138"/>
      <c r="E30" s="138"/>
      <c r="F30" s="138"/>
    </row>
    <row r="31" ht="15.75" customHeight="1">
      <c r="A31" s="284" t="s">
        <v>80</v>
      </c>
      <c r="B31" s="284" t="s">
        <v>873</v>
      </c>
      <c r="C31" s="138"/>
      <c r="D31" s="138"/>
      <c r="E31" s="138"/>
      <c r="F31" s="138"/>
    </row>
    <row r="32" ht="15.75" customHeight="1">
      <c r="A32" s="283" t="s">
        <v>81</v>
      </c>
      <c r="B32" s="283" t="s">
        <v>874</v>
      </c>
      <c r="C32" s="138"/>
      <c r="D32" s="138"/>
      <c r="E32" s="138"/>
      <c r="F32" s="138"/>
    </row>
    <row r="33" ht="15.75" customHeight="1">
      <c r="A33" s="284" t="s">
        <v>82</v>
      </c>
      <c r="B33" s="284" t="s">
        <v>875</v>
      </c>
      <c r="C33" s="138"/>
      <c r="D33" s="138"/>
      <c r="E33" s="138"/>
      <c r="F33" s="138"/>
    </row>
    <row r="34" ht="15.75" customHeight="1">
      <c r="A34" s="283" t="s">
        <v>83</v>
      </c>
      <c r="B34" s="283" t="s">
        <v>876</v>
      </c>
      <c r="C34" s="138"/>
      <c r="D34" s="138"/>
      <c r="E34" s="138"/>
      <c r="F34" s="138"/>
    </row>
    <row r="35" ht="15.75" customHeight="1">
      <c r="A35" s="284" t="s">
        <v>84</v>
      </c>
      <c r="B35" s="284" t="s">
        <v>877</v>
      </c>
      <c r="C35" s="138"/>
      <c r="D35" s="138"/>
      <c r="E35" s="138"/>
      <c r="F35" s="138"/>
    </row>
    <row r="36" ht="15.75" customHeight="1">
      <c r="A36" s="283" t="s">
        <v>85</v>
      </c>
      <c r="B36" s="283" t="s">
        <v>878</v>
      </c>
      <c r="C36" s="138"/>
      <c r="D36" s="138"/>
      <c r="E36" s="138"/>
      <c r="F36" s="138"/>
    </row>
    <row r="37" ht="15.75" customHeight="1">
      <c r="A37" s="284" t="s">
        <v>996</v>
      </c>
      <c r="B37" s="284" t="s">
        <v>997</v>
      </c>
      <c r="C37" s="138"/>
      <c r="D37" s="138"/>
      <c r="E37" s="138"/>
      <c r="F37" s="138"/>
    </row>
    <row r="38" ht="15.75" customHeight="1">
      <c r="A38" s="283" t="s">
        <v>86</v>
      </c>
      <c r="B38" s="283" t="s">
        <v>879</v>
      </c>
      <c r="C38" s="138"/>
      <c r="D38" s="138"/>
      <c r="E38" s="138"/>
      <c r="F38" s="138"/>
    </row>
    <row r="39" ht="15.75" customHeight="1">
      <c r="A39" s="284" t="s">
        <v>87</v>
      </c>
      <c r="B39" s="284" t="s">
        <v>880</v>
      </c>
      <c r="C39" s="138"/>
      <c r="D39" s="138"/>
      <c r="E39" s="138"/>
      <c r="F39" s="138"/>
    </row>
    <row r="40" ht="15.75" customHeight="1">
      <c r="A40" s="283" t="s">
        <v>88</v>
      </c>
      <c r="B40" s="283" t="s">
        <v>881</v>
      </c>
      <c r="C40" s="138"/>
      <c r="D40" s="138"/>
      <c r="E40" s="138"/>
      <c r="F40" s="138"/>
    </row>
    <row r="41" ht="15.75" customHeight="1">
      <c r="A41" s="284" t="s">
        <v>89</v>
      </c>
      <c r="B41" s="284" t="s">
        <v>882</v>
      </c>
      <c r="C41" s="138"/>
      <c r="D41" s="138"/>
      <c r="E41" s="138"/>
      <c r="F41" s="138"/>
    </row>
    <row r="42" ht="15.75" customHeight="1">
      <c r="A42" s="283" t="s">
        <v>90</v>
      </c>
      <c r="B42" s="283" t="s">
        <v>883</v>
      </c>
      <c r="C42" s="138"/>
      <c r="D42" s="138"/>
      <c r="E42" s="138"/>
      <c r="F42" s="138"/>
    </row>
    <row r="43" ht="15.75" customHeight="1">
      <c r="A43" s="284" t="s">
        <v>91</v>
      </c>
      <c r="B43" s="284" t="s">
        <v>884</v>
      </c>
      <c r="C43" s="138"/>
      <c r="D43" s="138"/>
      <c r="E43" s="138"/>
      <c r="F43" s="138"/>
    </row>
    <row r="44" ht="15.75" customHeight="1">
      <c r="A44" s="283" t="s">
        <v>92</v>
      </c>
      <c r="B44" s="283" t="s">
        <v>885</v>
      </c>
      <c r="C44" s="138"/>
      <c r="D44" s="138"/>
      <c r="E44" s="138"/>
      <c r="F44" s="138"/>
    </row>
    <row r="45" ht="15.75" customHeight="1">
      <c r="A45" s="284" t="s">
        <v>93</v>
      </c>
      <c r="B45" s="284" t="s">
        <v>886</v>
      </c>
      <c r="C45" s="138"/>
      <c r="D45" s="138"/>
      <c r="E45" s="138"/>
      <c r="F45" s="138"/>
    </row>
    <row r="46" ht="15.75" customHeight="1">
      <c r="A46" s="283" t="s">
        <v>94</v>
      </c>
      <c r="B46" s="283" t="s">
        <v>887</v>
      </c>
      <c r="C46" s="138"/>
      <c r="D46" s="138"/>
      <c r="E46" s="138"/>
      <c r="F46" s="138"/>
    </row>
    <row r="47" ht="15.75" customHeight="1">
      <c r="A47" s="284" t="s">
        <v>783</v>
      </c>
      <c r="B47" s="284" t="s">
        <v>891</v>
      </c>
      <c r="C47" s="138"/>
      <c r="D47" s="138"/>
      <c r="E47" s="138"/>
      <c r="F47" s="138"/>
    </row>
    <row r="48" ht="15.75" customHeight="1">
      <c r="A48" s="283" t="s">
        <v>794</v>
      </c>
      <c r="B48" s="283" t="s">
        <v>892</v>
      </c>
      <c r="C48" s="138"/>
      <c r="D48" s="138"/>
      <c r="E48" s="138"/>
      <c r="F48" s="138"/>
    </row>
    <row r="49" ht="15.75" customHeight="1">
      <c r="A49" s="284" t="s">
        <v>800</v>
      </c>
      <c r="B49" s="284" t="s">
        <v>893</v>
      </c>
      <c r="C49" s="138"/>
      <c r="D49" s="138"/>
      <c r="E49" s="138"/>
      <c r="F49" s="138"/>
    </row>
    <row r="50" ht="15.75" customHeight="1">
      <c r="A50" s="283" t="s">
        <v>95</v>
      </c>
      <c r="B50" s="283" t="s">
        <v>888</v>
      </c>
      <c r="C50" s="138"/>
      <c r="D50" s="138"/>
      <c r="E50" s="138"/>
      <c r="F50" s="138"/>
    </row>
    <row r="51" ht="15.75" customHeight="1">
      <c r="A51" s="284" t="s">
        <v>96</v>
      </c>
      <c r="B51" s="284" t="s">
        <v>889</v>
      </c>
      <c r="C51" s="138"/>
      <c r="D51" s="138"/>
      <c r="E51" s="138"/>
      <c r="F51" s="138"/>
    </row>
    <row r="52" ht="15.75" customHeight="1">
      <c r="A52" s="283" t="s">
        <v>97</v>
      </c>
      <c r="B52" s="283" t="s">
        <v>890</v>
      </c>
      <c r="C52" s="138"/>
      <c r="D52" s="138"/>
      <c r="E52" s="138"/>
      <c r="F52" s="138"/>
    </row>
    <row r="53" ht="15.75" customHeight="1">
      <c r="A53" s="285"/>
      <c r="B53" s="286"/>
      <c r="C53" s="138"/>
      <c r="D53" s="138"/>
      <c r="E53" s="138"/>
      <c r="F53" s="138"/>
    </row>
    <row r="54" ht="15.75" customHeight="1">
      <c r="A54" s="285"/>
      <c r="B54" s="286"/>
      <c r="C54" s="138"/>
      <c r="D54" s="138"/>
      <c r="E54" s="138"/>
      <c r="F54" s="138"/>
    </row>
    <row r="55" ht="15.75" customHeight="1">
      <c r="A55" s="285"/>
      <c r="B55" s="286"/>
      <c r="C55" s="138"/>
      <c r="D55" s="138"/>
      <c r="E55" s="138"/>
      <c r="F55" s="138"/>
    </row>
    <row r="56" ht="15.75" customHeight="1">
      <c r="A56" s="285"/>
      <c r="B56" s="286"/>
      <c r="C56" s="138"/>
      <c r="D56" s="138"/>
      <c r="E56" s="138"/>
      <c r="F56" s="138"/>
    </row>
    <row r="57" ht="15.75" customHeight="1">
      <c r="A57" s="285"/>
      <c r="B57" s="286"/>
      <c r="C57" s="138"/>
      <c r="D57" s="138"/>
      <c r="E57" s="138"/>
      <c r="F57" s="138"/>
    </row>
    <row r="58" ht="15.75" customHeight="1">
      <c r="A58" s="285"/>
      <c r="B58" s="286"/>
      <c r="C58" s="138"/>
      <c r="D58" s="138"/>
      <c r="E58" s="138"/>
      <c r="F58" s="138"/>
    </row>
    <row r="59" ht="15.75" customHeight="1">
      <c r="A59" s="285"/>
      <c r="B59" s="286"/>
      <c r="C59" s="138"/>
      <c r="D59" s="138"/>
      <c r="E59" s="138"/>
      <c r="F59" s="138"/>
    </row>
    <row r="60" ht="15.75" customHeight="1">
      <c r="A60" s="285"/>
      <c r="B60" s="286"/>
      <c r="C60" s="138"/>
      <c r="D60" s="138"/>
      <c r="E60" s="138"/>
      <c r="F60" s="138"/>
    </row>
    <row r="61" ht="15.75" customHeight="1">
      <c r="A61" s="285"/>
      <c r="B61" s="286"/>
      <c r="C61" s="138"/>
      <c r="D61" s="138"/>
      <c r="E61" s="138"/>
      <c r="F61" s="138"/>
    </row>
    <row r="62" ht="15.75" customHeight="1">
      <c r="A62" s="285"/>
      <c r="B62" s="286"/>
      <c r="C62" s="138"/>
      <c r="D62" s="138"/>
      <c r="E62" s="138"/>
      <c r="F62" s="138"/>
    </row>
    <row r="63" ht="15.75" customHeight="1">
      <c r="A63" s="285"/>
      <c r="B63" s="286"/>
      <c r="C63" s="138"/>
      <c r="D63" s="138"/>
      <c r="E63" s="138"/>
      <c r="F63" s="138"/>
    </row>
    <row r="64" ht="15.75" customHeight="1">
      <c r="A64" s="285"/>
      <c r="B64" s="286"/>
      <c r="C64" s="138"/>
      <c r="D64" s="138"/>
      <c r="E64" s="138"/>
      <c r="F64" s="138"/>
    </row>
    <row r="65" ht="15.75" customHeight="1">
      <c r="A65" s="285"/>
      <c r="B65" s="286"/>
      <c r="C65" s="138"/>
      <c r="D65" s="138"/>
      <c r="E65" s="138"/>
      <c r="F65" s="138"/>
    </row>
    <row r="66" ht="15.75" customHeight="1">
      <c r="A66" s="285"/>
      <c r="B66" s="286"/>
      <c r="C66" s="138"/>
      <c r="D66" s="138"/>
      <c r="E66" s="138"/>
      <c r="F66" s="138"/>
    </row>
    <row r="67" ht="15.75" customHeight="1">
      <c r="A67" s="285"/>
      <c r="B67" s="286"/>
      <c r="C67" s="138"/>
      <c r="D67" s="138"/>
      <c r="E67" s="138"/>
      <c r="F67" s="138"/>
    </row>
    <row r="68" ht="15.75" customHeight="1">
      <c r="A68" s="285"/>
      <c r="B68" s="286"/>
      <c r="C68" s="138"/>
      <c r="D68" s="138"/>
      <c r="E68" s="138"/>
      <c r="F68" s="138"/>
    </row>
    <row r="69" ht="15.75" customHeight="1">
      <c r="A69" s="285"/>
      <c r="B69" s="286"/>
      <c r="C69" s="138"/>
      <c r="D69" s="138"/>
      <c r="E69" s="138"/>
      <c r="F69" s="138"/>
    </row>
    <row r="70" ht="15.75" customHeight="1">
      <c r="A70" s="285"/>
      <c r="B70" s="286"/>
      <c r="C70" s="138"/>
      <c r="D70" s="138"/>
      <c r="E70" s="138"/>
      <c r="F70" s="138"/>
    </row>
    <row r="71" ht="15.75" customHeight="1">
      <c r="A71" s="285"/>
      <c r="B71" s="286"/>
      <c r="C71" s="138"/>
      <c r="D71" s="138"/>
      <c r="E71" s="138"/>
      <c r="F71" s="138"/>
    </row>
    <row r="72" ht="15.75" customHeight="1">
      <c r="A72" s="285"/>
      <c r="B72" s="286"/>
      <c r="C72" s="138"/>
      <c r="D72" s="138"/>
      <c r="E72" s="138"/>
      <c r="F72" s="138"/>
    </row>
    <row r="73" ht="15.75" customHeight="1">
      <c r="A73" s="285"/>
      <c r="B73" s="286"/>
      <c r="C73" s="138"/>
      <c r="D73" s="138"/>
      <c r="E73" s="138"/>
      <c r="F73" s="138"/>
    </row>
    <row r="74" ht="15.75" customHeight="1">
      <c r="A74" s="285"/>
      <c r="B74" s="286"/>
      <c r="C74" s="138"/>
      <c r="D74" s="138"/>
      <c r="E74" s="138"/>
      <c r="F74" s="138"/>
    </row>
    <row r="75" ht="15.75" customHeight="1">
      <c r="A75" s="285"/>
      <c r="B75" s="286"/>
      <c r="C75" s="138"/>
      <c r="D75" s="138"/>
      <c r="E75" s="138"/>
      <c r="F75" s="138"/>
    </row>
    <row r="76" ht="15.75" customHeight="1">
      <c r="A76" s="285"/>
      <c r="B76" s="286"/>
      <c r="C76" s="138"/>
      <c r="D76" s="138"/>
      <c r="E76" s="138"/>
      <c r="F76" s="138"/>
    </row>
    <row r="77" ht="15.75" customHeight="1">
      <c r="A77" s="285"/>
      <c r="B77" s="286"/>
      <c r="C77" s="138"/>
      <c r="D77" s="138"/>
      <c r="E77" s="138"/>
      <c r="F77" s="138"/>
    </row>
    <row r="78" ht="15.75" customHeight="1">
      <c r="A78" s="285"/>
      <c r="B78" s="286"/>
      <c r="C78" s="138"/>
      <c r="D78" s="138"/>
      <c r="E78" s="138"/>
      <c r="F78" s="138"/>
    </row>
    <row r="79" ht="15.75" customHeight="1">
      <c r="A79" s="285"/>
      <c r="B79" s="286"/>
      <c r="C79" s="138"/>
      <c r="D79" s="138"/>
      <c r="E79" s="138"/>
      <c r="F79" s="138"/>
    </row>
    <row r="80" ht="15.75" customHeight="1">
      <c r="A80" s="285"/>
      <c r="B80" s="286"/>
      <c r="C80" s="138"/>
      <c r="D80" s="138"/>
      <c r="E80" s="138"/>
      <c r="F80" s="138"/>
    </row>
    <row r="81" ht="15.75" customHeight="1">
      <c r="A81" s="285"/>
      <c r="B81" s="286"/>
      <c r="C81" s="138"/>
      <c r="D81" s="138"/>
      <c r="E81" s="138"/>
      <c r="F81" s="138"/>
    </row>
    <row r="82" ht="15.75" customHeight="1">
      <c r="A82" s="285"/>
      <c r="B82" s="286"/>
      <c r="C82" s="138"/>
      <c r="D82" s="138"/>
      <c r="E82" s="138"/>
      <c r="F82" s="138"/>
    </row>
    <row r="83" ht="15.75" customHeight="1">
      <c r="A83" s="285"/>
      <c r="B83" s="286"/>
      <c r="C83" s="138"/>
      <c r="D83" s="138"/>
      <c r="E83" s="138"/>
      <c r="F83" s="138"/>
    </row>
    <row r="84" ht="15.75" customHeight="1">
      <c r="A84" s="285"/>
      <c r="B84" s="286"/>
      <c r="C84" s="138"/>
      <c r="D84" s="138"/>
      <c r="E84" s="138"/>
      <c r="F84" s="138"/>
    </row>
    <row r="85" ht="15.75" customHeight="1">
      <c r="A85" s="285"/>
      <c r="B85" s="286"/>
      <c r="C85" s="138"/>
      <c r="D85" s="138"/>
      <c r="E85" s="138"/>
      <c r="F85" s="138"/>
    </row>
    <row r="86" ht="15.75" customHeight="1">
      <c r="A86" s="285"/>
      <c r="B86" s="286"/>
      <c r="C86" s="138"/>
      <c r="D86" s="138"/>
      <c r="E86" s="138"/>
      <c r="F86" s="138"/>
    </row>
    <row r="87" ht="15.75" customHeight="1">
      <c r="A87" s="285"/>
      <c r="B87" s="286"/>
      <c r="C87" s="138"/>
      <c r="D87" s="138"/>
      <c r="E87" s="138"/>
      <c r="F87" s="138"/>
    </row>
    <row r="88" ht="15.75" customHeight="1">
      <c r="A88" s="285"/>
      <c r="B88" s="286"/>
      <c r="C88" s="138"/>
      <c r="D88" s="138"/>
      <c r="E88" s="138"/>
      <c r="F88" s="138"/>
    </row>
    <row r="89" ht="15.75" customHeight="1">
      <c r="A89" s="285"/>
      <c r="B89" s="286"/>
      <c r="C89" s="138"/>
      <c r="D89" s="138"/>
      <c r="E89" s="138"/>
      <c r="F89" s="138"/>
    </row>
    <row r="90" ht="15.75" customHeight="1">
      <c r="A90" s="285"/>
      <c r="B90" s="286"/>
      <c r="C90" s="138"/>
      <c r="D90" s="138"/>
      <c r="E90" s="138"/>
      <c r="F90" s="138"/>
    </row>
    <row r="91" ht="15.75" customHeight="1">
      <c r="A91" s="285"/>
      <c r="B91" s="286"/>
      <c r="C91" s="138"/>
      <c r="D91" s="138"/>
      <c r="E91" s="138"/>
      <c r="F91" s="138"/>
    </row>
    <row r="92" ht="15.75" customHeight="1">
      <c r="A92" s="285"/>
      <c r="B92" s="286"/>
      <c r="C92" s="138"/>
      <c r="D92" s="138"/>
      <c r="E92" s="138"/>
      <c r="F92" s="138"/>
    </row>
    <row r="93" ht="15.75" customHeight="1">
      <c r="A93" s="285"/>
      <c r="B93" s="286"/>
      <c r="C93" s="138"/>
      <c r="D93" s="138"/>
      <c r="E93" s="138"/>
      <c r="F93" s="138"/>
    </row>
    <row r="94" ht="15.75" customHeight="1">
      <c r="A94" s="285"/>
      <c r="B94" s="286"/>
      <c r="C94" s="138"/>
      <c r="D94" s="138"/>
      <c r="E94" s="138"/>
      <c r="F94" s="138"/>
    </row>
    <row r="95" ht="15.75" customHeight="1">
      <c r="A95" s="285"/>
      <c r="B95" s="286"/>
      <c r="C95" s="138"/>
      <c r="D95" s="138"/>
      <c r="E95" s="138"/>
      <c r="F95" s="138"/>
    </row>
    <row r="96" ht="15.75" customHeight="1">
      <c r="A96" s="285"/>
      <c r="B96" s="286"/>
      <c r="C96" s="138"/>
      <c r="D96" s="138"/>
      <c r="E96" s="138"/>
      <c r="F96" s="138"/>
    </row>
    <row r="97" ht="15.75" customHeight="1">
      <c r="A97" s="285"/>
      <c r="B97" s="286"/>
      <c r="C97" s="138"/>
      <c r="D97" s="138"/>
      <c r="E97" s="138"/>
      <c r="F97" s="138"/>
    </row>
    <row r="98" ht="15.75" customHeight="1">
      <c r="A98" s="285"/>
      <c r="B98" s="286"/>
      <c r="C98" s="138"/>
      <c r="D98" s="138"/>
      <c r="E98" s="138"/>
      <c r="F98" s="138"/>
    </row>
    <row r="99" ht="15.75" customHeight="1">
      <c r="A99" s="285"/>
      <c r="B99" s="286"/>
      <c r="C99" s="138"/>
      <c r="D99" s="138"/>
      <c r="E99" s="138"/>
      <c r="F99" s="138"/>
    </row>
    <row r="100" ht="15.75" customHeight="1">
      <c r="A100" s="285"/>
      <c r="B100" s="286"/>
      <c r="C100" s="138"/>
      <c r="D100" s="138"/>
      <c r="E100" s="138"/>
      <c r="F100" s="138"/>
    </row>
    <row r="101" ht="15.75" customHeight="1">
      <c r="A101" s="285"/>
      <c r="B101" s="286"/>
      <c r="C101" s="138"/>
      <c r="D101" s="138"/>
      <c r="E101" s="138"/>
      <c r="F101" s="138"/>
    </row>
    <row r="102" ht="15.75" customHeight="1">
      <c r="A102" s="285"/>
      <c r="B102" s="286"/>
      <c r="C102" s="138"/>
      <c r="D102" s="138"/>
      <c r="E102" s="138"/>
      <c r="F102" s="138"/>
    </row>
    <row r="103" ht="15.75" customHeight="1">
      <c r="A103" s="285"/>
      <c r="B103" s="286"/>
      <c r="C103" s="138"/>
      <c r="D103" s="138"/>
      <c r="E103" s="138"/>
      <c r="F103" s="138"/>
    </row>
    <row r="104" ht="15.75" customHeight="1">
      <c r="A104" s="285"/>
      <c r="B104" s="286"/>
      <c r="C104" s="138"/>
      <c r="D104" s="138"/>
      <c r="E104" s="138"/>
      <c r="F104" s="138"/>
    </row>
    <row r="105" ht="15.75" customHeight="1">
      <c r="A105" s="285"/>
      <c r="B105" s="286"/>
      <c r="C105" s="138"/>
      <c r="D105" s="138"/>
      <c r="E105" s="138"/>
      <c r="F105" s="138"/>
    </row>
    <row r="106" ht="15.75" customHeight="1">
      <c r="A106" s="285"/>
      <c r="B106" s="286"/>
      <c r="C106" s="138"/>
      <c r="D106" s="138"/>
      <c r="E106" s="138"/>
      <c r="F106" s="138"/>
    </row>
    <row r="107" ht="15.75" customHeight="1">
      <c r="A107" s="285"/>
      <c r="B107" s="286"/>
      <c r="C107" s="138"/>
      <c r="D107" s="138"/>
      <c r="E107" s="138"/>
      <c r="F107" s="138"/>
    </row>
    <row r="108" ht="15.75" customHeight="1">
      <c r="A108" s="285"/>
      <c r="B108" s="286"/>
      <c r="C108" s="138"/>
      <c r="D108" s="138"/>
      <c r="E108" s="138"/>
      <c r="F108" s="138"/>
    </row>
    <row r="109" ht="15.75" customHeight="1">
      <c r="A109" s="285"/>
      <c r="B109" s="286"/>
      <c r="C109" s="138"/>
      <c r="D109" s="138"/>
      <c r="E109" s="138"/>
      <c r="F109" s="138"/>
    </row>
    <row r="110" ht="15.75" customHeight="1">
      <c r="A110" s="285"/>
      <c r="B110" s="286"/>
      <c r="C110" s="138"/>
      <c r="D110" s="138"/>
      <c r="E110" s="138"/>
      <c r="F110" s="138"/>
    </row>
    <row r="111" ht="15.75" customHeight="1">
      <c r="A111" s="285"/>
      <c r="B111" s="286"/>
      <c r="C111" s="138"/>
      <c r="D111" s="138"/>
      <c r="E111" s="138"/>
      <c r="F111" s="138"/>
    </row>
    <row r="112" ht="15.75" customHeight="1">
      <c r="A112" s="285"/>
      <c r="B112" s="286"/>
      <c r="C112" s="138"/>
      <c r="D112" s="138"/>
      <c r="E112" s="138"/>
      <c r="F112" s="138"/>
    </row>
    <row r="113" ht="15.75" customHeight="1">
      <c r="A113" s="285"/>
      <c r="B113" s="286"/>
      <c r="C113" s="138"/>
      <c r="D113" s="138"/>
      <c r="E113" s="138"/>
      <c r="F113" s="138"/>
    </row>
    <row r="114" ht="15.75" customHeight="1">
      <c r="A114" s="285"/>
      <c r="B114" s="286"/>
      <c r="C114" s="138"/>
      <c r="D114" s="138"/>
      <c r="E114" s="138"/>
      <c r="F114" s="138"/>
    </row>
    <row r="115" ht="15.75" customHeight="1">
      <c r="A115" s="285"/>
      <c r="B115" s="286"/>
      <c r="C115" s="138"/>
      <c r="D115" s="138"/>
      <c r="E115" s="138"/>
      <c r="F115" s="138"/>
    </row>
    <row r="116" ht="15.75" customHeight="1">
      <c r="A116" s="285"/>
      <c r="B116" s="286"/>
      <c r="C116" s="138"/>
      <c r="D116" s="138"/>
      <c r="E116" s="138"/>
      <c r="F116" s="138"/>
    </row>
    <row r="117" ht="15.75" customHeight="1">
      <c r="A117" s="285"/>
      <c r="B117" s="286"/>
      <c r="C117" s="138"/>
      <c r="D117" s="138"/>
      <c r="E117" s="138"/>
      <c r="F117" s="138"/>
    </row>
    <row r="118" ht="15.75" customHeight="1">
      <c r="A118" s="285"/>
      <c r="B118" s="286"/>
      <c r="C118" s="138"/>
      <c r="D118" s="138"/>
      <c r="E118" s="138"/>
      <c r="F118" s="138"/>
    </row>
    <row r="119" ht="15.75" customHeight="1">
      <c r="A119" s="285"/>
      <c r="B119" s="286"/>
      <c r="C119" s="138"/>
      <c r="D119" s="138"/>
      <c r="E119" s="138"/>
      <c r="F119" s="138"/>
    </row>
    <row r="120" ht="15.75" customHeight="1">
      <c r="A120" s="285"/>
      <c r="B120" s="286"/>
      <c r="C120" s="138"/>
      <c r="D120" s="138"/>
      <c r="E120" s="138"/>
      <c r="F120" s="138"/>
    </row>
    <row r="121" ht="15.75" customHeight="1">
      <c r="A121" s="285"/>
      <c r="B121" s="286"/>
      <c r="C121" s="138"/>
      <c r="D121" s="138"/>
      <c r="E121" s="138"/>
      <c r="F121" s="138"/>
    </row>
    <row r="122" ht="15.75" customHeight="1">
      <c r="A122" s="285"/>
      <c r="B122" s="286"/>
      <c r="C122" s="138"/>
      <c r="D122" s="138"/>
      <c r="E122" s="138"/>
      <c r="F122" s="138"/>
    </row>
    <row r="123" ht="15.75" customHeight="1">
      <c r="A123" s="285"/>
      <c r="B123" s="286"/>
      <c r="C123" s="138"/>
      <c r="D123" s="138"/>
      <c r="E123" s="138"/>
      <c r="F123" s="138"/>
    </row>
    <row r="124" ht="15.75" customHeight="1">
      <c r="A124" s="285"/>
      <c r="B124" s="286"/>
      <c r="C124" s="138"/>
      <c r="D124" s="138"/>
      <c r="E124" s="138"/>
      <c r="F124" s="138"/>
    </row>
    <row r="125" ht="15.75" customHeight="1">
      <c r="A125" s="285"/>
      <c r="B125" s="286"/>
      <c r="C125" s="138"/>
      <c r="D125" s="138"/>
      <c r="E125" s="138"/>
      <c r="F125" s="138"/>
    </row>
    <row r="126" ht="15.75" customHeight="1">
      <c r="A126" s="285"/>
      <c r="B126" s="286"/>
      <c r="C126" s="138"/>
      <c r="D126" s="138"/>
      <c r="E126" s="138"/>
      <c r="F126" s="138"/>
    </row>
    <row r="127" ht="15.75" customHeight="1">
      <c r="A127" s="285"/>
      <c r="B127" s="286"/>
      <c r="C127" s="138"/>
      <c r="D127" s="138"/>
      <c r="E127" s="138"/>
      <c r="F127" s="138"/>
    </row>
    <row r="128" ht="15.75" customHeight="1">
      <c r="A128" s="285"/>
      <c r="B128" s="286"/>
      <c r="C128" s="138"/>
      <c r="D128" s="138"/>
      <c r="E128" s="138"/>
      <c r="F128" s="138"/>
    </row>
    <row r="129" ht="15.75" customHeight="1">
      <c r="A129" s="285"/>
      <c r="B129" s="286"/>
      <c r="C129" s="138"/>
      <c r="D129" s="138"/>
      <c r="E129" s="138"/>
      <c r="F129" s="138"/>
    </row>
    <row r="130" ht="15.75" customHeight="1">
      <c r="A130" s="285"/>
      <c r="B130" s="286"/>
      <c r="C130" s="138"/>
      <c r="D130" s="138"/>
      <c r="E130" s="138"/>
      <c r="F130" s="138"/>
    </row>
    <row r="131" ht="15.75" customHeight="1">
      <c r="A131" s="285"/>
      <c r="B131" s="286"/>
      <c r="C131" s="138"/>
      <c r="D131" s="138"/>
      <c r="E131" s="138"/>
      <c r="F131" s="138"/>
    </row>
    <row r="132" ht="15.75" customHeight="1">
      <c r="A132" s="285"/>
      <c r="B132" s="286"/>
      <c r="C132" s="138"/>
      <c r="D132" s="138"/>
      <c r="E132" s="138"/>
      <c r="F132" s="138"/>
    </row>
    <row r="133" ht="15.75" customHeight="1">
      <c r="A133" s="285"/>
      <c r="B133" s="286"/>
      <c r="C133" s="138"/>
      <c r="D133" s="138"/>
      <c r="E133" s="138"/>
      <c r="F133" s="138"/>
    </row>
    <row r="134" ht="15.75" customHeight="1">
      <c r="A134" s="285"/>
      <c r="B134" s="286"/>
      <c r="C134" s="138"/>
      <c r="D134" s="138"/>
      <c r="E134" s="138"/>
      <c r="F134" s="138"/>
    </row>
    <row r="135" ht="15.75" customHeight="1">
      <c r="A135" s="285"/>
      <c r="B135" s="286"/>
      <c r="C135" s="138"/>
      <c r="D135" s="138"/>
      <c r="E135" s="138"/>
      <c r="F135" s="138"/>
    </row>
    <row r="136" ht="15.75" customHeight="1">
      <c r="A136" s="285"/>
      <c r="B136" s="286"/>
      <c r="C136" s="138"/>
      <c r="D136" s="138"/>
      <c r="E136" s="138"/>
      <c r="F136" s="138"/>
    </row>
    <row r="137" ht="15.75" customHeight="1">
      <c r="A137" s="285"/>
      <c r="B137" s="286"/>
      <c r="C137" s="138"/>
      <c r="D137" s="138"/>
      <c r="E137" s="138"/>
      <c r="F137" s="138"/>
    </row>
    <row r="138" ht="15.75" customHeight="1">
      <c r="A138" s="285"/>
      <c r="B138" s="286"/>
      <c r="C138" s="138"/>
      <c r="D138" s="138"/>
      <c r="E138" s="138"/>
      <c r="F138" s="138"/>
    </row>
    <row r="139" ht="15.75" customHeight="1">
      <c r="A139" s="285"/>
      <c r="B139" s="286"/>
      <c r="C139" s="138"/>
      <c r="D139" s="138"/>
      <c r="E139" s="138"/>
      <c r="F139" s="138"/>
    </row>
    <row r="140" ht="15.75" customHeight="1">
      <c r="A140" s="285"/>
      <c r="B140" s="286"/>
      <c r="C140" s="138"/>
      <c r="D140" s="138"/>
      <c r="E140" s="138"/>
      <c r="F140" s="138"/>
    </row>
    <row r="141" ht="15.75" customHeight="1">
      <c r="A141" s="285"/>
      <c r="B141" s="286"/>
      <c r="C141" s="138"/>
      <c r="D141" s="138"/>
      <c r="E141" s="138"/>
      <c r="F141" s="138"/>
    </row>
    <row r="142" ht="15.75" customHeight="1">
      <c r="A142" s="285"/>
      <c r="B142" s="286"/>
      <c r="C142" s="138"/>
      <c r="D142" s="138"/>
      <c r="E142" s="138"/>
      <c r="F142" s="138"/>
    </row>
    <row r="143" ht="15.75" customHeight="1">
      <c r="A143" s="285"/>
      <c r="B143" s="286"/>
      <c r="C143" s="138"/>
      <c r="D143" s="138"/>
      <c r="E143" s="138"/>
      <c r="F143" s="138"/>
    </row>
    <row r="144" ht="15.75" customHeight="1">
      <c r="A144" s="285"/>
      <c r="B144" s="286"/>
      <c r="C144" s="138"/>
      <c r="D144" s="138"/>
      <c r="E144" s="138"/>
      <c r="F144" s="138"/>
    </row>
    <row r="145" ht="15.75" customHeight="1">
      <c r="A145" s="285"/>
      <c r="B145" s="286"/>
      <c r="C145" s="138"/>
      <c r="D145" s="138"/>
      <c r="E145" s="138"/>
      <c r="F145" s="138"/>
    </row>
    <row r="146" ht="15.75" customHeight="1">
      <c r="A146" s="285"/>
      <c r="B146" s="286"/>
      <c r="C146" s="138"/>
      <c r="D146" s="138"/>
      <c r="E146" s="138"/>
      <c r="F146" s="138"/>
    </row>
    <row r="147" ht="15.75" customHeight="1">
      <c r="A147" s="285"/>
      <c r="B147" s="286"/>
      <c r="C147" s="138"/>
      <c r="D147" s="138"/>
      <c r="E147" s="138"/>
      <c r="F147" s="138"/>
    </row>
    <row r="148" ht="15.75" customHeight="1">
      <c r="A148" s="285"/>
      <c r="B148" s="286"/>
      <c r="C148" s="138"/>
      <c r="D148" s="138"/>
      <c r="E148" s="138"/>
      <c r="F148" s="138"/>
    </row>
    <row r="149" ht="15.75" customHeight="1">
      <c r="A149" s="285"/>
      <c r="B149" s="286"/>
      <c r="C149" s="138"/>
      <c r="D149" s="138"/>
      <c r="E149" s="138"/>
      <c r="F149" s="138"/>
    </row>
    <row r="150" ht="15.75" customHeight="1">
      <c r="A150" s="285"/>
      <c r="B150" s="286"/>
      <c r="C150" s="138"/>
      <c r="D150" s="138"/>
      <c r="E150" s="138"/>
      <c r="F150" s="138"/>
    </row>
    <row r="151" ht="15.75" customHeight="1">
      <c r="A151" s="285"/>
      <c r="B151" s="286"/>
      <c r="C151" s="138"/>
      <c r="D151" s="138"/>
      <c r="E151" s="138"/>
      <c r="F151" s="138"/>
    </row>
    <row r="152" ht="15.75" customHeight="1">
      <c r="A152" s="285"/>
      <c r="B152" s="286"/>
      <c r="C152" s="138"/>
      <c r="D152" s="138"/>
      <c r="E152" s="138"/>
      <c r="F152" s="138"/>
    </row>
    <row r="153" ht="15.75" customHeight="1">
      <c r="A153" s="285"/>
      <c r="B153" s="286"/>
      <c r="C153" s="138"/>
      <c r="D153" s="138"/>
      <c r="E153" s="138"/>
      <c r="F153" s="138"/>
    </row>
    <row r="154" ht="15.75" customHeight="1">
      <c r="A154" s="285"/>
      <c r="B154" s="286"/>
      <c r="C154" s="138"/>
      <c r="D154" s="138"/>
      <c r="E154" s="138"/>
      <c r="F154" s="138"/>
    </row>
    <row r="155" ht="15.75" customHeight="1">
      <c r="A155" s="285"/>
      <c r="B155" s="286"/>
      <c r="C155" s="138"/>
      <c r="D155" s="138"/>
      <c r="E155" s="138"/>
      <c r="F155" s="138"/>
    </row>
    <row r="156" ht="15.75" customHeight="1">
      <c r="A156" s="285"/>
      <c r="B156" s="286"/>
      <c r="C156" s="138"/>
      <c r="D156" s="138"/>
      <c r="E156" s="138"/>
      <c r="F156" s="138"/>
    </row>
    <row r="157" ht="15.75" customHeight="1">
      <c r="A157" s="285"/>
      <c r="B157" s="286"/>
      <c r="C157" s="138"/>
      <c r="D157" s="138"/>
      <c r="E157" s="138"/>
      <c r="F157" s="138"/>
    </row>
    <row r="158" ht="15.75" customHeight="1">
      <c r="A158" s="285"/>
      <c r="B158" s="286"/>
      <c r="C158" s="138"/>
      <c r="D158" s="138"/>
      <c r="E158" s="138"/>
      <c r="F158" s="138"/>
    </row>
    <row r="159" ht="15.75" customHeight="1">
      <c r="A159" s="285"/>
      <c r="B159" s="286"/>
      <c r="C159" s="138"/>
      <c r="D159" s="138"/>
      <c r="E159" s="138"/>
      <c r="F159" s="138"/>
    </row>
    <row r="160" ht="15.75" customHeight="1">
      <c r="A160" s="285"/>
      <c r="B160" s="286"/>
      <c r="C160" s="138"/>
      <c r="D160" s="138"/>
      <c r="E160" s="138"/>
      <c r="F160" s="138"/>
    </row>
    <row r="161" ht="15.75" customHeight="1">
      <c r="A161" s="285"/>
      <c r="B161" s="286"/>
      <c r="C161" s="138"/>
      <c r="D161" s="138"/>
      <c r="E161" s="138"/>
      <c r="F161" s="138"/>
    </row>
    <row r="162" ht="15.75" customHeight="1">
      <c r="A162" s="285"/>
      <c r="B162" s="286"/>
      <c r="C162" s="138"/>
      <c r="D162" s="138"/>
      <c r="E162" s="138"/>
      <c r="F162" s="138"/>
    </row>
    <row r="163" ht="15.75" customHeight="1">
      <c r="A163" s="285"/>
      <c r="B163" s="286"/>
      <c r="C163" s="138"/>
      <c r="D163" s="138"/>
      <c r="E163" s="138"/>
      <c r="F163" s="138"/>
    </row>
    <row r="164" ht="15.75" customHeight="1">
      <c r="A164" s="285"/>
      <c r="B164" s="286"/>
      <c r="C164" s="138"/>
      <c r="D164" s="138"/>
      <c r="E164" s="138"/>
      <c r="F164" s="138"/>
    </row>
    <row r="165" ht="15.75" customHeight="1">
      <c r="A165" s="285"/>
      <c r="B165" s="286"/>
      <c r="C165" s="138"/>
      <c r="D165" s="138"/>
      <c r="E165" s="138"/>
      <c r="F165" s="138"/>
    </row>
    <row r="166" ht="15.75" customHeight="1">
      <c r="A166" s="285"/>
      <c r="B166" s="286"/>
      <c r="C166" s="138"/>
      <c r="D166" s="138"/>
      <c r="E166" s="138"/>
      <c r="F166" s="138"/>
    </row>
    <row r="167" ht="15.75" customHeight="1">
      <c r="A167" s="285"/>
      <c r="B167" s="286"/>
      <c r="C167" s="138"/>
      <c r="D167" s="138"/>
      <c r="E167" s="138"/>
      <c r="F167" s="138"/>
    </row>
    <row r="168" ht="15.75" customHeight="1">
      <c r="A168" s="285"/>
      <c r="B168" s="286"/>
      <c r="C168" s="138"/>
      <c r="D168" s="138"/>
      <c r="E168" s="138"/>
      <c r="F168" s="138"/>
    </row>
    <row r="169" ht="15.75" customHeight="1">
      <c r="A169" s="285"/>
      <c r="B169" s="286"/>
      <c r="C169" s="138"/>
      <c r="D169" s="138"/>
      <c r="E169" s="138"/>
      <c r="F169" s="138"/>
    </row>
    <row r="170" ht="15.75" customHeight="1">
      <c r="A170" s="285"/>
      <c r="B170" s="286"/>
      <c r="C170" s="138"/>
      <c r="D170" s="138"/>
      <c r="E170" s="138"/>
      <c r="F170" s="138"/>
    </row>
    <row r="171" ht="15.75" customHeight="1">
      <c r="A171" s="285"/>
      <c r="B171" s="286"/>
      <c r="C171" s="138"/>
      <c r="D171" s="138"/>
      <c r="E171" s="138"/>
      <c r="F171" s="138"/>
    </row>
    <row r="172" ht="15.75" customHeight="1">
      <c r="A172" s="285"/>
      <c r="B172" s="286"/>
      <c r="C172" s="138"/>
      <c r="D172" s="138"/>
      <c r="E172" s="138"/>
      <c r="F172" s="138"/>
    </row>
    <row r="173" ht="15.75" customHeight="1">
      <c r="A173" s="285"/>
      <c r="B173" s="286"/>
      <c r="C173" s="138"/>
      <c r="D173" s="138"/>
      <c r="E173" s="138"/>
      <c r="F173" s="138"/>
    </row>
    <row r="174" ht="15.75" customHeight="1">
      <c r="A174" s="285"/>
      <c r="B174" s="286"/>
      <c r="C174" s="138"/>
      <c r="D174" s="138"/>
      <c r="E174" s="138"/>
      <c r="F174" s="138"/>
    </row>
    <row r="175" ht="15.75" customHeight="1">
      <c r="A175" s="285"/>
      <c r="B175" s="286"/>
      <c r="C175" s="138"/>
      <c r="D175" s="138"/>
      <c r="E175" s="138"/>
      <c r="F175" s="138"/>
    </row>
    <row r="176" ht="15.75" customHeight="1">
      <c r="A176" s="285"/>
      <c r="B176" s="286"/>
      <c r="C176" s="138"/>
      <c r="D176" s="138"/>
      <c r="E176" s="138"/>
      <c r="F176" s="138"/>
    </row>
    <row r="177" ht="15.75" customHeight="1">
      <c r="A177" s="285"/>
      <c r="B177" s="286"/>
      <c r="C177" s="138"/>
      <c r="D177" s="138"/>
      <c r="E177" s="138"/>
      <c r="F177" s="138"/>
    </row>
    <row r="178" ht="15.75" customHeight="1">
      <c r="A178" s="285"/>
      <c r="B178" s="286"/>
      <c r="C178" s="138"/>
      <c r="D178" s="138"/>
      <c r="E178" s="138"/>
      <c r="F178" s="138"/>
    </row>
    <row r="179" ht="15.75" customHeight="1">
      <c r="A179" s="285"/>
      <c r="B179" s="286"/>
      <c r="C179" s="138"/>
      <c r="D179" s="138"/>
      <c r="E179" s="138"/>
      <c r="F179" s="138"/>
    </row>
    <row r="180" ht="15.75" customHeight="1">
      <c r="A180" s="285"/>
      <c r="B180" s="286"/>
      <c r="C180" s="138"/>
      <c r="D180" s="138"/>
      <c r="E180" s="138"/>
      <c r="F180" s="138"/>
    </row>
    <row r="181" ht="15.75" customHeight="1">
      <c r="A181" s="285"/>
      <c r="B181" s="286"/>
      <c r="C181" s="138"/>
      <c r="D181" s="138"/>
      <c r="E181" s="138"/>
      <c r="F181" s="138"/>
    </row>
    <row r="182" ht="15.75" customHeight="1">
      <c r="A182" s="285"/>
      <c r="B182" s="286"/>
      <c r="C182" s="138"/>
      <c r="D182" s="138"/>
      <c r="E182" s="138"/>
      <c r="F182" s="138"/>
    </row>
    <row r="183" ht="15.75" customHeight="1">
      <c r="A183" s="285"/>
      <c r="B183" s="286"/>
      <c r="C183" s="138"/>
      <c r="D183" s="138"/>
      <c r="E183" s="138"/>
      <c r="F183" s="138"/>
    </row>
    <row r="184" ht="15.75" customHeight="1">
      <c r="A184" s="285"/>
      <c r="B184" s="286"/>
      <c r="C184" s="138"/>
      <c r="D184" s="138"/>
      <c r="E184" s="138"/>
      <c r="F184" s="138"/>
    </row>
    <row r="185" ht="15.75" customHeight="1">
      <c r="A185" s="285"/>
      <c r="B185" s="286"/>
      <c r="C185" s="138"/>
      <c r="D185" s="138"/>
      <c r="E185" s="138"/>
      <c r="F185" s="138"/>
    </row>
    <row r="186" ht="15.75" customHeight="1">
      <c r="A186" s="285"/>
      <c r="B186" s="286"/>
      <c r="C186" s="138"/>
      <c r="D186" s="138"/>
      <c r="E186" s="138"/>
      <c r="F186" s="138"/>
    </row>
    <row r="187" ht="15.75" customHeight="1">
      <c r="A187" s="285"/>
      <c r="B187" s="286"/>
      <c r="C187" s="138"/>
      <c r="D187" s="138"/>
      <c r="E187" s="138"/>
      <c r="F187" s="138"/>
    </row>
    <row r="188" ht="15.75" customHeight="1">
      <c r="A188" s="285"/>
      <c r="B188" s="286"/>
      <c r="C188" s="138"/>
      <c r="D188" s="138"/>
      <c r="E188" s="138"/>
      <c r="F188" s="138"/>
    </row>
    <row r="189" ht="15.75" customHeight="1">
      <c r="A189" s="285"/>
      <c r="B189" s="286"/>
      <c r="C189" s="138"/>
      <c r="D189" s="138"/>
      <c r="E189" s="138"/>
      <c r="F189" s="138"/>
    </row>
    <row r="190" ht="15.75" customHeight="1">
      <c r="A190" s="285"/>
      <c r="B190" s="286"/>
      <c r="C190" s="138"/>
      <c r="D190" s="138"/>
      <c r="E190" s="138"/>
      <c r="F190" s="138"/>
    </row>
    <row r="191" ht="15.75" customHeight="1">
      <c r="A191" s="285"/>
      <c r="B191" s="286"/>
      <c r="C191" s="138"/>
      <c r="D191" s="138"/>
      <c r="E191" s="138"/>
      <c r="F191" s="138"/>
    </row>
    <row r="192" ht="15.75" customHeight="1">
      <c r="A192" s="285"/>
      <c r="B192" s="286"/>
      <c r="C192" s="138"/>
      <c r="D192" s="138"/>
      <c r="E192" s="138"/>
      <c r="F192" s="138"/>
    </row>
    <row r="193" ht="15.75" customHeight="1">
      <c r="A193" s="285"/>
      <c r="B193" s="286"/>
      <c r="C193" s="138"/>
      <c r="D193" s="138"/>
      <c r="E193" s="138"/>
      <c r="F193" s="138"/>
    </row>
    <row r="194" ht="15.75" customHeight="1">
      <c r="A194" s="285"/>
      <c r="B194" s="286"/>
      <c r="C194" s="138"/>
      <c r="D194" s="138"/>
      <c r="E194" s="138"/>
      <c r="F194" s="138"/>
    </row>
    <row r="195" ht="15.75" customHeight="1">
      <c r="A195" s="285"/>
      <c r="B195" s="286"/>
      <c r="C195" s="138"/>
      <c r="D195" s="138"/>
      <c r="E195" s="138"/>
      <c r="F195" s="138"/>
    </row>
    <row r="196" ht="15.75" customHeight="1">
      <c r="A196" s="285"/>
      <c r="B196" s="286"/>
      <c r="C196" s="138"/>
      <c r="D196" s="138"/>
      <c r="E196" s="138"/>
      <c r="F196" s="138"/>
    </row>
    <row r="197" ht="15.75" customHeight="1">
      <c r="A197" s="285"/>
      <c r="B197" s="286"/>
      <c r="C197" s="138"/>
      <c r="D197" s="138"/>
      <c r="E197" s="138"/>
      <c r="F197" s="138"/>
    </row>
    <row r="198" ht="15.75" customHeight="1">
      <c r="A198" s="285"/>
      <c r="B198" s="286"/>
      <c r="C198" s="138"/>
      <c r="D198" s="138"/>
      <c r="E198" s="138"/>
      <c r="F198" s="138"/>
    </row>
    <row r="199" ht="15.75" customHeight="1">
      <c r="A199" s="285"/>
      <c r="B199" s="286"/>
      <c r="C199" s="138"/>
      <c r="D199" s="138"/>
      <c r="E199" s="138"/>
      <c r="F199" s="138"/>
    </row>
    <row r="200" ht="15.75" customHeight="1">
      <c r="A200" s="285"/>
      <c r="B200" s="286"/>
      <c r="C200" s="138"/>
      <c r="D200" s="138"/>
      <c r="E200" s="138"/>
      <c r="F200" s="138"/>
    </row>
    <row r="201" ht="15.75" customHeight="1">
      <c r="A201" s="285"/>
      <c r="B201" s="286"/>
      <c r="C201" s="138"/>
      <c r="D201" s="138"/>
      <c r="E201" s="138"/>
      <c r="F201" s="138"/>
    </row>
    <row r="202" ht="15.75" customHeight="1">
      <c r="A202" s="285"/>
      <c r="B202" s="286"/>
      <c r="C202" s="138"/>
      <c r="D202" s="138"/>
      <c r="E202" s="138"/>
      <c r="F202" s="138"/>
    </row>
    <row r="203" ht="15.75" customHeight="1">
      <c r="A203" s="285"/>
      <c r="B203" s="286"/>
      <c r="C203" s="138"/>
      <c r="D203" s="138"/>
      <c r="E203" s="138"/>
      <c r="F203" s="138"/>
    </row>
    <row r="204" ht="15.75" customHeight="1">
      <c r="A204" s="285"/>
      <c r="B204" s="286"/>
      <c r="C204" s="138"/>
      <c r="D204" s="138"/>
      <c r="E204" s="138"/>
      <c r="F204" s="138"/>
    </row>
    <row r="205" ht="15.75" customHeight="1">
      <c r="A205" s="285"/>
      <c r="B205" s="286"/>
      <c r="C205" s="138"/>
      <c r="D205" s="138"/>
      <c r="E205" s="138"/>
      <c r="F205" s="138"/>
    </row>
    <row r="206" ht="15.75" customHeight="1">
      <c r="A206" s="285"/>
      <c r="B206" s="286"/>
      <c r="C206" s="138"/>
      <c r="D206" s="138"/>
      <c r="E206" s="138"/>
      <c r="F206" s="138"/>
    </row>
    <row r="207" ht="15.75" customHeight="1">
      <c r="A207" s="285"/>
      <c r="B207" s="286"/>
      <c r="C207" s="138"/>
      <c r="D207" s="138"/>
      <c r="E207" s="138"/>
      <c r="F207" s="138"/>
    </row>
    <row r="208" ht="15.75" customHeight="1">
      <c r="A208" s="285"/>
      <c r="B208" s="286"/>
      <c r="C208" s="138"/>
      <c r="D208" s="138"/>
      <c r="E208" s="138"/>
      <c r="F208" s="138"/>
    </row>
    <row r="209" ht="15.75" customHeight="1">
      <c r="A209" s="285"/>
      <c r="B209" s="286"/>
      <c r="C209" s="138"/>
      <c r="D209" s="138"/>
      <c r="E209" s="138"/>
      <c r="F209" s="138"/>
    </row>
    <row r="210" ht="15.75" customHeight="1">
      <c r="A210" s="285"/>
      <c r="B210" s="286"/>
      <c r="C210" s="138"/>
      <c r="D210" s="138"/>
      <c r="E210" s="138"/>
      <c r="F210" s="138"/>
    </row>
    <row r="211" ht="15.75" customHeight="1">
      <c r="A211" s="285"/>
      <c r="B211" s="286"/>
      <c r="C211" s="138"/>
      <c r="D211" s="138"/>
      <c r="E211" s="138"/>
      <c r="F211" s="138"/>
    </row>
    <row r="212" ht="15.75" customHeight="1">
      <c r="A212" s="285"/>
      <c r="B212" s="286"/>
      <c r="C212" s="138"/>
      <c r="D212" s="138"/>
      <c r="E212" s="138"/>
      <c r="F212" s="138"/>
    </row>
    <row r="213" ht="15.75" customHeight="1">
      <c r="A213" s="285"/>
      <c r="B213" s="286"/>
      <c r="C213" s="138"/>
      <c r="D213" s="138"/>
      <c r="E213" s="138"/>
      <c r="F213" s="138"/>
    </row>
    <row r="214" ht="15.75" customHeight="1">
      <c r="A214" s="285"/>
      <c r="B214" s="286"/>
      <c r="C214" s="138"/>
      <c r="D214" s="138"/>
      <c r="E214" s="138"/>
      <c r="F214" s="138"/>
    </row>
    <row r="215" ht="15.75" customHeight="1">
      <c r="A215" s="285"/>
      <c r="B215" s="286"/>
      <c r="C215" s="138"/>
      <c r="D215" s="138"/>
      <c r="E215" s="138"/>
      <c r="F215" s="138"/>
    </row>
    <row r="216" ht="15.75" customHeight="1">
      <c r="A216" s="285"/>
      <c r="B216" s="286"/>
      <c r="C216" s="138"/>
      <c r="D216" s="138"/>
      <c r="E216" s="138"/>
      <c r="F216" s="138"/>
    </row>
    <row r="217" ht="15.75" customHeight="1">
      <c r="A217" s="285"/>
      <c r="B217" s="286"/>
      <c r="C217" s="138"/>
      <c r="D217" s="138"/>
      <c r="E217" s="138"/>
      <c r="F217" s="138"/>
    </row>
    <row r="218" ht="15.75" customHeight="1">
      <c r="A218" s="285"/>
      <c r="B218" s="286"/>
      <c r="C218" s="138"/>
      <c r="D218" s="138"/>
      <c r="E218" s="138"/>
      <c r="F218" s="138"/>
    </row>
    <row r="219" ht="15.75" customHeight="1">
      <c r="A219" s="285"/>
      <c r="B219" s="286"/>
      <c r="C219" s="138"/>
      <c r="D219" s="138"/>
      <c r="E219" s="138"/>
      <c r="F219" s="138"/>
    </row>
    <row r="220" ht="15.75" customHeight="1">
      <c r="A220" s="285"/>
      <c r="B220" s="286"/>
      <c r="C220" s="138"/>
      <c r="D220" s="138"/>
      <c r="E220" s="138"/>
      <c r="F220" s="138"/>
    </row>
    <row r="221" ht="15.75" customHeight="1">
      <c r="A221" s="285"/>
      <c r="B221" s="286"/>
      <c r="C221" s="138"/>
      <c r="D221" s="138"/>
      <c r="E221" s="138"/>
      <c r="F221" s="138"/>
    </row>
    <row r="222" ht="15.75" customHeight="1">
      <c r="A222" s="285"/>
      <c r="B222" s="286"/>
      <c r="C222" s="138"/>
      <c r="D222" s="138"/>
      <c r="E222" s="138"/>
      <c r="F222" s="138"/>
    </row>
    <row r="223" ht="15.75" customHeight="1">
      <c r="A223" s="285"/>
      <c r="B223" s="286"/>
      <c r="C223" s="138"/>
      <c r="D223" s="138"/>
      <c r="E223" s="138"/>
      <c r="F223" s="138"/>
    </row>
    <row r="224" ht="15.75" customHeight="1">
      <c r="A224" s="285"/>
      <c r="B224" s="286"/>
      <c r="C224" s="138"/>
      <c r="D224" s="138"/>
      <c r="E224" s="138"/>
      <c r="F224" s="138"/>
    </row>
    <row r="225" ht="15.75" customHeight="1">
      <c r="A225" s="285"/>
      <c r="B225" s="286"/>
      <c r="C225" s="138"/>
      <c r="D225" s="138"/>
      <c r="E225" s="138"/>
      <c r="F225" s="138"/>
    </row>
    <row r="226" ht="15.75" customHeight="1">
      <c r="A226" s="285"/>
      <c r="B226" s="286"/>
      <c r="C226" s="138"/>
      <c r="D226" s="138"/>
      <c r="E226" s="138"/>
      <c r="F226" s="138"/>
    </row>
    <row r="227" ht="15.75" customHeight="1">
      <c r="A227" s="285"/>
      <c r="B227" s="286"/>
      <c r="C227" s="138"/>
      <c r="D227" s="138"/>
      <c r="E227" s="138"/>
      <c r="F227" s="138"/>
    </row>
    <row r="228" ht="15.75" customHeight="1">
      <c r="A228" s="285"/>
      <c r="B228" s="286"/>
      <c r="C228" s="138"/>
      <c r="D228" s="138"/>
      <c r="E228" s="138"/>
      <c r="F228" s="138"/>
    </row>
    <row r="229" ht="15.75" customHeight="1">
      <c r="A229" s="285"/>
      <c r="B229" s="286"/>
      <c r="C229" s="138"/>
      <c r="D229" s="138"/>
      <c r="E229" s="138"/>
      <c r="F229" s="138"/>
    </row>
    <row r="230" ht="15.75" customHeight="1">
      <c r="A230" s="285"/>
      <c r="B230" s="286"/>
      <c r="C230" s="138"/>
      <c r="D230" s="138"/>
      <c r="E230" s="138"/>
      <c r="F230" s="138"/>
    </row>
    <row r="231" ht="15.75" customHeight="1">
      <c r="A231" s="285"/>
      <c r="B231" s="286"/>
      <c r="C231" s="138"/>
      <c r="D231" s="138"/>
      <c r="E231" s="138"/>
      <c r="F231" s="138"/>
    </row>
    <row r="232" ht="15.75" customHeight="1">
      <c r="A232" s="285"/>
      <c r="B232" s="286"/>
      <c r="C232" s="138"/>
      <c r="D232" s="138"/>
      <c r="E232" s="138"/>
      <c r="F232" s="138"/>
    </row>
    <row r="233" ht="15.75" customHeight="1">
      <c r="A233" s="285"/>
      <c r="B233" s="286"/>
      <c r="C233" s="138"/>
      <c r="D233" s="138"/>
      <c r="E233" s="138"/>
      <c r="F233" s="138"/>
    </row>
    <row r="234" ht="15.75" customHeight="1">
      <c r="A234" s="285"/>
      <c r="B234" s="286"/>
      <c r="C234" s="138"/>
      <c r="D234" s="138"/>
      <c r="E234" s="138"/>
      <c r="F234" s="138"/>
    </row>
    <row r="235" ht="15.75" customHeight="1">
      <c r="A235" s="285"/>
      <c r="B235" s="286"/>
      <c r="C235" s="138"/>
      <c r="D235" s="138"/>
      <c r="E235" s="138"/>
      <c r="F235" s="138"/>
    </row>
    <row r="236" ht="15.75" customHeight="1">
      <c r="A236" s="285"/>
      <c r="B236" s="286"/>
      <c r="C236" s="138"/>
      <c r="D236" s="138"/>
      <c r="E236" s="138"/>
      <c r="F236" s="138"/>
    </row>
    <row r="237" ht="15.75" customHeight="1">
      <c r="A237" s="285"/>
      <c r="B237" s="286"/>
      <c r="C237" s="138"/>
      <c r="D237" s="138"/>
      <c r="E237" s="138"/>
      <c r="F237" s="138"/>
    </row>
    <row r="238" ht="15.75" customHeight="1">
      <c r="A238" s="285"/>
      <c r="B238" s="286"/>
      <c r="C238" s="138"/>
      <c r="D238" s="138"/>
      <c r="E238" s="138"/>
      <c r="F238" s="138"/>
    </row>
    <row r="239" ht="15.75" customHeight="1">
      <c r="A239" s="285"/>
      <c r="B239" s="286"/>
      <c r="C239" s="138"/>
      <c r="D239" s="138"/>
      <c r="E239" s="138"/>
      <c r="F239" s="138"/>
    </row>
    <row r="240" ht="15.75" customHeight="1">
      <c r="A240" s="285"/>
      <c r="B240" s="286"/>
      <c r="C240" s="138"/>
      <c r="D240" s="138"/>
      <c r="E240" s="138"/>
      <c r="F240" s="138"/>
    </row>
    <row r="241" ht="15.75" customHeight="1">
      <c r="A241" s="285"/>
      <c r="B241" s="286"/>
      <c r="C241" s="138"/>
      <c r="D241" s="138"/>
      <c r="E241" s="138"/>
      <c r="F241" s="138"/>
    </row>
    <row r="242" ht="15.75" customHeight="1">
      <c r="A242" s="285"/>
      <c r="B242" s="286"/>
      <c r="C242" s="138"/>
      <c r="D242" s="138"/>
      <c r="E242" s="138"/>
      <c r="F242" s="138"/>
    </row>
    <row r="243" ht="15.75" customHeight="1">
      <c r="A243" s="285"/>
      <c r="B243" s="286"/>
      <c r="C243" s="138"/>
      <c r="D243" s="138"/>
      <c r="E243" s="138"/>
      <c r="F243" s="138"/>
    </row>
    <row r="244" ht="15.75" customHeight="1">
      <c r="A244" s="285"/>
      <c r="B244" s="286"/>
      <c r="C244" s="138"/>
      <c r="D244" s="138"/>
      <c r="E244" s="138"/>
      <c r="F244" s="138"/>
    </row>
    <row r="245" ht="15.75" customHeight="1">
      <c r="A245" s="285"/>
      <c r="B245" s="286"/>
      <c r="C245" s="138"/>
      <c r="D245" s="138"/>
      <c r="E245" s="138"/>
      <c r="F245" s="138"/>
    </row>
    <row r="246" ht="15.75" customHeight="1">
      <c r="A246" s="285"/>
      <c r="B246" s="286"/>
      <c r="C246" s="138"/>
      <c r="D246" s="138"/>
      <c r="E246" s="138"/>
      <c r="F246" s="138"/>
    </row>
    <row r="247" ht="15.75" customHeight="1">
      <c r="A247" s="285"/>
      <c r="B247" s="286"/>
      <c r="C247" s="138"/>
      <c r="D247" s="138"/>
      <c r="E247" s="138"/>
      <c r="F247" s="138"/>
    </row>
    <row r="248" ht="15.75" customHeight="1">
      <c r="A248" s="285"/>
      <c r="B248" s="286"/>
      <c r="C248" s="138"/>
      <c r="D248" s="138"/>
      <c r="E248" s="138"/>
      <c r="F248" s="138"/>
    </row>
    <row r="249" ht="15.75" customHeight="1">
      <c r="A249" s="285"/>
      <c r="B249" s="286"/>
      <c r="C249" s="138"/>
      <c r="D249" s="138"/>
      <c r="E249" s="138"/>
      <c r="F249" s="138"/>
    </row>
    <row r="250" ht="15.75" customHeight="1">
      <c r="A250" s="285"/>
      <c r="B250" s="286"/>
      <c r="C250" s="138"/>
      <c r="D250" s="138"/>
      <c r="E250" s="138"/>
      <c r="F250" s="138"/>
    </row>
    <row r="251" ht="15.75" customHeight="1">
      <c r="A251" s="285"/>
      <c r="B251" s="286"/>
      <c r="C251" s="138"/>
      <c r="D251" s="138"/>
      <c r="E251" s="138"/>
      <c r="F251" s="138"/>
    </row>
    <row r="252" ht="15.75" customHeight="1">
      <c r="A252" s="285"/>
      <c r="B252" s="286"/>
      <c r="C252" s="138"/>
      <c r="D252" s="138"/>
      <c r="E252" s="138"/>
      <c r="F252" s="138"/>
    </row>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5.0"/>
    <col customWidth="1" min="2" max="2" width="18.0"/>
    <col customWidth="1" min="3" max="6" width="14.43"/>
  </cols>
  <sheetData>
    <row r="1">
      <c r="A1" s="207" t="s">
        <v>14</v>
      </c>
      <c r="B1" s="207" t="s">
        <v>998</v>
      </c>
      <c r="C1" s="138"/>
      <c r="D1" s="138"/>
      <c r="E1" s="138"/>
      <c r="F1" s="138"/>
    </row>
    <row r="2">
      <c r="A2" s="161" t="s">
        <v>21</v>
      </c>
      <c r="B2" s="161">
        <v>10.0</v>
      </c>
      <c r="C2" s="138"/>
      <c r="D2" s="138"/>
      <c r="E2" s="138"/>
      <c r="F2" s="138"/>
    </row>
    <row r="3">
      <c r="A3" s="161" t="s">
        <v>22</v>
      </c>
      <c r="B3" s="161">
        <v>16.0</v>
      </c>
      <c r="C3" s="138"/>
      <c r="D3" s="138"/>
      <c r="E3" s="138"/>
      <c r="F3" s="138"/>
    </row>
    <row r="4">
      <c r="A4" s="161" t="s">
        <v>23</v>
      </c>
      <c r="B4" s="161">
        <v>16.0</v>
      </c>
      <c r="C4" s="138"/>
      <c r="D4" s="138"/>
      <c r="E4" s="138"/>
      <c r="F4" s="138"/>
    </row>
    <row r="5">
      <c r="A5" s="161" t="s">
        <v>24</v>
      </c>
      <c r="B5" s="161">
        <v>16.0</v>
      </c>
      <c r="C5" s="138"/>
      <c r="D5" s="138"/>
      <c r="E5" s="138"/>
      <c r="F5" s="138"/>
    </row>
    <row r="6">
      <c r="A6" s="161" t="s">
        <v>25</v>
      </c>
      <c r="B6" s="161">
        <v>16.0</v>
      </c>
      <c r="C6" s="138"/>
      <c r="D6" s="138"/>
      <c r="E6" s="138"/>
      <c r="F6" s="138"/>
    </row>
    <row r="7">
      <c r="A7" s="161"/>
      <c r="B7" s="161"/>
      <c r="C7" s="138"/>
      <c r="D7" s="138"/>
      <c r="E7" s="138"/>
      <c r="F7" s="138"/>
    </row>
    <row r="8">
      <c r="A8" s="161"/>
      <c r="B8" s="161"/>
      <c r="C8" s="138"/>
      <c r="D8" s="138"/>
      <c r="E8" s="138"/>
      <c r="F8" s="138"/>
    </row>
    <row r="9">
      <c r="A9" s="161"/>
      <c r="B9" s="161"/>
      <c r="C9" s="138"/>
      <c r="D9" s="138"/>
      <c r="E9" s="138"/>
      <c r="F9" s="138"/>
    </row>
    <row r="10">
      <c r="A10" s="161"/>
      <c r="B10" s="161"/>
      <c r="C10" s="138"/>
      <c r="D10" s="138"/>
      <c r="E10" s="138"/>
      <c r="F10" s="138"/>
    </row>
    <row r="11">
      <c r="A11" s="161"/>
      <c r="B11" s="161"/>
      <c r="C11" s="138"/>
      <c r="D11" s="138"/>
      <c r="E11" s="138"/>
      <c r="F11" s="138"/>
    </row>
    <row r="12">
      <c r="A12" s="161"/>
      <c r="B12" s="161"/>
      <c r="C12" s="138"/>
      <c r="D12" s="138"/>
      <c r="E12" s="138"/>
      <c r="F12" s="138"/>
    </row>
    <row r="13">
      <c r="A13" s="161"/>
      <c r="B13" s="161"/>
      <c r="C13" s="138"/>
      <c r="D13" s="138"/>
      <c r="E13" s="138"/>
      <c r="F13" s="138"/>
    </row>
    <row r="14">
      <c r="A14" s="161"/>
      <c r="B14" s="161"/>
      <c r="C14" s="138"/>
      <c r="D14" s="138"/>
      <c r="E14" s="138"/>
      <c r="F14" s="138"/>
    </row>
    <row r="15">
      <c r="A15" s="161"/>
      <c r="B15" s="161"/>
      <c r="C15" s="138"/>
      <c r="D15" s="138"/>
      <c r="E15" s="138"/>
      <c r="F15" s="138"/>
    </row>
    <row r="16">
      <c r="A16" s="161"/>
      <c r="B16" s="161"/>
      <c r="C16" s="138"/>
      <c r="D16" s="138"/>
      <c r="E16" s="138"/>
      <c r="F16" s="138"/>
    </row>
    <row r="17">
      <c r="A17" s="161"/>
      <c r="B17" s="161"/>
      <c r="C17" s="138"/>
      <c r="D17" s="138"/>
      <c r="E17" s="138"/>
      <c r="F17" s="138"/>
    </row>
    <row r="18">
      <c r="A18" s="161"/>
      <c r="B18" s="161"/>
      <c r="C18" s="138"/>
      <c r="D18" s="138"/>
      <c r="E18" s="138"/>
      <c r="F18" s="138"/>
    </row>
    <row r="19">
      <c r="A19" s="161"/>
      <c r="B19" s="161"/>
      <c r="C19" s="138"/>
      <c r="D19" s="138"/>
      <c r="E19" s="138"/>
      <c r="F19" s="138"/>
    </row>
    <row r="20">
      <c r="A20" s="161"/>
      <c r="B20" s="161"/>
      <c r="C20" s="138"/>
      <c r="D20" s="138"/>
      <c r="E20" s="138"/>
      <c r="F20" s="138"/>
    </row>
    <row r="21" ht="15.75" customHeight="1">
      <c r="A21" s="161"/>
      <c r="B21" s="161"/>
      <c r="C21" s="138"/>
      <c r="D21" s="138"/>
      <c r="E21" s="138"/>
      <c r="F21" s="138"/>
    </row>
    <row r="22" ht="15.75" customHeight="1">
      <c r="A22" s="161"/>
      <c r="B22" s="161"/>
      <c r="C22" s="138"/>
      <c r="D22" s="138"/>
      <c r="E22" s="138"/>
      <c r="F22" s="138"/>
    </row>
    <row r="23" ht="15.75" customHeight="1">
      <c r="A23" s="161"/>
      <c r="B23" s="161"/>
      <c r="C23" s="138"/>
      <c r="D23" s="138"/>
      <c r="E23" s="138"/>
      <c r="F23" s="138"/>
    </row>
    <row r="24" ht="15.75" customHeight="1">
      <c r="A24" s="161"/>
      <c r="B24" s="161"/>
      <c r="C24" s="138"/>
      <c r="D24" s="138"/>
      <c r="E24" s="138"/>
      <c r="F24" s="138"/>
    </row>
    <row r="25" ht="15.75" customHeight="1">
      <c r="A25" s="161"/>
      <c r="B25" s="161"/>
      <c r="C25" s="138"/>
      <c r="D25" s="138"/>
      <c r="E25" s="138"/>
      <c r="F25" s="138"/>
    </row>
    <row r="26" ht="15.75" customHeight="1">
      <c r="A26" s="161"/>
      <c r="B26" s="161"/>
      <c r="C26" s="138"/>
      <c r="D26" s="138"/>
      <c r="E26" s="138"/>
      <c r="F26" s="138"/>
    </row>
    <row r="27" ht="15.75" customHeight="1">
      <c r="A27" s="161"/>
      <c r="B27" s="161"/>
      <c r="C27" s="138"/>
      <c r="D27" s="138"/>
      <c r="E27" s="138"/>
      <c r="F27" s="138"/>
    </row>
    <row r="28" ht="15.75" customHeight="1">
      <c r="A28" s="161"/>
      <c r="B28" s="161"/>
      <c r="C28" s="138"/>
      <c r="D28" s="138"/>
      <c r="E28" s="138"/>
      <c r="F28" s="138"/>
    </row>
    <row r="29" ht="15.75" customHeight="1">
      <c r="A29" s="161"/>
      <c r="B29" s="161"/>
      <c r="C29" s="138"/>
      <c r="D29" s="138"/>
      <c r="E29" s="138"/>
      <c r="F29" s="138"/>
    </row>
    <row r="30" ht="15.75" customHeight="1">
      <c r="A30" s="161"/>
      <c r="B30" s="161"/>
      <c r="C30" s="138"/>
      <c r="D30" s="138"/>
      <c r="E30" s="138"/>
      <c r="F30" s="138"/>
    </row>
    <row r="31" ht="15.75" customHeight="1">
      <c r="A31" s="161"/>
      <c r="B31" s="161"/>
      <c r="C31" s="138"/>
      <c r="D31" s="138"/>
      <c r="E31" s="138"/>
      <c r="F31" s="138"/>
    </row>
    <row r="32" ht="15.75" customHeight="1">
      <c r="A32" s="161"/>
      <c r="B32" s="161"/>
      <c r="C32" s="138"/>
      <c r="D32" s="138"/>
      <c r="E32" s="138"/>
      <c r="F32" s="138"/>
    </row>
    <row r="33" ht="15.75" customHeight="1">
      <c r="A33" s="161"/>
      <c r="B33" s="161"/>
      <c r="C33" s="138"/>
      <c r="D33" s="138"/>
      <c r="E33" s="138"/>
      <c r="F33" s="138"/>
    </row>
    <row r="34" ht="15.75" customHeight="1">
      <c r="A34" s="161"/>
      <c r="B34" s="161"/>
      <c r="C34" s="138"/>
      <c r="D34" s="138"/>
      <c r="E34" s="138"/>
      <c r="F34" s="138"/>
    </row>
    <row r="35" ht="15.75" customHeight="1">
      <c r="A35" s="161"/>
      <c r="B35" s="161"/>
      <c r="C35" s="138"/>
      <c r="D35" s="138"/>
      <c r="E35" s="138"/>
      <c r="F35" s="138"/>
    </row>
    <row r="36" ht="15.75" customHeight="1">
      <c r="A36" s="161"/>
      <c r="B36" s="161"/>
      <c r="C36" s="138"/>
      <c r="D36" s="138"/>
      <c r="E36" s="138"/>
      <c r="F36" s="138"/>
    </row>
    <row r="37" ht="15.75" customHeight="1">
      <c r="A37" s="161"/>
      <c r="B37" s="161"/>
      <c r="C37" s="138"/>
      <c r="D37" s="138"/>
      <c r="E37" s="138"/>
      <c r="F37" s="138"/>
    </row>
    <row r="38" ht="15.75" customHeight="1">
      <c r="A38" s="161"/>
      <c r="B38" s="161"/>
      <c r="C38" s="138"/>
      <c r="D38" s="138"/>
      <c r="E38" s="138"/>
      <c r="F38" s="138"/>
    </row>
    <row r="39" ht="15.75" customHeight="1">
      <c r="A39" s="161"/>
      <c r="B39" s="161"/>
      <c r="C39" s="138"/>
      <c r="D39" s="138"/>
      <c r="E39" s="138"/>
      <c r="F39" s="138"/>
    </row>
    <row r="40" ht="15.75" customHeight="1">
      <c r="A40" s="161"/>
      <c r="B40" s="161"/>
      <c r="C40" s="138"/>
      <c r="D40" s="138"/>
      <c r="E40" s="138"/>
      <c r="F40" s="138"/>
    </row>
    <row r="41" ht="15.75" customHeight="1">
      <c r="A41" s="161"/>
      <c r="B41" s="161"/>
      <c r="C41" s="138"/>
      <c r="D41" s="138"/>
      <c r="E41" s="138"/>
      <c r="F41" s="138"/>
    </row>
    <row r="42" ht="15.75" customHeight="1">
      <c r="A42" s="161"/>
      <c r="B42" s="161"/>
      <c r="C42" s="138"/>
      <c r="D42" s="138"/>
      <c r="E42" s="138"/>
      <c r="F42" s="138"/>
    </row>
    <row r="43" ht="15.75" customHeight="1">
      <c r="A43" s="161"/>
      <c r="B43" s="161"/>
      <c r="C43" s="138"/>
      <c r="D43" s="138"/>
      <c r="E43" s="138"/>
      <c r="F43" s="138"/>
    </row>
    <row r="44" ht="15.75" customHeight="1">
      <c r="A44" s="161"/>
      <c r="B44" s="161"/>
      <c r="C44" s="138"/>
      <c r="D44" s="138"/>
      <c r="E44" s="138"/>
      <c r="F44" s="138"/>
    </row>
    <row r="45" ht="15.75" customHeight="1">
      <c r="A45" s="161"/>
      <c r="B45" s="161"/>
      <c r="C45" s="138"/>
      <c r="D45" s="138"/>
      <c r="E45" s="138"/>
      <c r="F45" s="138"/>
    </row>
    <row r="46" ht="15.75" customHeight="1">
      <c r="A46" s="161"/>
      <c r="B46" s="161"/>
      <c r="C46" s="138"/>
      <c r="D46" s="138"/>
      <c r="E46" s="138"/>
      <c r="F46" s="138"/>
    </row>
    <row r="47" ht="15.75" customHeight="1">
      <c r="A47" s="161"/>
      <c r="B47" s="161"/>
      <c r="C47" s="138"/>
      <c r="D47" s="138"/>
      <c r="E47" s="138"/>
      <c r="F47" s="138"/>
    </row>
    <row r="48" ht="15.75" customHeight="1">
      <c r="A48" s="161"/>
      <c r="B48" s="161"/>
      <c r="C48" s="138"/>
      <c r="D48" s="138"/>
      <c r="E48" s="138"/>
      <c r="F48" s="138"/>
    </row>
    <row r="49" ht="15.75" customHeight="1">
      <c r="A49" s="161"/>
      <c r="B49" s="161"/>
      <c r="C49" s="138"/>
      <c r="D49" s="138"/>
      <c r="E49" s="138"/>
      <c r="F49" s="138"/>
    </row>
    <row r="50" ht="15.75" customHeight="1">
      <c r="A50" s="161"/>
      <c r="B50" s="161"/>
      <c r="C50" s="138"/>
      <c r="D50" s="138"/>
      <c r="E50" s="138"/>
      <c r="F50" s="138"/>
    </row>
    <row r="51" ht="15.75" customHeight="1">
      <c r="A51" s="161"/>
      <c r="B51" s="161"/>
      <c r="C51" s="138"/>
      <c r="D51" s="138"/>
      <c r="E51" s="138"/>
      <c r="F51" s="138"/>
    </row>
    <row r="52" ht="15.75" customHeight="1">
      <c r="A52" s="161"/>
      <c r="B52" s="161"/>
      <c r="C52" s="138"/>
      <c r="D52" s="138"/>
      <c r="E52" s="138"/>
      <c r="F52" s="138"/>
    </row>
    <row r="53" ht="15.75" customHeight="1">
      <c r="A53" s="161"/>
      <c r="B53" s="161"/>
      <c r="C53" s="138"/>
      <c r="D53" s="138"/>
      <c r="E53" s="138"/>
      <c r="F53" s="138"/>
    </row>
    <row r="54" ht="15.75" customHeight="1">
      <c r="A54" s="161"/>
      <c r="B54" s="161"/>
      <c r="C54" s="138"/>
      <c r="D54" s="138"/>
      <c r="E54" s="138"/>
      <c r="F54" s="138"/>
    </row>
    <row r="55" ht="15.75" customHeight="1">
      <c r="A55" s="161"/>
      <c r="B55" s="161"/>
      <c r="C55" s="138"/>
      <c r="D55" s="138"/>
      <c r="E55" s="138"/>
      <c r="F55" s="138"/>
    </row>
    <row r="56" ht="15.75" customHeight="1">
      <c r="A56" s="161"/>
      <c r="B56" s="161"/>
      <c r="C56" s="138"/>
      <c r="D56" s="138"/>
      <c r="E56" s="138"/>
      <c r="F56" s="138"/>
    </row>
    <row r="57" ht="15.75" customHeight="1">
      <c r="A57" s="161"/>
      <c r="B57" s="161"/>
      <c r="C57" s="138"/>
      <c r="D57" s="138"/>
      <c r="E57" s="138"/>
      <c r="F57" s="138"/>
    </row>
    <row r="58" ht="15.75" customHeight="1">
      <c r="A58" s="161"/>
      <c r="B58" s="161"/>
      <c r="C58" s="138"/>
      <c r="D58" s="138"/>
      <c r="E58" s="138"/>
      <c r="F58" s="138"/>
    </row>
    <row r="59" ht="15.75" customHeight="1">
      <c r="A59" s="161"/>
      <c r="B59" s="161"/>
      <c r="C59" s="138"/>
      <c r="D59" s="138"/>
      <c r="E59" s="138"/>
      <c r="F59" s="138"/>
    </row>
    <row r="60" ht="15.75" customHeight="1">
      <c r="A60" s="161"/>
      <c r="B60" s="161"/>
      <c r="C60" s="138"/>
      <c r="D60" s="138"/>
      <c r="E60" s="138"/>
      <c r="F60" s="138"/>
    </row>
    <row r="61" ht="15.75" customHeight="1">
      <c r="A61" s="161"/>
      <c r="B61" s="161"/>
      <c r="C61" s="138"/>
      <c r="D61" s="138"/>
      <c r="E61" s="138"/>
      <c r="F61" s="138"/>
    </row>
    <row r="62" ht="15.75" customHeight="1">
      <c r="A62" s="161"/>
      <c r="B62" s="161"/>
      <c r="C62" s="138"/>
      <c r="D62" s="138"/>
      <c r="E62" s="138"/>
      <c r="F62" s="138"/>
    </row>
    <row r="63" ht="15.75" customHeight="1">
      <c r="A63" s="161"/>
      <c r="B63" s="161"/>
      <c r="C63" s="138"/>
      <c r="D63" s="138"/>
      <c r="E63" s="138"/>
      <c r="F63" s="138"/>
    </row>
    <row r="64" ht="15.75" customHeight="1">
      <c r="A64" s="161"/>
      <c r="B64" s="161"/>
      <c r="C64" s="138"/>
      <c r="D64" s="138"/>
      <c r="E64" s="138"/>
      <c r="F64" s="138"/>
    </row>
    <row r="65" ht="15.75" customHeight="1">
      <c r="A65" s="161"/>
      <c r="B65" s="161"/>
      <c r="C65" s="138"/>
      <c r="D65" s="138"/>
      <c r="E65" s="138"/>
      <c r="F65" s="138"/>
    </row>
    <row r="66" ht="15.75" customHeight="1">
      <c r="A66" s="161"/>
      <c r="B66" s="161"/>
      <c r="C66" s="138"/>
      <c r="D66" s="138"/>
      <c r="E66" s="138"/>
      <c r="F66" s="138"/>
    </row>
    <row r="67" ht="15.75" customHeight="1">
      <c r="A67" s="161"/>
      <c r="B67" s="161"/>
      <c r="C67" s="138"/>
      <c r="D67" s="138"/>
      <c r="E67" s="138"/>
      <c r="F67" s="138"/>
    </row>
    <row r="68" ht="15.75" customHeight="1">
      <c r="A68" s="161"/>
      <c r="B68" s="161"/>
      <c r="C68" s="138"/>
      <c r="D68" s="138"/>
      <c r="E68" s="138"/>
      <c r="F68" s="138"/>
    </row>
    <row r="69" ht="15.75" customHeight="1">
      <c r="A69" s="161"/>
      <c r="B69" s="161"/>
      <c r="C69" s="138"/>
      <c r="D69" s="138"/>
      <c r="E69" s="138"/>
      <c r="F69" s="138"/>
    </row>
    <row r="70" ht="15.75" customHeight="1">
      <c r="A70" s="161"/>
      <c r="B70" s="161"/>
      <c r="C70" s="138"/>
      <c r="D70" s="138"/>
      <c r="E70" s="138"/>
      <c r="F70" s="138"/>
    </row>
    <row r="71" ht="15.75" customHeight="1">
      <c r="A71" s="161"/>
      <c r="B71" s="161"/>
      <c r="C71" s="138"/>
      <c r="D71" s="138"/>
      <c r="E71" s="138"/>
      <c r="F71" s="138"/>
    </row>
    <row r="72" ht="15.75" customHeight="1">
      <c r="A72" s="161"/>
      <c r="B72" s="161"/>
      <c r="C72" s="138"/>
      <c r="D72" s="138"/>
      <c r="E72" s="138"/>
      <c r="F72" s="138"/>
    </row>
    <row r="73" ht="15.75" customHeight="1">
      <c r="A73" s="161"/>
      <c r="B73" s="161"/>
      <c r="C73" s="138"/>
      <c r="D73" s="138"/>
      <c r="E73" s="138"/>
      <c r="F73" s="138"/>
    </row>
    <row r="74" ht="15.75" customHeight="1">
      <c r="A74" s="161"/>
      <c r="B74" s="161"/>
      <c r="C74" s="138"/>
      <c r="D74" s="138"/>
      <c r="E74" s="138"/>
      <c r="F74" s="138"/>
    </row>
    <row r="75" ht="15.75" customHeight="1">
      <c r="A75" s="161"/>
      <c r="B75" s="161"/>
      <c r="C75" s="138"/>
      <c r="D75" s="138"/>
      <c r="E75" s="138"/>
      <c r="F75" s="138"/>
    </row>
    <row r="76" ht="15.75" customHeight="1">
      <c r="A76" s="161"/>
      <c r="B76" s="161"/>
      <c r="C76" s="138"/>
      <c r="D76" s="138"/>
      <c r="E76" s="138"/>
      <c r="F76" s="138"/>
    </row>
    <row r="77" ht="15.75" customHeight="1">
      <c r="A77" s="161"/>
      <c r="B77" s="161"/>
      <c r="C77" s="138"/>
      <c r="D77" s="138"/>
      <c r="E77" s="138"/>
      <c r="F77" s="138"/>
    </row>
    <row r="78" ht="15.75" customHeight="1">
      <c r="A78" s="161"/>
      <c r="B78" s="161"/>
      <c r="C78" s="138"/>
      <c r="D78" s="138"/>
      <c r="E78" s="138"/>
      <c r="F78" s="138"/>
    </row>
    <row r="79" ht="15.75" customHeight="1">
      <c r="A79" s="161"/>
      <c r="B79" s="161"/>
      <c r="C79" s="138"/>
      <c r="D79" s="138"/>
      <c r="E79" s="138"/>
      <c r="F79" s="138"/>
    </row>
    <row r="80" ht="15.75" customHeight="1">
      <c r="A80" s="161"/>
      <c r="B80" s="161"/>
      <c r="C80" s="138"/>
      <c r="D80" s="138"/>
      <c r="E80" s="138"/>
      <c r="F80" s="138"/>
    </row>
    <row r="81" ht="15.75" customHeight="1">
      <c r="A81" s="161"/>
      <c r="B81" s="161"/>
      <c r="C81" s="138"/>
      <c r="D81" s="138"/>
      <c r="E81" s="138"/>
      <c r="F81" s="138"/>
    </row>
    <row r="82" ht="15.75" customHeight="1">
      <c r="A82" s="161"/>
      <c r="B82" s="161"/>
      <c r="C82" s="138"/>
      <c r="D82" s="138"/>
      <c r="E82" s="138"/>
      <c r="F82" s="138"/>
    </row>
    <row r="83" ht="15.75" customHeight="1">
      <c r="A83" s="161"/>
      <c r="B83" s="161"/>
      <c r="C83" s="138"/>
      <c r="D83" s="138"/>
      <c r="E83" s="138"/>
      <c r="F83" s="138"/>
    </row>
    <row r="84" ht="15.75" customHeight="1">
      <c r="A84" s="161"/>
      <c r="B84" s="161"/>
      <c r="C84" s="138"/>
      <c r="D84" s="138"/>
      <c r="E84" s="138"/>
      <c r="F84" s="138"/>
    </row>
    <row r="85" ht="15.75" customHeight="1">
      <c r="A85" s="161"/>
      <c r="B85" s="161"/>
      <c r="C85" s="138"/>
      <c r="D85" s="138"/>
      <c r="E85" s="138"/>
      <c r="F85" s="138"/>
    </row>
    <row r="86" ht="15.75" customHeight="1">
      <c r="A86" s="161"/>
      <c r="B86" s="161"/>
      <c r="C86" s="138"/>
      <c r="D86" s="138"/>
      <c r="E86" s="138"/>
      <c r="F86" s="138"/>
    </row>
    <row r="87" ht="15.75" customHeight="1">
      <c r="A87" s="161"/>
      <c r="B87" s="161"/>
      <c r="C87" s="138"/>
      <c r="D87" s="138"/>
      <c r="E87" s="138"/>
      <c r="F87" s="138"/>
    </row>
    <row r="88" ht="15.75" customHeight="1">
      <c r="A88" s="161"/>
      <c r="B88" s="161"/>
      <c r="C88" s="138"/>
      <c r="D88" s="138"/>
      <c r="E88" s="138"/>
      <c r="F88" s="138"/>
    </row>
    <row r="89" ht="15.75" customHeight="1">
      <c r="A89" s="161"/>
      <c r="B89" s="161"/>
      <c r="C89" s="138"/>
      <c r="D89" s="138"/>
      <c r="E89" s="138"/>
      <c r="F89" s="138"/>
    </row>
    <row r="90" ht="15.75" customHeight="1">
      <c r="A90" s="161"/>
      <c r="B90" s="161"/>
      <c r="C90" s="138"/>
      <c r="D90" s="138"/>
      <c r="E90" s="138"/>
      <c r="F90" s="138"/>
    </row>
    <row r="91" ht="15.75" customHeight="1">
      <c r="A91" s="161"/>
      <c r="B91" s="161"/>
      <c r="C91" s="138"/>
      <c r="D91" s="138"/>
      <c r="E91" s="138"/>
      <c r="F91" s="138"/>
    </row>
    <row r="92" ht="15.75" customHeight="1">
      <c r="A92" s="161"/>
      <c r="B92" s="161"/>
      <c r="C92" s="138"/>
      <c r="D92" s="138"/>
      <c r="E92" s="138"/>
      <c r="F92" s="138"/>
    </row>
    <row r="93" ht="15.75" customHeight="1">
      <c r="A93" s="161"/>
      <c r="B93" s="161"/>
      <c r="C93" s="138"/>
      <c r="D93" s="138"/>
      <c r="E93" s="138"/>
      <c r="F93" s="138"/>
    </row>
    <row r="94" ht="15.75" customHeight="1">
      <c r="A94" s="161"/>
      <c r="B94" s="161"/>
      <c r="C94" s="138"/>
      <c r="D94" s="138"/>
      <c r="E94" s="138"/>
      <c r="F94" s="138"/>
    </row>
    <row r="95" ht="15.75" customHeight="1">
      <c r="A95" s="161"/>
      <c r="B95" s="161"/>
      <c r="C95" s="138"/>
      <c r="D95" s="138"/>
      <c r="E95" s="138"/>
      <c r="F95" s="138"/>
    </row>
    <row r="96" ht="15.75" customHeight="1">
      <c r="A96" s="161"/>
      <c r="B96" s="161"/>
      <c r="C96" s="138"/>
      <c r="D96" s="138"/>
      <c r="E96" s="138"/>
      <c r="F96" s="138"/>
    </row>
    <row r="97" ht="15.75" customHeight="1">
      <c r="A97" s="161"/>
      <c r="B97" s="161"/>
      <c r="C97" s="138"/>
      <c r="D97" s="138"/>
      <c r="E97" s="138"/>
      <c r="F97" s="138"/>
    </row>
    <row r="98" ht="15.75" customHeight="1">
      <c r="A98" s="161"/>
      <c r="B98" s="161"/>
      <c r="C98" s="138"/>
      <c r="D98" s="138"/>
      <c r="E98" s="138"/>
      <c r="F98" s="138"/>
    </row>
    <row r="99" ht="15.75" customHeight="1">
      <c r="A99" s="161"/>
      <c r="B99" s="161"/>
      <c r="C99" s="138"/>
      <c r="D99" s="138"/>
      <c r="E99" s="138"/>
      <c r="F99" s="138"/>
    </row>
    <row r="100" ht="15.75" customHeight="1">
      <c r="A100" s="161"/>
      <c r="B100" s="161"/>
      <c r="C100" s="138"/>
      <c r="D100" s="138"/>
      <c r="E100" s="138"/>
      <c r="F100" s="138"/>
    </row>
    <row r="101" ht="15.75" customHeight="1">
      <c r="A101" s="161"/>
      <c r="B101" s="161"/>
      <c r="C101" s="138"/>
      <c r="D101" s="138"/>
      <c r="E101" s="138"/>
      <c r="F101" s="138"/>
    </row>
    <row r="102" ht="15.75" customHeight="1">
      <c r="A102" s="161"/>
      <c r="B102" s="161"/>
      <c r="C102" s="138"/>
      <c r="D102" s="138"/>
      <c r="E102" s="138"/>
      <c r="F102" s="138"/>
    </row>
    <row r="103" ht="15.75" customHeight="1">
      <c r="A103" s="161"/>
      <c r="B103" s="161"/>
      <c r="C103" s="138"/>
      <c r="D103" s="138"/>
      <c r="E103" s="138"/>
      <c r="F103" s="138"/>
    </row>
    <row r="104" ht="15.75" customHeight="1">
      <c r="A104" s="161"/>
      <c r="B104" s="161"/>
      <c r="C104" s="138"/>
      <c r="D104" s="138"/>
      <c r="E104" s="138"/>
      <c r="F104" s="138"/>
    </row>
    <row r="105" ht="15.75" customHeight="1">
      <c r="A105" s="161"/>
      <c r="B105" s="161"/>
      <c r="C105" s="138"/>
      <c r="D105" s="138"/>
      <c r="E105" s="138"/>
      <c r="F105" s="138"/>
    </row>
    <row r="106" ht="15.75" customHeight="1">
      <c r="A106" s="161"/>
      <c r="B106" s="161"/>
      <c r="C106" s="138"/>
      <c r="D106" s="138"/>
      <c r="E106" s="138"/>
      <c r="F106" s="138"/>
    </row>
    <row r="107" ht="15.75" customHeight="1">
      <c r="A107" s="161"/>
      <c r="B107" s="161"/>
      <c r="C107" s="138"/>
      <c r="D107" s="138"/>
      <c r="E107" s="138"/>
      <c r="F107" s="138"/>
    </row>
    <row r="108" ht="15.75" customHeight="1">
      <c r="A108" s="161"/>
      <c r="B108" s="161"/>
      <c r="C108" s="138"/>
      <c r="D108" s="138"/>
      <c r="E108" s="138"/>
      <c r="F108" s="138"/>
    </row>
    <row r="109" ht="15.75" customHeight="1">
      <c r="A109" s="161"/>
      <c r="B109" s="161"/>
      <c r="C109" s="138"/>
      <c r="D109" s="138"/>
      <c r="E109" s="138"/>
      <c r="F109" s="138"/>
    </row>
    <row r="110" ht="15.75" customHeight="1">
      <c r="A110" s="161"/>
      <c r="B110" s="161"/>
      <c r="C110" s="138"/>
      <c r="D110" s="138"/>
      <c r="E110" s="138"/>
      <c r="F110" s="138"/>
    </row>
    <row r="111" ht="15.75" customHeight="1">
      <c r="A111" s="161"/>
      <c r="B111" s="161"/>
      <c r="C111" s="138"/>
      <c r="D111" s="138"/>
      <c r="E111" s="138"/>
      <c r="F111" s="138"/>
    </row>
    <row r="112" ht="15.75" customHeight="1">
      <c r="A112" s="161"/>
      <c r="B112" s="161"/>
      <c r="C112" s="138"/>
      <c r="D112" s="138"/>
      <c r="E112" s="138"/>
      <c r="F112" s="138"/>
    </row>
    <row r="113" ht="15.75" customHeight="1">
      <c r="A113" s="161"/>
      <c r="B113" s="161"/>
      <c r="C113" s="138"/>
      <c r="D113" s="138"/>
      <c r="E113" s="138"/>
      <c r="F113" s="138"/>
    </row>
    <row r="114" ht="15.75" customHeight="1">
      <c r="A114" s="161"/>
      <c r="B114" s="161"/>
      <c r="C114" s="138"/>
      <c r="D114" s="138"/>
      <c r="E114" s="138"/>
      <c r="F114" s="138"/>
    </row>
    <row r="115" ht="15.75" customHeight="1">
      <c r="A115" s="161"/>
      <c r="B115" s="161"/>
      <c r="C115" s="138"/>
      <c r="D115" s="138"/>
      <c r="E115" s="138"/>
      <c r="F115" s="138"/>
    </row>
    <row r="116" ht="15.75" customHeight="1">
      <c r="A116" s="161"/>
      <c r="B116" s="161"/>
      <c r="C116" s="138"/>
      <c r="D116" s="138"/>
      <c r="E116" s="138"/>
      <c r="F116" s="138"/>
    </row>
    <row r="117" ht="15.75" customHeight="1">
      <c r="A117" s="161"/>
      <c r="B117" s="161"/>
      <c r="C117" s="138"/>
      <c r="D117" s="138"/>
      <c r="E117" s="138"/>
      <c r="F117" s="138"/>
    </row>
    <row r="118" ht="15.75" customHeight="1">
      <c r="A118" s="161"/>
      <c r="B118" s="161"/>
      <c r="C118" s="138"/>
      <c r="D118" s="138"/>
      <c r="E118" s="138"/>
      <c r="F118" s="138"/>
    </row>
    <row r="119" ht="15.75" customHeight="1">
      <c r="A119" s="161"/>
      <c r="B119" s="161"/>
      <c r="C119" s="138"/>
      <c r="D119" s="138"/>
      <c r="E119" s="138"/>
      <c r="F119" s="138"/>
    </row>
    <row r="120" ht="15.75" customHeight="1">
      <c r="A120" s="161"/>
      <c r="B120" s="161"/>
      <c r="C120" s="138"/>
      <c r="D120" s="138"/>
      <c r="E120" s="138"/>
      <c r="F120" s="138"/>
    </row>
    <row r="121" ht="15.75" customHeight="1">
      <c r="A121" s="161"/>
      <c r="B121" s="161"/>
      <c r="C121" s="138"/>
      <c r="D121" s="138"/>
      <c r="E121" s="138"/>
      <c r="F121" s="138"/>
    </row>
    <row r="122" ht="15.75" customHeight="1">
      <c r="A122" s="161"/>
      <c r="B122" s="161"/>
      <c r="C122" s="138"/>
      <c r="D122" s="138"/>
      <c r="E122" s="138"/>
      <c r="F122" s="138"/>
    </row>
    <row r="123" ht="15.75" customHeight="1">
      <c r="A123" s="161"/>
      <c r="B123" s="161"/>
      <c r="C123" s="138"/>
      <c r="D123" s="138"/>
      <c r="E123" s="138"/>
      <c r="F123" s="138"/>
    </row>
    <row r="124" ht="15.75" customHeight="1">
      <c r="A124" s="161"/>
      <c r="B124" s="161"/>
      <c r="C124" s="138"/>
      <c r="D124" s="138"/>
      <c r="E124" s="138"/>
      <c r="F124" s="138"/>
    </row>
    <row r="125" ht="15.75" customHeight="1">
      <c r="A125" s="161"/>
      <c r="B125" s="161"/>
      <c r="C125" s="138"/>
      <c r="D125" s="138"/>
      <c r="E125" s="138"/>
      <c r="F125" s="138"/>
    </row>
    <row r="126" ht="15.75" customHeight="1">
      <c r="A126" s="161"/>
      <c r="B126" s="161"/>
      <c r="C126" s="138"/>
      <c r="D126" s="138"/>
      <c r="E126" s="138"/>
      <c r="F126" s="138"/>
    </row>
    <row r="127" ht="15.75" customHeight="1">
      <c r="A127" s="161"/>
      <c r="B127" s="161"/>
      <c r="C127" s="138"/>
      <c r="D127" s="138"/>
      <c r="E127" s="138"/>
      <c r="F127" s="138"/>
    </row>
    <row r="128" ht="15.75" customHeight="1">
      <c r="A128" s="161"/>
      <c r="B128" s="161"/>
      <c r="C128" s="138"/>
      <c r="D128" s="138"/>
      <c r="E128" s="138"/>
      <c r="F128" s="138"/>
    </row>
    <row r="129" ht="15.75" customHeight="1">
      <c r="A129" s="161"/>
      <c r="B129" s="161"/>
      <c r="C129" s="138"/>
      <c r="D129" s="138"/>
      <c r="E129" s="138"/>
      <c r="F129" s="138"/>
    </row>
    <row r="130" ht="15.75" customHeight="1">
      <c r="A130" s="161"/>
      <c r="B130" s="161"/>
      <c r="C130" s="138"/>
      <c r="D130" s="138"/>
      <c r="E130" s="138"/>
      <c r="F130" s="138"/>
    </row>
    <row r="131" ht="15.75" customHeight="1">
      <c r="A131" s="161"/>
      <c r="B131" s="161"/>
      <c r="C131" s="138"/>
      <c r="D131" s="138"/>
      <c r="E131" s="138"/>
      <c r="F131" s="138"/>
    </row>
    <row r="132" ht="15.75" customHeight="1">
      <c r="A132" s="161"/>
      <c r="B132" s="161"/>
      <c r="C132" s="138"/>
      <c r="D132" s="138"/>
      <c r="E132" s="138"/>
      <c r="F132" s="138"/>
    </row>
    <row r="133" ht="15.75" customHeight="1">
      <c r="A133" s="161"/>
      <c r="B133" s="161"/>
      <c r="C133" s="138"/>
      <c r="D133" s="138"/>
      <c r="E133" s="138"/>
      <c r="F133" s="138"/>
    </row>
    <row r="134" ht="15.75" customHeight="1">
      <c r="A134" s="161"/>
      <c r="B134" s="161"/>
      <c r="C134" s="138"/>
      <c r="D134" s="138"/>
      <c r="E134" s="138"/>
      <c r="F134" s="138"/>
    </row>
    <row r="135" ht="15.75" customHeight="1">
      <c r="A135" s="161"/>
      <c r="B135" s="161"/>
      <c r="C135" s="138"/>
      <c r="D135" s="138"/>
      <c r="E135" s="138"/>
      <c r="F135" s="138"/>
    </row>
    <row r="136" ht="15.75" customHeight="1">
      <c r="A136" s="161"/>
      <c r="B136" s="161"/>
      <c r="C136" s="138"/>
      <c r="D136" s="138"/>
      <c r="E136" s="138"/>
      <c r="F136" s="138"/>
    </row>
    <row r="137" ht="15.75" customHeight="1">
      <c r="A137" s="161"/>
      <c r="B137" s="161"/>
      <c r="C137" s="138"/>
      <c r="D137" s="138"/>
      <c r="E137" s="138"/>
      <c r="F137" s="138"/>
    </row>
    <row r="138" ht="15.75" customHeight="1">
      <c r="A138" s="161"/>
      <c r="B138" s="161"/>
      <c r="C138" s="138"/>
      <c r="D138" s="138"/>
      <c r="E138" s="138"/>
      <c r="F138" s="138"/>
    </row>
    <row r="139" ht="15.75" customHeight="1">
      <c r="A139" s="161"/>
      <c r="B139" s="161"/>
      <c r="C139" s="138"/>
      <c r="D139" s="138"/>
      <c r="E139" s="138"/>
      <c r="F139" s="138"/>
    </row>
    <row r="140" ht="15.75" customHeight="1">
      <c r="A140" s="161"/>
      <c r="B140" s="161"/>
      <c r="C140" s="138"/>
      <c r="D140" s="138"/>
      <c r="E140" s="138"/>
      <c r="F140" s="138"/>
    </row>
    <row r="141" ht="15.75" customHeight="1">
      <c r="A141" s="161"/>
      <c r="B141" s="161"/>
      <c r="C141" s="138"/>
      <c r="D141" s="138"/>
      <c r="E141" s="138"/>
      <c r="F141" s="138"/>
    </row>
    <row r="142" ht="15.75" customHeight="1">
      <c r="A142" s="161"/>
      <c r="B142" s="161"/>
      <c r="C142" s="138"/>
      <c r="D142" s="138"/>
      <c r="E142" s="138"/>
      <c r="F142" s="138"/>
    </row>
    <row r="143" ht="15.75" customHeight="1">
      <c r="A143" s="161"/>
      <c r="B143" s="161"/>
      <c r="C143" s="138"/>
      <c r="D143" s="138"/>
      <c r="E143" s="138"/>
      <c r="F143" s="138"/>
    </row>
    <row r="144" ht="15.75" customHeight="1">
      <c r="A144" s="161"/>
      <c r="B144" s="161"/>
      <c r="C144" s="138"/>
      <c r="D144" s="138"/>
      <c r="E144" s="138"/>
      <c r="F144" s="138"/>
    </row>
    <row r="145" ht="15.75" customHeight="1">
      <c r="A145" s="161"/>
      <c r="B145" s="161"/>
      <c r="C145" s="138"/>
      <c r="D145" s="138"/>
      <c r="E145" s="138"/>
      <c r="F145" s="138"/>
    </row>
    <row r="146" ht="15.75" customHeight="1">
      <c r="A146" s="161"/>
      <c r="B146" s="161"/>
      <c r="C146" s="138"/>
      <c r="D146" s="138"/>
      <c r="E146" s="138"/>
      <c r="F146" s="138"/>
    </row>
    <row r="147" ht="15.75" customHeight="1">
      <c r="A147" s="161"/>
      <c r="B147" s="161"/>
      <c r="C147" s="138"/>
      <c r="D147" s="138"/>
      <c r="E147" s="138"/>
      <c r="F147" s="138"/>
    </row>
    <row r="148" ht="15.75" customHeight="1">
      <c r="A148" s="161"/>
      <c r="B148" s="161"/>
      <c r="C148" s="138"/>
      <c r="D148" s="138"/>
      <c r="E148" s="138"/>
      <c r="F148" s="138"/>
    </row>
    <row r="149" ht="15.75" customHeight="1">
      <c r="A149" s="161"/>
      <c r="B149" s="161"/>
      <c r="C149" s="138"/>
      <c r="D149" s="138"/>
      <c r="E149" s="138"/>
      <c r="F149" s="138"/>
    </row>
    <row r="150" ht="15.75" customHeight="1">
      <c r="A150" s="161"/>
      <c r="B150" s="161"/>
      <c r="C150" s="138"/>
      <c r="D150" s="138"/>
      <c r="E150" s="138"/>
      <c r="F150" s="138"/>
    </row>
    <row r="151" ht="15.75" customHeight="1">
      <c r="A151" s="161"/>
      <c r="B151" s="161"/>
      <c r="C151" s="138"/>
      <c r="D151" s="138"/>
      <c r="E151" s="138"/>
      <c r="F151" s="138"/>
    </row>
    <row r="152" ht="15.75" customHeight="1">
      <c r="A152" s="161"/>
      <c r="B152" s="161"/>
      <c r="C152" s="138"/>
      <c r="D152" s="138"/>
      <c r="E152" s="138"/>
      <c r="F152" s="138"/>
    </row>
    <row r="153" ht="15.75" customHeight="1">
      <c r="A153" s="161"/>
      <c r="B153" s="161"/>
      <c r="C153" s="138"/>
      <c r="D153" s="138"/>
      <c r="E153" s="138"/>
      <c r="F153" s="138"/>
    </row>
    <row r="154" ht="15.75" customHeight="1">
      <c r="A154" s="161"/>
      <c r="B154" s="161"/>
      <c r="C154" s="138"/>
      <c r="D154" s="138"/>
      <c r="E154" s="138"/>
      <c r="F154" s="138"/>
    </row>
    <row r="155" ht="15.75" customHeight="1">
      <c r="A155" s="161"/>
      <c r="B155" s="161"/>
      <c r="C155" s="138"/>
      <c r="D155" s="138"/>
      <c r="E155" s="138"/>
      <c r="F155" s="138"/>
    </row>
    <row r="156" ht="15.75" customHeight="1">
      <c r="A156" s="161"/>
      <c r="B156" s="161"/>
      <c r="C156" s="138"/>
      <c r="D156" s="138"/>
      <c r="E156" s="138"/>
      <c r="F156" s="138"/>
    </row>
    <row r="157" ht="15.75" customHeight="1">
      <c r="A157" s="161"/>
      <c r="B157" s="161"/>
      <c r="C157" s="138"/>
      <c r="D157" s="138"/>
      <c r="E157" s="138"/>
      <c r="F157" s="138"/>
    </row>
    <row r="158" ht="15.75" customHeight="1">
      <c r="A158" s="161"/>
      <c r="B158" s="161"/>
      <c r="C158" s="138"/>
      <c r="D158" s="138"/>
      <c r="E158" s="138"/>
      <c r="F158" s="138"/>
    </row>
    <row r="159" ht="15.75" customHeight="1">
      <c r="A159" s="161"/>
      <c r="B159" s="161"/>
      <c r="C159" s="138"/>
      <c r="D159" s="138"/>
      <c r="E159" s="138"/>
      <c r="F159" s="138"/>
    </row>
    <row r="160" ht="15.75" customHeight="1">
      <c r="A160" s="161"/>
      <c r="B160" s="161"/>
      <c r="C160" s="138"/>
      <c r="D160" s="138"/>
      <c r="E160" s="138"/>
      <c r="F160" s="138"/>
    </row>
    <row r="161" ht="15.75" customHeight="1">
      <c r="A161" s="161"/>
      <c r="B161" s="161"/>
      <c r="C161" s="138"/>
      <c r="D161" s="138"/>
      <c r="E161" s="138"/>
      <c r="F161" s="138"/>
    </row>
    <row r="162" ht="15.75" customHeight="1">
      <c r="A162" s="161"/>
      <c r="B162" s="161"/>
      <c r="C162" s="138"/>
      <c r="D162" s="138"/>
      <c r="E162" s="138"/>
      <c r="F162" s="138"/>
    </row>
    <row r="163" ht="15.75" customHeight="1">
      <c r="A163" s="161"/>
      <c r="B163" s="161"/>
      <c r="C163" s="138"/>
      <c r="D163" s="138"/>
      <c r="E163" s="138"/>
      <c r="F163" s="138"/>
    </row>
    <row r="164" ht="15.75" customHeight="1">
      <c r="A164" s="161"/>
      <c r="B164" s="161"/>
      <c r="C164" s="138"/>
      <c r="D164" s="138"/>
      <c r="E164" s="138"/>
      <c r="F164" s="138"/>
    </row>
    <row r="165" ht="15.75" customHeight="1">
      <c r="A165" s="161"/>
      <c r="B165" s="161"/>
      <c r="C165" s="138"/>
      <c r="D165" s="138"/>
      <c r="E165" s="138"/>
      <c r="F165" s="138"/>
    </row>
    <row r="166" ht="15.75" customHeight="1">
      <c r="A166" s="161"/>
      <c r="B166" s="161"/>
      <c r="C166" s="138"/>
      <c r="D166" s="138"/>
      <c r="E166" s="138"/>
      <c r="F166" s="138"/>
    </row>
    <row r="167" ht="15.75" customHeight="1">
      <c r="A167" s="161"/>
      <c r="B167" s="161"/>
      <c r="C167" s="138"/>
      <c r="D167" s="138"/>
      <c r="E167" s="138"/>
      <c r="F167" s="138"/>
    </row>
    <row r="168" ht="15.75" customHeight="1">
      <c r="A168" s="161"/>
      <c r="B168" s="161"/>
      <c r="C168" s="138"/>
      <c r="D168" s="138"/>
      <c r="E168" s="138"/>
      <c r="F168" s="138"/>
    </row>
    <row r="169" ht="15.75" customHeight="1">
      <c r="A169" s="161"/>
      <c r="B169" s="161"/>
      <c r="C169" s="138"/>
      <c r="D169" s="138"/>
      <c r="E169" s="138"/>
      <c r="F169" s="138"/>
    </row>
    <row r="170" ht="15.75" customHeight="1">
      <c r="A170" s="161"/>
      <c r="B170" s="161"/>
      <c r="C170" s="138"/>
      <c r="D170" s="138"/>
      <c r="E170" s="138"/>
      <c r="F170" s="138"/>
    </row>
    <row r="171" ht="15.75" customHeight="1">
      <c r="A171" s="161"/>
      <c r="B171" s="161"/>
      <c r="C171" s="138"/>
      <c r="D171" s="138"/>
      <c r="E171" s="138"/>
      <c r="F171" s="138"/>
    </row>
    <row r="172" ht="15.75" customHeight="1">
      <c r="A172" s="161"/>
      <c r="B172" s="161"/>
      <c r="C172" s="138"/>
      <c r="D172" s="138"/>
      <c r="E172" s="138"/>
      <c r="F172" s="138"/>
    </row>
    <row r="173" ht="15.75" customHeight="1">
      <c r="A173" s="161"/>
      <c r="B173" s="161"/>
      <c r="C173" s="138"/>
      <c r="D173" s="138"/>
      <c r="E173" s="138"/>
      <c r="F173" s="138"/>
    </row>
    <row r="174" ht="15.75" customHeight="1">
      <c r="A174" s="161"/>
      <c r="B174" s="161"/>
      <c r="C174" s="138"/>
      <c r="D174" s="138"/>
      <c r="E174" s="138"/>
      <c r="F174" s="138"/>
    </row>
    <row r="175" ht="15.75" customHeight="1">
      <c r="A175" s="161"/>
      <c r="B175" s="161"/>
      <c r="C175" s="138"/>
      <c r="D175" s="138"/>
      <c r="E175" s="138"/>
      <c r="F175" s="138"/>
    </row>
    <row r="176" ht="15.75" customHeight="1">
      <c r="A176" s="161"/>
      <c r="B176" s="161"/>
      <c r="C176" s="138"/>
      <c r="D176" s="138"/>
      <c r="E176" s="138"/>
      <c r="F176" s="138"/>
    </row>
    <row r="177" ht="15.75" customHeight="1">
      <c r="A177" s="161"/>
      <c r="B177" s="161"/>
      <c r="C177" s="138"/>
      <c r="D177" s="138"/>
      <c r="E177" s="138"/>
      <c r="F177" s="138"/>
    </row>
    <row r="178" ht="15.75" customHeight="1">
      <c r="A178" s="161"/>
      <c r="B178" s="161"/>
      <c r="C178" s="138"/>
      <c r="D178" s="138"/>
      <c r="E178" s="138"/>
      <c r="F178" s="138"/>
    </row>
    <row r="179" ht="15.75" customHeight="1">
      <c r="A179" s="161"/>
      <c r="B179" s="161"/>
      <c r="C179" s="138"/>
      <c r="D179" s="138"/>
      <c r="E179" s="138"/>
      <c r="F179" s="138"/>
    </row>
    <row r="180" ht="15.75" customHeight="1">
      <c r="A180" s="161"/>
      <c r="B180" s="161"/>
      <c r="C180" s="138"/>
      <c r="D180" s="138"/>
      <c r="E180" s="138"/>
      <c r="F180" s="138"/>
    </row>
    <row r="181" ht="15.75" customHeight="1">
      <c r="A181" s="161"/>
      <c r="B181" s="161"/>
      <c r="C181" s="138"/>
      <c r="D181" s="138"/>
      <c r="E181" s="138"/>
      <c r="F181" s="138"/>
    </row>
    <row r="182" ht="15.75" customHeight="1">
      <c r="A182" s="161"/>
      <c r="B182" s="161"/>
      <c r="C182" s="138"/>
      <c r="D182" s="138"/>
      <c r="E182" s="138"/>
      <c r="F182" s="138"/>
    </row>
    <row r="183" ht="15.75" customHeight="1">
      <c r="A183" s="161"/>
      <c r="B183" s="161"/>
      <c r="C183" s="138"/>
      <c r="D183" s="138"/>
      <c r="E183" s="138"/>
      <c r="F183" s="138"/>
    </row>
    <row r="184" ht="15.75" customHeight="1">
      <c r="A184" s="161"/>
      <c r="B184" s="161"/>
      <c r="C184" s="138"/>
      <c r="D184" s="138"/>
      <c r="E184" s="138"/>
      <c r="F184" s="138"/>
    </row>
    <row r="185" ht="15.75" customHeight="1">
      <c r="A185" s="161"/>
      <c r="B185" s="161"/>
      <c r="C185" s="138"/>
      <c r="D185" s="138"/>
      <c r="E185" s="138"/>
      <c r="F185" s="138"/>
    </row>
    <row r="186" ht="15.75" customHeight="1">
      <c r="A186" s="161"/>
      <c r="B186" s="161"/>
      <c r="C186" s="138"/>
      <c r="D186" s="138"/>
      <c r="E186" s="138"/>
      <c r="F186" s="138"/>
    </row>
    <row r="187" ht="15.75" customHeight="1">
      <c r="A187" s="161"/>
      <c r="B187" s="161"/>
      <c r="C187" s="138"/>
      <c r="D187" s="138"/>
      <c r="E187" s="138"/>
      <c r="F187" s="138"/>
    </row>
    <row r="188" ht="15.75" customHeight="1">
      <c r="A188" s="161"/>
      <c r="B188" s="161"/>
      <c r="C188" s="138"/>
      <c r="D188" s="138"/>
      <c r="E188" s="138"/>
      <c r="F188" s="138"/>
    </row>
    <row r="189" ht="15.75" customHeight="1">
      <c r="A189" s="161"/>
      <c r="B189" s="161"/>
      <c r="C189" s="138"/>
      <c r="D189" s="138"/>
      <c r="E189" s="138"/>
      <c r="F189" s="138"/>
    </row>
    <row r="190" ht="15.75" customHeight="1">
      <c r="A190" s="161"/>
      <c r="B190" s="161"/>
      <c r="C190" s="138"/>
      <c r="D190" s="138"/>
      <c r="E190" s="138"/>
      <c r="F190" s="138"/>
    </row>
    <row r="191" ht="15.75" customHeight="1">
      <c r="A191" s="161"/>
      <c r="B191" s="161"/>
      <c r="C191" s="138"/>
      <c r="D191" s="138"/>
      <c r="E191" s="138"/>
      <c r="F191" s="138"/>
    </row>
    <row r="192" ht="15.75" customHeight="1">
      <c r="A192" s="161"/>
      <c r="B192" s="161"/>
      <c r="C192" s="138"/>
      <c r="D192" s="138"/>
      <c r="E192" s="138"/>
      <c r="F192" s="138"/>
    </row>
    <row r="193" ht="15.75" customHeight="1">
      <c r="A193" s="161"/>
      <c r="B193" s="161"/>
      <c r="C193" s="138"/>
      <c r="D193" s="138"/>
      <c r="E193" s="138"/>
      <c r="F193" s="138"/>
    </row>
    <row r="194" ht="15.75" customHeight="1">
      <c r="A194" s="161"/>
      <c r="B194" s="161"/>
      <c r="C194" s="138"/>
      <c r="D194" s="138"/>
      <c r="E194" s="138"/>
      <c r="F194" s="138"/>
    </row>
    <row r="195" ht="15.75" customHeight="1">
      <c r="A195" s="161"/>
      <c r="B195" s="161"/>
      <c r="C195" s="138"/>
      <c r="D195" s="138"/>
      <c r="E195" s="138"/>
      <c r="F195" s="138"/>
    </row>
    <row r="196" ht="15.75" customHeight="1">
      <c r="A196" s="161"/>
      <c r="B196" s="161"/>
      <c r="C196" s="138"/>
      <c r="D196" s="138"/>
      <c r="E196" s="138"/>
      <c r="F196" s="138"/>
    </row>
    <row r="197" ht="15.75" customHeight="1">
      <c r="A197" s="161"/>
      <c r="B197" s="161"/>
      <c r="C197" s="138"/>
      <c r="D197" s="138"/>
      <c r="E197" s="138"/>
      <c r="F197" s="138"/>
    </row>
    <row r="198" ht="15.75" customHeight="1">
      <c r="A198" s="161"/>
      <c r="B198" s="161"/>
      <c r="C198" s="138"/>
      <c r="D198" s="138"/>
      <c r="E198" s="138"/>
      <c r="F198" s="138"/>
    </row>
    <row r="199" ht="15.75" customHeight="1">
      <c r="A199" s="161"/>
      <c r="B199" s="161"/>
      <c r="C199" s="138"/>
      <c r="D199" s="138"/>
      <c r="E199" s="138"/>
      <c r="F199" s="138"/>
    </row>
    <row r="200" ht="15.75" customHeight="1">
      <c r="A200" s="161"/>
      <c r="B200" s="161"/>
      <c r="C200" s="138"/>
      <c r="D200" s="138"/>
      <c r="E200" s="138"/>
      <c r="F200" s="138"/>
    </row>
    <row r="201" ht="15.75" customHeight="1">
      <c r="A201" s="161"/>
      <c r="B201" s="161"/>
      <c r="C201" s="138"/>
      <c r="D201" s="138"/>
      <c r="E201" s="138"/>
      <c r="F201" s="138"/>
    </row>
    <row r="202" ht="15.75" customHeight="1">
      <c r="A202" s="161"/>
      <c r="B202" s="161"/>
      <c r="C202" s="138"/>
      <c r="D202" s="138"/>
      <c r="E202" s="138"/>
      <c r="F202" s="138"/>
    </row>
    <row r="203" ht="15.75" customHeight="1">
      <c r="A203" s="161"/>
      <c r="B203" s="161"/>
      <c r="C203" s="138"/>
      <c r="D203" s="138"/>
      <c r="E203" s="138"/>
      <c r="F203" s="138"/>
    </row>
    <row r="204" ht="15.75" customHeight="1">
      <c r="A204" s="161"/>
      <c r="B204" s="161"/>
      <c r="C204" s="138"/>
      <c r="D204" s="138"/>
      <c r="E204" s="138"/>
      <c r="F204" s="138"/>
    </row>
    <row r="205" ht="15.75" customHeight="1">
      <c r="A205" s="161"/>
      <c r="B205" s="161"/>
      <c r="C205" s="138"/>
      <c r="D205" s="138"/>
      <c r="E205" s="138"/>
      <c r="F205" s="138"/>
    </row>
    <row r="206" ht="15.75" customHeight="1">
      <c r="A206" s="161"/>
      <c r="B206" s="161"/>
      <c r="C206" s="138"/>
      <c r="D206" s="138"/>
      <c r="E206" s="138"/>
      <c r="F206" s="138"/>
    </row>
    <row r="207" ht="15.75" customHeight="1">
      <c r="A207" s="161"/>
      <c r="B207" s="161"/>
      <c r="C207" s="138"/>
      <c r="D207" s="138"/>
      <c r="E207" s="138"/>
      <c r="F207" s="138"/>
    </row>
    <row r="208" ht="15.75" customHeight="1">
      <c r="A208" s="161"/>
      <c r="B208" s="161"/>
      <c r="C208" s="138"/>
      <c r="D208" s="138"/>
      <c r="E208" s="138"/>
      <c r="F208" s="138"/>
    </row>
    <row r="209" ht="15.75" customHeight="1">
      <c r="A209" s="161"/>
      <c r="B209" s="161"/>
      <c r="C209" s="138"/>
      <c r="D209" s="138"/>
      <c r="E209" s="138"/>
      <c r="F209" s="138"/>
    </row>
    <row r="210" ht="15.75" customHeight="1">
      <c r="A210" s="161"/>
      <c r="B210" s="161"/>
      <c r="C210" s="138"/>
      <c r="D210" s="138"/>
      <c r="E210" s="138"/>
      <c r="F210" s="138"/>
    </row>
    <row r="211" ht="15.75" customHeight="1">
      <c r="A211" s="161"/>
      <c r="B211" s="161"/>
      <c r="C211" s="138"/>
      <c r="D211" s="138"/>
      <c r="E211" s="138"/>
      <c r="F211" s="138"/>
    </row>
    <row r="212" ht="15.75" customHeight="1">
      <c r="A212" s="161"/>
      <c r="B212" s="161"/>
      <c r="C212" s="138"/>
      <c r="D212" s="138"/>
      <c r="E212" s="138"/>
      <c r="F212" s="138"/>
    </row>
    <row r="213" ht="15.75" customHeight="1">
      <c r="A213" s="161"/>
      <c r="B213" s="161"/>
      <c r="C213" s="138"/>
      <c r="D213" s="138"/>
      <c r="E213" s="138"/>
      <c r="F213" s="138"/>
    </row>
    <row r="214" ht="15.75" customHeight="1">
      <c r="A214" s="161"/>
      <c r="B214" s="161"/>
      <c r="C214" s="138"/>
      <c r="D214" s="138"/>
      <c r="E214" s="138"/>
      <c r="F214" s="138"/>
    </row>
    <row r="215" ht="15.75" customHeight="1">
      <c r="A215" s="161"/>
      <c r="B215" s="161"/>
      <c r="C215" s="138"/>
      <c r="D215" s="138"/>
      <c r="E215" s="138"/>
      <c r="F215" s="138"/>
    </row>
    <row r="216" ht="15.75" customHeight="1">
      <c r="A216" s="161"/>
      <c r="B216" s="161"/>
      <c r="C216" s="138"/>
      <c r="D216" s="138"/>
      <c r="E216" s="138"/>
      <c r="F216" s="138"/>
    </row>
    <row r="217" ht="15.75" customHeight="1">
      <c r="A217" s="161"/>
      <c r="B217" s="161"/>
      <c r="C217" s="138"/>
      <c r="D217" s="138"/>
      <c r="E217" s="138"/>
      <c r="F217" s="138"/>
    </row>
    <row r="218" ht="15.75" customHeight="1">
      <c r="A218" s="161"/>
      <c r="B218" s="161"/>
      <c r="C218" s="138"/>
      <c r="D218" s="138"/>
      <c r="E218" s="138"/>
      <c r="F218" s="138"/>
    </row>
    <row r="219" ht="15.75" customHeight="1">
      <c r="A219" s="161"/>
      <c r="B219" s="161"/>
      <c r="C219" s="138"/>
      <c r="D219" s="138"/>
      <c r="E219" s="138"/>
      <c r="F219" s="138"/>
    </row>
    <row r="220" ht="15.75" customHeight="1">
      <c r="A220" s="161"/>
      <c r="B220" s="161"/>
      <c r="C220" s="138"/>
      <c r="D220" s="138"/>
      <c r="E220" s="138"/>
      <c r="F220" s="13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